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5.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omments8.xml" ContentType="application/vnd.openxmlformats-officedocument.spreadsheetml.comments+xml"/>
  <Override PartName="/xl/pivotTables/pivotTable8.xml" ContentType="application/vnd.openxmlformats-officedocument.spreadsheetml.pivotTable+xml"/>
  <Override PartName="/xl/pivotTables/pivotTable9.xml" ContentType="application/vnd.openxmlformats-officedocument.spreadsheetml.pivotTable+xml"/>
  <Override PartName="/xl/comments9.xml" ContentType="application/vnd.openxmlformats-officedocument.spreadsheetml.comments+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updateLinks="never" codeName="ThisWorkbook"/>
  <mc:AlternateContent xmlns:mc="http://schemas.openxmlformats.org/markup-compatibility/2006">
    <mc:Choice Requires="x15">
      <x15ac:absPath xmlns:x15ac="http://schemas.microsoft.com/office/spreadsheetml/2010/11/ac" url="https://people.ey.com/personal/hai_quang_le_vn_ey_com/Documents/Documents/2025/2. Finhay FY24/4. WTB/1. VAS/"/>
    </mc:Choice>
  </mc:AlternateContent>
  <xr:revisionPtr revIDLastSave="230" documentId="8_{5C0F2B9E-0235-4433-B2E6-DB893FD8309C}" xr6:coauthVersionLast="47" xr6:coauthVersionMax="47" xr10:uidLastSave="{66F12488-909C-43BE-BD19-BAC39AA9D7A2}"/>
  <bookViews>
    <workbookView xWindow="-120" yWindow="-120" windowWidth="29040" windowHeight="15720" tabRatio="827" firstSheet="10" activeTab="18" xr2:uid="{00000000-000D-0000-FFFF-FFFF00000000}"/>
  </bookViews>
  <sheets>
    <sheet name="TB.CTM.YE23" sheetId="2" state="hidden" r:id="rId1"/>
    <sheet name="GL911.CTM.HY23" sheetId="13" state="hidden" r:id="rId2"/>
    <sheet name="GL154.CTM.HY23" sheetId="14" state="hidden" r:id="rId3"/>
    <sheet name="TB.KCG.FY24" sheetId="26" state="hidden" r:id="rId4"/>
    <sheet name="GL911.KCG.FY24" sheetId="27" state="hidden" r:id="rId5"/>
    <sheet name="TB.XH.FY24" sheetId="28" r:id="rId6"/>
    <sheet name="GL911.XH.FY24" sheetId="29" r:id="rId7"/>
    <sheet name="Group" sheetId="31" r:id="rId8"/>
    <sheet name="Planning PM TE" sheetId="12" r:id="rId9"/>
    <sheet name="GL911.CtyCon.FY24" sheetId="24" state="hidden" r:id="rId10"/>
    <sheet name="TB.CTy Me.FY2024" sheetId="4" r:id="rId11"/>
    <sheet name="GL911.Cty Me.FY24" sheetId="15" state="hidden" r:id="rId12"/>
    <sheet name="GL154.Cty Me.FY24" sheetId="16" state="hidden" r:id="rId13"/>
    <sheet name="GL911 VNSC FY24" sheetId="20" r:id="rId14"/>
    <sheet name="BOM" sheetId="25" state="hidden" r:id="rId15"/>
    <sheet name="TB VNSC FY24" sheetId="19" r:id="rId16"/>
    <sheet name="A1.BS" sheetId="6" r:id="rId17"/>
    <sheet name="A2.PL" sheetId="7" r:id="rId18"/>
    <sheet name="CF.W.C" sheetId="17" r:id="rId19"/>
    <sheet name="A0.LS" sheetId="1" r:id="rId20"/>
    <sheet name="A5.Consol FY24" sheetId="22" r:id="rId21"/>
    <sheet name="A5.CTC FY24" sheetId="21" r:id="rId22"/>
    <sheet name="Dự phòng Finhay JSC" sheetId="32" r:id="rId23"/>
    <sheet name="A4.N2FS Consol" sheetId="18" r:id="rId24"/>
    <sheet name="A4.N2FS Singles" sheetId="10" r:id="rId25"/>
    <sheet name="A3.CF" sheetId="8" r:id="rId26"/>
    <sheet name="TB Cty Me 30Jun24" sheetId="55" state="hidden" r:id="rId27"/>
    <sheet name="5151 Cổ tức Cty con" sheetId="54" state="hidden" r:id="rId28"/>
    <sheet name="A5.FY24" sheetId="5" r:id="rId29"/>
    <sheet name="CF.W.S" sheetId="9" r:id="rId30"/>
    <sheet name="1218 1388.Khac" sheetId="51" state="hidden" r:id="rId31"/>
    <sheet name="Dự thu mới" sheetId="52" r:id="rId32"/>
    <sheet name="TB.Cty Con.FY24" sheetId="23" state="hidden" r:id="rId33"/>
    <sheet name="PhươngNH_Bút toán điều chỉnh EY" sheetId="56" state="hidden" r:id="rId34"/>
    <sheet name="A5.YE22" sheetId="3" state="hidden" r:id="rId35"/>
    <sheet name="Matching investment" sheetId="33" state="hidden" r:id="rId36"/>
    <sheet name="TB.VNSC.YE22" sheetId="39" state="hidden" r:id="rId37"/>
    <sheet name="EPS" sheetId="46" state="hidden" r:id="rId38"/>
    <sheet name="911.CTC.YE22" sheetId="45" state="hidden" r:id="rId39"/>
    <sheet name="TB.CTC.YE22" sheetId="38" state="hidden" r:id="rId40"/>
    <sheet name="GW" sheetId="30" r:id="rId41"/>
    <sheet name="Adj#1-Interco Bal" sheetId="48" r:id="rId42"/>
    <sheet name="Adj#2-Interco Trans" sheetId="49" r:id="rId43"/>
    <sheet name="1218_Misa" sheetId="53" r:id="rId44"/>
    <sheet name="TB.KCG.YE22" sheetId="40" state="hidden" r:id="rId45"/>
    <sheet name="911.KCG.YE22" sheetId="43" state="hidden" r:id="rId46"/>
    <sheet name="TB.XH.YE22" sheetId="41" state="hidden" r:id="rId47"/>
    <sheet name="911.XH.YE22" sheetId="44" state="hidden" r:id="rId48"/>
    <sheet name="911.VNSC.YE22" sheetId="42" state="hidden" r:id="rId49"/>
    <sheet name="Non deductible" sheetId="50" r:id="rId50"/>
    <sheet name="Goodwill" sheetId="47" r:id="rId51"/>
    <sheet name="DS_INTERNAL_SETTINGS_STORAGE" sheetId="57" state="veryHidden" r:id="rId52"/>
    <sheet name="DS_INTERNAL_DOCGROUP_STORAGE" sheetId="58" state="veryHidden" r:id="rId53"/>
    <sheet name="DS_INTERNAL_DOCUMENT_STORAGE" sheetId="59" state="veryHidden" r:id="rId54"/>
    <sheet name="DS_INTERNAL_SNIP_STORAGE" sheetId="60" state="veryHidden"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s>
  <definedNames>
    <definedName name="_____________________a1" localSheetId="13" hidden="1">{"'Sheet1'!$L$16"}</definedName>
    <definedName name="_____________________a1" localSheetId="50" hidden="1">{"'Sheet1'!$L$16"}</definedName>
    <definedName name="_____________________a1" hidden="1">{"'Sheet1'!$L$16"}</definedName>
    <definedName name="____________________a1" localSheetId="13" hidden="1">{"'Sheet1'!$L$16"}</definedName>
    <definedName name="____________________a1" localSheetId="50" hidden="1">{"'Sheet1'!$L$16"}</definedName>
    <definedName name="____________________a1" hidden="1">{"'Sheet1'!$L$16"}</definedName>
    <definedName name="___________________a1" localSheetId="13" hidden="1">{"'Sheet1'!$L$16"}</definedName>
    <definedName name="___________________a1" localSheetId="50" hidden="1">{"'Sheet1'!$L$16"}</definedName>
    <definedName name="___________________a1" hidden="1">{"'Sheet1'!$L$16"}</definedName>
    <definedName name="__________________a1" localSheetId="13" hidden="1">{"'Sheet1'!$L$16"}</definedName>
    <definedName name="__________________a1" localSheetId="50" hidden="1">{"'Sheet1'!$L$16"}</definedName>
    <definedName name="__________________a1" hidden="1">{"'Sheet1'!$L$16"}</definedName>
    <definedName name="________________a1" localSheetId="13" hidden="1">{"'Sheet1'!$L$16"}</definedName>
    <definedName name="________________a1" localSheetId="50" hidden="1">{"'Sheet1'!$L$16"}</definedName>
    <definedName name="________________a1" hidden="1">{"'Sheet1'!$L$16"}</definedName>
    <definedName name="_______________a1" localSheetId="13" hidden="1">{"'Sheet1'!$L$16"}</definedName>
    <definedName name="_______________a1" localSheetId="50" hidden="1">{"'Sheet1'!$L$16"}</definedName>
    <definedName name="_______________a1" hidden="1">{"'Sheet1'!$L$16"}</definedName>
    <definedName name="_______________a10" localSheetId="13" hidden="1">{"'Sheet1'!$L$16"}</definedName>
    <definedName name="_______________a10" localSheetId="50" hidden="1">{"'Sheet1'!$L$16"}</definedName>
    <definedName name="_______________a10" hidden="1">{"'Sheet1'!$L$16"}</definedName>
    <definedName name="_______________a11" localSheetId="13" hidden="1">{"'Sheet1'!$L$16"}</definedName>
    <definedName name="_______________a11" localSheetId="50" hidden="1">{"'Sheet1'!$L$16"}</definedName>
    <definedName name="_______________a11" hidden="1">{"'Sheet1'!$L$16"}</definedName>
    <definedName name="_______________a12" localSheetId="13" hidden="1">{"'Sheet1'!$L$16"}</definedName>
    <definedName name="_______________a12" localSheetId="50" hidden="1">{"'Sheet1'!$L$16"}</definedName>
    <definedName name="_______________a12" hidden="1">{"'Sheet1'!$L$16"}</definedName>
    <definedName name="_______________a13" localSheetId="13" hidden="1">{"'Sheet1'!$L$16"}</definedName>
    <definedName name="_______________a13" localSheetId="50" hidden="1">{"'Sheet1'!$L$16"}</definedName>
    <definedName name="_______________a13" hidden="1">{"'Sheet1'!$L$16"}</definedName>
    <definedName name="_______________a14" localSheetId="13" hidden="1">{"'Sheet1'!$L$16"}</definedName>
    <definedName name="_______________a14" localSheetId="50" hidden="1">{"'Sheet1'!$L$16"}</definedName>
    <definedName name="_______________a14" hidden="1">{"'Sheet1'!$L$16"}</definedName>
    <definedName name="_______________a18" localSheetId="13" hidden="1">{"'Sheet1'!$L$16"}</definedName>
    <definedName name="_______________a18" localSheetId="50" hidden="1">{"'Sheet1'!$L$16"}</definedName>
    <definedName name="_______________a18" hidden="1">{"'Sheet1'!$L$16"}</definedName>
    <definedName name="_______________a2" localSheetId="13" hidden="1">{"'Sheet1'!$L$16"}</definedName>
    <definedName name="_______________a2" localSheetId="50" hidden="1">{"'Sheet1'!$L$16"}</definedName>
    <definedName name="_______________a2" hidden="1">{"'Sheet1'!$L$16"}</definedName>
    <definedName name="_______________a20" localSheetId="13" hidden="1">{"'Sheet1'!$L$16"}</definedName>
    <definedName name="_______________a20" localSheetId="50" hidden="1">{"'Sheet1'!$L$16"}</definedName>
    <definedName name="_______________a20" hidden="1">{"'Sheet1'!$L$16"}</definedName>
    <definedName name="_______________a3" localSheetId="13" hidden="1">{"'Sheet1'!$L$16"}</definedName>
    <definedName name="_______________a3" localSheetId="50" hidden="1">{"'Sheet1'!$L$16"}</definedName>
    <definedName name="_______________a3" hidden="1">{"'Sheet1'!$L$16"}</definedName>
    <definedName name="_______________a4" localSheetId="13" hidden="1">{"'Sheet1'!$L$16"}</definedName>
    <definedName name="_______________a4" localSheetId="50" hidden="1">{"'Sheet1'!$L$16"}</definedName>
    <definedName name="_______________a4" hidden="1">{"'Sheet1'!$L$16"}</definedName>
    <definedName name="_______________a5" localSheetId="13" hidden="1">{"'Sheet1'!$L$16"}</definedName>
    <definedName name="_______________a5" localSheetId="50" hidden="1">{"'Sheet1'!$L$16"}</definedName>
    <definedName name="_______________a5" hidden="1">{"'Sheet1'!$L$16"}</definedName>
    <definedName name="_______________a7" localSheetId="13" hidden="1">{"'Sheet1'!$L$16"}</definedName>
    <definedName name="_______________a7" localSheetId="50" hidden="1">{"'Sheet1'!$L$16"}</definedName>
    <definedName name="_______________a7" hidden="1">{"'Sheet1'!$L$16"}</definedName>
    <definedName name="_______________a8" localSheetId="13" hidden="1">{"'Sheet1'!$L$16"}</definedName>
    <definedName name="_______________a8" localSheetId="50" hidden="1">{"'Sheet1'!$L$16"}</definedName>
    <definedName name="_______________a8" hidden="1">{"'Sheet1'!$L$16"}</definedName>
    <definedName name="_______________a9" localSheetId="13" hidden="1">{"'Sheet1'!$L$16"}</definedName>
    <definedName name="_______________a9" localSheetId="50" hidden="1">{"'Sheet1'!$L$16"}</definedName>
    <definedName name="_______________a9" hidden="1">{"'Sheet1'!$L$16"}</definedName>
    <definedName name="_______________hu14" localSheetId="13" hidden="1">{"'Sheet1'!$L$16"}</definedName>
    <definedName name="_______________hu14" localSheetId="50" hidden="1">{"'Sheet1'!$L$16"}</definedName>
    <definedName name="_______________hu14" hidden="1">{"'Sheet1'!$L$16"}</definedName>
    <definedName name="_______________v11" localSheetId="13" hidden="1">{"'Sheet1'!$L$16"}</definedName>
    <definedName name="_______________v11" localSheetId="50" hidden="1">{"'Sheet1'!$L$16"}</definedName>
    <definedName name="_______________v11" hidden="1">{"'Sheet1'!$L$16"}</definedName>
    <definedName name="______________a1" localSheetId="13" hidden="1">{"'Sheet1'!$L$16"}</definedName>
    <definedName name="______________a1" localSheetId="50" hidden="1">{"'Sheet1'!$L$16"}</definedName>
    <definedName name="______________a1" hidden="1">{"'Sheet1'!$L$16"}</definedName>
    <definedName name="______________a10" localSheetId="13" hidden="1">{"'Sheet1'!$L$16"}</definedName>
    <definedName name="______________a10" localSheetId="50" hidden="1">{"'Sheet1'!$L$16"}</definedName>
    <definedName name="______________a10" hidden="1">{"'Sheet1'!$L$16"}</definedName>
    <definedName name="______________a11" localSheetId="13" hidden="1">{"'Sheet1'!$L$16"}</definedName>
    <definedName name="______________a11" localSheetId="50" hidden="1">{"'Sheet1'!$L$16"}</definedName>
    <definedName name="______________a11" hidden="1">{"'Sheet1'!$L$16"}</definedName>
    <definedName name="______________a12" localSheetId="13" hidden="1">{"'Sheet1'!$L$16"}</definedName>
    <definedName name="______________a12" localSheetId="50" hidden="1">{"'Sheet1'!$L$16"}</definedName>
    <definedName name="______________a12" hidden="1">{"'Sheet1'!$L$16"}</definedName>
    <definedName name="______________a13" localSheetId="13" hidden="1">{"'Sheet1'!$L$16"}</definedName>
    <definedName name="______________a13" localSheetId="50" hidden="1">{"'Sheet1'!$L$16"}</definedName>
    <definedName name="______________a13" hidden="1">{"'Sheet1'!$L$16"}</definedName>
    <definedName name="______________a14" localSheetId="13" hidden="1">{"'Sheet1'!$L$16"}</definedName>
    <definedName name="______________a14" localSheetId="50" hidden="1">{"'Sheet1'!$L$16"}</definedName>
    <definedName name="______________a14" hidden="1">{"'Sheet1'!$L$16"}</definedName>
    <definedName name="______________a18" localSheetId="13" hidden="1">{"'Sheet1'!$L$16"}</definedName>
    <definedName name="______________a18" localSheetId="50" hidden="1">{"'Sheet1'!$L$16"}</definedName>
    <definedName name="______________a18" hidden="1">{"'Sheet1'!$L$16"}</definedName>
    <definedName name="______________a2" localSheetId="13" hidden="1">{"'Sheet1'!$L$16"}</definedName>
    <definedName name="______________a2" localSheetId="50" hidden="1">{"'Sheet1'!$L$16"}</definedName>
    <definedName name="______________a2" hidden="1">{"'Sheet1'!$L$16"}</definedName>
    <definedName name="______________a20" localSheetId="13" hidden="1">{"'Sheet1'!$L$16"}</definedName>
    <definedName name="______________a20" localSheetId="50" hidden="1">{"'Sheet1'!$L$16"}</definedName>
    <definedName name="______________a20" hidden="1">{"'Sheet1'!$L$16"}</definedName>
    <definedName name="______________a3" localSheetId="13" hidden="1">{"'Sheet1'!$L$16"}</definedName>
    <definedName name="______________a3" localSheetId="50" hidden="1">{"'Sheet1'!$L$16"}</definedName>
    <definedName name="______________a3" hidden="1">{"'Sheet1'!$L$16"}</definedName>
    <definedName name="______________a4" localSheetId="13" hidden="1">{"'Sheet1'!$L$16"}</definedName>
    <definedName name="______________a4" localSheetId="50" hidden="1">{"'Sheet1'!$L$16"}</definedName>
    <definedName name="______________a4" hidden="1">{"'Sheet1'!$L$16"}</definedName>
    <definedName name="______________a5" localSheetId="13" hidden="1">{"'Sheet1'!$L$16"}</definedName>
    <definedName name="______________a5" localSheetId="50" hidden="1">{"'Sheet1'!$L$16"}</definedName>
    <definedName name="______________a5" hidden="1">{"'Sheet1'!$L$16"}</definedName>
    <definedName name="______________a7" localSheetId="13" hidden="1">{"'Sheet1'!$L$16"}</definedName>
    <definedName name="______________a7" localSheetId="50" hidden="1">{"'Sheet1'!$L$16"}</definedName>
    <definedName name="______________a7" hidden="1">{"'Sheet1'!$L$16"}</definedName>
    <definedName name="______________a8" localSheetId="13" hidden="1">{"'Sheet1'!$L$16"}</definedName>
    <definedName name="______________a8" localSheetId="50" hidden="1">{"'Sheet1'!$L$16"}</definedName>
    <definedName name="______________a8" hidden="1">{"'Sheet1'!$L$16"}</definedName>
    <definedName name="______________a9" localSheetId="13" hidden="1">{"'Sheet1'!$L$16"}</definedName>
    <definedName name="______________a9" localSheetId="50" hidden="1">{"'Sheet1'!$L$16"}</definedName>
    <definedName name="______________a9" hidden="1">{"'Sheet1'!$L$16"}</definedName>
    <definedName name="______________hu14" localSheetId="13" hidden="1">{"'Sheet1'!$L$16"}</definedName>
    <definedName name="______________hu14" localSheetId="50" hidden="1">{"'Sheet1'!$L$16"}</definedName>
    <definedName name="______________hu14" hidden="1">{"'Sheet1'!$L$16"}</definedName>
    <definedName name="______________v11" localSheetId="13" hidden="1">{"'Sheet1'!$L$16"}</definedName>
    <definedName name="______________v11" localSheetId="50" hidden="1">{"'Sheet1'!$L$16"}</definedName>
    <definedName name="______________v11" hidden="1">{"'Sheet1'!$L$16"}</definedName>
    <definedName name="_____________a1" localSheetId="13" hidden="1">{"'Sheet1'!$L$16"}</definedName>
    <definedName name="_____________a1" localSheetId="50" hidden="1">{"'Sheet1'!$L$16"}</definedName>
    <definedName name="_____________a1" hidden="1">{"'Sheet1'!$L$16"}</definedName>
    <definedName name="_____________a10" localSheetId="13" hidden="1">{"'Sheet1'!$L$16"}</definedName>
    <definedName name="_____________a10" localSheetId="50" hidden="1">{"'Sheet1'!$L$16"}</definedName>
    <definedName name="_____________a10" hidden="1">{"'Sheet1'!$L$16"}</definedName>
    <definedName name="_____________a11" localSheetId="13" hidden="1">{"'Sheet1'!$L$16"}</definedName>
    <definedName name="_____________a11" localSheetId="50" hidden="1">{"'Sheet1'!$L$16"}</definedName>
    <definedName name="_____________a11" hidden="1">{"'Sheet1'!$L$16"}</definedName>
    <definedName name="_____________a12" localSheetId="13" hidden="1">{"'Sheet1'!$L$16"}</definedName>
    <definedName name="_____________a12" localSheetId="50" hidden="1">{"'Sheet1'!$L$16"}</definedName>
    <definedName name="_____________a12" hidden="1">{"'Sheet1'!$L$16"}</definedName>
    <definedName name="_____________a13" localSheetId="13" hidden="1">{"'Sheet1'!$L$16"}</definedName>
    <definedName name="_____________a13" localSheetId="50" hidden="1">{"'Sheet1'!$L$16"}</definedName>
    <definedName name="_____________a13" hidden="1">{"'Sheet1'!$L$16"}</definedName>
    <definedName name="_____________a14" localSheetId="13" hidden="1">{"'Sheet1'!$L$16"}</definedName>
    <definedName name="_____________a14" localSheetId="50" hidden="1">{"'Sheet1'!$L$16"}</definedName>
    <definedName name="_____________a14" hidden="1">{"'Sheet1'!$L$16"}</definedName>
    <definedName name="_____________a18" localSheetId="13" hidden="1">{"'Sheet1'!$L$16"}</definedName>
    <definedName name="_____________a18" localSheetId="50" hidden="1">{"'Sheet1'!$L$16"}</definedName>
    <definedName name="_____________a18" hidden="1">{"'Sheet1'!$L$16"}</definedName>
    <definedName name="_____________a2" localSheetId="13" hidden="1">{"'Sheet1'!$L$16"}</definedName>
    <definedName name="_____________a2" localSheetId="50" hidden="1">{"'Sheet1'!$L$16"}</definedName>
    <definedName name="_____________a2" hidden="1">{"'Sheet1'!$L$16"}</definedName>
    <definedName name="_____________a20" localSheetId="13" hidden="1">{"'Sheet1'!$L$16"}</definedName>
    <definedName name="_____________a20" localSheetId="50" hidden="1">{"'Sheet1'!$L$16"}</definedName>
    <definedName name="_____________a20" hidden="1">{"'Sheet1'!$L$16"}</definedName>
    <definedName name="_____________a3" localSheetId="13" hidden="1">{"'Sheet1'!$L$16"}</definedName>
    <definedName name="_____________a3" localSheetId="50" hidden="1">{"'Sheet1'!$L$16"}</definedName>
    <definedName name="_____________a3" hidden="1">{"'Sheet1'!$L$16"}</definedName>
    <definedName name="_____________a4" localSheetId="13" hidden="1">{"'Sheet1'!$L$16"}</definedName>
    <definedName name="_____________a4" localSheetId="50" hidden="1">{"'Sheet1'!$L$16"}</definedName>
    <definedName name="_____________a4" hidden="1">{"'Sheet1'!$L$16"}</definedName>
    <definedName name="_____________a5" localSheetId="13" hidden="1">{"'Sheet1'!$L$16"}</definedName>
    <definedName name="_____________a5" localSheetId="50" hidden="1">{"'Sheet1'!$L$16"}</definedName>
    <definedName name="_____________a5" hidden="1">{"'Sheet1'!$L$16"}</definedName>
    <definedName name="_____________a7" localSheetId="13" hidden="1">{"'Sheet1'!$L$16"}</definedName>
    <definedName name="_____________a7" localSheetId="50" hidden="1">{"'Sheet1'!$L$16"}</definedName>
    <definedName name="_____________a7" hidden="1">{"'Sheet1'!$L$16"}</definedName>
    <definedName name="_____________a8" localSheetId="13" hidden="1">{"'Sheet1'!$L$16"}</definedName>
    <definedName name="_____________a8" localSheetId="50" hidden="1">{"'Sheet1'!$L$16"}</definedName>
    <definedName name="_____________a8" hidden="1">{"'Sheet1'!$L$16"}</definedName>
    <definedName name="_____________a9" localSheetId="13" hidden="1">{"'Sheet1'!$L$16"}</definedName>
    <definedName name="_____________a9" localSheetId="50" hidden="1">{"'Sheet1'!$L$16"}</definedName>
    <definedName name="_____________a9" hidden="1">{"'Sheet1'!$L$16"}</definedName>
    <definedName name="_____________hu14" localSheetId="13" hidden="1">{"'Sheet1'!$L$16"}</definedName>
    <definedName name="_____________hu14" localSheetId="50" hidden="1">{"'Sheet1'!$L$16"}</definedName>
    <definedName name="_____________hu14" hidden="1">{"'Sheet1'!$L$16"}</definedName>
    <definedName name="_____________v11" localSheetId="13" hidden="1">{"'Sheet1'!$L$16"}</definedName>
    <definedName name="_____________v11" localSheetId="50" hidden="1">{"'Sheet1'!$L$16"}</definedName>
    <definedName name="_____________v11" hidden="1">{"'Sheet1'!$L$16"}</definedName>
    <definedName name="____________a1" localSheetId="41" hidden="1">{"'Sheet1'!$L$16"}</definedName>
    <definedName name="____________a1" localSheetId="42" hidden="1">{"'Sheet1'!$L$16"}</definedName>
    <definedName name="____________a1" localSheetId="13" hidden="1">{"'Sheet1'!$L$16"}</definedName>
    <definedName name="____________a1" localSheetId="50" hidden="1">{"'Sheet1'!$L$16"}</definedName>
    <definedName name="____________a1" localSheetId="46" hidden="1">{"'Sheet1'!$L$16"}</definedName>
    <definedName name="____________a1" hidden="1">{"'Sheet1'!$L$16"}</definedName>
    <definedName name="____________a10" localSheetId="13" hidden="1">{"'Sheet1'!$L$16"}</definedName>
    <definedName name="____________a10" localSheetId="50" hidden="1">{"'Sheet1'!$L$16"}</definedName>
    <definedName name="____________a10" hidden="1">{"'Sheet1'!$L$16"}</definedName>
    <definedName name="____________a11" localSheetId="13" hidden="1">{"'Sheet1'!$L$16"}</definedName>
    <definedName name="____________a11" localSheetId="50" hidden="1">{"'Sheet1'!$L$16"}</definedName>
    <definedName name="____________a11" hidden="1">{"'Sheet1'!$L$16"}</definedName>
    <definedName name="____________a12" localSheetId="13" hidden="1">{"'Sheet1'!$L$16"}</definedName>
    <definedName name="____________a12" localSheetId="50" hidden="1">{"'Sheet1'!$L$16"}</definedName>
    <definedName name="____________a12" hidden="1">{"'Sheet1'!$L$16"}</definedName>
    <definedName name="____________a13" localSheetId="13" hidden="1">{"'Sheet1'!$L$16"}</definedName>
    <definedName name="____________a13" localSheetId="50" hidden="1">{"'Sheet1'!$L$16"}</definedName>
    <definedName name="____________a13" hidden="1">{"'Sheet1'!$L$16"}</definedName>
    <definedName name="____________a14" localSheetId="13" hidden="1">{"'Sheet1'!$L$16"}</definedName>
    <definedName name="____________a14" localSheetId="50" hidden="1">{"'Sheet1'!$L$16"}</definedName>
    <definedName name="____________a14" hidden="1">{"'Sheet1'!$L$16"}</definedName>
    <definedName name="____________a18" localSheetId="13" hidden="1">{"'Sheet1'!$L$16"}</definedName>
    <definedName name="____________a18" localSheetId="50" hidden="1">{"'Sheet1'!$L$16"}</definedName>
    <definedName name="____________a18" hidden="1">{"'Sheet1'!$L$16"}</definedName>
    <definedName name="____________a2" localSheetId="13" hidden="1">{"'Sheet1'!$L$16"}</definedName>
    <definedName name="____________a2" localSheetId="50" hidden="1">{"'Sheet1'!$L$16"}</definedName>
    <definedName name="____________a2" hidden="1">{"'Sheet1'!$L$16"}</definedName>
    <definedName name="____________a20" localSheetId="13" hidden="1">{"'Sheet1'!$L$16"}</definedName>
    <definedName name="____________a20" localSheetId="50" hidden="1">{"'Sheet1'!$L$16"}</definedName>
    <definedName name="____________a20" hidden="1">{"'Sheet1'!$L$16"}</definedName>
    <definedName name="____________a3" localSheetId="13" hidden="1">{"'Sheet1'!$L$16"}</definedName>
    <definedName name="____________a3" localSheetId="50" hidden="1">{"'Sheet1'!$L$16"}</definedName>
    <definedName name="____________a3" hidden="1">{"'Sheet1'!$L$16"}</definedName>
    <definedName name="____________a4" localSheetId="13" hidden="1">{"'Sheet1'!$L$16"}</definedName>
    <definedName name="____________a4" localSheetId="50" hidden="1">{"'Sheet1'!$L$16"}</definedName>
    <definedName name="____________a4" hidden="1">{"'Sheet1'!$L$16"}</definedName>
    <definedName name="____________a5" localSheetId="13" hidden="1">{"'Sheet1'!$L$16"}</definedName>
    <definedName name="____________a5" localSheetId="50" hidden="1">{"'Sheet1'!$L$16"}</definedName>
    <definedName name="____________a5" hidden="1">{"'Sheet1'!$L$16"}</definedName>
    <definedName name="____________a7" localSheetId="13" hidden="1">{"'Sheet1'!$L$16"}</definedName>
    <definedName name="____________a7" localSheetId="50" hidden="1">{"'Sheet1'!$L$16"}</definedName>
    <definedName name="____________a7" hidden="1">{"'Sheet1'!$L$16"}</definedName>
    <definedName name="____________a8" localSheetId="13" hidden="1">{"'Sheet1'!$L$16"}</definedName>
    <definedName name="____________a8" localSheetId="50" hidden="1">{"'Sheet1'!$L$16"}</definedName>
    <definedName name="____________a8" hidden="1">{"'Sheet1'!$L$16"}</definedName>
    <definedName name="____________a9" localSheetId="13" hidden="1">{"'Sheet1'!$L$16"}</definedName>
    <definedName name="____________a9" localSheetId="50" hidden="1">{"'Sheet1'!$L$16"}</definedName>
    <definedName name="____________a9" hidden="1">{"'Sheet1'!$L$16"}</definedName>
    <definedName name="____________hu14" localSheetId="13" hidden="1">{"'Sheet1'!$L$16"}</definedName>
    <definedName name="____________hu14" localSheetId="50" hidden="1">{"'Sheet1'!$L$16"}</definedName>
    <definedName name="____________hu14" hidden="1">{"'Sheet1'!$L$16"}</definedName>
    <definedName name="____________v11" localSheetId="13" hidden="1">{"'Sheet1'!$L$16"}</definedName>
    <definedName name="____________v11" localSheetId="50" hidden="1">{"'Sheet1'!$L$16"}</definedName>
    <definedName name="____________v11" hidden="1">{"'Sheet1'!$L$16"}</definedName>
    <definedName name="___________a1" localSheetId="41" hidden="1">{"'Sheet1'!$L$16"}</definedName>
    <definedName name="___________a1" localSheetId="42" hidden="1">{"'Sheet1'!$L$16"}</definedName>
    <definedName name="___________a1" localSheetId="13" hidden="1">{"'Sheet1'!$L$16"}</definedName>
    <definedName name="___________a1" localSheetId="50" hidden="1">{"'Sheet1'!$L$16"}</definedName>
    <definedName name="___________a1" localSheetId="46" hidden="1">{"'Sheet1'!$L$16"}</definedName>
    <definedName name="___________a1" hidden="1">{"'Sheet1'!$L$16"}</definedName>
    <definedName name="__________a1" localSheetId="41" hidden="1">{"'Sheet1'!$L$16"}</definedName>
    <definedName name="__________a1" localSheetId="42" hidden="1">{"'Sheet1'!$L$16"}</definedName>
    <definedName name="__________a1" localSheetId="13" hidden="1">{"'Sheet1'!$L$16"}</definedName>
    <definedName name="__________a1" localSheetId="50" hidden="1">{"'Sheet1'!$L$16"}</definedName>
    <definedName name="__________a1" localSheetId="46" hidden="1">{"'Sheet1'!$L$16"}</definedName>
    <definedName name="__________a1" hidden="1">{"'Sheet1'!$L$16"}</definedName>
    <definedName name="__________a10" localSheetId="13" hidden="1">{"'Sheet1'!$L$16"}</definedName>
    <definedName name="__________a10" localSheetId="50" hidden="1">{"'Sheet1'!$L$16"}</definedName>
    <definedName name="__________a10" hidden="1">{"'Sheet1'!$L$16"}</definedName>
    <definedName name="__________a11" localSheetId="13" hidden="1">{"'Sheet1'!$L$16"}</definedName>
    <definedName name="__________a11" localSheetId="50" hidden="1">{"'Sheet1'!$L$16"}</definedName>
    <definedName name="__________a11" hidden="1">{"'Sheet1'!$L$16"}</definedName>
    <definedName name="__________a12" localSheetId="13" hidden="1">{"'Sheet1'!$L$16"}</definedName>
    <definedName name="__________a12" localSheetId="50" hidden="1">{"'Sheet1'!$L$16"}</definedName>
    <definedName name="__________a12" hidden="1">{"'Sheet1'!$L$16"}</definedName>
    <definedName name="__________a13" localSheetId="13" hidden="1">{"'Sheet1'!$L$16"}</definedName>
    <definedName name="__________a13" localSheetId="50" hidden="1">{"'Sheet1'!$L$16"}</definedName>
    <definedName name="__________a13" hidden="1">{"'Sheet1'!$L$16"}</definedName>
    <definedName name="__________a14" localSheetId="13" hidden="1">{"'Sheet1'!$L$16"}</definedName>
    <definedName name="__________a14" localSheetId="50" hidden="1">{"'Sheet1'!$L$16"}</definedName>
    <definedName name="__________a14" hidden="1">{"'Sheet1'!$L$16"}</definedName>
    <definedName name="__________a18" localSheetId="13" hidden="1">{"'Sheet1'!$L$16"}</definedName>
    <definedName name="__________a18" localSheetId="50" hidden="1">{"'Sheet1'!$L$16"}</definedName>
    <definedName name="__________a18" hidden="1">{"'Sheet1'!$L$16"}</definedName>
    <definedName name="__________a2" localSheetId="13" hidden="1">{"'Sheet1'!$L$16"}</definedName>
    <definedName name="__________a2" localSheetId="50" hidden="1">{"'Sheet1'!$L$16"}</definedName>
    <definedName name="__________a2" hidden="1">{"'Sheet1'!$L$16"}</definedName>
    <definedName name="__________a20" localSheetId="13" hidden="1">{"'Sheet1'!$L$16"}</definedName>
    <definedName name="__________a20" localSheetId="50" hidden="1">{"'Sheet1'!$L$16"}</definedName>
    <definedName name="__________a20" hidden="1">{"'Sheet1'!$L$16"}</definedName>
    <definedName name="__________a3" localSheetId="13" hidden="1">{"'Sheet1'!$L$16"}</definedName>
    <definedName name="__________a3" localSheetId="50" hidden="1">{"'Sheet1'!$L$16"}</definedName>
    <definedName name="__________a3" hidden="1">{"'Sheet1'!$L$16"}</definedName>
    <definedName name="__________a4" localSheetId="13" hidden="1">{"'Sheet1'!$L$16"}</definedName>
    <definedName name="__________a4" localSheetId="50" hidden="1">{"'Sheet1'!$L$16"}</definedName>
    <definedName name="__________a4" hidden="1">{"'Sheet1'!$L$16"}</definedName>
    <definedName name="__________a5" localSheetId="13" hidden="1">{"'Sheet1'!$L$16"}</definedName>
    <definedName name="__________a5" localSheetId="50" hidden="1">{"'Sheet1'!$L$16"}</definedName>
    <definedName name="__________a5" hidden="1">{"'Sheet1'!$L$16"}</definedName>
    <definedName name="__________a7" localSheetId="13" hidden="1">{"'Sheet1'!$L$16"}</definedName>
    <definedName name="__________a7" localSheetId="50" hidden="1">{"'Sheet1'!$L$16"}</definedName>
    <definedName name="__________a7" hidden="1">{"'Sheet1'!$L$16"}</definedName>
    <definedName name="__________a8" localSheetId="13" hidden="1">{"'Sheet1'!$L$16"}</definedName>
    <definedName name="__________a8" localSheetId="50" hidden="1">{"'Sheet1'!$L$16"}</definedName>
    <definedName name="__________a8" hidden="1">{"'Sheet1'!$L$16"}</definedName>
    <definedName name="__________a9" localSheetId="13" hidden="1">{"'Sheet1'!$L$16"}</definedName>
    <definedName name="__________a9" localSheetId="50" hidden="1">{"'Sheet1'!$L$16"}</definedName>
    <definedName name="__________a9" hidden="1">{"'Sheet1'!$L$16"}</definedName>
    <definedName name="__________hu14" localSheetId="13" hidden="1">{"'Sheet1'!$L$16"}</definedName>
    <definedName name="__________hu14" localSheetId="50" hidden="1">{"'Sheet1'!$L$16"}</definedName>
    <definedName name="__________hu14" hidden="1">{"'Sheet1'!$L$16"}</definedName>
    <definedName name="__________v11" localSheetId="13" hidden="1">{"'Sheet1'!$L$16"}</definedName>
    <definedName name="__________v11" localSheetId="50" hidden="1">{"'Sheet1'!$L$16"}</definedName>
    <definedName name="__________v11" hidden="1">{"'Sheet1'!$L$16"}</definedName>
    <definedName name="_________a1" localSheetId="41" hidden="1">{"'Sheet1'!$L$16"}</definedName>
    <definedName name="_________a1" localSheetId="42" hidden="1">{"'Sheet1'!$L$16"}</definedName>
    <definedName name="_________a1" localSheetId="50" hidden="1">{"'Sheet1'!$L$16"}</definedName>
    <definedName name="_________a1" localSheetId="46" hidden="1">{"'Sheet1'!$L$16"}</definedName>
    <definedName name="_________a1" hidden="1">{"'Sheet1'!$L$16"}</definedName>
    <definedName name="_________a10" localSheetId="13" hidden="1">{"'Sheet1'!$L$16"}</definedName>
    <definedName name="_________a10" localSheetId="50" hidden="1">{"'Sheet1'!$L$16"}</definedName>
    <definedName name="_________a10" hidden="1">{"'Sheet1'!$L$16"}</definedName>
    <definedName name="_________a11" localSheetId="13" hidden="1">{"'Sheet1'!$L$16"}</definedName>
    <definedName name="_________a11" localSheetId="50" hidden="1">{"'Sheet1'!$L$16"}</definedName>
    <definedName name="_________a11" hidden="1">{"'Sheet1'!$L$16"}</definedName>
    <definedName name="_________a12" localSheetId="13" hidden="1">{"'Sheet1'!$L$16"}</definedName>
    <definedName name="_________a12" localSheetId="50" hidden="1">{"'Sheet1'!$L$16"}</definedName>
    <definedName name="_________a12" hidden="1">{"'Sheet1'!$L$16"}</definedName>
    <definedName name="_________a13" localSheetId="13" hidden="1">{"'Sheet1'!$L$16"}</definedName>
    <definedName name="_________a13" localSheetId="50" hidden="1">{"'Sheet1'!$L$16"}</definedName>
    <definedName name="_________a13" hidden="1">{"'Sheet1'!$L$16"}</definedName>
    <definedName name="_________a14" localSheetId="13" hidden="1">{"'Sheet1'!$L$16"}</definedName>
    <definedName name="_________a14" localSheetId="50" hidden="1">{"'Sheet1'!$L$16"}</definedName>
    <definedName name="_________a14" hidden="1">{"'Sheet1'!$L$16"}</definedName>
    <definedName name="_________a18" localSheetId="13" hidden="1">{"'Sheet1'!$L$16"}</definedName>
    <definedName name="_________a18" localSheetId="50" hidden="1">{"'Sheet1'!$L$16"}</definedName>
    <definedName name="_________a18" hidden="1">{"'Sheet1'!$L$16"}</definedName>
    <definedName name="_________a2" localSheetId="13" hidden="1">{"'Sheet1'!$L$16"}</definedName>
    <definedName name="_________a2" localSheetId="50" hidden="1">{"'Sheet1'!$L$16"}</definedName>
    <definedName name="_________a2" hidden="1">{"'Sheet1'!$L$16"}</definedName>
    <definedName name="_________a20" localSheetId="13" hidden="1">{"'Sheet1'!$L$16"}</definedName>
    <definedName name="_________a20" localSheetId="50" hidden="1">{"'Sheet1'!$L$16"}</definedName>
    <definedName name="_________a20" hidden="1">{"'Sheet1'!$L$16"}</definedName>
    <definedName name="_________a3" localSheetId="13" hidden="1">{"'Sheet1'!$L$16"}</definedName>
    <definedName name="_________a3" localSheetId="50" hidden="1">{"'Sheet1'!$L$16"}</definedName>
    <definedName name="_________a3" hidden="1">{"'Sheet1'!$L$16"}</definedName>
    <definedName name="_________a4" localSheetId="13" hidden="1">{"'Sheet1'!$L$16"}</definedName>
    <definedName name="_________a4" localSheetId="50" hidden="1">{"'Sheet1'!$L$16"}</definedName>
    <definedName name="_________a4" hidden="1">{"'Sheet1'!$L$16"}</definedName>
    <definedName name="_________a5" localSheetId="13" hidden="1">{"'Sheet1'!$L$16"}</definedName>
    <definedName name="_________a5" localSheetId="50" hidden="1">{"'Sheet1'!$L$16"}</definedName>
    <definedName name="_________a5" hidden="1">{"'Sheet1'!$L$16"}</definedName>
    <definedName name="_________a7" localSheetId="13" hidden="1">{"'Sheet1'!$L$16"}</definedName>
    <definedName name="_________a7" localSheetId="50" hidden="1">{"'Sheet1'!$L$16"}</definedName>
    <definedName name="_________a7" hidden="1">{"'Sheet1'!$L$16"}</definedName>
    <definedName name="_________a8" localSheetId="13" hidden="1">{"'Sheet1'!$L$16"}</definedName>
    <definedName name="_________a8" localSheetId="50" hidden="1">{"'Sheet1'!$L$16"}</definedName>
    <definedName name="_________a8" hidden="1">{"'Sheet1'!$L$16"}</definedName>
    <definedName name="_________a9" localSheetId="13" hidden="1">{"'Sheet1'!$L$16"}</definedName>
    <definedName name="_________a9" localSheetId="50" hidden="1">{"'Sheet1'!$L$16"}</definedName>
    <definedName name="_________a9" hidden="1">{"'Sheet1'!$L$16"}</definedName>
    <definedName name="_________f5" localSheetId="41" hidden="1">{"'Sheet1'!$L$16"}</definedName>
    <definedName name="_________f5" localSheetId="42" hidden="1">{"'Sheet1'!$L$16"}</definedName>
    <definedName name="_________f5" localSheetId="50" hidden="1">{"'Sheet1'!$L$16"}</definedName>
    <definedName name="_________f5" localSheetId="46" hidden="1">{"'Sheet1'!$L$16"}</definedName>
    <definedName name="_________f5" hidden="1">{"'Sheet1'!$L$16"}</definedName>
    <definedName name="_________hu14" localSheetId="13" hidden="1">{"'Sheet1'!$L$16"}</definedName>
    <definedName name="_________hu14" localSheetId="50" hidden="1">{"'Sheet1'!$L$16"}</definedName>
    <definedName name="_________hu14" hidden="1">{"'Sheet1'!$L$16"}</definedName>
    <definedName name="_________NSO2" localSheetId="41" hidden="1">{"'Sheet1'!$L$16"}</definedName>
    <definedName name="_________NSO2" localSheetId="42" hidden="1">{"'Sheet1'!$L$16"}</definedName>
    <definedName name="_________NSO2" localSheetId="50" hidden="1">{"'Sheet1'!$L$16"}</definedName>
    <definedName name="_________NSO2" localSheetId="46" hidden="1">{"'Sheet1'!$L$16"}</definedName>
    <definedName name="_________NSO2" hidden="1">{"'Sheet1'!$L$16"}</definedName>
    <definedName name="_________v11" localSheetId="13" hidden="1">{"'Sheet1'!$L$16"}</definedName>
    <definedName name="_________v11" localSheetId="50" hidden="1">{"'Sheet1'!$L$16"}</definedName>
    <definedName name="_________v11" hidden="1">{"'Sheet1'!$L$16"}</definedName>
    <definedName name="________a1" localSheetId="41" hidden="1">{"'Sheet1'!$L$16"}</definedName>
    <definedName name="________a1" localSheetId="42" hidden="1">{"'Sheet1'!$L$16"}</definedName>
    <definedName name="________a1" localSheetId="50" hidden="1">{"'Sheet1'!$L$16"}</definedName>
    <definedName name="________a1" localSheetId="46" hidden="1">{"'Sheet1'!$L$16"}</definedName>
    <definedName name="________a1" hidden="1">{"'Sheet1'!$L$16"}</definedName>
    <definedName name="________a10" localSheetId="13" hidden="1">{"'Sheet1'!$L$16"}</definedName>
    <definedName name="________a10" localSheetId="50" hidden="1">{"'Sheet1'!$L$16"}</definedName>
    <definedName name="________a10" hidden="1">{"'Sheet1'!$L$16"}</definedName>
    <definedName name="________a11" localSheetId="13" hidden="1">{"'Sheet1'!$L$16"}</definedName>
    <definedName name="________a11" localSheetId="50" hidden="1">{"'Sheet1'!$L$16"}</definedName>
    <definedName name="________a11" hidden="1">{"'Sheet1'!$L$16"}</definedName>
    <definedName name="________a12" localSheetId="13" hidden="1">{"'Sheet1'!$L$16"}</definedName>
    <definedName name="________a12" localSheetId="50" hidden="1">{"'Sheet1'!$L$16"}</definedName>
    <definedName name="________a12" hidden="1">{"'Sheet1'!$L$16"}</definedName>
    <definedName name="________a13" localSheetId="13" hidden="1">{"'Sheet1'!$L$16"}</definedName>
    <definedName name="________a13" localSheetId="50" hidden="1">{"'Sheet1'!$L$16"}</definedName>
    <definedName name="________a13" hidden="1">{"'Sheet1'!$L$16"}</definedName>
    <definedName name="________a14" localSheetId="13" hidden="1">{"'Sheet1'!$L$16"}</definedName>
    <definedName name="________a14" localSheetId="50" hidden="1">{"'Sheet1'!$L$16"}</definedName>
    <definedName name="________a14" hidden="1">{"'Sheet1'!$L$16"}</definedName>
    <definedName name="________a18" localSheetId="13" hidden="1">{"'Sheet1'!$L$16"}</definedName>
    <definedName name="________a18" localSheetId="50" hidden="1">{"'Sheet1'!$L$16"}</definedName>
    <definedName name="________a18" hidden="1">{"'Sheet1'!$L$16"}</definedName>
    <definedName name="________a2" localSheetId="13" hidden="1">{"'Sheet1'!$L$16"}</definedName>
    <definedName name="________a2" localSheetId="50" hidden="1">{"'Sheet1'!$L$16"}</definedName>
    <definedName name="________a2" hidden="1">{"'Sheet1'!$L$16"}</definedName>
    <definedName name="________a20" localSheetId="13" hidden="1">{"'Sheet1'!$L$16"}</definedName>
    <definedName name="________a20" localSheetId="50" hidden="1">{"'Sheet1'!$L$16"}</definedName>
    <definedName name="________a20" hidden="1">{"'Sheet1'!$L$16"}</definedName>
    <definedName name="________a3" localSheetId="13" hidden="1">{"'Sheet1'!$L$16"}</definedName>
    <definedName name="________a3" localSheetId="50" hidden="1">{"'Sheet1'!$L$16"}</definedName>
    <definedName name="________a3" hidden="1">{"'Sheet1'!$L$16"}</definedName>
    <definedName name="________a4" localSheetId="13" hidden="1">{"'Sheet1'!$L$16"}</definedName>
    <definedName name="________a4" localSheetId="50" hidden="1">{"'Sheet1'!$L$16"}</definedName>
    <definedName name="________a4" hidden="1">{"'Sheet1'!$L$16"}</definedName>
    <definedName name="________a5" localSheetId="13" hidden="1">{"'Sheet1'!$L$16"}</definedName>
    <definedName name="________a5" localSheetId="50" hidden="1">{"'Sheet1'!$L$16"}</definedName>
    <definedName name="________a5" hidden="1">{"'Sheet1'!$L$16"}</definedName>
    <definedName name="________a7" localSheetId="13" hidden="1">{"'Sheet1'!$L$16"}</definedName>
    <definedName name="________a7" localSheetId="50" hidden="1">{"'Sheet1'!$L$16"}</definedName>
    <definedName name="________a7" hidden="1">{"'Sheet1'!$L$16"}</definedName>
    <definedName name="________a8" localSheetId="13" hidden="1">{"'Sheet1'!$L$16"}</definedName>
    <definedName name="________a8" localSheetId="50" hidden="1">{"'Sheet1'!$L$16"}</definedName>
    <definedName name="________a8" hidden="1">{"'Sheet1'!$L$16"}</definedName>
    <definedName name="________a9" localSheetId="13" hidden="1">{"'Sheet1'!$L$16"}</definedName>
    <definedName name="________a9" localSheetId="50" hidden="1">{"'Sheet1'!$L$16"}</definedName>
    <definedName name="________a9" hidden="1">{"'Sheet1'!$L$16"}</definedName>
    <definedName name="________f5" localSheetId="41" hidden="1">{"'Sheet1'!$L$16"}</definedName>
    <definedName name="________f5" localSheetId="42" hidden="1">{"'Sheet1'!$L$16"}</definedName>
    <definedName name="________f5" localSheetId="50" hidden="1">{"'Sheet1'!$L$16"}</definedName>
    <definedName name="________f5" localSheetId="46" hidden="1">{"'Sheet1'!$L$16"}</definedName>
    <definedName name="________f5" hidden="1">{"'Sheet1'!$L$16"}</definedName>
    <definedName name="________hu14" localSheetId="13" hidden="1">{"'Sheet1'!$L$16"}</definedName>
    <definedName name="________hu14" localSheetId="50" hidden="1">{"'Sheet1'!$L$16"}</definedName>
    <definedName name="________hu14" hidden="1">{"'Sheet1'!$L$16"}</definedName>
    <definedName name="________m4" localSheetId="41" hidden="1">{"'Sheet1'!$L$16"}</definedName>
    <definedName name="________m4" localSheetId="42" hidden="1">{"'Sheet1'!$L$16"}</definedName>
    <definedName name="________m4" localSheetId="50" hidden="1">{"'Sheet1'!$L$16"}</definedName>
    <definedName name="________m4" localSheetId="46" hidden="1">{"'Sheet1'!$L$16"}</definedName>
    <definedName name="________m4" hidden="1">{"'Sheet1'!$L$16"}</definedName>
    <definedName name="________NSO2" localSheetId="41" hidden="1">{"'Sheet1'!$L$16"}</definedName>
    <definedName name="________NSO2" localSheetId="42" hidden="1">{"'Sheet1'!$L$16"}</definedName>
    <definedName name="________NSO2" localSheetId="50" hidden="1">{"'Sheet1'!$L$16"}</definedName>
    <definedName name="________NSO2" localSheetId="46" hidden="1">{"'Sheet1'!$L$16"}</definedName>
    <definedName name="________NSO2" hidden="1">{"'Sheet1'!$L$16"}</definedName>
    <definedName name="________v11" localSheetId="13" hidden="1">{"'Sheet1'!$L$16"}</definedName>
    <definedName name="________v11" localSheetId="50" hidden="1">{"'Sheet1'!$L$16"}</definedName>
    <definedName name="________v11" hidden="1">{"'Sheet1'!$L$16"}</definedName>
    <definedName name="_______a1" localSheetId="41" hidden="1">{"'Sheet1'!$L$16"}</definedName>
    <definedName name="_______a1" localSheetId="42" hidden="1">{"'Sheet1'!$L$16"}</definedName>
    <definedName name="_______a1" localSheetId="13" hidden="1">{"'Sheet1'!$L$16"}</definedName>
    <definedName name="_______a1" localSheetId="50" hidden="1">{"'Sheet1'!$L$16"}</definedName>
    <definedName name="_______a1" localSheetId="46" hidden="1">{"'Sheet1'!$L$16"}</definedName>
    <definedName name="_______a1" hidden="1">{"'Sheet1'!$L$16"}</definedName>
    <definedName name="_______a10" localSheetId="41" hidden="1">{"'Sheet1'!$L$16"}</definedName>
    <definedName name="_______a10" localSheetId="42" hidden="1">{"'Sheet1'!$L$16"}</definedName>
    <definedName name="_______a10" localSheetId="13" hidden="1">{"'Sheet1'!$L$16"}</definedName>
    <definedName name="_______a10" localSheetId="50" hidden="1">{"'Sheet1'!$L$16"}</definedName>
    <definedName name="_______a10" localSheetId="46" hidden="1">{"'Sheet1'!$L$16"}</definedName>
    <definedName name="_______a10" hidden="1">{"'Sheet1'!$L$16"}</definedName>
    <definedName name="_______a11" localSheetId="41" hidden="1">{"'Sheet1'!$L$16"}</definedName>
    <definedName name="_______a11" localSheetId="42" hidden="1">{"'Sheet1'!$L$16"}</definedName>
    <definedName name="_______a11" localSheetId="13" hidden="1">{"'Sheet1'!$L$16"}</definedName>
    <definedName name="_______a11" localSheetId="50" hidden="1">{"'Sheet1'!$L$16"}</definedName>
    <definedName name="_______a11" localSheetId="46" hidden="1">{"'Sheet1'!$L$16"}</definedName>
    <definedName name="_______a11" hidden="1">{"'Sheet1'!$L$16"}</definedName>
    <definedName name="_______a12" localSheetId="41" hidden="1">{"'Sheet1'!$L$16"}</definedName>
    <definedName name="_______a12" localSheetId="42" hidden="1">{"'Sheet1'!$L$16"}</definedName>
    <definedName name="_______a12" localSheetId="13" hidden="1">{"'Sheet1'!$L$16"}</definedName>
    <definedName name="_______a12" localSheetId="50" hidden="1">{"'Sheet1'!$L$16"}</definedName>
    <definedName name="_______a12" localSheetId="46" hidden="1">{"'Sheet1'!$L$16"}</definedName>
    <definedName name="_______a12" hidden="1">{"'Sheet1'!$L$16"}</definedName>
    <definedName name="_______a13" localSheetId="13" hidden="1">{"'Sheet1'!$L$16"}</definedName>
    <definedName name="_______a13" localSheetId="50" hidden="1">{"'Sheet1'!$L$16"}</definedName>
    <definedName name="_______a13" hidden="1">{"'Sheet1'!$L$16"}</definedName>
    <definedName name="_______a14" localSheetId="13" hidden="1">{"'Sheet1'!$L$16"}</definedName>
    <definedName name="_______a14" localSheetId="50" hidden="1">{"'Sheet1'!$L$16"}</definedName>
    <definedName name="_______a14" hidden="1">{"'Sheet1'!$L$16"}</definedName>
    <definedName name="_______a18" localSheetId="13" hidden="1">{"'Sheet1'!$L$16"}</definedName>
    <definedName name="_______a18" localSheetId="50" hidden="1">{"'Sheet1'!$L$16"}</definedName>
    <definedName name="_______a18" hidden="1">{"'Sheet1'!$L$16"}</definedName>
    <definedName name="_______a2" localSheetId="41" hidden="1">{"'Sheet1'!$L$16"}</definedName>
    <definedName name="_______a2" localSheetId="42" hidden="1">{"'Sheet1'!$L$16"}</definedName>
    <definedName name="_______a2" localSheetId="13" hidden="1">{"'Sheet1'!$L$16"}</definedName>
    <definedName name="_______a2" localSheetId="50" hidden="1">{"'Sheet1'!$L$16"}</definedName>
    <definedName name="_______a2" localSheetId="46" hidden="1">{"'Sheet1'!$L$16"}</definedName>
    <definedName name="_______a2" hidden="1">{"'Sheet1'!$L$16"}</definedName>
    <definedName name="_______a20" localSheetId="13" hidden="1">{"'Sheet1'!$L$16"}</definedName>
    <definedName name="_______a20" localSheetId="50" hidden="1">{"'Sheet1'!$L$16"}</definedName>
    <definedName name="_______a20" hidden="1">{"'Sheet1'!$L$16"}</definedName>
    <definedName name="_______a3" localSheetId="41" hidden="1">{"'Sheet1'!$L$16"}</definedName>
    <definedName name="_______a3" localSheetId="42" hidden="1">{"'Sheet1'!$L$16"}</definedName>
    <definedName name="_______a3" localSheetId="13" hidden="1">{"'Sheet1'!$L$16"}</definedName>
    <definedName name="_______a3" localSheetId="50" hidden="1">{"'Sheet1'!$L$16"}</definedName>
    <definedName name="_______a3" localSheetId="46" hidden="1">{"'Sheet1'!$L$16"}</definedName>
    <definedName name="_______a3" hidden="1">{"'Sheet1'!$L$16"}</definedName>
    <definedName name="_______a4" localSheetId="41" hidden="1">{"'Sheet1'!$L$16"}</definedName>
    <definedName name="_______a4" localSheetId="42" hidden="1">{"'Sheet1'!$L$16"}</definedName>
    <definedName name="_______a4" localSheetId="13" hidden="1">{"'Sheet1'!$L$16"}</definedName>
    <definedName name="_______a4" localSheetId="50" hidden="1">{"'Sheet1'!$L$16"}</definedName>
    <definedName name="_______a4" localSheetId="46" hidden="1">{"'Sheet1'!$L$16"}</definedName>
    <definedName name="_______a4" hidden="1">{"'Sheet1'!$L$16"}</definedName>
    <definedName name="_______a5" localSheetId="41" hidden="1">{"'Sheet1'!$L$16"}</definedName>
    <definedName name="_______a5" localSheetId="42" hidden="1">{"'Sheet1'!$L$16"}</definedName>
    <definedName name="_______a5" localSheetId="13" hidden="1">{"'Sheet1'!$L$16"}</definedName>
    <definedName name="_______a5" localSheetId="50" hidden="1">{"'Sheet1'!$L$16"}</definedName>
    <definedName name="_______a5" localSheetId="46" hidden="1">{"'Sheet1'!$L$16"}</definedName>
    <definedName name="_______a5" hidden="1">{"'Sheet1'!$L$16"}</definedName>
    <definedName name="_______a7" localSheetId="41" hidden="1">{"'Sheet1'!$L$16"}</definedName>
    <definedName name="_______a7" localSheetId="42" hidden="1">{"'Sheet1'!$L$16"}</definedName>
    <definedName name="_______a7" localSheetId="13" hidden="1">{"'Sheet1'!$L$16"}</definedName>
    <definedName name="_______a7" localSheetId="50" hidden="1">{"'Sheet1'!$L$16"}</definedName>
    <definedName name="_______a7" localSheetId="46" hidden="1">{"'Sheet1'!$L$16"}</definedName>
    <definedName name="_______a7" hidden="1">{"'Sheet1'!$L$16"}</definedName>
    <definedName name="_______a8" localSheetId="41" hidden="1">{"'Sheet1'!$L$16"}</definedName>
    <definedName name="_______a8" localSheetId="42" hidden="1">{"'Sheet1'!$L$16"}</definedName>
    <definedName name="_______a8" localSheetId="13" hidden="1">{"'Sheet1'!$L$16"}</definedName>
    <definedName name="_______a8" localSheetId="50" hidden="1">{"'Sheet1'!$L$16"}</definedName>
    <definedName name="_______a8" localSheetId="46" hidden="1">{"'Sheet1'!$L$16"}</definedName>
    <definedName name="_______a8" hidden="1">{"'Sheet1'!$L$16"}</definedName>
    <definedName name="_______a9" localSheetId="41" hidden="1">{"'Sheet1'!$L$16"}</definedName>
    <definedName name="_______a9" localSheetId="42" hidden="1">{"'Sheet1'!$L$16"}</definedName>
    <definedName name="_______a9" localSheetId="13" hidden="1">{"'Sheet1'!$L$16"}</definedName>
    <definedName name="_______a9" localSheetId="50" hidden="1">{"'Sheet1'!$L$16"}</definedName>
    <definedName name="_______a9" localSheetId="46" hidden="1">{"'Sheet1'!$L$16"}</definedName>
    <definedName name="_______a9" hidden="1">{"'Sheet1'!$L$16"}</definedName>
    <definedName name="_______f5" localSheetId="41" hidden="1">{"'Sheet1'!$L$16"}</definedName>
    <definedName name="_______f5" localSheetId="42" hidden="1">{"'Sheet1'!$L$16"}</definedName>
    <definedName name="_______f5" localSheetId="13" hidden="1">{"'Sheet1'!$L$16"}</definedName>
    <definedName name="_______f5" localSheetId="50" hidden="1">{"'Sheet1'!$L$16"}</definedName>
    <definedName name="_______f5" localSheetId="46" hidden="1">{"'Sheet1'!$L$16"}</definedName>
    <definedName name="_______f5" hidden="1">{"'Sheet1'!$L$16"}</definedName>
    <definedName name="_______hu14" localSheetId="13" hidden="1">{"'Sheet1'!$L$16"}</definedName>
    <definedName name="_______hu14" localSheetId="50" hidden="1">{"'Sheet1'!$L$16"}</definedName>
    <definedName name="_______hu14" hidden="1">{"'Sheet1'!$L$16"}</definedName>
    <definedName name="_______m4" localSheetId="41" hidden="1">{"'Sheet1'!$L$16"}</definedName>
    <definedName name="_______m4" localSheetId="42" hidden="1">{"'Sheet1'!$L$16"}</definedName>
    <definedName name="_______m4" localSheetId="50" hidden="1">{"'Sheet1'!$L$16"}</definedName>
    <definedName name="_______m4" localSheetId="46" hidden="1">{"'Sheet1'!$L$16"}</definedName>
    <definedName name="_______m4" hidden="1">{"'Sheet1'!$L$16"}</definedName>
    <definedName name="_______PA3" localSheetId="13" hidden="1">{"'Sheet1'!$L$16"}</definedName>
    <definedName name="_______PA3" localSheetId="50" hidden="1">{"'Sheet1'!$L$16"}</definedName>
    <definedName name="_______PA3" hidden="1">{"'Sheet1'!$L$16"}</definedName>
    <definedName name="_______T01" hidden="1">#REF!</definedName>
    <definedName name="_______T1" localSheetId="41" hidden="1">{"'Sheet1'!$L$16"}</definedName>
    <definedName name="_______T1" localSheetId="42" hidden="1">{"'Sheet1'!$L$16"}</definedName>
    <definedName name="_______T1" localSheetId="13" hidden="1">{"'Sheet1'!$L$16"}</definedName>
    <definedName name="_______T1" localSheetId="50" hidden="1">{"'Sheet1'!$L$16"}</definedName>
    <definedName name="_______T1" localSheetId="46" hidden="1">{"'Sheet1'!$L$16"}</definedName>
    <definedName name="_______T1" hidden="1">{"'Sheet1'!$L$16"}</definedName>
    <definedName name="_______v11" localSheetId="13" hidden="1">{"'Sheet1'!$L$16"}</definedName>
    <definedName name="_______v11" localSheetId="50" hidden="1">{"'Sheet1'!$L$16"}</definedName>
    <definedName name="_______v11" hidden="1">{"'Sheet1'!$L$16"}</definedName>
    <definedName name="______a1" localSheetId="41" hidden="1">{"'Sheet1'!$L$16"}</definedName>
    <definedName name="______a1" localSheetId="42" hidden="1">{"'Sheet1'!$L$16"}</definedName>
    <definedName name="______a1" localSheetId="13" hidden="1">{"'Sheet1'!$L$16"}</definedName>
    <definedName name="______a1" localSheetId="50" hidden="1">{"'Sheet1'!$L$16"}</definedName>
    <definedName name="______a1" localSheetId="46" hidden="1">{"'Sheet1'!$L$16"}</definedName>
    <definedName name="______a1" hidden="1">{"'Sheet1'!$L$16"}</definedName>
    <definedName name="______a10" localSheetId="41" hidden="1">{"'Sheet1'!$L$16"}</definedName>
    <definedName name="______a10" localSheetId="42" hidden="1">{"'Sheet1'!$L$16"}</definedName>
    <definedName name="______a10" localSheetId="13" hidden="1">{"'Sheet1'!$L$16"}</definedName>
    <definedName name="______a10" localSheetId="50" hidden="1">{"'Sheet1'!$L$16"}</definedName>
    <definedName name="______a10" localSheetId="46" hidden="1">{"'Sheet1'!$L$16"}</definedName>
    <definedName name="______a10" hidden="1">{"'Sheet1'!$L$16"}</definedName>
    <definedName name="______a11" localSheetId="41" hidden="1">{"'Sheet1'!$L$16"}</definedName>
    <definedName name="______a11" localSheetId="42" hidden="1">{"'Sheet1'!$L$16"}</definedName>
    <definedName name="______a11" localSheetId="13" hidden="1">{"'Sheet1'!$L$16"}</definedName>
    <definedName name="______a11" localSheetId="50" hidden="1">{"'Sheet1'!$L$16"}</definedName>
    <definedName name="______a11" localSheetId="46" hidden="1">{"'Sheet1'!$L$16"}</definedName>
    <definedName name="______a11" hidden="1">{"'Sheet1'!$L$16"}</definedName>
    <definedName name="______a12" localSheetId="41" hidden="1">{"'Sheet1'!$L$16"}</definedName>
    <definedName name="______a12" localSheetId="42" hidden="1">{"'Sheet1'!$L$16"}</definedName>
    <definedName name="______a12" localSheetId="13" hidden="1">{"'Sheet1'!$L$16"}</definedName>
    <definedName name="______a12" localSheetId="50" hidden="1">{"'Sheet1'!$L$16"}</definedName>
    <definedName name="______a12" localSheetId="46" hidden="1">{"'Sheet1'!$L$16"}</definedName>
    <definedName name="______a12" hidden="1">{"'Sheet1'!$L$16"}</definedName>
    <definedName name="______a129" localSheetId="42" hidden="1">{"Offgrid",#N/A,FALSE,"OFFGRID";"Region",#N/A,FALSE,"REGION";"Offgrid -2",#N/A,FALSE,"OFFGRID";"WTP",#N/A,FALSE,"WTP";"WTP -2",#N/A,FALSE,"WTP";"Project",#N/A,FALSE,"PROJECT";"Summary -2",#N/A,FALSE,"SUMMARY"}</definedName>
    <definedName name="______a129" hidden="1">{"Offgrid",#N/A,FALSE,"OFFGRID";"Region",#N/A,FALSE,"REGION";"Offgrid -2",#N/A,FALSE,"OFFGRID";"WTP",#N/A,FALSE,"WTP";"WTP -2",#N/A,FALSE,"WTP";"Project",#N/A,FALSE,"PROJECT";"Summary -2",#N/A,FALSE,"SUMMARY"}</definedName>
    <definedName name="______a13" localSheetId="13" hidden="1">{"'Sheet1'!$L$16"}</definedName>
    <definedName name="______a13" localSheetId="50" hidden="1">{"'Sheet1'!$L$16"}</definedName>
    <definedName name="______a13" hidden="1">{"'Sheet1'!$L$16"}</definedName>
    <definedName name="______a130" localSheetId="42" hidden="1">{"Offgrid",#N/A,FALSE,"OFFGRID";"Region",#N/A,FALSE,"REGION";"Offgrid -2",#N/A,FALSE,"OFFGRID";"WTP",#N/A,FALSE,"WTP";"WTP -2",#N/A,FALSE,"WTP";"Project",#N/A,FALSE,"PROJECT";"Summary -2",#N/A,FALSE,"SUMMARY"}</definedName>
    <definedName name="______a130" hidden="1">{"Offgrid",#N/A,FALSE,"OFFGRID";"Region",#N/A,FALSE,"REGION";"Offgrid -2",#N/A,FALSE,"OFFGRID";"WTP",#N/A,FALSE,"WTP";"WTP -2",#N/A,FALSE,"WTP";"Project",#N/A,FALSE,"PROJECT";"Summary -2",#N/A,FALSE,"SUMMARY"}</definedName>
    <definedName name="______a14" localSheetId="13" hidden="1">{"'Sheet1'!$L$16"}</definedName>
    <definedName name="______a14" localSheetId="50" hidden="1">{"'Sheet1'!$L$16"}</definedName>
    <definedName name="______a14" hidden="1">{"'Sheet1'!$L$16"}</definedName>
    <definedName name="______a18" localSheetId="13" hidden="1">{"'Sheet1'!$L$16"}</definedName>
    <definedName name="______a18" localSheetId="50" hidden="1">{"'Sheet1'!$L$16"}</definedName>
    <definedName name="______a18" hidden="1">{"'Sheet1'!$L$16"}</definedName>
    <definedName name="______a2" localSheetId="41" hidden="1">{"'Sheet1'!$L$16"}</definedName>
    <definedName name="______a2" localSheetId="42" hidden="1">{"'Sheet1'!$L$16"}</definedName>
    <definedName name="______a2" localSheetId="13" hidden="1">{"'Sheet1'!$L$16"}</definedName>
    <definedName name="______a2" localSheetId="50" hidden="1">{"'Sheet1'!$L$16"}</definedName>
    <definedName name="______a2" localSheetId="46" hidden="1">{"'Sheet1'!$L$16"}</definedName>
    <definedName name="______a2" hidden="1">{"'Sheet1'!$L$16"}</definedName>
    <definedName name="______a20" localSheetId="13" hidden="1">{"'Sheet1'!$L$16"}</definedName>
    <definedName name="______a20" localSheetId="50" hidden="1">{"'Sheet1'!$L$16"}</definedName>
    <definedName name="______a20" hidden="1">{"'Sheet1'!$L$16"}</definedName>
    <definedName name="______a3" localSheetId="41" hidden="1">{"'Sheet1'!$L$16"}</definedName>
    <definedName name="______a3" localSheetId="42" hidden="1">{"'Sheet1'!$L$16"}</definedName>
    <definedName name="______a3" localSheetId="13" hidden="1">{"'Sheet1'!$L$16"}</definedName>
    <definedName name="______a3" localSheetId="50" hidden="1">{"'Sheet1'!$L$16"}</definedName>
    <definedName name="______a3" localSheetId="46" hidden="1">{"'Sheet1'!$L$16"}</definedName>
    <definedName name="______a3" hidden="1">{"'Sheet1'!$L$16"}</definedName>
    <definedName name="______a4" localSheetId="41" hidden="1">{"'Sheet1'!$L$16"}</definedName>
    <definedName name="______a4" localSheetId="42" hidden="1">{"'Sheet1'!$L$16"}</definedName>
    <definedName name="______a4" localSheetId="13" hidden="1">{"'Sheet1'!$L$16"}</definedName>
    <definedName name="______a4" localSheetId="50" hidden="1">{"'Sheet1'!$L$16"}</definedName>
    <definedName name="______a4" localSheetId="46" hidden="1">{"'Sheet1'!$L$16"}</definedName>
    <definedName name="______a4" hidden="1">{"'Sheet1'!$L$16"}</definedName>
    <definedName name="______a5" localSheetId="41" hidden="1">{"'Sheet1'!$L$16"}</definedName>
    <definedName name="______a5" localSheetId="42" hidden="1">{"'Sheet1'!$L$16"}</definedName>
    <definedName name="______a5" localSheetId="13" hidden="1">{"'Sheet1'!$L$16"}</definedName>
    <definedName name="______a5" localSheetId="50" hidden="1">{"'Sheet1'!$L$16"}</definedName>
    <definedName name="______a5" localSheetId="46" hidden="1">{"'Sheet1'!$L$16"}</definedName>
    <definedName name="______a5" hidden="1">{"'Sheet1'!$L$16"}</definedName>
    <definedName name="______a7" localSheetId="41" hidden="1">{"'Sheet1'!$L$16"}</definedName>
    <definedName name="______a7" localSheetId="42" hidden="1">{"'Sheet1'!$L$16"}</definedName>
    <definedName name="______a7" localSheetId="13" hidden="1">{"'Sheet1'!$L$16"}</definedName>
    <definedName name="______a7" localSheetId="50" hidden="1">{"'Sheet1'!$L$16"}</definedName>
    <definedName name="______a7" localSheetId="46" hidden="1">{"'Sheet1'!$L$16"}</definedName>
    <definedName name="______a7" hidden="1">{"'Sheet1'!$L$16"}</definedName>
    <definedName name="______a8" localSheetId="41" hidden="1">{"'Sheet1'!$L$16"}</definedName>
    <definedName name="______a8" localSheetId="42" hidden="1">{"'Sheet1'!$L$16"}</definedName>
    <definedName name="______a8" localSheetId="13" hidden="1">{"'Sheet1'!$L$16"}</definedName>
    <definedName name="______a8" localSheetId="50" hidden="1">{"'Sheet1'!$L$16"}</definedName>
    <definedName name="______a8" localSheetId="46" hidden="1">{"'Sheet1'!$L$16"}</definedName>
    <definedName name="______a8" hidden="1">{"'Sheet1'!$L$16"}</definedName>
    <definedName name="______a9" localSheetId="41" hidden="1">{"'Sheet1'!$L$16"}</definedName>
    <definedName name="______a9" localSheetId="42" hidden="1">{"'Sheet1'!$L$16"}</definedName>
    <definedName name="______a9" localSheetId="13" hidden="1">{"'Sheet1'!$L$16"}</definedName>
    <definedName name="______a9" localSheetId="50" hidden="1">{"'Sheet1'!$L$16"}</definedName>
    <definedName name="______a9" localSheetId="46" hidden="1">{"'Sheet1'!$L$16"}</definedName>
    <definedName name="______a9" hidden="1">{"'Sheet1'!$L$16"}</definedName>
    <definedName name="______CD2" localSheetId="41" hidden="1">{"'Sheet1'!$L$16"}</definedName>
    <definedName name="______CD2" localSheetId="42" hidden="1">{"'Sheet1'!$L$16"}</definedName>
    <definedName name="______CD2" localSheetId="50" hidden="1">{"'Sheet1'!$L$16"}</definedName>
    <definedName name="______CD2" localSheetId="46" hidden="1">{"'Sheet1'!$L$16"}</definedName>
    <definedName name="______CD2" hidden="1">{"'Sheet1'!$L$16"}</definedName>
    <definedName name="______f5" localSheetId="41" hidden="1">{"'Sheet1'!$L$16"}</definedName>
    <definedName name="______f5" localSheetId="42" hidden="1">{"'Sheet1'!$L$16"}</definedName>
    <definedName name="______f5" localSheetId="13" hidden="1">{"'Sheet1'!$L$16"}</definedName>
    <definedName name="______f5" localSheetId="50" hidden="1">{"'Sheet1'!$L$16"}</definedName>
    <definedName name="______f5" localSheetId="46" hidden="1">{"'Sheet1'!$L$16"}</definedName>
    <definedName name="______f5" hidden="1">{"'Sheet1'!$L$16"}</definedName>
    <definedName name="______hu14" localSheetId="13" hidden="1">{"'Sheet1'!$L$16"}</definedName>
    <definedName name="______hu14" localSheetId="50" hidden="1">{"'Sheet1'!$L$16"}</definedName>
    <definedName name="______hu14" hidden="1">{"'Sheet1'!$L$16"}</definedName>
    <definedName name="______m4" localSheetId="41" hidden="1">{"'Sheet1'!$L$16"}</definedName>
    <definedName name="______m4" localSheetId="42" hidden="1">{"'Sheet1'!$L$16"}</definedName>
    <definedName name="______m4" localSheetId="50" hidden="1">{"'Sheet1'!$L$16"}</definedName>
    <definedName name="______m4" localSheetId="46" hidden="1">{"'Sheet1'!$L$16"}</definedName>
    <definedName name="______m4" hidden="1">{"'Sheet1'!$L$16"}</definedName>
    <definedName name="______NSO2" localSheetId="41" hidden="1">{"'Sheet1'!$L$16"}</definedName>
    <definedName name="______NSO2" localSheetId="42" hidden="1">{"'Sheet1'!$L$16"}</definedName>
    <definedName name="______NSO2" localSheetId="13" hidden="1">{"'Sheet1'!$L$16"}</definedName>
    <definedName name="______NSO2" localSheetId="50" hidden="1">{"'Sheet1'!$L$16"}</definedName>
    <definedName name="______NSO2" localSheetId="46" hidden="1">{"'Sheet1'!$L$16"}</definedName>
    <definedName name="______NSO2" hidden="1">{"'Sheet1'!$L$16"}</definedName>
    <definedName name="______T01" hidden="1">#REF!</definedName>
    <definedName name="______T1" localSheetId="41" hidden="1">{"'Sheet1'!$L$16"}</definedName>
    <definedName name="______T1" localSheetId="42" hidden="1">{"'Sheet1'!$L$16"}</definedName>
    <definedName name="______T1" localSheetId="13" hidden="1">{"'Sheet1'!$L$16"}</definedName>
    <definedName name="______T1" localSheetId="50" hidden="1">{"'Sheet1'!$L$16"}</definedName>
    <definedName name="______T1" localSheetId="46" hidden="1">{"'Sheet1'!$L$16"}</definedName>
    <definedName name="______T1" hidden="1">{"'Sheet1'!$L$16"}</definedName>
    <definedName name="______v11" localSheetId="13" hidden="1">{"'Sheet1'!$L$16"}</definedName>
    <definedName name="______v11" localSheetId="50" hidden="1">{"'Sheet1'!$L$16"}</definedName>
    <definedName name="______v11" hidden="1">{"'Sheet1'!$L$16"}</definedName>
    <definedName name="_____a1" localSheetId="41" hidden="1">{"'Sheet1'!$L$16"}</definedName>
    <definedName name="_____a1" localSheetId="42" hidden="1">{"'Sheet1'!$L$16"}</definedName>
    <definedName name="_____a1" localSheetId="13" hidden="1">{"'Sheet1'!$L$16"}</definedName>
    <definedName name="_____a1" localSheetId="50" hidden="1">{"'Sheet1'!$L$16"}</definedName>
    <definedName name="_____a1" localSheetId="46" hidden="1">{"'Sheet1'!$L$16"}</definedName>
    <definedName name="_____a1" hidden="1">{"'Sheet1'!$L$16"}</definedName>
    <definedName name="_____a10" localSheetId="41" hidden="1">{"'Sheet1'!$L$16"}</definedName>
    <definedName name="_____a10" localSheetId="42" hidden="1">{"'Sheet1'!$L$16"}</definedName>
    <definedName name="_____a10" localSheetId="13" hidden="1">{"'Sheet1'!$L$16"}</definedName>
    <definedName name="_____a10" localSheetId="50" hidden="1">{"'Sheet1'!$L$16"}</definedName>
    <definedName name="_____a10" localSheetId="46" hidden="1">{"'Sheet1'!$L$16"}</definedName>
    <definedName name="_____a10" hidden="1">{"'Sheet1'!$L$16"}</definedName>
    <definedName name="_____a11" localSheetId="41" hidden="1">{"'Sheet1'!$L$16"}</definedName>
    <definedName name="_____a11" localSheetId="42" hidden="1">{"'Sheet1'!$L$16"}</definedName>
    <definedName name="_____a11" localSheetId="13" hidden="1">{"'Sheet1'!$L$16"}</definedName>
    <definedName name="_____a11" localSheetId="50" hidden="1">{"'Sheet1'!$L$16"}</definedName>
    <definedName name="_____a11" localSheetId="46" hidden="1">{"'Sheet1'!$L$16"}</definedName>
    <definedName name="_____a11" hidden="1">{"'Sheet1'!$L$16"}</definedName>
    <definedName name="_____a12" localSheetId="41" hidden="1">{"'Sheet1'!$L$16"}</definedName>
    <definedName name="_____a12" localSheetId="42" hidden="1">{"'Sheet1'!$L$16"}</definedName>
    <definedName name="_____a12" localSheetId="13" hidden="1">{"'Sheet1'!$L$16"}</definedName>
    <definedName name="_____a12" localSheetId="50" hidden="1">{"'Sheet1'!$L$16"}</definedName>
    <definedName name="_____a12" localSheetId="46" hidden="1">{"'Sheet1'!$L$16"}</definedName>
    <definedName name="_____a12" hidden="1">{"'Sheet1'!$L$16"}</definedName>
    <definedName name="_____a129" localSheetId="42" hidden="1">{"Offgrid",#N/A,FALSE,"OFFGRID";"Region",#N/A,FALSE,"REGION";"Offgrid -2",#N/A,FALSE,"OFFGRID";"WTP",#N/A,FALSE,"WTP";"WTP -2",#N/A,FALSE,"WTP";"Project",#N/A,FALSE,"PROJECT";"Summary -2",#N/A,FALSE,"SUMMARY"}</definedName>
    <definedName name="_____a129" hidden="1">{"Offgrid",#N/A,FALSE,"OFFGRID";"Region",#N/A,FALSE,"REGION";"Offgrid -2",#N/A,FALSE,"OFFGRID";"WTP",#N/A,FALSE,"WTP";"WTP -2",#N/A,FALSE,"WTP";"Project",#N/A,FALSE,"PROJECT";"Summary -2",#N/A,FALSE,"SUMMARY"}</definedName>
    <definedName name="_____a13" localSheetId="13" hidden="1">{"'Sheet1'!$L$16"}</definedName>
    <definedName name="_____a13" localSheetId="50" hidden="1">{"'Sheet1'!$L$16"}</definedName>
    <definedName name="_____a13" hidden="1">{"'Sheet1'!$L$16"}</definedName>
    <definedName name="_____a130" localSheetId="42" hidden="1">{"Offgrid",#N/A,FALSE,"OFFGRID";"Region",#N/A,FALSE,"REGION";"Offgrid -2",#N/A,FALSE,"OFFGRID";"WTP",#N/A,FALSE,"WTP";"WTP -2",#N/A,FALSE,"WTP";"Project",#N/A,FALSE,"PROJECT";"Summary -2",#N/A,FALSE,"SUMMARY"}</definedName>
    <definedName name="_____a130" hidden="1">{"Offgrid",#N/A,FALSE,"OFFGRID";"Region",#N/A,FALSE,"REGION";"Offgrid -2",#N/A,FALSE,"OFFGRID";"WTP",#N/A,FALSE,"WTP";"WTP -2",#N/A,FALSE,"WTP";"Project",#N/A,FALSE,"PROJECT";"Summary -2",#N/A,FALSE,"SUMMARY"}</definedName>
    <definedName name="_____a14" localSheetId="13" hidden="1">{"'Sheet1'!$L$16"}</definedName>
    <definedName name="_____a14" localSheetId="50" hidden="1">{"'Sheet1'!$L$16"}</definedName>
    <definedName name="_____a14" hidden="1">{"'Sheet1'!$L$16"}</definedName>
    <definedName name="_____a18" localSheetId="13" hidden="1">{"'Sheet1'!$L$16"}</definedName>
    <definedName name="_____a18" localSheetId="50" hidden="1">{"'Sheet1'!$L$16"}</definedName>
    <definedName name="_____a18" hidden="1">{"'Sheet1'!$L$16"}</definedName>
    <definedName name="_____a2" localSheetId="41" hidden="1">{"'Sheet1'!$L$16"}</definedName>
    <definedName name="_____a2" localSheetId="42" hidden="1">{"'Sheet1'!$L$16"}</definedName>
    <definedName name="_____a2" localSheetId="13" hidden="1">{"'Sheet1'!$L$16"}</definedName>
    <definedName name="_____a2" localSheetId="50" hidden="1">{"'Sheet1'!$L$16"}</definedName>
    <definedName name="_____a2" localSheetId="46" hidden="1">{"'Sheet1'!$L$16"}</definedName>
    <definedName name="_____a2" hidden="1">{"'Sheet1'!$L$16"}</definedName>
    <definedName name="_____a20" localSheetId="13" hidden="1">{"'Sheet1'!$L$16"}</definedName>
    <definedName name="_____a20" localSheetId="50" hidden="1">{"'Sheet1'!$L$16"}</definedName>
    <definedName name="_____a20" hidden="1">{"'Sheet1'!$L$16"}</definedName>
    <definedName name="_____a3" localSheetId="41" hidden="1">{"'Sheet1'!$L$16"}</definedName>
    <definedName name="_____a3" localSheetId="42" hidden="1">{"'Sheet1'!$L$16"}</definedName>
    <definedName name="_____a3" localSheetId="13" hidden="1">{"'Sheet1'!$L$16"}</definedName>
    <definedName name="_____a3" localSheetId="50" hidden="1">{"'Sheet1'!$L$16"}</definedName>
    <definedName name="_____a3" localSheetId="46" hidden="1">{"'Sheet1'!$L$16"}</definedName>
    <definedName name="_____a3" hidden="1">{"'Sheet1'!$L$16"}</definedName>
    <definedName name="_____a4" localSheetId="41" hidden="1">{"'Sheet1'!$L$16"}</definedName>
    <definedName name="_____a4" localSheetId="42" hidden="1">{"'Sheet1'!$L$16"}</definedName>
    <definedName name="_____a4" localSheetId="13" hidden="1">{"'Sheet1'!$L$16"}</definedName>
    <definedName name="_____a4" localSheetId="50" hidden="1">{"'Sheet1'!$L$16"}</definedName>
    <definedName name="_____a4" localSheetId="46" hidden="1">{"'Sheet1'!$L$16"}</definedName>
    <definedName name="_____a4" hidden="1">{"'Sheet1'!$L$16"}</definedName>
    <definedName name="_____a5" localSheetId="41" hidden="1">{"'Sheet1'!$L$16"}</definedName>
    <definedName name="_____a5" localSheetId="42" hidden="1">{"'Sheet1'!$L$16"}</definedName>
    <definedName name="_____a5" localSheetId="13" hidden="1">{"'Sheet1'!$L$16"}</definedName>
    <definedName name="_____a5" localSheetId="50" hidden="1">{"'Sheet1'!$L$16"}</definedName>
    <definedName name="_____a5" localSheetId="46" hidden="1">{"'Sheet1'!$L$16"}</definedName>
    <definedName name="_____a5" hidden="1">{"'Sheet1'!$L$16"}</definedName>
    <definedName name="_____a7" localSheetId="41" hidden="1">{"'Sheet1'!$L$16"}</definedName>
    <definedName name="_____a7" localSheetId="42" hidden="1">{"'Sheet1'!$L$16"}</definedName>
    <definedName name="_____a7" localSheetId="13" hidden="1">{"'Sheet1'!$L$16"}</definedName>
    <definedName name="_____a7" localSheetId="50" hidden="1">{"'Sheet1'!$L$16"}</definedName>
    <definedName name="_____a7" localSheetId="46" hidden="1">{"'Sheet1'!$L$16"}</definedName>
    <definedName name="_____a7" hidden="1">{"'Sheet1'!$L$16"}</definedName>
    <definedName name="_____a8" localSheetId="41" hidden="1">{"'Sheet1'!$L$16"}</definedName>
    <definedName name="_____a8" localSheetId="42" hidden="1">{"'Sheet1'!$L$16"}</definedName>
    <definedName name="_____a8" localSheetId="13" hidden="1">{"'Sheet1'!$L$16"}</definedName>
    <definedName name="_____a8" localSheetId="50" hidden="1">{"'Sheet1'!$L$16"}</definedName>
    <definedName name="_____a8" localSheetId="46" hidden="1">{"'Sheet1'!$L$16"}</definedName>
    <definedName name="_____a8" hidden="1">{"'Sheet1'!$L$16"}</definedName>
    <definedName name="_____a9" localSheetId="41" hidden="1">{"'Sheet1'!$L$16"}</definedName>
    <definedName name="_____a9" localSheetId="42" hidden="1">{"'Sheet1'!$L$16"}</definedName>
    <definedName name="_____a9" localSheetId="13" hidden="1">{"'Sheet1'!$L$16"}</definedName>
    <definedName name="_____a9" localSheetId="50" hidden="1">{"'Sheet1'!$L$16"}</definedName>
    <definedName name="_____a9" localSheetId="46" hidden="1">{"'Sheet1'!$L$16"}</definedName>
    <definedName name="_____a9" hidden="1">{"'Sheet1'!$L$16"}</definedName>
    <definedName name="_____CD2" localSheetId="41" hidden="1">{"'Sheet1'!$L$16"}</definedName>
    <definedName name="_____CD2" localSheetId="42" hidden="1">{"'Sheet1'!$L$16"}</definedName>
    <definedName name="_____CD2" localSheetId="50" hidden="1">{"'Sheet1'!$L$16"}</definedName>
    <definedName name="_____CD2" localSheetId="46" hidden="1">{"'Sheet1'!$L$16"}</definedName>
    <definedName name="_____CD2" hidden="1">{"'Sheet1'!$L$16"}</definedName>
    <definedName name="_____d1500" localSheetId="13" hidden="1">{"'Sheet1'!$L$16"}</definedName>
    <definedName name="_____d1500" localSheetId="50" hidden="1">{"'Sheet1'!$L$16"}</definedName>
    <definedName name="_____d1500" hidden="1">{"'Sheet1'!$L$16"}</definedName>
    <definedName name="_____f5" localSheetId="41" hidden="1">{"'Sheet1'!$L$16"}</definedName>
    <definedName name="_____f5" localSheetId="42" hidden="1">{"'Sheet1'!$L$16"}</definedName>
    <definedName name="_____f5" localSheetId="13" hidden="1">{"'Sheet1'!$L$16"}</definedName>
    <definedName name="_____f5" localSheetId="50" hidden="1">{"'Sheet1'!$L$16"}</definedName>
    <definedName name="_____f5" localSheetId="46" hidden="1">{"'Sheet1'!$L$16"}</definedName>
    <definedName name="_____f5" hidden="1">{"'Sheet1'!$L$16"}</definedName>
    <definedName name="_____hu14" localSheetId="13" hidden="1">{"'Sheet1'!$L$16"}</definedName>
    <definedName name="_____hu14" localSheetId="50" hidden="1">{"'Sheet1'!$L$16"}</definedName>
    <definedName name="_____hu14" hidden="1">{"'Sheet1'!$L$16"}</definedName>
    <definedName name="_____M2" localSheetId="13" hidden="1">{"'Sheet1'!$L$16"}</definedName>
    <definedName name="_____M2" localSheetId="50" hidden="1">{"'Sheet1'!$L$16"}</definedName>
    <definedName name="_____M2" hidden="1">{"'Sheet1'!$L$16"}</definedName>
    <definedName name="_____m4" localSheetId="41" hidden="1">{"'Sheet1'!$L$16"}</definedName>
    <definedName name="_____m4" localSheetId="42" hidden="1">{"'Sheet1'!$L$16"}</definedName>
    <definedName name="_____m4" localSheetId="50" hidden="1">{"'Sheet1'!$L$16"}</definedName>
    <definedName name="_____m4" localSheetId="46" hidden="1">{"'Sheet1'!$L$16"}</definedName>
    <definedName name="_____m4" hidden="1">{"'Sheet1'!$L$16"}</definedName>
    <definedName name="_____NSO2" localSheetId="41" hidden="1">{"'Sheet1'!$L$16"}</definedName>
    <definedName name="_____NSO2" localSheetId="42" hidden="1">{"'Sheet1'!$L$16"}</definedName>
    <definedName name="_____NSO2" localSheetId="13" hidden="1">{"'Sheet1'!$L$16"}</definedName>
    <definedName name="_____NSO2" localSheetId="50" hidden="1">{"'Sheet1'!$L$16"}</definedName>
    <definedName name="_____NSO2" localSheetId="46" hidden="1">{"'Sheet1'!$L$16"}</definedName>
    <definedName name="_____NSO2" hidden="1">{"'Sheet1'!$L$16"}</definedName>
    <definedName name="_____PA3" localSheetId="13" hidden="1">{"'Sheet1'!$L$16"}</definedName>
    <definedName name="_____PA3" localSheetId="50" hidden="1">{"'Sheet1'!$L$16"}</definedName>
    <definedName name="_____PA3" hidden="1">{"'Sheet1'!$L$16"}</definedName>
    <definedName name="_____T01" hidden="1">#REF!</definedName>
    <definedName name="_____T1" localSheetId="41" hidden="1">{"'Sheet1'!$L$16"}</definedName>
    <definedName name="_____T1" localSheetId="42" hidden="1">{"'Sheet1'!$L$16"}</definedName>
    <definedName name="_____T1" localSheetId="13" hidden="1">{"'Sheet1'!$L$16"}</definedName>
    <definedName name="_____T1" localSheetId="50" hidden="1">{"'Sheet1'!$L$16"}</definedName>
    <definedName name="_____T1" localSheetId="46" hidden="1">{"'Sheet1'!$L$16"}</definedName>
    <definedName name="_____T1" hidden="1">{"'Sheet1'!$L$16"}</definedName>
    <definedName name="_____v11" localSheetId="13" hidden="1">{"'Sheet1'!$L$16"}</definedName>
    <definedName name="_____v11" localSheetId="50" hidden="1">{"'Sheet1'!$L$16"}</definedName>
    <definedName name="_____v11" hidden="1">{"'Sheet1'!$L$16"}</definedName>
    <definedName name="____a1" localSheetId="41" hidden="1">{"'Sheet1'!$L$16"}</definedName>
    <definedName name="____a1" localSheetId="42" hidden="1">{"'Sheet1'!$L$16"}</definedName>
    <definedName name="____a1" localSheetId="13" hidden="1">{"'Sheet1'!$L$16"}</definedName>
    <definedName name="____a1" localSheetId="50" hidden="1">{"'Sheet1'!$L$16"}</definedName>
    <definedName name="____a1" localSheetId="46" hidden="1">{"'Sheet1'!$L$16"}</definedName>
    <definedName name="____a1" hidden="1">{"'Sheet1'!$L$16"}</definedName>
    <definedName name="____a10" localSheetId="41" hidden="1">{"'Sheet1'!$L$16"}</definedName>
    <definedName name="____a10" localSheetId="42" hidden="1">{"'Sheet1'!$L$16"}</definedName>
    <definedName name="____a10" localSheetId="13" hidden="1">{"'Sheet1'!$L$16"}</definedName>
    <definedName name="____a10" localSheetId="50" hidden="1">{"'Sheet1'!$L$16"}</definedName>
    <definedName name="____a10" localSheetId="46" hidden="1">{"'Sheet1'!$L$16"}</definedName>
    <definedName name="____a10" hidden="1">{"'Sheet1'!$L$16"}</definedName>
    <definedName name="____a11" localSheetId="41" hidden="1">{"'Sheet1'!$L$16"}</definedName>
    <definedName name="____a11" localSheetId="42" hidden="1">{"'Sheet1'!$L$16"}</definedName>
    <definedName name="____a11" localSheetId="13" hidden="1">{"'Sheet1'!$L$16"}</definedName>
    <definedName name="____a11" localSheetId="50" hidden="1">{"'Sheet1'!$L$16"}</definedName>
    <definedName name="____a11" localSheetId="46" hidden="1">{"'Sheet1'!$L$16"}</definedName>
    <definedName name="____a11" hidden="1">{"'Sheet1'!$L$16"}</definedName>
    <definedName name="____a12" localSheetId="41" hidden="1">{"'Sheet1'!$L$16"}</definedName>
    <definedName name="____a12" localSheetId="42" hidden="1">{"'Sheet1'!$L$16"}</definedName>
    <definedName name="____a12" localSheetId="13" hidden="1">{"'Sheet1'!$L$16"}</definedName>
    <definedName name="____a12" localSheetId="50" hidden="1">{"'Sheet1'!$L$16"}</definedName>
    <definedName name="____a12" localSheetId="46" hidden="1">{"'Sheet1'!$L$16"}</definedName>
    <definedName name="____a12" hidden="1">{"'Sheet1'!$L$16"}</definedName>
    <definedName name="____a129" localSheetId="42" hidden="1">{"Offgrid",#N/A,FALSE,"OFFGRID";"Region",#N/A,FALSE,"REGION";"Offgrid -2",#N/A,FALSE,"OFFGRID";"WTP",#N/A,FALSE,"WTP";"WTP -2",#N/A,FALSE,"WTP";"Project",#N/A,FALSE,"PROJECT";"Summary -2",#N/A,FALSE,"SUMMARY"}</definedName>
    <definedName name="____a129" hidden="1">{"Offgrid",#N/A,FALSE,"OFFGRID";"Region",#N/A,FALSE,"REGION";"Offgrid -2",#N/A,FALSE,"OFFGRID";"WTP",#N/A,FALSE,"WTP";"WTP -2",#N/A,FALSE,"WTP";"Project",#N/A,FALSE,"PROJECT";"Summary -2",#N/A,FALSE,"SUMMARY"}</definedName>
    <definedName name="____a13" localSheetId="13" hidden="1">{"'Sheet1'!$L$16"}</definedName>
    <definedName name="____a13" localSheetId="50" hidden="1">{"'Sheet1'!$L$16"}</definedName>
    <definedName name="____a13" hidden="1">{"'Sheet1'!$L$16"}</definedName>
    <definedName name="____a130" localSheetId="42" hidden="1">{"Offgrid",#N/A,FALSE,"OFFGRID";"Region",#N/A,FALSE,"REGION";"Offgrid -2",#N/A,FALSE,"OFFGRID";"WTP",#N/A,FALSE,"WTP";"WTP -2",#N/A,FALSE,"WTP";"Project",#N/A,FALSE,"PROJECT";"Summary -2",#N/A,FALSE,"SUMMARY"}</definedName>
    <definedName name="____a130" hidden="1">{"Offgrid",#N/A,FALSE,"OFFGRID";"Region",#N/A,FALSE,"REGION";"Offgrid -2",#N/A,FALSE,"OFFGRID";"WTP",#N/A,FALSE,"WTP";"WTP -2",#N/A,FALSE,"WTP";"Project",#N/A,FALSE,"PROJECT";"Summary -2",#N/A,FALSE,"SUMMARY"}</definedName>
    <definedName name="____a14" localSheetId="13" hidden="1">{"'Sheet1'!$L$16"}</definedName>
    <definedName name="____a14" localSheetId="50" hidden="1">{"'Sheet1'!$L$16"}</definedName>
    <definedName name="____a14" hidden="1">{"'Sheet1'!$L$16"}</definedName>
    <definedName name="____a18" localSheetId="13" hidden="1">{"'Sheet1'!$L$16"}</definedName>
    <definedName name="____a18" localSheetId="50" hidden="1">{"'Sheet1'!$L$16"}</definedName>
    <definedName name="____a18" hidden="1">{"'Sheet1'!$L$16"}</definedName>
    <definedName name="____a2" localSheetId="41" hidden="1">{"'Sheet1'!$L$16"}</definedName>
    <definedName name="____a2" localSheetId="42" hidden="1">{"'Sheet1'!$L$16"}</definedName>
    <definedName name="____a2" localSheetId="13" hidden="1">{"'Sheet1'!$L$16"}</definedName>
    <definedName name="____a2" localSheetId="50" hidden="1">{"'Sheet1'!$L$16"}</definedName>
    <definedName name="____a2" localSheetId="46" hidden="1">{"'Sheet1'!$L$16"}</definedName>
    <definedName name="____a2" hidden="1">{"'Sheet1'!$L$16"}</definedName>
    <definedName name="____a20" localSheetId="13" hidden="1">{"'Sheet1'!$L$16"}</definedName>
    <definedName name="____a20" localSheetId="50" hidden="1">{"'Sheet1'!$L$16"}</definedName>
    <definedName name="____a20" hidden="1">{"'Sheet1'!$L$16"}</definedName>
    <definedName name="____a3" localSheetId="41" hidden="1">{"'Sheet1'!$L$16"}</definedName>
    <definedName name="____a3" localSheetId="42" hidden="1">{"'Sheet1'!$L$16"}</definedName>
    <definedName name="____a3" localSheetId="13" hidden="1">{"'Sheet1'!$L$16"}</definedName>
    <definedName name="____a3" localSheetId="50" hidden="1">{"'Sheet1'!$L$16"}</definedName>
    <definedName name="____a3" localSheetId="46" hidden="1">{"'Sheet1'!$L$16"}</definedName>
    <definedName name="____a3" hidden="1">{"'Sheet1'!$L$16"}</definedName>
    <definedName name="____a4" localSheetId="41" hidden="1">{"'Sheet1'!$L$16"}</definedName>
    <definedName name="____a4" localSheetId="42" hidden="1">{"'Sheet1'!$L$16"}</definedName>
    <definedName name="____a4" localSheetId="13" hidden="1">{"'Sheet1'!$L$16"}</definedName>
    <definedName name="____a4" localSheetId="50" hidden="1">{"'Sheet1'!$L$16"}</definedName>
    <definedName name="____a4" localSheetId="46" hidden="1">{"'Sheet1'!$L$16"}</definedName>
    <definedName name="____a4" hidden="1">{"'Sheet1'!$L$16"}</definedName>
    <definedName name="____a5" localSheetId="41" hidden="1">{"'Sheet1'!$L$16"}</definedName>
    <definedName name="____a5" localSheetId="42" hidden="1">{"'Sheet1'!$L$16"}</definedName>
    <definedName name="____a5" localSheetId="13" hidden="1">{"'Sheet1'!$L$16"}</definedName>
    <definedName name="____a5" localSheetId="50" hidden="1">{"'Sheet1'!$L$16"}</definedName>
    <definedName name="____a5" localSheetId="46" hidden="1">{"'Sheet1'!$L$16"}</definedName>
    <definedName name="____a5" hidden="1">{"'Sheet1'!$L$16"}</definedName>
    <definedName name="____a7" localSheetId="41" hidden="1">{"'Sheet1'!$L$16"}</definedName>
    <definedName name="____a7" localSheetId="42" hidden="1">{"'Sheet1'!$L$16"}</definedName>
    <definedName name="____a7" localSheetId="13" hidden="1">{"'Sheet1'!$L$16"}</definedName>
    <definedName name="____a7" localSheetId="50" hidden="1">{"'Sheet1'!$L$16"}</definedName>
    <definedName name="____a7" localSheetId="46" hidden="1">{"'Sheet1'!$L$16"}</definedName>
    <definedName name="____a7" hidden="1">{"'Sheet1'!$L$16"}</definedName>
    <definedName name="____a8" localSheetId="41" hidden="1">{"'Sheet1'!$L$16"}</definedName>
    <definedName name="____a8" localSheetId="42" hidden="1">{"'Sheet1'!$L$16"}</definedName>
    <definedName name="____a8" localSheetId="13" hidden="1">{"'Sheet1'!$L$16"}</definedName>
    <definedName name="____a8" localSheetId="50" hidden="1">{"'Sheet1'!$L$16"}</definedName>
    <definedName name="____a8" localSheetId="46" hidden="1">{"'Sheet1'!$L$16"}</definedName>
    <definedName name="____a8" hidden="1">{"'Sheet1'!$L$16"}</definedName>
    <definedName name="____a9" localSheetId="41" hidden="1">{"'Sheet1'!$L$16"}</definedName>
    <definedName name="____a9" localSheetId="42" hidden="1">{"'Sheet1'!$L$16"}</definedName>
    <definedName name="____a9" localSheetId="13" hidden="1">{"'Sheet1'!$L$16"}</definedName>
    <definedName name="____a9" localSheetId="50" hidden="1">{"'Sheet1'!$L$16"}</definedName>
    <definedName name="____a9" localSheetId="46" hidden="1">{"'Sheet1'!$L$16"}</definedName>
    <definedName name="____a9" hidden="1">{"'Sheet1'!$L$16"}</definedName>
    <definedName name="____CD2" localSheetId="41" hidden="1">{"'Sheet1'!$L$16"}</definedName>
    <definedName name="____CD2" localSheetId="42" hidden="1">{"'Sheet1'!$L$16"}</definedName>
    <definedName name="____CD2" localSheetId="50" hidden="1">{"'Sheet1'!$L$16"}</definedName>
    <definedName name="____CD2" localSheetId="46" hidden="1">{"'Sheet1'!$L$16"}</definedName>
    <definedName name="____CD2" hidden="1">{"'Sheet1'!$L$16"}</definedName>
    <definedName name="____d1500" localSheetId="13" hidden="1">{"'Sheet1'!$L$16"}</definedName>
    <definedName name="____d1500" localSheetId="50" hidden="1">{"'Sheet1'!$L$16"}</definedName>
    <definedName name="____d1500" hidden="1">{"'Sheet1'!$L$16"}</definedName>
    <definedName name="____f5" localSheetId="41" hidden="1">{"'Sheet1'!$L$16"}</definedName>
    <definedName name="____f5" localSheetId="42" hidden="1">{"'Sheet1'!$L$16"}</definedName>
    <definedName name="____f5" localSheetId="13" hidden="1">{"'Sheet1'!$L$16"}</definedName>
    <definedName name="____f5" localSheetId="50" hidden="1">{"'Sheet1'!$L$16"}</definedName>
    <definedName name="____f5" localSheetId="46" hidden="1">{"'Sheet1'!$L$16"}</definedName>
    <definedName name="____f5" hidden="1">{"'Sheet1'!$L$16"}</definedName>
    <definedName name="____hu14" localSheetId="13" hidden="1">{"'Sheet1'!$L$16"}</definedName>
    <definedName name="____hu14" localSheetId="50" hidden="1">{"'Sheet1'!$L$16"}</definedName>
    <definedName name="____hu14" hidden="1">{"'Sheet1'!$L$16"}</definedName>
    <definedName name="____M2" localSheetId="13" hidden="1">{"'Sheet1'!$L$16"}</definedName>
    <definedName name="____M2" localSheetId="50" hidden="1">{"'Sheet1'!$L$16"}</definedName>
    <definedName name="____M2" hidden="1">{"'Sheet1'!$L$16"}</definedName>
    <definedName name="____m4" localSheetId="41" hidden="1">{"'Sheet1'!$L$16"}</definedName>
    <definedName name="____m4" localSheetId="42" hidden="1">{"'Sheet1'!$L$16"}</definedName>
    <definedName name="____m4" localSheetId="50" hidden="1">{"'Sheet1'!$L$16"}</definedName>
    <definedName name="____m4" localSheetId="46" hidden="1">{"'Sheet1'!$L$16"}</definedName>
    <definedName name="____m4" hidden="1">{"'Sheet1'!$L$16"}</definedName>
    <definedName name="____NSO2" localSheetId="41" hidden="1">{"'Sheet1'!$L$16"}</definedName>
    <definedName name="____NSO2" localSheetId="42" hidden="1">{"'Sheet1'!$L$16"}</definedName>
    <definedName name="____NSO2" localSheetId="13" hidden="1">{"'Sheet1'!$L$16"}</definedName>
    <definedName name="____NSO2" localSheetId="50" hidden="1">{"'Sheet1'!$L$16"}</definedName>
    <definedName name="____NSO2" localSheetId="46" hidden="1">{"'Sheet1'!$L$16"}</definedName>
    <definedName name="____NSO2" hidden="1">{"'Sheet1'!$L$16"}</definedName>
    <definedName name="____PA3" localSheetId="13" hidden="1">{"'Sheet1'!$L$16"}</definedName>
    <definedName name="____PA3" localSheetId="50" hidden="1">{"'Sheet1'!$L$16"}</definedName>
    <definedName name="____PA3" hidden="1">{"'Sheet1'!$L$16"}</definedName>
    <definedName name="____T01" hidden="1">#REF!</definedName>
    <definedName name="____T1" localSheetId="41" hidden="1">{"'Sheet1'!$L$16"}</definedName>
    <definedName name="____T1" localSheetId="42" hidden="1">{"'Sheet1'!$L$16"}</definedName>
    <definedName name="____T1" localSheetId="13" hidden="1">{"'Sheet1'!$L$16"}</definedName>
    <definedName name="____T1" localSheetId="50" hidden="1">{"'Sheet1'!$L$16"}</definedName>
    <definedName name="____T1" localSheetId="46" hidden="1">{"'Sheet1'!$L$16"}</definedName>
    <definedName name="____T1" hidden="1">{"'Sheet1'!$L$16"}</definedName>
    <definedName name="____v11" localSheetId="13" hidden="1">{"'Sheet1'!$L$16"}</definedName>
    <definedName name="____v11" localSheetId="50" hidden="1">{"'Sheet1'!$L$16"}</definedName>
    <definedName name="____v11" hidden="1">{"'Sheet1'!$L$16"}</definedName>
    <definedName name="___a1" localSheetId="41" hidden="1">{"'Sheet1'!$L$16"}</definedName>
    <definedName name="___a1" localSheetId="42" hidden="1">{"'Sheet1'!$L$16"}</definedName>
    <definedName name="___a1" localSheetId="13" hidden="1">{"'Sheet1'!$L$16"}</definedName>
    <definedName name="___a1" localSheetId="50" hidden="1">{"'Sheet1'!$L$16"}</definedName>
    <definedName name="___a1" localSheetId="46" hidden="1">{"'Sheet1'!$L$16"}</definedName>
    <definedName name="___a1" hidden="1">{"'Sheet1'!$L$16"}</definedName>
    <definedName name="___a10" localSheetId="41" hidden="1">{"'Sheet1'!$L$16"}</definedName>
    <definedName name="___a10" localSheetId="42" hidden="1">{"'Sheet1'!$L$16"}</definedName>
    <definedName name="___a10" localSheetId="13" hidden="1">{"'Sheet1'!$L$16"}</definedName>
    <definedName name="___a10" localSheetId="50" hidden="1">{"'Sheet1'!$L$16"}</definedName>
    <definedName name="___a10" localSheetId="46" hidden="1">{"'Sheet1'!$L$16"}</definedName>
    <definedName name="___a10" hidden="1">{"'Sheet1'!$L$16"}</definedName>
    <definedName name="___a11" localSheetId="41" hidden="1">{"'Sheet1'!$L$16"}</definedName>
    <definedName name="___a11" localSheetId="42" hidden="1">{"'Sheet1'!$L$16"}</definedName>
    <definedName name="___a11" localSheetId="13" hidden="1">{"'Sheet1'!$L$16"}</definedName>
    <definedName name="___a11" localSheetId="50" hidden="1">{"'Sheet1'!$L$16"}</definedName>
    <definedName name="___a11" localSheetId="46" hidden="1">{"'Sheet1'!$L$16"}</definedName>
    <definedName name="___a11" hidden="1">{"'Sheet1'!$L$16"}</definedName>
    <definedName name="___a12" localSheetId="41" hidden="1">{"'Sheet1'!$L$16"}</definedName>
    <definedName name="___a12" localSheetId="42" hidden="1">{"'Sheet1'!$L$16"}</definedName>
    <definedName name="___a12" localSheetId="13" hidden="1">{"'Sheet1'!$L$16"}</definedName>
    <definedName name="___a12" localSheetId="50" hidden="1">{"'Sheet1'!$L$16"}</definedName>
    <definedName name="___a12" localSheetId="46" hidden="1">{"'Sheet1'!$L$16"}</definedName>
    <definedName name="___a12" hidden="1">{"'Sheet1'!$L$16"}</definedName>
    <definedName name="___a129" localSheetId="42" hidden="1">{"Offgrid",#N/A,FALSE,"OFFGRID";"Region",#N/A,FALSE,"REGION";"Offgrid -2",#N/A,FALSE,"OFFGRID";"WTP",#N/A,FALSE,"WTP";"WTP -2",#N/A,FALSE,"WTP";"Project",#N/A,FALSE,"PROJECT";"Summary -2",#N/A,FALSE,"SUMMARY"}</definedName>
    <definedName name="___a129" hidden="1">{"Offgrid",#N/A,FALSE,"OFFGRID";"Region",#N/A,FALSE,"REGION";"Offgrid -2",#N/A,FALSE,"OFFGRID";"WTP",#N/A,FALSE,"WTP";"WTP -2",#N/A,FALSE,"WTP";"Project",#N/A,FALSE,"PROJECT";"Summary -2",#N/A,FALSE,"SUMMARY"}</definedName>
    <definedName name="___a13" localSheetId="13" hidden="1">{"'Sheet1'!$L$16"}</definedName>
    <definedName name="___a13" localSheetId="50" hidden="1">{"'Sheet1'!$L$16"}</definedName>
    <definedName name="___a13" hidden="1">{"'Sheet1'!$L$16"}</definedName>
    <definedName name="___a130" localSheetId="42" hidden="1">{"Offgrid",#N/A,FALSE,"OFFGRID";"Region",#N/A,FALSE,"REGION";"Offgrid -2",#N/A,FALSE,"OFFGRID";"WTP",#N/A,FALSE,"WTP";"WTP -2",#N/A,FALSE,"WTP";"Project",#N/A,FALSE,"PROJECT";"Summary -2",#N/A,FALSE,"SUMMARY"}</definedName>
    <definedName name="___a130" hidden="1">{"Offgrid",#N/A,FALSE,"OFFGRID";"Region",#N/A,FALSE,"REGION";"Offgrid -2",#N/A,FALSE,"OFFGRID";"WTP",#N/A,FALSE,"WTP";"WTP -2",#N/A,FALSE,"WTP";"Project",#N/A,FALSE,"PROJECT";"Summary -2",#N/A,FALSE,"SUMMARY"}</definedName>
    <definedName name="___a14" localSheetId="13" hidden="1">{"'Sheet1'!$L$16"}</definedName>
    <definedName name="___a14" localSheetId="50" hidden="1">{"'Sheet1'!$L$16"}</definedName>
    <definedName name="___a14" hidden="1">{"'Sheet1'!$L$16"}</definedName>
    <definedName name="___a18" localSheetId="13" hidden="1">{"'Sheet1'!$L$16"}</definedName>
    <definedName name="___a18" localSheetId="50" hidden="1">{"'Sheet1'!$L$16"}</definedName>
    <definedName name="___a18" hidden="1">{"'Sheet1'!$L$16"}</definedName>
    <definedName name="___a2" localSheetId="41" hidden="1">{"'Sheet1'!$L$16"}</definedName>
    <definedName name="___a2" localSheetId="42" hidden="1">{"'Sheet1'!$L$16"}</definedName>
    <definedName name="___a2" localSheetId="13" hidden="1">{"'Sheet1'!$L$16"}</definedName>
    <definedName name="___a2" localSheetId="50" hidden="1">{"'Sheet1'!$L$16"}</definedName>
    <definedName name="___a2" localSheetId="46" hidden="1">{"'Sheet1'!$L$16"}</definedName>
    <definedName name="___a2" hidden="1">{"'Sheet1'!$L$16"}</definedName>
    <definedName name="___a20" localSheetId="13" hidden="1">{"'Sheet1'!$L$16"}</definedName>
    <definedName name="___a20" localSheetId="50" hidden="1">{"'Sheet1'!$L$16"}</definedName>
    <definedName name="___a20" hidden="1">{"'Sheet1'!$L$16"}</definedName>
    <definedName name="___a3" localSheetId="41" hidden="1">{"'Sheet1'!$L$16"}</definedName>
    <definedName name="___a3" localSheetId="42" hidden="1">{"'Sheet1'!$L$16"}</definedName>
    <definedName name="___a3" localSheetId="13" hidden="1">{"'Sheet1'!$L$16"}</definedName>
    <definedName name="___a3" localSheetId="50" hidden="1">{"'Sheet1'!$L$16"}</definedName>
    <definedName name="___a3" localSheetId="46" hidden="1">{"'Sheet1'!$L$16"}</definedName>
    <definedName name="___a3" hidden="1">{"'Sheet1'!$L$16"}</definedName>
    <definedName name="___a4" localSheetId="41" hidden="1">{"'Sheet1'!$L$16"}</definedName>
    <definedName name="___a4" localSheetId="42" hidden="1">{"'Sheet1'!$L$16"}</definedName>
    <definedName name="___a4" localSheetId="13" hidden="1">{"'Sheet1'!$L$16"}</definedName>
    <definedName name="___a4" localSheetId="50" hidden="1">{"'Sheet1'!$L$16"}</definedName>
    <definedName name="___a4" localSheetId="46" hidden="1">{"'Sheet1'!$L$16"}</definedName>
    <definedName name="___a4" hidden="1">{"'Sheet1'!$L$16"}</definedName>
    <definedName name="___a5" localSheetId="41" hidden="1">{"'Sheet1'!$L$16"}</definedName>
    <definedName name="___a5" localSheetId="42" hidden="1">{"'Sheet1'!$L$16"}</definedName>
    <definedName name="___a5" localSheetId="13" hidden="1">{"'Sheet1'!$L$16"}</definedName>
    <definedName name="___a5" localSheetId="50" hidden="1">{"'Sheet1'!$L$16"}</definedName>
    <definedName name="___a5" localSheetId="46" hidden="1">{"'Sheet1'!$L$16"}</definedName>
    <definedName name="___a5" hidden="1">{"'Sheet1'!$L$16"}</definedName>
    <definedName name="___a7" localSheetId="41" hidden="1">{"'Sheet1'!$L$16"}</definedName>
    <definedName name="___a7" localSheetId="42" hidden="1">{"'Sheet1'!$L$16"}</definedName>
    <definedName name="___a7" localSheetId="13" hidden="1">{"'Sheet1'!$L$16"}</definedName>
    <definedName name="___a7" localSheetId="50" hidden="1">{"'Sheet1'!$L$16"}</definedName>
    <definedName name="___a7" localSheetId="46" hidden="1">{"'Sheet1'!$L$16"}</definedName>
    <definedName name="___a7" hidden="1">{"'Sheet1'!$L$16"}</definedName>
    <definedName name="___a8" localSheetId="41" hidden="1">{"'Sheet1'!$L$16"}</definedName>
    <definedName name="___a8" localSheetId="42" hidden="1">{"'Sheet1'!$L$16"}</definedName>
    <definedName name="___a8" localSheetId="13" hidden="1">{"'Sheet1'!$L$16"}</definedName>
    <definedName name="___a8" localSheetId="50" hidden="1">{"'Sheet1'!$L$16"}</definedName>
    <definedName name="___a8" localSheetId="46" hidden="1">{"'Sheet1'!$L$16"}</definedName>
    <definedName name="___a8" hidden="1">{"'Sheet1'!$L$16"}</definedName>
    <definedName name="___a9" localSheetId="41" hidden="1">{"'Sheet1'!$L$16"}</definedName>
    <definedName name="___a9" localSheetId="42" hidden="1">{"'Sheet1'!$L$16"}</definedName>
    <definedName name="___a9" localSheetId="13" hidden="1">{"'Sheet1'!$L$16"}</definedName>
    <definedName name="___a9" localSheetId="50" hidden="1">{"'Sheet1'!$L$16"}</definedName>
    <definedName name="___a9" localSheetId="46" hidden="1">{"'Sheet1'!$L$16"}</definedName>
    <definedName name="___a9" hidden="1">{"'Sheet1'!$L$16"}</definedName>
    <definedName name="___CD2" localSheetId="41" hidden="1">{"'Sheet1'!$L$16"}</definedName>
    <definedName name="___CD2" localSheetId="42" hidden="1">{"'Sheet1'!$L$16"}</definedName>
    <definedName name="___CD2" localSheetId="50" hidden="1">{"'Sheet1'!$L$16"}</definedName>
    <definedName name="___CD2" localSheetId="46" hidden="1">{"'Sheet1'!$L$16"}</definedName>
    <definedName name="___CD2" hidden="1">{"'Sheet1'!$L$16"}</definedName>
    <definedName name="___d1500" localSheetId="13" hidden="1">{"'Sheet1'!$L$16"}</definedName>
    <definedName name="___d1500" localSheetId="50" hidden="1">{"'Sheet1'!$L$16"}</definedName>
    <definedName name="___d1500" hidden="1">{"'Sheet1'!$L$16"}</definedName>
    <definedName name="___f5" localSheetId="41" hidden="1">{"'Sheet1'!$L$16"}</definedName>
    <definedName name="___f5" localSheetId="42" hidden="1">{"'Sheet1'!$L$16"}</definedName>
    <definedName name="___f5" localSheetId="13" hidden="1">{"'Sheet1'!$L$16"}</definedName>
    <definedName name="___f5" localSheetId="50" hidden="1">{"'Sheet1'!$L$16"}</definedName>
    <definedName name="___f5" localSheetId="46" hidden="1">{"'Sheet1'!$L$16"}</definedName>
    <definedName name="___f5" hidden="1">{"'Sheet1'!$L$16"}</definedName>
    <definedName name="___h1" localSheetId="13" hidden="1">{"'TDTGT (theo Dphuong)'!$A$4:$F$75"}</definedName>
    <definedName name="___h1" localSheetId="50" hidden="1">{"'TDTGT (theo Dphuong)'!$A$4:$F$75"}</definedName>
    <definedName name="___h1" hidden="1">{"'TDTGT (theo Dphuong)'!$A$4:$F$75"}</definedName>
    <definedName name="___hu14" localSheetId="13" hidden="1">{"'Sheet1'!$L$16"}</definedName>
    <definedName name="___hu14" localSheetId="50" hidden="1">{"'Sheet1'!$L$16"}</definedName>
    <definedName name="___hu14" hidden="1">{"'Sheet1'!$L$16"}</definedName>
    <definedName name="___M2" localSheetId="13" hidden="1">{"'Sheet1'!$L$16"}</definedName>
    <definedName name="___M2" localSheetId="50" hidden="1">{"'Sheet1'!$L$16"}</definedName>
    <definedName name="___M2" hidden="1">{"'Sheet1'!$L$16"}</definedName>
    <definedName name="___m4" localSheetId="41" hidden="1">{"'Sheet1'!$L$16"}</definedName>
    <definedName name="___m4" localSheetId="42" hidden="1">{"'Sheet1'!$L$16"}</definedName>
    <definedName name="___m4" localSheetId="50" hidden="1">{"'Sheet1'!$L$16"}</definedName>
    <definedName name="___m4" localSheetId="46" hidden="1">{"'Sheet1'!$L$16"}</definedName>
    <definedName name="___m4" hidden="1">{"'Sheet1'!$L$16"}</definedName>
    <definedName name="___NSO2" localSheetId="41" hidden="1">{"'Sheet1'!$L$16"}</definedName>
    <definedName name="___NSO2" localSheetId="42" hidden="1">{"'Sheet1'!$L$16"}</definedName>
    <definedName name="___NSO2" localSheetId="13" hidden="1">{"'Sheet1'!$L$16"}</definedName>
    <definedName name="___NSO2" localSheetId="50" hidden="1">{"'Sheet1'!$L$16"}</definedName>
    <definedName name="___NSO2" localSheetId="46" hidden="1">{"'Sheet1'!$L$16"}</definedName>
    <definedName name="___NSO2" hidden="1">{"'Sheet1'!$L$16"}</definedName>
    <definedName name="___PA3" localSheetId="13" hidden="1">{"'Sheet1'!$L$16"}</definedName>
    <definedName name="___PA3" localSheetId="50" hidden="1">{"'Sheet1'!$L$16"}</definedName>
    <definedName name="___PA3" hidden="1">{"'Sheet1'!$L$16"}</definedName>
    <definedName name="___T01" hidden="1">#REF!</definedName>
    <definedName name="___T1" localSheetId="41" hidden="1">{"'Sheet1'!$L$16"}</definedName>
    <definedName name="___T1" localSheetId="42" hidden="1">{"'Sheet1'!$L$16"}</definedName>
    <definedName name="___T1" localSheetId="13" hidden="1">{"'Sheet1'!$L$16"}</definedName>
    <definedName name="___T1" localSheetId="50" hidden="1">{"'Sheet1'!$L$16"}</definedName>
    <definedName name="___T1" localSheetId="46" hidden="1">{"'Sheet1'!$L$16"}</definedName>
    <definedName name="___T1" hidden="1">{"'Sheet1'!$L$16"}</definedName>
    <definedName name="___v11" localSheetId="13" hidden="1">{"'Sheet1'!$L$16"}</definedName>
    <definedName name="___v11" localSheetId="50" hidden="1">{"'Sheet1'!$L$16"}</definedName>
    <definedName name="___v11" hidden="1">{"'Sheet1'!$L$16"}</definedName>
    <definedName name="__a1" localSheetId="41" hidden="1">{"'Sheet1'!$L$16"}</definedName>
    <definedName name="__a1" localSheetId="42" hidden="1">{"'Sheet1'!$L$16"}</definedName>
    <definedName name="__a1" localSheetId="13" hidden="1">{"'Sheet1'!$L$16"}</definedName>
    <definedName name="__a1" localSheetId="50" hidden="1">{"'Sheet1'!$L$16"}</definedName>
    <definedName name="__a1" localSheetId="46" hidden="1">{"'Sheet1'!$L$16"}</definedName>
    <definedName name="__a1" hidden="1">{"'Sheet1'!$L$16"}</definedName>
    <definedName name="__a10" localSheetId="41" hidden="1">{"'Sheet1'!$L$16"}</definedName>
    <definedName name="__a10" localSheetId="42" hidden="1">{"'Sheet1'!$L$16"}</definedName>
    <definedName name="__a10" localSheetId="13" hidden="1">{"'Sheet1'!$L$16"}</definedName>
    <definedName name="__a10" localSheetId="50" hidden="1">{"'Sheet1'!$L$16"}</definedName>
    <definedName name="__a10" localSheetId="46" hidden="1">{"'Sheet1'!$L$16"}</definedName>
    <definedName name="__a10" hidden="1">{"'Sheet1'!$L$16"}</definedName>
    <definedName name="__a11" localSheetId="41" hidden="1">{"'Sheet1'!$L$16"}</definedName>
    <definedName name="__a11" localSheetId="42" hidden="1">{"'Sheet1'!$L$16"}</definedName>
    <definedName name="__a11" localSheetId="13" hidden="1">{"'Sheet1'!$L$16"}</definedName>
    <definedName name="__a11" localSheetId="50" hidden="1">{"'Sheet1'!$L$16"}</definedName>
    <definedName name="__a11" localSheetId="46" hidden="1">{"'Sheet1'!$L$16"}</definedName>
    <definedName name="__a11" hidden="1">{"'Sheet1'!$L$16"}</definedName>
    <definedName name="__a12" localSheetId="41" hidden="1">{"'Sheet1'!$L$16"}</definedName>
    <definedName name="__a12" localSheetId="42" hidden="1">{"'Sheet1'!$L$16"}</definedName>
    <definedName name="__a12" localSheetId="13" hidden="1">{"'Sheet1'!$L$16"}</definedName>
    <definedName name="__a12" localSheetId="50" hidden="1">{"'Sheet1'!$L$16"}</definedName>
    <definedName name="__a12" localSheetId="46" hidden="1">{"'Sheet1'!$L$16"}</definedName>
    <definedName name="__a12" hidden="1">{"'Sheet1'!$L$16"}</definedName>
    <definedName name="__a13" localSheetId="13" hidden="1">{"'Sheet1'!$L$16"}</definedName>
    <definedName name="__a13" localSheetId="50" hidden="1">{"'Sheet1'!$L$16"}</definedName>
    <definedName name="__a13" hidden="1">{"'Sheet1'!$L$16"}</definedName>
    <definedName name="__a14" localSheetId="13" hidden="1">{"'Sheet1'!$L$16"}</definedName>
    <definedName name="__a14" localSheetId="50" hidden="1">{"'Sheet1'!$L$16"}</definedName>
    <definedName name="__a14" hidden="1">{"'Sheet1'!$L$16"}</definedName>
    <definedName name="__a18" localSheetId="13" hidden="1">{"'Sheet1'!$L$16"}</definedName>
    <definedName name="__a18" localSheetId="50" hidden="1">{"'Sheet1'!$L$16"}</definedName>
    <definedName name="__a18" hidden="1">{"'Sheet1'!$L$16"}</definedName>
    <definedName name="__a2" localSheetId="41" hidden="1">{"'Sheet1'!$L$16"}</definedName>
    <definedName name="__a2" localSheetId="42" hidden="1">{"'Sheet1'!$L$16"}</definedName>
    <definedName name="__a2" localSheetId="13" hidden="1">{"'Sheet1'!$L$16"}</definedName>
    <definedName name="__a2" localSheetId="50" hidden="1">{"'Sheet1'!$L$16"}</definedName>
    <definedName name="__a2" localSheetId="46" hidden="1">{"'Sheet1'!$L$16"}</definedName>
    <definedName name="__a2" hidden="1">{"'Sheet1'!$L$16"}</definedName>
    <definedName name="__a20" localSheetId="13" hidden="1">{"'Sheet1'!$L$16"}</definedName>
    <definedName name="__a20" localSheetId="50" hidden="1">{"'Sheet1'!$L$16"}</definedName>
    <definedName name="__a20" hidden="1">{"'Sheet1'!$L$16"}</definedName>
    <definedName name="__a3" localSheetId="41" hidden="1">{"'Sheet1'!$L$16"}</definedName>
    <definedName name="__a3" localSheetId="42" hidden="1">{"'Sheet1'!$L$16"}</definedName>
    <definedName name="__a3" localSheetId="13" hidden="1">{"'Sheet1'!$L$16"}</definedName>
    <definedName name="__a3" localSheetId="50" hidden="1">{"'Sheet1'!$L$16"}</definedName>
    <definedName name="__a3" localSheetId="46" hidden="1">{"'Sheet1'!$L$16"}</definedName>
    <definedName name="__a3" hidden="1">{"'Sheet1'!$L$16"}</definedName>
    <definedName name="__a4" localSheetId="41" hidden="1">{"'Sheet1'!$L$16"}</definedName>
    <definedName name="__a4" localSheetId="42" hidden="1">{"'Sheet1'!$L$16"}</definedName>
    <definedName name="__a4" localSheetId="13" hidden="1">{"'Sheet1'!$L$16"}</definedName>
    <definedName name="__a4" localSheetId="50" hidden="1">{"'Sheet1'!$L$16"}</definedName>
    <definedName name="__a4" localSheetId="46" hidden="1">{"'Sheet1'!$L$16"}</definedName>
    <definedName name="__a4" hidden="1">{"'Sheet1'!$L$16"}</definedName>
    <definedName name="__a5" localSheetId="41" hidden="1">{"'Sheet1'!$L$16"}</definedName>
    <definedName name="__a5" localSheetId="42" hidden="1">{"'Sheet1'!$L$16"}</definedName>
    <definedName name="__a5" localSheetId="13" hidden="1">{"'Sheet1'!$L$16"}</definedName>
    <definedName name="__a5" localSheetId="50" hidden="1">{"'Sheet1'!$L$16"}</definedName>
    <definedName name="__a5" localSheetId="46" hidden="1">{"'Sheet1'!$L$16"}</definedName>
    <definedName name="__a5" hidden="1">{"'Sheet1'!$L$16"}</definedName>
    <definedName name="__a7" localSheetId="41" hidden="1">{"'Sheet1'!$L$16"}</definedName>
    <definedName name="__a7" localSheetId="42" hidden="1">{"'Sheet1'!$L$16"}</definedName>
    <definedName name="__a7" localSheetId="13" hidden="1">{"'Sheet1'!$L$16"}</definedName>
    <definedName name="__a7" localSheetId="50" hidden="1">{"'Sheet1'!$L$16"}</definedName>
    <definedName name="__a7" localSheetId="46" hidden="1">{"'Sheet1'!$L$16"}</definedName>
    <definedName name="__a7" hidden="1">{"'Sheet1'!$L$16"}</definedName>
    <definedName name="__a8" localSheetId="41" hidden="1">{"'Sheet1'!$L$16"}</definedName>
    <definedName name="__a8" localSheetId="42" hidden="1">{"'Sheet1'!$L$16"}</definedName>
    <definedName name="__a8" localSheetId="13" hidden="1">{"'Sheet1'!$L$16"}</definedName>
    <definedName name="__a8" localSheetId="50" hidden="1">{"'Sheet1'!$L$16"}</definedName>
    <definedName name="__a8" localSheetId="46" hidden="1">{"'Sheet1'!$L$16"}</definedName>
    <definedName name="__a8" hidden="1">{"'Sheet1'!$L$16"}</definedName>
    <definedName name="__a9" localSheetId="41" hidden="1">{"'Sheet1'!$L$16"}</definedName>
    <definedName name="__a9" localSheetId="42" hidden="1">{"'Sheet1'!$L$16"}</definedName>
    <definedName name="__a9" localSheetId="13" hidden="1">{"'Sheet1'!$L$16"}</definedName>
    <definedName name="__a9" localSheetId="50" hidden="1">{"'Sheet1'!$L$16"}</definedName>
    <definedName name="__a9" localSheetId="46" hidden="1">{"'Sheet1'!$L$16"}</definedName>
    <definedName name="__a9" hidden="1">{"'Sheet1'!$L$16"}</definedName>
    <definedName name="__d1500" localSheetId="13" hidden="1">{"'Sheet1'!$L$16"}</definedName>
    <definedName name="__d1500" localSheetId="50" hidden="1">{"'Sheet1'!$L$16"}</definedName>
    <definedName name="__d1500" hidden="1">{"'Sheet1'!$L$16"}</definedName>
    <definedName name="__f5" localSheetId="41" hidden="1">{"'Sheet1'!$L$16"}</definedName>
    <definedName name="__f5" localSheetId="42" hidden="1">{"'Sheet1'!$L$16"}</definedName>
    <definedName name="__f5" localSheetId="13" hidden="1">{"'Sheet1'!$L$16"}</definedName>
    <definedName name="__f5" localSheetId="50" hidden="1">{"'Sheet1'!$L$16"}</definedName>
    <definedName name="__f5" localSheetId="46" hidden="1">{"'Sheet1'!$L$16"}</definedName>
    <definedName name="__f5" hidden="1">{"'Sheet1'!$L$16"}</definedName>
    <definedName name="__h1" localSheetId="13" hidden="1">{"'TDTGT (theo Dphuong)'!$A$4:$F$75"}</definedName>
    <definedName name="__h1" localSheetId="50" hidden="1">{"'TDTGT (theo Dphuong)'!$A$4:$F$75"}</definedName>
    <definedName name="__h1" hidden="1">{"'TDTGT (theo Dphuong)'!$A$4:$F$75"}</definedName>
    <definedName name="__hu14" localSheetId="13" hidden="1">{"'Sheet1'!$L$16"}</definedName>
    <definedName name="__hu14" localSheetId="50" hidden="1">{"'Sheet1'!$L$16"}</definedName>
    <definedName name="__hu14" hidden="1">{"'Sheet1'!$L$16"}</definedName>
    <definedName name="__IntlFixup" hidden="1">TRUE</definedName>
    <definedName name="__M2" localSheetId="13" hidden="1">{"'Sheet1'!$L$16"}</definedName>
    <definedName name="__M2" localSheetId="50" hidden="1">{"'Sheet1'!$L$16"}</definedName>
    <definedName name="__M2" hidden="1">{"'Sheet1'!$L$16"}</definedName>
    <definedName name="__m4" localSheetId="41" hidden="1">{"'Sheet1'!$L$16"}</definedName>
    <definedName name="__m4" localSheetId="42" hidden="1">{"'Sheet1'!$L$16"}</definedName>
    <definedName name="__m4" localSheetId="50" hidden="1">{"'Sheet1'!$L$16"}</definedName>
    <definedName name="__m4" localSheetId="46" hidden="1">{"'Sheet1'!$L$16"}</definedName>
    <definedName name="__m4" hidden="1">{"'Sheet1'!$L$16"}</definedName>
    <definedName name="__NS03" localSheetId="41" hidden="1">{"'Sheet1'!$L$16"}</definedName>
    <definedName name="__NS03" localSheetId="42" hidden="1">{"'Sheet1'!$L$16"}</definedName>
    <definedName name="__NS03" localSheetId="13" hidden="1">{"'Sheet1'!$L$16"}</definedName>
    <definedName name="__NS03" localSheetId="50" hidden="1">{"'Sheet1'!$L$16"}</definedName>
    <definedName name="__NS03" localSheetId="46" hidden="1">{"'Sheet1'!$L$16"}</definedName>
    <definedName name="__NS03" hidden="1">{"'Sheet1'!$L$16"}</definedName>
    <definedName name="__NSO2" localSheetId="41" hidden="1">{"'Sheet1'!$L$16"}</definedName>
    <definedName name="__NSO2" localSheetId="42" hidden="1">{"'Sheet1'!$L$16"}</definedName>
    <definedName name="__NSO2" localSheetId="13" hidden="1">{"'Sheet1'!$L$16"}</definedName>
    <definedName name="__NSO2" localSheetId="50" hidden="1">{"'Sheet1'!$L$16"}</definedName>
    <definedName name="__NSO2" localSheetId="46" hidden="1">{"'Sheet1'!$L$16"}</definedName>
    <definedName name="__NSO2" hidden="1">{"'Sheet1'!$L$16"}</definedName>
    <definedName name="__PA3" localSheetId="13" hidden="1">{"'Sheet1'!$L$16"}</definedName>
    <definedName name="__PA3" localSheetId="50" hidden="1">{"'Sheet1'!$L$16"}</definedName>
    <definedName name="__PA3" hidden="1">{"'Sheet1'!$L$16"}</definedName>
    <definedName name="__T01" hidden="1">#REF!</definedName>
    <definedName name="__T1" localSheetId="41" hidden="1">{"'Sheet1'!$L$16"}</definedName>
    <definedName name="__T1" localSheetId="42" hidden="1">{"'Sheet1'!$L$16"}</definedName>
    <definedName name="__T1" localSheetId="13" hidden="1">{"'Sheet1'!$L$16"}</definedName>
    <definedName name="__T1" localSheetId="50" hidden="1">{"'Sheet1'!$L$16"}</definedName>
    <definedName name="__T1" localSheetId="46" hidden="1">{"'Sheet1'!$L$16"}</definedName>
    <definedName name="__T1" hidden="1">{"'Sheet1'!$L$16"}</definedName>
    <definedName name="__v11" localSheetId="13" hidden="1">{"'Sheet1'!$L$16"}</definedName>
    <definedName name="__v11" localSheetId="50" hidden="1">{"'Sheet1'!$L$16"}</definedName>
    <definedName name="__v11" hidden="1">{"'Sheet1'!$L$16"}</definedName>
    <definedName name="_a1" localSheetId="41" hidden="1">{"'Sheet1'!$L$16"}</definedName>
    <definedName name="_a1" localSheetId="42" hidden="1">{"'Sheet1'!$L$16"}</definedName>
    <definedName name="_a1" localSheetId="2" hidden="1">{"'Sheet1'!$L$16"}</definedName>
    <definedName name="_a1" localSheetId="13" hidden="1">{"'Sheet1'!$L$16"}</definedName>
    <definedName name="_a1" localSheetId="50" hidden="1">{"'Sheet1'!$L$16"}</definedName>
    <definedName name="_a1" localSheetId="15" hidden="1">{"'Sheet1'!$L$16"}</definedName>
    <definedName name="_a1" localSheetId="46" hidden="1">{"'Sheet1'!$L$16"}</definedName>
    <definedName name="_a1" hidden="1">{"'Sheet1'!$L$16"}</definedName>
    <definedName name="_a10" localSheetId="41" hidden="1">{"'Sheet1'!$L$16"}</definedName>
    <definedName name="_a10" localSheetId="42" hidden="1">{"'Sheet1'!$L$16"}</definedName>
    <definedName name="_a10" localSheetId="13" hidden="1">{"'Sheet1'!$L$16"}</definedName>
    <definedName name="_a10" localSheetId="50" hidden="1">{"'Sheet1'!$L$16"}</definedName>
    <definedName name="_a10" localSheetId="46" hidden="1">{"'Sheet1'!$L$16"}</definedName>
    <definedName name="_a10" hidden="1">{"'Sheet1'!$L$16"}</definedName>
    <definedName name="_a11" localSheetId="41" hidden="1">{"'Sheet1'!$L$16"}</definedName>
    <definedName name="_a11" localSheetId="42" hidden="1">{"'Sheet1'!$L$16"}</definedName>
    <definedName name="_a11" localSheetId="13" hidden="1">{"'Sheet1'!$L$16"}</definedName>
    <definedName name="_a11" localSheetId="50" hidden="1">{"'Sheet1'!$L$16"}</definedName>
    <definedName name="_a11" localSheetId="46" hidden="1">{"'Sheet1'!$L$16"}</definedName>
    <definedName name="_a11" hidden="1">{"'Sheet1'!$L$16"}</definedName>
    <definedName name="_a12" localSheetId="41" hidden="1">{"'Sheet1'!$L$16"}</definedName>
    <definedName name="_a12" localSheetId="42" hidden="1">{"'Sheet1'!$L$16"}</definedName>
    <definedName name="_a12" localSheetId="13" hidden="1">{"'Sheet1'!$L$16"}</definedName>
    <definedName name="_a12" localSheetId="50" hidden="1">{"'Sheet1'!$L$16"}</definedName>
    <definedName name="_a12" localSheetId="46" hidden="1">{"'Sheet1'!$L$16"}</definedName>
    <definedName name="_a12" hidden="1">{"'Sheet1'!$L$16"}</definedName>
    <definedName name="_a129" localSheetId="42" hidden="1">{"Offgrid",#N/A,FALSE,"OFFGRID";"Region",#N/A,FALSE,"REGION";"Offgrid -2",#N/A,FALSE,"OFFGRID";"WTP",#N/A,FALSE,"WTP";"WTP -2",#N/A,FALSE,"WTP";"Project",#N/A,FALSE,"PROJECT";"Summary -2",#N/A,FALSE,"SUMMARY"}</definedName>
    <definedName name="_a129" hidden="1">{"Offgrid",#N/A,FALSE,"OFFGRID";"Region",#N/A,FALSE,"REGION";"Offgrid -2",#N/A,FALSE,"OFFGRID";"WTP",#N/A,FALSE,"WTP";"WTP -2",#N/A,FALSE,"WTP";"Project",#N/A,FALSE,"PROJECT";"Summary -2",#N/A,FALSE,"SUMMARY"}</definedName>
    <definedName name="_a13" localSheetId="41" hidden="1">{"'Sheet1'!$L$16"}</definedName>
    <definedName name="_a13" localSheetId="42" hidden="1">{"'Sheet1'!$L$16"}</definedName>
    <definedName name="_a13" localSheetId="13" hidden="1">{"'Sheet1'!$L$16"}</definedName>
    <definedName name="_a13" localSheetId="50" hidden="1">{"'Sheet1'!$L$16"}</definedName>
    <definedName name="_a13" localSheetId="46" hidden="1">{"'Sheet1'!$L$16"}</definedName>
    <definedName name="_a13" hidden="1">{"'Sheet1'!$L$16"}</definedName>
    <definedName name="_a130" localSheetId="42" hidden="1">{"Offgrid",#N/A,FALSE,"OFFGRID";"Region",#N/A,FALSE,"REGION";"Offgrid -2",#N/A,FALSE,"OFFGRID";"WTP",#N/A,FALSE,"WTP";"WTP -2",#N/A,FALSE,"WTP";"Project",#N/A,FALSE,"PROJECT";"Summary -2",#N/A,FALSE,"SUMMARY"}</definedName>
    <definedName name="_a130" hidden="1">{"Offgrid",#N/A,FALSE,"OFFGRID";"Region",#N/A,FALSE,"REGION";"Offgrid -2",#N/A,FALSE,"OFFGRID";"WTP",#N/A,FALSE,"WTP";"WTP -2",#N/A,FALSE,"WTP";"Project",#N/A,FALSE,"PROJECT";"Summary -2",#N/A,FALSE,"SUMMARY"}</definedName>
    <definedName name="_a14" localSheetId="41" hidden="1">{"'Sheet1'!$L$16"}</definedName>
    <definedName name="_a14" localSheetId="42" hidden="1">{"'Sheet1'!$L$16"}</definedName>
    <definedName name="_a14" localSheetId="13" hidden="1">{"'Sheet1'!$L$16"}</definedName>
    <definedName name="_a14" localSheetId="50" hidden="1">{"'Sheet1'!$L$16"}</definedName>
    <definedName name="_a14" localSheetId="46" hidden="1">{"'Sheet1'!$L$16"}</definedName>
    <definedName name="_a14" hidden="1">{"'Sheet1'!$L$16"}</definedName>
    <definedName name="_a18" localSheetId="41" hidden="1">{"'Sheet1'!$L$16"}</definedName>
    <definedName name="_a18" localSheetId="42" hidden="1">{"'Sheet1'!$L$16"}</definedName>
    <definedName name="_a18" localSheetId="13" hidden="1">{"'Sheet1'!$L$16"}</definedName>
    <definedName name="_a18" localSheetId="50" hidden="1">{"'Sheet1'!$L$16"}</definedName>
    <definedName name="_a18" localSheetId="46" hidden="1">{"'Sheet1'!$L$16"}</definedName>
    <definedName name="_a18" hidden="1">{"'Sheet1'!$L$16"}</definedName>
    <definedName name="_a19" localSheetId="41" hidden="1">{"'Sheet1'!$L$16"}</definedName>
    <definedName name="_a19" localSheetId="42" hidden="1">{"'Sheet1'!$L$16"}</definedName>
    <definedName name="_a19" localSheetId="50" hidden="1">{"'Sheet1'!$L$16"}</definedName>
    <definedName name="_a19" localSheetId="46" hidden="1">{"'Sheet1'!$L$16"}</definedName>
    <definedName name="_a19" hidden="1">{"'Sheet1'!$L$16"}</definedName>
    <definedName name="_a2" localSheetId="41" hidden="1">{"'Sheet1'!$L$16"}</definedName>
    <definedName name="_a2" localSheetId="42" hidden="1">{"'Sheet1'!$L$16"}</definedName>
    <definedName name="_a2" localSheetId="13" hidden="1">{"'Sheet1'!$L$16"}</definedName>
    <definedName name="_a2" localSheetId="50" hidden="1">{"'Sheet1'!$L$16"}</definedName>
    <definedName name="_a2" localSheetId="46" hidden="1">{"'Sheet1'!$L$16"}</definedName>
    <definedName name="_a2" hidden="1">{"'Sheet1'!$L$16"}</definedName>
    <definedName name="_a20" localSheetId="41" hidden="1">{"'Sheet1'!$L$16"}</definedName>
    <definedName name="_a20" localSheetId="42" hidden="1">{"'Sheet1'!$L$16"}</definedName>
    <definedName name="_a20" localSheetId="13" hidden="1">{"'Sheet1'!$L$16"}</definedName>
    <definedName name="_a20" localSheetId="50" hidden="1">{"'Sheet1'!$L$16"}</definedName>
    <definedName name="_a20" localSheetId="46" hidden="1">{"'Sheet1'!$L$16"}</definedName>
    <definedName name="_a20" hidden="1">{"'Sheet1'!$L$16"}</definedName>
    <definedName name="_a3" localSheetId="41" hidden="1">{"Offgrid",#N/A,FALSE,"OFFGRID";"Region",#N/A,FALSE,"REGION";"Offgrid -2",#N/A,FALSE,"OFFGRID";"WTP",#N/A,FALSE,"WTP";"WTP -2",#N/A,FALSE,"WTP";"Project",#N/A,FALSE,"PROJECT";"Summary -2",#N/A,FALSE,"SUMMARY"}</definedName>
    <definedName name="_a3" localSheetId="42" hidden="1">{"Offgrid",#N/A,FALSE,"OFFGRID";"Region",#N/A,FALSE,"REGION";"Offgrid -2",#N/A,FALSE,"OFFGRID";"WTP",#N/A,FALSE,"WTP";"WTP -2",#N/A,FALSE,"WTP";"Project",#N/A,FALSE,"PROJECT";"Summary -2",#N/A,FALSE,"SUMMARY"}</definedName>
    <definedName name="_a3" localSheetId="13" hidden="1">{"'Sheet1'!$L$16"}</definedName>
    <definedName name="_a3" localSheetId="50" hidden="1">{"'Sheet1'!$L$16"}</definedName>
    <definedName name="_a3" hidden="1">{"'Sheet1'!$L$16"}</definedName>
    <definedName name="_a4" localSheetId="41" hidden="1">{"'Sheet1'!$L$16"}</definedName>
    <definedName name="_a4" localSheetId="42" hidden="1">{"'Sheet1'!$L$16"}</definedName>
    <definedName name="_a4" localSheetId="13" hidden="1">{"'Sheet1'!$L$16"}</definedName>
    <definedName name="_a4" localSheetId="50" hidden="1">{"'Sheet1'!$L$16"}</definedName>
    <definedName name="_a4" localSheetId="46" hidden="1">{"'Sheet1'!$L$16"}</definedName>
    <definedName name="_a4" hidden="1">{"'Sheet1'!$L$16"}</definedName>
    <definedName name="_a5" localSheetId="41" hidden="1">{"'Sheet1'!$L$16"}</definedName>
    <definedName name="_a5" localSheetId="42" hidden="1">{"'Sheet1'!$L$16"}</definedName>
    <definedName name="_a5" localSheetId="13" hidden="1">{"'Sheet1'!$L$16"}</definedName>
    <definedName name="_a5" localSheetId="50" hidden="1">{"'Sheet1'!$L$16"}</definedName>
    <definedName name="_a5" localSheetId="46" hidden="1">{"'Sheet1'!$L$16"}</definedName>
    <definedName name="_a5" hidden="1">{"'Sheet1'!$L$16"}</definedName>
    <definedName name="_a7" localSheetId="41" hidden="1">{"'Sheet1'!$L$16"}</definedName>
    <definedName name="_a7" localSheetId="42" hidden="1">{"'Sheet1'!$L$16"}</definedName>
    <definedName name="_a7" localSheetId="13" hidden="1">{"'Sheet1'!$L$16"}</definedName>
    <definedName name="_a7" localSheetId="50" hidden="1">{"'Sheet1'!$L$16"}</definedName>
    <definedName name="_a7" localSheetId="46" hidden="1">{"'Sheet1'!$L$16"}</definedName>
    <definedName name="_a7" hidden="1">{"'Sheet1'!$L$16"}</definedName>
    <definedName name="_a8" localSheetId="41" hidden="1">{"'Sheet1'!$L$16"}</definedName>
    <definedName name="_a8" localSheetId="42" hidden="1">{"'Sheet1'!$L$16"}</definedName>
    <definedName name="_a8" localSheetId="13" hidden="1">{"'Sheet1'!$L$16"}</definedName>
    <definedName name="_a8" localSheetId="50" hidden="1">{"'Sheet1'!$L$16"}</definedName>
    <definedName name="_a8" localSheetId="46" hidden="1">{"'Sheet1'!$L$16"}</definedName>
    <definedName name="_a8" hidden="1">{"'Sheet1'!$L$16"}</definedName>
    <definedName name="_a9" localSheetId="41" hidden="1">{"'Sheet1'!$L$16"}</definedName>
    <definedName name="_a9" localSheetId="42" hidden="1">{"'Sheet1'!$L$16"}</definedName>
    <definedName name="_a9" localSheetId="13" hidden="1">{"'Sheet1'!$L$16"}</definedName>
    <definedName name="_a9" localSheetId="50" hidden="1">{"'Sheet1'!$L$16"}</definedName>
    <definedName name="_a9" localSheetId="46" hidden="1">{"'Sheet1'!$L$16"}</definedName>
    <definedName name="_a9" hidden="1">{"'Sheet1'!$L$16"}</definedName>
    <definedName name="_Builtin155" hidden="1">#N/A</definedName>
    <definedName name="_CT4" localSheetId="41" hidden="1">{"'Sheet1'!$L$16"}</definedName>
    <definedName name="_CT4" localSheetId="42" hidden="1">{"'Sheet1'!$L$16"}</definedName>
    <definedName name="_CT4" localSheetId="50" hidden="1">{"'Sheet1'!$L$16"}</definedName>
    <definedName name="_CT4" localSheetId="46" hidden="1">{"'Sheet1'!$L$16"}</definedName>
    <definedName name="_CT4" hidden="1">{"'Sheet1'!$L$16"}</definedName>
    <definedName name="_d1500" localSheetId="13" hidden="1">{"'Sheet1'!$L$16"}</definedName>
    <definedName name="_d1500" localSheetId="50" hidden="1">{"'Sheet1'!$L$16"}</definedName>
    <definedName name="_d1500" hidden="1">{"'Sheet1'!$L$16"}</definedName>
    <definedName name="_F1" localSheetId="41" hidden="1">{"'Sheet1'!$L$16"}</definedName>
    <definedName name="_F1" localSheetId="42" hidden="1">{"'Sheet1'!$L$16"}</definedName>
    <definedName name="_F1" localSheetId="2" hidden="1">{"'Sheet1'!$L$16"}</definedName>
    <definedName name="_F1" localSheetId="50" hidden="1">{"'Sheet1'!$L$16"}</definedName>
    <definedName name="_F1" localSheetId="46" hidden="1">{"'Sheet1'!$L$16"}</definedName>
    <definedName name="_F1" hidden="1">{"'Sheet1'!$L$16"}</definedName>
    <definedName name="_f5" localSheetId="41" hidden="1">{"'Sheet1'!$L$16"}</definedName>
    <definedName name="_f5" localSheetId="42" hidden="1">{"'Sheet1'!$L$16"}</definedName>
    <definedName name="_f5" localSheetId="13" hidden="1">{"'Sheet1'!$L$16"}</definedName>
    <definedName name="_f5" localSheetId="50" hidden="1">{"'Sheet1'!$L$16"}</definedName>
    <definedName name="_f5" localSheetId="46" hidden="1">{"'Sheet1'!$L$16"}</definedName>
    <definedName name="_f5" hidden="1">{"'Sheet1'!$L$16"}</definedName>
    <definedName name="_Fill" hidden="1">#REF!</definedName>
    <definedName name="_xlnm._FilterDatabase" localSheetId="43" hidden="1">'1218_Misa'!$A$4:$J$35</definedName>
    <definedName name="_xlnm._FilterDatabase" localSheetId="38" hidden="1">'911.CTC.YE22'!$A$2:$U$220</definedName>
    <definedName name="_xlnm._FilterDatabase" localSheetId="48" hidden="1">'911.VNSC.YE22'!$B$3:$I$210</definedName>
    <definedName name="_xlnm._FilterDatabase" localSheetId="19" hidden="1">'A0.LS'!$A$6:$BT$379</definedName>
    <definedName name="_xlnm._FilterDatabase" localSheetId="16" hidden="1">'A1.BS'!$B$5:$X$143</definedName>
    <definedName name="_xlnm._FilterDatabase" localSheetId="17" hidden="1">'A2.PL'!$B$5:$X$34</definedName>
    <definedName name="_xlnm._FilterDatabase" localSheetId="25" hidden="1">'A3.CF'!$B$5:$K$52</definedName>
    <definedName name="_xlnm._FilterDatabase" localSheetId="23" hidden="1">'A4.N2FS Consol'!$A$5:$T$822</definedName>
    <definedName name="_xlnm._FilterDatabase" localSheetId="24" hidden="1">'A4.N2FS Singles'!$A$5:$U$722</definedName>
    <definedName name="_xlnm._FilterDatabase" localSheetId="20" hidden="1">'A5.Consol FY24'!$B$6:$Q$263</definedName>
    <definedName name="_xlnm._FilterDatabase" localSheetId="21" hidden="1">'A5.CTC FY24'!$A$6:$AJ$114</definedName>
    <definedName name="_xlnm._FilterDatabase" localSheetId="28" hidden="1">'A5.FY24'!$B$6:$O$290</definedName>
    <definedName name="_xlnm._FilterDatabase" localSheetId="34" hidden="1">'A5.YE22'!$A$6:$N$132</definedName>
    <definedName name="_xlnm._FilterDatabase" localSheetId="41" hidden="1">'Adj#1-Interco Bal'!$A$1:$R$57</definedName>
    <definedName name="_xlnm._FilterDatabase" localSheetId="31" hidden="1">'Dự thu mới'!$B$2:$U$129</definedName>
    <definedName name="_xlnm._FilterDatabase" localSheetId="12" hidden="1">'GL154.Cty Me.FY24'!$A$3:$S$3</definedName>
    <definedName name="_xlnm._FilterDatabase" localSheetId="13" hidden="1">'GL911 VNSC FY24'!$AE$8:$AH$104</definedName>
    <definedName name="_xlnm._FilterDatabase" localSheetId="1" hidden="1">'GL911.CTM.HY23'!$A$2:$Z$2</definedName>
    <definedName name="_xlnm._FilterDatabase" localSheetId="11" hidden="1">'GL911.Cty Me.FY24'!$A$3:$T$833</definedName>
    <definedName name="_xlnm._FilterDatabase" localSheetId="9" hidden="1">'GL911.CtyCon.FY24'!$A$6:$N$140</definedName>
    <definedName name="_xlnm._FilterDatabase" localSheetId="4" hidden="1">'GL911.KCG.FY24'!$A$5:$L$41</definedName>
    <definedName name="_xlnm._FilterDatabase" localSheetId="6" hidden="1">'GL911.XH.FY24'!$A$5:$L$64</definedName>
    <definedName name="_xlnm._FilterDatabase" localSheetId="35" hidden="1">'Matching investment'!$I$5:$L$19</definedName>
    <definedName name="_xlnm._FilterDatabase" localSheetId="49" hidden="1">'Non deductible'!$A$3:$Q$168</definedName>
    <definedName name="_xlnm._FilterDatabase" localSheetId="33" hidden="1">'PhươngNH_Bút toán điều chỉnh EY'!$A$13:$J$55</definedName>
    <definedName name="_xlnm._FilterDatabase" localSheetId="26" hidden="1">'TB Cty Me 30Jun24'!$A$3:$H$112</definedName>
    <definedName name="_xlnm._FilterDatabase" localSheetId="15" hidden="1">'TB VNSC FY24'!$A$5:$O$408</definedName>
    <definedName name="_xlnm._FilterDatabase" localSheetId="10" hidden="1">'TB.CTy Me.FY2024'!$A$6:$M$200</definedName>
    <definedName name="_xlnm._FilterDatabase" localSheetId="36" hidden="1">'TB.VNSC.YE22'!$A$3:$P$177</definedName>
    <definedName name="_xlnm._FilterDatabase" localSheetId="5" hidden="1">'TB.XH.FY24'!$A$6:$K$53</definedName>
    <definedName name="_xlnm._FilterDatabase" hidden="1">#REF!</definedName>
    <definedName name="_g7" localSheetId="41" hidden="1">{"'Sheet1'!$L$16"}</definedName>
    <definedName name="_g7" localSheetId="42" hidden="1">{"'Sheet1'!$L$16"}</definedName>
    <definedName name="_g7" localSheetId="13" hidden="1">{"'Sheet1'!$L$16"}</definedName>
    <definedName name="_g7" localSheetId="50" hidden="1">{"'Sheet1'!$L$16"}</definedName>
    <definedName name="_g7" localSheetId="46" hidden="1">{"'Sheet1'!$L$16"}</definedName>
    <definedName name="_g7" hidden="1">{"'Sheet1'!$L$16"}</definedName>
    <definedName name="_h1" localSheetId="41" hidden="1">{"'Sheet1'!$L$16"}</definedName>
    <definedName name="_h1" localSheetId="42" hidden="1">{"'Sheet1'!$L$16"}</definedName>
    <definedName name="_h1" localSheetId="13" hidden="1">{"'Sheet1'!$L$16"}</definedName>
    <definedName name="_h1" localSheetId="50" hidden="1">{"'Sheet1'!$L$16"}</definedName>
    <definedName name="_h1" localSheetId="46" hidden="1">{"'Sheet1'!$L$16"}</definedName>
    <definedName name="_h1" hidden="1">{"'Sheet1'!$L$16"}</definedName>
    <definedName name="_hu1" localSheetId="41" hidden="1">{"'Sheet1'!$L$16"}</definedName>
    <definedName name="_hu1" localSheetId="42" hidden="1">{"'Sheet1'!$L$16"}</definedName>
    <definedName name="_hu1" localSheetId="13" hidden="1">{"'Sheet1'!$L$16"}</definedName>
    <definedName name="_hu1" localSheetId="50" hidden="1">{"'Sheet1'!$L$16"}</definedName>
    <definedName name="_hu1" localSheetId="46" hidden="1">{"'Sheet1'!$L$16"}</definedName>
    <definedName name="_hu1" hidden="1">{"'Sheet1'!$L$16"}</definedName>
    <definedName name="_hu14" localSheetId="41" hidden="1">{"'Sheet1'!$L$16"}</definedName>
    <definedName name="_hu14" localSheetId="42" hidden="1">{"'Sheet1'!$L$16"}</definedName>
    <definedName name="_hu14" localSheetId="13" hidden="1">{"'Sheet1'!$L$16"}</definedName>
    <definedName name="_hu14" localSheetId="50" hidden="1">{"'Sheet1'!$L$16"}</definedName>
    <definedName name="_hu14" localSheetId="46" hidden="1">{"'Sheet1'!$L$16"}</definedName>
    <definedName name="_hu14" hidden="1">{"'Sheet1'!$L$16"}</definedName>
    <definedName name="_hu2" localSheetId="41" hidden="1">{"'Sheet1'!$L$16"}</definedName>
    <definedName name="_hu2" localSheetId="42" hidden="1">{"'Sheet1'!$L$16"}</definedName>
    <definedName name="_hu2" localSheetId="13" hidden="1">{"'Sheet1'!$L$16"}</definedName>
    <definedName name="_hu2" localSheetId="50" hidden="1">{"'Sheet1'!$L$16"}</definedName>
    <definedName name="_hu2" localSheetId="46" hidden="1">{"'Sheet1'!$L$16"}</definedName>
    <definedName name="_hu2" hidden="1">{"'Sheet1'!$L$16"}</definedName>
    <definedName name="_hu5" localSheetId="41" hidden="1">{"'Sheet1'!$L$16"}</definedName>
    <definedName name="_hu5" localSheetId="42" hidden="1">{"'Sheet1'!$L$16"}</definedName>
    <definedName name="_hu5" localSheetId="13" hidden="1">{"'Sheet1'!$L$16"}</definedName>
    <definedName name="_hu5" localSheetId="50" hidden="1">{"'Sheet1'!$L$16"}</definedName>
    <definedName name="_hu5" localSheetId="46" hidden="1">{"'Sheet1'!$L$16"}</definedName>
    <definedName name="_hu5" hidden="1">{"'Sheet1'!$L$16"}</definedName>
    <definedName name="_hu6" localSheetId="41" hidden="1">{"'Sheet1'!$L$16"}</definedName>
    <definedName name="_hu6" localSheetId="42" hidden="1">{"'Sheet1'!$L$16"}</definedName>
    <definedName name="_hu6" localSheetId="13" hidden="1">{"'Sheet1'!$L$16"}</definedName>
    <definedName name="_hu6" localSheetId="50" hidden="1">{"'Sheet1'!$L$16"}</definedName>
    <definedName name="_hu6" localSheetId="46" hidden="1">{"'Sheet1'!$L$16"}</definedName>
    <definedName name="_hu6" hidden="1">{"'Sheet1'!$L$16"}</definedName>
    <definedName name="_huy1" localSheetId="41" hidden="1">{"'Sheet1'!$L$16"}</definedName>
    <definedName name="_huy1" localSheetId="42" hidden="1">{"'Sheet1'!$L$16"}</definedName>
    <definedName name="_huy1" localSheetId="2" hidden="1">{"'Sheet1'!$L$16"}</definedName>
    <definedName name="_huy1" localSheetId="50" hidden="1">{"'Sheet1'!$L$16"}</definedName>
    <definedName name="_huy1" localSheetId="46" hidden="1">{"'Sheet1'!$L$16"}</definedName>
    <definedName name="_huy1" hidden="1">{"'Sheet1'!$L$16"}</definedName>
    <definedName name="_Key1" hidden="1">#REF!</definedName>
    <definedName name="_Key2" hidden="1">#REF!</definedName>
    <definedName name="_kh11" localSheetId="13" hidden="1">{"'Sheet1'!$L$16"}</definedName>
    <definedName name="_kh11" localSheetId="50" hidden="1">{"'Sheet1'!$L$16"}</definedName>
    <definedName name="_kh11" hidden="1">{"'Sheet1'!$L$16"}</definedName>
    <definedName name="_M2" localSheetId="13" hidden="1">{"'Sheet1'!$L$16"}</definedName>
    <definedName name="_M2" localSheetId="50" hidden="1">{"'Sheet1'!$L$16"}</definedName>
    <definedName name="_M2" hidden="1">{"'Sheet1'!$L$16"}</definedName>
    <definedName name="_m4" localSheetId="41" hidden="1">{"'Sheet1'!$L$16"}</definedName>
    <definedName name="_m4" localSheetId="42" hidden="1">{"'Sheet1'!$L$16"}</definedName>
    <definedName name="_m4" localSheetId="13" hidden="1">{"'Sheet1'!$L$16"}</definedName>
    <definedName name="_m4" localSheetId="50" hidden="1">{"'Sheet1'!$L$16"}</definedName>
    <definedName name="_m4" localSheetId="46" hidden="1">{"'Sheet1'!$L$16"}</definedName>
    <definedName name="_m4" hidden="1">{"'Sheet1'!$L$16"}</definedName>
    <definedName name="_moi2" localSheetId="41" hidden="1">{"'Sheet1'!$L$16"}</definedName>
    <definedName name="_moi2" localSheetId="42" hidden="1">{"'Sheet1'!$L$16"}</definedName>
    <definedName name="_moi2" localSheetId="50" hidden="1">{"'Sheet1'!$L$16"}</definedName>
    <definedName name="_moi2" localSheetId="46" hidden="1">{"'Sheet1'!$L$16"}</definedName>
    <definedName name="_moi2" hidden="1">{"'Sheet1'!$L$16"}</definedName>
    <definedName name="_NS03" localSheetId="13" hidden="1">{"'Sheet1'!$L$16"}</definedName>
    <definedName name="_NS03" localSheetId="50" hidden="1">{"'Sheet1'!$L$16"}</definedName>
    <definedName name="_NS03" hidden="1">{"'Sheet1'!$L$16"}</definedName>
    <definedName name="_NSO2" localSheetId="41" hidden="1">{"'Sheet1'!$L$16"}</definedName>
    <definedName name="_NSO2" localSheetId="42" hidden="1">{"'Sheet1'!$L$16"}</definedName>
    <definedName name="_NSO2" localSheetId="2" hidden="1">{"'Sheet1'!$L$16"}</definedName>
    <definedName name="_NSO2" localSheetId="50" hidden="1">{"'Sheet1'!$L$16"}</definedName>
    <definedName name="_NSO2" localSheetId="46" hidden="1">{"'Sheet1'!$L$16"}</definedName>
    <definedName name="_NSO2" hidden="1">{"'Sheet1'!$L$16"}</definedName>
    <definedName name="_NSO3" localSheetId="41" hidden="1">{"'Sheet1'!$L$16"}</definedName>
    <definedName name="_NSO3" localSheetId="42" hidden="1">{"'Sheet1'!$L$16"}</definedName>
    <definedName name="_NSO3" localSheetId="2" hidden="1">{"'Sheet1'!$L$16"}</definedName>
    <definedName name="_NSO3" localSheetId="50" hidden="1">{"'Sheet1'!$L$16"}</definedName>
    <definedName name="_NSO3" localSheetId="46" hidden="1">{"'Sheet1'!$L$16"}</definedName>
    <definedName name="_NSO3" hidden="1">{"'Sheet1'!$L$16"}</definedName>
    <definedName name="_Order1" hidden="1">255</definedName>
    <definedName name="_Order2" hidden="1">255</definedName>
    <definedName name="_P2" localSheetId="41" hidden="1">{"'Sheet1'!$L$16"}</definedName>
    <definedName name="_P2" localSheetId="42" hidden="1">{"'Sheet1'!$L$16"}</definedName>
    <definedName name="_P2" localSheetId="13" hidden="1">{"'Sheet1'!$L$16"}</definedName>
    <definedName name="_P2" localSheetId="50" hidden="1">{"'Sheet1'!$L$16"}</definedName>
    <definedName name="_P2" localSheetId="46" hidden="1">{"'Sheet1'!$L$16"}</definedName>
    <definedName name="_P2" hidden="1">{"'Sheet1'!$L$16"}</definedName>
    <definedName name="_PA3" localSheetId="13" hidden="1">{"'Sheet1'!$L$16"}</definedName>
    <definedName name="_PA3" localSheetId="50" hidden="1">{"'Sheet1'!$L$16"}</definedName>
    <definedName name="_PA3" hidden="1">{"'Sheet1'!$L$16"}</definedName>
    <definedName name="_Parse_Out" hidden="1">[1]Quantity!#REF!</definedName>
    <definedName name="_Sort" hidden="1">#REF!</definedName>
    <definedName name="_T01" hidden="1">#REF!</definedName>
    <definedName name="_T05" localSheetId="41" hidden="1">{"'Sheet1'!$L$16"}</definedName>
    <definedName name="_T05" localSheetId="42" hidden="1">{"'Sheet1'!$L$16"}</definedName>
    <definedName name="_T05" localSheetId="13" hidden="1">{"'Sheet1'!$L$16"}</definedName>
    <definedName name="_T05" localSheetId="50" hidden="1">{"'Sheet1'!$L$16"}</definedName>
    <definedName name="_T05" localSheetId="46" hidden="1">{"'Sheet1'!$L$16"}</definedName>
    <definedName name="_T05" hidden="1">{"'Sheet1'!$L$16"}</definedName>
    <definedName name="_T1" localSheetId="41" hidden="1">{"'Sheet1'!$L$16"}</definedName>
    <definedName name="_T1" localSheetId="42" hidden="1">{"'Sheet1'!$L$16"}</definedName>
    <definedName name="_T1" localSheetId="13" hidden="1">{"'Sheet1'!$L$16"}</definedName>
    <definedName name="_T1" localSheetId="50" hidden="1">{"'Sheet1'!$L$16"}</definedName>
    <definedName name="_T1" localSheetId="46" hidden="1">{"'Sheet1'!$L$16"}</definedName>
    <definedName name="_T1" hidden="1">{"'Sheet1'!$L$16"}</definedName>
    <definedName name="_tgt11" localSheetId="13" hidden="1">{"'Sheet1'!$L$16"}</definedName>
    <definedName name="_tgt11" localSheetId="50" hidden="1">{"'Sheet1'!$L$16"}</definedName>
    <definedName name="_tgt11" hidden="1">{"'Sheet1'!$L$16"}</definedName>
    <definedName name="_v11" localSheetId="41" hidden="1">{"'Sheet1'!$L$16"}</definedName>
    <definedName name="_v11" localSheetId="42" hidden="1">{"'Sheet1'!$L$16"}</definedName>
    <definedName name="_v11" localSheetId="13" hidden="1">{"'Sheet1'!$L$16"}</definedName>
    <definedName name="_v11" localSheetId="50" hidden="1">{"'Sheet1'!$L$16"}</definedName>
    <definedName name="_v11" localSheetId="46" hidden="1">{"'Sheet1'!$L$16"}</definedName>
    <definedName name="_v11" hidden="1">{"'Sheet1'!$L$16"}</definedName>
    <definedName name="AAA_DOCTOPS" hidden="1">"AAA_SET"</definedName>
    <definedName name="AAA_duser" hidden="1">"OFF"</definedName>
    <definedName name="AAAA" localSheetId="42" hidden="1">{#N/A,#N/A,FALSE,"Chi tiÆt"}</definedName>
    <definedName name="AAAA" hidden="1">{#N/A,#N/A,FALSE,"Chi tiÆt"}</definedName>
    <definedName name="AAAAAAAAAAAAA" hidden="1">#REF!</definedName>
    <definedName name="aaaaaaaaaaaaaaaa" localSheetId="13" hidden="1">{0}</definedName>
    <definedName name="aaaaaaaaaaaaaaaa" localSheetId="50" hidden="1">{0}</definedName>
    <definedName name="aaaaaaaaaaaaaaaa" hidden="1">{0}</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bc" hidden="1">#REF!</definedName>
    <definedName name="abcd" localSheetId="13" hidden="1">{"'Sheet1'!$L$16"}</definedName>
    <definedName name="abcd" localSheetId="50" hidden="1">{"'Sheet1'!$L$16"}</definedName>
    <definedName name="abcd" hidden="1">{"'Sheet1'!$L$16"}</definedName>
    <definedName name="AccessDatabase" hidden="1">"C:\Documents and Settings\trong.tran\My Documents\Phieu thu chi.mdb"</definedName>
    <definedName name="ADFHA" localSheetId="41" hidden="1">{"'Sheet1'!$L$16"}</definedName>
    <definedName name="ADFHA" localSheetId="42" hidden="1">{"'Sheet1'!$L$16"}</definedName>
    <definedName name="ADFHA" localSheetId="13" hidden="1">{"'Sheet1'!$L$16"}</definedName>
    <definedName name="ADFHA" localSheetId="50" hidden="1">{"'Sheet1'!$L$16"}</definedName>
    <definedName name="ADFHA" localSheetId="46" hidden="1">{"'Sheet1'!$L$16"}</definedName>
    <definedName name="ADFHA" hidden="1">{"'Sheet1'!$L$16"}</definedName>
    <definedName name="ADFHGADFH" localSheetId="41" hidden="1">{"'Sheet1'!$L$16"}</definedName>
    <definedName name="ADFHGADFH" localSheetId="42" hidden="1">{"'Sheet1'!$L$16"}</definedName>
    <definedName name="ADFHGADFH" localSheetId="13" hidden="1">{"'Sheet1'!$L$16"}</definedName>
    <definedName name="ADFHGADFH" localSheetId="50" hidden="1">{"'Sheet1'!$L$16"}</definedName>
    <definedName name="ADFHGADFH" localSheetId="46" hidden="1">{"'Sheet1'!$L$16"}</definedName>
    <definedName name="ADFHGADFH" hidden="1">{"'Sheet1'!$L$16"}</definedName>
    <definedName name="adsad" localSheetId="41" hidden="1">{"'Sheet1'!$L$16"}</definedName>
    <definedName name="adsad" localSheetId="42" hidden="1">{"'Sheet1'!$L$16"}</definedName>
    <definedName name="adsad" localSheetId="50" hidden="1">{"'Sheet1'!$L$16"}</definedName>
    <definedName name="adsad" localSheetId="46" hidden="1">{"'Sheet1'!$L$16"}</definedName>
    <definedName name="adsad" hidden="1">{"'Sheet1'!$L$16"}</definedName>
    <definedName name="aert" localSheetId="41" hidden="1">{"'Sheet1'!$L$16"}</definedName>
    <definedName name="aert" localSheetId="42" hidden="1">{"'Sheet1'!$L$16"}</definedName>
    <definedName name="aert" localSheetId="13" hidden="1">{"'Sheet1'!$L$16"}</definedName>
    <definedName name="aert" localSheetId="50" hidden="1">{"'Sheet1'!$L$16"}</definedName>
    <definedName name="aert" localSheetId="46" hidden="1">{"'Sheet1'!$L$16"}</definedName>
    <definedName name="aert" hidden="1">{"'Sheet1'!$L$16"}</definedName>
    <definedName name="af" localSheetId="13" hidden="1">{"'Sheet1'!$L$16"}</definedName>
    <definedName name="af" localSheetId="50" hidden="1">{"'Sheet1'!$L$16"}</definedName>
    <definedName name="af" hidden="1">{"'Sheet1'!$L$16"}</definedName>
    <definedName name="agdg" localSheetId="41" hidden="1">{"'Sheet1'!$L$16"}</definedName>
    <definedName name="agdg" localSheetId="42" hidden="1">{"'Sheet1'!$L$16"}</definedName>
    <definedName name="agdg" localSheetId="13" hidden="1">{"'Sheet1'!$L$16"}</definedName>
    <definedName name="agdg" localSheetId="50" hidden="1">{"'Sheet1'!$L$16"}</definedName>
    <definedName name="agdg" localSheetId="46" hidden="1">{"'Sheet1'!$L$16"}</definedName>
    <definedName name="agdg" hidden="1">{"'Sheet1'!$L$16"}</definedName>
    <definedName name="allala" localSheetId="41" hidden="1">{"'Sheet1'!$L$16"}</definedName>
    <definedName name="allala" localSheetId="42" hidden="1">{"'Sheet1'!$L$16"}</definedName>
    <definedName name="allala" localSheetId="13" hidden="1">{"'Sheet1'!$L$16"}</definedName>
    <definedName name="allala" localSheetId="50" hidden="1">{"'Sheet1'!$L$16"}</definedName>
    <definedName name="allala" localSheetId="46" hidden="1">{"'Sheet1'!$L$16"}</definedName>
    <definedName name="allala" hidden="1">{"'Sheet1'!$L$16"}</definedName>
    <definedName name="anscount" localSheetId="13" hidden="1">3</definedName>
    <definedName name="anscount" localSheetId="15" hidden="1">3</definedName>
    <definedName name="anscount" hidden="1">2</definedName>
    <definedName name="apr" localSheetId="41" hidden="1">{"'РП (2)'!$A$5:$S$150"}</definedName>
    <definedName name="apr" localSheetId="42" hidden="1">{"'РП (2)'!$A$5:$S$150"}</definedName>
    <definedName name="apr" localSheetId="50" hidden="1">{"'РП (2)'!$A$5:$S$150"}</definedName>
    <definedName name="apr" localSheetId="46" hidden="1">{"'РП (2)'!$A$5:$S$150"}</definedName>
    <definedName name="apr" hidden="1">{"'РП (2)'!$A$5:$S$150"}</definedName>
    <definedName name="AS2DocOpenMode" hidden="1">"AS2DocumentEdit"</definedName>
    <definedName name="AS2HasNoAutoHeaderFooter" hidden="1">" "</definedName>
    <definedName name="AS2LinkLS" hidden="1">#REF!</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d" localSheetId="41" hidden="1">{"'РП (2)'!$A$5:$S$150"}</definedName>
    <definedName name="asd" localSheetId="42" hidden="1">{"'РП (2)'!$A$5:$S$150"}</definedName>
    <definedName name="asd" localSheetId="50" hidden="1">{"'РП (2)'!$A$5:$S$150"}</definedName>
    <definedName name="asd" localSheetId="46" hidden="1">{"'РП (2)'!$A$5:$S$150"}</definedName>
    <definedName name="asd" hidden="1">{"'РП (2)'!$A$5:$S$150"}</definedName>
    <definedName name="asdfg" localSheetId="41" hidden="1">{"'РП (2)'!$A$5:$S$150"}</definedName>
    <definedName name="asdfg" localSheetId="42" hidden="1">{"'РП (2)'!$A$5:$S$150"}</definedName>
    <definedName name="asdfg" localSheetId="50" hidden="1">{"'РП (2)'!$A$5:$S$150"}</definedName>
    <definedName name="asdfg" localSheetId="46" hidden="1">{"'РП (2)'!$A$5:$S$150"}</definedName>
    <definedName name="asdfg" hidden="1">{"'РП (2)'!$A$5:$S$150"}</definedName>
    <definedName name="asdfs" localSheetId="41" hidden="1">{"'РП (2)'!$A$5:$S$150"}</definedName>
    <definedName name="asdfs" localSheetId="42" hidden="1">{"'РП (2)'!$A$5:$S$150"}</definedName>
    <definedName name="asdfs" localSheetId="50" hidden="1">{"'РП (2)'!$A$5:$S$150"}</definedName>
    <definedName name="asdfs" localSheetId="46" hidden="1">{"'РП (2)'!$A$5:$S$150"}</definedName>
    <definedName name="asdfs" hidden="1">{"'РП (2)'!$A$5:$S$150"}</definedName>
    <definedName name="avv" hidden="1">#REF!</definedName>
    <definedName name="baasdfasdfadsfadsf" localSheetId="41" hidden="1">{"'Sheet1'!$L$16"}</definedName>
    <definedName name="baasdfasdfadsfadsf" localSheetId="42" hidden="1">{"'Sheet1'!$L$16"}</definedName>
    <definedName name="baasdfasdfadsfadsf" localSheetId="50" hidden="1">{"'Sheet1'!$L$16"}</definedName>
    <definedName name="baasdfasdfadsfadsf" localSheetId="46" hidden="1">{"'Sheet1'!$L$16"}</definedName>
    <definedName name="baasdfasdfadsfadsf" hidden="1">{"'Sheet1'!$L$16"}</definedName>
    <definedName name="baasfasfasdfasdfasfasfasfas" localSheetId="41" hidden="1">{"'Sheet1'!$L$16"}</definedName>
    <definedName name="baasfasfasdfasdfasfasfasfas" localSheetId="42" hidden="1">{"'Sheet1'!$L$16"}</definedName>
    <definedName name="baasfasfasdfasdfasfasfasfas" localSheetId="50" hidden="1">{"'Sheet1'!$L$16"}</definedName>
    <definedName name="baasfasfasdfasdfasfasfasfas" localSheetId="46" hidden="1">{"'Sheet1'!$L$16"}</definedName>
    <definedName name="baasfasfasdfasdfasfasfasfas" hidden="1">{"'Sheet1'!$L$16"}</definedName>
    <definedName name="Bao" localSheetId="42" hidden="1">{#N/A,#N/A,FALSE,"Chi tiÆt"}</definedName>
    <definedName name="Bao" hidden="1">{#N/A,#N/A,FALSE,"Chi tiÆt"}</definedName>
    <definedName name="batrasrasffasfrasdfasdf" localSheetId="41" hidden="1">{"'Sheet1'!$L$16"}</definedName>
    <definedName name="batrasrasffasfrasdfasdf" localSheetId="42" hidden="1">{"'Sheet1'!$L$16"}</definedName>
    <definedName name="batrasrasffasfrasdfasdf" localSheetId="50" hidden="1">{"'Sheet1'!$L$16"}</definedName>
    <definedName name="batrasrasffasfrasdfasdf" localSheetId="46" hidden="1">{"'Sheet1'!$L$16"}</definedName>
    <definedName name="batrasrasffasfrasdfasdf" hidden="1">{"'Sheet1'!$L$16"}</definedName>
    <definedName name="bbb" localSheetId="41" hidden="1">{"'Sheet1'!$L$16"}</definedName>
    <definedName name="bbb" localSheetId="42" hidden="1">{"'Sheet1'!$L$16"}</definedName>
    <definedName name="bbb" localSheetId="2" hidden="1">{"'Sheet1'!$L$16"}</definedName>
    <definedName name="bbb" localSheetId="50" hidden="1">{"'Sheet1'!$L$16"}</definedName>
    <definedName name="bbb" localSheetId="46" hidden="1">{"'Sheet1'!$L$16"}</definedName>
    <definedName name="bbb" hidden="1">{"'Sheet1'!$L$16"}</definedName>
    <definedName name="bbkd" localSheetId="42" hidden="1">{"Offgrid",#N/A,FALSE,"OFFGRID";"Region",#N/A,FALSE,"REGION";"Offgrid -2",#N/A,FALSE,"OFFGRID";"WTP",#N/A,FALSE,"WTP";"WTP -2",#N/A,FALSE,"WTP";"Project",#N/A,FALSE,"PROJECT";"Summary -2",#N/A,FALSE,"SUMMARY"}</definedName>
    <definedName name="bbkd" hidden="1">{"Offgrid",#N/A,FALSE,"OFFGRID";"Region",#N/A,FALSE,"REGION";"Offgrid -2",#N/A,FALSE,"OFFGRID";"WTP",#N/A,FALSE,"WTP";"WTP -2",#N/A,FALSE,"WTP";"Project",#N/A,FALSE,"PROJECT";"Summary -2",#N/A,FALSE,"SUMMARY"}</definedName>
    <definedName name="BCKQKD" localSheetId="41" hidden="1">{"'Sheet1'!$L$16"}</definedName>
    <definedName name="BCKQKD" localSheetId="42" hidden="1">{"'Sheet1'!$L$16"}</definedName>
    <definedName name="BCKQKD" localSheetId="50" hidden="1">{"'Sheet1'!$L$16"}</definedName>
    <definedName name="BCKQKD" localSheetId="46" hidden="1">{"'Sheet1'!$L$16"}</definedName>
    <definedName name="BCKQKD" hidden="1">{"'Sheet1'!$L$16"}</definedName>
    <definedName name="BG_Del" hidden="1">15</definedName>
    <definedName name="BG_Ins" hidden="1">4</definedName>
    <definedName name="BG_Mod" hidden="1">6</definedName>
    <definedName name="BNE_MESSAGES_HIDDEN" hidden="1">#REF!</definedName>
    <definedName name="BOOK1" localSheetId="41" hidden="1">[2]Perform1!$L$6:$M$6</definedName>
    <definedName name="BOOK1" localSheetId="42" hidden="1">[2]Perform1!$L$6:$M$6</definedName>
    <definedName name="BOOK1" hidden="1">[3]Perform1!$L$6:$M$6</definedName>
    <definedName name="bstasrfasfasd" localSheetId="41" hidden="1">{"'Sheet1'!$L$16"}</definedName>
    <definedName name="bstasrfasfasd" localSheetId="42" hidden="1">{"'Sheet1'!$L$16"}</definedName>
    <definedName name="bstasrfasfasd" localSheetId="50" hidden="1">{"'Sheet1'!$L$16"}</definedName>
    <definedName name="bstasrfasfasd" localSheetId="46" hidden="1">{"'Sheet1'!$L$16"}</definedName>
    <definedName name="bstasrfasfasd" hidden="1">{"'Sheet1'!$L$16"}</definedName>
    <definedName name="bstrasrasfrasfadsfadsf" localSheetId="41" hidden="1">{"'Sheet1'!$L$16"}</definedName>
    <definedName name="bstrasrasfrasfadsfadsf" localSheetId="42" hidden="1">{"'Sheet1'!$L$16"}</definedName>
    <definedName name="bstrasrasfrasfadsfadsf" localSheetId="50" hidden="1">{"'Sheet1'!$L$16"}</definedName>
    <definedName name="bstrasrasfrasfadsfadsf" localSheetId="46" hidden="1">{"'Sheet1'!$L$16"}</definedName>
    <definedName name="bstrasrasfrasfadsfadsf" hidden="1">{"'Sheet1'!$L$16"}</definedName>
    <definedName name="Ç" localSheetId="13" hidden="1">{"'Sheet1'!$L$16"}</definedName>
    <definedName name="Ç" localSheetId="50" hidden="1">{"'Sheet1'!$L$16"}</definedName>
    <definedName name="Ç" hidden="1">{"'Sheet1'!$L$16"}</definedName>
    <definedName name="Cam_ket_TSCD" hidden="1">#REF!</definedName>
    <definedName name="Cam_ket_TSCD_E" hidden="1">#REF!</definedName>
    <definedName name="CanCu_XD_TThue_E" hidden="1">#REF!</definedName>
    <definedName name="CanCu_XD_TThue_V" hidden="1">#REF!</definedName>
    <definedName name="cc" localSheetId="41" hidden="1">{"'Sheet1'!$L$16"}</definedName>
    <definedName name="cc" localSheetId="42" hidden="1">{"'Sheet1'!$L$16"}</definedName>
    <definedName name="cc" localSheetId="50" hidden="1">{"'Sheet1'!$L$16"}</definedName>
    <definedName name="cc" localSheetId="46" hidden="1">{"'Sheet1'!$L$16"}</definedName>
    <definedName name="cc" hidden="1">{"'Sheet1'!$L$16"}</definedName>
    <definedName name="cg" localSheetId="41" hidden="1">{"'Sheet1'!$L$16"}</definedName>
    <definedName name="cg" localSheetId="42" hidden="1">{"'Sheet1'!$L$16"}</definedName>
    <definedName name="cg" localSheetId="50" hidden="1">{"'Sheet1'!$L$16"}</definedName>
    <definedName name="cg" localSheetId="46" hidden="1">{"'Sheet1'!$L$16"}</definedName>
    <definedName name="cg" hidden="1">{"'Sheet1'!$L$16"}</definedName>
    <definedName name="cgghh" localSheetId="41" hidden="1">{"'Sheet1'!$L$16"}</definedName>
    <definedName name="cgghh" localSheetId="42" hidden="1">{"'Sheet1'!$L$16"}</definedName>
    <definedName name="cgghh" localSheetId="50" hidden="1">{"'Sheet1'!$L$16"}</definedName>
    <definedName name="cgghh" localSheetId="46" hidden="1">{"'Sheet1'!$L$16"}</definedName>
    <definedName name="cgghh" hidden="1">{"'Sheet1'!$L$16"}</definedName>
    <definedName name="chau" localSheetId="41" hidden="1">{0}</definedName>
    <definedName name="chau" localSheetId="42" hidden="1">{0}</definedName>
    <definedName name="chau" localSheetId="50" hidden="1">{0}</definedName>
    <definedName name="chau" localSheetId="46" hidden="1">{0}</definedName>
    <definedName name="chau" hidden="1">{0}</definedName>
    <definedName name="check_BCTDVCSH" hidden="1">#REF!</definedName>
    <definedName name="Chuc_Danh_BGD_E" hidden="1">#REF!</definedName>
    <definedName name="Chuc_Danh_BGD_V" hidden="1">#REF!</definedName>
    <definedName name="ChucDanh_DDCTKToan_E" hidden="1">#REF!</definedName>
    <definedName name="ChucDanh_DDCTKToan_V" hidden="1">#REF!</definedName>
    <definedName name="ChucDanh_KTT_E" hidden="1">#REF!</definedName>
    <definedName name="ChucDanh_KTT_V" hidden="1">#REF!</definedName>
    <definedName name="ChucDanh_NguoiLap_E" hidden="1">#REF!</definedName>
    <definedName name="ChucDanh_NguoiLap_V" hidden="1">#REF!</definedName>
    <definedName name="ChucDanh_ThuTruong_E" hidden="1">#REF!</definedName>
    <definedName name="ChucDanh_ThuTruong_V" hidden="1">#REF!</definedName>
    <definedName name="ChungChi_DDCTKToan_E" hidden="1">#REF!</definedName>
    <definedName name="ChungChi_DDCTKToan_V" hidden="1">#REF!</definedName>
    <definedName name="ChungChi_KTV_E" hidden="1">#REF!</definedName>
    <definedName name="ChungChi_KTV_V" hidden="1">#REF!</definedName>
    <definedName name="Code" hidden="1">#REF!</definedName>
    <definedName name="Control" localSheetId="41" hidden="1">{"'РП (2)'!$A$5:$S$150"}</definedName>
    <definedName name="Control" localSheetId="42" hidden="1">{"'РП (2)'!$A$5:$S$150"}</definedName>
    <definedName name="Control" localSheetId="50" hidden="1">{"'РП (2)'!$A$5:$S$150"}</definedName>
    <definedName name="Control" localSheetId="46" hidden="1">{"'РП (2)'!$A$5:$S$150"}</definedName>
    <definedName name="Control" hidden="1">{"'РП (2)'!$A$5:$S$150"}</definedName>
    <definedName name="CP" hidden="1">#REF!</definedName>
    <definedName name="CPBQ_KN" hidden="1">#REF!</definedName>
    <definedName name="CPBQ_KT" hidden="1">#REF!</definedName>
    <definedName name="CT" localSheetId="42" hidden="1">{#N/A,#N/A,TRUE,"BT M200 da 10x20"}</definedName>
    <definedName name="CT" hidden="1">{#N/A,#N/A,TRUE,"BT M200 da 10x20"}</definedName>
    <definedName name="CT_LCGT" hidden="1">OFFSET(#REF!,1,0,COUNTA(#REF!)-COUNTA(#REF!),4)</definedName>
    <definedName name="CT_LCTT">#REF!</definedName>
    <definedName name="CT_TMinh">#REF!</definedName>
    <definedName name="CTCT1" localSheetId="41" hidden="1">{"'Sheet1'!$L$16"}</definedName>
    <definedName name="CTCT1" localSheetId="42" hidden="1">{"'Sheet1'!$L$16"}</definedName>
    <definedName name="CTCT1" localSheetId="13" hidden="1">{"'Sheet1'!$L$16"}</definedName>
    <definedName name="CTCT1" localSheetId="50" hidden="1">{"'Sheet1'!$L$16"}</definedName>
    <definedName name="CTCT1" localSheetId="46" hidden="1">{"'Sheet1'!$L$16"}</definedName>
    <definedName name="CTCT1" hidden="1">{"'Sheet1'!$L$16"}</definedName>
    <definedName name="d" hidden="1">#REF!</definedName>
    <definedName name="DA_2824038358300000349" hidden="1">#REF!</definedName>
    <definedName name="DA_3224074214300000723" hidden="1">#REF!</definedName>
    <definedName name="DA_3224074214300000802" hidden="1">#REF!</definedName>
    <definedName name="DA_3224074214300000824" hidden="1">#REF!</definedName>
    <definedName name="DA_3224074214300000829" hidden="1">#REF!</definedName>
    <definedName name="DA_3224074214300000833" hidden="1">#REF!</definedName>
    <definedName name="DA_3224074214300000839" hidden="1">#REF!</definedName>
    <definedName name="DA_3224074214300000870" hidden="1">#REF!</definedName>
    <definedName name="DA_3224074214300000898" hidden="1">#REF!</definedName>
    <definedName name="DA_3224074214300000908" hidden="1">#REF!</definedName>
    <definedName name="DA_3224074214300000928" hidden="1">#REF!</definedName>
    <definedName name="DA_3224074214300001007" hidden="1">#REF!</definedName>
    <definedName name="DA_3224074214300001010" hidden="1">#REF!</definedName>
    <definedName name="DA_3224074214300001020" hidden="1">#REF!</definedName>
    <definedName name="DA_3224074214300001038" hidden="1">#REF!</definedName>
    <definedName name="DA_3224074214300001044" hidden="1">#REF!</definedName>
    <definedName name="DA_3224074214300001048" hidden="1">#REF!</definedName>
    <definedName name="DA_3224074214300001055" hidden="1">#REF!</definedName>
    <definedName name="DA_3224074214300001067" hidden="1">#REF!</definedName>
    <definedName name="DA_3224074214300001098" hidden="1">#REF!</definedName>
    <definedName name="DA_3224074214300001102" hidden="1">#REF!</definedName>
    <definedName name="DA_3224074214300001108" hidden="1">#REF!</definedName>
    <definedName name="DA_3224074214300001118" hidden="1">#REF!</definedName>
    <definedName name="DA_3224074214300001122" hidden="1">#REF!</definedName>
    <definedName name="DA_3224074214300001127" hidden="1">#REF!</definedName>
    <definedName name="DA_3224074214300001133" hidden="1">#REF!</definedName>
    <definedName name="DA_3224074214300001138" hidden="1">#REF!</definedName>
    <definedName name="DA_3224074214300001142" hidden="1">#REF!</definedName>
    <definedName name="DA_3224074214300001148" hidden="1">#REF!</definedName>
    <definedName name="DA_3224074214300001152" hidden="1">#REF!</definedName>
    <definedName name="DA_3224074214300001158" hidden="1">#REF!</definedName>
    <definedName name="DA_3224074214300001162" hidden="1">#REF!</definedName>
    <definedName name="DA_3224074214300001171" hidden="1">#REF!</definedName>
    <definedName name="DA_3224074214300001177" hidden="1">#REF!</definedName>
    <definedName name="DA_3224080964400000783" hidden="1">#REF!</definedName>
    <definedName name="DA_3224080964400000791" hidden="1">#REF!</definedName>
    <definedName name="DA_3224080964400000798" hidden="1">#REF!</definedName>
    <definedName name="DA_3224080964400000808" hidden="1">#REF!</definedName>
    <definedName name="DA_3224080964400000812" hidden="1">#REF!</definedName>
    <definedName name="DA_3224080964400000824" hidden="1">#REF!</definedName>
    <definedName name="DA_3224960945900000182" hidden="1">#REF!</definedName>
    <definedName name="DA_3224960945900000187" hidden="1">#REF!</definedName>
    <definedName name="DA_3224960945900000191" hidden="1">#REF!</definedName>
    <definedName name="DA_3224960945900000196" hidden="1">#REF!</definedName>
    <definedName name="DA_3224960945900000200" hidden="1">#REF!</definedName>
    <definedName name="DA_3224960945900000205" hidden="1">#REF!</definedName>
    <definedName name="DA_3224960945900000211" hidden="1">#REF!</definedName>
    <definedName name="DA_3224960945900000215" hidden="1">#REF!</definedName>
    <definedName name="DA_3224960945900000220" hidden="1">#REF!</definedName>
    <definedName name="DA_3224960945900000268" hidden="1">#REF!</definedName>
    <definedName name="DA_3224960945900000274" hidden="1">#REF!</definedName>
    <definedName name="DA_3224960945900000279" hidden="1">#REF!</definedName>
    <definedName name="DA_3224960945900000283" hidden="1">#REF!</definedName>
    <definedName name="DA_3224960945900000292" hidden="1">#REF!</definedName>
    <definedName name="DA_3224960945900000298" hidden="1">#REF!</definedName>
    <definedName name="DA_3224960945900000303" hidden="1">#REF!</definedName>
    <definedName name="DA_3224960945900000307" hidden="1">#REF!</definedName>
    <definedName name="DA_3224960945900000313" hidden="1">#REF!</definedName>
    <definedName name="DA_3224960945900000317" hidden="1">#REF!</definedName>
    <definedName name="DA_3224960945900000323" hidden="1">#REF!</definedName>
    <definedName name="DA_3224960945900000328" hidden="1">#REF!</definedName>
    <definedName name="DA_3224960945900000332" hidden="1">#REF!</definedName>
    <definedName name="DA_3224960945900000337" hidden="1">#REF!</definedName>
    <definedName name="DA_3224960945900000343" hidden="1">#REF!</definedName>
    <definedName name="daaaa" localSheetId="41" hidden="1">{"'Sheet1'!$L$16"}</definedName>
    <definedName name="daaaa" localSheetId="42" hidden="1">{"'Sheet1'!$L$16"}</definedName>
    <definedName name="daaaa" localSheetId="50" hidden="1">{"'Sheet1'!$L$16"}</definedName>
    <definedName name="daaaa" localSheetId="46" hidden="1">{"'Sheet1'!$L$16"}</definedName>
    <definedName name="daaaa" hidden="1">{"'Sheet1'!$L$16"}</definedName>
    <definedName name="data_DieuChinh" hidden="1">#REF!</definedName>
    <definedName name="data1" hidden="1">#REF!</definedName>
    <definedName name="data2" hidden="1">#REF!</definedName>
    <definedName name="data3" hidden="1">#REF!</definedName>
    <definedName name="ddd" localSheetId="41" hidden="1">{"'Sheet1'!$L$16"}</definedName>
    <definedName name="ddd" localSheetId="42" hidden="1">{"'Sheet1'!$L$16"}</definedName>
    <definedName name="ddd" localSheetId="50" hidden="1">{"'Sheet1'!$L$16"}</definedName>
    <definedName name="ddd" localSheetId="46" hidden="1">{"'Sheet1'!$L$16"}</definedName>
    <definedName name="ddd" hidden="1">{"'Sheet1'!$L$16"}</definedName>
    <definedName name="dddd" localSheetId="41" hidden="1">{"'Sheet1'!$L$16"}</definedName>
    <definedName name="dddd" localSheetId="42" hidden="1">{"'Sheet1'!$L$16"}</definedName>
    <definedName name="dddd" localSheetId="50" hidden="1">{"'Sheet1'!$L$16"}</definedName>
    <definedName name="dddd" localSheetId="46" hidden="1">{"'Sheet1'!$L$16"}</definedName>
    <definedName name="dddd" hidden="1">{"'Sheet1'!$L$16"}</definedName>
    <definedName name="ddddd" localSheetId="41" hidden="1">{"'РП (2)'!$A$5:$S$150"}</definedName>
    <definedName name="ddddd" localSheetId="42" hidden="1">{"'РП (2)'!$A$5:$S$150"}</definedName>
    <definedName name="ddddd" localSheetId="50" hidden="1">{"'РП (2)'!$A$5:$S$150"}</definedName>
    <definedName name="ddddd" localSheetId="46" hidden="1">{"'РП (2)'!$A$5:$S$150"}</definedName>
    <definedName name="ddddd" hidden="1">{"'РП (2)'!$A$5:$S$150"}</definedName>
    <definedName name="ddhh" localSheetId="41" hidden="1">{"'РП (2)'!$A$5:$S$150"}</definedName>
    <definedName name="ddhh" localSheetId="42" hidden="1">{"'РП (2)'!$A$5:$S$150"}</definedName>
    <definedName name="ddhh" localSheetId="50" hidden="1">{"'РП (2)'!$A$5:$S$150"}</definedName>
    <definedName name="ddhh" localSheetId="46" hidden="1">{"'РП (2)'!$A$5:$S$150"}</definedName>
    <definedName name="ddhh" hidden="1">{"'РП (2)'!$A$5:$S$150"}</definedName>
    <definedName name="ddvv" localSheetId="41" hidden="1">{"'РП (2)'!$A$5:$S$150"}</definedName>
    <definedName name="ddvv" localSheetId="42" hidden="1">{"'РП (2)'!$A$5:$S$150"}</definedName>
    <definedName name="ddvv" localSheetId="50" hidden="1">{"'РП (2)'!$A$5:$S$150"}</definedName>
    <definedName name="ddvv" localSheetId="46" hidden="1">{"'РП (2)'!$A$5:$S$150"}</definedName>
    <definedName name="ddvv" hidden="1">{"'РП (2)'!$A$5:$S$150"}</definedName>
    <definedName name="Dem_TMCode" localSheetId="42" hidden="1">COUNTA(OFFSET([4]DM!$N$3,0,IF(ISNA(MATCH(#REF!,'Adj#2-Interco Trans'!TDe_TMCode,0)),0,MATCH(#REF!,'Adj#2-Interco Trans'!TDe_TMCode,0)),50,1))</definedName>
    <definedName name="Dem_TMCode" hidden="1">COUNTA(OFFSET([4]DM!$N$3,0,IF(ISNA(MATCH(#REF!,'Adj#1-Interco Bal'!TDe_TMCode,0)),0,MATCH(#REF!,'Adj#1-Interco Bal'!TDe_TMCode,0)),50,1))</definedName>
    <definedName name="dfdsff" hidden="1">#REF!</definedName>
    <definedName name="DFHADHA" localSheetId="41" hidden="1">{"'Sheet1'!$L$16"}</definedName>
    <definedName name="DFHADHA" localSheetId="42" hidden="1">{"'Sheet1'!$L$16"}</definedName>
    <definedName name="DFHADHA" localSheetId="13" hidden="1">{"'Sheet1'!$L$16"}</definedName>
    <definedName name="DFHADHA" localSheetId="50" hidden="1">{"'Sheet1'!$L$16"}</definedName>
    <definedName name="DFHADHA" localSheetId="46" hidden="1">{"'Sheet1'!$L$16"}</definedName>
    <definedName name="DFHADHA" hidden="1">{"'Sheet1'!$L$16"}</definedName>
    <definedName name="đfsda" hidden="1">#REF!</definedName>
    <definedName name="dfsdf" localSheetId="41" hidden="1">{"'Sheet1'!$L$16"}</definedName>
    <definedName name="dfsdf" localSheetId="42" hidden="1">{"'Sheet1'!$L$16"}</definedName>
    <definedName name="dfsdf" localSheetId="50" hidden="1">{"'Sheet1'!$L$16"}</definedName>
    <definedName name="dfsdf" localSheetId="46" hidden="1">{"'Sheet1'!$L$16"}</definedName>
    <definedName name="dfsdf" hidden="1">{"'Sheet1'!$L$16"}</definedName>
    <definedName name="dgdgdge" localSheetId="13" hidden="1">{"'Sheet1'!$L$16"}</definedName>
    <definedName name="dgdgdge" localSheetId="50" hidden="1">{"'Sheet1'!$L$16"}</definedName>
    <definedName name="dgdgdge" hidden="1">{"'Sheet1'!$L$16"}</definedName>
    <definedName name="dgdhah" hidden="1">#REF!</definedName>
    <definedName name="Dia_Chi_Congty_E" hidden="1">#REF!</definedName>
    <definedName name="Dia_Chi_Congty_V" hidden="1">#REF!</definedName>
    <definedName name="Discount" hidden="1">#REF!</definedName>
    <definedName name="display_area_2" hidden="1">#REF!</definedName>
    <definedName name="Dk_1cot" hidden="1">#REF!</definedName>
    <definedName name="DM_ChiTieu" hidden="1">[5]DM!$H$3:$I$117</definedName>
    <definedName name="DM_ChiTieu1" hidden="1">[5]DM!$H$3:$H$117</definedName>
    <definedName name="DM_KyHieu" hidden="1">[6]DM!$F$3:$F$6</definedName>
    <definedName name="DM_LoaiButToan" hidden="1">[5]DM!$M$3:$M$4</definedName>
    <definedName name="DM_MaTK" hidden="1">OFFSET([6]DM!$D$2,1,0,IF(COUNTA([6]DM!$D$3:$D$1000)=0,1,COUNTA([6]DM!$D$3:$D$1000)),1)</definedName>
    <definedName name="DM_TK" hidden="1">OFFSET(#REF!,1,0,COUNTA(#REF!),7)</definedName>
    <definedName name="DM_TK2" hidden="1">OFFSET(#REF!,1,0,COUNTA(#REF!),6)</definedName>
    <definedName name="DM_TMCode" localSheetId="42" hidden="1">OFFSET([4]DM!$N$3,0,IF(ISNA(MATCH(#REF!,'Adj#2-Interco Trans'!TDe_TMCode,0)),0,MATCH(#REF!,'Adj#2-Interco Trans'!TDe_TMCode,0)),'Adj#2-Interco Trans'!Dem_TMCode,1)</definedName>
    <definedName name="DM_TMCode" hidden="1">OFFSET([4]DM!$N$3,0,IF(ISNA(MATCH(#REF!,'Adj#1-Interco Bal'!TDe_TMCode,0)),0,MATCH(#REF!,'Adj#1-Interco Bal'!TDe_TMCode,0)),Dem_TMCode,1)</definedName>
    <definedName name="DM_TMCode_TSCDHH" localSheetId="41" hidden="1">OFFSET([4]DM!$O$2,1,0,IF(COUNTA([4]DM!$O$3:$O$33)=0,1,COUNTA([4]DM!$D$3:$O$33)),1)</definedName>
    <definedName name="DM_TMCode_TSCDHH" localSheetId="42" hidden="1">OFFSET([4]DM!$O$2,1,0,IF(COUNTA([4]DM!$O$3:$O$33)=0,1,COUNTA([4]DM!$D$3:$O$33)),1)</definedName>
    <definedName name="DM_TMCode_TSCDHH" hidden="1">OFFSET([7]DM!$O$2,1,0,IF(COUNTA([7]DM!$O$3:$O$33)=0,1,COUNTA([7]DM!$D$3:$O$33)),1)</definedName>
    <definedName name="DM_TMCode_TSCDTTC" localSheetId="41" hidden="1">OFFSET([4]DM!$AA$2,1,0,IF(COUNTA([4]DM!$AA$3:$AA$33)=0,1,COUNTA([4]DM!$AA$3:$AA$33)),1)</definedName>
    <definedName name="DM_TMCode_TSCDTTC" localSheetId="42" hidden="1">OFFSET([4]DM!$AA$2,1,0,IF(COUNTA([4]DM!$AA$3:$AA$33)=0,1,COUNTA([4]DM!$AA$3:$AA$33)),1)</definedName>
    <definedName name="DM_TMCode_TSCDTTC" hidden="1">OFFSET([7]DM!$AA$2,1,0,IF(COUNTA([7]DM!$AA$3:$AA$33)=0,1,COUNTA([7]DM!$AA$3:$AA$33)),1)</definedName>
    <definedName name="DM_TMCode_TSCDVH" localSheetId="41" hidden="1">OFFSET([4]DM!$AM$2,1,0,IF(COUNTA([4]DM!$AM$3:$AM$33)=0,1,COUNTA([4]DM!$AM$3:$AM$33)),1)</definedName>
    <definedName name="DM_TMCode_TSCDVH" localSheetId="42" hidden="1">OFFSET([4]DM!$AM$2,1,0,IF(COUNTA([4]DM!$AM$3:$AM$33)=0,1,COUNTA([4]DM!$AM$3:$AM$33)),1)</definedName>
    <definedName name="DM_TMCode_TSCDVH" hidden="1">OFFSET([7]DM!$AM$2,1,0,IF(COUNTA([7]DM!$AM$3:$AM$33)=0,1,COUNTA([7]DM!$AM$3:$AM$33)),1)</definedName>
    <definedName name="DM_TMCode_VCSH" localSheetId="41" hidden="1">OFFSET([4]DM!$BA$2,1,0,IF(COUNTA([4]DM!$BA$3:$BA$33)=0,1,COUNTA([4]DM!$BA$3:$BA$33)),1)</definedName>
    <definedName name="DM_TMCode_VCSH" localSheetId="42" hidden="1">OFFSET([4]DM!$BA$2,1,0,IF(COUNTA([4]DM!$BA$3:$BA$33)=0,1,COUNTA([4]DM!$BA$3:$BA$33)),1)</definedName>
    <definedName name="DM_TMCode_VCSH" hidden="1">OFFSET([7]DM!$BA$2,1,0,IF(COUNTA([7]DM!$BA$3:$BA$33)=0,1,COUNTA([7]DM!$BA$3:$BA$33)),1)</definedName>
    <definedName name="DM_YKien" hidden="1">[5]DM!$B$3:$B$4</definedName>
    <definedName name="Don_Vi_Tinh_E" hidden="1">#REF!</definedName>
    <definedName name="Don_Vi_Tinh_V" hidden="1">#REF!</definedName>
    <definedName name="dsacs" localSheetId="41" hidden="1">{"'Sheet1'!$L$16"}</definedName>
    <definedName name="dsacs" localSheetId="42" hidden="1">{"'Sheet1'!$L$16"}</definedName>
    <definedName name="dsacs" localSheetId="13" hidden="1">{"'Sheet1'!$L$16"}</definedName>
    <definedName name="dsacs" localSheetId="50" hidden="1">{"'Sheet1'!$L$16"}</definedName>
    <definedName name="dsacs" localSheetId="46" hidden="1">{"'Sheet1'!$L$16"}</definedName>
    <definedName name="dsacs" hidden="1">{"'Sheet1'!$L$16"}</definedName>
    <definedName name="dsafkdsafjs" localSheetId="42" hidden="1">{#N/A,#N/A,TRUE,"BT M200 da 10x20"}</definedName>
    <definedName name="dsafkdsafjs" hidden="1">{#N/A,#N/A,TRUE,"BT M200 da 10x20"}</definedName>
    <definedName name="dsfs" localSheetId="42" hidden="1">{#N/A,#N/A,FALSE,"Aging Summary";#N/A,#N/A,FALSE,"Ratio Analysis";#N/A,#N/A,FALSE,"Test 120 Day Accts";#N/A,#N/A,FALSE,"Tickmarks"}</definedName>
    <definedName name="dsfs" hidden="1">{#N/A,#N/A,FALSE,"Aging Summary";#N/A,#N/A,FALSE,"Ratio Analysis";#N/A,#N/A,FALSE,"Test 120 Day Accts";#N/A,#N/A,FALSE,"Tickmarks"}</definedName>
    <definedName name="dvsdgvds" localSheetId="13" hidden="1">{"'Sheet1'!$L$16"}</definedName>
    <definedName name="dvsdgvds" localSheetId="50" hidden="1">{"'Sheet1'!$L$16"}</definedName>
    <definedName name="dvsdgvds" hidden="1">{"'Sheet1'!$L$16"}</definedName>
    <definedName name="DWPRICE" hidden="1">[8]Quantity!#REF!</definedName>
    <definedName name="DZHADH" localSheetId="41" hidden="1">{"'Sheet1'!$L$16"}</definedName>
    <definedName name="DZHADH" localSheetId="42" hidden="1">{"'Sheet1'!$L$16"}</definedName>
    <definedName name="DZHADH" localSheetId="13" hidden="1">{"'Sheet1'!$L$16"}</definedName>
    <definedName name="DZHADH" localSheetId="50" hidden="1">{"'Sheet1'!$L$16"}</definedName>
    <definedName name="DZHADH" localSheetId="46" hidden="1">{"'Sheet1'!$L$16"}</definedName>
    <definedName name="DZHADH" hidden="1">{"'Sheet1'!$L$16"}</definedName>
    <definedName name="èdg" hidden="1">#REF!</definedName>
    <definedName name="eg" localSheetId="13" hidden="1">{"'Sheet1'!$L$16"}</definedName>
    <definedName name="eg" localSheetId="50" hidden="1">{"'Sheet1'!$L$16"}</definedName>
    <definedName name="eg" hidden="1">{"'Sheet1'!$L$16"}</definedName>
    <definedName name="êgeg" localSheetId="13" hidden="1">{"'Sheet1'!$L$16"}</definedName>
    <definedName name="êgeg" localSheetId="50" hidden="1">{"'Sheet1'!$L$16"}</definedName>
    <definedName name="êgeg" hidden="1">{"'Sheet1'!$L$16"}</definedName>
    <definedName name="egsf" localSheetId="41" hidden="1">{"'Sheet1'!$L$16"}</definedName>
    <definedName name="egsf" localSheetId="42" hidden="1">{"'Sheet1'!$L$16"}</definedName>
    <definedName name="egsf" localSheetId="13" hidden="1">{"'Sheet1'!$L$16"}</definedName>
    <definedName name="egsf" localSheetId="50" hidden="1">{"'Sheet1'!$L$16"}</definedName>
    <definedName name="egsf" localSheetId="46" hidden="1">{"'Sheet1'!$L$16"}</definedName>
    <definedName name="egsf" hidden="1">{"'Sheet1'!$L$16"}</definedName>
    <definedName name="End_Page" hidden="1">#REF!</definedName>
    <definedName name="ewewe" localSheetId="41" hidden="1">{"'Sheet1'!$L$16"}</definedName>
    <definedName name="ewewe" localSheetId="42" hidden="1">{"'Sheet1'!$L$16"}</definedName>
    <definedName name="ewewe" localSheetId="13" hidden="1">{"'Sheet1'!$L$16"}</definedName>
    <definedName name="ewewe" localSheetId="50" hidden="1">{"'Sheet1'!$L$16"}</definedName>
    <definedName name="ewewe" localSheetId="46" hidden="1">{"'Sheet1'!$L$16"}</definedName>
    <definedName name="ewewe" hidden="1">{"'Sheet1'!$L$16"}</definedName>
    <definedName name="ExactAddinConnection" localSheetId="13" hidden="1">"002"</definedName>
    <definedName name="ExactAddinConnection" localSheetId="15" hidden="1">"002"</definedName>
    <definedName name="ExactAddinConnection" hidden="1">"003"</definedName>
    <definedName name="ExactAddinConnection.002" localSheetId="13" hidden="1">"NEVN;002;ACS1;1"</definedName>
    <definedName name="ExactAddinConnection.002" localSheetId="15" hidden="1">"NEVN;002;ACS1;1"</definedName>
    <definedName name="ExactAddinConnection.002" hidden="1">"CPNT01;003;mengtalekk;1"</definedName>
    <definedName name="ExactAddinConnection.003" hidden="1">"CPNT01;006;mengtalekk;1"</definedName>
    <definedName name="ExactAddinConnection.034" hidden="1">"NOIVU;034;gl4;1"</definedName>
    <definedName name="ExactAddinConnection.200" hidden="1">"MAYCHU2;200;yen;0"</definedName>
    <definedName name="ExactAddinReports" hidden="1">2</definedName>
    <definedName name="f" localSheetId="13" hidden="1">{"'Sheet1'!$L$16"}</definedName>
    <definedName name="f" localSheetId="50" hidden="1">{"'Sheet1'!$L$16"}</definedName>
    <definedName name="f" hidden="1">{"'Sheet1'!$L$16"}</definedName>
    <definedName name="f_Cap" localSheetId="41" hidden="1">IF(ISBLANK(CT_TMinh),0,IF(CT_TMinh="270",4,IF(CT_TMinh="440",5,IF(RIGHT(CT_TMinh,2)="00",1,IF(RIGHT(CT_TMinh,1)="0",2,3)))))</definedName>
    <definedName name="f_Cap" localSheetId="42" hidden="1">IF(ISBLANK(CT_TMinh),0,IF(CT_TMinh="270",4,IF(CT_TMinh="440",5,IF(RIGHT(CT_TMinh,2)="00",1,IF(RIGHT(CT_TMinh,1)="0",2,3)))))</definedName>
    <definedName name="f_Cap" localSheetId="50" hidden="1">IF(ISBLANK(CT_TMinh),0,IF(CT_TMinh="270",4,IF(CT_TMinh="440",5,IF(RIGHT(CT_TMinh,2)="00",1,IF(RIGHT(CT_TMinh,1)="0",2,3)))))</definedName>
    <definedName name="f_Cap" localSheetId="46" hidden="1">IF(ISBLANK([0]!CT_TMinh),0,IF([0]!CT_TMinh="270",4,IF([0]!CT_TMinh="440",5,IF(RIGHT([0]!CT_TMinh,2)="00",1,IF(RIGHT([0]!CT_TMinh,1)="0",2,3)))))</definedName>
    <definedName name="f_Cap" hidden="1">IF(ISBLANK(CT_TMinh),0,IF(CT_TMinh="270",4,IF(CT_TMinh="440",5,IF(RIGHT(CT_TMinh,2)="00",1,IF(RIGHT(CT_TMinh,1)="0",2,3)))))</definedName>
    <definedName name="F301.1" localSheetId="41" hidden="1">{"'Sheet1'!$L$16"}</definedName>
    <definedName name="F301.1" localSheetId="42" hidden="1">{"'Sheet1'!$L$16"}</definedName>
    <definedName name="F301.1" localSheetId="50" hidden="1">{"'Sheet1'!$L$16"}</definedName>
    <definedName name="F301.1" localSheetId="46" hidden="1">{"'Sheet1'!$L$16"}</definedName>
    <definedName name="F301.1" hidden="1">{"'Sheet1'!$L$16"}</definedName>
    <definedName name="fa" localSheetId="13" hidden="1">{"'Sheet1'!$L$16"}</definedName>
    <definedName name="fa" localSheetId="50" hidden="1">{"'Sheet1'!$L$16"}</definedName>
    <definedName name="fa" hidden="1">{"'Sheet1'!$L$16"}</definedName>
    <definedName name="FCode" hidden="1">#REF!</definedName>
    <definedName name="fdff" localSheetId="41" hidden="1">{"'Sheet1'!$L$16"}</definedName>
    <definedName name="fdff" localSheetId="42" hidden="1">{"'Sheet1'!$L$16"}</definedName>
    <definedName name="fdff" localSheetId="13" hidden="1">{"'Sheet1'!$L$16"}</definedName>
    <definedName name="fdff" localSheetId="50" hidden="1">{"'Sheet1'!$L$16"}</definedName>
    <definedName name="fdff" localSheetId="46" hidden="1">{"'Sheet1'!$L$16"}</definedName>
    <definedName name="fdff" hidden="1">{"'Sheet1'!$L$16"}</definedName>
    <definedName name="fg" localSheetId="13" hidden="1">{"'Sheet1'!$L$16"}</definedName>
    <definedName name="fg" localSheetId="50" hidden="1">{"'Sheet1'!$L$16"}</definedName>
    <definedName name="fg" hidden="1">{"'Sheet1'!$L$16"}</definedName>
    <definedName name="fgh" localSheetId="41" hidden="1">{"'РП (2)'!$A$5:$S$150"}</definedName>
    <definedName name="fgh" localSheetId="42" hidden="1">{"'РП (2)'!$A$5:$S$150"}</definedName>
    <definedName name="fgh" localSheetId="50" hidden="1">{"'РП (2)'!$A$5:$S$150"}</definedName>
    <definedName name="fgh" localSheetId="46" hidden="1">{"'РП (2)'!$A$5:$S$150"}</definedName>
    <definedName name="fgh" hidden="1">{"'РП (2)'!$A$5:$S$150"}</definedName>
    <definedName name="fghh" localSheetId="41" hidden="1">{"'РП (2)'!$A$5:$S$150"}</definedName>
    <definedName name="fghh" localSheetId="42" hidden="1">{"'РП (2)'!$A$5:$S$150"}</definedName>
    <definedName name="fghh" localSheetId="50" hidden="1">{"'РП (2)'!$A$5:$S$150"}</definedName>
    <definedName name="fghh" localSheetId="46" hidden="1">{"'РП (2)'!$A$5:$S$150"}</definedName>
    <definedName name="fghh" hidden="1">{"'РП (2)'!$A$5:$S$150"}</definedName>
    <definedName name="Fill" hidden="1">#REF!</definedName>
    <definedName name="FJY" localSheetId="41" hidden="1">{"'Sheet1'!$L$16"}</definedName>
    <definedName name="FJY" localSheetId="42" hidden="1">{"'Sheet1'!$L$16"}</definedName>
    <definedName name="FJY" localSheetId="13" hidden="1">{"'Sheet1'!$L$16"}</definedName>
    <definedName name="FJY" localSheetId="50" hidden="1">{"'Sheet1'!$L$16"}</definedName>
    <definedName name="FJY" localSheetId="46" hidden="1">{"'Sheet1'!$L$16"}</definedName>
    <definedName name="FJY" hidden="1">{"'Sheet1'!$L$16"}</definedName>
    <definedName name="fml_CDKT_NN_DcCo" localSheetId="41" hidden="1">SUMIF(NN_CDCo,[9]Tong_hop!$B1,NN_SoDieuChinh)</definedName>
    <definedName name="fml_CDKT_NN_DcCo" localSheetId="42" hidden="1">SUMIF(NN_CDCo,[9]Tong_hop!$B1,NN_SoDieuChinh)</definedName>
    <definedName name="fml_CDKT_NN_DcCo" localSheetId="50" hidden="1">SUMIF(NN_CDCo,[9]Tong_hop!$B1,NN_SoDieuChinh)</definedName>
    <definedName name="fml_CDKT_NN_DcCo" localSheetId="46" hidden="1">SUMIF([0]!NN_CDCo,[9]Tong_hop!$B1,[0]!NN_SoDieuChinh)</definedName>
    <definedName name="fml_CDKT_NN_DcCo" hidden="1">SUMIF(NN_CDCo,[9]Tong_hop!$B1,NN_SoDieuChinh)</definedName>
    <definedName name="fml_CDKT_NN_DcNo" localSheetId="41" hidden="1">SUMIF(NN_CDNo,[9]Tong_hop!$B1,NN_SoDieuChinh)</definedName>
    <definedName name="fml_CDKT_NN_DcNo" localSheetId="42" hidden="1">SUMIF(NN_CDNo,[9]Tong_hop!$B1,NN_SoDieuChinh)</definedName>
    <definedName name="fml_CDKT_NN_DcNo" localSheetId="50" hidden="1">SUMIF(NN_CDNo,[9]Tong_hop!$B1,NN_SoDieuChinh)</definedName>
    <definedName name="fml_CDKT_NN_DcNo" localSheetId="46" hidden="1">SUMIF([0]!NN_CDNo,[9]Tong_hop!$B1,[0]!NN_SoDieuChinh)</definedName>
    <definedName name="fml_CDKT_NN_DcNo" hidden="1">SUMIF(NN_CDNo,[9]Tong_hop!$B1,NN_SoDieuChinh)</definedName>
    <definedName name="fml_CDKT_NT_DcCo" localSheetId="41" hidden="1">SUMIF(NT_CDCo,[9]Tong_hop!$B1,NT_SoDieuChinh)</definedName>
    <definedName name="fml_CDKT_NT_DcCo" localSheetId="42" hidden="1">SUMIF(NT_CDCo,[9]Tong_hop!$B1,NT_SoDieuChinh)</definedName>
    <definedName name="fml_CDKT_NT_DcCo" localSheetId="50" hidden="1">SUMIF(NT_CDCo,[9]Tong_hop!$B1,NT_SoDieuChinh)</definedName>
    <definedName name="fml_CDKT_NT_DcCo" localSheetId="46" hidden="1">SUMIF([0]!NT_CDCo,[9]Tong_hop!$B1,[0]!NT_SoDieuChinh)</definedName>
    <definedName name="fml_CDKT_NT_DcCo" hidden="1">SUMIF(NT_CDCo,[9]Tong_hop!$B1,NT_SoDieuChinh)</definedName>
    <definedName name="fml_CDKT_NT_DcNo" localSheetId="41" hidden="1">SUMIF(NT_CDNo,[9]Tong_hop!$B1,NT_SoDieuChinh)</definedName>
    <definedName name="fml_CDKT_NT_DcNo" localSheetId="42" hidden="1">SUMIF(NT_CDNo,[9]Tong_hop!$B1,NT_SoDieuChinh)</definedName>
    <definedName name="fml_CDKT_NT_DcNo" localSheetId="50" hidden="1">SUMIF(NT_CDNo,[9]Tong_hop!$B1,NT_SoDieuChinh)</definedName>
    <definedName name="fml_CDKT_NT_DcNo" localSheetId="46" hidden="1">SUMIF([0]!NT_CDNo,[9]Tong_hop!$B1,[0]!NT_SoDieuChinh)</definedName>
    <definedName name="fml_CDKT_NT_DcNo" hidden="1">SUMIF(NT_CDNo,[9]Tong_hop!$B1,NT_SoDieuChinh)</definedName>
    <definedName name="fml_ChuoiDK" hidden="1">IF(ISERROR(FIND("*",#REF!&amp;"-"&amp;#REF!)),#REF!&amp;"-"&amp;#REF!,REPLACE(#REF!&amp;"-"&amp;#REF!,FIND("*",#REF!&amp;"-"&amp;#REF!),1,""))</definedName>
    <definedName name="fml_DoRongCT" localSheetId="41" hidden="1">LEN(CT_TMinh)</definedName>
    <definedName name="fml_DoRongCT" localSheetId="42" hidden="1">LEN(CT_TMinh)</definedName>
    <definedName name="fml_DoRongCT" localSheetId="50" hidden="1">LEN(CT_TMinh)</definedName>
    <definedName name="fml_DoRongCT" localSheetId="46" hidden="1">LEN([0]!CT_TMinh)</definedName>
    <definedName name="fml_DoRongCT" hidden="1">LEN(CT_TMinh)</definedName>
    <definedName name="fml_KQKD_NN_DcCo" localSheetId="41" hidden="1">SUMIF(NN_KQCo,[9]Tong_hop!$B1,NN_SoDieuChinh)</definedName>
    <definedName name="fml_KQKD_NN_DcCo" localSheetId="42" hidden="1">SUMIF(NN_KQCo,[9]Tong_hop!$B1,NN_SoDieuChinh)</definedName>
    <definedName name="fml_KQKD_NN_DcCo" localSheetId="50" hidden="1">SUMIF(NN_KQCo,[9]Tong_hop!$B1,NN_SoDieuChinh)</definedName>
    <definedName name="fml_KQKD_NN_DcCo" localSheetId="46" hidden="1">SUMIF([0]!NN_KQCo,[9]Tong_hop!$B1,[0]!NN_SoDieuChinh)</definedName>
    <definedName name="fml_KQKD_NN_DcCo" hidden="1">SUMIF(NN_KQCo,[9]Tong_hop!$B1,NN_SoDieuChinh)</definedName>
    <definedName name="fml_KQKD_NN_DcNo" localSheetId="41" hidden="1">SUMIF(NN_KQNo,[9]Tong_hop!$B1,NN_SoDieuChinh)</definedName>
    <definedName name="fml_KQKD_NN_DcNo" localSheetId="42" hidden="1">SUMIF(NN_KQNo,[9]Tong_hop!$B1,NN_SoDieuChinh)</definedName>
    <definedName name="fml_KQKD_NN_DcNo" localSheetId="50" hidden="1">SUMIF(NN_KQNo,[9]Tong_hop!$B1,NN_SoDieuChinh)</definedName>
    <definedName name="fml_KQKD_NN_DcNo" localSheetId="46" hidden="1">SUMIF([0]!NN_KQNo,[9]Tong_hop!$B1,[0]!NN_SoDieuChinh)</definedName>
    <definedName name="fml_KQKD_NN_DcNo" hidden="1">SUMIF(NN_KQNo,[9]Tong_hop!$B1,NN_SoDieuChinh)</definedName>
    <definedName name="fml_KQKD_NT_DcCo" localSheetId="41" hidden="1">SUMIF(NT_KQCo,[9]Tong_hop!$B1,NT_SoDieuChinh)</definedName>
    <definedName name="fml_KQKD_NT_DcCo" localSheetId="42" hidden="1">SUMIF(NT_KQCo,[9]Tong_hop!$B1,NT_SoDieuChinh)</definedName>
    <definedName name="fml_KQKD_NT_DcCo" localSheetId="50" hidden="1">SUMIF(NT_KQCo,[9]Tong_hop!$B1,NT_SoDieuChinh)</definedName>
    <definedName name="fml_KQKD_NT_DcCo" localSheetId="46" hidden="1">SUMIF([0]!NT_KQCo,[9]Tong_hop!$B1,[0]!NT_SoDieuChinh)</definedName>
    <definedName name="fml_KQKD_NT_DcCo" hidden="1">SUMIF(NT_KQCo,[9]Tong_hop!$B1,NT_SoDieuChinh)</definedName>
    <definedName name="fml_KQKD_NT_DcNo" localSheetId="41" hidden="1">SUMIF(NT_KQNo,[9]Tong_hop!$B1,NT_SoDieuChinh)</definedName>
    <definedName name="fml_KQKD_NT_DcNo" localSheetId="42" hidden="1">SUMIF(NT_KQNo,[9]Tong_hop!$B1,NT_SoDieuChinh)</definedName>
    <definedName name="fml_KQKD_NT_DcNo" localSheetId="50" hidden="1">SUMIF(NT_KQNo,[9]Tong_hop!$B1,NT_SoDieuChinh)</definedName>
    <definedName name="fml_KQKD_NT_DcNo" localSheetId="46" hidden="1">SUMIF([0]!NT_KQNo,[9]Tong_hop!$B1,[0]!NT_SoDieuChinh)</definedName>
    <definedName name="fml_KQKD_NT_DcNo" hidden="1">SUMIF(NT_KQNo,[9]Tong_hop!$B1,NT_SoDieuChinh)</definedName>
    <definedName name="fml_LCTT_KT" hidden="1">#N/A</definedName>
    <definedName name="fml_LCTT_NN_DcCo" localSheetId="41" hidden="1" xml:space="preserve"> SUMIF(NN_DCCo,[9]Tong_hop!$B1,NN_SoDieuChinh)</definedName>
    <definedName name="fml_LCTT_NN_DcCo" localSheetId="42" hidden="1" xml:space="preserve"> SUMIF(NN_DCCo,[9]Tong_hop!$B1,NN_SoDieuChinh)</definedName>
    <definedName name="fml_LCTT_NN_DcCo" localSheetId="50" hidden="1" xml:space="preserve"> SUMIF(NN_DCCo,[9]Tong_hop!$B1,NN_SoDieuChinh)</definedName>
    <definedName name="fml_LCTT_NN_DcCo" localSheetId="46" hidden="1" xml:space="preserve"> SUMIF([0]!NN_DCCo,[9]Tong_hop!$B1,[0]!NN_SoDieuChinh)</definedName>
    <definedName name="fml_LCTT_NN_DcCo" hidden="1" xml:space="preserve"> SUMIF(NN_DCCo,[9]Tong_hop!$B1,NN_SoDieuChinh)</definedName>
    <definedName name="fml_LCTT_NN_DcNo" localSheetId="41" hidden="1" xml:space="preserve"> SUMIF(NN_DCNo,[9]Tong_hop!$B1,NN_SoDieuChinh)</definedName>
    <definedName name="fml_LCTT_NN_DcNo" localSheetId="42" hidden="1" xml:space="preserve"> SUMIF(NN_DCNo,[9]Tong_hop!$B1,NN_SoDieuChinh)</definedName>
    <definedName name="fml_LCTT_NN_DcNo" localSheetId="50" hidden="1" xml:space="preserve"> SUMIF(NN_DCNo,[9]Tong_hop!$B1,NN_SoDieuChinh)</definedName>
    <definedName name="fml_LCTT_NN_DcNo" localSheetId="46" hidden="1" xml:space="preserve"> SUMIF([0]!NN_DCNo,[9]Tong_hop!$B1,[0]!NN_SoDieuChinh)</definedName>
    <definedName name="fml_LCTT_NN_DcNo" hidden="1" xml:space="preserve"> SUMIF(NN_DCNo,[9]Tong_hop!$B1,NN_SoDieuChinh)</definedName>
    <definedName name="fml_LCTT_NT_DcCo" localSheetId="41" hidden="1" xml:space="preserve"> SUMIF(NT_DCCo,[9]Tong_hop!$B1,NT_SoDieuChinh)</definedName>
    <definedName name="fml_LCTT_NT_DcCo" localSheetId="42" hidden="1" xml:space="preserve"> SUMIF(NT_DCCo,[9]Tong_hop!$B1,NT_SoDieuChinh)</definedName>
    <definedName name="fml_LCTT_NT_DcCo" localSheetId="50" hidden="1" xml:space="preserve"> SUMIF(NT_DCCo,[9]Tong_hop!$B1,NT_SoDieuChinh)</definedName>
    <definedName name="fml_LCTT_NT_DcCo" localSheetId="46" hidden="1" xml:space="preserve"> SUMIF([0]!NT_DCCo,[9]Tong_hop!$B1,[0]!NT_SoDieuChinh)</definedName>
    <definedName name="fml_LCTT_NT_DcCo" hidden="1" xml:space="preserve"> SUMIF(NT_DCCo,[9]Tong_hop!$B1,NT_SoDieuChinh)</definedName>
    <definedName name="fml_LCTT_NT_DcNo" localSheetId="41" hidden="1" xml:space="preserve"> SUMIF(NT_DCNo,[9]Tong_hop!$B1,NT_SoDieuChinh)</definedName>
    <definedName name="fml_LCTT_NT_DcNo" localSheetId="42" hidden="1" xml:space="preserve"> SUMIF(NT_DCNo,[9]Tong_hop!$B1,NT_SoDieuChinh)</definedName>
    <definedName name="fml_LCTT_NT_DcNo" localSheetId="50" hidden="1" xml:space="preserve"> SUMIF(NT_DCNo,[9]Tong_hop!$B1,NT_SoDieuChinh)</definedName>
    <definedName name="fml_LCTT_NT_DcNo" localSheetId="46" hidden="1" xml:space="preserve"> SUMIF([0]!NT_DCNo,[9]Tong_hop!$B1,[0]!NT_SoDieuChinh)</definedName>
    <definedName name="fml_LCTT_NT_DcNo" hidden="1" xml:space="preserve"> SUMIF(NT_DCNo,[9]Tong_hop!$B1,NT_SoDieuChinh)</definedName>
    <definedName name="fml_STT" hidden="1">SUBTOTAL(103,#REF!)</definedName>
    <definedName name="fml_TmChiTieu_CDKT" hidden="1">#N/A</definedName>
    <definedName name="fml_TmChiTieu_CDKT_DB" hidden="1">#N/A</definedName>
    <definedName name="fml_TMChiTieu_CDKT_VungDk" hidden="1">#N/A</definedName>
    <definedName name="fml_TMChiTieu_CDKT_VungDkDB" hidden="1">#N/A</definedName>
    <definedName name="fml_TMChiTieu_KQKD" hidden="1">#N/A</definedName>
    <definedName name="fml2_LCGT_KN" localSheetId="42" hidden="1">IF(ISBLANK(#REF!),0,IF(ISERROR(VLOOKUP(#REF!,CT_LCGT,4,0)),0,VLOOKUP(#REF!,CT_LCGT,4,0)))</definedName>
    <definedName name="fml2_LCGT_KN" hidden="1">IF(ISBLANK(#REF!),0,IF(ISERROR(VLOOKUP(#REF!,CT_LCGT,4,0)),0,VLOOKUP(#REF!,CT_LCGT,4,0)))</definedName>
    <definedName name="fml2_LCTT_KN" hidden="1">#N/A</definedName>
    <definedName name="frtyiri" localSheetId="41" hidden="1">{"'Sheet1'!$L$16"}</definedName>
    <definedName name="frtyiri" localSheetId="42" hidden="1">{"'Sheet1'!$L$16"}</definedName>
    <definedName name="frtyiri" localSheetId="13" hidden="1">{"'Sheet1'!$L$16"}</definedName>
    <definedName name="frtyiri" localSheetId="50" hidden="1">{"'Sheet1'!$L$16"}</definedName>
    <definedName name="frtyiri" localSheetId="46" hidden="1">{"'Sheet1'!$L$16"}</definedName>
    <definedName name="frtyiri" hidden="1">{"'Sheet1'!$L$16"}</definedName>
    <definedName name="ftyiryiu" localSheetId="41" hidden="1">{"'Sheet1'!$L$16"}</definedName>
    <definedName name="ftyiryiu" localSheetId="42" hidden="1">{"'Sheet1'!$L$16"}</definedName>
    <definedName name="ftyiryiu" localSheetId="13" hidden="1">{"'Sheet1'!$L$16"}</definedName>
    <definedName name="ftyiryiu" localSheetId="50" hidden="1">{"'Sheet1'!$L$16"}</definedName>
    <definedName name="ftyiryiu" localSheetId="46" hidden="1">{"'Sheet1'!$L$16"}</definedName>
    <definedName name="ftyiryiu" hidden="1">{"'Sheet1'!$L$16"}</definedName>
    <definedName name="gdgdvd" localSheetId="13" hidden="1">{"'Sheet1'!$L$16"}</definedName>
    <definedName name="gdgdvd" localSheetId="50" hidden="1">{"'Sheet1'!$L$16"}</definedName>
    <definedName name="gdgdvd" hidden="1">{"'Sheet1'!$L$16"}</definedName>
    <definedName name="GEG" localSheetId="13" hidden="1">{"'Sheet1'!$L$16"}</definedName>
    <definedName name="GEG" localSheetId="50" hidden="1">{"'Sheet1'!$L$16"}</definedName>
    <definedName name="GEG" hidden="1">{"'Sheet1'!$L$16"}</definedName>
    <definedName name="gegegedg" localSheetId="13" hidden="1">{"'Sheet1'!$L$16"}</definedName>
    <definedName name="gegegedg" localSheetId="50" hidden="1">{"'Sheet1'!$L$16"}</definedName>
    <definedName name="gegegedg" hidden="1">{"'Sheet1'!$L$16"}</definedName>
    <definedName name="get_LCTT_KN" localSheetId="41" hidden="1">IF(ISBLANK([9]Tong_hop!$D1),0,IF(ISNA(HLOOKUP([9]Tong_hop!$D1,CT_LCTT,2,0)),0,HLOOKUP([9]Tong_hop!$D1,CT_LCTT,2,0)))</definedName>
    <definedName name="get_LCTT_KN" localSheetId="42" hidden="1">IF(ISBLANK([9]Tong_hop!$D1),0,IF(ISNA(HLOOKUP([9]Tong_hop!$D1,CT_LCTT,2,0)),0,HLOOKUP([9]Tong_hop!$D1,CT_LCTT,2,0)))</definedName>
    <definedName name="get_LCTT_KN" localSheetId="50" hidden="1">IF(ISBLANK([9]Tong_hop!$D1),0,IF(ISNA(HLOOKUP([9]Tong_hop!$D1,CT_LCTT,2,0)),0,HLOOKUP([9]Tong_hop!$D1,CT_LCTT,2,0)))</definedName>
    <definedName name="get_LCTT_KN" localSheetId="46" hidden="1">IF(ISBLANK([9]Tong_hop!$D1),0,IF(ISNA(HLOOKUP([9]Tong_hop!$D1,[0]!CT_LCTT,2,0)),0,HLOOKUP([9]Tong_hop!$D1,[0]!CT_LCTT,2,0)))</definedName>
    <definedName name="get_LCTT_KN" hidden="1">IF(ISBLANK([9]Tong_hop!$D1),0,IF(ISNA(HLOOKUP([9]Tong_hop!$D1,CT_LCTT,2,0)),0,HLOOKUP([9]Tong_hop!$D1,CT_LCTT,2,0)))</definedName>
    <definedName name="gffg" localSheetId="41" hidden="1">{"'Sheet1'!$L$16"}</definedName>
    <definedName name="gffg" localSheetId="42" hidden="1">{"'Sheet1'!$L$16"}</definedName>
    <definedName name="gffg" localSheetId="50" hidden="1">{"'Sheet1'!$L$16"}</definedName>
    <definedName name="gffg" localSheetId="46" hidden="1">{"'Sheet1'!$L$16"}</definedName>
    <definedName name="gffg" hidden="1">{"'Sheet1'!$L$16"}</definedName>
    <definedName name="gfg" localSheetId="41" hidden="1">{"'РП (2)'!$A$5:$S$150"}</definedName>
    <definedName name="gfg" localSheetId="42" hidden="1">{"'РП (2)'!$A$5:$S$150"}</definedName>
    <definedName name="gfg" localSheetId="50" hidden="1">{"'РП (2)'!$A$5:$S$150"}</definedName>
    <definedName name="gfg" localSheetId="46" hidden="1">{"'РП (2)'!$A$5:$S$150"}</definedName>
    <definedName name="gfg" hidden="1">{"'РП (2)'!$A$5:$S$150"}</definedName>
    <definedName name="gfsfsfafadsf" localSheetId="41" hidden="1">{"'Sheet1'!$L$16"}</definedName>
    <definedName name="gfsfsfafadsf" localSheetId="42" hidden="1">{"'Sheet1'!$L$16"}</definedName>
    <definedName name="gfsfsfafadsf" localSheetId="50" hidden="1">{"'Sheet1'!$L$16"}</definedName>
    <definedName name="gfsfsfafadsf" localSheetId="46" hidden="1">{"'Sheet1'!$L$16"}</definedName>
    <definedName name="gfsfsfafadsf" hidden="1">{"'Sheet1'!$L$16"}</definedName>
    <definedName name="gg" localSheetId="13" hidden="1">{"'Sheet1'!$L$16"}</definedName>
    <definedName name="gg" localSheetId="50" hidden="1">{"'Sheet1'!$L$16"}</definedName>
    <definedName name="gg" hidden="1">{"'Sheet1'!$L$16"}</definedName>
    <definedName name="ggd" localSheetId="13" hidden="1">{"'Sheet1'!$L$16"}</definedName>
    <definedName name="ggd" localSheetId="50" hidden="1">{"'Sheet1'!$L$16"}</definedName>
    <definedName name="ggd" hidden="1">{"'Sheet1'!$L$16"}</definedName>
    <definedName name="GIA" localSheetId="42" hidden="1">{#N/A,#N/A,FALSE,"Chi tiÆt"}</definedName>
    <definedName name="GIA" hidden="1">{#N/A,#N/A,FALSE,"Chi tiÆt"}</definedName>
    <definedName name="GiaTriTP_2_CP" hidden="1">#REF!</definedName>
    <definedName name="GTCL_TSCD_TCHAP" hidden="1">#REF!</definedName>
    <definedName name="GtriHTK_HoanNhapDP" hidden="1">#REF!</definedName>
    <definedName name="GtriHTK_TheChap" hidden="1">#REF!</definedName>
    <definedName name="h" localSheetId="41" hidden="1">{"'Sheet1'!$L$16"}</definedName>
    <definedName name="h" localSheetId="42" hidden="1">{"'Sheet1'!$L$16"}</definedName>
    <definedName name="h" localSheetId="13" hidden="1">{"'Sheet1'!$L$16"}</definedName>
    <definedName name="h" localSheetId="50" hidden="1">{"'Sheet1'!$L$16"}</definedName>
    <definedName name="h" localSheetId="46" hidden="1">{"'Sheet1'!$L$16"}</definedName>
    <definedName name="h" hidden="1">{"'Sheet1'!$L$16"}</definedName>
    <definedName name="haiacc" localSheetId="41" hidden="1">{"'Sheet1'!$L$16"}</definedName>
    <definedName name="haiacc" localSheetId="42" hidden="1">{"'Sheet1'!$L$16"}</definedName>
    <definedName name="haiacc" localSheetId="50" hidden="1">{"'Sheet1'!$L$16"}</definedName>
    <definedName name="haiacc" localSheetId="46" hidden="1">{"'Sheet1'!$L$16"}</definedName>
    <definedName name="haiacc" hidden="1">{"'Sheet1'!$L$16"}</definedName>
    <definedName name="hanh" localSheetId="41" hidden="1">{"'Sheet1'!$L$16"}</definedName>
    <definedName name="hanh" localSheetId="42" hidden="1">{"'Sheet1'!$L$16"}</definedName>
    <definedName name="hanh" localSheetId="50" hidden="1">{"'Sheet1'!$L$16"}</definedName>
    <definedName name="hanh" localSheetId="46" hidden="1">{"'Sheet1'!$L$16"}</definedName>
    <definedName name="hanh" hidden="1">{"'Sheet1'!$L$16"}</definedName>
    <definedName name="hfjjgjgjg" localSheetId="41" hidden="1">{"'Sheet1'!$L$16"}</definedName>
    <definedName name="hfjjgjgjg" localSheetId="42" hidden="1">{"'Sheet1'!$L$16"}</definedName>
    <definedName name="hfjjgjgjg" localSheetId="50" hidden="1">{"'Sheet1'!$L$16"}</definedName>
    <definedName name="hfjjgjgjg" localSheetId="46" hidden="1">{"'Sheet1'!$L$16"}</definedName>
    <definedName name="hfjjgjgjg" hidden="1">{"'Sheet1'!$L$16"}</definedName>
    <definedName name="hghy6" localSheetId="41" hidden="1">{"'РП (2)'!$A$5:$S$150"}</definedName>
    <definedName name="hghy6" localSheetId="42" hidden="1">{"'РП (2)'!$A$5:$S$150"}</definedName>
    <definedName name="hghy6" localSheetId="50" hidden="1">{"'РП (2)'!$A$5:$S$150"}</definedName>
    <definedName name="hghy6" localSheetId="46" hidden="1">{"'РП (2)'!$A$5:$S$150"}</definedName>
    <definedName name="hghy6" hidden="1">{"'РП (2)'!$A$5:$S$150"}</definedName>
    <definedName name="hhhh" localSheetId="41" hidden="1">{"'Sheet1'!$L$16"}</definedName>
    <definedName name="hhhh" localSheetId="42" hidden="1">{"'Sheet1'!$L$16"}</definedName>
    <definedName name="hhhh" localSheetId="50" hidden="1">{"'Sheet1'!$L$16"}</definedName>
    <definedName name="hhhh" localSheetId="46" hidden="1">{"'Sheet1'!$L$16"}</definedName>
    <definedName name="hhhh" hidden="1">{"'Sheet1'!$L$16"}</definedName>
    <definedName name="hhhhhhhhhhh" localSheetId="41" hidden="1">{"'Sheet1'!$L$16"}</definedName>
    <definedName name="hhhhhhhhhhh" localSheetId="42" hidden="1">{"'Sheet1'!$L$16"}</definedName>
    <definedName name="hhhhhhhhhhh" localSheetId="50" hidden="1">{"'Sheet1'!$L$16"}</definedName>
    <definedName name="hhhhhhhhhhh" localSheetId="46" hidden="1">{"'Sheet1'!$L$16"}</definedName>
    <definedName name="hhhhhhhhhhh" hidden="1">{"'Sheet1'!$L$16"}</definedName>
    <definedName name="HiddenRows" hidden="1">#REF!</definedName>
    <definedName name="hjjkl" localSheetId="41" hidden="1">{"'Sheet1'!$L$16"}</definedName>
    <definedName name="hjjkl" localSheetId="42" hidden="1">{"'Sheet1'!$L$16"}</definedName>
    <definedName name="hjjkl" localSheetId="13" hidden="1">{"'Sheet1'!$L$16"}</definedName>
    <definedName name="hjjkl" localSheetId="50" hidden="1">{"'Sheet1'!$L$16"}</definedName>
    <definedName name="hjjkl" localSheetId="46" hidden="1">{"'Sheet1'!$L$16"}</definedName>
    <definedName name="hjjkl" hidden="1">{"'Sheet1'!$L$16"}</definedName>
    <definedName name="hjngbvc" localSheetId="41" hidden="1">{"'Sheet1'!$L$16"}</definedName>
    <definedName name="hjngbvc" localSheetId="42" hidden="1">{"'Sheet1'!$L$16"}</definedName>
    <definedName name="hjngbvc" localSheetId="50" hidden="1">{"'Sheet1'!$L$16"}</definedName>
    <definedName name="hjngbvc" localSheetId="46" hidden="1">{"'Sheet1'!$L$16"}</definedName>
    <definedName name="hjngbvc" hidden="1">{"'Sheet1'!$L$16"}</definedName>
    <definedName name="hong" localSheetId="41" hidden="1">{"'Sheet1'!$L$16"}</definedName>
    <definedName name="hong" localSheetId="42" hidden="1">{"'Sheet1'!$L$16"}</definedName>
    <definedName name="hong" localSheetId="50" hidden="1">{"'Sheet1'!$L$16"}</definedName>
    <definedName name="hong" localSheetId="46" hidden="1">{"'Sheet1'!$L$16"}</definedName>
    <definedName name="hong" hidden="1">{"'Sheet1'!$L$16"}</definedName>
    <definedName name="htg" localSheetId="42" hidden="1">{#N/A,#N/A,TRUE,"BT M200 da 10x20"}</definedName>
    <definedName name="htg" hidden="1">{#N/A,#N/A,TRUE,"BT M200 da 10x20"}</definedName>
    <definedName name="HTLM" localSheetId="41" hidden="1">{"'РП (2)'!$A$5:$S$150"}</definedName>
    <definedName name="HTLM" localSheetId="42" hidden="1">{"'РП (2)'!$A$5:$S$150"}</definedName>
    <definedName name="HTLM" localSheetId="50" hidden="1">{"'РП (2)'!$A$5:$S$150"}</definedName>
    <definedName name="HTLM" localSheetId="46" hidden="1">{"'РП (2)'!$A$5:$S$150"}</definedName>
    <definedName name="HTLM" hidden="1">{"'РП (2)'!$A$5:$S$150"}</definedName>
    <definedName name="HTML_CodePage" hidden="1">950</definedName>
    <definedName name="HTML_Control" localSheetId="41" hidden="1">{"'Sheet1'!$L$16"}</definedName>
    <definedName name="HTML_Control" localSheetId="42" hidden="1">{"'Sheet1'!$L$16"}</definedName>
    <definedName name="HTML_Control" localSheetId="2" hidden="1">{"'Sheet1'!$L$16"}</definedName>
    <definedName name="HTML_Control" localSheetId="13" hidden="1">{"'Sheet1'!$L$16"}</definedName>
    <definedName name="HTML_Control" localSheetId="50" hidden="1">{"'Sheet1'!$L$16"}</definedName>
    <definedName name="HTML_Control" localSheetId="15" hidden="1">{"'Sheet1'!$L$16"}</definedName>
    <definedName name="HTML_Control" localSheetId="46" hidden="1">{"'Sheet1'!$L$16"}</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ung" localSheetId="41" hidden="1">{"'Sheet1'!$L$16"}</definedName>
    <definedName name="hung" localSheetId="42" hidden="1">{"'Sheet1'!$L$16"}</definedName>
    <definedName name="hung" localSheetId="13" hidden="1">{"'Sheet1'!$L$16"}</definedName>
    <definedName name="hung" localSheetId="50" hidden="1">{"'Sheet1'!$L$16"}</definedName>
    <definedName name="hung" localSheetId="46" hidden="1">{"'Sheet1'!$L$16"}</definedName>
    <definedName name="hung" hidden="1">{"'Sheet1'!$L$16"}</definedName>
    <definedName name="huy" localSheetId="41" hidden="1">{"'Sheet1'!$L$16"}</definedName>
    <definedName name="huy" localSheetId="42" hidden="1">{"'Sheet1'!$L$16"}</definedName>
    <definedName name="huy" localSheetId="2" hidden="1">{"'Sheet1'!$L$16"}</definedName>
    <definedName name="huy" localSheetId="13" hidden="1">{"'Sheet1'!$L$16"}</definedName>
    <definedName name="huy" localSheetId="50" hidden="1">{"'Sheet1'!$L$16"}</definedName>
    <definedName name="huy" localSheetId="15" hidden="1">{"'Sheet1'!$L$16"}</definedName>
    <definedName name="huy" localSheetId="46" hidden="1">{"'Sheet1'!$L$16"}</definedName>
    <definedName name="huy" hidden="1">{"'Sheet1'!$L$16"}</definedName>
    <definedName name="iii" localSheetId="41" hidden="1">{"'Sheet1'!$L$16"}</definedName>
    <definedName name="iii" localSheetId="42" hidden="1">{"'Sheet1'!$L$16"}</definedName>
    <definedName name="iii" localSheetId="13" hidden="1">{"'Sheet1'!$L$16"}</definedName>
    <definedName name="iii" localSheetId="50" hidden="1">{"'Sheet1'!$L$16"}</definedName>
    <definedName name="iii" localSheetId="46" hidden="1">{"'Sheet1'!$L$16"}</definedName>
    <definedName name="iii" hidden="1">{"'Sheet1'!$L$16"}</definedName>
    <definedName name="IIIIIIIIIIIIIIII" localSheetId="41" hidden="1">{"'Sheet1'!$L$16"}</definedName>
    <definedName name="IIIIIIIIIIIIIIII" localSheetId="42" hidden="1">{"'Sheet1'!$L$16"}</definedName>
    <definedName name="IIIIIIIIIIIIIIII" localSheetId="50" hidden="1">{"'Sheet1'!$L$16"}</definedName>
    <definedName name="IIIIIIIIIIIIIIII" localSheetId="46" hidden="1">{"'Sheet1'!$L$16"}</definedName>
    <definedName name="IIIIIIIIIIIIIIII" hidden="1">{"'Sheet1'!$L$16"}</definedName>
    <definedName name="intern" localSheetId="41" hidden="1">{"'Sheet1'!$L$16"}</definedName>
    <definedName name="intern" localSheetId="42" hidden="1">{"'Sheet1'!$L$16"}</definedName>
    <definedName name="intern" localSheetId="13" hidden="1">{"'Sheet1'!$L$16"}</definedName>
    <definedName name="intern" localSheetId="50" hidden="1">{"'Sheet1'!$L$16"}</definedName>
    <definedName name="intern" localSheetId="46" hidden="1">{"'Sheet1'!$L$16"}</definedName>
    <definedName name="intern" hidden="1">{"'Sheet1'!$L$16"}</definedName>
    <definedName name="IS" localSheetId="13" hidden="1">{"'Sheet1'!$L$16"}</definedName>
    <definedName name="IS" localSheetId="50" hidden="1">{"'Sheet1'!$L$16"}</definedName>
    <definedName name="IS" hidden="1">{"'Sheet1'!$L$16"}</definedName>
    <definedName name="jj" localSheetId="41" hidden="1">{"'РП (2)'!$A$5:$S$150"}</definedName>
    <definedName name="jj" localSheetId="42" hidden="1">{"'РП (2)'!$A$5:$S$150"}</definedName>
    <definedName name="jj" localSheetId="50" hidden="1">{"'РП (2)'!$A$5:$S$150"}</definedName>
    <definedName name="jj" localSheetId="46" hidden="1">{"'РП (2)'!$A$5:$S$150"}</definedName>
    <definedName name="jj" hidden="1">{"'РП (2)'!$A$5:$S$150"}</definedName>
    <definedName name="JUN" localSheetId="41" hidden="1">{"'Sheet1'!$L$16"}</definedName>
    <definedName name="JUN" localSheetId="42" hidden="1">{"'Sheet1'!$L$16"}</definedName>
    <definedName name="JUN" localSheetId="13" hidden="1">{"'Sheet1'!$L$16"}</definedName>
    <definedName name="JUN" localSheetId="50" hidden="1">{"'Sheet1'!$L$16"}</definedName>
    <definedName name="JUN" localSheetId="46" hidden="1">{"'Sheet1'!$L$16"}</definedName>
    <definedName name="JUN" hidden="1">{"'Sheet1'!$L$16"}</definedName>
    <definedName name="K.A" localSheetId="41" hidden="1">{"'Sheet1'!$L$16"}</definedName>
    <definedName name="K.A" localSheetId="42" hidden="1">{"'Sheet1'!$L$16"}</definedName>
    <definedName name="K.A" localSheetId="13" hidden="1">{"'Sheet1'!$L$16"}</definedName>
    <definedName name="K.A" localSheetId="50" hidden="1">{"'Sheet1'!$L$16"}</definedName>
    <definedName name="K.A" localSheetId="46" hidden="1">{"'Sheet1'!$L$16"}</definedName>
    <definedName name="K.A" hidden="1">{"'Sheet1'!$L$16"}</definedName>
    <definedName name="kBNT" localSheetId="41" hidden="1">{"'РП (2)'!$A$5:$S$150"}</definedName>
    <definedName name="kBNT" localSheetId="42" hidden="1">{"'РП (2)'!$A$5:$S$150"}</definedName>
    <definedName name="kBNT" localSheetId="50" hidden="1">{"'РП (2)'!$A$5:$S$150"}</definedName>
    <definedName name="kBNT" localSheetId="46" hidden="1">{"'РП (2)'!$A$5:$S$150"}</definedName>
    <definedName name="kBNT" hidden="1">{"'РП (2)'!$A$5:$S$150"}</definedName>
    <definedName name="KHDau" hidden="1">#REF!</definedName>
    <definedName name="KHSX" localSheetId="41" hidden="1">{"'Sheet1'!$L$16"}</definedName>
    <definedName name="KHSX" localSheetId="42" hidden="1">{"'Sheet1'!$L$16"}</definedName>
    <definedName name="KHSX" localSheetId="2" hidden="1">{"'Sheet1'!$L$16"}</definedName>
    <definedName name="KHSX" localSheetId="50" hidden="1">{"'Sheet1'!$L$16"}</definedName>
    <definedName name="KHSX" localSheetId="46" hidden="1">{"'Sheet1'!$L$16"}</definedName>
    <definedName name="KHSX" hidden="1">{"'Sheet1'!$L$16"}</definedName>
    <definedName name="khth11" localSheetId="13" hidden="1">{"'Sheet1'!$L$16"}</definedName>
    <definedName name="khth11" localSheetId="50" hidden="1">{"'Sheet1'!$L$16"}</definedName>
    <definedName name="khth11" hidden="1">{"'Sheet1'!$L$16"}</definedName>
    <definedName name="Kieu_chan_ky" hidden="1">#REF!</definedName>
    <definedName name="Kinh_Gui_E" hidden="1">#REF!</definedName>
    <definedName name="Kinh_Gui_V" hidden="1">#REF!</definedName>
    <definedName name="klk" localSheetId="41" hidden="1">{"'Sheet1'!$L$16"}</definedName>
    <definedName name="klk" localSheetId="42" hidden="1">{"'Sheet1'!$L$16"}</definedName>
    <definedName name="klk" localSheetId="50" hidden="1">{"'Sheet1'!$L$16"}</definedName>
    <definedName name="klk" localSheetId="46" hidden="1">{"'Sheet1'!$L$16"}</definedName>
    <definedName name="klk" hidden="1">{"'Sheet1'!$L$16"}</definedName>
    <definedName name="KN_1111" hidden="1">[9]Tong_hop!#REF!</definedName>
    <definedName name="KN_1112" hidden="1">[9]Tong_hop!#REF!</definedName>
    <definedName name="KN_1113" hidden="1">[9]Tong_hop!#REF!</definedName>
    <definedName name="KN_1121" hidden="1">[9]Tong_hop!#REF!</definedName>
    <definedName name="KN_1122" hidden="1">[9]Tong_hop!#REF!</definedName>
    <definedName name="KN_1123" hidden="1">[9]Tong_hop!#REF!</definedName>
    <definedName name="KN_1131" hidden="1">[9]Tong_hop!#REF!</definedName>
    <definedName name="KN_1132" hidden="1">[9]Tong_hop!#REF!</definedName>
    <definedName name="KN_1211" hidden="1">[9]Tong_hop!#REF!</definedName>
    <definedName name="KN_1212" hidden="1">[9]Tong_hop!#REF!</definedName>
    <definedName name="KN_121t" hidden="1">[9]Tong_hop!#REF!</definedName>
    <definedName name="KN_1281" hidden="1">[9]Tong_hop!#REF!</definedName>
    <definedName name="KN_1288" hidden="1">[9]Tong_hop!#REF!</definedName>
    <definedName name="KN_128t" hidden="1">[9]Tong_hop!#REF!</definedName>
    <definedName name="KN_129" hidden="1">[9]Tong_hop!#REF!</definedName>
    <definedName name="KN_1361bd" hidden="1">[9]Tong_hop!#REF!</definedName>
    <definedName name="KN_1368ad" hidden="1">[9]Tong_hop!#REF!</definedName>
    <definedName name="KN_1368ad1" hidden="1">[9]Tong_hop!#REF!</definedName>
    <definedName name="KN_1368bd" hidden="1">[9]Tong_hop!#REF!</definedName>
    <definedName name="KN_1368bd1" hidden="1">[9]Tong_hop!#REF!</definedName>
    <definedName name="KN_1385ad" hidden="1">[9]Tong_hop!#REF!</definedName>
    <definedName name="KN_1385bn" hidden="1">[9]Tong_hop!#REF!</definedName>
    <definedName name="KN_1388a1" hidden="1">[9]Tong_hop!#REF!</definedName>
    <definedName name="KN_1388ad1" hidden="1">[9]Tong_hop!#REF!</definedName>
    <definedName name="KN_1388ad2" hidden="1">[9]Tong_hop!#REF!</definedName>
    <definedName name="KN_1388an" hidden="1">[9]Tong_hop!#REF!</definedName>
    <definedName name="KN_1388b1" hidden="1">[9]Tong_hop!#REF!</definedName>
    <definedName name="KN_1388bn" hidden="1">[9]Tong_hop!#REF!</definedName>
    <definedName name="KN_139d" hidden="1">[9]Tong_hop!#REF!</definedName>
    <definedName name="KN_139n" hidden="1">[9]Tong_hop!#REF!</definedName>
    <definedName name="KN_141a" hidden="1">[9]Tong_hop!#REF!</definedName>
    <definedName name="KN_141b" hidden="1">[9]Tong_hop!#REF!</definedName>
    <definedName name="KN_144" hidden="1">[9]Tong_hop!#REF!</definedName>
    <definedName name="KN_151" hidden="1">[9]Tong_hop!#REF!</definedName>
    <definedName name="KN_152" hidden="1">[9]Tong_hop!#REF!</definedName>
    <definedName name="KN_153" hidden="1">[9]Tong_hop!#REF!</definedName>
    <definedName name="KN_154" hidden="1">[9]Tong_hop!#REF!</definedName>
    <definedName name="KN_155" hidden="1">[9]Tong_hop!#REF!</definedName>
    <definedName name="KN_1561" hidden="1">[9]Tong_hop!#REF!</definedName>
    <definedName name="KN_1562" hidden="1">[9]Tong_hop!#REF!</definedName>
    <definedName name="KN_1567" hidden="1">[9]Tong_hop!#REF!</definedName>
    <definedName name="KN_159" hidden="1">[9]Tong_hop!#REF!</definedName>
    <definedName name="KN_2111" hidden="1">[9]Tong_hop!#REF!</definedName>
    <definedName name="KN_2112" hidden="1">[9]Tong_hop!#REF!</definedName>
    <definedName name="KN_2113" hidden="1">[9]Tong_hop!#REF!</definedName>
    <definedName name="KN_2114" hidden="1">[9]Tong_hop!#REF!</definedName>
    <definedName name="KN_2115" hidden="1">[9]Tong_hop!#REF!</definedName>
    <definedName name="KN_2118" hidden="1">[9]Tong_hop!#REF!</definedName>
    <definedName name="KN_2121" hidden="1">[9]Tong_hop!#REF!</definedName>
    <definedName name="KN_2122" hidden="1">[9]Tong_hop!#REF!</definedName>
    <definedName name="KN_2123" hidden="1">[9]Tong_hop!#REF!</definedName>
    <definedName name="KN_2124" hidden="1">[9]Tong_hop!#REF!</definedName>
    <definedName name="KN_2125" hidden="1">[9]Tong_hop!#REF!</definedName>
    <definedName name="KN_2128" hidden="1">[9]Tong_hop!#REF!</definedName>
    <definedName name="KN_2131" hidden="1">[9]Tong_hop!#REF!</definedName>
    <definedName name="KN_2132" hidden="1">[9]Tong_hop!#REF!</definedName>
    <definedName name="KN_2133" hidden="1">[9]Tong_hop!#REF!</definedName>
    <definedName name="KN_2134" hidden="1">[9]Tong_hop!#REF!</definedName>
    <definedName name="KN_2135" hidden="1">[9]Tong_hop!#REF!</definedName>
    <definedName name="KN_2136" hidden="1">[9]Tong_hop!#REF!</definedName>
    <definedName name="KN_2138" hidden="1">[9]Tong_hop!#REF!</definedName>
    <definedName name="KN_21411" hidden="1">[9]Tong_hop!#REF!</definedName>
    <definedName name="KN_21412" hidden="1">[9]Tong_hop!#REF!</definedName>
    <definedName name="KN_21413" hidden="1">[9]Tong_hop!#REF!</definedName>
    <definedName name="KN_21414" hidden="1">[9]Tong_hop!#REF!</definedName>
    <definedName name="KN_21415" hidden="1">[9]Tong_hop!#REF!</definedName>
    <definedName name="KN_21418" hidden="1">[9]Tong_hop!#REF!</definedName>
    <definedName name="KN_21421" hidden="1">[9]Tong_hop!#REF!</definedName>
    <definedName name="KN_21422" hidden="1">[9]Tong_hop!#REF!</definedName>
    <definedName name="KN_21423" hidden="1">[9]Tong_hop!#REF!</definedName>
    <definedName name="KN_21424" hidden="1">[9]Tong_hop!#REF!</definedName>
    <definedName name="KN_21425" hidden="1">[9]Tong_hop!#REF!</definedName>
    <definedName name="KN_21428" hidden="1">[9]Tong_hop!#REF!</definedName>
    <definedName name="KN_21431" hidden="1">[9]Tong_hop!#REF!</definedName>
    <definedName name="KN_21432" hidden="1">[9]Tong_hop!#REF!</definedName>
    <definedName name="KN_21433" hidden="1">[9]Tong_hop!#REF!</definedName>
    <definedName name="KN_21434" hidden="1">[9]Tong_hop!#REF!</definedName>
    <definedName name="KN_21435" hidden="1">[9]Tong_hop!#REF!</definedName>
    <definedName name="KN_21436" hidden="1">[9]Tong_hop!#REF!</definedName>
    <definedName name="KN_21438" hidden="1">[9]Tong_hop!#REF!</definedName>
    <definedName name="KN_2147" hidden="1">[9]Tong_hop!#REF!</definedName>
    <definedName name="KN_217" hidden="1">[9]Tong_hop!#REF!</definedName>
    <definedName name="KN_221" hidden="1">[9]Tong_hop!#REF!</definedName>
    <definedName name="KN_222" hidden="1">[9]Tong_hop!#REF!</definedName>
    <definedName name="KN_223" hidden="1">[9]Tong_hop!#REF!</definedName>
    <definedName name="KN_2281" hidden="1">[9]Tong_hop!#REF!</definedName>
    <definedName name="KN_22821" hidden="1">[9]Tong_hop!#REF!</definedName>
    <definedName name="KN_22822" hidden="1">[9]Tong_hop!#REF!</definedName>
    <definedName name="KN_22881" hidden="1">[9]Tong_hop!#REF!</definedName>
    <definedName name="KN_22882" hidden="1">[9]Tong_hop!#REF!</definedName>
    <definedName name="KN_229" hidden="1">[9]Tong_hop!#REF!</definedName>
    <definedName name="KN_2411" hidden="1">[9]Tong_hop!#REF!</definedName>
    <definedName name="KN_2412" hidden="1">[9]Tong_hop!#REF!</definedName>
    <definedName name="KN_2413" hidden="1">[9]Tong_hop!#REF!</definedName>
    <definedName name="KN_2420" hidden="1">[9]Tong_hop!#REF!</definedName>
    <definedName name="KN_2421" hidden="1">[9]Tong_hop!#REF!</definedName>
    <definedName name="KN_2422" hidden="1">[9]Tong_hop!#REF!</definedName>
    <definedName name="KN_2423" hidden="1">[9]Tong_hop!#REF!</definedName>
    <definedName name="KN_2424" hidden="1">[9]Tong_hop!#REF!</definedName>
    <definedName name="KN_2425" hidden="1">[9]Tong_hop!#REF!</definedName>
    <definedName name="KN_2426" hidden="1">[9]Tong_hop!#REF!</definedName>
    <definedName name="KN_2427" hidden="1">[9]Tong_hop!#REF!</definedName>
    <definedName name="KN_2428" hidden="1">[9]Tong_hop!#REF!</definedName>
    <definedName name="KN_2429" hidden="1">[9]Tong_hop!#REF!</definedName>
    <definedName name="KN_2431" hidden="1">[9]Tong_hop!#REF!</definedName>
    <definedName name="KN_2432" hidden="1">[9]Tong_hop!#REF!</definedName>
    <definedName name="KN_2433" hidden="1">[9]Tong_hop!#REF!</definedName>
    <definedName name="KN_2434" hidden="1">[9]Tong_hop!#REF!</definedName>
    <definedName name="KN_244" hidden="1">[9]Tong_hop!#REF!</definedName>
    <definedName name="KN_3111" hidden="1">[9]Tong_hop!#REF!</definedName>
    <definedName name="KN_3112" hidden="1">[9]Tong_hop!#REF!</definedName>
    <definedName name="KN_315" hidden="1">[9]Tong_hop!#REF!</definedName>
    <definedName name="KN_331ad" hidden="1">[9]Tong_hop!#REF!</definedName>
    <definedName name="KN_33311a" hidden="1">[9]Tong_hop!#REF!</definedName>
    <definedName name="KN_33311b" hidden="1">[9]Tong_hop!#REF!</definedName>
    <definedName name="KN_33312a" hidden="1">[9]Tong_hop!#REF!</definedName>
    <definedName name="KN_33312b" hidden="1">[9]Tong_hop!#REF!</definedName>
    <definedName name="KN_3332a" hidden="1">[9]Tong_hop!#REF!</definedName>
    <definedName name="KN_3332b" hidden="1">[9]Tong_hop!#REF!</definedName>
    <definedName name="KN_3333a" hidden="1">[9]Tong_hop!#REF!</definedName>
    <definedName name="KN_3333b" hidden="1">[9]Tong_hop!#REF!</definedName>
    <definedName name="KN_3334a" hidden="1">[9]Tong_hop!#REF!</definedName>
    <definedName name="KN_3334b" hidden="1">[9]Tong_hop!#REF!</definedName>
    <definedName name="KN_3335a" hidden="1">[9]Tong_hop!#REF!</definedName>
    <definedName name="KN_3335b" hidden="1">[9]Tong_hop!#REF!</definedName>
    <definedName name="KN_3336a" hidden="1">[9]Tong_hop!#REF!</definedName>
    <definedName name="KN_3336b" hidden="1">[9]Tong_hop!#REF!</definedName>
    <definedName name="KN_3337a" hidden="1">[9]Tong_hop!#REF!</definedName>
    <definedName name="KN_3337b" hidden="1">[9]Tong_hop!#REF!</definedName>
    <definedName name="KN_3338a" hidden="1">[9]Tong_hop!#REF!</definedName>
    <definedName name="KN_3338b" hidden="1">[9]Tong_hop!#REF!</definedName>
    <definedName name="KN_3339a1" hidden="1">[9]Tong_hop!#REF!</definedName>
    <definedName name="KN_3339a2" hidden="1">[9]Tong_hop!#REF!</definedName>
    <definedName name="KN_3339b1" hidden="1">[9]Tong_hop!#REF!</definedName>
    <definedName name="KN_3339b2" hidden="1">[9]Tong_hop!#REF!</definedName>
    <definedName name="KN_3341a" hidden="1">[9]Tong_hop!#REF!</definedName>
    <definedName name="KN_3348a" hidden="1">[9]Tong_hop!#REF!</definedName>
    <definedName name="KN_3351" hidden="1">[9]Tong_hop!#REF!</definedName>
    <definedName name="KN_3352" hidden="1">[9]Tong_hop!#REF!</definedName>
    <definedName name="KN_3353" hidden="1">[9]Tong_hop!#REF!</definedName>
    <definedName name="KN_3354" hidden="1">[9]Tong_hop!#REF!</definedName>
    <definedName name="KN_3355" hidden="1">[9]Tong_hop!#REF!</definedName>
    <definedName name="KN_336ad1" hidden="1">[9]Tong_hop!#REF!</definedName>
    <definedName name="KN_336ad2" hidden="1">[9]Tong_hop!#REF!</definedName>
    <definedName name="KN_336ad3" hidden="1">[9]Tong_hop!#REF!</definedName>
    <definedName name="KN_336bd1" hidden="1">[9]Tong_hop!#REF!</definedName>
    <definedName name="KN_336bd2" hidden="1">[9]Tong_hop!#REF!</definedName>
    <definedName name="KN_336bd3" hidden="1">[9]Tong_hop!#REF!</definedName>
    <definedName name="KN_3381" hidden="1">[9]Tong_hop!#REF!</definedName>
    <definedName name="KN_3382a" hidden="1">[9]Tong_hop!#REF!</definedName>
    <definedName name="KN_3382b" hidden="1">[9]Tong_hop!#REF!</definedName>
    <definedName name="KN_3383a" hidden="1">[9]Tong_hop!#REF!</definedName>
    <definedName name="KN_3383b" hidden="1">[9]Tong_hop!#REF!</definedName>
    <definedName name="KN_3384a" hidden="1">[9]Tong_hop!#REF!</definedName>
    <definedName name="KN_3384b" hidden="1">[9]Tong_hop!#REF!</definedName>
    <definedName name="KN_3385b" hidden="1">[9]Tong_hop!#REF!</definedName>
    <definedName name="KN_3386b" hidden="1">[9]Tong_hop!#REF!</definedName>
    <definedName name="KN_3387ad" hidden="1">[9]Tong_hop!#REF!</definedName>
    <definedName name="KN_3388a1" hidden="1">[9]Tong_hop!#REF!</definedName>
    <definedName name="KN_3388a2" hidden="1">[9]Tong_hop!#REF!</definedName>
    <definedName name="KN_3388ad" hidden="1">[9]Tong_hop!#REF!</definedName>
    <definedName name="KN_3388an" hidden="1">[9]Tong_hop!#REF!</definedName>
    <definedName name="KN_3388b1" hidden="1">[9]Tong_hop!#REF!</definedName>
    <definedName name="KN_3388b2" hidden="1">[9]Tong_hop!#REF!</definedName>
    <definedName name="KN_3388bn" hidden="1">[9]Tong_hop!#REF!</definedName>
    <definedName name="KN_3389a" hidden="1">[9]Tong_hop!#REF!</definedName>
    <definedName name="KN_3389b" hidden="1">[9]Tong_hop!#REF!</definedName>
    <definedName name="KN_3411" hidden="1">[9]Tong_hop!#REF!</definedName>
    <definedName name="KN_3411.1" hidden="1">[10]Tong_hop!$K$493</definedName>
    <definedName name="KN_3411.2" hidden="1">[10]Tong_hop!$K$554</definedName>
    <definedName name="KN_3411.3" hidden="1">[10]Tong_hop!$K$495</definedName>
    <definedName name="KN_3412" hidden="1">[9]Tong_hop!#REF!</definedName>
    <definedName name="KN_3412.1" hidden="1">[10]Tong_hop!$K$494</definedName>
    <definedName name="KN_3412.2" hidden="1">[10]Tong_hop!$K$555</definedName>
    <definedName name="KN_3421" hidden="1">[9]Tong_hop!#REF!</definedName>
    <definedName name="KN_3422" hidden="1">[9]Tong_hop!#REF!</definedName>
    <definedName name="KN_3431" hidden="1">[9]Tong_hop!#REF!</definedName>
    <definedName name="KN_3431.1d" hidden="1">[10]Tong_hop!$K$556</definedName>
    <definedName name="KN_3431.1n" hidden="1">[10]Tong_hop!$K$496</definedName>
    <definedName name="KN_3431.2" hidden="1">[10]Tong_hop!$K$557</definedName>
    <definedName name="KN_3431.3" hidden="1">[10]Tong_hop!$K$558</definedName>
    <definedName name="KN_3432" hidden="1">[9]Tong_hop!#REF!</definedName>
    <definedName name="KN_3433" hidden="1">[9]Tong_hop!#REF!</definedName>
    <definedName name="KN_3471" hidden="1">[9]Tong_hop!#REF!</definedName>
    <definedName name="KN_3472" hidden="1">[9]Tong_hop!#REF!</definedName>
    <definedName name="KN_3561" hidden="1">[9]Tong_hop!#REF!</definedName>
    <definedName name="KN_3562" hidden="1">[9]Tong_hop!#REF!</definedName>
    <definedName name="KN_4111" hidden="1">[9]Tong_hop!#REF!</definedName>
    <definedName name="KN_4112" hidden="1">[9]Tong_hop!#REF!</definedName>
    <definedName name="KN_4118" hidden="1">[9]Tong_hop!#REF!</definedName>
    <definedName name="KN_412" hidden="1">[9]Tong_hop!#REF!</definedName>
    <definedName name="KN_4131" hidden="1">[9]Tong_hop!#REF!</definedName>
    <definedName name="KN_4132" hidden="1">[9]Tong_hop!#REF!</definedName>
    <definedName name="KN_414" hidden="1">[9]Tong_hop!#REF!</definedName>
    <definedName name="KN_415" hidden="1">[9]Tong_hop!#REF!</definedName>
    <definedName name="KN_418" hidden="1">[9]Tong_hop!#REF!</definedName>
    <definedName name="KN_419" hidden="1">[9]Tong_hop!#REF!</definedName>
    <definedName name="KN_4211" hidden="1">[9]Tong_hop!#REF!</definedName>
    <definedName name="KN_4212" hidden="1">[9]Tong_hop!#REF!</definedName>
    <definedName name="KN_441" hidden="1">[9]Tong_hop!#REF!</definedName>
    <definedName name="KN_5111" hidden="1">[9]Tong_hop!#REF!</definedName>
    <definedName name="KN_5112" hidden="1">[9]Tong_hop!#REF!</definedName>
    <definedName name="KN_5113" hidden="1">[9]Tong_hop!#REF!</definedName>
    <definedName name="KN_5114" hidden="1">[9]Tong_hop!#REF!</definedName>
    <definedName name="KN_5117" hidden="1">[9]Tong_hop!#REF!</definedName>
    <definedName name="KN_5118" hidden="1">[9]Tong_hop!#REF!</definedName>
    <definedName name="KN_5119" hidden="1">[9]Tong_hop!#REF!</definedName>
    <definedName name="KN_5121" hidden="1">[9]Tong_hop!#REF!</definedName>
    <definedName name="KN_5122" hidden="1">[9]Tong_hop!#REF!</definedName>
    <definedName name="KN_5123" hidden="1">[9]Tong_hop!#REF!</definedName>
    <definedName name="KN_5124" hidden="1">[9]Tong_hop!#REF!</definedName>
    <definedName name="KN_5127" hidden="1">[9]Tong_hop!#REF!</definedName>
    <definedName name="KN_5128" hidden="1">[9]Tong_hop!#REF!</definedName>
    <definedName name="KN_5129" hidden="1">[9]Tong_hop!#REF!</definedName>
    <definedName name="KN_5151" hidden="1">[9]Tong_hop!#REF!</definedName>
    <definedName name="KN_5152" hidden="1">[9]Tong_hop!#REF!</definedName>
    <definedName name="KN_5153" hidden="1">[9]Tong_hop!#REF!</definedName>
    <definedName name="KN_5154" hidden="1">[9]Tong_hop!#REF!</definedName>
    <definedName name="KN_5155" hidden="1">[9]Tong_hop!#REF!</definedName>
    <definedName name="KN_5156" hidden="1">[9]Tong_hop!#REF!</definedName>
    <definedName name="KN_5157" hidden="1">[9]Tong_hop!#REF!</definedName>
    <definedName name="KN_5158" hidden="1">[9]Tong_hop!#REF!</definedName>
    <definedName name="KN_521" hidden="1">[9]Tong_hop!#REF!</definedName>
    <definedName name="KN_531" hidden="1">[9]Tong_hop!#REF!</definedName>
    <definedName name="KN_532" hidden="1">[9]Tong_hop!#REF!</definedName>
    <definedName name="KN_6321" hidden="1">[9]Tong_hop!#REF!</definedName>
    <definedName name="KN_6322" hidden="1">[9]Tong_hop!#REF!</definedName>
    <definedName name="KN_6323" hidden="1">[9]Tong_hop!#REF!</definedName>
    <definedName name="KN_6324" hidden="1">[9]Tong_hop!#REF!</definedName>
    <definedName name="KN_6325" hidden="1">[9]Tong_hop!#REF!</definedName>
    <definedName name="KN_6326" hidden="1">[9]Tong_hop!#REF!</definedName>
    <definedName name="KN_6327" hidden="1">[9]Tong_hop!#REF!</definedName>
    <definedName name="KN_6328" hidden="1">[9]Tong_hop!#REF!</definedName>
    <definedName name="KN_6329" hidden="1">[9]Tong_hop!#REF!</definedName>
    <definedName name="KN_6351" hidden="1">[9]Tong_hop!#REF!</definedName>
    <definedName name="KN_6352" hidden="1">[9]Tong_hop!#REF!</definedName>
    <definedName name="KN_6353" hidden="1">[9]Tong_hop!#REF!</definedName>
    <definedName name="KN_6354" hidden="1">[9]Tong_hop!#REF!</definedName>
    <definedName name="KN_6355" hidden="1">[9]Tong_hop!#REF!</definedName>
    <definedName name="KN_6356" hidden="1">[9]Tong_hop!#REF!</definedName>
    <definedName name="KN_6357" hidden="1">[9]Tong_hop!#REF!</definedName>
    <definedName name="KN_6358" hidden="1">[9]Tong_hop!#REF!</definedName>
    <definedName name="KN_82111" hidden="1">[9]Tong_hop!#REF!</definedName>
    <definedName name="KN_82112" hidden="1">[9]Tong_hop!#REF!</definedName>
    <definedName name="KN_82121" hidden="1">[9]Tong_hop!#REF!</definedName>
    <definedName name="KN_82122" hidden="1">[9]Tong_hop!#REF!</definedName>
    <definedName name="KN_82123" hidden="1">[9]Tong_hop!#REF!</definedName>
    <definedName name="KN_82124" hidden="1">[9]Tong_hop!#REF!</definedName>
    <definedName name="KN_82125" hidden="1">[9]Tong_hop!#REF!</definedName>
    <definedName name="KN_CT01" hidden="1">[9]Tong_hop!#REF!</definedName>
    <definedName name="KN_CT02" hidden="1">[9]Tong_hop!#REF!</definedName>
    <definedName name="KN_CT10" hidden="1">[9]Tong_hop!#REF!</definedName>
    <definedName name="KN_CT100" hidden="1">[9]Tong_hop!#REF!</definedName>
    <definedName name="KN_CT11" hidden="1">[9]Tong_hop!#REF!</definedName>
    <definedName name="KN_CT110" hidden="1">[9]Tong_hop!#REF!</definedName>
    <definedName name="KN_CT111" hidden="1">[9]Tong_hop!#REF!</definedName>
    <definedName name="KN_CT112" hidden="1">[9]Tong_hop!#REF!</definedName>
    <definedName name="KN_CT120" hidden="1">[9]Tong_hop!#REF!</definedName>
    <definedName name="KN_CT121" hidden="1">[9]Tong_hop!#REF!</definedName>
    <definedName name="KN_CT130" hidden="1">[9]Tong_hop!#REF!</definedName>
    <definedName name="KN_CT131" hidden="1">[9]Tong_hop!#REF!</definedName>
    <definedName name="KN_CT132" hidden="1">[9]Tong_hop!#REF!</definedName>
    <definedName name="KN_CT133" hidden="1">[9]Tong_hop!#REF!</definedName>
    <definedName name="KN_CT134" hidden="1">[9]Tong_hop!#REF!</definedName>
    <definedName name="KN_CT135" hidden="1">[9]Tong_hop!#REF!</definedName>
    <definedName name="KN_CT140" hidden="1">[9]Tong_hop!#REF!</definedName>
    <definedName name="KN_CT141" hidden="1">[9]Tong_hop!#REF!</definedName>
    <definedName name="KN_CT151" hidden="1">[9]Tong_hop!#REF!</definedName>
    <definedName name="KN_CT152" hidden="1">[9]Tong_hop!#REF!</definedName>
    <definedName name="KN_CT154" hidden="1">[9]Tong_hop!#REF!</definedName>
    <definedName name="KN_CT157" hidden="1">[9]Tong_hop!#REF!</definedName>
    <definedName name="KN_CT158" hidden="1">[9]Tong_hop!#REF!</definedName>
    <definedName name="KN_CT200" hidden="1">[9]Tong_hop!#REF!</definedName>
    <definedName name="KN_CT21" hidden="1">[9]Tong_hop!#REF!</definedName>
    <definedName name="KN_CT211" hidden="1">[9]Tong_hop!#REF!</definedName>
    <definedName name="KN_CT212" hidden="1">[9]Tong_hop!#REF!</definedName>
    <definedName name="KN_CT213" hidden="1">[9]Tong_hop!#REF!</definedName>
    <definedName name="KN_CT218" hidden="1">[9]Tong_hop!#REF!</definedName>
    <definedName name="KN_CT22" hidden="1">[9]Tong_hop!#REF!</definedName>
    <definedName name="KN_CT220" hidden="1">[9]Tong_hop!#REF!</definedName>
    <definedName name="KN_CT221" hidden="1">[9]Tong_hop!#REF!</definedName>
    <definedName name="KN_CT222" hidden="1">[9]Tong_hop!#REF!</definedName>
    <definedName name="KN_CT223" hidden="1">[9]Tong_hop!#REF!</definedName>
    <definedName name="KN_CT224" hidden="1">[9]Tong_hop!#REF!</definedName>
    <definedName name="KN_CT225" hidden="1">[9]Tong_hop!#REF!</definedName>
    <definedName name="KN_CT226" hidden="1">[9]Tong_hop!#REF!</definedName>
    <definedName name="KN_CT227" hidden="1">[9]Tong_hop!#REF!</definedName>
    <definedName name="KN_CT228" hidden="1">[9]Tong_hop!#REF!</definedName>
    <definedName name="KN_CT229" hidden="1">[9]Tong_hop!#REF!</definedName>
    <definedName name="KN_CT230" hidden="1">[9]Tong_hop!#REF!</definedName>
    <definedName name="KN_CT24" hidden="1">[9]Tong_hop!#REF!</definedName>
    <definedName name="KN_CT240" hidden="1">[9]Tong_hop!#REF!</definedName>
    <definedName name="KN_CT25" hidden="1">[9]Tong_hop!#REF!</definedName>
    <definedName name="KN_CT250" hidden="1">[9]Tong_hop!#REF!</definedName>
    <definedName name="KN_CT251" hidden="1">[10]Tong_hop!$K$312</definedName>
    <definedName name="KN_CT252" hidden="1">[9]Tong_hop!#REF!</definedName>
    <definedName name="KN_CT253" hidden="1">[10]Tong_hop!$K$317</definedName>
    <definedName name="KN_CT255" hidden="1">[10]Tong_hop!$K$321</definedName>
    <definedName name="KN_CT258" hidden="1">[9]Tong_hop!#REF!</definedName>
    <definedName name="KN_CT261" hidden="1">[9]Tong_hop!#REF!</definedName>
    <definedName name="KN_CT262" hidden="1">[9]Tong_hop!#REF!</definedName>
    <definedName name="KN_CT268" hidden="1">[9]Tong_hop!#REF!</definedName>
    <definedName name="KN_CT270" hidden="1">[9]Tong_hop!#REF!</definedName>
    <definedName name="KN_CT30" hidden="1">[9]Tong_hop!#REF!</definedName>
    <definedName name="KN_CT300" hidden="1">[9]Tong_hop!#REF!</definedName>
    <definedName name="KN_CT31" hidden="1">[9]Tong_hop!#REF!</definedName>
    <definedName name="KN_CT310" hidden="1">[9]Tong_hop!#REF!</definedName>
    <definedName name="KN_CT311" hidden="1">[9]Tong_hop!#REF!</definedName>
    <definedName name="KN_CT312" hidden="1">[9]Tong_hop!#REF!</definedName>
    <definedName name="KN_CT313" hidden="1">[9]Tong_hop!#REF!</definedName>
    <definedName name="KN_CT314" hidden="1">[9]Tong_hop!#REF!</definedName>
    <definedName name="KN_CT315" hidden="1">[9]Tong_hop!#REF!</definedName>
    <definedName name="KN_CT316" hidden="1">[9]Tong_hop!#REF!</definedName>
    <definedName name="KN_CT317" hidden="1">[9]Tong_hop!#REF!</definedName>
    <definedName name="KN_CT318" hidden="1">[9]Tong_hop!#REF!</definedName>
    <definedName name="KN_CT319" hidden="1">[9]Tong_hop!#REF!</definedName>
    <definedName name="KN_CT320" hidden="1">[9]Tong_hop!#REF!</definedName>
    <definedName name="KN_CT323" hidden="1">[9]Tong_hop!#REF!</definedName>
    <definedName name="KN_CT327" hidden="1">[9]Tong_hop!#REF!</definedName>
    <definedName name="KN_CT330" hidden="1">[9]Tong_hop!#REF!</definedName>
    <definedName name="KN_CT331" hidden="1">[9]Tong_hop!#REF!</definedName>
    <definedName name="KN_CT332" hidden="1">[9]Tong_hop!#REF!</definedName>
    <definedName name="KN_CT333" hidden="1">[9]Tong_hop!#REF!</definedName>
    <definedName name="KN_CT334" hidden="1">[9]Tong_hop!#REF!</definedName>
    <definedName name="KN_CT335" hidden="1">[9]Tong_hop!#REF!</definedName>
    <definedName name="KN_CT336" hidden="1">[9]Tong_hop!#REF!</definedName>
    <definedName name="KN_CT337" hidden="1">[9]Tong_hop!#REF!</definedName>
    <definedName name="KN_CT338" hidden="1">[9]Tong_hop!#REF!</definedName>
    <definedName name="KN_CT339" hidden="1">[9]Tong_hop!#REF!</definedName>
    <definedName name="KN_CT400" hidden="1">[9]Tong_hop!#REF!</definedName>
    <definedName name="KN_CT410" hidden="1">[9]Tong_hop!#REF!</definedName>
    <definedName name="KN_CT420" hidden="1">[9]Tong_hop!#REF!</definedName>
    <definedName name="KN_CT432" hidden="1">[9]Tong_hop!#REF!</definedName>
    <definedName name="KN_CT440" hidden="1">[9]Tong_hop!#REF!</definedName>
    <definedName name="KN_CT50" hidden="1">[9]Tong_hop!#REF!</definedName>
    <definedName name="KN_CT51" hidden="1">[9]Tong_hop!#REF!</definedName>
    <definedName name="KN_CT52" hidden="1">[9]Tong_hop!#REF!</definedName>
    <definedName name="KN_CT60" hidden="1">[9]Tong_hop!#REF!</definedName>
    <definedName name="KN_TTDB" hidden="1">[9]Tong_hop!#REF!</definedName>
    <definedName name="KN_TXK" hidden="1">[9]Tong_hop!#REF!</definedName>
    <definedName name="KN_VAT" hidden="1">[9]Tong_hop!#REF!</definedName>
    <definedName name="KT_1288" hidden="1">[9]Tong_hop!#REF!</definedName>
    <definedName name="KT_129" hidden="1">[9]Tong_hop!#REF!</definedName>
    <definedName name="KT_1361bd" hidden="1">[9]Tong_hop!#REF!</definedName>
    <definedName name="KT_1368ad1" hidden="1">[9]Tong_hop!#REF!</definedName>
    <definedName name="KT_1368bd" hidden="1">[9]Tong_hop!#REF!</definedName>
    <definedName name="KT_1368bd1" hidden="1">[9]Tong_hop!#REF!</definedName>
    <definedName name="KT_1388a1" hidden="1">[9]Tong_hop!#REF!</definedName>
    <definedName name="KT_1388ad1" hidden="1">[9]Tong_hop!#REF!</definedName>
    <definedName name="KT_1388ad2" hidden="1">[9]Tong_hop!#REF!</definedName>
    <definedName name="KT_1388b1" hidden="1">[9]Tong_hop!#REF!</definedName>
    <definedName name="KT_141b" hidden="1">[9]Tong_hop!#REF!</definedName>
    <definedName name="KT_144" hidden="1">[9]Tong_hop!#REF!</definedName>
    <definedName name="KT_2122" hidden="1">[9]Tong_hop!#REF!</definedName>
    <definedName name="KT_2123" hidden="1">[9]Tong_hop!#REF!</definedName>
    <definedName name="KT_2124" hidden="1">[9]Tong_hop!#REF!</definedName>
    <definedName name="KT_2125" hidden="1">[9]Tong_hop!#REF!</definedName>
    <definedName name="KT_21422" hidden="1">[9]Tong_hop!#REF!</definedName>
    <definedName name="KT_21423" hidden="1">[9]Tong_hop!#REF!</definedName>
    <definedName name="KT_21424" hidden="1">[9]Tong_hop!#REF!</definedName>
    <definedName name="KT_21425" hidden="1">[9]Tong_hop!#REF!</definedName>
    <definedName name="KT_222" hidden="1">[9]Tong_hop!#REF!</definedName>
    <definedName name="KT_223" hidden="1">[9]Tong_hop!#REF!</definedName>
    <definedName name="KT_22821" hidden="1">[9]Tong_hop!#REF!</definedName>
    <definedName name="KT_22822" hidden="1">[9]Tong_hop!#REF!</definedName>
    <definedName name="KT_22881" hidden="1">[9]Tong_hop!#REF!</definedName>
    <definedName name="KT_22882" hidden="1">[9]Tong_hop!#REF!</definedName>
    <definedName name="KT_229" hidden="1">[9]Tong_hop!#REF!</definedName>
    <definedName name="KT_2411" hidden="1">[9]Tong_hop!#REF!</definedName>
    <definedName name="KT_2412" hidden="1">[9]Tong_hop!#REF!</definedName>
    <definedName name="KT_2413" hidden="1">[9]Tong_hop!#REF!</definedName>
    <definedName name="KT_2420" hidden="1">[9]Tong_hop!#REF!</definedName>
    <definedName name="KT_2424" hidden="1">[9]Tong_hop!#REF!</definedName>
    <definedName name="KT_2425" hidden="1">[9]Tong_hop!#REF!</definedName>
    <definedName name="KT_2426" hidden="1">[9]Tong_hop!#REF!</definedName>
    <definedName name="KT_2427" hidden="1">[9]Tong_hop!#REF!</definedName>
    <definedName name="KT_2428" hidden="1">[9]Tong_hop!#REF!</definedName>
    <definedName name="KT_2429" hidden="1">[9]Tong_hop!#REF!</definedName>
    <definedName name="KT_331ad" hidden="1">[9]Tong_hop!#REF!</definedName>
    <definedName name="KT_33311b" hidden="1">[9]Tong_hop!#REF!</definedName>
    <definedName name="KT_33312b" hidden="1">[9]Tong_hop!#REF!</definedName>
    <definedName name="KT_3332b" hidden="1">[9]Tong_hop!#REF!</definedName>
    <definedName name="KT_3333b" hidden="1">[9]Tong_hop!#REF!</definedName>
    <definedName name="KT_3334b" hidden="1">[9]Tong_hop!#REF!</definedName>
    <definedName name="KT_3335b" hidden="1">[9]Tong_hop!#REF!</definedName>
    <definedName name="KT_3336b" hidden="1">[9]Tong_hop!#REF!</definedName>
    <definedName name="KT_3337b" hidden="1">[9]Tong_hop!#REF!</definedName>
    <definedName name="KT_3338b" hidden="1">[9]Tong_hop!#REF!</definedName>
    <definedName name="KT_3339b1" hidden="1">[9]Tong_hop!#REF!</definedName>
    <definedName name="KT_3339b2" hidden="1">[9]Tong_hop!#REF!</definedName>
    <definedName name="KT_3351" hidden="1">[9]Tong_hop!#REF!</definedName>
    <definedName name="KT_3352" hidden="1">[9]Tong_hop!#REF!</definedName>
    <definedName name="KT_3353" hidden="1">[9]Tong_hop!#REF!</definedName>
    <definedName name="KT_3354" hidden="1">[9]Tong_hop!#REF!</definedName>
    <definedName name="KT_3355" hidden="1">[9]Tong_hop!#REF!</definedName>
    <definedName name="KT_336ad3" hidden="1">[9]Tong_hop!#REF!</definedName>
    <definedName name="KT_3386b" hidden="1">[9]Tong_hop!#REF!</definedName>
    <definedName name="KT_3388a1" hidden="1">[9]Tong_hop!#REF!</definedName>
    <definedName name="KT_3388a2" hidden="1">[9]Tong_hop!#REF!</definedName>
    <definedName name="KT_3388b1" hidden="1">[9]Tong_hop!#REF!</definedName>
    <definedName name="KT_3388b2" hidden="1">[9]Tong_hop!#REF!</definedName>
    <definedName name="KT_3411.1" hidden="1">[10]Tong_hop!$Q$493</definedName>
    <definedName name="KT_3411.2" hidden="1">[10]Tong_hop!$Q$554</definedName>
    <definedName name="KT_3411.3" hidden="1">[10]Tong_hop!$Q$495</definedName>
    <definedName name="KT_3412.1" hidden="1">[10]Tong_hop!$Q$494</definedName>
    <definedName name="KT_3412.2" hidden="1">[10]Tong_hop!$Q$555</definedName>
    <definedName name="KT_3421" hidden="1">[9]Tong_hop!#REF!</definedName>
    <definedName name="KT_3422" hidden="1">[9]Tong_hop!#REF!</definedName>
    <definedName name="KT_3431.1d" hidden="1">[10]Tong_hop!$Q$556</definedName>
    <definedName name="KT_3431.1n" hidden="1">[10]Tong_hop!$Q$496</definedName>
    <definedName name="KT_3431.2" hidden="1">[10]Tong_hop!$Q$557</definedName>
    <definedName name="KT_3431.3" hidden="1">[10]Tong_hop!$Q$558</definedName>
    <definedName name="KT_3433" hidden="1">[9]Tong_hop!#REF!</definedName>
    <definedName name="KT_415" hidden="1">[9]Tong_hop!#REF!</definedName>
    <definedName name="KT_5119" hidden="1">[9]Tong_hop!#REF!</definedName>
    <definedName name="KT_5121" hidden="1">[9]Tong_hop!#REF!</definedName>
    <definedName name="KT_5122" hidden="1">[9]Tong_hop!#REF!</definedName>
    <definedName name="KT_5123" hidden="1">[9]Tong_hop!#REF!</definedName>
    <definedName name="KT_5124" hidden="1">[9]Tong_hop!#REF!</definedName>
    <definedName name="KT_5127" hidden="1">[9]Tong_hop!#REF!</definedName>
    <definedName name="KT_5128" hidden="1">[9]Tong_hop!#REF!</definedName>
    <definedName name="KT_5129" hidden="1">[9]Tong_hop!#REF!</definedName>
    <definedName name="KT_CT151" hidden="1">[9]Tong_hop!#REF!</definedName>
    <definedName name="KT_CT230" hidden="1">[9]Tong_hop!#REF!</definedName>
    <definedName name="KT_CT251" hidden="1">[10]Tong_hop!$Q$312</definedName>
    <definedName name="KT_CT253" hidden="1">[10]Tong_hop!$Q$317</definedName>
    <definedName name="KT_CT255" hidden="1">[10]Tong_hop!$Q$321</definedName>
    <definedName name="KT_CT312" hidden="1">[9]Tong_hop!#REF!</definedName>
    <definedName name="KT_CT313" hidden="1">[9]Tong_hop!#REF!</definedName>
    <definedName name="KT_CT314" hidden="1">[9]Tong_hop!#REF!</definedName>
    <definedName name="KT_CT315" hidden="1">[9]Tong_hop!#REF!</definedName>
    <definedName name="KT_CT336" hidden="1">[9]Tong_hop!#REF!</definedName>
    <definedName name="KT_CT337" hidden="1">[9]Tong_hop!#REF!</definedName>
    <definedName name="Ky_ke_toan_E" hidden="1">#REF!</definedName>
    <definedName name="Ky_ke_toan_V" hidden="1">#REF!</definedName>
    <definedName name="Ky_Nay1_E" hidden="1">#REF!</definedName>
    <definedName name="Ky_Nay1_V" hidden="1">#REF!</definedName>
    <definedName name="Ky_Nay2_E" hidden="1">#REF!</definedName>
    <definedName name="Ky_Nay2_V" hidden="1">#REF!</definedName>
    <definedName name="Ky_Truoc1_E" hidden="1">#REF!</definedName>
    <definedName name="Ky_Truoc1_V" hidden="1">#REF!</definedName>
    <definedName name="Ky_Truoc2_E" hidden="1">#REF!</definedName>
    <definedName name="Ky_Truoc2_V" hidden="1">#REF!</definedName>
    <definedName name="lan" localSheetId="42" hidden="1">{#N/A,#N/A,TRUE,"BT M200 da 10x20"}</definedName>
    <definedName name="lan" hidden="1">{#N/A,#N/A,TRUE,"BT M200 da 10x20"}</definedName>
    <definedName name="LCBTCP_NN" hidden="1">#REF!</definedName>
    <definedName name="LCBTCP_NT" hidden="1">#REF!</definedName>
    <definedName name="LCTT" hidden="1">[9]Tong_hop!#REF!</definedName>
    <definedName name="Linh" localSheetId="41" hidden="1">{"'Sheet1'!$L$16"}</definedName>
    <definedName name="Linh" localSheetId="42" hidden="1">{"'Sheet1'!$L$16"}</definedName>
    <definedName name="Linh" localSheetId="13" hidden="1">{"'Sheet1'!$L$16"}</definedName>
    <definedName name="Linh" localSheetId="50" hidden="1">{"'Sheet1'!$L$16"}</definedName>
    <definedName name="Linh" localSheetId="46" hidden="1">{"'Sheet1'!$L$16"}</definedName>
    <definedName name="Linh" hidden="1">{"'Sheet1'!$L$16"}</definedName>
    <definedName name="lll" localSheetId="41" hidden="1">{"'РП (2)'!$A$5:$S$150"}</definedName>
    <definedName name="lll" localSheetId="42" hidden="1">{"'РП (2)'!$A$5:$S$150"}</definedName>
    <definedName name="lll" localSheetId="50" hidden="1">{"'РП (2)'!$A$5:$S$150"}</definedName>
    <definedName name="lll" localSheetId="46" hidden="1">{"'РП (2)'!$A$5:$S$150"}</definedName>
    <definedName name="lll" hidden="1">{"'РП (2)'!$A$5:$S$150"}</definedName>
    <definedName name="Loai_BCTC" hidden="1">[10]Thong_tin!$D$7</definedName>
    <definedName name="Loai_YKien" hidden="1">#REF!*1+#REF!*1+#REF!*1+#REF!*1</definedName>
    <definedName name="long" localSheetId="41" hidden="1">{"'Sheet1'!$L$16"}</definedName>
    <definedName name="long" localSheetId="42" hidden="1">{"'Sheet1'!$L$16"}</definedName>
    <definedName name="long" localSheetId="50" hidden="1">{"'Sheet1'!$L$16"}</definedName>
    <definedName name="long" localSheetId="46" hidden="1">{"'Sheet1'!$L$16"}</definedName>
    <definedName name="long" hidden="1">{"'Sheet1'!$L$16"}</definedName>
    <definedName name="Mau_BCKT" hidden="1">#REF!</definedName>
    <definedName name="MG_CP" hidden="1">#REF!</definedName>
    <definedName name="mm" localSheetId="41" hidden="1">{"'Sheet1'!$L$16"}</definedName>
    <definedName name="mm" localSheetId="42" hidden="1">{"'Sheet1'!$L$16"}</definedName>
    <definedName name="mm" localSheetId="13" hidden="1">{"'Sheet1'!$L$16"}</definedName>
    <definedName name="mm" localSheetId="50" hidden="1">{"'Sheet1'!$L$16"}</definedName>
    <definedName name="mm" localSheetId="46" hidden="1">{"'Sheet1'!$L$16"}</definedName>
    <definedName name="mm" hidden="1">{"'Sheet1'!$L$16"}</definedName>
    <definedName name="mrn.inv._.budget" localSheetId="42" hidden="1">{"invbud-1",#N/A,FALSE,"A";"invbud-1CW",#N/A,FALSE,"A";"Desinvesteringen",#N/A,FALSE,"C"}</definedName>
    <definedName name="mrn.inv._.budget" hidden="1">{"invbud-1",#N/A,FALSE,"A";"invbud-1CW",#N/A,FALSE,"A";"Desinvesteringen",#N/A,FALSE,"C"}</definedName>
    <definedName name="MucTrongYeu" hidden="1">#REF!</definedName>
    <definedName name="MucTrongYeuTH" hidden="1">#REF!</definedName>
    <definedName name="Nam" hidden="1">#REF!</definedName>
    <definedName name="NG_TSCD_CTLY" hidden="1">#REF!</definedName>
    <definedName name="NG_TSCD_KHH_USE" hidden="1">#REF!</definedName>
    <definedName name="Ngay_Ky_BCTC_E" hidden="1">#REF!</definedName>
    <definedName name="Ngay_Ky_BCTC_V" hidden="1">#REF!</definedName>
    <definedName name="Ngay_Ky_BGD_E" hidden="1">#REF!</definedName>
    <definedName name="Ngay_Ky_BGD_V" hidden="1">#REF!</definedName>
    <definedName name="Ngay_lap_BCTC" hidden="1">#REF!</definedName>
    <definedName name="ngay23" localSheetId="41" hidden="1">{"'Sheet1'!$L$16"}</definedName>
    <definedName name="ngay23" localSheetId="42" hidden="1">{"'Sheet1'!$L$16"}</definedName>
    <definedName name="ngay23" localSheetId="2" hidden="1">{"'Sheet1'!$L$16"}</definedName>
    <definedName name="ngay23" localSheetId="50" hidden="1">{"'Sheet1'!$L$16"}</definedName>
    <definedName name="ngay23" localSheetId="46" hidden="1">{"'Sheet1'!$L$16"}</definedName>
    <definedName name="ngay23" hidden="1">{"'Sheet1'!$L$16"}</definedName>
    <definedName name="NgayLap_BCKT_E" hidden="1">#REF!</definedName>
    <definedName name="NgayLap_BCKT_V" hidden="1">#REF!</definedName>
    <definedName name="nj" hidden="1">39</definedName>
    <definedName name="NN_CDCo">#REF!</definedName>
    <definedName name="NN_CDNo">#REF!</definedName>
    <definedName name="NN_CTCo" hidden="1">#REF!</definedName>
    <definedName name="NN_CTNo" hidden="1">#REF!</definedName>
    <definedName name="NN_DataDieuChinh" hidden="1">#REF!</definedName>
    <definedName name="NN_DataYKienKH" hidden="1">#REF!</definedName>
    <definedName name="NN_DCCo">#REF!</definedName>
    <definedName name="NN_DCNo">#REF!</definedName>
    <definedName name="NN_KQCo">#REF!</definedName>
    <definedName name="NN_KQNo">#REF!</definedName>
    <definedName name="NN_LoaiButToan" hidden="1">#REF!</definedName>
    <definedName name="NN_SoDieuChinh">#REF!</definedName>
    <definedName name="NN_SoDNDieuChinh" hidden="1">#REF!</definedName>
    <definedName name="NN_SoKDieuChinh" hidden="1">#REF!</definedName>
    <definedName name="NN_YKienKH" hidden="1">#REF!</definedName>
    <definedName name="nnm" hidden="1">25</definedName>
    <definedName name="NPP" hidden="1">#REF!</definedName>
    <definedName name="NT_CDCo">#REF!</definedName>
    <definedName name="NT_CDNo">#REF!</definedName>
    <definedName name="NT_CTCo" hidden="1">#REF!</definedName>
    <definedName name="NT_CTNo" hidden="1">#REF!</definedName>
    <definedName name="NT_DataDieuChinh" hidden="1">#REF!</definedName>
    <definedName name="NT_DataYKienKH" hidden="1">#REF!</definedName>
    <definedName name="NT_DCCo">#REF!</definedName>
    <definedName name="NT_DCNo">#REF!</definedName>
    <definedName name="NT_KQCo">#REF!</definedName>
    <definedName name="NT_KQNo">#REF!</definedName>
    <definedName name="NT_SoDieuChinh">#REF!</definedName>
    <definedName name="NT_SoDNDieuChinh" hidden="1">#REF!</definedName>
    <definedName name="NT_SoKDieuChinh" hidden="1">#REF!</definedName>
    <definedName name="o" localSheetId="41" hidden="1">{"'Sheet1'!$L$16"}</definedName>
    <definedName name="o" localSheetId="42" hidden="1">{"'Sheet1'!$L$16"}</definedName>
    <definedName name="o" localSheetId="50" hidden="1">{"'Sheet1'!$L$16"}</definedName>
    <definedName name="o" localSheetId="46" hidden="1">{"'Sheet1'!$L$16"}</definedName>
    <definedName name="o" hidden="1">{"'Sheet1'!$L$16"}</definedName>
    <definedName name="õe" localSheetId="13" hidden="1">{"'Sheet1'!$L$16"}</definedName>
    <definedName name="õe" localSheetId="50" hidden="1">{"'Sheet1'!$L$16"}</definedName>
    <definedName name="õe" hidden="1">{"'Sheet1'!$L$16"}</definedName>
    <definedName name="ojgeg" localSheetId="41" hidden="1">{"'Sheet1'!$L$16"}</definedName>
    <definedName name="ojgeg" localSheetId="42" hidden="1">{"'Sheet1'!$L$16"}</definedName>
    <definedName name="ojgeg" localSheetId="50" hidden="1">{"'Sheet1'!$L$16"}</definedName>
    <definedName name="ojgeg" localSheetId="46" hidden="1">{"'Sheet1'!$L$16"}</definedName>
    <definedName name="ojgeg" hidden="1">{"'Sheet1'!$L$16"}</definedName>
    <definedName name="OrderTable" hidden="1">#REF!</definedName>
    <definedName name="Page_AR" hidden="1">#REF!</definedName>
    <definedName name="Page_BS" hidden="1">#REF!</definedName>
    <definedName name="Page_CF" hidden="1">#REF!</definedName>
    <definedName name="Page_Notes" hidden="1">#REF!</definedName>
    <definedName name="Page_PL" hidden="1">#REF!</definedName>
    <definedName name="PGV" hidden="1">#REF!</definedName>
    <definedName name="PL" localSheetId="42" hidden="1">{"Маржа для директора",#N/A,FALSE,"Маржа Чисто Влад ";"Маржа для директора",#N/A,FALSE,"Маржа Хабаровск";"Маржа для директора",#N/A,FALSE,"Маржа СВОД"}</definedName>
    <definedName name="PL" hidden="1">{"Маржа для директора",#N/A,FALSE,"Маржа Чисто Влад ";"Маржа для директора",#N/A,FALSE,"Маржа Хабаровск";"Маржа для директора",#N/A,FALSE,"Маржа СВОД"}</definedName>
    <definedName name="PL3HNHAT" localSheetId="41" hidden="1">{"'Sheet1'!$L$16"}</definedName>
    <definedName name="PL3HNHAT" localSheetId="42" hidden="1">{"'Sheet1'!$L$16"}</definedName>
    <definedName name="PL3HNHAT" localSheetId="50" hidden="1">{"'Sheet1'!$L$16"}</definedName>
    <definedName name="PL3HNHAT" localSheetId="46" hidden="1">{"'Sheet1'!$L$16"}</definedName>
    <definedName name="PL3HNHAT" hidden="1">{"'Sheet1'!$L$16"}</definedName>
    <definedName name="Popn" localSheetId="41" hidden="1">{"'Sheet1'!$L$16"}</definedName>
    <definedName name="Popn" localSheetId="42" hidden="1">{"'Sheet1'!$L$16"}</definedName>
    <definedName name="Popn" localSheetId="13" hidden="1">{"'Sheet1'!$L$16"}</definedName>
    <definedName name="Popn" localSheetId="50" hidden="1">{"'Sheet1'!$L$16"}</definedName>
    <definedName name="Popn" localSheetId="46" hidden="1">{"'Sheet1'!$L$16"}</definedName>
    <definedName name="Popn" hidden="1">{"'Sheet1'!$L$16"}</definedName>
    <definedName name="PPLap_P2_LCGT" hidden="1">#REF!</definedName>
    <definedName name="PPLap_P2_LCTT" hidden="1">#REF!</definedName>
    <definedName name="ProdForm" hidden="1">#REF!</definedName>
    <definedName name="Product" hidden="1">#REF!</definedName>
    <definedName name="psm" localSheetId="41" hidden="1">{"'Sheet1'!$L$16"}</definedName>
    <definedName name="psm" localSheetId="42" hidden="1">{"'Sheet1'!$L$16"}</definedName>
    <definedName name="psm" localSheetId="50" hidden="1">{"'Sheet1'!$L$16"}</definedName>
    <definedName name="psm" localSheetId="46" hidden="1">{"'Sheet1'!$L$16"}</definedName>
    <definedName name="psm" hidden="1">{"'Sheet1'!$L$16"}</definedName>
    <definedName name="qẻqwrscafsfrarfadsf" localSheetId="41" hidden="1">{"'Sheet1'!$L$16"}</definedName>
    <definedName name="qẻqwrscafsfrarfadsf" localSheetId="42" hidden="1">{"'Sheet1'!$L$16"}</definedName>
    <definedName name="qẻqwrscafsfrarfadsf" localSheetId="50" hidden="1">{"'Sheet1'!$L$16"}</definedName>
    <definedName name="qẻqwrscafsfrarfadsf" localSheetId="46" hidden="1">{"'Sheet1'!$L$16"}</definedName>
    <definedName name="qẻqwrscafsfrarfadsf" hidden="1">{"'Sheet1'!$L$16"}</definedName>
    <definedName name="QUATANG" localSheetId="41" hidden="1">{"'Sheet1'!$L$16"}</definedName>
    <definedName name="QUATANG" localSheetId="42" hidden="1">{"'Sheet1'!$L$16"}</definedName>
    <definedName name="QUATANG" localSheetId="50" hidden="1">{"'Sheet1'!$L$16"}</definedName>
    <definedName name="QUATANG" localSheetId="46" hidden="1">{"'Sheet1'!$L$16"}</definedName>
    <definedName name="QUATANG" hidden="1">{"'Sheet1'!$L$16"}</definedName>
    <definedName name="qwerty" localSheetId="41" hidden="1">{"'РП (2)'!$A$5:$S$150"}</definedName>
    <definedName name="qwerty" localSheetId="42" hidden="1">{"'РП (2)'!$A$5:$S$150"}</definedName>
    <definedName name="qwerty" localSheetId="50" hidden="1">{"'РП (2)'!$A$5:$S$150"}</definedName>
    <definedName name="qwerty" localSheetId="46" hidden="1">{"'РП (2)'!$A$5:$S$150"}</definedName>
    <definedName name="qwerty" hidden="1">{"'РП (2)'!$A$5:$S$150"}</definedName>
    <definedName name="qwt" localSheetId="41" hidden="1">{"'РП (2)'!$A$5:$S$150"}</definedName>
    <definedName name="qwt" localSheetId="42" hidden="1">{"'РП (2)'!$A$5:$S$150"}</definedName>
    <definedName name="qwt" localSheetId="50" hidden="1">{"'РП (2)'!$A$5:$S$150"}</definedName>
    <definedName name="qwt" localSheetId="46" hidden="1">{"'РП (2)'!$A$5:$S$150"}</definedName>
    <definedName name="qwt" hidden="1">{"'РП (2)'!$A$5:$S$150"}</definedName>
    <definedName name="RCArea" hidden="1">#REF!</definedName>
    <definedName name="Refuse" hidden="1">[5]DM!$B$4</definedName>
    <definedName name="REPORT" hidden="1">[3]Perform1!$R$6:$R$17</definedName>
    <definedName name="rjgbz" localSheetId="41" hidden="1">{"'РП (2)'!$A$5:$S$150"}</definedName>
    <definedName name="rjgbz" localSheetId="42" hidden="1">{"'РП (2)'!$A$5:$S$150"}</definedName>
    <definedName name="rjgbz" localSheetId="50" hidden="1">{"'РП (2)'!$A$5:$S$150"}</definedName>
    <definedName name="rjgbz" localSheetId="46" hidden="1">{"'РП (2)'!$A$5:$S$150"}</definedName>
    <definedName name="rjgbz" hidden="1">{"'РП (2)'!$A$5:$S$150"}</definedName>
    <definedName name="RowsCode_TMTSCDHH" hidden="1">#REF!</definedName>
    <definedName name="RowsCode_TMTSCDTTC" hidden="1">#REF!</definedName>
    <definedName name="RowsCode_TMTSCDVH" hidden="1">#REF!</definedName>
    <definedName name="RowsCode_TMVCSH" hidden="1">#REF!</definedName>
    <definedName name="SAPBEXrevision" localSheetId="13" hidden="1">1</definedName>
    <definedName name="SAPBEXrevision" localSheetId="15" hidden="1">1</definedName>
    <definedName name="SAPBEXrevision" hidden="1">7</definedName>
    <definedName name="SAPBEXsysID" localSheetId="13" hidden="1">"OA4"</definedName>
    <definedName name="SAPBEXsysID" localSheetId="15" hidden="1">"OA4"</definedName>
    <definedName name="SAPBEXsysID" hidden="1">"P57"</definedName>
    <definedName name="SAPBEXwbID" localSheetId="13" hidden="1">"3K4ZA5YT36VBBANEX64ZIJA5J"</definedName>
    <definedName name="SAPBEXwbID" localSheetId="15" hidden="1">"3K4ZA5YT36VBBANEX64ZIJA5J"</definedName>
    <definedName name="SAPBEXwbID" hidden="1">"3JX5BV41R2KVEX9FV6LB6ZNYC"</definedName>
    <definedName name="SDFFSDF" hidden="1">#REF!</definedName>
    <definedName name="sdfhadfgadf" localSheetId="41" hidden="1">{"'Sheet1'!$L$16"}</definedName>
    <definedName name="sdfhadfgadf" localSheetId="42" hidden="1">{"'Sheet1'!$L$16"}</definedName>
    <definedName name="sdfhadfgadf" localSheetId="50" hidden="1">{"'Sheet1'!$L$16"}</definedName>
    <definedName name="sdfhadfgadf" localSheetId="46" hidden="1">{"'Sheet1'!$L$16"}</definedName>
    <definedName name="sdfhadfgadf" hidden="1">{"'Sheet1'!$L$16"}</definedName>
    <definedName name="sdfw" localSheetId="41" hidden="1">{"'Sheet1'!$L$16"}</definedName>
    <definedName name="sdfw" localSheetId="42" hidden="1">{"'Sheet1'!$L$16"}</definedName>
    <definedName name="sdfw" localSheetId="13" hidden="1">{"'Sheet1'!$L$16"}</definedName>
    <definedName name="sdfw" localSheetId="50" hidden="1">{"'Sheet1'!$L$16"}</definedName>
    <definedName name="sdfw" localSheetId="46" hidden="1">{"'Sheet1'!$L$16"}</definedName>
    <definedName name="sdfw" hidden="1">{"'Sheet1'!$L$16"}</definedName>
    <definedName name="sen" localSheetId="41" hidden="1">{"'Sheet1'!$L$16"}</definedName>
    <definedName name="sen" localSheetId="42" hidden="1">{"'Sheet1'!$L$16"}</definedName>
    <definedName name="sen" localSheetId="50" hidden="1">{"'Sheet1'!$L$16"}</definedName>
    <definedName name="sen" localSheetId="46" hidden="1">{"'Sheet1'!$L$16"}</definedName>
    <definedName name="sen" hidden="1">{"'Sheet1'!$L$16"}</definedName>
    <definedName name="seysety" localSheetId="41" hidden="1">{"'Sheet1'!$L$16"}</definedName>
    <definedName name="seysety" localSheetId="42" hidden="1">{"'Sheet1'!$L$16"}</definedName>
    <definedName name="seysety" localSheetId="13" hidden="1">{"'Sheet1'!$L$16"}</definedName>
    <definedName name="seysety" localSheetId="50" hidden="1">{"'Sheet1'!$L$16"}</definedName>
    <definedName name="seysety" localSheetId="46" hidden="1">{"'Sheet1'!$L$16"}</definedName>
    <definedName name="seysety" hidden="1">{"'Sheet1'!$L$16"}</definedName>
    <definedName name="sff" localSheetId="41" hidden="1">{"'Sheet1'!$L$16"}</definedName>
    <definedName name="sff" localSheetId="42" hidden="1">{"'Sheet1'!$L$16"}</definedName>
    <definedName name="sff" localSheetId="2" hidden="1">{"'Sheet1'!$L$16"}</definedName>
    <definedName name="sff" localSheetId="50" hidden="1">{"'Sheet1'!$L$16"}</definedName>
    <definedName name="sff" localSheetId="46" hidden="1">{"'Sheet1'!$L$16"}</definedName>
    <definedName name="sff" hidden="1">{"'Sheet1'!$L$16"}</definedName>
    <definedName name="SL_CPQUY" hidden="1">#REF!</definedName>
    <definedName name="SoBCKT_E" hidden="1">#REF!</definedName>
    <definedName name="SoBCKT_V" hidden="1">#REF!</definedName>
    <definedName name="SpecialPrice" hidden="1">#REF!</definedName>
    <definedName name="ss" localSheetId="41" hidden="1">{"'РП (2)'!$A$5:$S$150"}</definedName>
    <definedName name="ss" localSheetId="42" hidden="1">{"'РП (2)'!$A$5:$S$150"}</definedName>
    <definedName name="ss" localSheetId="50" hidden="1">{"'РП (2)'!$A$5:$S$150"}</definedName>
    <definedName name="ss" localSheetId="46" hidden="1">{"'РП (2)'!$A$5:$S$150"}</definedName>
    <definedName name="ss" hidden="1">{"'РП (2)'!$A$5:$S$150"}</definedName>
    <definedName name="sss" localSheetId="41" hidden="1">{"'РП (2)'!$A$5:$S$150"}</definedName>
    <definedName name="sss" localSheetId="42" hidden="1">{"'РП (2)'!$A$5:$S$150"}</definedName>
    <definedName name="sss" localSheetId="50" hidden="1">{"'РП (2)'!$A$5:$S$150"}</definedName>
    <definedName name="sss" localSheetId="46" hidden="1">{"'РП (2)'!$A$5:$S$150"}</definedName>
    <definedName name="sss" hidden="1">{"'РП (2)'!$A$5:$S$150"}</definedName>
    <definedName name="ssss" hidden="1">[11]Tong_hop!$S$95</definedName>
    <definedName name="Start_Page" hidden="1">#REF!</definedName>
    <definedName name="STT" localSheetId="42" hidden="1">SUBTOTAL(103,#REF!)+1-SUBTOTAL(103,subBullets)</definedName>
    <definedName name="STT" hidden="1">SUBTOTAL(103,#REF!)+1-SUBTOTAL(103,subBullets)</definedName>
    <definedName name="STT_ChiPhiTC" hidden="1">#REF!</definedName>
    <definedName name="STT_ChiPhiTraTruocDH" hidden="1">#REF!</definedName>
    <definedName name="STT_CPBanHang" hidden="1">#REF!</definedName>
    <definedName name="STT_CPPhaiTra" hidden="1">#REF!</definedName>
    <definedName name="STT_CPQuanLy" hidden="1">#REF!</definedName>
    <definedName name="STT_CPTraTruocNH" hidden="1">#REF!</definedName>
    <definedName name="STT_DauTuTCDH" hidden="1">#REF!</definedName>
    <definedName name="STT_DauTuTCNH" hidden="1">#REF!</definedName>
    <definedName name="STT_DoanhThuTC" hidden="1">#REF!</definedName>
    <definedName name="STT_DTThuan" hidden="1">#REF!</definedName>
    <definedName name="STT_DuPhongPTNH" hidden="1">#REF!</definedName>
    <definedName name="STT_GiamTruDT" hidden="1">#REF!</definedName>
    <definedName name="STT_GiaVon" hidden="1">#REF!</definedName>
    <definedName name="STT_HTK" hidden="1">#REF!</definedName>
    <definedName name="STT_LCBTCP" hidden="1">#REF!</definedName>
    <definedName name="STT_NguonKP" hidden="1">#REF!</definedName>
    <definedName name="STT_PhaiThuDHKhac" hidden="1">#REF!</definedName>
    <definedName name="STT_PhaiThuDHNB" hidden="1">#REF!</definedName>
    <definedName name="STT_PhaiThuNBNH" hidden="1">#REF!</definedName>
    <definedName name="STT_PhaiThuNH" hidden="1">#REF!</definedName>
    <definedName name="STT_PhaiTraDH" hidden="1">#REF!</definedName>
    <definedName name="STT_PhaiTraKhac" hidden="1">#REF!</definedName>
    <definedName name="STT_PhaiTraNBDH" hidden="1">#REF!</definedName>
    <definedName name="STT_QuyKHCN" hidden="1">#REF!</definedName>
    <definedName name="STT_TGBDSDT" hidden="1">#REF!</definedName>
    <definedName name="STT_TGTSCDHH" hidden="1">#REF!</definedName>
    <definedName name="STT_TGTSCDTTC" hidden="1">#REF!</definedName>
    <definedName name="STT_TGTSCDVH" hidden="1">#REF!</definedName>
    <definedName name="STT_ThueHienHanh" hidden="1">#REF!</definedName>
    <definedName name="STT_ThueHoanLai" hidden="1">#REF!</definedName>
    <definedName name="STT_ThuePhaiNop" hidden="1">#REF!</definedName>
    <definedName name="STT_ThuePhaiThuNN" hidden="1">#REF!</definedName>
    <definedName name="STT_Tien" hidden="1">#REF!</definedName>
    <definedName name="STT_TongDT" hidden="1">#REF!</definedName>
    <definedName name="STT_TSDHKhac" hidden="1">#REF!</definedName>
    <definedName name="STT_TSNHKhac" hidden="1">#REF!</definedName>
    <definedName name="STT_TSThueNgoai" hidden="1">#REF!</definedName>
    <definedName name="STT_VayNoDH" hidden="1">#REF!</definedName>
    <definedName name="STT_VayNoNH" hidden="1">#REF!</definedName>
    <definedName name="STT_VCSH" hidden="1">#REF!</definedName>
    <definedName name="STT_XDCBDD" hidden="1">#REF!</definedName>
    <definedName name="subBullets" hidden="1">#REF!</definedName>
    <definedName name="subSTT" hidden="1">CONCATENATE("2.",SUBTOTAL(103,#REF!))</definedName>
    <definedName name="SUTAT" localSheetId="41" hidden="1">[2]Perform1!$Q$6:$Q$17</definedName>
    <definedName name="SUTAT" localSheetId="42" hidden="1">[2]Perform1!$Q$6:$Q$17</definedName>
    <definedName name="SUTAT" hidden="1">[3]Perform1!$Q$6:$Q$17</definedName>
    <definedName name="t" localSheetId="41" hidden="1">{"'Sheet1'!$L$16"}</definedName>
    <definedName name="t" localSheetId="42" hidden="1">{"'Sheet1'!$L$16"}</definedName>
    <definedName name="t" localSheetId="50" hidden="1">{"'Sheet1'!$L$16"}</definedName>
    <definedName name="t" localSheetId="46" hidden="1">{"'Sheet1'!$L$16"}</definedName>
    <definedName name="t" hidden="1">{"'Sheet1'!$L$16"}</definedName>
    <definedName name="tax" localSheetId="42" hidden="1">{#N/A,#N/A,FALSE,"Aging Summary";#N/A,#N/A,FALSE,"Ratio Analysis";#N/A,#N/A,FALSE,"Test 120 Day Accts";#N/A,#N/A,FALSE,"Tickmarks"}</definedName>
    <definedName name="tax" hidden="1">{#N/A,#N/A,FALSE,"Aging Summary";#N/A,#N/A,FALSE,"Ratio Analysis";#N/A,#N/A,FALSE,"Test 120 Day Accts";#N/A,#N/A,FALSE,"Tickmarks"}</definedName>
    <definedName name="tbl_ProdInfo" hidden="1">#REF!</definedName>
    <definedName name="TDe_Time_CDKT_E" hidden="1">#REF!</definedName>
    <definedName name="TDe_Time_CDKT_V" hidden="1">#REF!</definedName>
    <definedName name="TDe_Time_KQKD_E" hidden="1">#REF!</definedName>
    <definedName name="TDe_Time_KQKD_V" hidden="1">#REF!</definedName>
    <definedName name="TDe_Time_LCTT_E" hidden="1">#REF!</definedName>
    <definedName name="TDe_Time_LCTT_V" hidden="1">#REF!</definedName>
    <definedName name="TDe_TMCode" localSheetId="41" hidden="1">[4]DM!$O$2:$BK$2</definedName>
    <definedName name="TDe_TMCode" localSheetId="42" hidden="1">[4]DM!$O$2:$BK$2</definedName>
    <definedName name="TDe_TMCode" hidden="1">[7]DM!$O$2:$BK$2</definedName>
    <definedName name="Ten_BGD_E" hidden="1">#REF!</definedName>
    <definedName name="Ten_BGD_V" hidden="1">#REF!</definedName>
    <definedName name="Ten_CongTy_Bia_E" hidden="1">#REF!</definedName>
    <definedName name="Ten_CongTy_Bia_V" hidden="1">#REF!</definedName>
    <definedName name="Ten_CongTy_E" hidden="1">#REF!</definedName>
    <definedName name="Ten_CongTy_TieuDe_E" hidden="1">#REF!</definedName>
    <definedName name="Ten_CongTy_TieuDe_V" hidden="1">[6]Thong_tin!$D$9</definedName>
    <definedName name="Ten_CongTy_V" hidden="1">#REF!</definedName>
    <definedName name="Ten_DDCTKToan_E" hidden="1">#REF!</definedName>
    <definedName name="Ten_DDCTKToan_V" hidden="1">#REF!</definedName>
    <definedName name="Ten_DV1" hidden="1">[9]Tong_hop!#REF!</definedName>
    <definedName name="Ten_DV2" hidden="1">[9]Tong_hop!#REF!</definedName>
    <definedName name="Ten_DV3" hidden="1">[9]Tong_hop!#REF!</definedName>
    <definedName name="Ten_DV4" hidden="1">[9]Tong_hop!#REF!</definedName>
    <definedName name="Ten_DVChuQuan_E" hidden="1">#REF!</definedName>
    <definedName name="Ten_DVChuQuan_V" hidden="1">#REF!</definedName>
    <definedName name="Ten_KTT_E" hidden="1">#REF!</definedName>
    <definedName name="Ten_KTT_V" hidden="1">#REF!</definedName>
    <definedName name="Ten_KTV_E" hidden="1">#REF!</definedName>
    <definedName name="Ten_KTV_V" hidden="1">#REF!</definedName>
    <definedName name="Ten_NguoiLap_E" hidden="1">#REF!</definedName>
    <definedName name="Ten_NguoiLap_V" hidden="1">#REF!</definedName>
    <definedName name="Ten_PTTHop" hidden="1">#REF!</definedName>
    <definedName name="Ten_ThuTruong_E" hidden="1">#REF!</definedName>
    <definedName name="Ten_ThuTruong_V" hidden="1">#REF!</definedName>
    <definedName name="TextRefCopyRangeCount" localSheetId="41" hidden="1">9</definedName>
    <definedName name="TextRefCopyRangeCount" localSheetId="42" hidden="1">9</definedName>
    <definedName name="TextRefCopyRangeCount" localSheetId="46" hidden="1">9</definedName>
    <definedName name="TextRefCopyRangeCount" hidden="1">1</definedName>
    <definedName name="TH" localSheetId="41" hidden="1">{"'Sheet1'!$L$16"}</definedName>
    <definedName name="TH" localSheetId="42" hidden="1">{"'Sheet1'!$L$16"}</definedName>
    <definedName name="TH" localSheetId="50" hidden="1">{"'Sheet1'!$L$16"}</definedName>
    <definedName name="TH" localSheetId="46" hidden="1">{"'Sheet1'!$L$16"}</definedName>
    <definedName name="TH" hidden="1">{"'Sheet1'!$L$16"}</definedName>
    <definedName name="tha" localSheetId="41" hidden="1">{"'Sheet1'!$L$16"}</definedName>
    <definedName name="tha" localSheetId="42" hidden="1">{"'Sheet1'!$L$16"}</definedName>
    <definedName name="tha" localSheetId="13" hidden="1">{"'Sheet1'!$L$16"}</definedName>
    <definedName name="tha" localSheetId="50" hidden="1">{"'Sheet1'!$L$16"}</definedName>
    <definedName name="tha" localSheetId="46" hidden="1">{"'Sheet1'!$L$16"}</definedName>
    <definedName name="tha" hidden="1">{"'Sheet1'!$L$16"}</definedName>
    <definedName name="THAN" localSheetId="41" hidden="1">{"'Sheet1'!$L$16"}</definedName>
    <definedName name="THAN" localSheetId="42" hidden="1">{"'Sheet1'!$L$16"}</definedName>
    <definedName name="THAN" localSheetId="2" hidden="1">{"'Sheet1'!$L$16"}</definedName>
    <definedName name="THAN" localSheetId="50" hidden="1">{"'Sheet1'!$L$16"}</definedName>
    <definedName name="THAN" localSheetId="46" hidden="1">{"'Sheet1'!$L$16"}</definedName>
    <definedName name="THAN" hidden="1">{"'Sheet1'!$L$16"}</definedName>
    <definedName name="thang13" localSheetId="41" hidden="1">{"'Sheet1'!$L$16"}</definedName>
    <definedName name="thang13" localSheetId="42" hidden="1">{"'Sheet1'!$L$16"}</definedName>
    <definedName name="thang13" localSheetId="50" hidden="1">{"'Sheet1'!$L$16"}</definedName>
    <definedName name="thang13" localSheetId="46" hidden="1">{"'Sheet1'!$L$16"}</definedName>
    <definedName name="thang13" hidden="1">{"'Sheet1'!$L$16"}</definedName>
    <definedName name="Thay_doi_TSCD" hidden="1">#REF!</definedName>
    <definedName name="Thay_doi_TSCD_E" hidden="1">#REF!</definedName>
    <definedName name="thfg" localSheetId="41" hidden="1">{"'Sheet1'!$L$16"}</definedName>
    <definedName name="thfg" localSheetId="42" hidden="1">{"'Sheet1'!$L$16"}</definedName>
    <definedName name="thfg" localSheetId="13" hidden="1">{"'Sheet1'!$L$16"}</definedName>
    <definedName name="thfg" localSheetId="50" hidden="1">{"'Sheet1'!$L$16"}</definedName>
    <definedName name="thfg" localSheetId="46" hidden="1">{"'Sheet1'!$L$16"}</definedName>
    <definedName name="thfg" hidden="1">{"'Sheet1'!$L$16"}</definedName>
    <definedName name="thuy" localSheetId="13" hidden="1">{"'Sheet1'!$L$16"}</definedName>
    <definedName name="thuy" localSheetId="50" hidden="1">{"'Sheet1'!$L$16"}</definedName>
    <definedName name="thuy" hidden="1">{"'Sheet1'!$L$16"}</definedName>
    <definedName name="TienThue_TSCD_PSThem" hidden="1">#REF!</definedName>
    <definedName name="TitleCode_TMVCSH" hidden="1">#REF!</definedName>
    <definedName name="TK_BS" hidden="1">OFFSET(#REF!,1,0,COUNTA(#REF!),1)</definedName>
    <definedName name="TK_CD" hidden="1">OFFSET(#REF!,1,0,COUNTA(#REF!),1)</definedName>
    <definedName name="TK_PL" hidden="1">OFFSET(#REF!,1,0,COUNTA(#REF!),1)</definedName>
    <definedName name="TK_TB" hidden="1">OFFSET(#REF!,1,0,COUNTA(#REF!),1)</definedName>
    <definedName name="TK_TMinh" hidden="1">#REF!</definedName>
    <definedName name="TLVHoa" hidden="1">#REF!</definedName>
    <definedName name="TM" localSheetId="41" hidden="1">{"'Sheet1'!$L$16"}</definedName>
    <definedName name="TM" localSheetId="42" hidden="1">{"'Sheet1'!$L$16"}</definedName>
    <definedName name="TM" localSheetId="50" hidden="1">{"'Sheet1'!$L$16"}</definedName>
    <definedName name="TM" localSheetId="46" hidden="1">{"'Sheet1'!$L$16"}</definedName>
    <definedName name="TM" hidden="1">{"'Sheet1'!$L$16"}</definedName>
    <definedName name="TM_TSCDHH_E" hidden="1">#REF!</definedName>
    <definedName name="TM_TSCDHH_V" hidden="1">#REF!</definedName>
    <definedName name="TM_TSCDTTC_E" hidden="1">#REF!</definedName>
    <definedName name="TM_TSCDTTC_V" hidden="1">#REF!</definedName>
    <definedName name="TM_TSCDVH_E" hidden="1">#REF!</definedName>
    <definedName name="TM_TSCDVH_V" hidden="1">#REF!</definedName>
    <definedName name="TM_VCSH" hidden="1">#REF!</definedName>
    <definedName name="TM_VCSH_E" hidden="1">#REF!</definedName>
    <definedName name="TongHop_DcCo" hidden="1">[9]Tong_hop!#REF!</definedName>
    <definedName name="TongHop_DcNo" hidden="1">[9]Tong_hop!#REF!</definedName>
    <definedName name="TongHop_MaTK" hidden="1">[6]Tong_hop!$B$9:$B$504</definedName>
    <definedName name="TongHop_SauKT" hidden="1">[9]Tong_hop!#REF!</definedName>
    <definedName name="TongHop_SauKT1" hidden="1">[9]Tong_hop!#REF!</definedName>
    <definedName name="TongHop_SauKT2" hidden="1">[9]Tong_hop!#REF!</definedName>
    <definedName name="TongHop_SauKT3" hidden="1">[9]Tong_hop!#REF!</definedName>
    <definedName name="TrangKH1A0" localSheetId="41" hidden="1">{"'Sheet1'!$L$16"}</definedName>
    <definedName name="TrangKH1A0" localSheetId="42" hidden="1">{"'Sheet1'!$L$16"}</definedName>
    <definedName name="TrangKH1A0" localSheetId="50" hidden="1">{"'Sheet1'!$L$16"}</definedName>
    <definedName name="TrangKH1A0" localSheetId="46" hidden="1">{"'Sheet1'!$L$16"}</definedName>
    <definedName name="TrangKH1A0" hidden="1">{"'Sheet1'!$L$16"}</definedName>
    <definedName name="truc" localSheetId="41" hidden="1">{"'Sheet1'!$L$16"}</definedName>
    <definedName name="truc" localSheetId="42" hidden="1">{"'Sheet1'!$L$16"}</definedName>
    <definedName name="truc" localSheetId="2" hidden="1">{"'Sheet1'!$L$16"}</definedName>
    <definedName name="truc" localSheetId="50" hidden="1">{"'Sheet1'!$L$16"}</definedName>
    <definedName name="truc" localSheetId="46" hidden="1">{"'Sheet1'!$L$16"}</definedName>
    <definedName name="truc" hidden="1">{"'Sheet1'!$L$16"}</definedName>
    <definedName name="trửqwerasfvafasfadsf" localSheetId="41" hidden="1">{"'Sheet1'!$L$16"}</definedName>
    <definedName name="trửqwerasfvafasfadsf" localSheetId="42" hidden="1">{"'Sheet1'!$L$16"}</definedName>
    <definedName name="trửqwerasfvafasfadsf" localSheetId="50" hidden="1">{"'Sheet1'!$L$16"}</definedName>
    <definedName name="trửqwerasfvafasfadsf" localSheetId="46" hidden="1">{"'Sheet1'!$L$16"}</definedName>
    <definedName name="trửqwerasfvafasfadsf" hidden="1">{"'Sheet1'!$L$16"}</definedName>
    <definedName name="tryijtryi" localSheetId="41" hidden="1">{"'Sheet1'!$L$16"}</definedName>
    <definedName name="tryijtryi" localSheetId="42" hidden="1">{"'Sheet1'!$L$16"}</definedName>
    <definedName name="tryijtryi" localSheetId="13" hidden="1">{"'Sheet1'!$L$16"}</definedName>
    <definedName name="tryijtryi" localSheetId="50" hidden="1">{"'Sheet1'!$L$16"}</definedName>
    <definedName name="tryijtryi" localSheetId="46" hidden="1">{"'Sheet1'!$L$16"}</definedName>
    <definedName name="tryijtryi" hidden="1">{"'Sheet1'!$L$16"}</definedName>
    <definedName name="UGVG" localSheetId="42" hidden="1">{#N/A,#N/A,TRUE,"BT M200 da 10x20"}</definedName>
    <definedName name="UGVG" hidden="1">{#N/A,#N/A,TRUE,"BT M200 da 10x20"}</definedName>
    <definedName name="ưqd" localSheetId="41" hidden="1">{"'Sheet1'!$L$16"}</definedName>
    <definedName name="ưqd" localSheetId="42" hidden="1">{"'Sheet1'!$L$16"}</definedName>
    <definedName name="ưqd" localSheetId="50" hidden="1">{"'Sheet1'!$L$16"}</definedName>
    <definedName name="ưqd" localSheetId="46" hidden="1">{"'Sheet1'!$L$16"}</definedName>
    <definedName name="ưqd" hidden="1">{"'Sheet1'!$L$16"}</definedName>
    <definedName name="uyen" localSheetId="42" hidden="1">{#N/A,#N/A,TRUE,"BT M200 da 10x20"}</definedName>
    <definedName name="uyen" hidden="1">{#N/A,#N/A,TRUE,"BT M200 da 10x20"}</definedName>
    <definedName name="vaasfasfasfadsfadsfadsf" localSheetId="41" hidden="1">{"'Sheet1'!$L$16"}</definedName>
    <definedName name="vaasfasfasfadsfadsfadsf" localSheetId="42" hidden="1">{"'Sheet1'!$L$16"}</definedName>
    <definedName name="vaasfasfasfadsfadsfadsf" localSheetId="50" hidden="1">{"'Sheet1'!$L$16"}</definedName>
    <definedName name="vaasfasfasfadsfadsfadsf" localSheetId="46" hidden="1">{"'Sheet1'!$L$16"}</definedName>
    <definedName name="vaasfasfasfadsfadsfadsf" hidden="1">{"'Sheet1'!$L$16"}</definedName>
    <definedName name="VCSH01" hidden="1">#REF!</definedName>
    <definedName name="VCSH02" hidden="1">#REF!</definedName>
    <definedName name="VCSH03" hidden="1">#REF!</definedName>
    <definedName name="VCSH04" hidden="1">#REF!</definedName>
    <definedName name="VCSH05" hidden="1">#REF!</definedName>
    <definedName name="VCSH06" hidden="1">#REF!</definedName>
    <definedName name="VCSH07" hidden="1">#REF!</definedName>
    <definedName name="VCSH08" hidden="1">#REF!</definedName>
    <definedName name="VCSH09" hidden="1">#REF!</definedName>
    <definedName name="VCSH10" hidden="1">#REF!</definedName>
    <definedName name="VCSHDc" hidden="1">#REF!</definedName>
    <definedName name="vhxfj" localSheetId="41" hidden="1">{"'Sheet1'!$L$16"}</definedName>
    <definedName name="vhxfj" localSheetId="42" hidden="1">{"'Sheet1'!$L$16"}</definedName>
    <definedName name="vhxfj" localSheetId="13" hidden="1">{"'Sheet1'!$L$16"}</definedName>
    <definedName name="vhxfj" localSheetId="50" hidden="1">{"'Sheet1'!$L$16"}</definedName>
    <definedName name="vhxfj" localSheetId="46" hidden="1">{"'Sheet1'!$L$16"}</definedName>
    <definedName name="vhxfj" hidden="1">{"'Sheet1'!$L$16"}</definedName>
    <definedName name="VIỆTĐÔNG" localSheetId="41" hidden="1">{"'Sheet1'!$L$16"}</definedName>
    <definedName name="VIỆTĐÔNG" localSheetId="42" hidden="1">{"'Sheet1'!$L$16"}</definedName>
    <definedName name="VIỆTĐÔNG" localSheetId="50" hidden="1">{"'Sheet1'!$L$16"}</definedName>
    <definedName name="VIỆTĐÔNG" localSheetId="46" hidden="1">{"'Sheet1'!$L$16"}</definedName>
    <definedName name="VIỆTĐÔNG" hidden="1">{"'Sheet1'!$L$16"}</definedName>
    <definedName name="vsrararfsafasfadsf" localSheetId="41" hidden="1">{"'Sheet1'!$L$16"}</definedName>
    <definedName name="vsrararfsafasfadsf" localSheetId="42" hidden="1">{"'Sheet1'!$L$16"}</definedName>
    <definedName name="vsrararfsafasfadsf" localSheetId="50" hidden="1">{"'Sheet1'!$L$16"}</definedName>
    <definedName name="vsrararfsafasfadsf" localSheetId="46" hidden="1">{"'Sheet1'!$L$16"}</definedName>
    <definedName name="vsrararfsafasfadsf" hidden="1">{"'Sheet1'!$L$16"}</definedName>
    <definedName name="VVVVVV" localSheetId="41" hidden="1">{"'Sheet1'!$L$16"}</definedName>
    <definedName name="VVVVVV" localSheetId="42" hidden="1">{"'Sheet1'!$L$16"}</definedName>
    <definedName name="VVVVVV" localSheetId="2" hidden="1">{"'Sheet1'!$L$16"}</definedName>
    <definedName name="VVVVVV" localSheetId="50" hidden="1">{"'Sheet1'!$L$16"}</definedName>
    <definedName name="VVVVVV" localSheetId="46" hidden="1">{"'Sheet1'!$L$16"}</definedName>
    <definedName name="VVVVVV" hidden="1">{"'Sheet1'!$L$16"}</definedName>
    <definedName name="wrn.Aging._.and._.Trend._.Analysis." localSheetId="42"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BAOCAO." localSheetId="42" hidden="1">{#N/A,#N/A,FALSE,"sum";#N/A,#N/A,FALSE,"MARTV";#N/A,#N/A,FALSE,"APRTV"}</definedName>
    <definedName name="wrn.BAOCAO." hidden="1">{#N/A,#N/A,FALSE,"sum";#N/A,#N/A,FALSE,"MARTV";#N/A,#N/A,FALSE,"APRTV"}</definedName>
    <definedName name="wrn.cccc." localSheetId="42" hidden="1">{#N/A,#N/A,FALSE,"Curr-Liabilities BS"}</definedName>
    <definedName name="wrn.cccc." hidden="1">{#N/A,#N/A,FALSE,"Curr-Liabilities BS"}</definedName>
    <definedName name="wrn.chi._.tiÆt." localSheetId="42" hidden="1">{#N/A,#N/A,FALSE,"Chi tiÆt"}</definedName>
    <definedName name="wrn.chi._.tiÆt." hidden="1">{#N/A,#N/A,FALSE,"Chi tiÆt"}</definedName>
    <definedName name="wrn.curr." localSheetId="42" hidden="1">{#N/A,#N/A,FALSE,"Non-Curr Assets BS"}</definedName>
    <definedName name="wrn.curr." hidden="1">{#N/A,#N/A,FALSE,"Non-Curr Assets BS"}</definedName>
    <definedName name="wrn.inv._.budget." localSheetId="42" hidden="1">{"invbud-1",#N/A,FALSE,"A";"invbud-1CW",#N/A,FALSE,"A";"Desinvesteringen",#N/A,FALSE,"C"}</definedName>
    <definedName name="wrn.inv._.budget." hidden="1">{"invbud-1",#N/A,FALSE,"A";"invbud-1CW",#N/A,FALSE,"A";"Desinvesteringen",#N/A,FALSE,"C"}</definedName>
    <definedName name="wrn.Non._.Current._.Assets." localSheetId="42" hidden="1">{#N/A,#N/A,TRUE,"Non-Curr Assets BS"}</definedName>
    <definedName name="wrn.Non._.Current._.Assets." hidden="1">{#N/A,#N/A,TRUE,"Non-Curr Assets BS"}</definedName>
    <definedName name="wrn.Report." localSheetId="42" hidden="1">{"Offgrid",#N/A,FALSE,"OFFGRID";"Region",#N/A,FALSE,"REGION";"Offgrid -2",#N/A,FALSE,"OFFGRID";"WTP",#N/A,FALSE,"WTP";"WTP -2",#N/A,FALSE,"WTP";"Project",#N/A,FALSE,"PROJECT";"Summary -2",#N/A,FALSE,"SUMMARY"}</definedName>
    <definedName name="wrn.Report." hidden="1">{"Offgrid",#N/A,FALSE,"OFFGRID";"Region",#N/A,FALSE,"REGION";"Offgrid -2",#N/A,FALSE,"OFFGRID";"WTP",#N/A,FALSE,"WTP";"WTP -2",#N/A,FALSE,"WTP";"Project",#N/A,FALSE,"PROJECT";"Summary -2",#N/A,FALSE,"SUMMARY"}</definedName>
    <definedName name="wrn.rp1." localSheetId="42" hidden="1">{#N/A,#N/A,FALSE,"Sheet1"}</definedName>
    <definedName name="wrn.rp1." hidden="1">{#N/A,#N/A,FALSE,"Sheet1"}</definedName>
    <definedName name="wrn.thang." localSheetId="42" hidden="1">{#N/A,#N/A,FALSE,"Summarized-BS";#N/A,#N/A,FALSE,"Cashflow Statement ";#N/A,#N/A,FALSE,"Summarized IS";#N/A,#N/A,FALSE,"Ratio-Analysis"}</definedName>
    <definedName name="wrn.thang." hidden="1">{#N/A,#N/A,FALSE,"Summarized-BS";#N/A,#N/A,FALSE,"Cashflow Statement ";#N/A,#N/A,FALSE,"Summarized IS";#N/A,#N/A,FALSE,"Ratio-Analysis"}</definedName>
    <definedName name="wrn.tuan." localSheetId="42" hidden="1">{#N/A,#N/A,FALSE,"LEDGERSUMARY"}</definedName>
    <definedName name="wrn.tuan." hidden="1">{#N/A,#N/A,FALSE,"LEDGERSUMARY"}</definedName>
    <definedName name="wrn.vd." localSheetId="42" hidden="1">{#N/A,#N/A,TRUE,"BT M200 da 10x20"}</definedName>
    <definedName name="wrn.vd." hidden="1">{#N/A,#N/A,TRUE,"BT M200 da 10x20"}</definedName>
    <definedName name="wrn.Маржа._.для._.директора." localSheetId="42" hidden="1">{"Маржа для директора",#N/A,FALSE,"Маржа Чисто Влад ";"Маржа для директора",#N/A,FALSE,"Маржа Хабаровск";"Маржа для директора",#N/A,FALSE,"Маржа СВОД"}</definedName>
    <definedName name="wrn.Маржа._.для._.директора." hidden="1">{"Маржа для директора",#N/A,FALSE,"Маржа Чисто Влад ";"Маржа для директора",#N/A,FALSE,"Маржа Хабаровск";"Маржа для директора",#N/A,FALSE,"Маржа СВОД"}</definedName>
    <definedName name="wrnf.report" localSheetId="42"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w" localSheetId="42" hidden="1">{#N/A,#N/A,FALSE,"Aging Summary";#N/A,#N/A,FALSE,"Ratio Analysis";#N/A,#N/A,FALSE,"Test 120 Day Accts";#N/A,#N/A,FALSE,"Tickmarks"}</definedName>
    <definedName name="ww" hidden="1">{#N/A,#N/A,FALSE,"Aging Summary";#N/A,#N/A,FALSE,"Ratio Analysis";#N/A,#N/A,FALSE,"Test 120 Day Accts";#N/A,#N/A,FALSE,"Tickmarks"}</definedName>
    <definedName name="xfgjxfgj" localSheetId="41" hidden="1">{"'Sheet1'!$L$16"}</definedName>
    <definedName name="xfgjxfgj" localSheetId="42" hidden="1">{"'Sheet1'!$L$16"}</definedName>
    <definedName name="xfgjxfgj" localSheetId="13" hidden="1">{"'Sheet1'!$L$16"}</definedName>
    <definedName name="xfgjxfgj" localSheetId="50" hidden="1">{"'Sheet1'!$L$16"}</definedName>
    <definedName name="xfgjxfgj" localSheetId="46" hidden="1">{"'Sheet1'!$L$16"}</definedName>
    <definedName name="xfgjxfgj" hidden="1">{"'Sheet1'!$L$16"}</definedName>
    <definedName name="xls" localSheetId="41" hidden="1">{"'Sheet1'!$L$16"}</definedName>
    <definedName name="xls" localSheetId="42" hidden="1">{"'Sheet1'!$L$16"}</definedName>
    <definedName name="xls" localSheetId="50" hidden="1">{"'Sheet1'!$L$16"}</definedName>
    <definedName name="xls" localSheetId="46" hidden="1">{"'Sheet1'!$L$16"}</definedName>
    <definedName name="xls" hidden="1">{"'Sheet1'!$L$16"}</definedName>
    <definedName name="XN908nam2003" localSheetId="41" hidden="1">{"'Sheet1'!$L$16"}</definedName>
    <definedName name="XN908nam2003" localSheetId="42" hidden="1">{"'Sheet1'!$L$16"}</definedName>
    <definedName name="XN908nam2003" localSheetId="50" hidden="1">{"'Sheet1'!$L$16"}</definedName>
    <definedName name="XN908nam2003" localSheetId="46" hidden="1">{"'Sheet1'!$L$16"}</definedName>
    <definedName name="XN908nam2003" hidden="1">{"'Sheet1'!$L$16"}</definedName>
    <definedName name="XREF_COLUMN_1" hidden="1">#REF!</definedName>
    <definedName name="XREF_COLUMN_2" hidden="1">#REF!</definedName>
    <definedName name="XREF_COLUMN_3" hidden="1">#REF!</definedName>
    <definedName name="XRefActiveRow" hidden="1">#REF!</definedName>
    <definedName name="XRefColumnsCount" hidden="1">3</definedName>
    <definedName name="XRefCopy1" hidden="1">#REF!</definedName>
    <definedName name="XRefCopy1Row" hidden="1">#REF!</definedName>
    <definedName name="XRefCopy2" hidden="1">#REF!</definedName>
    <definedName name="XRefCopy2Row" hidden="1">#REF!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RangeCount" hidden="1">8</definedName>
    <definedName name="XRefPaste1" hidden="1">#REF!</definedName>
    <definedName name="XRefPaste1Row" hidden="1">#REF!</definedName>
    <definedName name="XRefPaste2" hidden="1">#REF!</definedName>
    <definedName name="XRefPaste2Row" hidden="1">#REF!</definedName>
    <definedName name="XRefPaste3" hidden="1">#REF!</definedName>
    <definedName name="XRefPaste3Row" hidden="1">#REF!</definedName>
    <definedName name="XRefPaste4" hidden="1">#REF!</definedName>
    <definedName name="XRefPaste4Row" hidden="1">#REF!</definedName>
    <definedName name="XRefPaste5"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9</definedName>
    <definedName name="xx" localSheetId="42" hidden="1">{#N/A,#N/A,FALSE,"Aging Summary";#N/A,#N/A,FALSE,"Ratio Analysis";#N/A,#N/A,FALSE,"Test 120 Day Accts";#N/A,#N/A,FALSE,"Tickmarks"}</definedName>
    <definedName name="xx" hidden="1">{#N/A,#N/A,FALSE,"Aging Summary";#N/A,#N/A,FALSE,"Ratio Analysis";#N/A,#N/A,FALSE,"Test 120 Day Accts";#N/A,#N/A,FALSE,"Tickmarks"}</definedName>
    <definedName name="YKien1_E" hidden="1">#REF!</definedName>
    <definedName name="YKien1_V" hidden="1">#REF!</definedName>
    <definedName name="YKien2_E" hidden="1">#REF!</definedName>
    <definedName name="YKien2_V" hidden="1">#REF!</definedName>
    <definedName name="YKien3_E" hidden="1">#REF!</definedName>
    <definedName name="YKien3_V" hidden="1">#REF!</definedName>
    <definedName name="YKien4_E" hidden="1">#REF!</definedName>
    <definedName name="YKien4_V" hidden="1">#REF!</definedName>
    <definedName name="YKienKT" hidden="1">#REF!</definedName>
    <definedName name="Z_00F33AC1_9115_11D7_827F_00104BBA10B0_.wvu.Cols" hidden="1">'[12]DAM NEN HC'!#REF!,'[12]DAM NEN HC'!#REF!,'[12]DAM NEN HC'!#REF!</definedName>
    <definedName name="Z_18E0A45A_F64C_11D3_90C7_000062A15C1A_.wvu.Cols" hidden="1">'[12]DAM NEN HC'!#REF!</definedName>
    <definedName name="Z_18E0A45A_F64C_11D3_90C7_000062A15C1A_.wvu.FilterData" hidden="1">'[12]DAM NEN HC'!#REF!</definedName>
    <definedName name="Z_18E0A45A_F64C_11D3_90C7_000062A15C1A_.wvu.PrintTitles" hidden="1">'[12]DAM NEN HC'!#REF!</definedName>
    <definedName name="Z_2AD71782_13C6_11D6_A210_0000E8DA5A4F_.wvu.FilterData" hidden="1">#REF!</definedName>
    <definedName name="Z_344D8229_C927_11D5_A210_0000E8DA5A4F_.wvu.FilterData" hidden="1">#REF!</definedName>
    <definedName name="Z_3507F3CB_00E6_11D6_A210_0000E8DA5A4F_.wvu.Cols" hidden="1">#REF!</definedName>
    <definedName name="Z_351C250E_CF83_11D5_A210_0000E8DA5A4F_.wvu.FilterData" hidden="1">#REF!</definedName>
    <definedName name="Z_446B9FEB_D1FE_11D5_A210_0000E8DA5A4F_.wvu.FilterData" hidden="1">#REF!</definedName>
    <definedName name="Z_5B0390EB_D420_11D5_A210_0000E8DA5A4F_.wvu.FilterData" hidden="1">#REF!</definedName>
    <definedName name="Z_5B0390EE_D420_11D5_A210_0000E8DA5A4F_.wvu.FilterData" hidden="1">#REF!</definedName>
    <definedName name="Z_5B0390F4_D420_11D5_A210_0000E8DA5A4F_.wvu.FilterData" hidden="1">#REF!</definedName>
    <definedName name="Z_5BF7A5D4_C926_11D5_AFB4_0000E8DA5A50_.wvu.FilterData" hidden="1">#REF!</definedName>
    <definedName name="Z_674301AC_C86E_11D5_A210_0000E8DA5A4F_.wvu.FilterData" hidden="1">#REF!</definedName>
    <definedName name="Z_674301B0_C86E_11D5_A210_0000E8DA5A4F_.wvu.FilterData" hidden="1">#REF!</definedName>
    <definedName name="Z_674301B5_C86E_11D5_A210_0000E8DA5A4F_.wvu.FilterData" hidden="1">#REF!</definedName>
    <definedName name="Z_674301B7_C86E_11D5_A210_0000E8DA5A4F_.wvu.FilterData" hidden="1">#REF!</definedName>
    <definedName name="Z_69241FD2_0E61_11D6_BC55_0000E8DD881D_.wvu.FilterData" hidden="1">#REF!</definedName>
    <definedName name="Z_6F27534C_00E4_11D6_BC55_0000E8DD881D_.wvu.FilterData" hidden="1">#REF!</definedName>
    <definedName name="Z_73AB618A_D291_11D5_9D56_000021CF477C_.wvu.FilterData" hidden="1">#REF!</definedName>
    <definedName name="Z_75DB6D8D_EA22_11D5_A210_0000E8DA5A4F_.wvu.FilterData" hidden="1">#REF!</definedName>
    <definedName name="Z_86ABA799_0F13_11D6_9259_0040953083C3_.wvu.FilterData" hidden="1">#REF!</definedName>
    <definedName name="Z_86ABA79C_0F13_11D6_9259_0040953083C3_.wvu.FilterData" hidden="1">#REF!</definedName>
    <definedName name="Z_DA6D18CB_CF6F_11D5_BC57_0000E8DD881D_.wvu.FilterData" hidden="1">#REF!</definedName>
    <definedName name="Z_DA6D18CE_CF6F_11D5_BC57_0000E8DD881D_.wvu.FilterData" hidden="1">#REF!</definedName>
    <definedName name="Z_ECD86340_00F5_11D6_9D56_000021CF477C_.wvu.Cols" hidden="1">#REF!</definedName>
    <definedName name="Z_F4AAFAEB_D28F_11D5_A210_0000E8DA5A4F_.wvu.FilterData" hidden="1">#REF!</definedName>
    <definedName name="Z_F4AAFAED_D28F_11D5_A210_0000E8DA5A4F_.wvu.FilterData" hidden="1">#REF!</definedName>
    <definedName name="zdyhdh" localSheetId="41" hidden="1">{"'Sheet1'!$L$16"}</definedName>
    <definedName name="zdyhdh" localSheetId="42" hidden="1">{"'Sheet1'!$L$16"}</definedName>
    <definedName name="zdyhdh" localSheetId="13" hidden="1">{"'Sheet1'!$L$16"}</definedName>
    <definedName name="zdyhdh" localSheetId="50" hidden="1">{"'Sheet1'!$L$16"}</definedName>
    <definedName name="zdyhdh" localSheetId="46" hidden="1">{"'Sheet1'!$L$16"}</definedName>
    <definedName name="zdyhdh" hidden="1">{"'Sheet1'!$L$16"}</definedName>
    <definedName name="ZXFS" localSheetId="13" hidden="1">{"'Sheet1'!$L$16"}</definedName>
    <definedName name="ZXFS" localSheetId="50" hidden="1">{"'Sheet1'!$L$16"}</definedName>
    <definedName name="ZXFS" hidden="1">{"'Sheet1'!$L$16"}</definedName>
    <definedName name="аааа" localSheetId="41" hidden="1">{"'РП (2)'!$A$5:$S$150"}</definedName>
    <definedName name="аааа" localSheetId="42" hidden="1">{"'РП (2)'!$A$5:$S$150"}</definedName>
    <definedName name="аааа" localSheetId="50" hidden="1">{"'РП (2)'!$A$5:$S$150"}</definedName>
    <definedName name="аааа" localSheetId="46" hidden="1">{"'РП (2)'!$A$5:$S$150"}</definedName>
    <definedName name="аааа" hidden="1">{"'РП (2)'!$A$5:$S$150"}</definedName>
    <definedName name="ааааа" localSheetId="41" hidden="1">{"'РП (2)'!$A$5:$S$150"}</definedName>
    <definedName name="ааааа" localSheetId="42" hidden="1">{"'РП (2)'!$A$5:$S$150"}</definedName>
    <definedName name="ааааа" localSheetId="50" hidden="1">{"'РП (2)'!$A$5:$S$150"}</definedName>
    <definedName name="ааааа" localSheetId="46" hidden="1">{"'РП (2)'!$A$5:$S$150"}</definedName>
    <definedName name="ааааа" hidden="1">{"'РП (2)'!$A$5:$S$150"}</definedName>
    <definedName name="аааааа" localSheetId="41" hidden="1">{"'РП (2)'!$A$5:$S$150"}</definedName>
    <definedName name="аааааа" localSheetId="42" hidden="1">{"'РП (2)'!$A$5:$S$150"}</definedName>
    <definedName name="аааааа" localSheetId="50" hidden="1">{"'РП (2)'!$A$5:$S$150"}</definedName>
    <definedName name="аааааа" localSheetId="46" hidden="1">{"'РП (2)'!$A$5:$S$150"}</definedName>
    <definedName name="аааааа" hidden="1">{"'РП (2)'!$A$5:$S$150"}</definedName>
    <definedName name="аж" localSheetId="41" hidden="1">{"'РП (2)'!$A$5:$S$150"}</definedName>
    <definedName name="аж" localSheetId="42" hidden="1">{"'РП (2)'!$A$5:$S$150"}</definedName>
    <definedName name="аж" localSheetId="50" hidden="1">{"'РП (2)'!$A$5:$S$150"}</definedName>
    <definedName name="аж" localSheetId="46" hidden="1">{"'РП (2)'!$A$5:$S$150"}</definedName>
    <definedName name="аж" hidden="1">{"'РП (2)'!$A$5:$S$150"}</definedName>
    <definedName name="алормж" localSheetId="41" hidden="1">{"'РП (2)'!$A$5:$S$150"}</definedName>
    <definedName name="алормж" localSheetId="42" hidden="1">{"'РП (2)'!$A$5:$S$150"}</definedName>
    <definedName name="алормж" localSheetId="50" hidden="1">{"'РП (2)'!$A$5:$S$150"}</definedName>
    <definedName name="алормж" localSheetId="46" hidden="1">{"'РП (2)'!$A$5:$S$150"}</definedName>
    <definedName name="алормж" hidden="1">{"'РП (2)'!$A$5:$S$150"}</definedName>
    <definedName name="апва" localSheetId="41" hidden="1">{"'РП (2)'!$A$5:$S$150"}</definedName>
    <definedName name="апва" localSheetId="42" hidden="1">{"'РП (2)'!$A$5:$S$150"}</definedName>
    <definedName name="апва" localSheetId="50" hidden="1">{"'РП (2)'!$A$5:$S$150"}</definedName>
    <definedName name="апва" localSheetId="46" hidden="1">{"'РП (2)'!$A$5:$S$150"}</definedName>
    <definedName name="апва" hidden="1">{"'РП (2)'!$A$5:$S$150"}</definedName>
    <definedName name="апкп" localSheetId="41" hidden="1">{"'РП (2)'!$A$5:$S$150"}</definedName>
    <definedName name="апкп" localSheetId="42" hidden="1">{"'РП (2)'!$A$5:$S$150"}</definedName>
    <definedName name="апкп" localSheetId="50" hidden="1">{"'РП (2)'!$A$5:$S$150"}</definedName>
    <definedName name="апкп" localSheetId="46" hidden="1">{"'РП (2)'!$A$5:$S$150"}</definedName>
    <definedName name="апкп" hidden="1">{"'РП (2)'!$A$5:$S$150"}</definedName>
    <definedName name="апрель" localSheetId="41" hidden="1">{"'РП (2)'!$A$5:$S$150"}</definedName>
    <definedName name="апрель" localSheetId="42" hidden="1">{"'РП (2)'!$A$5:$S$150"}</definedName>
    <definedName name="апрель" localSheetId="50" hidden="1">{"'РП (2)'!$A$5:$S$150"}</definedName>
    <definedName name="апрель" localSheetId="46" hidden="1">{"'РП (2)'!$A$5:$S$150"}</definedName>
    <definedName name="апрель" hidden="1">{"'РП (2)'!$A$5:$S$150"}</definedName>
    <definedName name="арложлд" localSheetId="41" hidden="1">{"'РП (2)'!$A$5:$S$150"}</definedName>
    <definedName name="арложлд" localSheetId="42" hidden="1">{"'РП (2)'!$A$5:$S$150"}</definedName>
    <definedName name="арложлд" localSheetId="50" hidden="1">{"'РП (2)'!$A$5:$S$150"}</definedName>
    <definedName name="арложлд" localSheetId="46" hidden="1">{"'РП (2)'!$A$5:$S$150"}</definedName>
    <definedName name="арложлд" hidden="1">{"'РП (2)'!$A$5:$S$150"}</definedName>
    <definedName name="арыщдр" localSheetId="41" hidden="1">{"'РП (2)'!$A$5:$S$150"}</definedName>
    <definedName name="арыщдр" localSheetId="42" hidden="1">{"'РП (2)'!$A$5:$S$150"}</definedName>
    <definedName name="арыщдр" localSheetId="50" hidden="1">{"'РП (2)'!$A$5:$S$150"}</definedName>
    <definedName name="арыщдр" localSheetId="46" hidden="1">{"'РП (2)'!$A$5:$S$150"}</definedName>
    <definedName name="арыщдр" hidden="1">{"'РП (2)'!$A$5:$S$150"}</definedName>
    <definedName name="Б" localSheetId="41" hidden="1">{"'РП (2)'!$A$5:$S$150"}</definedName>
    <definedName name="Б" localSheetId="42" hidden="1">{"'РП (2)'!$A$5:$S$150"}</definedName>
    <definedName name="Б" localSheetId="50" hidden="1">{"'РП (2)'!$A$5:$S$150"}</definedName>
    <definedName name="Б" localSheetId="46" hidden="1">{"'РП (2)'!$A$5:$S$150"}</definedName>
    <definedName name="Б" hidden="1">{"'РП (2)'!$A$5:$S$150"}</definedName>
    <definedName name="ббб" localSheetId="41" hidden="1">{"'РП (2)'!$A$5:$S$150"}</definedName>
    <definedName name="ббб" localSheetId="42" hidden="1">{"'РП (2)'!$A$5:$S$150"}</definedName>
    <definedName name="ббб" localSheetId="50" hidden="1">{"'РП (2)'!$A$5:$S$150"}</definedName>
    <definedName name="ббб" localSheetId="46" hidden="1">{"'РП (2)'!$A$5:$S$150"}</definedName>
    <definedName name="ббб" hidden="1">{"'РП (2)'!$A$5:$S$150"}</definedName>
    <definedName name="бдр" localSheetId="41" hidden="1">{"'РП (2)'!$A$5:$S$150"}</definedName>
    <definedName name="бдр" localSheetId="42" hidden="1">{"'РП (2)'!$A$5:$S$150"}</definedName>
    <definedName name="бдр" localSheetId="50" hidden="1">{"'РП (2)'!$A$5:$S$150"}</definedName>
    <definedName name="бдр" localSheetId="46" hidden="1">{"'РП (2)'!$A$5:$S$150"}</definedName>
    <definedName name="бдр" hidden="1">{"'РП (2)'!$A$5:$S$150"}</definedName>
    <definedName name="Бро" localSheetId="41" hidden="1">{"'РП (2)'!$A$5:$S$150"}</definedName>
    <definedName name="Бро" localSheetId="42" hidden="1">{"'РП (2)'!$A$5:$S$150"}</definedName>
    <definedName name="Бро" localSheetId="50" hidden="1">{"'РП (2)'!$A$5:$S$150"}</definedName>
    <definedName name="Бро" localSheetId="46" hidden="1">{"'РП (2)'!$A$5:$S$150"}</definedName>
    <definedName name="Бро" hidden="1">{"'РП (2)'!$A$5:$S$150"}</definedName>
    <definedName name="БТ" localSheetId="41" hidden="1">{"'РП (2)'!$A$5:$S$150"}</definedName>
    <definedName name="БТ" localSheetId="42" hidden="1">{"'РП (2)'!$A$5:$S$150"}</definedName>
    <definedName name="БТ" localSheetId="50" hidden="1">{"'РП (2)'!$A$5:$S$150"}</definedName>
    <definedName name="БТ" localSheetId="46" hidden="1">{"'РП (2)'!$A$5:$S$150"}</definedName>
    <definedName name="БТ" hidden="1">{"'РП (2)'!$A$5:$S$150"}</definedName>
    <definedName name="бю." localSheetId="41" hidden="1">{"'РП (2)'!$A$5:$S$150"}</definedName>
    <definedName name="бю." localSheetId="42" hidden="1">{"'РП (2)'!$A$5:$S$150"}</definedName>
    <definedName name="бю." localSheetId="50" hidden="1">{"'РП (2)'!$A$5:$S$150"}</definedName>
    <definedName name="бю." localSheetId="46" hidden="1">{"'РП (2)'!$A$5:$S$150"}</definedName>
    <definedName name="бю." hidden="1">{"'РП (2)'!$A$5:$S$150"}</definedName>
    <definedName name="бюджет" localSheetId="41" hidden="1">{"'РП (2)'!$A$5:$S$150"}</definedName>
    <definedName name="бюджет" localSheetId="42" hidden="1">{"'РП (2)'!$A$5:$S$150"}</definedName>
    <definedName name="бюджет" localSheetId="50" hidden="1">{"'РП (2)'!$A$5:$S$150"}</definedName>
    <definedName name="бюджет" localSheetId="46" hidden="1">{"'РП (2)'!$A$5:$S$150"}</definedName>
    <definedName name="бюджет" hidden="1">{"'РП (2)'!$A$5:$S$150"}</definedName>
    <definedName name="бюджет2" localSheetId="41" hidden="1">{"'РП (2)'!$A$5:$S$150"}</definedName>
    <definedName name="бюджет2" localSheetId="42" hidden="1">{"'РП (2)'!$A$5:$S$150"}</definedName>
    <definedName name="бюджет2" localSheetId="50" hidden="1">{"'РП (2)'!$A$5:$S$150"}</definedName>
    <definedName name="бюджет2" localSheetId="46" hidden="1">{"'РП (2)'!$A$5:$S$150"}</definedName>
    <definedName name="бюджет2" hidden="1">{"'РП (2)'!$A$5:$S$150"}</definedName>
    <definedName name="бюджетик" localSheetId="41" hidden="1">{"'РП (2)'!$A$5:$S$150"}</definedName>
    <definedName name="бюджетик" localSheetId="42" hidden="1">{"'РП (2)'!$A$5:$S$150"}</definedName>
    <definedName name="бюджетик" localSheetId="50" hidden="1">{"'РП (2)'!$A$5:$S$150"}</definedName>
    <definedName name="бюджетик" localSheetId="46" hidden="1">{"'РП (2)'!$A$5:$S$150"}</definedName>
    <definedName name="бюджетик" hidden="1">{"'РП (2)'!$A$5:$S$150"}</definedName>
    <definedName name="вадло" localSheetId="41" hidden="1">{"'РП (2)'!$A$5:$S$150"}</definedName>
    <definedName name="вадло" localSheetId="42" hidden="1">{"'РП (2)'!$A$5:$S$150"}</definedName>
    <definedName name="вадло" localSheetId="50" hidden="1">{"'РП (2)'!$A$5:$S$150"}</definedName>
    <definedName name="вадло" localSheetId="46" hidden="1">{"'РП (2)'!$A$5:$S$150"}</definedName>
    <definedName name="вадло" hidden="1">{"'РП (2)'!$A$5:$S$150"}</definedName>
    <definedName name="Вариант3" localSheetId="41" hidden="1">{"'РП (2)'!$A$5:$S$150"}</definedName>
    <definedName name="Вариант3" localSheetId="42" hidden="1">{"'РП (2)'!$A$5:$S$150"}</definedName>
    <definedName name="Вариант3" localSheetId="50" hidden="1">{"'РП (2)'!$A$5:$S$150"}</definedName>
    <definedName name="Вариант3" localSheetId="46" hidden="1">{"'РП (2)'!$A$5:$S$150"}</definedName>
    <definedName name="Вариант3" hidden="1">{"'РП (2)'!$A$5:$S$150"}</definedName>
    <definedName name="ваф" localSheetId="41" hidden="1">{"'РП (2)'!$A$5:$S$150"}</definedName>
    <definedName name="ваф" localSheetId="42" hidden="1">{"'РП (2)'!$A$5:$S$150"}</definedName>
    <definedName name="ваф" localSheetId="50" hidden="1">{"'РП (2)'!$A$5:$S$150"}</definedName>
    <definedName name="ваф" localSheetId="46" hidden="1">{"'РП (2)'!$A$5:$S$150"}</definedName>
    <definedName name="ваф" hidden="1">{"'РП (2)'!$A$5:$S$150"}</definedName>
    <definedName name="вв" localSheetId="41" hidden="1">{"'РП (2)'!$A$5:$S$150"}</definedName>
    <definedName name="вв" localSheetId="42" hidden="1">{"'РП (2)'!$A$5:$S$150"}</definedName>
    <definedName name="вв" localSheetId="50" hidden="1">{"'РП (2)'!$A$5:$S$150"}</definedName>
    <definedName name="вв" localSheetId="46" hidden="1">{"'РП (2)'!$A$5:$S$150"}</definedName>
    <definedName name="вв" hidden="1">{"'РП (2)'!$A$5:$S$150"}</definedName>
    <definedName name="ввв" localSheetId="41" hidden="1">{"'РП (2)'!$A$5:$S$150"}</definedName>
    <definedName name="ввв" localSheetId="42" hidden="1">{"'РП (2)'!$A$5:$S$150"}</definedName>
    <definedName name="ввв" localSheetId="50" hidden="1">{"'РП (2)'!$A$5:$S$150"}</definedName>
    <definedName name="ввв" localSheetId="46" hidden="1">{"'РП (2)'!$A$5:$S$150"}</definedName>
    <definedName name="ввв" hidden="1">{"'РП (2)'!$A$5:$S$150"}</definedName>
    <definedName name="ввввввввв" localSheetId="41" hidden="1">{"'РП (2)'!$A$5:$S$150"}</definedName>
    <definedName name="ввввввввв" localSheetId="42" hidden="1">{"'РП (2)'!$A$5:$S$150"}</definedName>
    <definedName name="ввввввввв" localSheetId="50" hidden="1">{"'РП (2)'!$A$5:$S$150"}</definedName>
    <definedName name="ввввввввв" localSheetId="46" hidden="1">{"'РП (2)'!$A$5:$S$150"}</definedName>
    <definedName name="ввввввввв" hidden="1">{"'РП (2)'!$A$5:$S$150"}</definedName>
    <definedName name="гггг" localSheetId="41" hidden="1">{"'РП (2)'!$A$5:$S$150"}</definedName>
    <definedName name="гггг" localSheetId="42" hidden="1">{"'РП (2)'!$A$5:$S$150"}</definedName>
    <definedName name="гггг" localSheetId="50" hidden="1">{"'РП (2)'!$A$5:$S$150"}</definedName>
    <definedName name="гггг" localSheetId="46" hidden="1">{"'РП (2)'!$A$5:$S$150"}</definedName>
    <definedName name="гггг" hidden="1">{"'РП (2)'!$A$5:$S$150"}</definedName>
    <definedName name="го" localSheetId="41" hidden="1">{"'РП (2)'!$A$5:$S$150"}</definedName>
    <definedName name="го" localSheetId="42" hidden="1">{"'РП (2)'!$A$5:$S$150"}</definedName>
    <definedName name="го" localSheetId="50" hidden="1">{"'РП (2)'!$A$5:$S$150"}</definedName>
    <definedName name="го" localSheetId="46" hidden="1">{"'РП (2)'!$A$5:$S$150"}</definedName>
    <definedName name="го" hidden="1">{"'РП (2)'!$A$5:$S$150"}</definedName>
    <definedName name="ддд" localSheetId="41" hidden="1">{"'РП (2)'!$A$5:$S$150"}</definedName>
    <definedName name="ддд" localSheetId="42" hidden="1">{"'РП (2)'!$A$5:$S$150"}</definedName>
    <definedName name="ддд" localSheetId="50" hidden="1">{"'РП (2)'!$A$5:$S$150"}</definedName>
    <definedName name="ддд" localSheetId="46" hidden="1">{"'РП (2)'!$A$5:$S$150"}</definedName>
    <definedName name="ддд" hidden="1">{"'РП (2)'!$A$5:$S$150"}</definedName>
    <definedName name="дддд" localSheetId="41" hidden="1">{"'РП (2)'!$A$5:$S$150"}</definedName>
    <definedName name="дддд" localSheetId="42" hidden="1">{"'РП (2)'!$A$5:$S$150"}</definedName>
    <definedName name="дддд" localSheetId="50" hidden="1">{"'РП (2)'!$A$5:$S$150"}</definedName>
    <definedName name="дддд" localSheetId="46" hidden="1">{"'РП (2)'!$A$5:$S$150"}</definedName>
    <definedName name="дддд" hidden="1">{"'РП (2)'!$A$5:$S$150"}</definedName>
    <definedName name="ддддд" localSheetId="41" hidden="1">{"'РП (2)'!$A$5:$S$150"}</definedName>
    <definedName name="ддддд" localSheetId="42" hidden="1">{"'РП (2)'!$A$5:$S$150"}</definedName>
    <definedName name="ддддд" localSheetId="50" hidden="1">{"'РП (2)'!$A$5:$S$150"}</definedName>
    <definedName name="ддддд" localSheetId="46" hidden="1">{"'РП (2)'!$A$5:$S$150"}</definedName>
    <definedName name="ддддд" hidden="1">{"'РП (2)'!$A$5:$S$150"}</definedName>
    <definedName name="дло" localSheetId="41" hidden="1">{"'РП (2)'!$A$5:$S$150"}</definedName>
    <definedName name="дло" localSheetId="42" hidden="1">{"'РП (2)'!$A$5:$S$150"}</definedName>
    <definedName name="дло" localSheetId="50" hidden="1">{"'РП (2)'!$A$5:$S$150"}</definedName>
    <definedName name="дло" localSheetId="46" hidden="1">{"'РП (2)'!$A$5:$S$150"}</definedName>
    <definedName name="дло" hidden="1">{"'РП (2)'!$A$5:$S$150"}</definedName>
    <definedName name="длошсмидш" localSheetId="41" hidden="1">{"'РП (2)'!$A$5:$S$150"}</definedName>
    <definedName name="длошсмидш" localSheetId="42" hidden="1">{"'РП (2)'!$A$5:$S$150"}</definedName>
    <definedName name="длошсмидш" localSheetId="50" hidden="1">{"'РП (2)'!$A$5:$S$150"}</definedName>
    <definedName name="длошсмидш" localSheetId="46" hidden="1">{"'РП (2)'!$A$5:$S$150"}</definedName>
    <definedName name="длошсмидш" hidden="1">{"'РП (2)'!$A$5:$S$150"}</definedName>
    <definedName name="длэз" localSheetId="41" hidden="1">{"'РП (2)'!$A$5:$S$150"}</definedName>
    <definedName name="длэз" localSheetId="42" hidden="1">{"'РП (2)'!$A$5:$S$150"}</definedName>
    <definedName name="длэз" localSheetId="50" hidden="1">{"'РП (2)'!$A$5:$S$150"}</definedName>
    <definedName name="длэз" localSheetId="46" hidden="1">{"'РП (2)'!$A$5:$S$150"}</definedName>
    <definedName name="длэз" hidden="1">{"'РП (2)'!$A$5:$S$150"}</definedName>
    <definedName name="до" hidden="1">'[12]DAM NEN HC'!#REF!</definedName>
    <definedName name="дрлж" localSheetId="41" hidden="1">{"'РП (2)'!$A$5:$S$150"}</definedName>
    <definedName name="дрлж" localSheetId="42" hidden="1">{"'РП (2)'!$A$5:$S$150"}</definedName>
    <definedName name="дрлж" localSheetId="50" hidden="1">{"'РП (2)'!$A$5:$S$150"}</definedName>
    <definedName name="дрлж" localSheetId="46" hidden="1">{"'РП (2)'!$A$5:$S$150"}</definedName>
    <definedName name="дрлж" hidden="1">{"'РП (2)'!$A$5:$S$150"}</definedName>
    <definedName name="дэээээ" localSheetId="41" hidden="1">{"'РП (2)'!$A$5:$S$150"}</definedName>
    <definedName name="дэээээ" localSheetId="42" hidden="1">{"'РП (2)'!$A$5:$S$150"}</definedName>
    <definedName name="дэээээ" localSheetId="50" hidden="1">{"'РП (2)'!$A$5:$S$150"}</definedName>
    <definedName name="дэээээ" localSheetId="46" hidden="1">{"'РП (2)'!$A$5:$S$150"}</definedName>
    <definedName name="дэээээ" hidden="1">{"'РП (2)'!$A$5:$S$150"}</definedName>
    <definedName name="ее" localSheetId="41" hidden="1">{"'РП (2)'!$A$5:$S$150"}</definedName>
    <definedName name="ее" localSheetId="42" hidden="1">{"'РП (2)'!$A$5:$S$150"}</definedName>
    <definedName name="ее" localSheetId="50" hidden="1">{"'РП (2)'!$A$5:$S$150"}</definedName>
    <definedName name="ее" localSheetId="46" hidden="1">{"'РП (2)'!$A$5:$S$150"}</definedName>
    <definedName name="ее" hidden="1">{"'РП (2)'!$A$5:$S$150"}</definedName>
    <definedName name="ек" localSheetId="41" hidden="1">{"'РП (2)'!$A$5:$S$150"}</definedName>
    <definedName name="ек" localSheetId="42" hidden="1">{"'РП (2)'!$A$5:$S$150"}</definedName>
    <definedName name="ек" localSheetId="50" hidden="1">{"'РП (2)'!$A$5:$S$150"}</definedName>
    <definedName name="ек" localSheetId="46" hidden="1">{"'РП (2)'!$A$5:$S$150"}</definedName>
    <definedName name="ек" hidden="1">{"'РП (2)'!$A$5:$S$150"}</definedName>
    <definedName name="екн" localSheetId="41" hidden="1">{"'РП (2)'!$A$5:$S$150"}</definedName>
    <definedName name="екн" localSheetId="42" hidden="1">{"'РП (2)'!$A$5:$S$150"}</definedName>
    <definedName name="екн" localSheetId="50" hidden="1">{"'РП (2)'!$A$5:$S$150"}</definedName>
    <definedName name="екн" localSheetId="46" hidden="1">{"'РП (2)'!$A$5:$S$150"}</definedName>
    <definedName name="екн" hidden="1">{"'РП (2)'!$A$5:$S$150"}</definedName>
    <definedName name="ен" hidden="1">'[12]DAM NEN HC'!#REF!</definedName>
    <definedName name="ж" localSheetId="41" hidden="1">{"'РП (2)'!$A$5:$S$150"}</definedName>
    <definedName name="ж" localSheetId="42" hidden="1">{"'РП (2)'!$A$5:$S$150"}</definedName>
    <definedName name="ж" localSheetId="50" hidden="1">{"'РП (2)'!$A$5:$S$150"}</definedName>
    <definedName name="ж" localSheetId="46" hidden="1">{"'РП (2)'!$A$5:$S$150"}</definedName>
    <definedName name="ж" hidden="1">{"'РП (2)'!$A$5:$S$150"}</definedName>
    <definedName name="жд" localSheetId="41" hidden="1">{"'РП (2)'!$A$5:$S$150"}</definedName>
    <definedName name="жд" localSheetId="42" hidden="1">{"'РП (2)'!$A$5:$S$150"}</definedName>
    <definedName name="жд" localSheetId="50" hidden="1">{"'РП (2)'!$A$5:$S$150"}</definedName>
    <definedName name="жд" localSheetId="46" hidden="1">{"'РП (2)'!$A$5:$S$150"}</definedName>
    <definedName name="жд" hidden="1">{"'РП (2)'!$A$5:$S$150"}</definedName>
    <definedName name="жжжж" localSheetId="41" hidden="1">{"'РП (2)'!$A$5:$S$150"}</definedName>
    <definedName name="жжжж" localSheetId="42" hidden="1">{"'РП (2)'!$A$5:$S$150"}</definedName>
    <definedName name="жжжж" localSheetId="50" hidden="1">{"'РП (2)'!$A$5:$S$150"}</definedName>
    <definedName name="жжжж" localSheetId="46" hidden="1">{"'РП (2)'!$A$5:$S$150"}</definedName>
    <definedName name="жжжж" hidden="1">{"'РП (2)'!$A$5:$S$150"}</definedName>
    <definedName name="жжжжж" localSheetId="41" hidden="1">{"'РП (2)'!$A$5:$S$150"}</definedName>
    <definedName name="жжжжж" localSheetId="42" hidden="1">{"'РП (2)'!$A$5:$S$150"}</definedName>
    <definedName name="жжжжж" localSheetId="50" hidden="1">{"'РП (2)'!$A$5:$S$150"}</definedName>
    <definedName name="жжжжж" localSheetId="46" hidden="1">{"'РП (2)'!$A$5:$S$150"}</definedName>
    <definedName name="жжжжж" hidden="1">{"'РП (2)'!$A$5:$S$150"}</definedName>
    <definedName name="жжжжжжжж" localSheetId="41" hidden="1">{"'РП (2)'!$A$5:$S$150"}</definedName>
    <definedName name="жжжжжжжж" localSheetId="42" hidden="1">{"'РП (2)'!$A$5:$S$150"}</definedName>
    <definedName name="жжжжжжжж" localSheetId="50" hidden="1">{"'РП (2)'!$A$5:$S$150"}</definedName>
    <definedName name="жжжжжжжж" localSheetId="46" hidden="1">{"'РП (2)'!$A$5:$S$150"}</definedName>
    <definedName name="жжжжжжжж" hidden="1">{"'РП (2)'!$A$5:$S$150"}</definedName>
    <definedName name="жжжжз" localSheetId="41" hidden="1">{"'РП (2)'!$A$5:$S$150"}</definedName>
    <definedName name="жжжжз" localSheetId="42" hidden="1">{"'РП (2)'!$A$5:$S$150"}</definedName>
    <definedName name="жжжжз" localSheetId="50" hidden="1">{"'РП (2)'!$A$5:$S$150"}</definedName>
    <definedName name="жжжжз" localSheetId="46" hidden="1">{"'РП (2)'!$A$5:$S$150"}</definedName>
    <definedName name="жжжжз" hidden="1">{"'РП (2)'!$A$5:$S$150"}</definedName>
    <definedName name="жэзщшгн" localSheetId="41" hidden="1">{"'РП (2)'!$A$5:$S$150"}</definedName>
    <definedName name="жэзщшгн" localSheetId="42" hidden="1">{"'РП (2)'!$A$5:$S$150"}</definedName>
    <definedName name="жэзщшгн" localSheetId="50" hidden="1">{"'РП (2)'!$A$5:$S$150"}</definedName>
    <definedName name="жэзщшгн" localSheetId="46" hidden="1">{"'РП (2)'!$A$5:$S$150"}</definedName>
    <definedName name="жэзщшгн" hidden="1">{"'РП (2)'!$A$5:$S$150"}</definedName>
    <definedName name="здздздзд" localSheetId="41" hidden="1">{"'РП (2)'!$A$5:$S$150"}</definedName>
    <definedName name="здздздзд" localSheetId="42" hidden="1">{"'РП (2)'!$A$5:$S$150"}</definedName>
    <definedName name="здздздзд" localSheetId="50" hidden="1">{"'РП (2)'!$A$5:$S$150"}</definedName>
    <definedName name="здздздзд" localSheetId="46" hidden="1">{"'РП (2)'!$A$5:$S$150"}</definedName>
    <definedName name="здздздзд" hidden="1">{"'РП (2)'!$A$5:$S$150"}</definedName>
    <definedName name="ззззш" localSheetId="41" hidden="1">{"'РП (2)'!$A$5:$S$150"}</definedName>
    <definedName name="ззззш" localSheetId="42" hidden="1">{"'РП (2)'!$A$5:$S$150"}</definedName>
    <definedName name="ззззш" localSheetId="50" hidden="1">{"'РП (2)'!$A$5:$S$150"}</definedName>
    <definedName name="ззззш" localSheetId="46" hidden="1">{"'РП (2)'!$A$5:$S$150"}</definedName>
    <definedName name="ззззш" hidden="1">{"'РП (2)'!$A$5:$S$150"}</definedName>
    <definedName name="ззщзззщзщ" localSheetId="41" hidden="1">{"'РП (2)'!$A$5:$S$150"}</definedName>
    <definedName name="ззщзззщзщ" localSheetId="42" hidden="1">{"'РП (2)'!$A$5:$S$150"}</definedName>
    <definedName name="ззщзззщзщ" localSheetId="50" hidden="1">{"'РП (2)'!$A$5:$S$150"}</definedName>
    <definedName name="ззщзззщзщ" localSheetId="46" hidden="1">{"'РП (2)'!$A$5:$S$150"}</definedName>
    <definedName name="ззщзззщзщ" hidden="1">{"'РП (2)'!$A$5:$S$150"}</definedName>
    <definedName name="зш" localSheetId="41" hidden="1">{"'РП (2)'!$A$5:$S$150"}</definedName>
    <definedName name="зш" localSheetId="42" hidden="1">{"'РП (2)'!$A$5:$S$150"}</definedName>
    <definedName name="зш" localSheetId="50" hidden="1">{"'РП (2)'!$A$5:$S$150"}</definedName>
    <definedName name="зш" localSheetId="46" hidden="1">{"'РП (2)'!$A$5:$S$150"}</definedName>
    <definedName name="зш" hidden="1">{"'РП (2)'!$A$5:$S$150"}</definedName>
    <definedName name="зщш" localSheetId="41" hidden="1">{"'РП (2)'!$A$5:$S$150"}</definedName>
    <definedName name="зщш" localSheetId="42" hidden="1">{"'РП (2)'!$A$5:$S$150"}</definedName>
    <definedName name="зщш" localSheetId="50" hidden="1">{"'РП (2)'!$A$5:$S$150"}</definedName>
    <definedName name="зщш" localSheetId="46" hidden="1">{"'РП (2)'!$A$5:$S$150"}</definedName>
    <definedName name="зщш" hidden="1">{"'РП (2)'!$A$5:$S$150"}</definedName>
    <definedName name="зщщщ" localSheetId="41" hidden="1">{"'РП (2)'!$A$5:$S$150"}</definedName>
    <definedName name="зщщщ" localSheetId="42" hidden="1">{"'РП (2)'!$A$5:$S$150"}</definedName>
    <definedName name="зщщщ" localSheetId="50" hidden="1">{"'РП (2)'!$A$5:$S$150"}</definedName>
    <definedName name="зщщщ" localSheetId="46" hidden="1">{"'РП (2)'!$A$5:$S$150"}</definedName>
    <definedName name="зщщщ" hidden="1">{"'РП (2)'!$A$5:$S$150"}</definedName>
    <definedName name="й" localSheetId="41" hidden="1">{"'РП (2)'!$A$5:$S$150"}</definedName>
    <definedName name="й" localSheetId="42" hidden="1">{"'РП (2)'!$A$5:$S$150"}</definedName>
    <definedName name="й" localSheetId="50" hidden="1">{"'РП (2)'!$A$5:$S$150"}</definedName>
    <definedName name="й" localSheetId="46" hidden="1">{"'РП (2)'!$A$5:$S$150"}</definedName>
    <definedName name="й" hidden="1">{"'РП (2)'!$A$5:$S$150"}</definedName>
    <definedName name="ййй" localSheetId="41" hidden="1">{"'РП (2)'!$A$5:$S$150"}</definedName>
    <definedName name="ййй" localSheetId="42" hidden="1">{"'РП (2)'!$A$5:$S$150"}</definedName>
    <definedName name="ййй" localSheetId="50" hidden="1">{"'РП (2)'!$A$5:$S$150"}</definedName>
    <definedName name="ййй" localSheetId="46" hidden="1">{"'РП (2)'!$A$5:$S$150"}</definedName>
    <definedName name="ййй" hidden="1">{"'РП (2)'!$A$5:$S$150"}</definedName>
    <definedName name="им" localSheetId="41" hidden="1">{"'РП (2)'!$A$5:$S$150"}</definedName>
    <definedName name="им" localSheetId="42" hidden="1">{"'РП (2)'!$A$5:$S$150"}</definedName>
    <definedName name="им" localSheetId="50" hidden="1">{"'РП (2)'!$A$5:$S$150"}</definedName>
    <definedName name="им" localSheetId="46" hidden="1">{"'РП (2)'!$A$5:$S$150"}</definedName>
    <definedName name="им" hidden="1">{"'РП (2)'!$A$5:$S$150"}</definedName>
    <definedName name="имущ1" localSheetId="41" hidden="1">{"'РП (2)'!$A$5:$S$150"}</definedName>
    <definedName name="имущ1" localSheetId="42" hidden="1">{"'РП (2)'!$A$5:$S$150"}</definedName>
    <definedName name="имущ1" localSheetId="50" hidden="1">{"'РП (2)'!$A$5:$S$150"}</definedName>
    <definedName name="имущ1" localSheetId="46" hidden="1">{"'РП (2)'!$A$5:$S$150"}</definedName>
    <definedName name="имущ1" hidden="1">{"'РП (2)'!$A$5:$S$150"}</definedName>
    <definedName name="ить" localSheetId="41" hidden="1">{"'РП (2)'!$A$5:$S$150"}</definedName>
    <definedName name="ить" localSheetId="42" hidden="1">{"'РП (2)'!$A$5:$S$150"}</definedName>
    <definedName name="ить" localSheetId="50" hidden="1">{"'РП (2)'!$A$5:$S$150"}</definedName>
    <definedName name="ить" localSheetId="46" hidden="1">{"'РП (2)'!$A$5:$S$150"}</definedName>
    <definedName name="ить" hidden="1">{"'РП (2)'!$A$5:$S$150"}</definedName>
    <definedName name="июль" localSheetId="41" hidden="1">{"'РП (2)'!$A$5:$S$150"}</definedName>
    <definedName name="июль" localSheetId="42" hidden="1">{"'РП (2)'!$A$5:$S$150"}</definedName>
    <definedName name="июль" localSheetId="50" hidden="1">{"'РП (2)'!$A$5:$S$150"}</definedName>
    <definedName name="июль" localSheetId="46" hidden="1">{"'РП (2)'!$A$5:$S$150"}</definedName>
    <definedName name="июль" hidden="1">{"'РП (2)'!$A$5:$S$150"}</definedName>
    <definedName name="июль03" localSheetId="41" hidden="1">{"'РП (2)'!$A$5:$S$150"}</definedName>
    <definedName name="июль03" localSheetId="42" hidden="1">{"'РП (2)'!$A$5:$S$150"}</definedName>
    <definedName name="июль03" localSheetId="50" hidden="1">{"'РП (2)'!$A$5:$S$150"}</definedName>
    <definedName name="июль03" localSheetId="46" hidden="1">{"'РП (2)'!$A$5:$S$150"}</definedName>
    <definedName name="июль03" hidden="1">{"'РП (2)'!$A$5:$S$150"}</definedName>
    <definedName name="июль1" localSheetId="41" hidden="1">{"'РП (2)'!$A$5:$S$150"}</definedName>
    <definedName name="июль1" localSheetId="42" hidden="1">{"'РП (2)'!$A$5:$S$150"}</definedName>
    <definedName name="июль1" localSheetId="50" hidden="1">{"'РП (2)'!$A$5:$S$150"}</definedName>
    <definedName name="июль1" localSheetId="46" hidden="1">{"'РП (2)'!$A$5:$S$150"}</definedName>
    <definedName name="июль1" hidden="1">{"'РП (2)'!$A$5:$S$150"}</definedName>
    <definedName name="июль3" localSheetId="41" hidden="1">{"'РП (2)'!$A$5:$S$150"}</definedName>
    <definedName name="июль3" localSheetId="42" hidden="1">{"'РП (2)'!$A$5:$S$150"}</definedName>
    <definedName name="июль3" localSheetId="50" hidden="1">{"'РП (2)'!$A$5:$S$150"}</definedName>
    <definedName name="июль3" localSheetId="46" hidden="1">{"'РП (2)'!$A$5:$S$150"}</definedName>
    <definedName name="июль3" hidden="1">{"'РП (2)'!$A$5:$S$150"}</definedName>
    <definedName name="июнь" localSheetId="41" hidden="1">{"'РП (2)'!$A$5:$S$150"}</definedName>
    <definedName name="июнь" localSheetId="42" hidden="1">{"'РП (2)'!$A$5:$S$150"}</definedName>
    <definedName name="июнь" localSheetId="50" hidden="1">{"'РП (2)'!$A$5:$S$150"}</definedName>
    <definedName name="июнь" localSheetId="46" hidden="1">{"'РП (2)'!$A$5:$S$150"}</definedName>
    <definedName name="июнь" hidden="1">{"'РП (2)'!$A$5:$S$150"}</definedName>
    <definedName name="кк" localSheetId="41" hidden="1">{"'РП (2)'!$A$5:$S$150"}</definedName>
    <definedName name="кк" localSheetId="42" hidden="1">{"'РП (2)'!$A$5:$S$150"}</definedName>
    <definedName name="кк" localSheetId="50" hidden="1">{"'РП (2)'!$A$5:$S$150"}</definedName>
    <definedName name="кк" localSheetId="46" hidden="1">{"'РП (2)'!$A$5:$S$150"}</definedName>
    <definedName name="кк" hidden="1">{"'РП (2)'!$A$5:$S$150"}</definedName>
    <definedName name="кккккккккккккк" localSheetId="41" hidden="1">{"'РП (2)'!$A$5:$S$150"}</definedName>
    <definedName name="кккккккккккккк" localSheetId="42" hidden="1">{"'РП (2)'!$A$5:$S$150"}</definedName>
    <definedName name="кккккккккккккк" localSheetId="50" hidden="1">{"'РП (2)'!$A$5:$S$150"}</definedName>
    <definedName name="кккккккккккккк" localSheetId="46" hidden="1">{"'РП (2)'!$A$5:$S$150"}</definedName>
    <definedName name="кккккккккккккк" hidden="1">{"'РП (2)'!$A$5:$S$150"}</definedName>
    <definedName name="конф" localSheetId="41" hidden="1">{"'РП (2)'!$A$5:$S$150"}</definedName>
    <definedName name="конф" localSheetId="42" hidden="1">{"'РП (2)'!$A$5:$S$150"}</definedName>
    <definedName name="конф" localSheetId="50" hidden="1">{"'РП (2)'!$A$5:$S$150"}</definedName>
    <definedName name="конф" localSheetId="46" hidden="1">{"'РП (2)'!$A$5:$S$150"}</definedName>
    <definedName name="конф" hidden="1">{"'РП (2)'!$A$5:$S$150"}</definedName>
    <definedName name="копия" localSheetId="41" hidden="1">{"'РП (2)'!$A$5:$S$150"}</definedName>
    <definedName name="копия" localSheetId="42" hidden="1">{"'РП (2)'!$A$5:$S$150"}</definedName>
    <definedName name="копия" localSheetId="50" hidden="1">{"'РП (2)'!$A$5:$S$150"}</definedName>
    <definedName name="копия" localSheetId="46" hidden="1">{"'РП (2)'!$A$5:$S$150"}</definedName>
    <definedName name="копия" hidden="1">{"'РП (2)'!$A$5:$S$150"}</definedName>
    <definedName name="КРАСНОЯРСК" localSheetId="41" hidden="1">{"'РП (2)'!$A$5:$S$150"}</definedName>
    <definedName name="КРАСНОЯРСК" localSheetId="42" hidden="1">{"'РП (2)'!$A$5:$S$150"}</definedName>
    <definedName name="КРАСНОЯРСК" localSheetId="50" hidden="1">{"'РП (2)'!$A$5:$S$150"}</definedName>
    <definedName name="КРАСНОЯРСК" localSheetId="46" hidden="1">{"'РП (2)'!$A$5:$S$150"}</definedName>
    <definedName name="КРАСНОЯРСК" hidden="1">{"'РП (2)'!$A$5:$S$150"}</definedName>
    <definedName name="лб" localSheetId="41" hidden="1">{"'РП (2)'!$A$5:$S$150"}</definedName>
    <definedName name="лб" localSheetId="42" hidden="1">{"'РП (2)'!$A$5:$S$150"}</definedName>
    <definedName name="лб" localSheetId="50" hidden="1">{"'РП (2)'!$A$5:$S$150"}</definedName>
    <definedName name="лб" localSheetId="46" hidden="1">{"'РП (2)'!$A$5:$S$150"}</definedName>
    <definedName name="лб" hidden="1">{"'РП (2)'!$A$5:$S$150"}</definedName>
    <definedName name="лдж" localSheetId="41" hidden="1">{"'РП (2)'!$A$5:$S$150"}</definedName>
    <definedName name="лдж" localSheetId="42" hidden="1">{"'РП (2)'!$A$5:$S$150"}</definedName>
    <definedName name="лдж" localSheetId="50" hidden="1">{"'РП (2)'!$A$5:$S$150"}</definedName>
    <definedName name="лдж" localSheetId="46" hidden="1">{"'РП (2)'!$A$5:$S$150"}</definedName>
    <definedName name="лдж" hidden="1">{"'РП (2)'!$A$5:$S$150"}</definedName>
    <definedName name="лена" localSheetId="41" hidden="1">{"'РП (2)'!$A$5:$S$150"}</definedName>
    <definedName name="лена" localSheetId="42" hidden="1">{"'РП (2)'!$A$5:$S$150"}</definedName>
    <definedName name="лена" localSheetId="50" hidden="1">{"'РП (2)'!$A$5:$S$150"}</definedName>
    <definedName name="лена" localSheetId="46" hidden="1">{"'РП (2)'!$A$5:$S$150"}</definedName>
    <definedName name="лена" hidden="1">{"'РП (2)'!$A$5:$S$150"}</definedName>
    <definedName name="ленинск" localSheetId="41" hidden="1">{"'РП (2)'!$A$5:$S$150"}</definedName>
    <definedName name="ленинск" localSheetId="42" hidden="1">{"'РП (2)'!$A$5:$S$150"}</definedName>
    <definedName name="ленинск" localSheetId="50" hidden="1">{"'РП (2)'!$A$5:$S$150"}</definedName>
    <definedName name="ленинск" localSheetId="46" hidden="1">{"'РП (2)'!$A$5:$S$150"}</definedName>
    <definedName name="ленинск" hidden="1">{"'РП (2)'!$A$5:$S$150"}</definedName>
    <definedName name="ллллт" localSheetId="41" hidden="1">{"'РП (2)'!$A$5:$S$150"}</definedName>
    <definedName name="ллллт" localSheetId="42" hidden="1">{"'РП (2)'!$A$5:$S$150"}</definedName>
    <definedName name="ллллт" localSheetId="50" hidden="1">{"'РП (2)'!$A$5:$S$150"}</definedName>
    <definedName name="ллллт" localSheetId="46" hidden="1">{"'РП (2)'!$A$5:$S$150"}</definedName>
    <definedName name="ллллт" hidden="1">{"'РП (2)'!$A$5:$S$150"}</definedName>
    <definedName name="ло" localSheetId="41" hidden="1">{"'РП (2)'!$A$5:$S$150"}</definedName>
    <definedName name="ло" localSheetId="42" hidden="1">{"'РП (2)'!$A$5:$S$150"}</definedName>
    <definedName name="ло" localSheetId="50" hidden="1">{"'РП (2)'!$A$5:$S$150"}</definedName>
    <definedName name="ло" localSheetId="46" hidden="1">{"'РП (2)'!$A$5:$S$150"}</definedName>
    <definedName name="ло" hidden="1">{"'РП (2)'!$A$5:$S$150"}</definedName>
    <definedName name="лор" localSheetId="41" hidden="1">{"'РП (2)'!$A$5:$S$150"}</definedName>
    <definedName name="лор" localSheetId="42" hidden="1">{"'РП (2)'!$A$5:$S$150"}</definedName>
    <definedName name="лор" localSheetId="50" hidden="1">{"'РП (2)'!$A$5:$S$150"}</definedName>
    <definedName name="лор" localSheetId="46" hidden="1">{"'РП (2)'!$A$5:$S$150"}</definedName>
    <definedName name="лор" hidden="1">{"'РП (2)'!$A$5:$S$150"}</definedName>
    <definedName name="нет" localSheetId="41" hidden="1">{"'РП (2)'!$A$5:$S$150"}</definedName>
    <definedName name="нет" localSheetId="42" hidden="1">{"'РП (2)'!$A$5:$S$150"}</definedName>
    <definedName name="нет" localSheetId="50" hidden="1">{"'РП (2)'!$A$5:$S$150"}</definedName>
    <definedName name="нет" localSheetId="46" hidden="1">{"'РП (2)'!$A$5:$S$150"}</definedName>
    <definedName name="нет" hidden="1">{"'РП (2)'!$A$5:$S$150"}</definedName>
    <definedName name="нор" localSheetId="41" hidden="1">{"'РП (2)'!$A$5:$S$150"}</definedName>
    <definedName name="нор" localSheetId="42" hidden="1">{"'РП (2)'!$A$5:$S$150"}</definedName>
    <definedName name="нор" localSheetId="50" hidden="1">{"'РП (2)'!$A$5:$S$150"}</definedName>
    <definedName name="нор" localSheetId="46" hidden="1">{"'РП (2)'!$A$5:$S$150"}</definedName>
    <definedName name="нор" hidden="1">{"'РП (2)'!$A$5:$S$150"}</definedName>
    <definedName name="оао" localSheetId="41" hidden="1">{"'РП (2)'!$A$5:$S$150"}</definedName>
    <definedName name="оао" localSheetId="42" hidden="1">{"'РП (2)'!$A$5:$S$150"}</definedName>
    <definedName name="оао" localSheetId="50" hidden="1">{"'РП (2)'!$A$5:$S$150"}</definedName>
    <definedName name="оао" localSheetId="46" hidden="1">{"'РП (2)'!$A$5:$S$150"}</definedName>
    <definedName name="оао" hidden="1">{"'РП (2)'!$A$5:$S$150"}</definedName>
    <definedName name="Общеж." localSheetId="41" hidden="1">{"'РП (2)'!$A$5:$S$150"}</definedName>
    <definedName name="Общеж." localSheetId="42" hidden="1">{"'РП (2)'!$A$5:$S$150"}</definedName>
    <definedName name="Общеж." localSheetId="50" hidden="1">{"'РП (2)'!$A$5:$S$150"}</definedName>
    <definedName name="Общеж." localSheetId="46" hidden="1">{"'РП (2)'!$A$5:$S$150"}</definedName>
    <definedName name="Общеж." hidden="1">{"'РП (2)'!$A$5:$S$150"}</definedName>
    <definedName name="оолдж" localSheetId="41" hidden="1">{"'РП (2)'!$A$5:$S$150"}</definedName>
    <definedName name="оолдж" localSheetId="42" hidden="1">{"'РП (2)'!$A$5:$S$150"}</definedName>
    <definedName name="оолдж" localSheetId="50" hidden="1">{"'РП (2)'!$A$5:$S$150"}</definedName>
    <definedName name="оолдж" localSheetId="46" hidden="1">{"'РП (2)'!$A$5:$S$150"}</definedName>
    <definedName name="оолдж" hidden="1">{"'РП (2)'!$A$5:$S$150"}</definedName>
    <definedName name="ооод" localSheetId="41" hidden="1">{"'РП (2)'!$A$5:$S$150"}</definedName>
    <definedName name="ооод" localSheetId="42" hidden="1">{"'РП (2)'!$A$5:$S$150"}</definedName>
    <definedName name="ооод" localSheetId="50" hidden="1">{"'РП (2)'!$A$5:$S$150"}</definedName>
    <definedName name="ооод" localSheetId="46" hidden="1">{"'РП (2)'!$A$5:$S$150"}</definedName>
    <definedName name="ооод" hidden="1">{"'РП (2)'!$A$5:$S$150"}</definedName>
    <definedName name="ооож" localSheetId="41" hidden="1">{"'РП (2)'!$A$5:$S$150"}</definedName>
    <definedName name="ооож" localSheetId="42" hidden="1">{"'РП (2)'!$A$5:$S$150"}</definedName>
    <definedName name="ооож" localSheetId="50" hidden="1">{"'РП (2)'!$A$5:$S$150"}</definedName>
    <definedName name="ооож" localSheetId="46" hidden="1">{"'РП (2)'!$A$5:$S$150"}</definedName>
    <definedName name="ооож" hidden="1">{"'РП (2)'!$A$5:$S$150"}</definedName>
    <definedName name="оооэхз" localSheetId="41" hidden="1">{"'РП (2)'!$A$5:$S$150"}</definedName>
    <definedName name="оооэхз" localSheetId="42" hidden="1">{"'РП (2)'!$A$5:$S$150"}</definedName>
    <definedName name="оооэхз" localSheetId="50" hidden="1">{"'РП (2)'!$A$5:$S$150"}</definedName>
    <definedName name="оооэхз" localSheetId="46" hidden="1">{"'РП (2)'!$A$5:$S$150"}</definedName>
    <definedName name="оооэхз" hidden="1">{"'РП (2)'!$A$5:$S$150"}</definedName>
    <definedName name="ор" localSheetId="41" hidden="1">{"'РП (2)'!$A$5:$S$150"}</definedName>
    <definedName name="ор" localSheetId="42" hidden="1">{"'РП (2)'!$A$5:$S$150"}</definedName>
    <definedName name="ор" localSheetId="50" hidden="1">{"'РП (2)'!$A$5:$S$150"}</definedName>
    <definedName name="ор" localSheetId="46" hidden="1">{"'РП (2)'!$A$5:$S$150"}</definedName>
    <definedName name="ор" hidden="1">{"'РП (2)'!$A$5:$S$150"}</definedName>
    <definedName name="оштлош" localSheetId="41" hidden="1">{"'РП (2)'!$A$5:$S$150"}</definedName>
    <definedName name="оштлош" localSheetId="42" hidden="1">{"'РП (2)'!$A$5:$S$150"}</definedName>
    <definedName name="оштлош" localSheetId="50" hidden="1">{"'РП (2)'!$A$5:$S$150"}</definedName>
    <definedName name="оштлош" localSheetId="46" hidden="1">{"'РП (2)'!$A$5:$S$150"}</definedName>
    <definedName name="оштлош" hidden="1">{"'РП (2)'!$A$5:$S$150"}</definedName>
    <definedName name="ощлщл" localSheetId="41" hidden="1">{"'РП (2)'!$A$5:$S$150"}</definedName>
    <definedName name="ощлщл" localSheetId="42" hidden="1">{"'РП (2)'!$A$5:$S$150"}</definedName>
    <definedName name="ощлщл" localSheetId="50" hidden="1">{"'РП (2)'!$A$5:$S$150"}</definedName>
    <definedName name="ощлщл" localSheetId="46" hidden="1">{"'РП (2)'!$A$5:$S$150"}</definedName>
    <definedName name="ощлщл" hidden="1">{"'РП (2)'!$A$5:$S$150"}</definedName>
    <definedName name="па" localSheetId="41" hidden="1">{"'РП (2)'!$A$5:$S$150"}</definedName>
    <definedName name="па" localSheetId="42" hidden="1">{"'РП (2)'!$A$5:$S$150"}</definedName>
    <definedName name="па" localSheetId="50" hidden="1">{"'РП (2)'!$A$5:$S$150"}</definedName>
    <definedName name="па" localSheetId="46" hidden="1">{"'РП (2)'!$A$5:$S$150"}</definedName>
    <definedName name="па" hidden="1">{"'РП (2)'!$A$5:$S$150"}</definedName>
    <definedName name="пе" localSheetId="41" hidden="1">{"'РП (2)'!$A$5:$S$150"}</definedName>
    <definedName name="пе" localSheetId="42" hidden="1">{"'РП (2)'!$A$5:$S$150"}</definedName>
    <definedName name="пе" localSheetId="50" hidden="1">{"'РП (2)'!$A$5:$S$150"}</definedName>
    <definedName name="пе" localSheetId="46" hidden="1">{"'РП (2)'!$A$5:$S$150"}</definedName>
    <definedName name="пе" hidden="1">{"'РП (2)'!$A$5:$S$150"}</definedName>
    <definedName name="пени_штрафы_Нпроверки" localSheetId="41" hidden="1">{"'РП (2)'!$A$5:$S$150"}</definedName>
    <definedName name="пени_штрафы_Нпроверки" localSheetId="42" hidden="1">{"'РП (2)'!$A$5:$S$150"}</definedName>
    <definedName name="пени_штрафы_Нпроверки" localSheetId="50" hidden="1">{"'РП (2)'!$A$5:$S$150"}</definedName>
    <definedName name="пени_штрафы_Нпроверки" localSheetId="46" hidden="1">{"'РП (2)'!$A$5:$S$150"}</definedName>
    <definedName name="пени_штрафы_Нпроверки" hidden="1">{"'РП (2)'!$A$5:$S$150"}</definedName>
    <definedName name="пепр" localSheetId="41" hidden="1">{"'РП (2)'!$A$5:$S$150"}</definedName>
    <definedName name="пепр" localSheetId="42" hidden="1">{"'РП (2)'!$A$5:$S$150"}</definedName>
    <definedName name="пепр" localSheetId="50" hidden="1">{"'РП (2)'!$A$5:$S$150"}</definedName>
    <definedName name="пепр" localSheetId="46" hidden="1">{"'РП (2)'!$A$5:$S$150"}</definedName>
    <definedName name="пепр" hidden="1">{"'РП (2)'!$A$5:$S$150"}</definedName>
    <definedName name="пп" localSheetId="41" hidden="1">{"'РП (2)'!$A$5:$S$150"}</definedName>
    <definedName name="пп" localSheetId="42" hidden="1">{"'РП (2)'!$A$5:$S$150"}</definedName>
    <definedName name="пп" localSheetId="50" hidden="1">{"'РП (2)'!$A$5:$S$150"}</definedName>
    <definedName name="пп" localSheetId="46" hidden="1">{"'РП (2)'!$A$5:$S$150"}</definedName>
    <definedName name="пп" hidden="1">{"'РП (2)'!$A$5:$S$150"}</definedName>
    <definedName name="прибыль" localSheetId="41" hidden="1">{"'РП (2)'!$A$5:$S$150"}</definedName>
    <definedName name="прибыль" localSheetId="42" hidden="1">{"'РП (2)'!$A$5:$S$150"}</definedName>
    <definedName name="прибыль" localSheetId="50" hidden="1">{"'РП (2)'!$A$5:$S$150"}</definedName>
    <definedName name="прибыль" localSheetId="46" hidden="1">{"'РП (2)'!$A$5:$S$150"}</definedName>
    <definedName name="прибыль" hidden="1">{"'РП (2)'!$A$5:$S$150"}</definedName>
    <definedName name="про" localSheetId="41" hidden="1">{"'РП (2)'!$A$5:$S$150"}</definedName>
    <definedName name="про" localSheetId="42" hidden="1">{"'РП (2)'!$A$5:$S$150"}</definedName>
    <definedName name="про" localSheetId="50" hidden="1">{"'РП (2)'!$A$5:$S$150"}</definedName>
    <definedName name="про" localSheetId="46" hidden="1">{"'РП (2)'!$A$5:$S$150"}</definedName>
    <definedName name="про" hidden="1">{"'РП (2)'!$A$5:$S$150"}</definedName>
    <definedName name="расч.нал.приб." localSheetId="41" hidden="1">{"'РП (2)'!$A$5:$S$150"}</definedName>
    <definedName name="расч.нал.приб." localSheetId="42" hidden="1">{"'РП (2)'!$A$5:$S$150"}</definedName>
    <definedName name="расч.нал.приб." localSheetId="50" hidden="1">{"'РП (2)'!$A$5:$S$150"}</definedName>
    <definedName name="расч.нал.приб." localSheetId="46" hidden="1">{"'РП (2)'!$A$5:$S$150"}</definedName>
    <definedName name="расч.нал.приб." hidden="1">{"'РП (2)'!$A$5:$S$150"}</definedName>
    <definedName name="расчет" localSheetId="41" hidden="1">{"'РП (2)'!$A$5:$S$150"}</definedName>
    <definedName name="расчет" localSheetId="42" hidden="1">{"'РП (2)'!$A$5:$S$150"}</definedName>
    <definedName name="расчет" localSheetId="50" hidden="1">{"'РП (2)'!$A$5:$S$150"}</definedName>
    <definedName name="расчет" localSheetId="46" hidden="1">{"'РП (2)'!$A$5:$S$150"}</definedName>
    <definedName name="расчет" hidden="1">{"'РП (2)'!$A$5:$S$150"}</definedName>
    <definedName name="рол" localSheetId="41" hidden="1">{"'РП (2)'!$A$5:$S$150"}</definedName>
    <definedName name="рол" localSheetId="42" hidden="1">{"'РП (2)'!$A$5:$S$150"}</definedName>
    <definedName name="рол" localSheetId="50" hidden="1">{"'РП (2)'!$A$5:$S$150"}</definedName>
    <definedName name="рол" localSheetId="46" hidden="1">{"'РП (2)'!$A$5:$S$150"}</definedName>
    <definedName name="рол" hidden="1">{"'РП (2)'!$A$5:$S$150"}</definedName>
    <definedName name="ролдж" localSheetId="41" hidden="1">{"'РП (2)'!$A$5:$S$150"}</definedName>
    <definedName name="ролдж" localSheetId="42" hidden="1">{"'РП (2)'!$A$5:$S$150"}</definedName>
    <definedName name="ролдж" localSheetId="50" hidden="1">{"'РП (2)'!$A$5:$S$150"}</definedName>
    <definedName name="ролдж" localSheetId="46" hidden="1">{"'РП (2)'!$A$5:$S$150"}</definedName>
    <definedName name="ролдж" hidden="1">{"'РП (2)'!$A$5:$S$150"}</definedName>
    <definedName name="рп" localSheetId="41" hidden="1">{"'РП (2)'!$A$5:$S$150"}</definedName>
    <definedName name="рп" localSheetId="42" hidden="1">{"'РП (2)'!$A$5:$S$150"}</definedName>
    <definedName name="рп" localSheetId="50" hidden="1">{"'РП (2)'!$A$5:$S$150"}</definedName>
    <definedName name="рп" localSheetId="46" hidden="1">{"'РП (2)'!$A$5:$S$150"}</definedName>
    <definedName name="рп" hidden="1">{"'РП (2)'!$A$5:$S$150"}</definedName>
    <definedName name="рпо" localSheetId="41" hidden="1">{"'РП (2)'!$A$5:$S$150"}</definedName>
    <definedName name="рпо" localSheetId="42" hidden="1">{"'РП (2)'!$A$5:$S$150"}</definedName>
    <definedName name="рпо" localSheetId="50" hidden="1">{"'РП (2)'!$A$5:$S$150"}</definedName>
    <definedName name="рпо" localSheetId="46" hidden="1">{"'РП (2)'!$A$5:$S$150"}</definedName>
    <definedName name="рпо" hidden="1">{"'РП (2)'!$A$5:$S$150"}</definedName>
    <definedName name="рр" localSheetId="41" hidden="1">{"'РП (2)'!$A$5:$S$150"}</definedName>
    <definedName name="рр" localSheetId="42" hidden="1">{"'РП (2)'!$A$5:$S$150"}</definedName>
    <definedName name="рр" localSheetId="50" hidden="1">{"'РП (2)'!$A$5:$S$150"}</definedName>
    <definedName name="рр" localSheetId="46" hidden="1">{"'РП (2)'!$A$5:$S$150"}</definedName>
    <definedName name="рр" hidden="1">{"'РП (2)'!$A$5:$S$150"}</definedName>
    <definedName name="рррр" localSheetId="41" hidden="1">{"'РП (2)'!$A$5:$S$150"}</definedName>
    <definedName name="рррр" localSheetId="42" hidden="1">{"'РП (2)'!$A$5:$S$150"}</definedName>
    <definedName name="рррр" localSheetId="50" hidden="1">{"'РП (2)'!$A$5:$S$150"}</definedName>
    <definedName name="рррр" localSheetId="46" hidden="1">{"'РП (2)'!$A$5:$S$150"}</definedName>
    <definedName name="рррр" hidden="1">{"'РП (2)'!$A$5:$S$150"}</definedName>
    <definedName name="ррррррр" localSheetId="41" hidden="1">{"'РП (2)'!$A$5:$S$150"}</definedName>
    <definedName name="ррррррр" localSheetId="42" hidden="1">{"'РП (2)'!$A$5:$S$150"}</definedName>
    <definedName name="ррррррр" localSheetId="50" hidden="1">{"'РП (2)'!$A$5:$S$150"}</definedName>
    <definedName name="ррррррр" localSheetId="46" hidden="1">{"'РП (2)'!$A$5:$S$150"}</definedName>
    <definedName name="ррррррр" hidden="1">{"'РП (2)'!$A$5:$S$150"}</definedName>
    <definedName name="руков" localSheetId="41" hidden="1">{"'РП (2)'!$A$5:$S$150"}</definedName>
    <definedName name="руков" localSheetId="42" hidden="1">{"'РП (2)'!$A$5:$S$150"}</definedName>
    <definedName name="руков" localSheetId="50" hidden="1">{"'РП (2)'!$A$5:$S$150"}</definedName>
    <definedName name="руков" localSheetId="46" hidden="1">{"'РП (2)'!$A$5:$S$150"}</definedName>
    <definedName name="руков" hidden="1">{"'РП (2)'!$A$5:$S$150"}</definedName>
    <definedName name="Свод" localSheetId="41" hidden="1">{"'РП (2)'!$A$5:$S$150"}</definedName>
    <definedName name="Свод" localSheetId="42" hidden="1">{"'РП (2)'!$A$5:$S$150"}</definedName>
    <definedName name="Свод" localSheetId="50" hidden="1">{"'РП (2)'!$A$5:$S$150"}</definedName>
    <definedName name="Свод" localSheetId="46" hidden="1">{"'РП (2)'!$A$5:$S$150"}</definedName>
    <definedName name="Свод" hidden="1">{"'РП (2)'!$A$5:$S$150"}</definedName>
    <definedName name="совм" localSheetId="41" hidden="1">{"'РП (2)'!$A$5:$S$150"}</definedName>
    <definedName name="совм" localSheetId="42" hidden="1">{"'РП (2)'!$A$5:$S$150"}</definedName>
    <definedName name="совм" localSheetId="50" hidden="1">{"'РП (2)'!$A$5:$S$150"}</definedName>
    <definedName name="совм" localSheetId="46" hidden="1">{"'РП (2)'!$A$5:$S$150"}</definedName>
    <definedName name="совм" hidden="1">{"'РП (2)'!$A$5:$S$150"}</definedName>
    <definedName name="соц.льготы" localSheetId="41" hidden="1">{"'РП (2)'!$A$5:$S$150"}</definedName>
    <definedName name="соц.льготы" localSheetId="42" hidden="1">{"'РП (2)'!$A$5:$S$150"}</definedName>
    <definedName name="соц.льготы" localSheetId="50" hidden="1">{"'РП (2)'!$A$5:$S$150"}</definedName>
    <definedName name="соц.льготы" localSheetId="46" hidden="1">{"'РП (2)'!$A$5:$S$150"}</definedName>
    <definedName name="соц.льготы" hidden="1">{"'РП (2)'!$A$5:$S$150"}</definedName>
    <definedName name="Справка" localSheetId="41" hidden="1">{"'РП (2)'!$A$5:$S$150"}</definedName>
    <definedName name="Справка" localSheetId="42" hidden="1">{"'РП (2)'!$A$5:$S$150"}</definedName>
    <definedName name="Справка" localSheetId="50" hidden="1">{"'РП (2)'!$A$5:$S$150"}</definedName>
    <definedName name="Справка" localSheetId="46" hidden="1">{"'РП (2)'!$A$5:$S$150"}</definedName>
    <definedName name="Справка" hidden="1">{"'РП (2)'!$A$5:$S$150"}</definedName>
    <definedName name="Татьяна" localSheetId="41" hidden="1">{"'РП (2)'!$A$5:$S$150"}</definedName>
    <definedName name="Татьяна" localSheetId="42" hidden="1">{"'РП (2)'!$A$5:$S$150"}</definedName>
    <definedName name="Татьяна" localSheetId="50" hidden="1">{"'РП (2)'!$A$5:$S$150"}</definedName>
    <definedName name="Татьяна" localSheetId="46" hidden="1">{"'РП (2)'!$A$5:$S$150"}</definedName>
    <definedName name="Татьяна" hidden="1">{"'РП (2)'!$A$5:$S$150"}</definedName>
    <definedName name="тт" localSheetId="41" hidden="1">{"'РП (2)'!$A$5:$S$150"}</definedName>
    <definedName name="тт" localSheetId="42" hidden="1">{"'РП (2)'!$A$5:$S$150"}</definedName>
    <definedName name="тт" localSheetId="50" hidden="1">{"'РП (2)'!$A$5:$S$150"}</definedName>
    <definedName name="тт" localSheetId="46" hidden="1">{"'РП (2)'!$A$5:$S$150"}</definedName>
    <definedName name="тт" hidden="1">{"'РП (2)'!$A$5:$S$150"}</definedName>
    <definedName name="тьб" localSheetId="41" hidden="1">{"'РП (2)'!$A$5:$S$150"}</definedName>
    <definedName name="тьб" localSheetId="42" hidden="1">{"'РП (2)'!$A$5:$S$150"}</definedName>
    <definedName name="тьб" localSheetId="50" hidden="1">{"'РП (2)'!$A$5:$S$150"}</definedName>
    <definedName name="тьб" localSheetId="46" hidden="1">{"'РП (2)'!$A$5:$S$150"}</definedName>
    <definedName name="тьб" hidden="1">{"'РП (2)'!$A$5:$S$150"}</definedName>
    <definedName name="тэп" localSheetId="41" hidden="1">{"'РП (2)'!$A$5:$S$150"}</definedName>
    <definedName name="тэп" localSheetId="42" hidden="1">{"'РП (2)'!$A$5:$S$150"}</definedName>
    <definedName name="тэп" localSheetId="50" hidden="1">{"'РП (2)'!$A$5:$S$150"}</definedName>
    <definedName name="тэп" localSheetId="46" hidden="1">{"'РП (2)'!$A$5:$S$150"}</definedName>
    <definedName name="тэп" hidden="1">{"'РП (2)'!$A$5:$S$150"}</definedName>
    <definedName name="ук" localSheetId="41" hidden="1">{"'РП (2)'!$A$5:$S$150"}</definedName>
    <definedName name="ук" localSheetId="42" hidden="1">{"'РП (2)'!$A$5:$S$150"}</definedName>
    <definedName name="ук" localSheetId="50" hidden="1">{"'РП (2)'!$A$5:$S$150"}</definedName>
    <definedName name="ук" localSheetId="46" hidden="1">{"'РП (2)'!$A$5:$S$150"}</definedName>
    <definedName name="ук" hidden="1">{"'РП (2)'!$A$5:$S$150"}</definedName>
    <definedName name="уу" localSheetId="41" hidden="1">{"'РП (2)'!$A$5:$S$150"}</definedName>
    <definedName name="уу" localSheetId="42" hidden="1">{"'РП (2)'!$A$5:$S$150"}</definedName>
    <definedName name="уу" localSheetId="50" hidden="1">{"'РП (2)'!$A$5:$S$150"}</definedName>
    <definedName name="уу" localSheetId="46" hidden="1">{"'РП (2)'!$A$5:$S$150"}</definedName>
    <definedName name="уу" hidden="1">{"'РП (2)'!$A$5:$S$150"}</definedName>
    <definedName name="уцк" localSheetId="41" hidden="1">{"'РП (2)'!$A$5:$S$150"}</definedName>
    <definedName name="уцк" localSheetId="42" hidden="1">{"'РП (2)'!$A$5:$S$150"}</definedName>
    <definedName name="уцк" localSheetId="50" hidden="1">{"'РП (2)'!$A$5:$S$150"}</definedName>
    <definedName name="уцк" localSheetId="46" hidden="1">{"'РП (2)'!$A$5:$S$150"}</definedName>
    <definedName name="уцк" hidden="1">{"'РП (2)'!$A$5:$S$150"}</definedName>
    <definedName name="ФОТмай" localSheetId="41" hidden="1">{"'РП (2)'!$A$5:$S$150"}</definedName>
    <definedName name="ФОТмай" localSheetId="42" hidden="1">{"'РП (2)'!$A$5:$S$150"}</definedName>
    <definedName name="ФОТмай" localSheetId="50" hidden="1">{"'РП (2)'!$A$5:$S$150"}</definedName>
    <definedName name="ФОТмай" localSheetId="46" hidden="1">{"'РП (2)'!$A$5:$S$150"}</definedName>
    <definedName name="ФОТмай" hidden="1">{"'РП (2)'!$A$5:$S$150"}</definedName>
    <definedName name="фц" localSheetId="41" hidden="1">{"'РП (2)'!$A$5:$S$150"}</definedName>
    <definedName name="фц" localSheetId="42" hidden="1">{"'РП (2)'!$A$5:$S$150"}</definedName>
    <definedName name="фц" localSheetId="50" hidden="1">{"'РП (2)'!$A$5:$S$150"}</definedName>
    <definedName name="фц" localSheetId="46" hidden="1">{"'РП (2)'!$A$5:$S$150"}</definedName>
    <definedName name="фц" hidden="1">{"'РП (2)'!$A$5:$S$150"}</definedName>
    <definedName name="ххххх" localSheetId="41" hidden="1">{"'РП (2)'!$A$5:$S$150"}</definedName>
    <definedName name="ххххх" localSheetId="42" hidden="1">{"'РП (2)'!$A$5:$S$150"}</definedName>
    <definedName name="ххххх" localSheetId="50" hidden="1">{"'РП (2)'!$A$5:$S$150"}</definedName>
    <definedName name="ххххх" localSheetId="46" hidden="1">{"'РП (2)'!$A$5:$S$150"}</definedName>
    <definedName name="ххххх" hidden="1">{"'РП (2)'!$A$5:$S$150"}</definedName>
    <definedName name="цв" localSheetId="41" hidden="1">{"'РП (2)'!$A$5:$S$150"}</definedName>
    <definedName name="цв" localSheetId="42" hidden="1">{"'РП (2)'!$A$5:$S$150"}</definedName>
    <definedName name="цв" localSheetId="50" hidden="1">{"'РП (2)'!$A$5:$S$150"}</definedName>
    <definedName name="цв" localSheetId="46" hidden="1">{"'РП (2)'!$A$5:$S$150"}</definedName>
    <definedName name="цв" hidden="1">{"'РП (2)'!$A$5:$S$150"}</definedName>
    <definedName name="цк" localSheetId="41" hidden="1">{"'РП (2)'!$A$5:$S$150"}</definedName>
    <definedName name="цк" localSheetId="42" hidden="1">{"'РП (2)'!$A$5:$S$150"}</definedName>
    <definedName name="цк" localSheetId="50" hidden="1">{"'РП (2)'!$A$5:$S$150"}</definedName>
    <definedName name="цк" localSheetId="46" hidden="1">{"'РП (2)'!$A$5:$S$150"}</definedName>
    <definedName name="цк" hidden="1">{"'РП (2)'!$A$5:$S$150"}</definedName>
    <definedName name="цф" localSheetId="41" hidden="1">{"'РП (2)'!$A$5:$S$150"}</definedName>
    <definedName name="цф" localSheetId="42" hidden="1">{"'РП (2)'!$A$5:$S$150"}</definedName>
    <definedName name="цф" localSheetId="50" hidden="1">{"'РП (2)'!$A$5:$S$150"}</definedName>
    <definedName name="цф" localSheetId="46" hidden="1">{"'РП (2)'!$A$5:$S$150"}</definedName>
    <definedName name="цф" hidden="1">{"'РП (2)'!$A$5:$S$150"}</definedName>
    <definedName name="цц" localSheetId="41" hidden="1">{"'РП (2)'!$A$5:$S$150"}</definedName>
    <definedName name="цц" localSheetId="42" hidden="1">{"'РП (2)'!$A$5:$S$150"}</definedName>
    <definedName name="цц" localSheetId="50" hidden="1">{"'РП (2)'!$A$5:$S$150"}</definedName>
    <definedName name="цц" localSheetId="46" hidden="1">{"'РП (2)'!$A$5:$S$150"}</definedName>
    <definedName name="цц" hidden="1">{"'РП (2)'!$A$5:$S$150"}</definedName>
    <definedName name="ццц" localSheetId="41" hidden="1">{"'РП (2)'!$A$5:$S$150"}</definedName>
    <definedName name="ццц" localSheetId="42" hidden="1">{"'РП (2)'!$A$5:$S$150"}</definedName>
    <definedName name="ццц" localSheetId="50" hidden="1">{"'РП (2)'!$A$5:$S$150"}</definedName>
    <definedName name="ццц" localSheetId="46" hidden="1">{"'РП (2)'!$A$5:$S$150"}</definedName>
    <definedName name="ццц" hidden="1">{"'РП (2)'!$A$5:$S$150"}</definedName>
    <definedName name="шгзлхз" localSheetId="41" hidden="1">{"'РП (2)'!$A$5:$S$150"}</definedName>
    <definedName name="шгзлхз" localSheetId="42" hidden="1">{"'РП (2)'!$A$5:$S$150"}</definedName>
    <definedName name="шгзлхз" localSheetId="50" hidden="1">{"'РП (2)'!$A$5:$S$150"}</definedName>
    <definedName name="шгзлхз" localSheetId="46" hidden="1">{"'РП (2)'!$A$5:$S$150"}</definedName>
    <definedName name="шгзлхз" hidden="1">{"'РП (2)'!$A$5:$S$150"}</definedName>
    <definedName name="шгзщш" localSheetId="41" hidden="1">{"'РП (2)'!$A$5:$S$150"}</definedName>
    <definedName name="шгзщш" localSheetId="42" hidden="1">{"'РП (2)'!$A$5:$S$150"}</definedName>
    <definedName name="шгзщш" localSheetId="50" hidden="1">{"'РП (2)'!$A$5:$S$150"}</definedName>
    <definedName name="шгзщш" localSheetId="46" hidden="1">{"'РП (2)'!$A$5:$S$150"}</definedName>
    <definedName name="шгзщш" hidden="1">{"'РП (2)'!$A$5:$S$150"}</definedName>
    <definedName name="шгн" localSheetId="41" hidden="1">{"'РП (2)'!$A$5:$S$150"}</definedName>
    <definedName name="шгн" localSheetId="42" hidden="1">{"'РП (2)'!$A$5:$S$150"}</definedName>
    <definedName name="шгн" localSheetId="50" hidden="1">{"'РП (2)'!$A$5:$S$150"}</definedName>
    <definedName name="шгн" localSheetId="46" hidden="1">{"'РП (2)'!$A$5:$S$150"}</definedName>
    <definedName name="шгн" hidden="1">{"'РП (2)'!$A$5:$S$150"}</definedName>
    <definedName name="шгшгшг" localSheetId="41" hidden="1">{"'РП (2)'!$A$5:$S$150"}</definedName>
    <definedName name="шгшгшг" localSheetId="42" hidden="1">{"'РП (2)'!$A$5:$S$150"}</definedName>
    <definedName name="шгшгшг" localSheetId="50" hidden="1">{"'РП (2)'!$A$5:$S$150"}</definedName>
    <definedName name="шгшгшг" localSheetId="46" hidden="1">{"'РП (2)'!$A$5:$S$150"}</definedName>
    <definedName name="шгшгшг" hidden="1">{"'РП (2)'!$A$5:$S$150"}</definedName>
    <definedName name="шшрш" localSheetId="41" hidden="1">{"'РП (2)'!$A$5:$S$150"}</definedName>
    <definedName name="шшрш" localSheetId="42" hidden="1">{"'РП (2)'!$A$5:$S$150"}</definedName>
    <definedName name="шшрш" localSheetId="50" hidden="1">{"'РП (2)'!$A$5:$S$150"}</definedName>
    <definedName name="шшрш" localSheetId="46" hidden="1">{"'РП (2)'!$A$5:$S$150"}</definedName>
    <definedName name="шшрш" hidden="1">{"'РП (2)'!$A$5:$S$150"}</definedName>
    <definedName name="шшшшш" localSheetId="41" hidden="1">{"'РП (2)'!$A$5:$S$150"}</definedName>
    <definedName name="шшшшш" localSheetId="42" hidden="1">{"'РП (2)'!$A$5:$S$150"}</definedName>
    <definedName name="шшшшш" localSheetId="50" hidden="1">{"'РП (2)'!$A$5:$S$150"}</definedName>
    <definedName name="шшшшш" localSheetId="46" hidden="1">{"'РП (2)'!$A$5:$S$150"}</definedName>
    <definedName name="шшшшш" hidden="1">{"'РП (2)'!$A$5:$S$150"}</definedName>
    <definedName name="щр" localSheetId="41" hidden="1">{"'РП (2)'!$A$5:$S$150"}</definedName>
    <definedName name="щр" localSheetId="42" hidden="1">{"'РП (2)'!$A$5:$S$150"}</definedName>
    <definedName name="щр" localSheetId="50" hidden="1">{"'РП (2)'!$A$5:$S$150"}</definedName>
    <definedName name="щр" localSheetId="46" hidden="1">{"'РП (2)'!$A$5:$S$150"}</definedName>
    <definedName name="щр" hidden="1">{"'РП (2)'!$A$5:$S$150"}</definedName>
    <definedName name="щшоджл" localSheetId="41" hidden="1">{"'РП (2)'!$A$5:$S$150"}</definedName>
    <definedName name="щшоджл" localSheetId="42" hidden="1">{"'РП (2)'!$A$5:$S$150"}</definedName>
    <definedName name="щшоджл" localSheetId="50" hidden="1">{"'РП (2)'!$A$5:$S$150"}</definedName>
    <definedName name="щшоджл" localSheetId="46" hidden="1">{"'РП (2)'!$A$5:$S$150"}</definedName>
    <definedName name="щшоджл" hidden="1">{"'РП (2)'!$A$5:$S$150"}</definedName>
    <definedName name="щщ" localSheetId="41" hidden="1">{"'РП (2)'!$A$5:$S$150"}</definedName>
    <definedName name="щщ" localSheetId="42" hidden="1">{"'РП (2)'!$A$5:$S$150"}</definedName>
    <definedName name="щщ" localSheetId="50" hidden="1">{"'РП (2)'!$A$5:$S$150"}</definedName>
    <definedName name="щщ" localSheetId="46" hidden="1">{"'РП (2)'!$A$5:$S$150"}</definedName>
    <definedName name="щщ" hidden="1">{"'РП (2)'!$A$5:$S$150"}</definedName>
    <definedName name="щщощщ" localSheetId="41" hidden="1">{"'РП (2)'!$A$5:$S$150"}</definedName>
    <definedName name="щщощщ" localSheetId="42" hidden="1">{"'РП (2)'!$A$5:$S$150"}</definedName>
    <definedName name="щщощщ" localSheetId="50" hidden="1">{"'РП (2)'!$A$5:$S$150"}</definedName>
    <definedName name="щщощщ" localSheetId="46" hidden="1">{"'РП (2)'!$A$5:$S$150"}</definedName>
    <definedName name="щщощщ" hidden="1">{"'РП (2)'!$A$5:$S$150"}</definedName>
    <definedName name="ъжъждоп" localSheetId="41" hidden="1">{"'РП (2)'!$A$5:$S$150"}</definedName>
    <definedName name="ъжъждоп" localSheetId="42" hidden="1">{"'РП (2)'!$A$5:$S$150"}</definedName>
    <definedName name="ъжъждоп" localSheetId="50" hidden="1">{"'РП (2)'!$A$5:$S$150"}</definedName>
    <definedName name="ъжъждоп" localSheetId="46" hidden="1">{"'РП (2)'!$A$5:$S$150"}</definedName>
    <definedName name="ъжъждоп" hidden="1">{"'РП (2)'!$A$5:$S$150"}</definedName>
    <definedName name="ъхз" localSheetId="41" hidden="1">{"'РП (2)'!$A$5:$S$150"}</definedName>
    <definedName name="ъхз" localSheetId="42" hidden="1">{"'РП (2)'!$A$5:$S$150"}</definedName>
    <definedName name="ъхз" localSheetId="50" hidden="1">{"'РП (2)'!$A$5:$S$150"}</definedName>
    <definedName name="ъхз" localSheetId="46" hidden="1">{"'РП (2)'!$A$5:$S$150"}</definedName>
    <definedName name="ъхз" hidden="1">{"'РП (2)'!$A$5:$S$150"}</definedName>
    <definedName name="ъъъъъ" localSheetId="41" hidden="1">{"'РП (2)'!$A$5:$S$150"}</definedName>
    <definedName name="ъъъъъ" localSheetId="42" hidden="1">{"'РП (2)'!$A$5:$S$150"}</definedName>
    <definedName name="ъъъъъ" localSheetId="50" hidden="1">{"'РП (2)'!$A$5:$S$150"}</definedName>
    <definedName name="ъъъъъ" localSheetId="46" hidden="1">{"'РП (2)'!$A$5:$S$150"}</definedName>
    <definedName name="ъъъъъ" hidden="1">{"'РП (2)'!$A$5:$S$150"}</definedName>
    <definedName name="ыпм" localSheetId="41" hidden="1">{"'РП (2)'!$A$5:$S$150"}</definedName>
    <definedName name="ыпм" localSheetId="42" hidden="1">{"'РП (2)'!$A$5:$S$150"}</definedName>
    <definedName name="ыпм" localSheetId="50" hidden="1">{"'РП (2)'!$A$5:$S$150"}</definedName>
    <definedName name="ыпм" localSheetId="46" hidden="1">{"'РП (2)'!$A$5:$S$150"}</definedName>
    <definedName name="ыпм" hidden="1">{"'РП (2)'!$A$5:$S$150"}</definedName>
    <definedName name="ыыы" localSheetId="41" hidden="1">{"'РП (2)'!$A$5:$S$150"}</definedName>
    <definedName name="ыыы" localSheetId="42" hidden="1">{"'РП (2)'!$A$5:$S$150"}</definedName>
    <definedName name="ыыы" localSheetId="50" hidden="1">{"'РП (2)'!$A$5:$S$150"}</definedName>
    <definedName name="ыыы" localSheetId="46" hidden="1">{"'РП (2)'!$A$5:$S$150"}</definedName>
    <definedName name="ыыы" hidden="1">{"'РП (2)'!$A$5:$S$150"}</definedName>
    <definedName name="э" localSheetId="41" hidden="1">{"'РП (2)'!$A$5:$S$150"}</definedName>
    <definedName name="э" localSheetId="42" hidden="1">{"'РП (2)'!$A$5:$S$150"}</definedName>
    <definedName name="э" localSheetId="50" hidden="1">{"'РП (2)'!$A$5:$S$150"}</definedName>
    <definedName name="э" localSheetId="46" hidden="1">{"'РП (2)'!$A$5:$S$150"}</definedName>
    <definedName name="э" hidden="1">{"'РП (2)'!$A$5:$S$150"}</definedName>
    <definedName name="эж" localSheetId="41" hidden="1">{"'РП (2)'!$A$5:$S$150"}</definedName>
    <definedName name="эж" localSheetId="42" hidden="1">{"'РП (2)'!$A$5:$S$150"}</definedName>
    <definedName name="эж" localSheetId="50" hidden="1">{"'РП (2)'!$A$5:$S$150"}</definedName>
    <definedName name="эж" localSheetId="46" hidden="1">{"'РП (2)'!$A$5:$S$150"}</definedName>
    <definedName name="эж" hidden="1">{"'РП (2)'!$A$5:$S$150"}</definedName>
    <definedName name="эжд" localSheetId="41" hidden="1">{"'РП (2)'!$A$5:$S$150"}</definedName>
    <definedName name="эжд" localSheetId="42" hidden="1">{"'РП (2)'!$A$5:$S$150"}</definedName>
    <definedName name="эжд" localSheetId="50" hidden="1">{"'РП (2)'!$A$5:$S$150"}</definedName>
    <definedName name="эжд" localSheetId="46" hidden="1">{"'РП (2)'!$A$5:$S$150"}</definedName>
    <definedName name="эжд" hidden="1">{"'РП (2)'!$A$5:$S$150"}</definedName>
    <definedName name="эзп" localSheetId="41" hidden="1">{"'РП (2)'!$A$5:$S$150"}</definedName>
    <definedName name="эзп" localSheetId="42" hidden="1">{"'РП (2)'!$A$5:$S$150"}</definedName>
    <definedName name="эзп" localSheetId="50" hidden="1">{"'РП (2)'!$A$5:$S$150"}</definedName>
    <definedName name="эзп" localSheetId="46" hidden="1">{"'РП (2)'!$A$5:$S$150"}</definedName>
    <definedName name="эзп" hidden="1">{"'РП (2)'!$A$5:$S$150"}</definedName>
    <definedName name="ээээээ" localSheetId="41" hidden="1">{"'РП (2)'!$A$5:$S$150"}</definedName>
    <definedName name="ээээээ" localSheetId="42" hidden="1">{"'РП (2)'!$A$5:$S$150"}</definedName>
    <definedName name="ээээээ" localSheetId="50" hidden="1">{"'РП (2)'!$A$5:$S$150"}</definedName>
    <definedName name="ээээээ" localSheetId="46" hidden="1">{"'РП (2)'!$A$5:$S$150"}</definedName>
    <definedName name="ээээээ" hidden="1">{"'РП (2)'!$A$5:$S$150"}</definedName>
    <definedName name="юбилей" localSheetId="41" hidden="1">{"'РП (2)'!$A$5:$S$150"}</definedName>
    <definedName name="юбилей" localSheetId="42" hidden="1">{"'РП (2)'!$A$5:$S$150"}</definedName>
    <definedName name="юбилей" localSheetId="50" hidden="1">{"'РП (2)'!$A$5:$S$150"}</definedName>
    <definedName name="юбилей" localSheetId="46" hidden="1">{"'РП (2)'!$A$5:$S$150"}</definedName>
    <definedName name="юбилей" hidden="1">{"'РП (2)'!$A$5:$S$150"}</definedName>
    <definedName name="юююююю" localSheetId="41" hidden="1">{"'РП (2)'!$A$5:$S$150"}</definedName>
    <definedName name="юююююю" localSheetId="42" hidden="1">{"'РП (2)'!$A$5:$S$150"}</definedName>
    <definedName name="юююююю" localSheetId="50" hidden="1">{"'РП (2)'!$A$5:$S$150"}</definedName>
    <definedName name="юююююю" localSheetId="46" hidden="1">{"'РП (2)'!$A$5:$S$150"}</definedName>
    <definedName name="юююююю" hidden="1">{"'РП (2)'!$A$5:$S$150"}</definedName>
    <definedName name="я" localSheetId="41" hidden="1">{"'РП (2)'!$A$5:$S$150"}</definedName>
    <definedName name="я" localSheetId="42" hidden="1">{"'РП (2)'!$A$5:$S$150"}</definedName>
    <definedName name="я" localSheetId="50" hidden="1">{"'РП (2)'!$A$5:$S$150"}</definedName>
    <definedName name="я" localSheetId="46" hidden="1">{"'РП (2)'!$A$5:$S$150"}</definedName>
    <definedName name="я" hidden="1">{"'РП (2)'!$A$5:$S$150"}</definedName>
    <definedName name="Январь" localSheetId="41" hidden="1">{"'РП (2)'!$A$5:$S$150"}</definedName>
    <definedName name="Январь" localSheetId="42" hidden="1">{"'РП (2)'!$A$5:$S$150"}</definedName>
    <definedName name="Январь" localSheetId="50" hidden="1">{"'РП (2)'!$A$5:$S$150"}</definedName>
    <definedName name="Январь" localSheetId="46" hidden="1">{"'РП (2)'!$A$5:$S$150"}</definedName>
    <definedName name="Январь" hidden="1">{"'РП (2)'!$A$5:$S$150"}</definedName>
    <definedName name="яяя" localSheetId="41" hidden="1">{"'РП (2)'!$A$5:$S$150"}</definedName>
    <definedName name="яяя" localSheetId="42" hidden="1">{"'РП (2)'!$A$5:$S$150"}</definedName>
    <definedName name="яяя" localSheetId="50" hidden="1">{"'РП (2)'!$A$5:$S$150"}</definedName>
    <definedName name="яяя" localSheetId="46" hidden="1">{"'РП (2)'!$A$5:$S$150"}</definedName>
    <definedName name="яяя" hidden="1">{"'РП (2)'!$A$5:$S$150"}</definedName>
    <definedName name="손익" hidden="1">#REF!</definedName>
    <definedName name="ㅇ" hidden="1">#REF!</definedName>
    <definedName name="어" hidden="1">#REF!</definedName>
    <definedName name="자" hidden="1">#REF!</definedName>
  </definedNames>
  <calcPr calcId="191028"/>
  <pivotCaches>
    <pivotCache cacheId="43" r:id="rId75"/>
    <pivotCache cacheId="44" r:id="rId76"/>
    <pivotCache cacheId="45" r:id="rId77"/>
    <pivotCache cacheId="46" r:id="rId78"/>
    <pivotCache cacheId="47" r:id="rId79"/>
    <pivotCache cacheId="48" r:id="rId80"/>
    <pivotCache cacheId="49" r:id="rId81"/>
    <pivotCache cacheId="50" r:id="rId82"/>
    <pivotCache cacheId="51" r:id="rId83"/>
    <pivotCache cacheId="52" r:id="rId84"/>
    <pivotCache cacheId="53" r:id="rId85"/>
    <pivotCache cacheId="54" r:id="rId8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9" i="10" l="1"/>
  <c r="H65" i="18"/>
  <c r="E46" i="31" l="1"/>
  <c r="I175" i="1"/>
  <c r="F115" i="18"/>
  <c r="I109" i="21" l="1"/>
  <c r="M253" i="19"/>
  <c r="M255" i="19"/>
  <c r="AE282" i="1"/>
  <c r="AE96" i="1"/>
  <c r="J75" i="17" l="1"/>
  <c r="I75" i="17"/>
  <c r="G128" i="22"/>
  <c r="G127" i="22"/>
  <c r="F3" i="12"/>
  <c r="K213" i="22"/>
  <c r="L213" i="22" s="1"/>
  <c r="G213" i="22"/>
  <c r="L212" i="22"/>
  <c r="G212" i="22"/>
  <c r="K209" i="22"/>
  <c r="L209" i="22" s="1"/>
  <c r="G209" i="22"/>
  <c r="L208" i="22"/>
  <c r="G208" i="22"/>
  <c r="K205" i="22"/>
  <c r="L205" i="22" s="1"/>
  <c r="G205" i="22"/>
  <c r="L204" i="22"/>
  <c r="G204" i="22"/>
  <c r="K201" i="22"/>
  <c r="L201" i="22" s="1"/>
  <c r="G201" i="22"/>
  <c r="L200" i="22"/>
  <c r="G200" i="22"/>
  <c r="G197" i="22"/>
  <c r="K197" i="22"/>
  <c r="L197" i="22" s="1"/>
  <c r="L196" i="22"/>
  <c r="G196" i="22"/>
  <c r="E78" i="17" l="1"/>
  <c r="H66" i="22"/>
  <c r="G797" i="18"/>
  <c r="I797" i="18"/>
  <c r="E79" i="17"/>
  <c r="AO367" i="1"/>
  <c r="AO365" i="1"/>
  <c r="K34" i="17" l="1"/>
  <c r="I94" i="22"/>
  <c r="V34" i="7"/>
  <c r="V20" i="7"/>
  <c r="V16" i="7"/>
  <c r="V15" i="7"/>
  <c r="V14" i="7"/>
  <c r="V13" i="7"/>
  <c r="V9" i="7"/>
  <c r="H229" i="22"/>
  <c r="H54" i="22"/>
  <c r="G242" i="22"/>
  <c r="H410" i="18"/>
  <c r="H412" i="18" s="1"/>
  <c r="I412" i="18"/>
  <c r="I414" i="18" s="1"/>
  <c r="J411" i="18"/>
  <c r="J409" i="18"/>
  <c r="G412" i="18"/>
  <c r="G414" i="18" s="1"/>
  <c r="F412" i="18"/>
  <c r="F414" i="18" s="1"/>
  <c r="J410" i="18" l="1"/>
  <c r="H414" i="18"/>
  <c r="I395" i="18"/>
  <c r="I394" i="18"/>
  <c r="I393" i="18"/>
  <c r="N341" i="18" l="1"/>
  <c r="M341" i="18"/>
  <c r="F344" i="18"/>
  <c r="F338" i="18"/>
  <c r="F337" i="18"/>
  <c r="Q326" i="18"/>
  <c r="O319" i="18"/>
  <c r="O317" i="18"/>
  <c r="O316" i="18" s="1"/>
  <c r="O315" i="18"/>
  <c r="M327" i="18"/>
  <c r="H326" i="18" s="1"/>
  <c r="H327" i="10"/>
  <c r="N315" i="18"/>
  <c r="N317" i="18"/>
  <c r="N316" i="18"/>
  <c r="K324" i="10"/>
  <c r="N299" i="18"/>
  <c r="M298" i="18"/>
  <c r="M299" i="18" s="1"/>
  <c r="F299" i="18" l="1"/>
  <c r="F217" i="18" l="1"/>
  <c r="G217" i="18"/>
  <c r="F181" i="18"/>
  <c r="G71" i="18"/>
  <c r="O55" i="18"/>
  <c r="N55" i="18"/>
  <c r="O49" i="18"/>
  <c r="N49" i="18"/>
  <c r="H100" i="22"/>
  <c r="G101" i="22"/>
  <c r="J100" i="22"/>
  <c r="I101" i="22" s="1"/>
  <c r="L101" i="22" s="1"/>
  <c r="G100" i="22"/>
  <c r="I67" i="22"/>
  <c r="L67" i="22" s="1"/>
  <c r="G67" i="22"/>
  <c r="G66" i="22"/>
  <c r="L66" i="22" l="1"/>
  <c r="O60" i="18"/>
  <c r="N60" i="18"/>
  <c r="L100" i="22"/>
  <c r="F49" i="18" s="1"/>
  <c r="G72" i="18" l="1"/>
  <c r="K73" i="21"/>
  <c r="J74" i="21"/>
  <c r="K74" i="21" s="1"/>
  <c r="F74" i="21"/>
  <c r="F73" i="21"/>
  <c r="AW98" i="1"/>
  <c r="AR98" i="1"/>
  <c r="AS98" i="1"/>
  <c r="AJ98" i="1"/>
  <c r="AK98" i="1"/>
  <c r="AF98" i="1"/>
  <c r="AG98" i="1"/>
  <c r="Z98" i="1"/>
  <c r="AA98" i="1"/>
  <c r="AB98" i="1"/>
  <c r="N98" i="1"/>
  <c r="Q98" i="1" s="1"/>
  <c r="I98" i="1"/>
  <c r="J98" i="1"/>
  <c r="K98" i="1"/>
  <c r="AL98" i="1" l="1"/>
  <c r="AT98" i="1"/>
  <c r="AC98" i="1"/>
  <c r="L98" i="1"/>
  <c r="S98" i="1" s="1"/>
  <c r="T98" i="1" s="1"/>
  <c r="G132" i="22" l="1"/>
  <c r="G131" i="22"/>
  <c r="C83" i="31" l="1"/>
  <c r="E71" i="31"/>
  <c r="G80" i="22"/>
  <c r="I247" i="22"/>
  <c r="G79" i="22"/>
  <c r="C13" i="30"/>
  <c r="C13" i="47"/>
  <c r="J68" i="1"/>
  <c r="I236" i="5" l="1"/>
  <c r="F70" i="10"/>
  <c r="F305" i="10"/>
  <c r="F303" i="18" s="1"/>
  <c r="F98" i="10"/>
  <c r="H85" i="5"/>
  <c r="F85" i="5"/>
  <c r="K84" i="5"/>
  <c r="K85" i="5"/>
  <c r="J69" i="1" s="1"/>
  <c r="F84" i="5"/>
  <c r="I80" i="5"/>
  <c r="H81" i="5" s="1"/>
  <c r="F81" i="5"/>
  <c r="F80" i="5"/>
  <c r="G712" i="10"/>
  <c r="G709" i="10"/>
  <c r="G707" i="10"/>
  <c r="G708" i="10"/>
  <c r="G710" i="10"/>
  <c r="G706" i="10"/>
  <c r="G705" i="10"/>
  <c r="G57" i="10" l="1"/>
  <c r="N38" i="9" l="1"/>
  <c r="E38" i="9"/>
  <c r="E35" i="8" s="1"/>
  <c r="I211" i="10" l="1"/>
  <c r="G713" i="10" l="1"/>
  <c r="K202" i="5"/>
  <c r="H203" i="5"/>
  <c r="K203" i="5" s="1"/>
  <c r="AF94" i="21" l="1"/>
  <c r="G140" i="5"/>
  <c r="I130" i="5"/>
  <c r="J136" i="5" l="1"/>
  <c r="J141" i="5"/>
  <c r="H146" i="5"/>
  <c r="F140" i="5" l="1"/>
  <c r="F141" i="5"/>
  <c r="I57" i="5" l="1"/>
  <c r="K57" i="5" s="1"/>
  <c r="I58" i="5"/>
  <c r="K58" i="5" s="1"/>
  <c r="I59" i="5"/>
  <c r="K59" i="5" s="1"/>
  <c r="I60" i="5"/>
  <c r="K60" i="5" s="1"/>
  <c r="I61" i="5"/>
  <c r="K61" i="5" s="1"/>
  <c r="I62" i="5"/>
  <c r="K62" i="5" s="1"/>
  <c r="I63" i="5"/>
  <c r="K63" i="5" s="1"/>
  <c r="I64" i="5"/>
  <c r="K64" i="5" s="1"/>
  <c r="I65" i="5"/>
  <c r="K65" i="5" s="1"/>
  <c r="I66" i="5"/>
  <c r="K66" i="5" s="1"/>
  <c r="I67" i="5"/>
  <c r="K67" i="5" s="1"/>
  <c r="I68" i="5"/>
  <c r="K68" i="5" s="1"/>
  <c r="I69" i="5"/>
  <c r="K69" i="5" s="1"/>
  <c r="I70" i="5"/>
  <c r="K70" i="5" s="1"/>
  <c r="I71" i="5"/>
  <c r="K71" i="5" s="1"/>
  <c r="I72" i="5"/>
  <c r="K72" i="5" s="1"/>
  <c r="I73" i="5"/>
  <c r="K73" i="5" s="1"/>
  <c r="I74" i="5"/>
  <c r="K74" i="5" s="1"/>
  <c r="I75" i="5"/>
  <c r="K75" i="5" s="1"/>
  <c r="I76" i="5"/>
  <c r="K76" i="5" s="1"/>
  <c r="I56" i="5"/>
  <c r="F57" i="5"/>
  <c r="F58" i="5"/>
  <c r="F59" i="5"/>
  <c r="F60" i="5"/>
  <c r="F61" i="5"/>
  <c r="F62" i="5"/>
  <c r="F63" i="5"/>
  <c r="F64" i="5"/>
  <c r="F65" i="5"/>
  <c r="F66" i="5"/>
  <c r="F67" i="5"/>
  <c r="F68" i="5"/>
  <c r="F69" i="5"/>
  <c r="F70" i="5"/>
  <c r="F71" i="5"/>
  <c r="F72" i="5"/>
  <c r="F73" i="5"/>
  <c r="F74" i="5"/>
  <c r="F75" i="5"/>
  <c r="F76" i="5"/>
  <c r="I105" i="21"/>
  <c r="I101" i="2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03"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272" i="1"/>
  <c r="AS262" i="1"/>
  <c r="AS263" i="1"/>
  <c r="AS264" i="1"/>
  <c r="AS265" i="1"/>
  <c r="AS266" i="1"/>
  <c r="AS267" i="1"/>
  <c r="AS268" i="1"/>
  <c r="AS269" i="1"/>
  <c r="AS252" i="1"/>
  <c r="AS253" i="1"/>
  <c r="AS254" i="1"/>
  <c r="AS255" i="1"/>
  <c r="AS256" i="1"/>
  <c r="AS257" i="1"/>
  <c r="AS258" i="1"/>
  <c r="AS259" i="1"/>
  <c r="AS261" i="1"/>
  <c r="AS251" i="1"/>
  <c r="AS237" i="1"/>
  <c r="AS238" i="1"/>
  <c r="AS239" i="1"/>
  <c r="AS240" i="1"/>
  <c r="AS241" i="1"/>
  <c r="AS242" i="1"/>
  <c r="AS243" i="1"/>
  <c r="AS244" i="1"/>
  <c r="AS245" i="1"/>
  <c r="AS246" i="1"/>
  <c r="AS247" i="1"/>
  <c r="AS248" i="1"/>
  <c r="AS236"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10" i="1"/>
  <c r="AS187" i="1"/>
  <c r="AS188" i="1"/>
  <c r="AS189" i="1"/>
  <c r="AS190" i="1"/>
  <c r="AS191" i="1"/>
  <c r="AS192" i="1"/>
  <c r="AS193" i="1"/>
  <c r="AS194" i="1"/>
  <c r="AS195" i="1"/>
  <c r="AS196" i="1"/>
  <c r="AS197" i="1"/>
  <c r="AS198" i="1"/>
  <c r="AS199" i="1"/>
  <c r="AS200" i="1"/>
  <c r="AS201" i="1"/>
  <c r="AS202" i="1"/>
  <c r="AS203" i="1"/>
  <c r="AS204" i="1"/>
  <c r="AS205" i="1"/>
  <c r="AS206" i="1"/>
  <c r="AS207" i="1"/>
  <c r="AS186" i="1"/>
  <c r="AS177" i="1"/>
  <c r="AS175" i="1"/>
  <c r="AS174" i="1"/>
  <c r="AS173" i="1"/>
  <c r="AS172" i="1"/>
  <c r="AS171" i="1"/>
  <c r="AS167" i="1"/>
  <c r="AS163" i="1"/>
  <c r="AS162" i="1" s="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30" i="1"/>
  <c r="AS127" i="1"/>
  <c r="AS124" i="1"/>
  <c r="AS121" i="1"/>
  <c r="AS111" i="1"/>
  <c r="AS112" i="1"/>
  <c r="AS113" i="1"/>
  <c r="AS114" i="1"/>
  <c r="AS115" i="1"/>
  <c r="AS116" i="1"/>
  <c r="AS117" i="1"/>
  <c r="AS118" i="1"/>
  <c r="AS110" i="1"/>
  <c r="AS107" i="1"/>
  <c r="AS100" i="1"/>
  <c r="AS99" i="1"/>
  <c r="AS97" i="1"/>
  <c r="AS96" i="1"/>
  <c r="AS95" i="1"/>
  <c r="AS91" i="1"/>
  <c r="AS90" i="1"/>
  <c r="AS87" i="1"/>
  <c r="AS84" i="1"/>
  <c r="AS83" i="1"/>
  <c r="AS82" i="1"/>
  <c r="AS78" i="1"/>
  <c r="AS77" i="1"/>
  <c r="AS79" i="1"/>
  <c r="AS76" i="1"/>
  <c r="AS71" i="1"/>
  <c r="AS70" i="1"/>
  <c r="AS69" i="1"/>
  <c r="AS68" i="1"/>
  <c r="AS65" i="1"/>
  <c r="AS64" i="1"/>
  <c r="AS61" i="1"/>
  <c r="AS60" i="1"/>
  <c r="AS59" i="1"/>
  <c r="AS58" i="1"/>
  <c r="AS57" i="1"/>
  <c r="AS56" i="1"/>
  <c r="AS55" i="1"/>
  <c r="AS54" i="1"/>
  <c r="AS53" i="1"/>
  <c r="AS52" i="1"/>
  <c r="AS51" i="1"/>
  <c r="AS50" i="1"/>
  <c r="AS49" i="1"/>
  <c r="AS48" i="1"/>
  <c r="AS47" i="1"/>
  <c r="AS46" i="1"/>
  <c r="AS43" i="1"/>
  <c r="AS42" i="1"/>
  <c r="AS38" i="1"/>
  <c r="AS39" i="1"/>
  <c r="AS32" i="1"/>
  <c r="AS33" i="1"/>
  <c r="AS34" i="1"/>
  <c r="AS35" i="1"/>
  <c r="AS31" i="1"/>
  <c r="AS24" i="1"/>
  <c r="AS23" i="1"/>
  <c r="AS25" i="1"/>
  <c r="AS26" i="1"/>
  <c r="AS27" i="1"/>
  <c r="AS28" i="1"/>
  <c r="AS22" i="1"/>
  <c r="AS18" i="1"/>
  <c r="AS12" i="1"/>
  <c r="AS13" i="1"/>
  <c r="AS14" i="1"/>
  <c r="AS15" i="1"/>
  <c r="AS11" i="1"/>
  <c r="AK91" i="1"/>
  <c r="F114" i="21"/>
  <c r="F113" i="21"/>
  <c r="G41" i="21"/>
  <c r="K41" i="21" s="1"/>
  <c r="F42" i="21"/>
  <c r="F41" i="21"/>
  <c r="J26" i="21"/>
  <c r="J42" i="21" l="1"/>
  <c r="K42" i="21" s="1"/>
  <c r="H77" i="5"/>
  <c r="K306" i="10"/>
  <c r="L191" i="22"/>
  <c r="K192" i="22"/>
  <c r="L192" i="22" s="1"/>
  <c r="G191" i="22"/>
  <c r="G188" i="22"/>
  <c r="G187" i="22"/>
  <c r="K188" i="22"/>
  <c r="L188" i="22" s="1"/>
  <c r="L187" i="22"/>
  <c r="I184" i="22"/>
  <c r="L184" i="22" s="1"/>
  <c r="G184" i="22"/>
  <c r="L183" i="22"/>
  <c r="G183" i="22"/>
  <c r="F110" i="21" l="1"/>
  <c r="F109" i="21"/>
  <c r="M3" i="53" l="1"/>
  <c r="H106" i="21" l="1"/>
  <c r="K106" i="21" s="1"/>
  <c r="F106" i="21"/>
  <c r="K105" i="21"/>
  <c r="F105" i="21"/>
  <c r="F102" i="21"/>
  <c r="K101" i="21"/>
  <c r="H102" i="21"/>
  <c r="K102" i="21" s="1"/>
  <c r="F101" i="21"/>
  <c r="J70" i="21" l="1"/>
  <c r="K70" i="21" s="1"/>
  <c r="F70" i="21"/>
  <c r="K69" i="21"/>
  <c r="F69" i="21"/>
  <c r="J66" i="21"/>
  <c r="K66" i="21" s="1"/>
  <c r="F66" i="21"/>
  <c r="K65" i="21"/>
  <c r="F65" i="21"/>
  <c r="H62" i="21"/>
  <c r="K62" i="21" s="1"/>
  <c r="F62" i="21"/>
  <c r="K61" i="21"/>
  <c r="F61" i="21"/>
  <c r="J58" i="21"/>
  <c r="K58" i="21" s="1"/>
  <c r="F58" i="21"/>
  <c r="K57" i="21"/>
  <c r="F57" i="21"/>
  <c r="H54" i="21"/>
  <c r="K54" i="21" s="1"/>
  <c r="F54" i="21"/>
  <c r="K53" i="21"/>
  <c r="F53" i="21"/>
  <c r="K49" i="21"/>
  <c r="H50" i="21"/>
  <c r="K50" i="21" s="1"/>
  <c r="F50" i="21"/>
  <c r="F49" i="21"/>
  <c r="H46" i="21"/>
  <c r="K46" i="21" s="1"/>
  <c r="AG27" i="1" s="1"/>
  <c r="F46" i="21"/>
  <c r="K45" i="21"/>
  <c r="F45" i="21"/>
  <c r="C198" i="19"/>
  <c r="C199" i="19"/>
  <c r="C200" i="19"/>
  <c r="C201" i="19"/>
  <c r="C202" i="19"/>
  <c r="C203" i="19"/>
  <c r="C204" i="19"/>
  <c r="C205" i="19"/>
  <c r="C206" i="19"/>
  <c r="C207" i="19"/>
  <c r="C208" i="19"/>
  <c r="C209" i="19"/>
  <c r="C210" i="19"/>
  <c r="C211" i="19"/>
  <c r="C212" i="19"/>
  <c r="C213" i="19"/>
  <c r="C214" i="19"/>
  <c r="C215" i="19"/>
  <c r="C216" i="19"/>
  <c r="C217" i="19"/>
  <c r="C218" i="19"/>
  <c r="C219" i="19"/>
  <c r="C220" i="19"/>
  <c r="C221" i="19"/>
  <c r="C222" i="19"/>
  <c r="C223" i="19"/>
  <c r="C224" i="19"/>
  <c r="C225" i="19"/>
  <c r="C226" i="19"/>
  <c r="C227" i="19"/>
  <c r="C228" i="19"/>
  <c r="C229" i="19"/>
  <c r="C230" i="19"/>
  <c r="C231" i="19"/>
  <c r="C232" i="19"/>
  <c r="C233" i="19"/>
  <c r="C234" i="19"/>
  <c r="C235" i="19"/>
  <c r="C236" i="19"/>
  <c r="C237" i="19"/>
  <c r="C238" i="19"/>
  <c r="C239" i="19"/>
  <c r="C240" i="19"/>
  <c r="C241" i="19"/>
  <c r="C242" i="19"/>
  <c r="C243" i="19"/>
  <c r="C244" i="19"/>
  <c r="C245" i="19"/>
  <c r="C246" i="19"/>
  <c r="C247" i="19"/>
  <c r="C248" i="19"/>
  <c r="C249" i="19"/>
  <c r="C250" i="19"/>
  <c r="C251" i="19"/>
  <c r="C252" i="19"/>
  <c r="C253" i="19"/>
  <c r="C254" i="19"/>
  <c r="C255" i="19"/>
  <c r="C256" i="19"/>
  <c r="C257" i="19"/>
  <c r="C258" i="19"/>
  <c r="C259" i="19"/>
  <c r="C260" i="19"/>
  <c r="C261" i="19"/>
  <c r="C262" i="19"/>
  <c r="C263" i="19"/>
  <c r="C264" i="19"/>
  <c r="C265" i="19"/>
  <c r="C266" i="19"/>
  <c r="C267" i="19"/>
  <c r="C268" i="19"/>
  <c r="C269" i="19"/>
  <c r="C270" i="19"/>
  <c r="C271" i="19"/>
  <c r="C272" i="19"/>
  <c r="C273" i="19"/>
  <c r="C274" i="19"/>
  <c r="C275" i="19"/>
  <c r="C276" i="19"/>
  <c r="C277" i="19"/>
  <c r="C278" i="19"/>
  <c r="C279" i="19"/>
  <c r="C280" i="19"/>
  <c r="C281" i="19"/>
  <c r="C282" i="19"/>
  <c r="C283" i="19"/>
  <c r="C284" i="19"/>
  <c r="C285" i="19"/>
  <c r="C286" i="19"/>
  <c r="C287" i="19"/>
  <c r="C288" i="19"/>
  <c r="C289" i="19"/>
  <c r="C290" i="19"/>
  <c r="C291" i="19"/>
  <c r="C292" i="19"/>
  <c r="C293" i="19"/>
  <c r="C294" i="19"/>
  <c r="C295" i="19"/>
  <c r="C296" i="19"/>
  <c r="C297" i="19"/>
  <c r="C298" i="19"/>
  <c r="C299" i="19"/>
  <c r="C300" i="19"/>
  <c r="C301" i="19"/>
  <c r="C302" i="19"/>
  <c r="C303" i="19"/>
  <c r="C304" i="19"/>
  <c r="C305" i="19"/>
  <c r="C306" i="19"/>
  <c r="C307" i="19"/>
  <c r="C308" i="19"/>
  <c r="C309" i="19"/>
  <c r="C310" i="19"/>
  <c r="C311" i="19"/>
  <c r="C312" i="19"/>
  <c r="C313" i="19"/>
  <c r="C314" i="19"/>
  <c r="C315" i="19"/>
  <c r="C316" i="19"/>
  <c r="C317" i="19"/>
  <c r="C318" i="19"/>
  <c r="C319" i="19"/>
  <c r="C320" i="19"/>
  <c r="C321" i="19"/>
  <c r="C322" i="19"/>
  <c r="C323" i="19"/>
  <c r="C324" i="19"/>
  <c r="C325" i="19"/>
  <c r="C326" i="19"/>
  <c r="C327" i="19"/>
  <c r="C328" i="19"/>
  <c r="C329" i="19"/>
  <c r="C330" i="19"/>
  <c r="C331" i="19"/>
  <c r="C332" i="19"/>
  <c r="C333" i="19"/>
  <c r="C334" i="19"/>
  <c r="C335" i="19"/>
  <c r="C336" i="19"/>
  <c r="C337" i="19"/>
  <c r="C338" i="19"/>
  <c r="C339" i="19"/>
  <c r="C340" i="19"/>
  <c r="C341" i="19"/>
  <c r="C342" i="19"/>
  <c r="C343" i="19"/>
  <c r="C344" i="19"/>
  <c r="C345" i="19"/>
  <c r="C346" i="19"/>
  <c r="C347" i="19"/>
  <c r="C348" i="19"/>
  <c r="C349" i="19"/>
  <c r="C350" i="19"/>
  <c r="C351" i="19"/>
  <c r="C352" i="19"/>
  <c r="C353" i="19"/>
  <c r="C354" i="19"/>
  <c r="C355" i="19"/>
  <c r="C356" i="19"/>
  <c r="C357" i="19"/>
  <c r="C358" i="19"/>
  <c r="C359" i="19"/>
  <c r="C360" i="19"/>
  <c r="C361" i="19"/>
  <c r="C362" i="19"/>
  <c r="C363" i="19"/>
  <c r="C364" i="19"/>
  <c r="C365" i="19"/>
  <c r="C366" i="19"/>
  <c r="C367" i="19"/>
  <c r="C368" i="19"/>
  <c r="C369" i="19"/>
  <c r="C370" i="19"/>
  <c r="C371" i="19"/>
  <c r="C372" i="19"/>
  <c r="C373" i="19"/>
  <c r="C374" i="19"/>
  <c r="C375" i="19"/>
  <c r="C376" i="19"/>
  <c r="C377" i="19"/>
  <c r="C378" i="19"/>
  <c r="C379" i="19"/>
  <c r="C380" i="19"/>
  <c r="C381" i="19"/>
  <c r="C382" i="19"/>
  <c r="C383" i="19"/>
  <c r="C384" i="19"/>
  <c r="C385" i="19"/>
  <c r="C386" i="19"/>
  <c r="C387" i="19"/>
  <c r="C388" i="19"/>
  <c r="C389" i="19"/>
  <c r="C390" i="19"/>
  <c r="C391" i="19"/>
  <c r="C392" i="19"/>
  <c r="C393" i="19"/>
  <c r="C394" i="19"/>
  <c r="C395" i="19"/>
  <c r="C396" i="19"/>
  <c r="C397" i="19"/>
  <c r="C398" i="19"/>
  <c r="C399" i="19"/>
  <c r="C400" i="19"/>
  <c r="C401" i="19"/>
  <c r="C402" i="19"/>
  <c r="C403" i="19"/>
  <c r="C404" i="19"/>
  <c r="C405" i="19"/>
  <c r="C406" i="19"/>
  <c r="C407" i="19"/>
  <c r="C197" i="19"/>
  <c r="C188" i="19"/>
  <c r="C189" i="19"/>
  <c r="C190" i="19"/>
  <c r="C191" i="19"/>
  <c r="C192" i="19"/>
  <c r="C193" i="19"/>
  <c r="C194" i="19"/>
  <c r="C195" i="19"/>
  <c r="C196" i="19"/>
  <c r="C187" i="19"/>
  <c r="O9" i="19" l="1"/>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8" i="19"/>
  <c r="K80" i="5"/>
  <c r="K77" i="5"/>
  <c r="F77" i="5"/>
  <c r="F56" i="5"/>
  <c r="F53" i="5"/>
  <c r="J34" i="21"/>
  <c r="H30" i="21"/>
  <c r="J22" i="21"/>
  <c r="H18" i="21"/>
  <c r="N270" i="20"/>
  <c r="N269" i="20"/>
  <c r="N268" i="20"/>
  <c r="N267" i="20"/>
  <c r="M15" i="20"/>
  <c r="K81" i="5" l="1"/>
  <c r="K56" i="5"/>
  <c r="H49" i="22"/>
  <c r="G94" i="22"/>
  <c r="G93" i="22"/>
  <c r="G92" i="22"/>
  <c r="C45" i="31"/>
  <c r="I159" i="22" l="1"/>
  <c r="J228" i="55"/>
  <c r="J227" i="55"/>
  <c r="J226" i="55"/>
  <c r="J225" i="55"/>
  <c r="J224" i="55"/>
  <c r="J223" i="55"/>
  <c r="J222" i="55"/>
  <c r="J221" i="55"/>
  <c r="J220" i="55"/>
  <c r="J219" i="55"/>
  <c r="J218" i="55"/>
  <c r="J217" i="55"/>
  <c r="J216" i="55"/>
  <c r="J215" i="55"/>
  <c r="J214" i="55"/>
  <c r="J213" i="55"/>
  <c r="J212" i="55"/>
  <c r="J211" i="55"/>
  <c r="J210" i="55"/>
  <c r="J209" i="55"/>
  <c r="J208" i="55"/>
  <c r="J207" i="55"/>
  <c r="J206" i="55"/>
  <c r="J205" i="55"/>
  <c r="J204" i="55"/>
  <c r="J203" i="55"/>
  <c r="J202" i="55"/>
  <c r="J201" i="55"/>
  <c r="J200" i="55"/>
  <c r="J199" i="55"/>
  <c r="J198" i="55"/>
  <c r="J197" i="55"/>
  <c r="J196" i="55"/>
  <c r="J195" i="55"/>
  <c r="J194" i="55"/>
  <c r="J193" i="55"/>
  <c r="J192" i="55"/>
  <c r="J191" i="55"/>
  <c r="J190" i="55"/>
  <c r="J189" i="55"/>
  <c r="J188" i="55"/>
  <c r="J187" i="55"/>
  <c r="J186" i="55"/>
  <c r="J185" i="55"/>
  <c r="J184" i="55"/>
  <c r="J183" i="55"/>
  <c r="J182" i="55"/>
  <c r="J181" i="55"/>
  <c r="J180" i="55"/>
  <c r="J179" i="55"/>
  <c r="J178" i="55"/>
  <c r="J177" i="55"/>
  <c r="J176" i="55"/>
  <c r="J175" i="55"/>
  <c r="J174" i="55"/>
  <c r="J173" i="55"/>
  <c r="J172" i="55"/>
  <c r="J171" i="55"/>
  <c r="J170" i="55"/>
  <c r="J169" i="55"/>
  <c r="J168" i="55"/>
  <c r="J167" i="55"/>
  <c r="J166" i="55"/>
  <c r="J165" i="55"/>
  <c r="J164" i="55"/>
  <c r="J163" i="55"/>
  <c r="J162" i="55"/>
  <c r="J161" i="55"/>
  <c r="J160" i="55"/>
  <c r="J159" i="55"/>
  <c r="J158" i="55"/>
  <c r="J157" i="55"/>
  <c r="J156" i="55"/>
  <c r="J155" i="55"/>
  <c r="J154" i="55"/>
  <c r="J153" i="55"/>
  <c r="J152" i="55"/>
  <c r="J151" i="55"/>
  <c r="J150" i="55"/>
  <c r="J149" i="55"/>
  <c r="J148" i="55"/>
  <c r="J147" i="55"/>
  <c r="J146" i="55"/>
  <c r="J145" i="55"/>
  <c r="J144" i="55"/>
  <c r="J143" i="55"/>
  <c r="J142" i="55"/>
  <c r="J141" i="55"/>
  <c r="J140" i="55"/>
  <c r="J139" i="55"/>
  <c r="J138" i="55"/>
  <c r="J137" i="55"/>
  <c r="J136" i="55"/>
  <c r="J135" i="55"/>
  <c r="J134" i="55"/>
  <c r="J133" i="55"/>
  <c r="J132" i="55"/>
  <c r="J131" i="55"/>
  <c r="J130" i="55"/>
  <c r="J129" i="55"/>
  <c r="J128" i="55"/>
  <c r="J127" i="55"/>
  <c r="J126" i="55"/>
  <c r="J125" i="55"/>
  <c r="J124" i="55"/>
  <c r="J123" i="55"/>
  <c r="J122" i="55"/>
  <c r="J121" i="55"/>
  <c r="J120" i="55"/>
  <c r="J119" i="55"/>
  <c r="J118" i="55"/>
  <c r="J117" i="55"/>
  <c r="J116" i="55"/>
  <c r="J115" i="55"/>
  <c r="J114" i="55"/>
  <c r="J113" i="55"/>
  <c r="J112" i="55"/>
  <c r="J111" i="55"/>
  <c r="J110" i="55"/>
  <c r="J109" i="55"/>
  <c r="J108" i="55"/>
  <c r="J107" i="55"/>
  <c r="J106" i="55"/>
  <c r="J105" i="55"/>
  <c r="J104" i="55"/>
  <c r="J103" i="55"/>
  <c r="J102" i="55"/>
  <c r="J101" i="55"/>
  <c r="J100" i="55"/>
  <c r="J99" i="55"/>
  <c r="J98" i="55"/>
  <c r="J97" i="55"/>
  <c r="J96" i="55"/>
  <c r="J95" i="55"/>
  <c r="J94" i="55"/>
  <c r="J93" i="55"/>
  <c r="J92" i="55"/>
  <c r="J91" i="55"/>
  <c r="J90" i="55"/>
  <c r="J89" i="55"/>
  <c r="J88" i="55"/>
  <c r="J87" i="55"/>
  <c r="J86" i="55"/>
  <c r="J85" i="55"/>
  <c r="J84" i="55"/>
  <c r="J83" i="55"/>
  <c r="J82" i="55"/>
  <c r="J81" i="55"/>
  <c r="J80" i="55"/>
  <c r="J79" i="55"/>
  <c r="J78" i="55"/>
  <c r="J77" i="55"/>
  <c r="J76" i="55"/>
  <c r="J75" i="55"/>
  <c r="J74" i="55"/>
  <c r="J73" i="55"/>
  <c r="J72" i="55"/>
  <c r="J71" i="55"/>
  <c r="J70" i="55"/>
  <c r="J69" i="55"/>
  <c r="J68" i="55"/>
  <c r="J67" i="55"/>
  <c r="J66" i="55"/>
  <c r="J65" i="55"/>
  <c r="J64" i="55"/>
  <c r="J63" i="55"/>
  <c r="J62" i="55"/>
  <c r="J61" i="55"/>
  <c r="J60" i="55"/>
  <c r="J59" i="55"/>
  <c r="J58" i="55"/>
  <c r="J57" i="55"/>
  <c r="J56" i="55"/>
  <c r="J55" i="55"/>
  <c r="J54" i="55"/>
  <c r="J53" i="55"/>
  <c r="J52" i="55"/>
  <c r="J51" i="55"/>
  <c r="J50" i="55"/>
  <c r="J49" i="55"/>
  <c r="J48" i="55"/>
  <c r="J47" i="55"/>
  <c r="J46" i="55"/>
  <c r="J45" i="55"/>
  <c r="J44" i="55"/>
  <c r="J43" i="55"/>
  <c r="J42" i="55"/>
  <c r="J41" i="55"/>
  <c r="J40" i="55"/>
  <c r="J39" i="55"/>
  <c r="J38" i="55"/>
  <c r="J37" i="55"/>
  <c r="J36" i="55"/>
  <c r="J35" i="55"/>
  <c r="J34" i="55"/>
  <c r="J33" i="55"/>
  <c r="J32" i="55"/>
  <c r="J31" i="55"/>
  <c r="J30" i="55"/>
  <c r="J29" i="55"/>
  <c r="J28" i="55"/>
  <c r="J27" i="55"/>
  <c r="J26" i="55"/>
  <c r="J25" i="55"/>
  <c r="J24" i="55"/>
  <c r="J23" i="55"/>
  <c r="J22" i="55"/>
  <c r="J21" i="55"/>
  <c r="J20" i="55"/>
  <c r="J19" i="55"/>
  <c r="J18" i="55"/>
  <c r="J17" i="55"/>
  <c r="J16" i="55"/>
  <c r="J15" i="55"/>
  <c r="J14" i="55"/>
  <c r="J13" i="55"/>
  <c r="J12" i="55"/>
  <c r="J11" i="55"/>
  <c r="J10" i="55"/>
  <c r="J9" i="55"/>
  <c r="J8" i="55"/>
  <c r="J7" i="55"/>
  <c r="J6" i="55"/>
  <c r="J5" i="55"/>
  <c r="J4" i="55"/>
  <c r="AE262" i="1" l="1"/>
  <c r="L8" i="48"/>
  <c r="O8" i="48"/>
  <c r="H137" i="22"/>
  <c r="I71" i="22" l="1"/>
  <c r="BQ352" i="1" l="1"/>
  <c r="BR228" i="1"/>
  <c r="BR231" i="1"/>
  <c r="BQ230" i="1"/>
  <c r="BR230" i="1" s="1"/>
  <c r="BQ214" i="1"/>
  <c r="BQ212" i="1"/>
  <c r="AW210" i="1"/>
  <c r="AW211" i="1"/>
  <c r="AW213" i="1"/>
  <c r="AW214" i="1"/>
  <c r="AW215" i="1"/>
  <c r="AW216" i="1"/>
  <c r="AW217" i="1"/>
  <c r="AW218" i="1"/>
  <c r="AW219" i="1"/>
  <c r="AW220" i="1"/>
  <c r="AW221" i="1"/>
  <c r="AW222" i="1"/>
  <c r="AW223" i="1"/>
  <c r="AW224" i="1"/>
  <c r="AW225" i="1"/>
  <c r="AW226" i="1"/>
  <c r="AW227" i="1"/>
  <c r="AW228" i="1"/>
  <c r="AW229" i="1"/>
  <c r="AW233" i="1"/>
  <c r="AW246" i="1"/>
  <c r="AW251" i="1"/>
  <c r="AW237" i="1"/>
  <c r="AW238" i="1"/>
  <c r="AW239" i="1"/>
  <c r="AW240" i="1"/>
  <c r="AW241" i="1"/>
  <c r="AW242" i="1"/>
  <c r="AW243" i="1"/>
  <c r="AW244" i="1"/>
  <c r="AW245" i="1"/>
  <c r="AW247" i="1"/>
  <c r="AW248" i="1"/>
  <c r="BP185" i="1"/>
  <c r="BQ59" i="1"/>
  <c r="BQ11" i="1"/>
  <c r="BQ12" i="1"/>
  <c r="BQ13" i="1"/>
  <c r="BQ14" i="1"/>
  <c r="BQ15" i="1"/>
  <c r="G207" i="10" l="1"/>
  <c r="G211" i="10" s="1"/>
  <c r="F229" i="10"/>
  <c r="H204" i="10"/>
  <c r="H207" i="10" s="1"/>
  <c r="H211" i="10" s="1"/>
  <c r="I204" i="10"/>
  <c r="G210" i="10"/>
  <c r="H210" i="10"/>
  <c r="F210" i="10"/>
  <c r="F207" i="10"/>
  <c r="F211" i="10" s="1"/>
  <c r="F618" i="10"/>
  <c r="H319" i="10"/>
  <c r="I210" i="10" l="1"/>
  <c r="M2" i="54"/>
  <c r="F502" i="10" s="1"/>
  <c r="F490" i="18" s="1"/>
  <c r="M652" i="18" s="1"/>
  <c r="G619" i="10"/>
  <c r="G523" i="10"/>
  <c r="F604" i="10"/>
  <c r="F609" i="10" s="1"/>
  <c r="F619" i="10" l="1"/>
  <c r="G589" i="10"/>
  <c r="G588" i="10"/>
  <c r="Q237" i="1" l="1"/>
  <c r="Q238" i="1"/>
  <c r="Q239" i="1"/>
  <c r="Q240" i="1"/>
  <c r="Q386" i="1" s="1"/>
  <c r="Q241" i="1"/>
  <c r="Q394" i="1" s="1"/>
  <c r="Q242" i="1"/>
  <c r="Q390" i="1" s="1"/>
  <c r="Q243" i="1"/>
  <c r="Q244" i="1"/>
  <c r="Q245" i="1"/>
  <c r="Q246" i="1"/>
  <c r="Q247" i="1"/>
  <c r="Q248" i="1"/>
  <c r="Q236" i="1"/>
  <c r="Q252" i="1"/>
  <c r="Q253" i="1"/>
  <c r="Q254" i="1"/>
  <c r="Q255" i="1"/>
  <c r="Q387" i="1" s="1"/>
  <c r="Q256" i="1"/>
  <c r="Q395" i="1" s="1"/>
  <c r="Q257" i="1"/>
  <c r="Q391" i="1" s="1"/>
  <c r="Q258" i="1"/>
  <c r="Q259" i="1"/>
  <c r="Q260" i="1"/>
  <c r="Q261" i="1"/>
  <c r="Q262" i="1"/>
  <c r="Q263" i="1"/>
  <c r="Q264" i="1"/>
  <c r="Q265" i="1"/>
  <c r="Q266" i="1"/>
  <c r="Q267" i="1"/>
  <c r="Q268" i="1"/>
  <c r="Q269" i="1"/>
  <c r="Q251" i="1"/>
  <c r="G569" i="10" s="1"/>
  <c r="G617" i="10"/>
  <c r="F589" i="10"/>
  <c r="Q383" i="1" l="1"/>
  <c r="Q382" i="1"/>
  <c r="Q388" i="1"/>
  <c r="Q396" i="1"/>
  <c r="J237" i="5"/>
  <c r="H432" i="10"/>
  <c r="F341" i="10"/>
  <c r="H320" i="10"/>
  <c r="J318" i="10"/>
  <c r="Q384" i="1" l="1"/>
  <c r="F265" i="10"/>
  <c r="F272" i="10"/>
  <c r="G52" i="5"/>
  <c r="H53" i="5" s="1"/>
  <c r="F119" i="10"/>
  <c r="F106" i="10"/>
  <c r="H49" i="5"/>
  <c r="J4" i="53" a="1"/>
  <c r="J5" i="53" s="1"/>
  <c r="M2" i="53"/>
  <c r="A2" i="53"/>
  <c r="N8" i="53" l="1"/>
  <c r="M8" i="53"/>
  <c r="M7" i="53"/>
  <c r="M6" i="53"/>
  <c r="M5" i="53"/>
  <c r="J4" i="53"/>
  <c r="F50" i="10" l="1"/>
  <c r="G50" i="10" s="1"/>
  <c r="F48" i="10"/>
  <c r="H47" i="10"/>
  <c r="K21" i="5" l="1"/>
  <c r="H45" i="5"/>
  <c r="H41" i="5"/>
  <c r="H37" i="5"/>
  <c r="H34" i="5"/>
  <c r="H30" i="5"/>
  <c r="H26" i="5"/>
  <c r="J22" i="5"/>
  <c r="H18" i="5"/>
  <c r="J14" i="5"/>
  <c r="H10" i="5"/>
  <c r="AI121" i="52"/>
  <c r="AG121" i="52"/>
  <c r="G218" i="5"/>
  <c r="AK162" i="52"/>
  <c r="AJ162" i="52"/>
  <c r="AI162" i="52"/>
  <c r="AH162" i="52"/>
  <c r="AG162" i="52"/>
  <c r="AF162" i="52"/>
  <c r="AE162" i="52"/>
  <c r="AD162" i="52"/>
  <c r="AC162" i="52"/>
  <c r="AB162" i="52"/>
  <c r="AA162" i="52"/>
  <c r="Z162" i="52"/>
  <c r="Y162" i="52"/>
  <c r="X162" i="52"/>
  <c r="W162" i="52"/>
  <c r="V162" i="52"/>
  <c r="U162" i="52"/>
  <c r="O162" i="52"/>
  <c r="N162" i="52"/>
  <c r="M162" i="52"/>
  <c r="AK158" i="52"/>
  <c r="AJ158" i="52"/>
  <c r="AI158" i="52"/>
  <c r="AH158" i="52"/>
  <c r="AG158" i="52"/>
  <c r="AF158" i="52"/>
  <c r="AE158" i="52"/>
  <c r="AD158" i="52"/>
  <c r="AC158" i="52"/>
  <c r="AB158" i="52"/>
  <c r="AA158" i="52"/>
  <c r="Z158" i="52"/>
  <c r="Y158" i="52"/>
  <c r="X158" i="52"/>
  <c r="W158" i="52"/>
  <c r="V158" i="52"/>
  <c r="U158" i="52"/>
  <c r="T158" i="52"/>
  <c r="S158" i="52"/>
  <c r="R158" i="52"/>
  <c r="Q158" i="52"/>
  <c r="P158" i="52"/>
  <c r="O158" i="52"/>
  <c r="N158" i="52"/>
  <c r="M158" i="52"/>
  <c r="L158" i="52"/>
  <c r="I158" i="52"/>
  <c r="AK157" i="52"/>
  <c r="AJ157" i="52"/>
  <c r="AI157" i="52"/>
  <c r="AH157" i="52"/>
  <c r="AG157" i="52"/>
  <c r="AF157" i="52"/>
  <c r="AE157" i="52"/>
  <c r="AD157" i="52"/>
  <c r="AC157" i="52"/>
  <c r="AB157" i="52"/>
  <c r="AA157" i="52"/>
  <c r="Z157" i="52"/>
  <c r="Y157" i="52"/>
  <c r="X157" i="52"/>
  <c r="W157" i="52"/>
  <c r="V157" i="52"/>
  <c r="U157" i="52"/>
  <c r="T157" i="52"/>
  <c r="S157" i="52"/>
  <c r="R157" i="52"/>
  <c r="Q157" i="52"/>
  <c r="P157" i="52"/>
  <c r="O157" i="52"/>
  <c r="N157" i="52"/>
  <c r="M157" i="52"/>
  <c r="L157" i="52"/>
  <c r="I157" i="52"/>
  <c r="AG156" i="52"/>
  <c r="AF156" i="52"/>
  <c r="Z156" i="52"/>
  <c r="S156" i="52"/>
  <c r="AK153" i="52"/>
  <c r="AJ153" i="52"/>
  <c r="AI153" i="52"/>
  <c r="AH153" i="52"/>
  <c r="AG153" i="52"/>
  <c r="AF153" i="52"/>
  <c r="AE153" i="52"/>
  <c r="AD153" i="52"/>
  <c r="AC153" i="52"/>
  <c r="AB153" i="52"/>
  <c r="AA153" i="52"/>
  <c r="Z153" i="52"/>
  <c r="Y153" i="52"/>
  <c r="X153" i="52"/>
  <c r="W153" i="52"/>
  <c r="V153" i="52"/>
  <c r="U153" i="52"/>
  <c r="T153" i="52"/>
  <c r="S153" i="52"/>
  <c r="R153" i="52"/>
  <c r="Q153" i="52"/>
  <c r="P153" i="52"/>
  <c r="O153" i="52"/>
  <c r="N153" i="52"/>
  <c r="M153" i="52"/>
  <c r="L153" i="52"/>
  <c r="I153" i="52"/>
  <c r="AK152" i="52"/>
  <c r="AJ152" i="52"/>
  <c r="AI152" i="52"/>
  <c r="AH152" i="52"/>
  <c r="AG152" i="52"/>
  <c r="AF152" i="52"/>
  <c r="AE152" i="52"/>
  <c r="AD152" i="52"/>
  <c r="AC152" i="52"/>
  <c r="AB152" i="52"/>
  <c r="AA152" i="52"/>
  <c r="Z152" i="52"/>
  <c r="Y152" i="52"/>
  <c r="X152" i="52"/>
  <c r="W152" i="52"/>
  <c r="V152" i="52"/>
  <c r="U152" i="52"/>
  <c r="T152" i="52"/>
  <c r="S152" i="52"/>
  <c r="R152" i="52"/>
  <c r="Q152" i="52"/>
  <c r="P152" i="52"/>
  <c r="O152" i="52"/>
  <c r="N152" i="52"/>
  <c r="M152" i="52"/>
  <c r="L152" i="52"/>
  <c r="I152" i="52"/>
  <c r="AK150" i="52"/>
  <c r="AJ150" i="52"/>
  <c r="AI150" i="52"/>
  <c r="AH150" i="52"/>
  <c r="AG150" i="52"/>
  <c r="AF150" i="52"/>
  <c r="AE150" i="52"/>
  <c r="AD150" i="52"/>
  <c r="AC150" i="52"/>
  <c r="AB150" i="52"/>
  <c r="AA150" i="52"/>
  <c r="Z150" i="52"/>
  <c r="Y150" i="52"/>
  <c r="X150" i="52"/>
  <c r="W150" i="52"/>
  <c r="V150" i="52"/>
  <c r="U150" i="52"/>
  <c r="T150" i="52"/>
  <c r="S150" i="52"/>
  <c r="R150" i="52"/>
  <c r="Q150" i="52"/>
  <c r="P150" i="52"/>
  <c r="O150" i="52"/>
  <c r="N150" i="52"/>
  <c r="M150" i="52"/>
  <c r="L150" i="52"/>
  <c r="I150" i="52"/>
  <c r="AK149" i="52"/>
  <c r="AJ149" i="52"/>
  <c r="AI149" i="52"/>
  <c r="AH149" i="52"/>
  <c r="AG149" i="52"/>
  <c r="AF149" i="52"/>
  <c r="AE149" i="52"/>
  <c r="AD149" i="52"/>
  <c r="AC149" i="52"/>
  <c r="AB149" i="52"/>
  <c r="AA149" i="52"/>
  <c r="Z149" i="52"/>
  <c r="Y149" i="52"/>
  <c r="X149" i="52"/>
  <c r="W149" i="52"/>
  <c r="V149" i="52"/>
  <c r="U149" i="52"/>
  <c r="T149" i="52"/>
  <c r="S149" i="52"/>
  <c r="R149" i="52"/>
  <c r="Q149" i="52"/>
  <c r="P149" i="52"/>
  <c r="O149" i="52"/>
  <c r="N149" i="52"/>
  <c r="M149" i="52"/>
  <c r="L149" i="52"/>
  <c r="I149" i="52"/>
  <c r="AK146" i="52"/>
  <c r="AJ146" i="52"/>
  <c r="AI146" i="52"/>
  <c r="AH146" i="52"/>
  <c r="AG146" i="52"/>
  <c r="W146" i="52"/>
  <c r="S146" i="52"/>
  <c r="R146" i="52"/>
  <c r="Q146" i="52"/>
  <c r="P146" i="52"/>
  <c r="O146" i="52"/>
  <c r="N146" i="52"/>
  <c r="M146" i="52"/>
  <c r="L146" i="52"/>
  <c r="I146" i="52"/>
  <c r="AJ145" i="52"/>
  <c r="W145" i="52"/>
  <c r="V145" i="52"/>
  <c r="P145" i="52"/>
  <c r="AJ144" i="52"/>
  <c r="N144" i="52"/>
  <c r="I144" i="52"/>
  <c r="AI143" i="52"/>
  <c r="AH143" i="52"/>
  <c r="AB143" i="52"/>
  <c r="U143" i="52"/>
  <c r="AK140" i="52"/>
  <c r="AJ140" i="52"/>
  <c r="AI140" i="52"/>
  <c r="AH140" i="52"/>
  <c r="AG140" i="52"/>
  <c r="AF140" i="52"/>
  <c r="AE140" i="52"/>
  <c r="AD140" i="52"/>
  <c r="AC140" i="52"/>
  <c r="AB140" i="52"/>
  <c r="AA140" i="52"/>
  <c r="Z140" i="52"/>
  <c r="Y140" i="52"/>
  <c r="X140" i="52"/>
  <c r="W140" i="52"/>
  <c r="O140" i="52"/>
  <c r="N140" i="52"/>
  <c r="M140" i="52"/>
  <c r="L140" i="52"/>
  <c r="I140" i="52"/>
  <c r="AK139" i="52"/>
  <c r="AJ139" i="52"/>
  <c r="AI139" i="52"/>
  <c r="AH139" i="52"/>
  <c r="AG139" i="52"/>
  <c r="AF139" i="52"/>
  <c r="AE139" i="52"/>
  <c r="AD139" i="52"/>
  <c r="AC139" i="52"/>
  <c r="AB139" i="52"/>
  <c r="AA139" i="52"/>
  <c r="Z139" i="52"/>
  <c r="Y139" i="52"/>
  <c r="X139" i="52"/>
  <c r="W139" i="52"/>
  <c r="V139" i="52"/>
  <c r="U139" i="52"/>
  <c r="M139" i="52"/>
  <c r="L139" i="52"/>
  <c r="I139" i="52"/>
  <c r="AK137" i="52"/>
  <c r="AJ137" i="52"/>
  <c r="AI137" i="52"/>
  <c r="AH137" i="52"/>
  <c r="AG137" i="52"/>
  <c r="AF137" i="52"/>
  <c r="AE137" i="52"/>
  <c r="AD137" i="52"/>
  <c r="AC137" i="52"/>
  <c r="AB137" i="52"/>
  <c r="AA137" i="52"/>
  <c r="Z137" i="52"/>
  <c r="Y137" i="52"/>
  <c r="X137" i="52"/>
  <c r="W137" i="52"/>
  <c r="V137" i="52"/>
  <c r="U137" i="52"/>
  <c r="T137" i="52"/>
  <c r="N137" i="52"/>
  <c r="M137" i="52"/>
  <c r="L137" i="52"/>
  <c r="I137" i="52"/>
  <c r="AK136" i="52"/>
  <c r="AJ136" i="52"/>
  <c r="AI136" i="52"/>
  <c r="AH136" i="52"/>
  <c r="AG136" i="52"/>
  <c r="AF136" i="52"/>
  <c r="AE136" i="52"/>
  <c r="AD136" i="52"/>
  <c r="AC136" i="52"/>
  <c r="AB136" i="52"/>
  <c r="Z136" i="52"/>
  <c r="Y136" i="52"/>
  <c r="X136" i="52"/>
  <c r="W136" i="52"/>
  <c r="V136" i="52"/>
  <c r="U136" i="52"/>
  <c r="L136" i="52"/>
  <c r="I136" i="52"/>
  <c r="AK128" i="52"/>
  <c r="L128" i="52" s="1"/>
  <c r="F128" i="52"/>
  <c r="AK127" i="52"/>
  <c r="AJ127" i="52"/>
  <c r="AI127" i="52"/>
  <c r="L127" i="52" s="1"/>
  <c r="F127" i="52"/>
  <c r="AK126" i="52"/>
  <c r="AJ126" i="52"/>
  <c r="AI126" i="52"/>
  <c r="L126" i="52"/>
  <c r="F126" i="52"/>
  <c r="AI125" i="52"/>
  <c r="F125" i="52"/>
  <c r="F124" i="52"/>
  <c r="AK123" i="52"/>
  <c r="AK144" i="52" s="1"/>
  <c r="AJ123" i="52"/>
  <c r="AI123" i="52"/>
  <c r="AH123" i="52"/>
  <c r="F123" i="52"/>
  <c r="AK122" i="52"/>
  <c r="AJ122" i="52"/>
  <c r="L122" i="52" s="1"/>
  <c r="AI122" i="52"/>
  <c r="AH122" i="52"/>
  <c r="F122" i="52"/>
  <c r="AH144" i="52" s="1"/>
  <c r="AH121" i="52"/>
  <c r="F121" i="52"/>
  <c r="AI120" i="52"/>
  <c r="AH120" i="52"/>
  <c r="AG120" i="52"/>
  <c r="F120" i="52"/>
  <c r="AJ119" i="52"/>
  <c r="AI119" i="52"/>
  <c r="AH119" i="52"/>
  <c r="AG119" i="52"/>
  <c r="F119" i="52"/>
  <c r="AJ118" i="52"/>
  <c r="AI118" i="52"/>
  <c r="AH118" i="52"/>
  <c r="AG118" i="52"/>
  <c r="F118" i="52"/>
  <c r="AF117" i="52"/>
  <c r="AF116" i="52"/>
  <c r="AF115" i="52"/>
  <c r="AF114" i="52"/>
  <c r="AF113" i="52"/>
  <c r="AF112" i="52"/>
  <c r="F112" i="52"/>
  <c r="AG143" i="52" s="1"/>
  <c r="AE111" i="52"/>
  <c r="AD110" i="52"/>
  <c r="F110" i="52"/>
  <c r="AD109" i="52"/>
  <c r="AC109" i="52"/>
  <c r="F109" i="52"/>
  <c r="AC108" i="52"/>
  <c r="AB108" i="52"/>
  <c r="F108" i="52"/>
  <c r="AE156" i="52" s="1"/>
  <c r="AB107" i="52"/>
  <c r="F107" i="52"/>
  <c r="AC106" i="52"/>
  <c r="AB106" i="52"/>
  <c r="F106" i="52"/>
  <c r="AD155" i="52" s="1"/>
  <c r="AA105" i="52"/>
  <c r="AA104" i="52"/>
  <c r="AA103" i="52"/>
  <c r="AB102" i="52"/>
  <c r="AA102" i="52"/>
  <c r="Z102" i="52"/>
  <c r="F102" i="52"/>
  <c r="Y101" i="52"/>
  <c r="Y100" i="52"/>
  <c r="Y99" i="52"/>
  <c r="AF98" i="52"/>
  <c r="AE98" i="52"/>
  <c r="AD98" i="52"/>
  <c r="AC98" i="52"/>
  <c r="AB98" i="52"/>
  <c r="AA98" i="52"/>
  <c r="Z98" i="52"/>
  <c r="Y98" i="52"/>
  <c r="X98" i="52"/>
  <c r="W98" i="52"/>
  <c r="F98" i="52"/>
  <c r="Z97" i="52"/>
  <c r="Y97" i="52"/>
  <c r="X97" i="52"/>
  <c r="W97" i="52"/>
  <c r="F97" i="52"/>
  <c r="Z96" i="52"/>
  <c r="Y96" i="52"/>
  <c r="X96" i="52"/>
  <c r="W96" i="52"/>
  <c r="F96" i="52"/>
  <c r="Z95" i="52"/>
  <c r="Y95" i="52"/>
  <c r="X95" i="52"/>
  <c r="W95" i="52"/>
  <c r="F95" i="52"/>
  <c r="Z94" i="52"/>
  <c r="Y94" i="52"/>
  <c r="X94" i="52"/>
  <c r="W94" i="52"/>
  <c r="F94" i="52"/>
  <c r="AG93" i="52"/>
  <c r="AF93" i="52"/>
  <c r="AE93" i="52"/>
  <c r="AD93" i="52"/>
  <c r="AC93" i="52"/>
  <c r="AB93" i="52"/>
  <c r="AA93" i="52"/>
  <c r="Z93" i="52"/>
  <c r="Y93" i="52"/>
  <c r="X93" i="52"/>
  <c r="W93" i="52"/>
  <c r="F93" i="52"/>
  <c r="AG92" i="52"/>
  <c r="AF92" i="52"/>
  <c r="AE92" i="52"/>
  <c r="AD92" i="52"/>
  <c r="AC92" i="52"/>
  <c r="AB92" i="52"/>
  <c r="AA92" i="52"/>
  <c r="Z92" i="52"/>
  <c r="Y92" i="52"/>
  <c r="X92" i="52"/>
  <c r="W92" i="52"/>
  <c r="F92" i="52"/>
  <c r="AG91" i="52"/>
  <c r="AF91" i="52"/>
  <c r="AE91" i="52"/>
  <c r="AD91" i="52"/>
  <c r="AC91" i="52"/>
  <c r="AB91" i="52"/>
  <c r="AA91" i="52"/>
  <c r="Z91" i="52"/>
  <c r="Y91" i="52"/>
  <c r="X91" i="52"/>
  <c r="W91" i="52"/>
  <c r="F91" i="52"/>
  <c r="AG90" i="52"/>
  <c r="AF90" i="52"/>
  <c r="AE90" i="52"/>
  <c r="AD90" i="52"/>
  <c r="AC90" i="52"/>
  <c r="AB90" i="52"/>
  <c r="AA90" i="52"/>
  <c r="Z90" i="52"/>
  <c r="Y90" i="52"/>
  <c r="X90" i="52"/>
  <c r="W90" i="52"/>
  <c r="F90" i="52"/>
  <c r="AF89" i="52"/>
  <c r="AE89" i="52"/>
  <c r="AD89" i="52"/>
  <c r="AC89" i="52"/>
  <c r="AB89" i="52"/>
  <c r="AA89" i="52"/>
  <c r="Z89" i="52"/>
  <c r="Y89" i="52"/>
  <c r="X89" i="52"/>
  <c r="W89" i="52"/>
  <c r="F89" i="52"/>
  <c r="AF88" i="52"/>
  <c r="AE88" i="52"/>
  <c r="AD88" i="52"/>
  <c r="AC88" i="52"/>
  <c r="AB88" i="52"/>
  <c r="AA88" i="52"/>
  <c r="Z88" i="52"/>
  <c r="Y88" i="52"/>
  <c r="X88" i="52"/>
  <c r="W88" i="52"/>
  <c r="F88" i="52"/>
  <c r="AG87" i="52"/>
  <c r="AF87" i="52"/>
  <c r="AE87" i="52"/>
  <c r="AD87" i="52"/>
  <c r="AC87" i="52"/>
  <c r="AB87" i="52"/>
  <c r="AA87" i="52"/>
  <c r="Z87" i="52"/>
  <c r="Y87" i="52"/>
  <c r="X87" i="52"/>
  <c r="W87" i="52"/>
  <c r="V87" i="52"/>
  <c r="AG86" i="52"/>
  <c r="AF86" i="52"/>
  <c r="AE86" i="52"/>
  <c r="AD86" i="52"/>
  <c r="AC86" i="52"/>
  <c r="AB86" i="52"/>
  <c r="AA86" i="52"/>
  <c r="Z86" i="52"/>
  <c r="Y86" i="52"/>
  <c r="X86" i="52"/>
  <c r="W86" i="52"/>
  <c r="V86" i="52"/>
  <c r="AG85" i="52"/>
  <c r="AF85" i="52"/>
  <c r="AE85" i="52"/>
  <c r="AD85" i="52"/>
  <c r="AC85" i="52"/>
  <c r="AB85" i="52"/>
  <c r="AA85" i="52"/>
  <c r="Z85" i="52"/>
  <c r="Y85" i="52"/>
  <c r="X85" i="52"/>
  <c r="W85" i="52"/>
  <c r="V85" i="52"/>
  <c r="AG84" i="52"/>
  <c r="AF84" i="52"/>
  <c r="AE84" i="52"/>
  <c r="AD84" i="52"/>
  <c r="AC84" i="52"/>
  <c r="AB84" i="52"/>
  <c r="AA84" i="52"/>
  <c r="Z84" i="52"/>
  <c r="Y84" i="52"/>
  <c r="X84" i="52"/>
  <c r="W84" i="52"/>
  <c r="V84" i="52"/>
  <c r="AG83" i="52"/>
  <c r="AF83" i="52"/>
  <c r="AE83" i="52"/>
  <c r="AD83" i="52"/>
  <c r="AC83" i="52"/>
  <c r="AB83" i="52"/>
  <c r="AA83" i="52"/>
  <c r="Z83" i="52"/>
  <c r="Y83" i="52"/>
  <c r="X83" i="52"/>
  <c r="W83" i="52"/>
  <c r="V83" i="52"/>
  <c r="AG82" i="52"/>
  <c r="AF82" i="52"/>
  <c r="AE82" i="52"/>
  <c r="AD82" i="52"/>
  <c r="AC82" i="52"/>
  <c r="AB82" i="52"/>
  <c r="AA82" i="52"/>
  <c r="Z82" i="52"/>
  <c r="Y82" i="52"/>
  <c r="X82" i="52"/>
  <c r="W82" i="52"/>
  <c r="V82" i="52"/>
  <c r="AG81" i="52"/>
  <c r="AF81" i="52"/>
  <c r="AE81" i="52"/>
  <c r="AD81" i="52"/>
  <c r="AC81" i="52"/>
  <c r="AB81" i="52"/>
  <c r="AA81" i="52"/>
  <c r="Z81" i="52"/>
  <c r="Y81" i="52"/>
  <c r="X81" i="52"/>
  <c r="W81" i="52"/>
  <c r="V81" i="52"/>
  <c r="W80" i="52"/>
  <c r="V80" i="52"/>
  <c r="AA79" i="52"/>
  <c r="Z79" i="52"/>
  <c r="Z135" i="52" s="1"/>
  <c r="Y79" i="52"/>
  <c r="X79" i="52"/>
  <c r="W79" i="52"/>
  <c r="V79" i="52"/>
  <c r="AE78" i="52"/>
  <c r="AD78" i="52"/>
  <c r="AC78" i="52"/>
  <c r="AB78" i="52"/>
  <c r="AA78" i="52"/>
  <c r="Z78" i="52"/>
  <c r="Y78" i="52"/>
  <c r="X78" i="52"/>
  <c r="W78" i="52"/>
  <c r="V78" i="52"/>
  <c r="U78" i="52"/>
  <c r="T78" i="52"/>
  <c r="AE77" i="52"/>
  <c r="AD77" i="52"/>
  <c r="AC77" i="52"/>
  <c r="AB77" i="52"/>
  <c r="AA77" i="52"/>
  <c r="Z77" i="52"/>
  <c r="Y77" i="52"/>
  <c r="X77" i="52"/>
  <c r="W77" i="52"/>
  <c r="V77" i="52"/>
  <c r="U77" i="52"/>
  <c r="T77" i="52"/>
  <c r="AE76" i="52"/>
  <c r="AD76" i="52"/>
  <c r="AC76" i="52"/>
  <c r="AB76" i="52"/>
  <c r="AA76" i="52"/>
  <c r="Z76" i="52"/>
  <c r="Y76" i="52"/>
  <c r="X76" i="52"/>
  <c r="W76" i="52"/>
  <c r="V76" i="52"/>
  <c r="U76" i="52"/>
  <c r="T76" i="52"/>
  <c r="AE75" i="52"/>
  <c r="AD75" i="52"/>
  <c r="AD138" i="52" s="1"/>
  <c r="AC75" i="52"/>
  <c r="AB75" i="52"/>
  <c r="AA75" i="52"/>
  <c r="Z75" i="52"/>
  <c r="Y75" i="52"/>
  <c r="X75" i="52"/>
  <c r="W75" i="52"/>
  <c r="V75" i="52"/>
  <c r="U75" i="52"/>
  <c r="T75" i="52"/>
  <c r="AE74" i="52"/>
  <c r="AD74" i="52"/>
  <c r="AC74" i="52"/>
  <c r="AB74" i="52"/>
  <c r="AA74" i="52"/>
  <c r="Z74" i="52"/>
  <c r="Z138" i="52" s="1"/>
  <c r="Y74" i="52"/>
  <c r="X74" i="52"/>
  <c r="W74" i="52"/>
  <c r="V74" i="52"/>
  <c r="U74" i="52"/>
  <c r="T74" i="52"/>
  <c r="AE73" i="52"/>
  <c r="AD73" i="52"/>
  <c r="AC73" i="52"/>
  <c r="AB73" i="52"/>
  <c r="AA73" i="52"/>
  <c r="Z73" i="52"/>
  <c r="Y73" i="52"/>
  <c r="X73" i="52"/>
  <c r="W73" i="52"/>
  <c r="V73" i="52"/>
  <c r="U73" i="52"/>
  <c r="T73" i="52"/>
  <c r="AE72" i="52"/>
  <c r="AD72" i="52"/>
  <c r="AC72" i="52"/>
  <c r="AB72" i="52"/>
  <c r="AA72" i="52"/>
  <c r="Z72" i="52"/>
  <c r="Y72" i="52"/>
  <c r="X72" i="52"/>
  <c r="W72" i="52"/>
  <c r="V72" i="52"/>
  <c r="U72" i="52"/>
  <c r="T72" i="52"/>
  <c r="AE71" i="52"/>
  <c r="AE146" i="52" s="1"/>
  <c r="AD71" i="52"/>
  <c r="AD146" i="52" s="1"/>
  <c r="AC71" i="52"/>
  <c r="AB71" i="52"/>
  <c r="AA71" i="52"/>
  <c r="Z71" i="52"/>
  <c r="Y71" i="52"/>
  <c r="X71" i="52"/>
  <c r="W71" i="52"/>
  <c r="V71" i="52"/>
  <c r="U71" i="52"/>
  <c r="T71" i="52"/>
  <c r="AE70" i="52"/>
  <c r="AD70" i="52"/>
  <c r="AC70" i="52"/>
  <c r="AC146" i="52" s="1"/>
  <c r="AB70" i="52"/>
  <c r="AB146" i="52" s="1"/>
  <c r="AA70" i="52"/>
  <c r="Z70" i="52"/>
  <c r="Z146" i="52" s="1"/>
  <c r="Y70" i="52"/>
  <c r="X70" i="52"/>
  <c r="W70" i="52"/>
  <c r="V70" i="52"/>
  <c r="U70" i="52"/>
  <c r="T70" i="52"/>
  <c r="AE69" i="52"/>
  <c r="AD69" i="52"/>
  <c r="AC69" i="52"/>
  <c r="AB69" i="52"/>
  <c r="AA69" i="52"/>
  <c r="Z69" i="52"/>
  <c r="Y69" i="52"/>
  <c r="X69" i="52"/>
  <c r="W69" i="52"/>
  <c r="V69" i="52"/>
  <c r="U69" i="52"/>
  <c r="T69" i="52"/>
  <c r="F69" i="52"/>
  <c r="AH68" i="52"/>
  <c r="AG68" i="52"/>
  <c r="AF68" i="52"/>
  <c r="AE68" i="52"/>
  <c r="AD68" i="52"/>
  <c r="AC68" i="52"/>
  <c r="AB68" i="52"/>
  <c r="AA68" i="52"/>
  <c r="Z68" i="52"/>
  <c r="Y68" i="52"/>
  <c r="X68" i="52"/>
  <c r="W68" i="52"/>
  <c r="V68" i="52"/>
  <c r="U68" i="52"/>
  <c r="T68" i="52"/>
  <c r="AE67" i="52"/>
  <c r="AD67" i="52"/>
  <c r="AC67" i="52"/>
  <c r="AB67" i="52"/>
  <c r="AA67" i="52"/>
  <c r="Z67" i="52"/>
  <c r="Y67" i="52"/>
  <c r="X67" i="52"/>
  <c r="W67" i="52"/>
  <c r="V67" i="52"/>
  <c r="U67" i="52"/>
  <c r="T67" i="52"/>
  <c r="AF66" i="52"/>
  <c r="AE66" i="52"/>
  <c r="AD66" i="52"/>
  <c r="AC66" i="52"/>
  <c r="AB66" i="52"/>
  <c r="AA66" i="52"/>
  <c r="Z66" i="52"/>
  <c r="Y66" i="52"/>
  <c r="X66" i="52"/>
  <c r="W66" i="52"/>
  <c r="V66" i="52"/>
  <c r="U66" i="52"/>
  <c r="T66" i="52"/>
  <c r="S66" i="52"/>
  <c r="F66" i="52"/>
  <c r="M141" i="52" s="1"/>
  <c r="AF65" i="52"/>
  <c r="AE65" i="52"/>
  <c r="AD65" i="52"/>
  <c r="AC65" i="52"/>
  <c r="AB65" i="52"/>
  <c r="AA65" i="52"/>
  <c r="Z65" i="52"/>
  <c r="Y65" i="52"/>
  <c r="X65" i="52"/>
  <c r="W65" i="52"/>
  <c r="V65" i="52"/>
  <c r="U65" i="52"/>
  <c r="T65" i="52"/>
  <c r="S65" i="52"/>
  <c r="F65" i="52"/>
  <c r="L141" i="52" s="1"/>
  <c r="AE64" i="52"/>
  <c r="AE154" i="52" s="1"/>
  <c r="AD64" i="52"/>
  <c r="AC64" i="52"/>
  <c r="AB64" i="52"/>
  <c r="AA64" i="52"/>
  <c r="Z64" i="52"/>
  <c r="Y64" i="52"/>
  <c r="X64" i="52"/>
  <c r="W64" i="52"/>
  <c r="V64" i="52"/>
  <c r="U64" i="52"/>
  <c r="T64" i="52"/>
  <c r="S64" i="52"/>
  <c r="R62" i="52"/>
  <c r="R61" i="52"/>
  <c r="AD60" i="52"/>
  <c r="AD154" i="52" s="1"/>
  <c r="AC60" i="52"/>
  <c r="AB60" i="52"/>
  <c r="AA60" i="52"/>
  <c r="AA154" i="52" s="1"/>
  <c r="Z60" i="52"/>
  <c r="Z154" i="52" s="1"/>
  <c r="Y60" i="52"/>
  <c r="X60" i="52"/>
  <c r="W60" i="52"/>
  <c r="V60" i="52"/>
  <c r="U60" i="52"/>
  <c r="T60" i="52"/>
  <c r="S60" i="52"/>
  <c r="R60" i="52"/>
  <c r="W59" i="52"/>
  <c r="V59" i="52"/>
  <c r="U59" i="52"/>
  <c r="T59" i="52"/>
  <c r="S59" i="52"/>
  <c r="R59" i="52"/>
  <c r="W58" i="52"/>
  <c r="W141" i="52" s="1"/>
  <c r="V58" i="52"/>
  <c r="V141" i="52" s="1"/>
  <c r="U58" i="52"/>
  <c r="T58" i="52"/>
  <c r="S58" i="52"/>
  <c r="R58" i="52"/>
  <c r="V57" i="52"/>
  <c r="U57" i="52"/>
  <c r="T57" i="52"/>
  <c r="S57" i="52"/>
  <c r="R57" i="52"/>
  <c r="Q57" i="52"/>
  <c r="V56" i="52"/>
  <c r="U56" i="52"/>
  <c r="T56" i="52"/>
  <c r="S56" i="52"/>
  <c r="R56" i="52"/>
  <c r="Q56" i="52"/>
  <c r="V55" i="52"/>
  <c r="U55" i="52"/>
  <c r="T55" i="52"/>
  <c r="S55" i="52"/>
  <c r="R55" i="52"/>
  <c r="Q55" i="52"/>
  <c r="V54" i="52"/>
  <c r="U54" i="52"/>
  <c r="T54" i="52"/>
  <c r="S54" i="52"/>
  <c r="R54" i="52"/>
  <c r="Q54" i="52"/>
  <c r="V53" i="52"/>
  <c r="U53" i="52"/>
  <c r="T53" i="52"/>
  <c r="S53" i="52"/>
  <c r="R53" i="52"/>
  <c r="Q53" i="52"/>
  <c r="V52" i="52"/>
  <c r="U52" i="52"/>
  <c r="T52" i="52"/>
  <c r="S52" i="52"/>
  <c r="R52" i="52"/>
  <c r="Q52" i="52"/>
  <c r="P52" i="52"/>
  <c r="T49" i="52"/>
  <c r="T162" i="52" s="1"/>
  <c r="S49" i="52"/>
  <c r="S162" i="52" s="1"/>
  <c r="R49" i="52"/>
  <c r="R162" i="52" s="1"/>
  <c r="Q49" i="52"/>
  <c r="Q162" i="52" s="1"/>
  <c r="P49" i="52"/>
  <c r="P162" i="52" s="1"/>
  <c r="T47" i="52"/>
  <c r="T140" i="52" s="1"/>
  <c r="S47" i="52"/>
  <c r="S140" i="52" s="1"/>
  <c r="R47" i="52"/>
  <c r="Q47" i="52"/>
  <c r="P47" i="52"/>
  <c r="O46" i="52"/>
  <c r="T42" i="52"/>
  <c r="S42" i="52"/>
  <c r="R42" i="52"/>
  <c r="Q42" i="52"/>
  <c r="P42" i="52"/>
  <c r="O42" i="52"/>
  <c r="T41" i="52"/>
  <c r="S41" i="52"/>
  <c r="R41" i="52"/>
  <c r="Q41" i="52"/>
  <c r="P41" i="52"/>
  <c r="O41" i="52"/>
  <c r="T37" i="52"/>
  <c r="S37" i="52"/>
  <c r="R37" i="52"/>
  <c r="Q37" i="52"/>
  <c r="P37" i="52"/>
  <c r="O37" i="52"/>
  <c r="T36" i="52"/>
  <c r="S36" i="52"/>
  <c r="R36" i="52"/>
  <c r="Q36" i="52"/>
  <c r="P36" i="52"/>
  <c r="O36" i="52"/>
  <c r="T35" i="52"/>
  <c r="T139" i="52" s="1"/>
  <c r="S35" i="52"/>
  <c r="R35" i="52"/>
  <c r="Q35" i="52"/>
  <c r="P35" i="52"/>
  <c r="O35" i="52"/>
  <c r="S34" i="52"/>
  <c r="R34" i="52"/>
  <c r="Q34" i="52"/>
  <c r="P34" i="52"/>
  <c r="O34" i="52"/>
  <c r="S33" i="52"/>
  <c r="R33" i="52"/>
  <c r="Q33" i="52"/>
  <c r="P33" i="52"/>
  <c r="O33" i="52"/>
  <c r="S32" i="52"/>
  <c r="R32" i="52"/>
  <c r="Q32" i="52"/>
  <c r="P32" i="52"/>
  <c r="O32" i="52"/>
  <c r="S31" i="52"/>
  <c r="R31" i="52"/>
  <c r="Q31" i="52"/>
  <c r="P31" i="52"/>
  <c r="O31" i="52"/>
  <c r="S30" i="52"/>
  <c r="R30" i="52"/>
  <c r="Q30" i="52"/>
  <c r="P30" i="52"/>
  <c r="O30" i="52"/>
  <c r="B30" i="52"/>
  <c r="B31" i="52" s="1"/>
  <c r="B32" i="52" s="1"/>
  <c r="B33" i="52" s="1"/>
  <c r="B34" i="52" s="1"/>
  <c r="B35" i="52" s="1"/>
  <c r="B36" i="52" s="1"/>
  <c r="B37" i="52" s="1"/>
  <c r="B38" i="52" s="1"/>
  <c r="B39" i="52" s="1"/>
  <c r="B40" i="52" s="1"/>
  <c r="B41" i="52" s="1"/>
  <c r="B42" i="52" s="1"/>
  <c r="B43" i="52" s="1"/>
  <c r="B44" i="52" s="1"/>
  <c r="B45" i="52" s="1"/>
  <c r="B46" i="52" s="1"/>
  <c r="B47" i="52" s="1"/>
  <c r="B48" i="52" s="1"/>
  <c r="B49" i="52" s="1"/>
  <c r="B50" i="52" s="1"/>
  <c r="B51" i="52" s="1"/>
  <c r="B52" i="52" s="1"/>
  <c r="B53" i="52" s="1"/>
  <c r="B54" i="52" s="1"/>
  <c r="B55" i="52" s="1"/>
  <c r="B56" i="52" s="1"/>
  <c r="B57" i="52" s="1"/>
  <c r="B58" i="52" s="1"/>
  <c r="B59" i="52" s="1"/>
  <c r="B60" i="52" s="1"/>
  <c r="B61" i="52" s="1"/>
  <c r="B62" i="52" s="1"/>
  <c r="B63" i="52" s="1"/>
  <c r="B64" i="52" s="1"/>
  <c r="B65" i="52" s="1"/>
  <c r="B66" i="52" s="1"/>
  <c r="B67" i="52" s="1"/>
  <c r="B68" i="52" s="1"/>
  <c r="B69" i="52" s="1"/>
  <c r="B70" i="52" s="1"/>
  <c r="B71" i="52" s="1"/>
  <c r="B72" i="52" s="1"/>
  <c r="B73" i="52" s="1"/>
  <c r="B74" i="52" s="1"/>
  <c r="B75" i="52" s="1"/>
  <c r="B76" i="52" s="1"/>
  <c r="B77" i="52" s="1"/>
  <c r="B78" i="52" s="1"/>
  <c r="B79" i="52" s="1"/>
  <c r="B80" i="52" s="1"/>
  <c r="B81" i="52" s="1"/>
  <c r="B82" i="52" s="1"/>
  <c r="B83" i="52" s="1"/>
  <c r="B84" i="52" s="1"/>
  <c r="B85" i="52" s="1"/>
  <c r="B86" i="52" s="1"/>
  <c r="B87" i="52" s="1"/>
  <c r="S29" i="52"/>
  <c r="R29" i="52"/>
  <c r="Q29" i="52"/>
  <c r="P29" i="52"/>
  <c r="O29" i="52"/>
  <c r="B29" i="52"/>
  <c r="N28" i="52"/>
  <c r="N27" i="52"/>
  <c r="N26" i="52"/>
  <c r="R25" i="52"/>
  <c r="Q25" i="52"/>
  <c r="P25" i="52"/>
  <c r="O25" i="52"/>
  <c r="N25" i="52"/>
  <c r="M25" i="52"/>
  <c r="R24" i="52"/>
  <c r="Q24" i="52"/>
  <c r="P24" i="52"/>
  <c r="O24" i="52"/>
  <c r="O136" i="52" s="1"/>
  <c r="N24" i="52"/>
  <c r="M24" i="52"/>
  <c r="R23" i="52"/>
  <c r="Q23" i="52"/>
  <c r="P23" i="52"/>
  <c r="O23" i="52"/>
  <c r="N23" i="52"/>
  <c r="M23" i="52"/>
  <c r="R22" i="52"/>
  <c r="Q22" i="52"/>
  <c r="P22" i="52"/>
  <c r="O22" i="52"/>
  <c r="N22" i="52"/>
  <c r="M22" i="52"/>
  <c r="M136" i="52" s="1"/>
  <c r="R21" i="52"/>
  <c r="R136" i="52" s="1"/>
  <c r="Q21" i="52"/>
  <c r="Q136" i="52" s="1"/>
  <c r="P21" i="52"/>
  <c r="O21" i="52"/>
  <c r="N21" i="52"/>
  <c r="M21" i="52"/>
  <c r="T20" i="52"/>
  <c r="S20" i="52"/>
  <c r="R20" i="52"/>
  <c r="Q20" i="52"/>
  <c r="P20" i="52"/>
  <c r="O20" i="52"/>
  <c r="N20" i="52"/>
  <c r="T19" i="52"/>
  <c r="S19" i="52"/>
  <c r="R19" i="52"/>
  <c r="Q19" i="52"/>
  <c r="P19" i="52"/>
  <c r="O19" i="52"/>
  <c r="N19" i="52"/>
  <c r="T18" i="52"/>
  <c r="S18" i="52"/>
  <c r="R18" i="52"/>
  <c r="Q18" i="52"/>
  <c r="P18" i="52"/>
  <c r="O18" i="52"/>
  <c r="N18" i="52"/>
  <c r="S17" i="52"/>
  <c r="R17" i="52"/>
  <c r="Q17" i="52"/>
  <c r="P17" i="52"/>
  <c r="O17" i="52"/>
  <c r="O139" i="52" s="1"/>
  <c r="N17" i="52"/>
  <c r="N139" i="52" s="1"/>
  <c r="S16" i="52"/>
  <c r="R16" i="52"/>
  <c r="Q16" i="52"/>
  <c r="P16" i="52"/>
  <c r="O16" i="52"/>
  <c r="N16" i="52"/>
  <c r="S15" i="52"/>
  <c r="R15" i="52"/>
  <c r="Q15" i="52"/>
  <c r="P15" i="52"/>
  <c r="O15" i="52"/>
  <c r="N15" i="52"/>
  <c r="Y14" i="52"/>
  <c r="X14" i="52"/>
  <c r="W14" i="52"/>
  <c r="V14" i="52"/>
  <c r="U14" i="52"/>
  <c r="U138" i="52" s="1"/>
  <c r="T14" i="52"/>
  <c r="S14" i="52"/>
  <c r="R14" i="52"/>
  <c r="Q14" i="52"/>
  <c r="P14" i="52"/>
  <c r="O14" i="52"/>
  <c r="N14" i="52"/>
  <c r="S13" i="52"/>
  <c r="R13" i="52"/>
  <c r="Q13" i="52"/>
  <c r="P13" i="52"/>
  <c r="O13" i="52"/>
  <c r="N13" i="52"/>
  <c r="S12" i="52"/>
  <c r="R12" i="52"/>
  <c r="Q12" i="52"/>
  <c r="P12" i="52"/>
  <c r="O12" i="52"/>
  <c r="N12" i="52"/>
  <c r="S11" i="52"/>
  <c r="R11" i="52"/>
  <c r="Q11" i="52"/>
  <c r="P11" i="52"/>
  <c r="O11" i="52"/>
  <c r="N11" i="52"/>
  <c r="N10" i="52"/>
  <c r="N9" i="52"/>
  <c r="N8" i="52"/>
  <c r="S7" i="52"/>
  <c r="R7" i="52"/>
  <c r="Q7" i="52"/>
  <c r="P7" i="52"/>
  <c r="O7" i="52"/>
  <c r="O138" i="52" s="1"/>
  <c r="N7" i="52"/>
  <c r="S6" i="52"/>
  <c r="S137" i="52" s="1"/>
  <c r="R6" i="52"/>
  <c r="R137" i="52" s="1"/>
  <c r="Q6" i="52"/>
  <c r="Q137" i="52" s="1"/>
  <c r="P6" i="52"/>
  <c r="P137" i="52" s="1"/>
  <c r="O6" i="52"/>
  <c r="O137" i="52" s="1"/>
  <c r="N6" i="52"/>
  <c r="S5" i="52"/>
  <c r="R5" i="52"/>
  <c r="Q5" i="52"/>
  <c r="P5" i="52"/>
  <c r="O5" i="52"/>
  <c r="N5" i="52"/>
  <c r="S4" i="52"/>
  <c r="R4" i="52"/>
  <c r="Q4" i="52"/>
  <c r="P4" i="52"/>
  <c r="O4" i="52"/>
  <c r="N4" i="52"/>
  <c r="R3" i="52"/>
  <c r="Q3" i="52"/>
  <c r="P3" i="52"/>
  <c r="O3" i="52"/>
  <c r="N3" i="52"/>
  <c r="M3" i="52"/>
  <c r="AB138" i="52" l="1"/>
  <c r="Q139" i="52"/>
  <c r="AF146" i="52"/>
  <c r="X154" i="52"/>
  <c r="N135" i="52"/>
  <c r="O135" i="52"/>
  <c r="Q140" i="52"/>
  <c r="R154" i="52"/>
  <c r="Z141" i="52"/>
  <c r="R148" i="52"/>
  <c r="M142" i="52"/>
  <c r="U144" i="52"/>
  <c r="I155" i="52"/>
  <c r="AE138" i="52"/>
  <c r="AB154" i="52"/>
  <c r="R139" i="52"/>
  <c r="U146" i="52"/>
  <c r="AG141" i="52"/>
  <c r="P144" i="52"/>
  <c r="P138" i="52"/>
  <c r="S154" i="52"/>
  <c r="W138" i="52"/>
  <c r="AG135" i="52"/>
  <c r="S142" i="52"/>
  <c r="V144" i="52"/>
  <c r="Q155" i="52"/>
  <c r="AC154" i="52"/>
  <c r="P154" i="52"/>
  <c r="Y138" i="52"/>
  <c r="Z151" i="52"/>
  <c r="R135" i="52"/>
  <c r="U151" i="52"/>
  <c r="AA142" i="52"/>
  <c r="U140" i="52"/>
  <c r="R141" i="52"/>
  <c r="V154" i="52"/>
  <c r="V146" i="52"/>
  <c r="V138" i="52"/>
  <c r="X135" i="52"/>
  <c r="AB135" i="52"/>
  <c r="AG142" i="52"/>
  <c r="AB144" i="52"/>
  <c r="AE155" i="52"/>
  <c r="P139" i="52"/>
  <c r="O154" i="52"/>
  <c r="AF141" i="52"/>
  <c r="Q138" i="52"/>
  <c r="R155" i="52"/>
  <c r="U154" i="52"/>
  <c r="Y144" i="52"/>
  <c r="V140" i="52"/>
  <c r="W154" i="52"/>
  <c r="AA146" i="52"/>
  <c r="U135" i="52"/>
  <c r="U160" i="52" s="1"/>
  <c r="AD145" i="52"/>
  <c r="L123" i="52"/>
  <c r="AH142" i="52"/>
  <c r="AC144" i="52"/>
  <c r="AF155" i="52"/>
  <c r="AD135" i="52"/>
  <c r="S138" i="52"/>
  <c r="N136" i="52"/>
  <c r="O144" i="52"/>
  <c r="T146" i="52"/>
  <c r="T142" i="52"/>
  <c r="Y155" i="52"/>
  <c r="P140" i="52"/>
  <c r="S141" i="52"/>
  <c r="AK148" i="52"/>
  <c r="P135" i="52"/>
  <c r="N138" i="52"/>
  <c r="S135" i="52"/>
  <c r="T141" i="52"/>
  <c r="X146" i="52"/>
  <c r="L135" i="52"/>
  <c r="N143" i="52"/>
  <c r="AD144" i="52"/>
  <c r="L156" i="52"/>
  <c r="AA138" i="52"/>
  <c r="R138" i="52"/>
  <c r="Q154" i="52"/>
  <c r="S139" i="52"/>
  <c r="AK145" i="52"/>
  <c r="T154" i="52"/>
  <c r="X138" i="52"/>
  <c r="W144" i="52"/>
  <c r="Q135" i="52"/>
  <c r="T138" i="52"/>
  <c r="P136" i="52"/>
  <c r="R140" i="52"/>
  <c r="U141" i="52"/>
  <c r="Y154" i="52"/>
  <c r="Y146" i="52"/>
  <c r="AC138" i="52"/>
  <c r="AA135" i="52"/>
  <c r="AA136" i="52"/>
  <c r="T143" i="52"/>
  <c r="AI144" i="52"/>
  <c r="R156" i="52"/>
  <c r="I151" i="52"/>
  <c r="G223" i="5" s="1"/>
  <c r="B90" i="52"/>
  <c r="B91" i="52" s="1"/>
  <c r="B92" i="52" s="1"/>
  <c r="B93" i="52" s="1"/>
  <c r="B94" i="52" s="1"/>
  <c r="B95" i="52" s="1"/>
  <c r="B96" i="52" s="1"/>
  <c r="B97" i="52" s="1"/>
  <c r="B98" i="52" s="1"/>
  <c r="B99" i="52" s="1"/>
  <c r="B100" i="52" s="1"/>
  <c r="B101" i="52" s="1"/>
  <c r="B88" i="52"/>
  <c r="B89" i="52" s="1"/>
  <c r="AB151" i="52"/>
  <c r="AH141" i="52"/>
  <c r="AJ143" i="52"/>
  <c r="X145" i="52"/>
  <c r="O151" i="52"/>
  <c r="AF154" i="52"/>
  <c r="S155" i="52"/>
  <c r="AG155" i="52"/>
  <c r="T156" i="52"/>
  <c r="AH156" i="52"/>
  <c r="AC135" i="52"/>
  <c r="AF138" i="52"/>
  <c r="AI141" i="52"/>
  <c r="V142" i="52"/>
  <c r="AJ142" i="52"/>
  <c r="W143" i="52"/>
  <c r="AK143" i="52"/>
  <c r="X144" i="52"/>
  <c r="I145" i="52"/>
  <c r="Y145" i="52"/>
  <c r="M148" i="52"/>
  <c r="AA148" i="52"/>
  <c r="P151" i="52"/>
  <c r="AD151" i="52"/>
  <c r="AG154" i="52"/>
  <c r="T155" i="52"/>
  <c r="AH155" i="52"/>
  <c r="U156" i="52"/>
  <c r="AI156" i="52"/>
  <c r="M151" i="52"/>
  <c r="M135" i="52"/>
  <c r="U142" i="52"/>
  <c r="AJ141" i="52"/>
  <c r="X143" i="52"/>
  <c r="N148" i="52"/>
  <c r="AH154" i="52"/>
  <c r="U155" i="52"/>
  <c r="AI155" i="52"/>
  <c r="V156" i="52"/>
  <c r="AJ156" i="52"/>
  <c r="AI142" i="52"/>
  <c r="L148" i="52"/>
  <c r="AG138" i="52"/>
  <c r="AK142" i="52"/>
  <c r="Z145" i="52"/>
  <c r="AE135" i="52"/>
  <c r="AH138" i="52"/>
  <c r="AK141" i="52"/>
  <c r="X142" i="52"/>
  <c r="I143" i="52"/>
  <c r="Y143" i="52"/>
  <c r="L144" i="52"/>
  <c r="Z144" i="52"/>
  <c r="M145" i="52"/>
  <c r="AA145" i="52"/>
  <c r="O148" i="52"/>
  <c r="AC148" i="52"/>
  <c r="R151" i="52"/>
  <c r="AF151" i="52"/>
  <c r="AI154" i="52"/>
  <c r="V155" i="52"/>
  <c r="AJ155" i="52"/>
  <c r="W156" i="52"/>
  <c r="AK156" i="52"/>
  <c r="Y148" i="52"/>
  <c r="V143" i="52"/>
  <c r="Z148" i="52"/>
  <c r="AC151" i="52"/>
  <c r="W142" i="52"/>
  <c r="L145" i="52"/>
  <c r="AB148" i="52"/>
  <c r="Q151" i="52"/>
  <c r="AE151" i="52"/>
  <c r="AF135" i="52"/>
  <c r="S136" i="52"/>
  <c r="AI138" i="52"/>
  <c r="X141" i="52"/>
  <c r="I142" i="52"/>
  <c r="Y142" i="52"/>
  <c r="L143" i="52"/>
  <c r="Z143" i="52"/>
  <c r="M144" i="52"/>
  <c r="AA144" i="52"/>
  <c r="N145" i="52"/>
  <c r="AB145" i="52"/>
  <c r="P148" i="52"/>
  <c r="AD148" i="52"/>
  <c r="S151" i="52"/>
  <c r="AG151" i="52"/>
  <c r="AJ154" i="52"/>
  <c r="W155" i="52"/>
  <c r="AK155" i="52"/>
  <c r="X156" i="52"/>
  <c r="I148" i="52"/>
  <c r="N151" i="52"/>
  <c r="T136" i="52"/>
  <c r="AJ138" i="52"/>
  <c r="I141" i="52"/>
  <c r="Y141" i="52"/>
  <c r="L142" i="52"/>
  <c r="Z142" i="52"/>
  <c r="M143" i="52"/>
  <c r="AA143" i="52"/>
  <c r="O145" i="52"/>
  <c r="AC145" i="52"/>
  <c r="Q148" i="52"/>
  <c r="AE148" i="52"/>
  <c r="T151" i="52"/>
  <c r="AH151" i="52"/>
  <c r="AK154" i="52"/>
  <c r="X155" i="52"/>
  <c r="I156" i="52"/>
  <c r="Y156" i="52"/>
  <c r="AA151" i="52"/>
  <c r="AI151" i="52"/>
  <c r="AA141" i="52"/>
  <c r="AC143" i="52"/>
  <c r="AA156" i="52"/>
  <c r="I138" i="52"/>
  <c r="N141" i="52"/>
  <c r="N160" i="52" s="1"/>
  <c r="AC142" i="52"/>
  <c r="Q144" i="52"/>
  <c r="AK151" i="52"/>
  <c r="N156" i="52"/>
  <c r="X148" i="52"/>
  <c r="AH135" i="52"/>
  <c r="AK138" i="52"/>
  <c r="AF148" i="52"/>
  <c r="AI135" i="52"/>
  <c r="AB142" i="52"/>
  <c r="O143" i="52"/>
  <c r="Q145" i="52"/>
  <c r="S148" i="52"/>
  <c r="AG148" i="52"/>
  <c r="V151" i="52"/>
  <c r="I154" i="52"/>
  <c r="L155" i="52"/>
  <c r="V135" i="52"/>
  <c r="AJ135" i="52"/>
  <c r="AB141" i="52"/>
  <c r="AB160" i="52" s="1"/>
  <c r="O142" i="52"/>
  <c r="P143" i="52"/>
  <c r="AD143" i="52"/>
  <c r="AE144" i="52"/>
  <c r="R145" i="52"/>
  <c r="AF145" i="52"/>
  <c r="T148" i="52"/>
  <c r="AH148" i="52"/>
  <c r="W151" i="52"/>
  <c r="L154" i="52"/>
  <c r="M155" i="52"/>
  <c r="AA155" i="52"/>
  <c r="AA160" i="52" s="1"/>
  <c r="AB156" i="52"/>
  <c r="W135" i="52"/>
  <c r="AK135" i="52"/>
  <c r="L138" i="52"/>
  <c r="O141" i="52"/>
  <c r="AC141" i="52"/>
  <c r="P142" i="52"/>
  <c r="AD142" i="52"/>
  <c r="Q143" i="52"/>
  <c r="AE143" i="52"/>
  <c r="R144" i="52"/>
  <c r="AF144" i="52"/>
  <c r="S145" i="52"/>
  <c r="AG145" i="52"/>
  <c r="U148" i="52"/>
  <c r="AI148" i="52"/>
  <c r="X151" i="52"/>
  <c r="M154" i="52"/>
  <c r="N155" i="52"/>
  <c r="AB155" i="52"/>
  <c r="O156" i="52"/>
  <c r="AC156" i="52"/>
  <c r="AJ151" i="52"/>
  <c r="Z155" i="52"/>
  <c r="M138" i="52"/>
  <c r="P141" i="52"/>
  <c r="AD141" i="52"/>
  <c r="Q142" i="52"/>
  <c r="AE142" i="52"/>
  <c r="R143" i="52"/>
  <c r="AF143" i="52"/>
  <c r="S144" i="52"/>
  <c r="AG144" i="52"/>
  <c r="T145" i="52"/>
  <c r="AH145" i="52"/>
  <c r="V148" i="52"/>
  <c r="AJ148" i="52"/>
  <c r="Y151" i="52"/>
  <c r="N154" i="52"/>
  <c r="O155" i="52"/>
  <c r="AC155" i="52"/>
  <c r="P156" i="52"/>
  <c r="AD156" i="52"/>
  <c r="T135" i="52"/>
  <c r="N142" i="52"/>
  <c r="AE145" i="52"/>
  <c r="M156" i="52"/>
  <c r="I135" i="52"/>
  <c r="Y135" i="52"/>
  <c r="Q141" i="52"/>
  <c r="AE141" i="52"/>
  <c r="R142" i="52"/>
  <c r="AF142" i="52"/>
  <c r="S143" i="52"/>
  <c r="T144" i="52"/>
  <c r="U145" i="52"/>
  <c r="AI145" i="52"/>
  <c r="W148" i="52"/>
  <c r="L151" i="52"/>
  <c r="P155" i="52"/>
  <c r="Q156" i="52"/>
  <c r="Z160" i="52" l="1"/>
  <c r="AD160" i="52"/>
  <c r="AI160" i="52"/>
  <c r="P160" i="52"/>
  <c r="R160" i="52"/>
  <c r="L160" i="52"/>
  <c r="O160" i="52"/>
  <c r="V160" i="52"/>
  <c r="S160" i="52"/>
  <c r="Q160" i="52"/>
  <c r="Y160" i="52"/>
  <c r="X160" i="52"/>
  <c r="AG160" i="52"/>
  <c r="AC160" i="52"/>
  <c r="AF160" i="52"/>
  <c r="AE160" i="52"/>
  <c r="M160" i="52"/>
  <c r="I160" i="52"/>
  <c r="T160" i="52"/>
  <c r="W160" i="52"/>
  <c r="AK160" i="52"/>
  <c r="AH160" i="52"/>
  <c r="AJ160" i="52"/>
  <c r="H99" i="5" l="1"/>
  <c r="H98" i="5"/>
  <c r="H100" i="5"/>
  <c r="G97" i="5" l="1"/>
  <c r="K98" i="5"/>
  <c r="K16" i="4"/>
  <c r="M663" i="20" l="1"/>
  <c r="M662" i="20"/>
  <c r="M661" i="20"/>
  <c r="M660" i="20"/>
  <c r="M659" i="20"/>
  <c r="M658" i="20"/>
  <c r="M657" i="20"/>
  <c r="M656" i="20"/>
  <c r="M655" i="20"/>
  <c r="M654" i="20"/>
  <c r="M653" i="20"/>
  <c r="M652" i="20"/>
  <c r="M651" i="20"/>
  <c r="M650" i="20"/>
  <c r="M649" i="20"/>
  <c r="M648" i="20"/>
  <c r="M647" i="20"/>
  <c r="M646" i="20"/>
  <c r="M645" i="20"/>
  <c r="M644" i="20"/>
  <c r="M643" i="20"/>
  <c r="M642" i="20"/>
  <c r="M641" i="20"/>
  <c r="M640" i="20"/>
  <c r="M639" i="20"/>
  <c r="M638" i="20"/>
  <c r="M637" i="20"/>
  <c r="M636" i="20"/>
  <c r="M635" i="20"/>
  <c r="M634" i="20"/>
  <c r="M633" i="20"/>
  <c r="M632" i="20"/>
  <c r="M631" i="20"/>
  <c r="M630" i="20"/>
  <c r="M629" i="20"/>
  <c r="M628" i="20"/>
  <c r="M627" i="20"/>
  <c r="M626" i="20"/>
  <c r="M625" i="20"/>
  <c r="M624" i="20"/>
  <c r="M623" i="20"/>
  <c r="M622" i="20"/>
  <c r="M621" i="20"/>
  <c r="M620" i="20"/>
  <c r="M604" i="20"/>
  <c r="M603" i="20"/>
  <c r="M602" i="20"/>
  <c r="M601" i="20"/>
  <c r="M600" i="20"/>
  <c r="M599" i="20"/>
  <c r="M598" i="20"/>
  <c r="M597" i="20"/>
  <c r="M596" i="20"/>
  <c r="M595" i="20"/>
  <c r="M594" i="20"/>
  <c r="M593" i="20"/>
  <c r="M592" i="20"/>
  <c r="M591" i="20"/>
  <c r="M590" i="20"/>
  <c r="M589" i="20"/>
  <c r="M588" i="20"/>
  <c r="M587" i="20"/>
  <c r="M586" i="20"/>
  <c r="M585" i="20"/>
  <c r="M584" i="20"/>
  <c r="M583" i="20"/>
  <c r="M582" i="20"/>
  <c r="M581" i="20"/>
  <c r="M580" i="20"/>
  <c r="M579" i="20"/>
  <c r="M578" i="20"/>
  <c r="M577" i="20"/>
  <c r="M576" i="20"/>
  <c r="M575" i="20"/>
  <c r="M574" i="20"/>
  <c r="M573" i="20"/>
  <c r="M572" i="20"/>
  <c r="M571" i="20"/>
  <c r="M570" i="20"/>
  <c r="M569" i="20"/>
  <c r="M568" i="20"/>
  <c r="M567" i="20"/>
  <c r="M566" i="20"/>
  <c r="M552" i="20"/>
  <c r="M551" i="20"/>
  <c r="M550" i="20"/>
  <c r="M549" i="20"/>
  <c r="M548" i="20"/>
  <c r="M547" i="20"/>
  <c r="M546" i="20"/>
  <c r="M545" i="20"/>
  <c r="M544" i="20"/>
  <c r="M543" i="20"/>
  <c r="M542" i="20"/>
  <c r="M541" i="20"/>
  <c r="M540" i="20"/>
  <c r="M539" i="20"/>
  <c r="M538" i="20"/>
  <c r="M537" i="20"/>
  <c r="M536" i="20"/>
  <c r="M535" i="20"/>
  <c r="M534" i="20"/>
  <c r="M533" i="20"/>
  <c r="M532" i="20"/>
  <c r="M531" i="20"/>
  <c r="M530" i="20"/>
  <c r="M529" i="20"/>
  <c r="M528" i="20"/>
  <c r="M527" i="20"/>
  <c r="M526" i="20"/>
  <c r="M525" i="20"/>
  <c r="M524" i="20"/>
  <c r="M523" i="20"/>
  <c r="M522" i="20"/>
  <c r="M521" i="20"/>
  <c r="M520" i="20"/>
  <c r="M519" i="20"/>
  <c r="M518" i="20"/>
  <c r="M517" i="20"/>
  <c r="M516" i="20"/>
  <c r="M515" i="20"/>
  <c r="M514" i="20"/>
  <c r="M499" i="20"/>
  <c r="M498" i="20"/>
  <c r="M497" i="20"/>
  <c r="M496" i="20"/>
  <c r="M495" i="20"/>
  <c r="M494" i="20"/>
  <c r="M493" i="20"/>
  <c r="M492" i="20"/>
  <c r="M491" i="20"/>
  <c r="M490" i="20"/>
  <c r="M489" i="20"/>
  <c r="M488" i="20"/>
  <c r="M487" i="20"/>
  <c r="M486" i="20"/>
  <c r="M485" i="20"/>
  <c r="M484" i="20"/>
  <c r="M483" i="20"/>
  <c r="M482" i="20"/>
  <c r="M481" i="20"/>
  <c r="M480" i="20"/>
  <c r="M479" i="20"/>
  <c r="M478" i="20"/>
  <c r="M477" i="20"/>
  <c r="M476" i="20"/>
  <c r="M475" i="20"/>
  <c r="M474" i="20"/>
  <c r="M473" i="20"/>
  <c r="M472" i="20"/>
  <c r="M471" i="20"/>
  <c r="M470" i="20"/>
  <c r="M469" i="20"/>
  <c r="M468" i="20"/>
  <c r="M467" i="20"/>
  <c r="M466" i="20"/>
  <c r="M465" i="20"/>
  <c r="M464" i="20"/>
  <c r="M463" i="20"/>
  <c r="M462" i="20"/>
  <c r="M461" i="20"/>
  <c r="M447" i="20"/>
  <c r="M446" i="20"/>
  <c r="M445" i="20"/>
  <c r="M444" i="20"/>
  <c r="M443" i="20"/>
  <c r="M442" i="20"/>
  <c r="M441" i="20"/>
  <c r="M440" i="20"/>
  <c r="M439" i="20"/>
  <c r="M438" i="20"/>
  <c r="M437" i="20"/>
  <c r="M436" i="20"/>
  <c r="M435" i="20"/>
  <c r="M434" i="20"/>
  <c r="M433" i="20"/>
  <c r="M432" i="20"/>
  <c r="M431" i="20"/>
  <c r="M430" i="20"/>
  <c r="M429" i="20"/>
  <c r="M428" i="20"/>
  <c r="M427" i="20"/>
  <c r="M426" i="20"/>
  <c r="M425" i="20"/>
  <c r="M424" i="20"/>
  <c r="M423" i="20"/>
  <c r="M422" i="20"/>
  <c r="M421" i="20"/>
  <c r="M420" i="20"/>
  <c r="M419" i="20"/>
  <c r="M418" i="20"/>
  <c r="M417" i="20"/>
  <c r="M416" i="20"/>
  <c r="M415" i="20"/>
  <c r="M414" i="20"/>
  <c r="M413" i="20"/>
  <c r="M412" i="20"/>
  <c r="M411" i="20"/>
  <c r="M410" i="20"/>
  <c r="M409" i="20"/>
  <c r="M408" i="20"/>
  <c r="M391" i="20"/>
  <c r="M390" i="20"/>
  <c r="M389" i="20"/>
  <c r="M388" i="20"/>
  <c r="M387" i="20"/>
  <c r="M386" i="20"/>
  <c r="M385" i="20"/>
  <c r="M384" i="20"/>
  <c r="M383" i="20"/>
  <c r="M382" i="20"/>
  <c r="M381" i="20"/>
  <c r="M380" i="20"/>
  <c r="M379" i="20"/>
  <c r="M378" i="20"/>
  <c r="M377" i="20"/>
  <c r="M376" i="20"/>
  <c r="M375" i="20"/>
  <c r="M374" i="20"/>
  <c r="M373" i="20"/>
  <c r="M372" i="20"/>
  <c r="M371" i="20"/>
  <c r="M370" i="20"/>
  <c r="M369" i="20"/>
  <c r="M368" i="20"/>
  <c r="M367" i="20"/>
  <c r="M366" i="20"/>
  <c r="M365" i="20"/>
  <c r="M364" i="20"/>
  <c r="M363" i="20"/>
  <c r="M362" i="20"/>
  <c r="M361" i="20"/>
  <c r="M360" i="20"/>
  <c r="M359" i="20"/>
  <c r="M358" i="20"/>
  <c r="M357" i="20"/>
  <c r="M356" i="20"/>
  <c r="M355" i="20"/>
  <c r="M354" i="20"/>
  <c r="M353" i="20"/>
  <c r="M352" i="20"/>
  <c r="M351" i="20"/>
  <c r="M350" i="20"/>
  <c r="M349" i="20"/>
  <c r="M348" i="20"/>
  <c r="M8" i="20"/>
  <c r="L348" i="20" l="1"/>
  <c r="N348" i="20"/>
  <c r="L349" i="20"/>
  <c r="N349" i="20"/>
  <c r="L350" i="20"/>
  <c r="N350" i="20"/>
  <c r="L351" i="20"/>
  <c r="N351" i="20"/>
  <c r="L352" i="20"/>
  <c r="N352" i="20"/>
  <c r="L353" i="20"/>
  <c r="N353" i="20"/>
  <c r="L354" i="20"/>
  <c r="N354" i="20"/>
  <c r="L355" i="20"/>
  <c r="N355" i="20"/>
  <c r="L356" i="20"/>
  <c r="N356" i="20"/>
  <c r="L357" i="20"/>
  <c r="N357" i="20"/>
  <c r="L358" i="20"/>
  <c r="N358" i="20"/>
  <c r="L359" i="20"/>
  <c r="N359" i="20"/>
  <c r="L360" i="20"/>
  <c r="N360" i="20"/>
  <c r="L361" i="20"/>
  <c r="N361" i="20"/>
  <c r="L362" i="20"/>
  <c r="N362" i="20"/>
  <c r="L363" i="20"/>
  <c r="N363" i="20"/>
  <c r="L364" i="20"/>
  <c r="N364" i="20"/>
  <c r="L365" i="20"/>
  <c r="N365" i="20"/>
  <c r="L366" i="20"/>
  <c r="N366" i="20"/>
  <c r="L367" i="20"/>
  <c r="N367" i="20"/>
  <c r="L368" i="20"/>
  <c r="N368" i="20"/>
  <c r="L369" i="20"/>
  <c r="N369" i="20"/>
  <c r="L370" i="20"/>
  <c r="N370" i="20"/>
  <c r="L371" i="20"/>
  <c r="N371" i="20"/>
  <c r="L372" i="20"/>
  <c r="N372" i="20"/>
  <c r="L373" i="20"/>
  <c r="N373" i="20"/>
  <c r="L374" i="20"/>
  <c r="N374" i="20"/>
  <c r="L375" i="20"/>
  <c r="N375" i="20"/>
  <c r="L376" i="20"/>
  <c r="N376" i="20"/>
  <c r="L377" i="20"/>
  <c r="N377" i="20"/>
  <c r="L378" i="20"/>
  <c r="N378" i="20"/>
  <c r="L379" i="20"/>
  <c r="N379" i="20"/>
  <c r="L380" i="20"/>
  <c r="N380" i="20"/>
  <c r="L381" i="20"/>
  <c r="N381" i="20"/>
  <c r="L382" i="20"/>
  <c r="N382" i="20"/>
  <c r="L383" i="20"/>
  <c r="N383" i="20"/>
  <c r="L384" i="20"/>
  <c r="N384" i="20"/>
  <c r="L385" i="20"/>
  <c r="N385" i="20"/>
  <c r="L386" i="20"/>
  <c r="N386" i="20"/>
  <c r="L387" i="20"/>
  <c r="N387" i="20"/>
  <c r="L388" i="20"/>
  <c r="N388" i="20"/>
  <c r="L389" i="20"/>
  <c r="N389" i="20"/>
  <c r="L390" i="20"/>
  <c r="N390" i="20"/>
  <c r="L391" i="20"/>
  <c r="N391" i="20"/>
  <c r="M392" i="20"/>
  <c r="L392" i="20" s="1"/>
  <c r="N392" i="20"/>
  <c r="M393" i="20"/>
  <c r="L393" i="20" s="1"/>
  <c r="N393" i="20"/>
  <c r="M394" i="20"/>
  <c r="L394" i="20" s="1"/>
  <c r="N394" i="20"/>
  <c r="M395" i="20"/>
  <c r="L395" i="20" s="1"/>
  <c r="N395" i="20"/>
  <c r="M396" i="20"/>
  <c r="L396" i="20" s="1"/>
  <c r="N396" i="20"/>
  <c r="M397" i="20"/>
  <c r="L397" i="20" s="1"/>
  <c r="N397" i="20"/>
  <c r="M398" i="20"/>
  <c r="L398" i="20" s="1"/>
  <c r="N398" i="20"/>
  <c r="M399" i="20"/>
  <c r="L399" i="20" s="1"/>
  <c r="N399" i="20"/>
  <c r="M400" i="20"/>
  <c r="L400" i="20" s="1"/>
  <c r="N400" i="20"/>
  <c r="M401" i="20"/>
  <c r="L401" i="20" s="1"/>
  <c r="N401" i="20"/>
  <c r="M402" i="20"/>
  <c r="L402" i="20" s="1"/>
  <c r="N402" i="20"/>
  <c r="M403" i="20"/>
  <c r="L403" i="20" s="1"/>
  <c r="N403" i="20"/>
  <c r="M404" i="20"/>
  <c r="L404" i="20" s="1"/>
  <c r="N404" i="20"/>
  <c r="M405" i="20"/>
  <c r="L405" i="20" s="1"/>
  <c r="N405" i="20"/>
  <c r="M406" i="20"/>
  <c r="L406" i="20" s="1"/>
  <c r="N406" i="20"/>
  <c r="M407" i="20"/>
  <c r="L407" i="20" s="1"/>
  <c r="N407" i="20"/>
  <c r="L408" i="20"/>
  <c r="N408" i="20"/>
  <c r="L409" i="20"/>
  <c r="N409" i="20"/>
  <c r="L410" i="20"/>
  <c r="N410" i="20"/>
  <c r="L411" i="20"/>
  <c r="N411" i="20"/>
  <c r="L412" i="20"/>
  <c r="N412" i="20"/>
  <c r="L413" i="20"/>
  <c r="N413" i="20"/>
  <c r="L414" i="20"/>
  <c r="N414" i="20"/>
  <c r="L415" i="20"/>
  <c r="N415" i="20"/>
  <c r="L416" i="20"/>
  <c r="N416" i="20"/>
  <c r="L417" i="20"/>
  <c r="N417" i="20"/>
  <c r="L418" i="20"/>
  <c r="N418" i="20"/>
  <c r="L419" i="20"/>
  <c r="N419" i="20"/>
  <c r="L420" i="20"/>
  <c r="N420" i="20"/>
  <c r="L421" i="20"/>
  <c r="N421" i="20"/>
  <c r="L422" i="20"/>
  <c r="N422" i="20"/>
  <c r="L423" i="20"/>
  <c r="N423" i="20"/>
  <c r="L424" i="20"/>
  <c r="N424" i="20"/>
  <c r="L425" i="20"/>
  <c r="N425" i="20"/>
  <c r="L426" i="20"/>
  <c r="N426" i="20"/>
  <c r="L427" i="20"/>
  <c r="N427" i="20"/>
  <c r="L428" i="20"/>
  <c r="N428" i="20"/>
  <c r="L429" i="20"/>
  <c r="N429" i="20"/>
  <c r="L430" i="20"/>
  <c r="N430" i="20"/>
  <c r="L431" i="20"/>
  <c r="N431" i="20"/>
  <c r="L432" i="20"/>
  <c r="N432" i="20"/>
  <c r="L433" i="20"/>
  <c r="N433" i="20"/>
  <c r="L434" i="20"/>
  <c r="N434" i="20"/>
  <c r="L435" i="20"/>
  <c r="N435" i="20"/>
  <c r="L436" i="20"/>
  <c r="N436" i="20"/>
  <c r="L437" i="20"/>
  <c r="N437" i="20"/>
  <c r="L438" i="20"/>
  <c r="N438" i="20"/>
  <c r="L439" i="20"/>
  <c r="N439" i="20"/>
  <c r="L440" i="20"/>
  <c r="N440" i="20"/>
  <c r="L441" i="20"/>
  <c r="N441" i="20"/>
  <c r="L442" i="20"/>
  <c r="N442" i="20"/>
  <c r="L443" i="20"/>
  <c r="N443" i="20"/>
  <c r="L444" i="20"/>
  <c r="N444" i="20"/>
  <c r="L445" i="20"/>
  <c r="N445" i="20"/>
  <c r="L446" i="20"/>
  <c r="N446" i="20"/>
  <c r="L447" i="20"/>
  <c r="N447" i="20"/>
  <c r="M448" i="20"/>
  <c r="L448" i="20" s="1"/>
  <c r="N448" i="20"/>
  <c r="M449" i="20"/>
  <c r="L449" i="20" s="1"/>
  <c r="N449" i="20"/>
  <c r="M450" i="20"/>
  <c r="L450" i="20" s="1"/>
  <c r="N450" i="20"/>
  <c r="M451" i="20"/>
  <c r="L451" i="20" s="1"/>
  <c r="N451" i="20"/>
  <c r="M452" i="20"/>
  <c r="L452" i="20" s="1"/>
  <c r="N452" i="20"/>
  <c r="M453" i="20"/>
  <c r="L453" i="20" s="1"/>
  <c r="N453" i="20"/>
  <c r="M454" i="20"/>
  <c r="L454" i="20" s="1"/>
  <c r="N454" i="20"/>
  <c r="M455" i="20"/>
  <c r="L455" i="20" s="1"/>
  <c r="N455" i="20"/>
  <c r="M456" i="20"/>
  <c r="L456" i="20" s="1"/>
  <c r="N456" i="20"/>
  <c r="M457" i="20"/>
  <c r="L457" i="20" s="1"/>
  <c r="N457" i="20"/>
  <c r="M458" i="20"/>
  <c r="L458" i="20" s="1"/>
  <c r="N458" i="20"/>
  <c r="M459" i="20"/>
  <c r="L459" i="20" s="1"/>
  <c r="N459" i="20"/>
  <c r="M460" i="20"/>
  <c r="L460" i="20" s="1"/>
  <c r="N460" i="20"/>
  <c r="L461" i="20"/>
  <c r="N461" i="20"/>
  <c r="L462" i="20"/>
  <c r="N462" i="20"/>
  <c r="L463" i="20"/>
  <c r="N463" i="20"/>
  <c r="L464" i="20"/>
  <c r="N464" i="20"/>
  <c r="L465" i="20"/>
  <c r="N465" i="20"/>
  <c r="L466" i="20"/>
  <c r="N466" i="20"/>
  <c r="L467" i="20"/>
  <c r="N467" i="20"/>
  <c r="L468" i="20"/>
  <c r="N468" i="20"/>
  <c r="L469" i="20"/>
  <c r="N469" i="20"/>
  <c r="L470" i="20"/>
  <c r="N470" i="20"/>
  <c r="L471" i="20"/>
  <c r="N471" i="20"/>
  <c r="L472" i="20"/>
  <c r="N472" i="20"/>
  <c r="L473" i="20"/>
  <c r="N473" i="20"/>
  <c r="L474" i="20"/>
  <c r="N474" i="20"/>
  <c r="L475" i="20"/>
  <c r="N475" i="20"/>
  <c r="L476" i="20"/>
  <c r="N476" i="20"/>
  <c r="L477" i="20"/>
  <c r="N477" i="20"/>
  <c r="L478" i="20"/>
  <c r="N478" i="20"/>
  <c r="L479" i="20"/>
  <c r="N479" i="20"/>
  <c r="L480" i="20"/>
  <c r="N480" i="20"/>
  <c r="L481" i="20"/>
  <c r="N481" i="20"/>
  <c r="L482" i="20"/>
  <c r="N482" i="20"/>
  <c r="L483" i="20"/>
  <c r="N483" i="20"/>
  <c r="L484" i="20"/>
  <c r="N484" i="20"/>
  <c r="L485" i="20"/>
  <c r="N485" i="20"/>
  <c r="L486" i="20"/>
  <c r="N486" i="20"/>
  <c r="L487" i="20"/>
  <c r="N487" i="20"/>
  <c r="L488" i="20"/>
  <c r="N488" i="20"/>
  <c r="L489" i="20"/>
  <c r="N489" i="20"/>
  <c r="L490" i="20"/>
  <c r="N490" i="20"/>
  <c r="L491" i="20"/>
  <c r="N491" i="20"/>
  <c r="L492" i="20"/>
  <c r="N492" i="20"/>
  <c r="L493" i="20"/>
  <c r="N493" i="20"/>
  <c r="L494" i="20"/>
  <c r="N494" i="20"/>
  <c r="L495" i="20"/>
  <c r="N495" i="20"/>
  <c r="L496" i="20"/>
  <c r="N496" i="20"/>
  <c r="L497" i="20"/>
  <c r="N497" i="20"/>
  <c r="L498" i="20"/>
  <c r="N498" i="20"/>
  <c r="L499" i="20"/>
  <c r="N499" i="20"/>
  <c r="M500" i="20"/>
  <c r="L500" i="20" s="1"/>
  <c r="N500" i="20"/>
  <c r="M501" i="20"/>
  <c r="L501" i="20" s="1"/>
  <c r="N501" i="20"/>
  <c r="M502" i="20"/>
  <c r="L502" i="20" s="1"/>
  <c r="N502" i="20"/>
  <c r="M503" i="20"/>
  <c r="L503" i="20" s="1"/>
  <c r="N503" i="20"/>
  <c r="M504" i="20"/>
  <c r="L504" i="20" s="1"/>
  <c r="N504" i="20"/>
  <c r="M505" i="20"/>
  <c r="L505" i="20" s="1"/>
  <c r="N505" i="20"/>
  <c r="M506" i="20"/>
  <c r="L506" i="20" s="1"/>
  <c r="N506" i="20"/>
  <c r="M507" i="20"/>
  <c r="L507" i="20" s="1"/>
  <c r="N507" i="20"/>
  <c r="M508" i="20"/>
  <c r="L508" i="20" s="1"/>
  <c r="N508" i="20"/>
  <c r="M509" i="20"/>
  <c r="L509" i="20" s="1"/>
  <c r="N509" i="20"/>
  <c r="M510" i="20"/>
  <c r="L510" i="20" s="1"/>
  <c r="N510" i="20"/>
  <c r="M511" i="20"/>
  <c r="L511" i="20" s="1"/>
  <c r="N511" i="20"/>
  <c r="M512" i="20"/>
  <c r="L512" i="20" s="1"/>
  <c r="N512" i="20"/>
  <c r="M513" i="20"/>
  <c r="L513" i="20" s="1"/>
  <c r="N513" i="20"/>
  <c r="L514" i="20"/>
  <c r="N514" i="20"/>
  <c r="L515" i="20"/>
  <c r="N515" i="20"/>
  <c r="L516" i="20"/>
  <c r="N516" i="20"/>
  <c r="L517" i="20"/>
  <c r="N517" i="20"/>
  <c r="L518" i="20"/>
  <c r="N518" i="20"/>
  <c r="L519" i="20"/>
  <c r="N519" i="20"/>
  <c r="L520" i="20"/>
  <c r="N520" i="20"/>
  <c r="L521" i="20"/>
  <c r="N521" i="20"/>
  <c r="L522" i="20"/>
  <c r="N522" i="20"/>
  <c r="L523" i="20"/>
  <c r="N523" i="20"/>
  <c r="L524" i="20"/>
  <c r="N524" i="20"/>
  <c r="L525" i="20"/>
  <c r="N525" i="20"/>
  <c r="L526" i="20"/>
  <c r="N526" i="20"/>
  <c r="L527" i="20"/>
  <c r="N527" i="20"/>
  <c r="L528" i="20"/>
  <c r="N528" i="20"/>
  <c r="L529" i="20"/>
  <c r="N529" i="20"/>
  <c r="L530" i="20"/>
  <c r="N530" i="20"/>
  <c r="L531" i="20"/>
  <c r="N531" i="20"/>
  <c r="L532" i="20"/>
  <c r="N532" i="20"/>
  <c r="L533" i="20"/>
  <c r="N533" i="20"/>
  <c r="L534" i="20"/>
  <c r="N534" i="20"/>
  <c r="L535" i="20"/>
  <c r="N535" i="20"/>
  <c r="L536" i="20"/>
  <c r="N536" i="20"/>
  <c r="L537" i="20"/>
  <c r="N537" i="20"/>
  <c r="L538" i="20"/>
  <c r="N538" i="20"/>
  <c r="L539" i="20"/>
  <c r="N539" i="20"/>
  <c r="L540" i="20"/>
  <c r="N540" i="20"/>
  <c r="L541" i="20"/>
  <c r="N541" i="20"/>
  <c r="L542" i="20"/>
  <c r="N542" i="20"/>
  <c r="L543" i="20"/>
  <c r="N543" i="20"/>
  <c r="L544" i="20"/>
  <c r="N544" i="20"/>
  <c r="L545" i="20"/>
  <c r="N545" i="20"/>
  <c r="L546" i="20"/>
  <c r="N546" i="20"/>
  <c r="L547" i="20"/>
  <c r="N547" i="20"/>
  <c r="L548" i="20"/>
  <c r="N548" i="20"/>
  <c r="L549" i="20"/>
  <c r="N549" i="20"/>
  <c r="L550" i="20"/>
  <c r="N550" i="20"/>
  <c r="L551" i="20"/>
  <c r="N551" i="20"/>
  <c r="L552" i="20"/>
  <c r="N552" i="20"/>
  <c r="M553" i="20"/>
  <c r="L553" i="20" s="1"/>
  <c r="N553" i="20"/>
  <c r="M554" i="20"/>
  <c r="L554" i="20" s="1"/>
  <c r="N554" i="20"/>
  <c r="M555" i="20"/>
  <c r="L555" i="20" s="1"/>
  <c r="N555" i="20"/>
  <c r="M556" i="20"/>
  <c r="L556" i="20" s="1"/>
  <c r="N556" i="20"/>
  <c r="M557" i="20"/>
  <c r="L557" i="20" s="1"/>
  <c r="N557" i="20"/>
  <c r="M558" i="20"/>
  <c r="L558" i="20" s="1"/>
  <c r="N558" i="20"/>
  <c r="M559" i="20"/>
  <c r="L559" i="20" s="1"/>
  <c r="N559" i="20"/>
  <c r="M560" i="20"/>
  <c r="L560" i="20" s="1"/>
  <c r="N560" i="20"/>
  <c r="M561" i="20"/>
  <c r="L561" i="20" s="1"/>
  <c r="N561" i="20"/>
  <c r="M562" i="20"/>
  <c r="L562" i="20" s="1"/>
  <c r="N562" i="20"/>
  <c r="M563" i="20"/>
  <c r="L563" i="20" s="1"/>
  <c r="N563" i="20"/>
  <c r="M564" i="20"/>
  <c r="L564" i="20" s="1"/>
  <c r="N564" i="20"/>
  <c r="M565" i="20"/>
  <c r="L565" i="20" s="1"/>
  <c r="N565" i="20"/>
  <c r="L566" i="20"/>
  <c r="N566" i="20"/>
  <c r="L567" i="20"/>
  <c r="N567" i="20"/>
  <c r="L568" i="20"/>
  <c r="N568" i="20"/>
  <c r="L569" i="20"/>
  <c r="N569" i="20"/>
  <c r="L570" i="20"/>
  <c r="N570" i="20"/>
  <c r="L571" i="20"/>
  <c r="N571" i="20"/>
  <c r="L572" i="20"/>
  <c r="N572" i="20"/>
  <c r="L573" i="20"/>
  <c r="N573" i="20"/>
  <c r="L574" i="20"/>
  <c r="N574" i="20"/>
  <c r="L575" i="20"/>
  <c r="N575" i="20"/>
  <c r="L576" i="20"/>
  <c r="N576" i="20"/>
  <c r="L577" i="20"/>
  <c r="N577" i="20"/>
  <c r="L578" i="20"/>
  <c r="N578" i="20"/>
  <c r="L579" i="20"/>
  <c r="N579" i="20"/>
  <c r="L580" i="20"/>
  <c r="N580" i="20"/>
  <c r="L581" i="20"/>
  <c r="N581" i="20"/>
  <c r="L582" i="20"/>
  <c r="N582" i="20"/>
  <c r="L583" i="20"/>
  <c r="N583" i="20"/>
  <c r="L584" i="20"/>
  <c r="N584" i="20"/>
  <c r="L585" i="20"/>
  <c r="N585" i="20"/>
  <c r="L586" i="20"/>
  <c r="N586" i="20"/>
  <c r="L587" i="20"/>
  <c r="N587" i="20"/>
  <c r="L588" i="20"/>
  <c r="N588" i="20"/>
  <c r="L589" i="20"/>
  <c r="N589" i="20"/>
  <c r="L590" i="20"/>
  <c r="N590" i="20"/>
  <c r="L591" i="20"/>
  <c r="N591" i="20"/>
  <c r="L592" i="20"/>
  <c r="N592" i="20"/>
  <c r="L593" i="20"/>
  <c r="N593" i="20"/>
  <c r="L594" i="20"/>
  <c r="N594" i="20"/>
  <c r="L595" i="20"/>
  <c r="N595" i="20"/>
  <c r="L596" i="20"/>
  <c r="N596" i="20"/>
  <c r="L597" i="20"/>
  <c r="N597" i="20"/>
  <c r="L598" i="20"/>
  <c r="N598" i="20"/>
  <c r="L599" i="20"/>
  <c r="N599" i="20"/>
  <c r="L600" i="20"/>
  <c r="N600" i="20"/>
  <c r="L601" i="20"/>
  <c r="N601" i="20"/>
  <c r="L602" i="20"/>
  <c r="N602" i="20"/>
  <c r="L603" i="20"/>
  <c r="N603" i="20"/>
  <c r="L604" i="20"/>
  <c r="N604" i="20"/>
  <c r="M605" i="20"/>
  <c r="L605" i="20" s="1"/>
  <c r="N605" i="20"/>
  <c r="M606" i="20"/>
  <c r="L606" i="20" s="1"/>
  <c r="N606" i="20"/>
  <c r="M607" i="20"/>
  <c r="L607" i="20" s="1"/>
  <c r="N607" i="20"/>
  <c r="M608" i="20"/>
  <c r="L608" i="20" s="1"/>
  <c r="N608" i="20"/>
  <c r="M609" i="20"/>
  <c r="L609" i="20" s="1"/>
  <c r="N609" i="20"/>
  <c r="M610" i="20"/>
  <c r="L610" i="20" s="1"/>
  <c r="N610" i="20"/>
  <c r="M611" i="20"/>
  <c r="L611" i="20" s="1"/>
  <c r="N611" i="20"/>
  <c r="M612" i="20"/>
  <c r="L612" i="20" s="1"/>
  <c r="N612" i="20"/>
  <c r="M613" i="20"/>
  <c r="L613" i="20" s="1"/>
  <c r="N613" i="20"/>
  <c r="M614" i="20"/>
  <c r="L614" i="20" s="1"/>
  <c r="N614" i="20"/>
  <c r="M615" i="20"/>
  <c r="L615" i="20" s="1"/>
  <c r="N615" i="20"/>
  <c r="M616" i="20"/>
  <c r="L616" i="20" s="1"/>
  <c r="N616" i="20"/>
  <c r="M617" i="20"/>
  <c r="L617" i="20" s="1"/>
  <c r="N617" i="20"/>
  <c r="M618" i="20"/>
  <c r="L618" i="20" s="1"/>
  <c r="N618" i="20"/>
  <c r="M619" i="20"/>
  <c r="L619" i="20" s="1"/>
  <c r="N619" i="20"/>
  <c r="L620" i="20"/>
  <c r="N620" i="20"/>
  <c r="L621" i="20"/>
  <c r="N621" i="20"/>
  <c r="L622" i="20"/>
  <c r="N622" i="20"/>
  <c r="L623" i="20"/>
  <c r="N623" i="20"/>
  <c r="L624" i="20"/>
  <c r="N624" i="20"/>
  <c r="L625" i="20"/>
  <c r="N625" i="20"/>
  <c r="L626" i="20"/>
  <c r="N626" i="20"/>
  <c r="L627" i="20"/>
  <c r="N627" i="20"/>
  <c r="L628" i="20"/>
  <c r="N628" i="20"/>
  <c r="L629" i="20"/>
  <c r="N629" i="20"/>
  <c r="L630" i="20"/>
  <c r="N630" i="20"/>
  <c r="L631" i="20"/>
  <c r="N631" i="20"/>
  <c r="L632" i="20"/>
  <c r="N632" i="20"/>
  <c r="L633" i="20"/>
  <c r="N633" i="20"/>
  <c r="L634" i="20"/>
  <c r="N634" i="20"/>
  <c r="L635" i="20"/>
  <c r="N635" i="20"/>
  <c r="L636" i="20"/>
  <c r="N636" i="20"/>
  <c r="L637" i="20"/>
  <c r="N637" i="20"/>
  <c r="L638" i="20"/>
  <c r="N638" i="20"/>
  <c r="L639" i="20"/>
  <c r="N639" i="20"/>
  <c r="L640" i="20"/>
  <c r="N640" i="20"/>
  <c r="L641" i="20"/>
  <c r="N641" i="20"/>
  <c r="L642" i="20"/>
  <c r="N642" i="20"/>
  <c r="L643" i="20"/>
  <c r="N643" i="20"/>
  <c r="L644" i="20"/>
  <c r="N644" i="20"/>
  <c r="L645" i="20"/>
  <c r="N645" i="20"/>
  <c r="L646" i="20"/>
  <c r="N646" i="20"/>
  <c r="L647" i="20"/>
  <c r="N647" i="20"/>
  <c r="L648" i="20"/>
  <c r="N648" i="20"/>
  <c r="L649" i="20"/>
  <c r="N649" i="20"/>
  <c r="L650" i="20"/>
  <c r="N650" i="20"/>
  <c r="L651" i="20"/>
  <c r="N651" i="20"/>
  <c r="L652" i="20"/>
  <c r="N652" i="20"/>
  <c r="L653" i="20"/>
  <c r="N653" i="20"/>
  <c r="L654" i="20"/>
  <c r="N654" i="20"/>
  <c r="L655" i="20"/>
  <c r="N655" i="20"/>
  <c r="L656" i="20"/>
  <c r="N656" i="20"/>
  <c r="L657" i="20"/>
  <c r="N657" i="20"/>
  <c r="L658" i="20"/>
  <c r="N658" i="20"/>
  <c r="L659" i="20"/>
  <c r="N659" i="20"/>
  <c r="L660" i="20"/>
  <c r="N660" i="20"/>
  <c r="L661" i="20"/>
  <c r="N661" i="20"/>
  <c r="L662" i="20"/>
  <c r="N662" i="20"/>
  <c r="L663" i="20"/>
  <c r="N663" i="20"/>
  <c r="M664" i="20"/>
  <c r="L664" i="20" s="1"/>
  <c r="N664" i="20"/>
  <c r="M665" i="20"/>
  <c r="L665" i="20" s="1"/>
  <c r="N665" i="20"/>
  <c r="M666" i="20"/>
  <c r="L666" i="20" s="1"/>
  <c r="N666" i="20"/>
  <c r="M667" i="20"/>
  <c r="L667" i="20" s="1"/>
  <c r="N667" i="20"/>
  <c r="M668" i="20"/>
  <c r="L668" i="20" s="1"/>
  <c r="N668" i="20"/>
  <c r="M669" i="20"/>
  <c r="L669" i="20" s="1"/>
  <c r="N669" i="20"/>
  <c r="M670" i="20"/>
  <c r="L670" i="20" s="1"/>
  <c r="N670" i="20"/>
  <c r="M671" i="20"/>
  <c r="L671" i="20" s="1"/>
  <c r="N671" i="20"/>
  <c r="M672" i="20"/>
  <c r="L672" i="20" s="1"/>
  <c r="N672" i="20"/>
  <c r="M673" i="20"/>
  <c r="L673" i="20" s="1"/>
  <c r="N673" i="20"/>
  <c r="M674" i="20"/>
  <c r="L674" i="20" s="1"/>
  <c r="N674" i="20"/>
  <c r="M675" i="20"/>
  <c r="L675" i="20" s="1"/>
  <c r="N675" i="20"/>
  <c r="M676" i="20"/>
  <c r="L676" i="20" s="1"/>
  <c r="N676" i="20"/>
  <c r="M677" i="20"/>
  <c r="L677" i="20" s="1"/>
  <c r="N677" i="20"/>
  <c r="M678" i="20"/>
  <c r="L678" i="20" s="1"/>
  <c r="N678" i="20"/>
  <c r="M679" i="20"/>
  <c r="L679" i="20" s="1"/>
  <c r="N679" i="20"/>
  <c r="M680" i="20"/>
  <c r="L680" i="20" s="1"/>
  <c r="N680" i="20"/>
  <c r="M681" i="20"/>
  <c r="L681" i="20" s="1"/>
  <c r="N681" i="20"/>
  <c r="M682" i="20"/>
  <c r="L682" i="20" s="1"/>
  <c r="N682" i="20"/>
  <c r="M683" i="20"/>
  <c r="L683" i="20" s="1"/>
  <c r="N683" i="20"/>
  <c r="M257" i="20"/>
  <c r="M258" i="20"/>
  <c r="L258" i="20" s="1"/>
  <c r="M259" i="20"/>
  <c r="L259" i="20" s="1"/>
  <c r="M260" i="20"/>
  <c r="L260" i="20" s="1"/>
  <c r="M261" i="20"/>
  <c r="L261" i="20" s="1"/>
  <c r="M262" i="20"/>
  <c r="L262" i="20" s="1"/>
  <c r="M263" i="20"/>
  <c r="L263" i="20" s="1"/>
  <c r="M264" i="20"/>
  <c r="L264" i="20" s="1"/>
  <c r="M265" i="20"/>
  <c r="L265" i="20" s="1"/>
  <c r="M266" i="20"/>
  <c r="L266" i="20" s="1"/>
  <c r="M267" i="20"/>
  <c r="L267" i="20" s="1"/>
  <c r="M268" i="20"/>
  <c r="L268" i="20" s="1"/>
  <c r="M269" i="20"/>
  <c r="L269" i="20" s="1"/>
  <c r="M270" i="20"/>
  <c r="L270" i="20" s="1"/>
  <c r="M271" i="20"/>
  <c r="L271" i="20" s="1"/>
  <c r="M272" i="20"/>
  <c r="L272" i="20" s="1"/>
  <c r="M273" i="20"/>
  <c r="L273" i="20" s="1"/>
  <c r="M274" i="20"/>
  <c r="L274" i="20" s="1"/>
  <c r="M275" i="20"/>
  <c r="L275" i="20" s="1"/>
  <c r="M276" i="20"/>
  <c r="L276" i="20" s="1"/>
  <c r="M277" i="20"/>
  <c r="L277" i="20" s="1"/>
  <c r="M278" i="20"/>
  <c r="L278" i="20" s="1"/>
  <c r="M279" i="20"/>
  <c r="L279" i="20" s="1"/>
  <c r="M280" i="20"/>
  <c r="L280" i="20" s="1"/>
  <c r="M281" i="20"/>
  <c r="L281" i="20" s="1"/>
  <c r="M282" i="20"/>
  <c r="L282" i="20" s="1"/>
  <c r="M283" i="20"/>
  <c r="L283" i="20" s="1"/>
  <c r="M284" i="20"/>
  <c r="L284" i="20" s="1"/>
  <c r="M285" i="20"/>
  <c r="L285" i="20" s="1"/>
  <c r="M286" i="20"/>
  <c r="L286" i="20" s="1"/>
  <c r="M287" i="20"/>
  <c r="L287" i="20" s="1"/>
  <c r="M288" i="20"/>
  <c r="L288" i="20" s="1"/>
  <c r="M289" i="20"/>
  <c r="L289" i="20" s="1"/>
  <c r="M290" i="20"/>
  <c r="L290" i="20" s="1"/>
  <c r="M291" i="20"/>
  <c r="L291" i="20" s="1"/>
  <c r="M292" i="20"/>
  <c r="L292" i="20" s="1"/>
  <c r="M293" i="20"/>
  <c r="L293" i="20" s="1"/>
  <c r="M294" i="20"/>
  <c r="L294" i="20" s="1"/>
  <c r="M295" i="20"/>
  <c r="L295" i="20" s="1"/>
  <c r="M296" i="20"/>
  <c r="L296" i="20" s="1"/>
  <c r="M297" i="20"/>
  <c r="L297" i="20" s="1"/>
  <c r="M298" i="20"/>
  <c r="L298" i="20" s="1"/>
  <c r="M299" i="20"/>
  <c r="L299" i="20" s="1"/>
  <c r="M300" i="20"/>
  <c r="L300" i="20" s="1"/>
  <c r="M301" i="20"/>
  <c r="L301" i="20" s="1"/>
  <c r="M302" i="20"/>
  <c r="L302" i="20" s="1"/>
  <c r="M303" i="20"/>
  <c r="L303" i="20" s="1"/>
  <c r="M304" i="20"/>
  <c r="L304" i="20" s="1"/>
  <c r="M305" i="20"/>
  <c r="L305" i="20" s="1"/>
  <c r="M306" i="20"/>
  <c r="L306" i="20" s="1"/>
  <c r="M307" i="20"/>
  <c r="L307" i="20" s="1"/>
  <c r="M308" i="20"/>
  <c r="L308" i="20" s="1"/>
  <c r="M309" i="20"/>
  <c r="L309" i="20" s="1"/>
  <c r="M310" i="20"/>
  <c r="L310" i="20" s="1"/>
  <c r="M311" i="20"/>
  <c r="L311" i="20" s="1"/>
  <c r="M312" i="20"/>
  <c r="L312" i="20" s="1"/>
  <c r="M313" i="20"/>
  <c r="M314" i="20"/>
  <c r="L314" i="20" s="1"/>
  <c r="M315" i="20"/>
  <c r="L315" i="20" s="1"/>
  <c r="M316" i="20"/>
  <c r="L316" i="20" s="1"/>
  <c r="M317" i="20"/>
  <c r="L317" i="20" s="1"/>
  <c r="M318" i="20"/>
  <c r="L318" i="20" s="1"/>
  <c r="M319" i="20"/>
  <c r="L319" i="20" s="1"/>
  <c r="M320" i="20"/>
  <c r="L320" i="20" s="1"/>
  <c r="M321" i="20"/>
  <c r="L321" i="20" s="1"/>
  <c r="M322" i="20"/>
  <c r="L322" i="20" s="1"/>
  <c r="M323" i="20"/>
  <c r="L323" i="20" s="1"/>
  <c r="M324" i="20"/>
  <c r="L324" i="20" s="1"/>
  <c r="M325" i="20"/>
  <c r="L325" i="20" s="1"/>
  <c r="M326" i="20"/>
  <c r="L326" i="20" s="1"/>
  <c r="M327" i="20"/>
  <c r="L327" i="20" s="1"/>
  <c r="M328" i="20"/>
  <c r="L328" i="20" s="1"/>
  <c r="M329" i="20"/>
  <c r="L329" i="20" s="1"/>
  <c r="M330" i="20"/>
  <c r="L330" i="20" s="1"/>
  <c r="M331" i="20"/>
  <c r="L331" i="20" s="1"/>
  <c r="M332" i="20"/>
  <c r="L332" i="20" s="1"/>
  <c r="M333" i="20"/>
  <c r="L333" i="20" s="1"/>
  <c r="M334" i="20"/>
  <c r="L334" i="20" s="1"/>
  <c r="M335" i="20"/>
  <c r="L335" i="20" s="1"/>
  <c r="M336" i="20"/>
  <c r="L336" i="20" s="1"/>
  <c r="M337" i="20"/>
  <c r="L337" i="20" s="1"/>
  <c r="M338" i="20"/>
  <c r="L338" i="20" s="1"/>
  <c r="M339" i="20"/>
  <c r="L339" i="20" s="1"/>
  <c r="M340" i="20"/>
  <c r="L340" i="20" s="1"/>
  <c r="M341" i="20"/>
  <c r="L341" i="20" s="1"/>
  <c r="M342" i="20"/>
  <c r="L342" i="20" s="1"/>
  <c r="M343" i="20"/>
  <c r="L343" i="20" s="1"/>
  <c r="M344" i="20"/>
  <c r="L344" i="20" s="1"/>
  <c r="M345" i="20"/>
  <c r="L345" i="20" s="1"/>
  <c r="M346" i="20"/>
  <c r="L346" i="20" s="1"/>
  <c r="M347" i="20"/>
  <c r="L347" i="20" s="1"/>
  <c r="M256" i="20"/>
  <c r="L256" i="20" s="1"/>
  <c r="M9" i="20"/>
  <c r="M10" i="20"/>
  <c r="M11" i="20"/>
  <c r="M12" i="20"/>
  <c r="L12" i="20" s="1"/>
  <c r="M13" i="20"/>
  <c r="M14"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230" i="20"/>
  <c r="M231" i="20"/>
  <c r="M232" i="20"/>
  <c r="M233" i="20"/>
  <c r="M234" i="20"/>
  <c r="M235" i="20"/>
  <c r="M236" i="20"/>
  <c r="M237" i="20"/>
  <c r="M238" i="20"/>
  <c r="M239" i="20"/>
  <c r="M240" i="20"/>
  <c r="M241" i="20"/>
  <c r="M242" i="20"/>
  <c r="M243" i="20"/>
  <c r="M244" i="20"/>
  <c r="M245" i="20"/>
  <c r="M246" i="20"/>
  <c r="M247" i="20"/>
  <c r="M248" i="20"/>
  <c r="M249" i="20"/>
  <c r="M250" i="20"/>
  <c r="M251" i="20"/>
  <c r="M252" i="20"/>
  <c r="M253" i="20"/>
  <c r="M254" i="20"/>
  <c r="M255" i="20"/>
  <c r="L257" i="20"/>
  <c r="L313" i="20"/>
  <c r="N256" i="20"/>
  <c r="N257" i="20"/>
  <c r="N258" i="20"/>
  <c r="N259" i="20"/>
  <c r="N260" i="20"/>
  <c r="N261" i="20"/>
  <c r="N262" i="20"/>
  <c r="N263" i="20"/>
  <c r="N264" i="20"/>
  <c r="N265" i="20"/>
  <c r="N266"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M89" i="19"/>
  <c r="L75" i="19"/>
  <c r="M75" i="19" s="1"/>
  <c r="K8" i="28"/>
  <c r="K9" i="28"/>
  <c r="K10" i="28"/>
  <c r="K11" i="28"/>
  <c r="K12" i="28"/>
  <c r="K13" i="28"/>
  <c r="K14" i="28"/>
  <c r="K15" i="28"/>
  <c r="K16" i="28"/>
  <c r="K17" i="28"/>
  <c r="K18" i="28"/>
  <c r="K19" i="28"/>
  <c r="K20" i="28"/>
  <c r="K21" i="28"/>
  <c r="K22" i="28"/>
  <c r="K23" i="28"/>
  <c r="K24" i="28"/>
  <c r="K25" i="28"/>
  <c r="K26" i="28"/>
  <c r="K27" i="28"/>
  <c r="K28" i="28"/>
  <c r="K29" i="28"/>
  <c r="K30" i="28"/>
  <c r="K31" i="28"/>
  <c r="K32" i="28"/>
  <c r="K33" i="28"/>
  <c r="K34" i="28"/>
  <c r="K35" i="28"/>
  <c r="K36" i="28"/>
  <c r="K37" i="28"/>
  <c r="K38" i="28"/>
  <c r="K39" i="28"/>
  <c r="K40" i="28"/>
  <c r="K41" i="28"/>
  <c r="K42" i="28"/>
  <c r="K43" i="28"/>
  <c r="K44" i="28"/>
  <c r="K45" i="28"/>
  <c r="K46" i="28"/>
  <c r="K47" i="28"/>
  <c r="K48" i="28"/>
  <c r="K49" i="28"/>
  <c r="K50" i="28"/>
  <c r="K51" i="28"/>
  <c r="K52" i="28"/>
  <c r="K53" i="28"/>
  <c r="K7" i="28"/>
  <c r="L58" i="29"/>
  <c r="L59" i="29"/>
  <c r="L60" i="29"/>
  <c r="L61" i="29"/>
  <c r="L62" i="29"/>
  <c r="L63" i="29"/>
  <c r="L64" i="29"/>
  <c r="N140" i="24" l="1"/>
  <c r="N139" i="24"/>
  <c r="N138" i="24"/>
  <c r="N137" i="24"/>
  <c r="N136" i="24"/>
  <c r="N135" i="24"/>
  <c r="N134" i="24"/>
  <c r="N133" i="24"/>
  <c r="N132" i="24"/>
  <c r="N131" i="24"/>
  <c r="N130" i="24"/>
  <c r="N129" i="24"/>
  <c r="N128" i="24"/>
  <c r="N127" i="24"/>
  <c r="N126" i="24"/>
  <c r="N125" i="24"/>
  <c r="N124" i="24"/>
  <c r="N123" i="24"/>
  <c r="N122" i="24"/>
  <c r="N121" i="24"/>
  <c r="N120" i="24"/>
  <c r="N119" i="24"/>
  <c r="N118" i="24"/>
  <c r="N117" i="24"/>
  <c r="N116" i="24"/>
  <c r="N115" i="24"/>
  <c r="N114" i="24"/>
  <c r="N113" i="24"/>
  <c r="N112" i="24"/>
  <c r="N111" i="24"/>
  <c r="N110" i="24"/>
  <c r="N109" i="24"/>
  <c r="N108" i="24"/>
  <c r="N107" i="24"/>
  <c r="N106" i="24"/>
  <c r="N105" i="24"/>
  <c r="N104" i="24"/>
  <c r="N103" i="24"/>
  <c r="N102" i="24"/>
  <c r="N101" i="24"/>
  <c r="N100" i="24"/>
  <c r="N99" i="24"/>
  <c r="N98" i="24"/>
  <c r="N97" i="24"/>
  <c r="N96" i="24"/>
  <c r="N95" i="24"/>
  <c r="N94" i="24"/>
  <c r="N93" i="24"/>
  <c r="N92" i="24"/>
  <c r="N91" i="24"/>
  <c r="N90" i="24"/>
  <c r="N89" i="24"/>
  <c r="N88" i="24"/>
  <c r="N87" i="24"/>
  <c r="N86" i="24"/>
  <c r="N85" i="24"/>
  <c r="N84" i="24"/>
  <c r="N83" i="24"/>
  <c r="N82" i="24"/>
  <c r="N81" i="24"/>
  <c r="N80" i="24"/>
  <c r="N79" i="24"/>
  <c r="N78" i="24"/>
  <c r="N77" i="24"/>
  <c r="N76" i="24"/>
  <c r="N75" i="24"/>
  <c r="N74" i="24"/>
  <c r="N36" i="24"/>
  <c r="J257" i="1" l="1"/>
  <c r="K257" i="1"/>
  <c r="Z257" i="1"/>
  <c r="AA257" i="1"/>
  <c r="AB257" i="1"/>
  <c r="AE257" i="1"/>
  <c r="AF257" i="1"/>
  <c r="AG257" i="1"/>
  <c r="AJ257" i="1"/>
  <c r="AK257" i="1"/>
  <c r="AR257" i="1"/>
  <c r="AW257" i="1"/>
  <c r="AZ257" i="1"/>
  <c r="BA257" i="1"/>
  <c r="BD257" i="1"/>
  <c r="BE257" i="1"/>
  <c r="BH257" i="1"/>
  <c r="BI257" i="1"/>
  <c r="BL257" i="1"/>
  <c r="BM257" i="1"/>
  <c r="BQ257" i="1"/>
  <c r="Z243" i="1"/>
  <c r="AA243" i="1"/>
  <c r="AB243" i="1"/>
  <c r="AE243" i="1"/>
  <c r="AF243" i="1"/>
  <c r="AG243" i="1"/>
  <c r="AJ243" i="1"/>
  <c r="AK243" i="1"/>
  <c r="AR243" i="1"/>
  <c r="AZ243" i="1"/>
  <c r="BA243" i="1"/>
  <c r="BD243" i="1"/>
  <c r="BE243" i="1"/>
  <c r="BH243" i="1"/>
  <c r="BI243" i="1"/>
  <c r="BL243" i="1"/>
  <c r="BM243" i="1"/>
  <c r="BQ243" i="1"/>
  <c r="I243" i="1"/>
  <c r="J243" i="1"/>
  <c r="K243" i="1"/>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7" i="4"/>
  <c r="K59" i="4"/>
  <c r="K34" i="4"/>
  <c r="I16" i="4"/>
  <c r="I27" i="1" s="1"/>
  <c r="I7" i="4"/>
  <c r="I8" i="4"/>
  <c r="I9" i="4"/>
  <c r="I10" i="4"/>
  <c r="I11" i="4"/>
  <c r="I12" i="4"/>
  <c r="I13" i="4"/>
  <c r="I14" i="4"/>
  <c r="I15"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K7" i="4"/>
  <c r="K8" i="4"/>
  <c r="K9" i="4"/>
  <c r="K10" i="4"/>
  <c r="K11" i="4"/>
  <c r="K12" i="4"/>
  <c r="K13" i="4"/>
  <c r="K14" i="4"/>
  <c r="K15" i="4"/>
  <c r="K17" i="4"/>
  <c r="K18" i="4"/>
  <c r="K19" i="4"/>
  <c r="K20" i="4"/>
  <c r="K21" i="4"/>
  <c r="K22" i="4"/>
  <c r="K23" i="4"/>
  <c r="K24" i="4"/>
  <c r="K25" i="4"/>
  <c r="K26" i="4"/>
  <c r="K27" i="4"/>
  <c r="K28" i="4"/>
  <c r="K29" i="4"/>
  <c r="K30" i="4"/>
  <c r="K31" i="4"/>
  <c r="K32" i="4"/>
  <c r="K33" i="4"/>
  <c r="M34" i="4"/>
  <c r="K35" i="4"/>
  <c r="K36" i="4"/>
  <c r="K37" i="4"/>
  <c r="K38" i="4"/>
  <c r="K39" i="4"/>
  <c r="K40" i="4"/>
  <c r="K41" i="4"/>
  <c r="K42" i="4"/>
  <c r="K43" i="4"/>
  <c r="K44" i="4"/>
  <c r="K45" i="4"/>
  <c r="K46" i="4"/>
  <c r="K47" i="4"/>
  <c r="K48" i="4"/>
  <c r="K49" i="4"/>
  <c r="K50" i="4"/>
  <c r="K51" i="4"/>
  <c r="K52" i="4"/>
  <c r="K53" i="4"/>
  <c r="K54" i="4"/>
  <c r="K55" i="4"/>
  <c r="M55" i="4"/>
  <c r="K56" i="4"/>
  <c r="K57" i="4"/>
  <c r="K58" i="4"/>
  <c r="K60"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BJ243" i="1" l="1"/>
  <c r="BN257" i="1"/>
  <c r="AH257" i="1"/>
  <c r="AL243" i="1"/>
  <c r="BB243" i="1"/>
  <c r="AL257" i="1"/>
  <c r="BJ257" i="1"/>
  <c r="BF257" i="1"/>
  <c r="AC257" i="1"/>
  <c r="BB257" i="1"/>
  <c r="AH243" i="1"/>
  <c r="BF243" i="1"/>
  <c r="BN243" i="1"/>
  <c r="AC243" i="1"/>
  <c r="L243" i="1"/>
  <c r="S243" i="1" s="1"/>
  <c r="T243" i="1" s="1"/>
  <c r="H709" i="10"/>
  <c r="BR257" i="1" l="1"/>
  <c r="BR243" i="1"/>
  <c r="J17" i="8"/>
  <c r="O169" i="10"/>
  <c r="J50" i="18" l="1"/>
  <c r="J45" i="8" l="1"/>
  <c r="J12" i="8"/>
  <c r="J13" i="8"/>
  <c r="G612" i="18" l="1"/>
  <c r="G547" i="18"/>
  <c r="K52" i="10" l="1"/>
  <c r="H637" i="10"/>
  <c r="H636" i="10"/>
  <c r="G670" i="18"/>
  <c r="G669" i="18"/>
  <c r="G668" i="18"/>
  <c r="F4" i="12"/>
  <c r="F6" i="12" s="1"/>
  <c r="H3" i="12" l="1"/>
  <c r="H4" i="12" s="1"/>
  <c r="H5" i="12" s="1"/>
  <c r="H6" i="12" s="1"/>
  <c r="I3" i="12" l="1"/>
  <c r="I4" i="12" s="1"/>
  <c r="I5" i="12" s="1"/>
  <c r="I6" i="12" s="1"/>
  <c r="P271" i="1"/>
  <c r="F316" i="18"/>
  <c r="F79" i="18" l="1"/>
  <c r="J394" i="18" l="1"/>
  <c r="K394" i="18" s="1"/>
  <c r="J395" i="18"/>
  <c r="K395" i="18" s="1"/>
  <c r="J393" i="18"/>
  <c r="I396" i="18"/>
  <c r="AE44" i="17" s="1"/>
  <c r="H396" i="18"/>
  <c r="AE43" i="17" s="1"/>
  <c r="F396" i="18"/>
  <c r="G394" i="18"/>
  <c r="G395" i="18"/>
  <c r="G393" i="18"/>
  <c r="J396" i="18" l="1"/>
  <c r="G396" i="18"/>
  <c r="K393" i="18"/>
  <c r="K396" i="18" s="1"/>
  <c r="G613" i="18"/>
  <c r="E80" i="17" l="1"/>
  <c r="K14" i="17" l="1"/>
  <c r="E81" i="17"/>
  <c r="J685" i="18"/>
  <c r="J686" i="18" s="1"/>
  <c r="I647" i="18"/>
  <c r="H688" i="18" l="1"/>
  <c r="H690" i="18" s="1"/>
  <c r="E511" i="18" l="1"/>
  <c r="E475" i="18"/>
  <c r="G592" i="10" l="1"/>
  <c r="I125" i="5" l="1"/>
  <c r="B17" i="33"/>
  <c r="B21" i="33"/>
  <c r="I798" i="18" l="1"/>
  <c r="G798" i="18"/>
  <c r="K557" i="10" l="1"/>
  <c r="AR171" i="1" l="1"/>
  <c r="AR172" i="1"/>
  <c r="AR173" i="1"/>
  <c r="AR174" i="1"/>
  <c r="AR177" i="1"/>
  <c r="AR167" i="1"/>
  <c r="AR163"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30" i="1"/>
  <c r="AR127" i="1"/>
  <c r="AR124" i="1"/>
  <c r="AR121" i="1"/>
  <c r="AR111" i="1"/>
  <c r="AR112" i="1"/>
  <c r="AR114" i="1"/>
  <c r="AR115" i="1"/>
  <c r="AR116" i="1"/>
  <c r="AR117" i="1"/>
  <c r="AR118" i="1"/>
  <c r="AR110" i="1"/>
  <c r="AR107" i="1"/>
  <c r="AR100" i="1"/>
  <c r="AR99" i="1"/>
  <c r="AR97" i="1"/>
  <c r="AR96" i="1"/>
  <c r="AR92" i="1"/>
  <c r="AR90" i="1"/>
  <c r="AR87" i="1"/>
  <c r="AR83" i="1"/>
  <c r="AR84" i="1"/>
  <c r="AR82" i="1"/>
  <c r="AR77" i="1"/>
  <c r="AR78" i="1"/>
  <c r="AR79" i="1"/>
  <c r="AR76" i="1"/>
  <c r="AR69" i="1"/>
  <c r="AR71" i="1"/>
  <c r="AR68" i="1"/>
  <c r="AR65" i="1"/>
  <c r="AR64" i="1"/>
  <c r="AR47" i="1"/>
  <c r="AR48" i="1"/>
  <c r="AR49" i="1"/>
  <c r="AR50" i="1"/>
  <c r="AR51" i="1"/>
  <c r="AR52" i="1"/>
  <c r="AR54" i="1"/>
  <c r="AR55" i="1"/>
  <c r="AR56" i="1"/>
  <c r="AR57" i="1"/>
  <c r="AR58" i="1"/>
  <c r="AR59" i="1"/>
  <c r="AR61" i="1"/>
  <c r="AR46" i="1"/>
  <c r="AR43" i="1"/>
  <c r="AR42" i="1"/>
  <c r="AR39" i="1"/>
  <c r="AR38" i="1"/>
  <c r="AR32" i="1"/>
  <c r="AR33" i="1"/>
  <c r="AR34" i="1"/>
  <c r="AR35" i="1"/>
  <c r="AR23" i="1"/>
  <c r="AR24" i="1"/>
  <c r="AR25" i="1"/>
  <c r="AR26" i="1"/>
  <c r="AR27" i="1"/>
  <c r="AR28" i="1"/>
  <c r="AR22" i="1"/>
  <c r="AR15" i="1"/>
  <c r="AR14" i="1"/>
  <c r="AR13" i="1"/>
  <c r="T7" i="27" l="1"/>
  <c r="T8" i="27"/>
  <c r="T9" i="27"/>
  <c r="T6" i="27"/>
  <c r="AE330" i="1"/>
  <c r="AE319" i="1"/>
  <c r="AE318" i="1"/>
  <c r="AE207" i="1"/>
  <c r="AE206" i="1"/>
  <c r="AE205" i="1"/>
  <c r="AE204" i="1"/>
  <c r="AE203" i="1"/>
  <c r="AE202" i="1"/>
  <c r="AE201" i="1"/>
  <c r="AE200" i="1"/>
  <c r="AE199" i="1"/>
  <c r="AE198" i="1"/>
  <c r="AE197" i="1"/>
  <c r="AE196" i="1"/>
  <c r="AE195" i="1"/>
  <c r="AE194" i="1"/>
  <c r="AE193" i="1"/>
  <c r="AE192" i="1"/>
  <c r="AE191" i="1"/>
  <c r="AE190" i="1"/>
  <c r="AE189" i="1"/>
  <c r="AE188" i="1"/>
  <c r="AE187" i="1"/>
  <c r="AE186" i="1"/>
  <c r="AE352" i="1"/>
  <c r="AE354" i="1"/>
  <c r="AE351" i="1"/>
  <c r="AE348" i="1"/>
  <c r="AE347" i="1"/>
  <c r="AE346" i="1"/>
  <c r="AE345" i="1"/>
  <c r="AE344" i="1"/>
  <c r="AE343" i="1"/>
  <c r="AE342" i="1"/>
  <c r="AE341" i="1"/>
  <c r="AE340" i="1"/>
  <c r="AE339" i="1"/>
  <c r="AE338" i="1"/>
  <c r="AE337" i="1"/>
  <c r="AE336" i="1"/>
  <c r="AE335" i="1"/>
  <c r="AE334" i="1"/>
  <c r="AE333" i="1"/>
  <c r="AE332" i="1"/>
  <c r="AE331" i="1"/>
  <c r="AE329" i="1"/>
  <c r="AE328" i="1"/>
  <c r="AE327" i="1"/>
  <c r="AE326" i="1"/>
  <c r="AE325" i="1"/>
  <c r="AE324" i="1"/>
  <c r="AE323" i="1"/>
  <c r="AE322" i="1"/>
  <c r="AE321" i="1"/>
  <c r="AE320" i="1"/>
  <c r="AE317" i="1"/>
  <c r="AE316" i="1"/>
  <c r="AE315" i="1"/>
  <c r="AE314" i="1"/>
  <c r="AE313" i="1"/>
  <c r="AE312" i="1"/>
  <c r="AE311" i="1"/>
  <c r="AE310" i="1"/>
  <c r="AE309" i="1"/>
  <c r="AE308" i="1"/>
  <c r="AE307" i="1"/>
  <c r="AE306" i="1"/>
  <c r="AE305" i="1"/>
  <c r="AE304" i="1"/>
  <c r="AE303" i="1"/>
  <c r="AE300" i="1"/>
  <c r="AE299" i="1"/>
  <c r="AE298" i="1"/>
  <c r="AE297" i="1"/>
  <c r="AE296" i="1"/>
  <c r="AE295" i="1"/>
  <c r="AE294" i="1"/>
  <c r="AE293" i="1"/>
  <c r="AE292" i="1"/>
  <c r="AE291" i="1"/>
  <c r="AE290" i="1"/>
  <c r="AE289" i="1"/>
  <c r="AE288" i="1"/>
  <c r="AE287" i="1"/>
  <c r="AE286" i="1"/>
  <c r="AE285" i="1"/>
  <c r="AE284" i="1"/>
  <c r="AE283" i="1"/>
  <c r="AE281" i="1"/>
  <c r="AE280" i="1"/>
  <c r="AE279" i="1"/>
  <c r="AE278" i="1"/>
  <c r="AE277" i="1"/>
  <c r="AE276" i="1"/>
  <c r="AE275" i="1"/>
  <c r="AE274" i="1"/>
  <c r="AE273" i="1"/>
  <c r="AE272" i="1"/>
  <c r="AE268" i="1"/>
  <c r="AE267" i="1"/>
  <c r="AE266" i="1"/>
  <c r="AE265" i="1"/>
  <c r="AE264" i="1"/>
  <c r="AE263" i="1"/>
  <c r="AE261" i="1"/>
  <c r="AE260" i="1"/>
  <c r="AE259" i="1"/>
  <c r="AE256" i="1"/>
  <c r="AE255" i="1"/>
  <c r="AE254" i="1"/>
  <c r="AE253" i="1"/>
  <c r="AE252" i="1"/>
  <c r="AE251" i="1"/>
  <c r="AE248" i="1"/>
  <c r="AE247" i="1"/>
  <c r="AE246" i="1"/>
  <c r="AE245" i="1"/>
  <c r="AE244" i="1"/>
  <c r="AE242" i="1"/>
  <c r="AE241" i="1"/>
  <c r="AE240" i="1"/>
  <c r="AE239" i="1"/>
  <c r="AE238" i="1"/>
  <c r="AE237" i="1"/>
  <c r="AE236" i="1"/>
  <c r="AE233" i="1"/>
  <c r="AE232" i="1"/>
  <c r="AE231" i="1"/>
  <c r="AE230" i="1"/>
  <c r="AE229" i="1"/>
  <c r="AE228" i="1"/>
  <c r="AE227" i="1"/>
  <c r="AE226" i="1"/>
  <c r="AE225" i="1"/>
  <c r="AE224" i="1"/>
  <c r="AE223" i="1"/>
  <c r="AE222" i="1"/>
  <c r="AE221" i="1"/>
  <c r="AE220" i="1"/>
  <c r="AE219" i="1"/>
  <c r="AE218" i="1"/>
  <c r="AE217" i="1"/>
  <c r="AE215" i="1"/>
  <c r="AE214" i="1"/>
  <c r="AE213" i="1"/>
  <c r="AE212" i="1"/>
  <c r="AE211" i="1"/>
  <c r="AE210" i="1"/>
  <c r="N7" i="24"/>
  <c r="Z199" i="1"/>
  <c r="I251" i="1"/>
  <c r="AE185" i="1" l="1"/>
  <c r="AE350" i="1"/>
  <c r="AE302" i="1"/>
  <c r="AE271" i="1"/>
  <c r="I312" i="1"/>
  <c r="I309" i="1"/>
  <c r="I305" i="1"/>
  <c r="I304" i="1"/>
  <c r="I303" i="1"/>
  <c r="I300" i="1"/>
  <c r="I174" i="1"/>
  <c r="I173" i="1"/>
  <c r="AO366" i="1" l="1"/>
  <c r="H635" i="10" l="1"/>
  <c r="J635" i="10" s="1"/>
  <c r="K236" i="5"/>
  <c r="K237" i="5"/>
  <c r="H244" i="5" l="1"/>
  <c r="K244" i="5" s="1"/>
  <c r="H249" i="5"/>
  <c r="K249" i="5" s="1"/>
  <c r="F248" i="5"/>
  <c r="F249" i="5"/>
  <c r="F243" i="5"/>
  <c r="F244" i="5"/>
  <c r="F224" i="10"/>
  <c r="F233" i="10" s="1"/>
  <c r="F268" i="10"/>
  <c r="K248" i="5"/>
  <c r="K243" i="5"/>
  <c r="F237" i="5"/>
  <c r="F236" i="5"/>
  <c r="F233" i="5"/>
  <c r="F232" i="5"/>
  <c r="F228" i="5"/>
  <c r="F227" i="5"/>
  <c r="F224" i="5"/>
  <c r="F223" i="5"/>
  <c r="F219" i="5"/>
  <c r="F218" i="5"/>
  <c r="F214" i="5"/>
  <c r="F213" i="5"/>
  <c r="F208" i="5"/>
  <c r="F207" i="5"/>
  <c r="F203" i="5"/>
  <c r="F202" i="5"/>
  <c r="F197" i="5"/>
  <c r="F196" i="5"/>
  <c r="F193" i="5"/>
  <c r="F192" i="5"/>
  <c r="F188" i="5"/>
  <c r="F187" i="5"/>
  <c r="F183" i="5"/>
  <c r="F182" i="5"/>
  <c r="F178" i="5"/>
  <c r="F177" i="5"/>
  <c r="F173" i="5"/>
  <c r="F172" i="5"/>
  <c r="F168" i="5"/>
  <c r="F167" i="5"/>
  <c r="F163" i="5"/>
  <c r="F162" i="5"/>
  <c r="F158" i="5"/>
  <c r="F157" i="5"/>
  <c r="F153" i="5"/>
  <c r="F152" i="5"/>
  <c r="F151" i="5"/>
  <c r="F146" i="5"/>
  <c r="F145" i="5"/>
  <c r="F136" i="5"/>
  <c r="F135" i="5"/>
  <c r="F131" i="5"/>
  <c r="F130" i="5"/>
  <c r="F126" i="5"/>
  <c r="F125" i="5"/>
  <c r="F121" i="5"/>
  <c r="F120" i="5"/>
  <c r="F116" i="5"/>
  <c r="F115" i="5"/>
  <c r="F111" i="5"/>
  <c r="F110" i="5"/>
  <c r="F105" i="5"/>
  <c r="F104" i="5"/>
  <c r="F100" i="5"/>
  <c r="F99" i="5"/>
  <c r="F98" i="5"/>
  <c r="F97" i="5"/>
  <c r="F93" i="5"/>
  <c r="F92" i="5"/>
  <c r="F52" i="5"/>
  <c r="F49" i="5"/>
  <c r="F48" i="5"/>
  <c r="F45" i="5"/>
  <c r="F44" i="5"/>
  <c r="F41" i="5"/>
  <c r="F40" i="5"/>
  <c r="F22" i="5"/>
  <c r="F21" i="5"/>
  <c r="F37" i="5"/>
  <c r="F36" i="5"/>
  <c r="F34" i="5"/>
  <c r="F33" i="5"/>
  <c r="F30" i="5"/>
  <c r="F29" i="5"/>
  <c r="F26" i="5"/>
  <c r="F25" i="5"/>
  <c r="F14" i="5"/>
  <c r="F13" i="5"/>
  <c r="AE356" i="1"/>
  <c r="AE269" i="1"/>
  <c r="AE258" i="1"/>
  <c r="AE250" i="1" l="1"/>
  <c r="F814" i="18"/>
  <c r="H51" i="18"/>
  <c r="H49" i="18"/>
  <c r="H340" i="18"/>
  <c r="G375" i="10" l="1"/>
  <c r="I188" i="10"/>
  <c r="F22" i="8"/>
  <c r="F12" i="8"/>
  <c r="I81" i="10"/>
  <c r="I230" i="22" l="1"/>
  <c r="L230" i="22" s="1"/>
  <c r="G230" i="22"/>
  <c r="G229" i="22"/>
  <c r="I55" i="22"/>
  <c r="L55" i="22" s="1"/>
  <c r="I59" i="22"/>
  <c r="L59" i="22" s="1"/>
  <c r="I63" i="22"/>
  <c r="L63" i="22" s="1"/>
  <c r="L62" i="22"/>
  <c r="L58" i="22"/>
  <c r="G63" i="22"/>
  <c r="G62" i="22"/>
  <c r="G59" i="22"/>
  <c r="G58" i="22"/>
  <c r="G55" i="22"/>
  <c r="G54" i="22"/>
  <c r="G84" i="22"/>
  <c r="H98" i="21"/>
  <c r="K98" i="21" s="1"/>
  <c r="F98" i="21"/>
  <c r="K97" i="21"/>
  <c r="F97" i="21"/>
  <c r="H95" i="21"/>
  <c r="K95" i="21" s="1"/>
  <c r="F95" i="21"/>
  <c r="F94" i="21"/>
  <c r="L229" i="22" l="1"/>
  <c r="L54" i="22"/>
  <c r="K94" i="21"/>
  <c r="N62" i="23" l="1"/>
  <c r="N61" i="23"/>
  <c r="M62" i="23"/>
  <c r="O62" i="23" s="1"/>
  <c r="M61" i="23"/>
  <c r="L62" i="23"/>
  <c r="L61" i="23"/>
  <c r="G779" i="18" l="1"/>
  <c r="I705" i="10"/>
  <c r="G72" i="22"/>
  <c r="G775" i="18" l="1"/>
  <c r="G188" i="10" l="1"/>
  <c r="I42" i="1"/>
  <c r="K2" i="50"/>
  <c r="H228" i="5"/>
  <c r="K228" i="5" s="1"/>
  <c r="K227" i="5"/>
  <c r="F805" i="18" l="1"/>
  <c r="F804" i="18"/>
  <c r="J408" i="18"/>
  <c r="J412" i="18" s="1"/>
  <c r="J414" i="18" s="1"/>
  <c r="F727" i="10" l="1"/>
  <c r="K53" i="5" l="1"/>
  <c r="K52" i="5"/>
  <c r="K41" i="5"/>
  <c r="K40" i="5"/>
  <c r="J87" i="1" s="1"/>
  <c r="K49" i="5"/>
  <c r="K48" i="5"/>
  <c r="K45" i="5"/>
  <c r="K44" i="5"/>
  <c r="K30" i="5"/>
  <c r="K29" i="5"/>
  <c r="K26" i="5"/>
  <c r="K25" i="5"/>
  <c r="K18" i="5"/>
  <c r="J110" i="1" s="1"/>
  <c r="F18" i="5"/>
  <c r="K17" i="5"/>
  <c r="F17" i="5"/>
  <c r="K14" i="5"/>
  <c r="K13" i="5"/>
  <c r="F100" i="10" s="1"/>
  <c r="K9" i="5"/>
  <c r="K10" i="5"/>
  <c r="F10" i="5"/>
  <c r="F9" i="5"/>
  <c r="F9" i="21"/>
  <c r="AJ3" i="17"/>
  <c r="AE2" i="17"/>
  <c r="G3" i="17"/>
  <c r="G51" i="17" s="1"/>
  <c r="AF2" i="9"/>
  <c r="J765" i="18"/>
  <c r="J766" i="18"/>
  <c r="J767" i="18"/>
  <c r="I769" i="18"/>
  <c r="J769" i="18"/>
  <c r="G770" i="18"/>
  <c r="G771" i="18" s="1"/>
  <c r="J770" i="18"/>
  <c r="J764" i="18"/>
  <c r="M740" i="18"/>
  <c r="M755" i="18"/>
  <c r="M758" i="18"/>
  <c r="G653" i="18"/>
  <c r="I690" i="18"/>
  <c r="H670" i="18"/>
  <c r="H654" i="18" s="1"/>
  <c r="I670" i="18"/>
  <c r="I654" i="18" s="1"/>
  <c r="G629" i="18"/>
  <c r="G640" i="18"/>
  <c r="G626" i="18"/>
  <c r="G85" i="22"/>
  <c r="F492" i="18"/>
  <c r="G377" i="18"/>
  <c r="R320" i="18"/>
  <c r="H320" i="18" s="1"/>
  <c r="I320" i="18"/>
  <c r="F321" i="18"/>
  <c r="F216" i="18"/>
  <c r="I222" i="18"/>
  <c r="P250" i="18"/>
  <c r="O250" i="18"/>
  <c r="P247" i="18"/>
  <c r="O247" i="18"/>
  <c r="P242" i="18"/>
  <c r="O242" i="18"/>
  <c r="Q219" i="18"/>
  <c r="P219" i="18"/>
  <c r="P228" i="18"/>
  <c r="Q228" i="18"/>
  <c r="O228" i="18"/>
  <c r="Q225" i="18"/>
  <c r="P225" i="18"/>
  <c r="O225" i="18"/>
  <c r="R223" i="18"/>
  <c r="R222" i="18"/>
  <c r="R217" i="18"/>
  <c r="R216" i="18"/>
  <c r="O219" i="18"/>
  <c r="F175" i="18"/>
  <c r="F164" i="10"/>
  <c r="F173" i="18"/>
  <c r="H182" i="18"/>
  <c r="H183" i="18" s="1"/>
  <c r="F136" i="18"/>
  <c r="F134" i="18"/>
  <c r="F135" i="18"/>
  <c r="F133" i="18"/>
  <c r="F132" i="18"/>
  <c r="I40" i="18"/>
  <c r="G40" i="18"/>
  <c r="G80" i="18"/>
  <c r="I22" i="18"/>
  <c r="H22" i="18"/>
  <c r="H20" i="18"/>
  <c r="I20" i="18"/>
  <c r="F20" i="18"/>
  <c r="I19" i="18"/>
  <c r="H19" i="18"/>
  <c r="G19" i="18"/>
  <c r="F19" i="18"/>
  <c r="G15" i="18"/>
  <c r="G13" i="18"/>
  <c r="F13" i="18"/>
  <c r="G10" i="18"/>
  <c r="G9" i="18"/>
  <c r="F641" i="10"/>
  <c r="F640" i="10"/>
  <c r="G627" i="10"/>
  <c r="P21" i="1"/>
  <c r="G556" i="10"/>
  <c r="F556" i="10"/>
  <c r="G533" i="10"/>
  <c r="F533" i="10"/>
  <c r="G593" i="10"/>
  <c r="H430" i="10"/>
  <c r="I417" i="10"/>
  <c r="J417" i="10" s="1"/>
  <c r="K417" i="10" s="1"/>
  <c r="G370" i="10"/>
  <c r="G369" i="18" s="1"/>
  <c r="J280" i="10"/>
  <c r="G721" i="10"/>
  <c r="H179" i="10"/>
  <c r="H181" i="10" s="1"/>
  <c r="F152" i="10"/>
  <c r="O65" i="1"/>
  <c r="F82" i="21"/>
  <c r="F77" i="18" l="1"/>
  <c r="G82" i="18"/>
  <c r="K627" i="18"/>
  <c r="M649" i="18" s="1"/>
  <c r="G621" i="10"/>
  <c r="G629" i="10" s="1"/>
  <c r="P229" i="18"/>
  <c r="O251" i="18"/>
  <c r="R219" i="18"/>
  <c r="R228" i="18"/>
  <c r="P251" i="18"/>
  <c r="O229" i="18"/>
  <c r="J771" i="18"/>
  <c r="G320" i="18"/>
  <c r="R225" i="18"/>
  <c r="Q229" i="18"/>
  <c r="R229" i="18" l="1"/>
  <c r="I138" i="22"/>
  <c r="D22" i="48" l="1"/>
  <c r="D30" i="48"/>
  <c r="D31" i="48"/>
  <c r="D32" i="48"/>
  <c r="G9" i="48"/>
  <c r="G17" i="48" s="1"/>
  <c r="O14" i="48"/>
  <c r="O12" i="48"/>
  <c r="M9" i="48"/>
  <c r="O15" i="48"/>
  <c r="O11" i="48"/>
  <c r="D34" i="48" l="1"/>
  <c r="P12" i="48"/>
  <c r="O9" i="48"/>
  <c r="O17" i="48" s="1"/>
  <c r="L18" i="49" l="1"/>
  <c r="D29" i="49" s="1"/>
  <c r="K18" i="49"/>
  <c r="D28" i="49" s="1"/>
  <c r="J18" i="49"/>
  <c r="D27" i="49" s="1"/>
  <c r="I18" i="49"/>
  <c r="D26" i="49" s="1"/>
  <c r="D18" i="49"/>
  <c r="D21" i="49" s="1"/>
  <c r="M10" i="49"/>
  <c r="J17" i="48"/>
  <c r="D28" i="48" s="1"/>
  <c r="I17" i="48"/>
  <c r="D27" i="48" s="1"/>
  <c r="F17" i="48"/>
  <c r="D24" i="48" s="1"/>
  <c r="E17" i="48"/>
  <c r="D23" i="48" s="1"/>
  <c r="K17" i="48"/>
  <c r="P8" i="48"/>
  <c r="D25" i="48"/>
  <c r="H17" i="48"/>
  <c r="D26" i="48" s="1"/>
  <c r="D17" i="48"/>
  <c r="D29" i="48" l="1"/>
  <c r="D33" i="48"/>
  <c r="P11" i="48"/>
  <c r="M15" i="49"/>
  <c r="N15" i="49" s="1"/>
  <c r="N10" i="49" l="1"/>
  <c r="P9" i="48"/>
  <c r="P14" i="48"/>
  <c r="G124" i="22" l="1"/>
  <c r="G123" i="22"/>
  <c r="G122" i="22"/>
  <c r="G119" i="22"/>
  <c r="G118" i="22"/>
  <c r="G114" i="22"/>
  <c r="G115" i="22"/>
  <c r="BC64" i="31"/>
  <c r="BC65" i="31" s="1"/>
  <c r="C73" i="31" s="1"/>
  <c r="L94" i="22" l="1"/>
  <c r="BN64" i="31"/>
  <c r="BN65" i="31" s="1"/>
  <c r="BH64" i="31"/>
  <c r="BH65" i="31" s="1"/>
  <c r="E73" i="31" s="1"/>
  <c r="BJ60" i="31"/>
  <c r="BI60" i="31"/>
  <c r="BG60" i="31"/>
  <c r="BH59" i="31"/>
  <c r="BH58" i="31"/>
  <c r="BH57" i="31"/>
  <c r="BH56" i="31"/>
  <c r="BH55" i="31"/>
  <c r="BH54" i="31"/>
  <c r="H711" i="10"/>
  <c r="H769" i="18"/>
  <c r="H708" i="10"/>
  <c r="H707" i="10"/>
  <c r="H706" i="10"/>
  <c r="H705" i="10"/>
  <c r="O32" i="25"/>
  <c r="O33" i="25"/>
  <c r="O34" i="25"/>
  <c r="O35" i="25"/>
  <c r="O31" i="25"/>
  <c r="O41" i="25"/>
  <c r="O42" i="25"/>
  <c r="O43" i="25"/>
  <c r="O44" i="25"/>
  <c r="O45" i="25"/>
  <c r="BN60" i="31"/>
  <c r="C82" i="31" l="1"/>
  <c r="C84" i="31" s="1"/>
  <c r="C85" i="31" s="1"/>
  <c r="H123" i="22" s="1"/>
  <c r="L123" i="22" s="1"/>
  <c r="H713" i="10"/>
  <c r="H766" i="18"/>
  <c r="H777" i="18"/>
  <c r="H767" i="18"/>
  <c r="H778" i="18"/>
  <c r="G777" i="18"/>
  <c r="H770" i="18"/>
  <c r="H779" i="18"/>
  <c r="G776" i="18"/>
  <c r="H764" i="18"/>
  <c r="H775" i="18"/>
  <c r="G778" i="18"/>
  <c r="H765" i="18"/>
  <c r="H776" i="18"/>
  <c r="H122" i="22"/>
  <c r="E72" i="31"/>
  <c r="BH60" i="31"/>
  <c r="I124" i="22" l="1"/>
  <c r="L124" i="22" s="1"/>
  <c r="H771" i="18"/>
  <c r="AP366" i="1"/>
  <c r="L122" i="22"/>
  <c r="F71" i="31"/>
  <c r="G89" i="22"/>
  <c r="G88" i="22"/>
  <c r="AA90" i="1"/>
  <c r="H87" i="21"/>
  <c r="G81" i="22"/>
  <c r="N8" i="20"/>
  <c r="W23" i="31"/>
  <c r="E45" i="31" l="1"/>
  <c r="F72" i="31"/>
  <c r="E74" i="31" s="1"/>
  <c r="F23" i="10"/>
  <c r="F23" i="18" s="1"/>
  <c r="G23" i="10"/>
  <c r="G23" i="18" s="1"/>
  <c r="J38" i="21" l="1"/>
  <c r="F38" i="21"/>
  <c r="F37" i="21"/>
  <c r="F34" i="21"/>
  <c r="F33" i="21"/>
  <c r="F26" i="21"/>
  <c r="F25" i="21"/>
  <c r="K18" i="21"/>
  <c r="F18" i="21"/>
  <c r="H10" i="21" l="1"/>
  <c r="F407" i="10" l="1"/>
  <c r="AE216" i="1"/>
  <c r="AE209" i="1" s="1"/>
  <c r="I95" i="1"/>
  <c r="H58" i="10"/>
  <c r="H60" i="10"/>
  <c r="V7" i="20"/>
  <c r="AF309" i="1"/>
  <c r="H14" i="21"/>
  <c r="N15" i="20" l="1"/>
  <c r="N256" i="19"/>
  <c r="N257" i="19"/>
  <c r="N258" i="19"/>
  <c r="N259" i="19"/>
  <c r="N260" i="19"/>
  <c r="N262" i="19"/>
  <c r="N265" i="19"/>
  <c r="N266" i="19"/>
  <c r="N267" i="19"/>
  <c r="N270" i="19"/>
  <c r="N273" i="19"/>
  <c r="N274" i="19"/>
  <c r="N275" i="19"/>
  <c r="N276" i="19"/>
  <c r="N277" i="19"/>
  <c r="N278" i="19"/>
  <c r="N279" i="19"/>
  <c r="N283" i="19"/>
  <c r="N284" i="19"/>
  <c r="N285" i="19"/>
  <c r="N286" i="19"/>
  <c r="N287" i="19"/>
  <c r="N288" i="19"/>
  <c r="N289" i="19"/>
  <c r="N290" i="19"/>
  <c r="N291" i="19"/>
  <c r="N292" i="19"/>
  <c r="N293" i="19"/>
  <c r="N294" i="19"/>
  <c r="N295" i="19"/>
  <c r="N296" i="19"/>
  <c r="N297" i="19"/>
  <c r="N298" i="19"/>
  <c r="N299" i="19"/>
  <c r="N300" i="19"/>
  <c r="N301" i="19"/>
  <c r="N302" i="19"/>
  <c r="N303" i="19"/>
  <c r="N304" i="19"/>
  <c r="N307" i="19"/>
  <c r="N308" i="19"/>
  <c r="N309" i="19"/>
  <c r="N310" i="19"/>
  <c r="N311" i="19"/>
  <c r="N317" i="19"/>
  <c r="N318" i="19"/>
  <c r="N319" i="19"/>
  <c r="N320" i="19"/>
  <c r="N321" i="19"/>
  <c r="N322" i="19"/>
  <c r="N323" i="19"/>
  <c r="N324" i="19"/>
  <c r="N325" i="19"/>
  <c r="N326" i="19"/>
  <c r="N327" i="19"/>
  <c r="N328" i="19"/>
  <c r="N329" i="19"/>
  <c r="N330" i="19"/>
  <c r="N331" i="19"/>
  <c r="N332" i="19"/>
  <c r="N334" i="19"/>
  <c r="N335" i="19"/>
  <c r="N336" i="19"/>
  <c r="N337" i="19"/>
  <c r="N338" i="19"/>
  <c r="N339" i="19"/>
  <c r="N340" i="19"/>
  <c r="N343"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91" i="19"/>
  <c r="N392" i="19"/>
  <c r="N399" i="19"/>
  <c r="N400" i="19"/>
  <c r="N401" i="19"/>
  <c r="N402" i="19"/>
  <c r="N403" i="19"/>
  <c r="N404" i="19"/>
  <c r="N405" i="19"/>
  <c r="N406" i="19"/>
  <c r="L11" i="19"/>
  <c r="AE98" i="1" l="1"/>
  <c r="AH98" i="1" s="1"/>
  <c r="AN98" i="1" s="1"/>
  <c r="AE22" i="1"/>
  <c r="AE11" i="1"/>
  <c r="AE171" i="1"/>
  <c r="AE174" i="1"/>
  <c r="AE172" i="1"/>
  <c r="AE87" i="1"/>
  <c r="J158" i="5"/>
  <c r="K158" i="5" s="1"/>
  <c r="K157" i="5"/>
  <c r="K152" i="5"/>
  <c r="K153" i="5"/>
  <c r="K151" i="5"/>
  <c r="J214" i="5"/>
  <c r="K196" i="5"/>
  <c r="H197" i="5"/>
  <c r="K197" i="5" s="1"/>
  <c r="H193" i="5"/>
  <c r="K193" i="5" s="1"/>
  <c r="K192" i="5"/>
  <c r="H48" i="18"/>
  <c r="H52" i="18" s="1"/>
  <c r="K356" i="1" l="1"/>
  <c r="J356" i="1"/>
  <c r="K354" i="1"/>
  <c r="J354" i="1"/>
  <c r="J352" i="1"/>
  <c r="J351" i="1"/>
  <c r="K348" i="1"/>
  <c r="K347" i="1"/>
  <c r="K346" i="1"/>
  <c r="K345" i="1"/>
  <c r="K344" i="1"/>
  <c r="J344" i="1"/>
  <c r="K342" i="1"/>
  <c r="K341" i="1"/>
  <c r="J341" i="1"/>
  <c r="K340" i="1"/>
  <c r="K339" i="1"/>
  <c r="J339" i="1"/>
  <c r="K338" i="1"/>
  <c r="K337" i="1"/>
  <c r="J337" i="1"/>
  <c r="K336" i="1"/>
  <c r="K335" i="1"/>
  <c r="K334" i="1"/>
  <c r="J334" i="1"/>
  <c r="K333" i="1"/>
  <c r="K332" i="1"/>
  <c r="J332" i="1"/>
  <c r="K331" i="1"/>
  <c r="K330" i="1"/>
  <c r="K329" i="1"/>
  <c r="K328" i="1"/>
  <c r="K327" i="1"/>
  <c r="J327" i="1"/>
  <c r="K326" i="1"/>
  <c r="K325" i="1"/>
  <c r="K324" i="1"/>
  <c r="J324" i="1"/>
  <c r="K323" i="1"/>
  <c r="K322" i="1"/>
  <c r="K321" i="1"/>
  <c r="K320" i="1"/>
  <c r="K319" i="1"/>
  <c r="K318" i="1"/>
  <c r="K317" i="1"/>
  <c r="K316" i="1"/>
  <c r="K315" i="1"/>
  <c r="K314" i="1"/>
  <c r="J314" i="1"/>
  <c r="K313" i="1"/>
  <c r="J313" i="1"/>
  <c r="K312" i="1"/>
  <c r="J312" i="1"/>
  <c r="K311" i="1"/>
  <c r="J311" i="1"/>
  <c r="K310" i="1"/>
  <c r="K309" i="1"/>
  <c r="J309" i="1"/>
  <c r="K308" i="1"/>
  <c r="K307" i="1"/>
  <c r="K306" i="1"/>
  <c r="K305" i="1"/>
  <c r="J305" i="1"/>
  <c r="K304" i="1"/>
  <c r="J304" i="1"/>
  <c r="K303" i="1"/>
  <c r="J303" i="1"/>
  <c r="K300" i="1"/>
  <c r="J300" i="1"/>
  <c r="K299" i="1"/>
  <c r="J299" i="1"/>
  <c r="K298" i="1"/>
  <c r="K297" i="1"/>
  <c r="J297" i="1"/>
  <c r="K295" i="1"/>
  <c r="J295" i="1"/>
  <c r="K294" i="1"/>
  <c r="K293" i="1"/>
  <c r="J293" i="1"/>
  <c r="K292" i="1"/>
  <c r="K291" i="1"/>
  <c r="J291" i="1"/>
  <c r="K290" i="1"/>
  <c r="K289" i="1"/>
  <c r="K288" i="1"/>
  <c r="K287" i="1"/>
  <c r="J287" i="1"/>
  <c r="K286" i="1"/>
  <c r="K285" i="1"/>
  <c r="J285" i="1"/>
  <c r="K284" i="1"/>
  <c r="K283" i="1"/>
  <c r="K282" i="1"/>
  <c r="K281" i="1"/>
  <c r="K280" i="1"/>
  <c r="K279" i="1"/>
  <c r="J279" i="1"/>
  <c r="K278" i="1"/>
  <c r="K277" i="1"/>
  <c r="K276" i="1"/>
  <c r="J276" i="1"/>
  <c r="K275" i="1"/>
  <c r="J275" i="1"/>
  <c r="K274" i="1"/>
  <c r="J274" i="1"/>
  <c r="K273" i="1"/>
  <c r="J273" i="1"/>
  <c r="K272" i="1"/>
  <c r="J272" i="1"/>
  <c r="K269" i="1"/>
  <c r="J269" i="1"/>
  <c r="J268" i="1"/>
  <c r="K267" i="1"/>
  <c r="J267" i="1"/>
  <c r="K266" i="1"/>
  <c r="J266" i="1"/>
  <c r="K265" i="1"/>
  <c r="J265" i="1"/>
  <c r="K264" i="1"/>
  <c r="J264" i="1"/>
  <c r="K263" i="1"/>
  <c r="J263" i="1"/>
  <c r="K262" i="1"/>
  <c r="J262" i="1"/>
  <c r="K261" i="1"/>
  <c r="J261" i="1"/>
  <c r="J260" i="1"/>
  <c r="J259" i="1"/>
  <c r="K258" i="1"/>
  <c r="J258" i="1"/>
  <c r="J256" i="1"/>
  <c r="K255" i="1"/>
  <c r="J255" i="1"/>
  <c r="J254" i="1"/>
  <c r="K253" i="1"/>
  <c r="J253" i="1"/>
  <c r="J252" i="1"/>
  <c r="K251" i="1"/>
  <c r="J251" i="1"/>
  <c r="K248" i="1"/>
  <c r="J248" i="1"/>
  <c r="J247" i="1"/>
  <c r="K246" i="1"/>
  <c r="J246" i="1"/>
  <c r="K245" i="1"/>
  <c r="J245" i="1"/>
  <c r="K244" i="1"/>
  <c r="J244" i="1"/>
  <c r="K242" i="1"/>
  <c r="J242" i="1"/>
  <c r="J240" i="1"/>
  <c r="K238" i="1"/>
  <c r="J238" i="1"/>
  <c r="K233" i="1"/>
  <c r="J233" i="1"/>
  <c r="K232" i="1"/>
  <c r="J232" i="1"/>
  <c r="K231" i="1"/>
  <c r="J231" i="1"/>
  <c r="K229" i="1"/>
  <c r="K228" i="1"/>
  <c r="J228" i="1"/>
  <c r="K227" i="1"/>
  <c r="K226" i="1"/>
  <c r="J226" i="1"/>
  <c r="K225" i="1"/>
  <c r="J225" i="1"/>
  <c r="K224" i="1"/>
  <c r="K223" i="1"/>
  <c r="J223" i="1"/>
  <c r="K222" i="1"/>
  <c r="J222" i="1"/>
  <c r="K221" i="1"/>
  <c r="K220" i="1"/>
  <c r="J220" i="1"/>
  <c r="K219" i="1"/>
  <c r="K218" i="1"/>
  <c r="K217" i="1"/>
  <c r="K216" i="1"/>
  <c r="J216" i="1"/>
  <c r="K215" i="1"/>
  <c r="J215" i="1"/>
  <c r="K214" i="1"/>
  <c r="K213" i="1"/>
  <c r="J213" i="1"/>
  <c r="K212" i="1"/>
  <c r="K211" i="1"/>
  <c r="K210" i="1"/>
  <c r="K207" i="1"/>
  <c r="J207" i="1"/>
  <c r="K206" i="1"/>
  <c r="J206" i="1"/>
  <c r="K205" i="1"/>
  <c r="J205" i="1"/>
  <c r="K204" i="1"/>
  <c r="J204" i="1"/>
  <c r="K203" i="1"/>
  <c r="J203" i="1"/>
  <c r="K202" i="1"/>
  <c r="J202" i="1"/>
  <c r="K201" i="1"/>
  <c r="J201" i="1"/>
  <c r="K200" i="1"/>
  <c r="J200" i="1"/>
  <c r="K199" i="1"/>
  <c r="J199" i="1"/>
  <c r="K198" i="1"/>
  <c r="J198" i="1"/>
  <c r="K197" i="1"/>
  <c r="J197" i="1"/>
  <c r="K196" i="1"/>
  <c r="J196" i="1"/>
  <c r="K195" i="1"/>
  <c r="J195" i="1"/>
  <c r="K194" i="1"/>
  <c r="J194" i="1"/>
  <c r="K193" i="1"/>
  <c r="J193" i="1"/>
  <c r="K192" i="1"/>
  <c r="J192" i="1"/>
  <c r="K191" i="1"/>
  <c r="J191" i="1"/>
  <c r="K190" i="1"/>
  <c r="J190" i="1"/>
  <c r="K189" i="1"/>
  <c r="J189" i="1"/>
  <c r="K188" i="1"/>
  <c r="J188" i="1"/>
  <c r="K186" i="1"/>
  <c r="J186" i="1"/>
  <c r="K177" i="1"/>
  <c r="J177" i="1"/>
  <c r="K175" i="1"/>
  <c r="J175" i="1"/>
  <c r="K174" i="1"/>
  <c r="J174" i="1"/>
  <c r="K173" i="1"/>
  <c r="J173" i="1"/>
  <c r="K172" i="1"/>
  <c r="J172" i="1"/>
  <c r="K171" i="1"/>
  <c r="J171" i="1"/>
  <c r="K170" i="1"/>
  <c r="J170" i="1"/>
  <c r="K167" i="1"/>
  <c r="J167" i="1"/>
  <c r="J163" i="1"/>
  <c r="K159" i="1"/>
  <c r="K158" i="1"/>
  <c r="K157" i="1"/>
  <c r="K156" i="1"/>
  <c r="J156" i="1"/>
  <c r="K155" i="1"/>
  <c r="J155" i="1"/>
  <c r="J154" i="1"/>
  <c r="K153" i="1"/>
  <c r="J153" i="1"/>
  <c r="K152" i="1"/>
  <c r="J152" i="1"/>
  <c r="K151" i="1"/>
  <c r="J151" i="1"/>
  <c r="K150" i="1"/>
  <c r="J150" i="1"/>
  <c r="K149" i="1"/>
  <c r="J149" i="1"/>
  <c r="K148" i="1"/>
  <c r="K147" i="1"/>
  <c r="J147" i="1"/>
  <c r="J146" i="1"/>
  <c r="K145" i="1"/>
  <c r="J145" i="1"/>
  <c r="K144" i="1"/>
  <c r="J144" i="1"/>
  <c r="K143" i="1"/>
  <c r="J143" i="1"/>
  <c r="K142" i="1"/>
  <c r="K141" i="1"/>
  <c r="J141" i="1"/>
  <c r="K140" i="1"/>
  <c r="J140" i="1"/>
  <c r="K139" i="1"/>
  <c r="J139" i="1"/>
  <c r="K138" i="1"/>
  <c r="J138" i="1"/>
  <c r="K137" i="1"/>
  <c r="J137" i="1"/>
  <c r="K136" i="1"/>
  <c r="J136" i="1"/>
  <c r="K135" i="1"/>
  <c r="J135" i="1"/>
  <c r="K134" i="1"/>
  <c r="J134" i="1"/>
  <c r="K133" i="1"/>
  <c r="J133" i="1"/>
  <c r="J132" i="1"/>
  <c r="K130" i="1"/>
  <c r="J130" i="1"/>
  <c r="J127" i="1"/>
  <c r="K124" i="1"/>
  <c r="J124" i="1"/>
  <c r="E92" i="6" s="1"/>
  <c r="K121" i="1"/>
  <c r="K118" i="1"/>
  <c r="J118" i="1"/>
  <c r="K117" i="1"/>
  <c r="J117" i="1"/>
  <c r="K116" i="1"/>
  <c r="J116" i="1"/>
  <c r="K115" i="1"/>
  <c r="J115" i="1"/>
  <c r="K114" i="1"/>
  <c r="J114" i="1"/>
  <c r="K113" i="1"/>
  <c r="J113" i="1"/>
  <c r="K112" i="1"/>
  <c r="J112" i="1"/>
  <c r="K111" i="1"/>
  <c r="J111" i="1"/>
  <c r="K107" i="1"/>
  <c r="K100" i="1"/>
  <c r="J100" i="1"/>
  <c r="K99" i="1"/>
  <c r="J99" i="1"/>
  <c r="J97" i="1"/>
  <c r="K96" i="1"/>
  <c r="J96" i="1"/>
  <c r="J95" i="1"/>
  <c r="J92" i="1"/>
  <c r="J91" i="1"/>
  <c r="K90" i="1"/>
  <c r="J90" i="1"/>
  <c r="K87" i="1"/>
  <c r="K84" i="1"/>
  <c r="K83" i="1"/>
  <c r="J83" i="1"/>
  <c r="K82" i="1"/>
  <c r="J82" i="1"/>
  <c r="K79" i="1"/>
  <c r="J79" i="1"/>
  <c r="K78" i="1"/>
  <c r="J78" i="1"/>
  <c r="K77" i="1"/>
  <c r="J77" i="1"/>
  <c r="K76" i="1"/>
  <c r="J76" i="1"/>
  <c r="K71" i="1"/>
  <c r="J71" i="1"/>
  <c r="K68" i="1"/>
  <c r="K65" i="1"/>
  <c r="J65" i="1"/>
  <c r="K64" i="1"/>
  <c r="J64" i="1"/>
  <c r="K61" i="1"/>
  <c r="J61" i="1"/>
  <c r="K60" i="1"/>
  <c r="J60" i="1"/>
  <c r="K59" i="1"/>
  <c r="J59" i="1"/>
  <c r="K58" i="1"/>
  <c r="J58" i="1"/>
  <c r="K57" i="1"/>
  <c r="J57" i="1"/>
  <c r="K56" i="1"/>
  <c r="J56" i="1"/>
  <c r="K55" i="1"/>
  <c r="J54" i="1"/>
  <c r="K52" i="1"/>
  <c r="J52" i="1"/>
  <c r="K50" i="1"/>
  <c r="J50" i="1"/>
  <c r="K49" i="1"/>
  <c r="J49" i="1"/>
  <c r="J48" i="1"/>
  <c r="K47" i="1"/>
  <c r="J47" i="1"/>
  <c r="K46" i="1"/>
  <c r="J46" i="1"/>
  <c r="K43" i="1"/>
  <c r="J43" i="1"/>
  <c r="K42" i="1"/>
  <c r="J42" i="1"/>
  <c r="K39" i="1"/>
  <c r="J39" i="1"/>
  <c r="K38" i="1"/>
  <c r="J38" i="1"/>
  <c r="K35" i="1"/>
  <c r="J35" i="1"/>
  <c r="J34" i="1"/>
  <c r="K33" i="1"/>
  <c r="J33" i="1"/>
  <c r="K31" i="1"/>
  <c r="J31" i="1"/>
  <c r="K28" i="1"/>
  <c r="J28" i="1"/>
  <c r="K27" i="1"/>
  <c r="J27" i="1"/>
  <c r="K26" i="1"/>
  <c r="J26" i="1"/>
  <c r="J25" i="1"/>
  <c r="K23" i="1"/>
  <c r="J23" i="1"/>
  <c r="J18" i="1"/>
  <c r="J15" i="1"/>
  <c r="K14" i="1"/>
  <c r="J14" i="1"/>
  <c r="K13" i="1"/>
  <c r="J13" i="1"/>
  <c r="K12" i="1"/>
  <c r="K11" i="1"/>
  <c r="J11" i="1"/>
  <c r="K99" i="5"/>
  <c r="J183" i="5"/>
  <c r="J168" i="5"/>
  <c r="H219" i="5"/>
  <c r="H163" i="5"/>
  <c r="J116" i="5"/>
  <c r="H111" i="5"/>
  <c r="J121" i="5"/>
  <c r="K22" i="5" l="1"/>
  <c r="K252" i="1" s="1"/>
  <c r="K154" i="1"/>
  <c r="K240" i="1" l="1"/>
  <c r="H224" i="5"/>
  <c r="V21" i="7" l="1"/>
  <c r="V135" i="6"/>
  <c r="V59" i="6"/>
  <c r="V57" i="6" s="1"/>
  <c r="V53" i="6"/>
  <c r="V15" i="6"/>
  <c r="V13" i="6" s="1"/>
  <c r="V134" i="6"/>
  <c r="V133" i="6" l="1"/>
  <c r="H420" i="18" s="1"/>
  <c r="V51" i="6"/>
  <c r="K222" i="18"/>
  <c r="I7" i="7" l="1"/>
  <c r="BE11" i="1" l="1"/>
  <c r="AR354" i="1"/>
  <c r="AR352" i="1"/>
  <c r="AR351" i="1"/>
  <c r="AR304" i="1"/>
  <c r="AR305" i="1"/>
  <c r="AR306" i="1"/>
  <c r="AR307" i="1"/>
  <c r="AR308" i="1"/>
  <c r="AR309" i="1"/>
  <c r="AR311" i="1"/>
  <c r="AR312" i="1"/>
  <c r="AR314" i="1"/>
  <c r="AR315" i="1"/>
  <c r="AR316" i="1"/>
  <c r="AR317" i="1"/>
  <c r="AR319" i="1"/>
  <c r="AR320" i="1"/>
  <c r="AR321" i="1"/>
  <c r="AR322" i="1"/>
  <c r="AR323" i="1"/>
  <c r="AR324" i="1"/>
  <c r="AR325" i="1"/>
  <c r="AR326" i="1"/>
  <c r="AR327" i="1"/>
  <c r="AR328" i="1"/>
  <c r="AR329" i="1"/>
  <c r="AR330" i="1"/>
  <c r="AR331" i="1"/>
  <c r="AR332" i="1"/>
  <c r="AR333" i="1"/>
  <c r="AR334" i="1"/>
  <c r="AR336" i="1"/>
  <c r="AR337" i="1"/>
  <c r="AR338" i="1"/>
  <c r="AR339" i="1"/>
  <c r="AR340" i="1"/>
  <c r="AR341" i="1"/>
  <c r="AR342" i="1"/>
  <c r="AR343" i="1"/>
  <c r="AR344" i="1"/>
  <c r="AR345" i="1"/>
  <c r="AR346" i="1"/>
  <c r="AR347" i="1"/>
  <c r="AR348" i="1"/>
  <c r="AR303"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272" i="1"/>
  <c r="AR252" i="1"/>
  <c r="AR253" i="1"/>
  <c r="AR254" i="1"/>
  <c r="AR255" i="1"/>
  <c r="AR256" i="1"/>
  <c r="AR258" i="1"/>
  <c r="AR259" i="1"/>
  <c r="AR260" i="1"/>
  <c r="AR261" i="1"/>
  <c r="AR262" i="1"/>
  <c r="AR263" i="1"/>
  <c r="AR264" i="1"/>
  <c r="AR265" i="1"/>
  <c r="AR266" i="1"/>
  <c r="AR267" i="1"/>
  <c r="AR268" i="1"/>
  <c r="AR269" i="1"/>
  <c r="AR237" i="1"/>
  <c r="AR238" i="1"/>
  <c r="AR239" i="1"/>
  <c r="AR240" i="1"/>
  <c r="AR241" i="1"/>
  <c r="AR242" i="1"/>
  <c r="AR244" i="1"/>
  <c r="AR245" i="1"/>
  <c r="AR246" i="1"/>
  <c r="AR247" i="1"/>
  <c r="AR248"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10" i="1"/>
  <c r="AR188" i="1"/>
  <c r="AR189" i="1"/>
  <c r="AR190" i="1"/>
  <c r="AR191" i="1"/>
  <c r="AR192" i="1"/>
  <c r="AR193" i="1"/>
  <c r="AR194" i="1"/>
  <c r="AR195" i="1"/>
  <c r="AR196" i="1"/>
  <c r="AR197" i="1"/>
  <c r="AR198" i="1"/>
  <c r="AR199" i="1"/>
  <c r="AR200" i="1"/>
  <c r="AR201" i="1"/>
  <c r="AR202" i="1"/>
  <c r="AR203" i="1"/>
  <c r="AR204" i="1"/>
  <c r="AR205" i="1"/>
  <c r="AR206" i="1"/>
  <c r="AR207" i="1"/>
  <c r="AR186" i="1"/>
  <c r="I11" i="28"/>
  <c r="I12" i="28"/>
  <c r="AR18" i="1" s="1"/>
  <c r="I13" i="28"/>
  <c r="I14" i="28"/>
  <c r="AR31" i="1" s="1"/>
  <c r="H127" i="22" s="1"/>
  <c r="I15" i="28"/>
  <c r="I16" i="28"/>
  <c r="I17" i="28"/>
  <c r="I18" i="28"/>
  <c r="I19" i="28"/>
  <c r="AR53" i="1" s="1"/>
  <c r="I20" i="28"/>
  <c r="I21" i="28"/>
  <c r="I22" i="28"/>
  <c r="I23" i="28"/>
  <c r="I24" i="28"/>
  <c r="I25" i="28"/>
  <c r="I26" i="28"/>
  <c r="I27" i="28"/>
  <c r="I28" i="28"/>
  <c r="I29" i="28"/>
  <c r="I30" i="28"/>
  <c r="I31" i="28"/>
  <c r="I32" i="28"/>
  <c r="I33" i="28"/>
  <c r="I34" i="28"/>
  <c r="I35" i="28"/>
  <c r="I36" i="28"/>
  <c r="I37" i="28"/>
  <c r="I38" i="28"/>
  <c r="I39" i="28"/>
  <c r="I40" i="28"/>
  <c r="I41" i="28"/>
  <c r="I42" i="28"/>
  <c r="I43" i="28"/>
  <c r="I44" i="28"/>
  <c r="I45" i="28"/>
  <c r="AJ354" i="1"/>
  <c r="AJ352" i="1"/>
  <c r="AJ351" i="1"/>
  <c r="AJ304" i="1"/>
  <c r="AJ305" i="1"/>
  <c r="AJ306" i="1"/>
  <c r="AJ307" i="1"/>
  <c r="AJ308" i="1"/>
  <c r="AJ309" i="1"/>
  <c r="AJ310" i="1"/>
  <c r="AJ311" i="1"/>
  <c r="AJ312"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4" i="1"/>
  <c r="AJ345" i="1"/>
  <c r="AJ346" i="1"/>
  <c r="AJ347" i="1"/>
  <c r="AJ348" i="1"/>
  <c r="AJ303"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272" i="1"/>
  <c r="AJ252" i="1"/>
  <c r="AJ253" i="1"/>
  <c r="AJ254" i="1"/>
  <c r="AJ255" i="1"/>
  <c r="AJ256" i="1"/>
  <c r="AJ258" i="1"/>
  <c r="AJ259" i="1"/>
  <c r="AJ260" i="1"/>
  <c r="AJ261" i="1"/>
  <c r="AJ262" i="1"/>
  <c r="AJ263" i="1"/>
  <c r="AJ264" i="1"/>
  <c r="AJ265" i="1"/>
  <c r="AJ266" i="1"/>
  <c r="AJ267" i="1"/>
  <c r="AJ268" i="1"/>
  <c r="AJ269" i="1"/>
  <c r="AJ251" i="1"/>
  <c r="AJ237" i="1"/>
  <c r="AJ238" i="1"/>
  <c r="AJ239" i="1"/>
  <c r="AJ240" i="1"/>
  <c r="AJ241" i="1"/>
  <c r="AJ242" i="1"/>
  <c r="AJ244" i="1"/>
  <c r="AJ245" i="1"/>
  <c r="AJ246" i="1"/>
  <c r="AJ247" i="1"/>
  <c r="AJ248" i="1"/>
  <c r="I8" i="26"/>
  <c r="I9" i="26"/>
  <c r="I10" i="26"/>
  <c r="I11" i="26"/>
  <c r="I12" i="26"/>
  <c r="I13" i="26"/>
  <c r="I14" i="26"/>
  <c r="I15" i="26"/>
  <c r="I16" i="26"/>
  <c r="I17" i="26"/>
  <c r="I18" i="26"/>
  <c r="I19" i="26"/>
  <c r="I20" i="26"/>
  <c r="I21" i="26"/>
  <c r="I22" i="26"/>
  <c r="I23" i="26"/>
  <c r="Z353" i="1"/>
  <c r="Z354" i="1"/>
  <c r="Z351" i="1"/>
  <c r="Z305" i="1"/>
  <c r="Z306" i="1"/>
  <c r="Z307" i="1"/>
  <c r="Z308" i="1"/>
  <c r="Z309" i="1"/>
  <c r="Z310" i="1"/>
  <c r="Z311" i="1"/>
  <c r="Z312" i="1"/>
  <c r="Z314" i="1"/>
  <c r="Z317" i="1"/>
  <c r="Z318"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273" i="1"/>
  <c r="Z274" i="1"/>
  <c r="Z275" i="1"/>
  <c r="Z276" i="1"/>
  <c r="Z277" i="1"/>
  <c r="Z278" i="1"/>
  <c r="Z279" i="1"/>
  <c r="Z280" i="1"/>
  <c r="Z281" i="1"/>
  <c r="Z282" i="1"/>
  <c r="Z283" i="1"/>
  <c r="Z284" i="1"/>
  <c r="Z285" i="1"/>
  <c r="Z286" i="1"/>
  <c r="Z287" i="1"/>
  <c r="Z288" i="1"/>
  <c r="Z289" i="1"/>
  <c r="Z290" i="1"/>
  <c r="Z291" i="1"/>
  <c r="Z292" i="1"/>
  <c r="Z293" i="1"/>
  <c r="Z294" i="1"/>
  <c r="Z295" i="1"/>
  <c r="Z297" i="1"/>
  <c r="Z298" i="1"/>
  <c r="Z299" i="1"/>
  <c r="Z300" i="1"/>
  <c r="Z272" i="1"/>
  <c r="Z252" i="1"/>
  <c r="Z253" i="1"/>
  <c r="Z254" i="1"/>
  <c r="Z255" i="1"/>
  <c r="Z256" i="1"/>
  <c r="Z258" i="1"/>
  <c r="Z259" i="1"/>
  <c r="Z260" i="1"/>
  <c r="Z261" i="1"/>
  <c r="Z262" i="1"/>
  <c r="Z263" i="1"/>
  <c r="Z264" i="1"/>
  <c r="Z265" i="1"/>
  <c r="Z266" i="1"/>
  <c r="Z267" i="1"/>
  <c r="Z268" i="1"/>
  <c r="Z269" i="1"/>
  <c r="Z251" i="1"/>
  <c r="Z237" i="1"/>
  <c r="Z238" i="1"/>
  <c r="Z239" i="1"/>
  <c r="Z240" i="1"/>
  <c r="Z241" i="1"/>
  <c r="Z242" i="1"/>
  <c r="Z244" i="1"/>
  <c r="Z245" i="1"/>
  <c r="Z246" i="1"/>
  <c r="Z247" i="1"/>
  <c r="Z248" i="1"/>
  <c r="Z211" i="1"/>
  <c r="Z212" i="1"/>
  <c r="Z213" i="1"/>
  <c r="Z214" i="1"/>
  <c r="Z215" i="1"/>
  <c r="Z216" i="1"/>
  <c r="Z217" i="1"/>
  <c r="Z218" i="1"/>
  <c r="Z219" i="1"/>
  <c r="Z220" i="1"/>
  <c r="Z221" i="1"/>
  <c r="Z222" i="1"/>
  <c r="Z223" i="1"/>
  <c r="Z224" i="1"/>
  <c r="Z225" i="1"/>
  <c r="Z226" i="1"/>
  <c r="Z227" i="1"/>
  <c r="Z228" i="1"/>
  <c r="Z229" i="1"/>
  <c r="Z230" i="1"/>
  <c r="Z232" i="1"/>
  <c r="Z233" i="1"/>
  <c r="Z210" i="1"/>
  <c r="Z187" i="1"/>
  <c r="Z188" i="1"/>
  <c r="Z189" i="1"/>
  <c r="Z190" i="1"/>
  <c r="Z191" i="1"/>
  <c r="Z192" i="1"/>
  <c r="Z193" i="1"/>
  <c r="Z194" i="1"/>
  <c r="Z195" i="1"/>
  <c r="Z196" i="1"/>
  <c r="Z197" i="1"/>
  <c r="Z198" i="1"/>
  <c r="Z200" i="1"/>
  <c r="Z201" i="1"/>
  <c r="Z202" i="1"/>
  <c r="Z203" i="1"/>
  <c r="Z204" i="1"/>
  <c r="Z205" i="1"/>
  <c r="Z206" i="1"/>
  <c r="Z207" i="1"/>
  <c r="N8" i="24"/>
  <c r="N9" i="24"/>
  <c r="N10" i="24"/>
  <c r="N11" i="24"/>
  <c r="N12" i="24"/>
  <c r="N13" i="24"/>
  <c r="Z313" i="1" s="1"/>
  <c r="N14" i="24"/>
  <c r="N15" i="24"/>
  <c r="N16" i="24"/>
  <c r="N17" i="24"/>
  <c r="N18" i="24"/>
  <c r="N19" i="24"/>
  <c r="N20" i="24"/>
  <c r="N21" i="24"/>
  <c r="N22" i="24"/>
  <c r="N23" i="24"/>
  <c r="N24" i="24"/>
  <c r="N25" i="24"/>
  <c r="N26" i="24"/>
  <c r="N27" i="24"/>
  <c r="N28" i="24"/>
  <c r="N29" i="24"/>
  <c r="N30" i="24"/>
  <c r="N31" i="24"/>
  <c r="N32" i="24"/>
  <c r="N33" i="24"/>
  <c r="N34" i="24"/>
  <c r="N35"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7" i="24"/>
  <c r="N68" i="24"/>
  <c r="N69" i="24"/>
  <c r="N70" i="24"/>
  <c r="N71" i="24"/>
  <c r="N72" i="24"/>
  <c r="Z352" i="1" s="1"/>
  <c r="N73" i="24"/>
  <c r="I9" i="23"/>
  <c r="I10" i="23"/>
  <c r="I11" i="23"/>
  <c r="I12" i="23"/>
  <c r="I13" i="23"/>
  <c r="I14" i="23"/>
  <c r="I15" i="23"/>
  <c r="Z35" i="1" s="1"/>
  <c r="H145" i="22" s="1"/>
  <c r="I146" i="22" s="1"/>
  <c r="I16" i="23"/>
  <c r="I17" i="23"/>
  <c r="I18" i="23"/>
  <c r="I19" i="23"/>
  <c r="I20" i="23"/>
  <c r="I21" i="23"/>
  <c r="I22" i="23"/>
  <c r="I23" i="23"/>
  <c r="I24" i="23"/>
  <c r="I25" i="23"/>
  <c r="I26" i="23"/>
  <c r="I27" i="23"/>
  <c r="Z92" i="1" s="1"/>
  <c r="J15" i="32" s="1"/>
  <c r="I28" i="23"/>
  <c r="I29" i="23"/>
  <c r="I30" i="23"/>
  <c r="I31" i="23"/>
  <c r="I32" i="23"/>
  <c r="I33" i="23"/>
  <c r="I34" i="23"/>
  <c r="I35" i="23"/>
  <c r="I36" i="23"/>
  <c r="I37" i="23"/>
  <c r="I38" i="23"/>
  <c r="I39" i="23"/>
  <c r="I40" i="23"/>
  <c r="I41" i="23"/>
  <c r="I42" i="23"/>
  <c r="I43" i="23"/>
  <c r="I44" i="23"/>
  <c r="I45" i="23"/>
  <c r="I46" i="23"/>
  <c r="I47" i="23"/>
  <c r="I48" i="23"/>
  <c r="I49" i="23"/>
  <c r="I50" i="23"/>
  <c r="I51" i="23"/>
  <c r="I52" i="23"/>
  <c r="I53" i="23"/>
  <c r="I54" i="23"/>
  <c r="I55" i="23"/>
  <c r="I56" i="23"/>
  <c r="Z176" i="1" s="1"/>
  <c r="I57" i="23"/>
  <c r="I58" i="23"/>
  <c r="I59" i="23"/>
  <c r="I60" i="23"/>
  <c r="I61" i="23"/>
  <c r="Z175" i="1" s="1"/>
  <c r="Z4" i="1" s="1"/>
  <c r="I62" i="23"/>
  <c r="I63" i="23"/>
  <c r="I64" i="23"/>
  <c r="I65" i="23"/>
  <c r="I66" i="23"/>
  <c r="I67" i="23"/>
  <c r="I68" i="23"/>
  <c r="I69" i="23"/>
  <c r="I70" i="23"/>
  <c r="I71" i="23"/>
  <c r="I72" i="23"/>
  <c r="I73" i="23"/>
  <c r="I74" i="23"/>
  <c r="I8" i="23"/>
  <c r="AZ242" i="1"/>
  <c r="BA242" i="1"/>
  <c r="BD242" i="1"/>
  <c r="BE242" i="1"/>
  <c r="BH242" i="1"/>
  <c r="BI242" i="1"/>
  <c r="BL242" i="1"/>
  <c r="BM242" i="1"/>
  <c r="BQ242" i="1"/>
  <c r="AK242" i="1"/>
  <c r="AA242" i="1"/>
  <c r="AB242" i="1"/>
  <c r="AF242" i="1"/>
  <c r="AG242" i="1"/>
  <c r="I68" i="1"/>
  <c r="G40" i="47"/>
  <c r="G39" i="47"/>
  <c r="G38" i="47"/>
  <c r="G37" i="47"/>
  <c r="G36" i="47"/>
  <c r="G35" i="47"/>
  <c r="G34" i="47"/>
  <c r="I33" i="47"/>
  <c r="I34" i="47" s="1"/>
  <c r="I35" i="47" s="1"/>
  <c r="I36" i="47" s="1"/>
  <c r="I37" i="47" s="1"/>
  <c r="I38" i="47" s="1"/>
  <c r="I39" i="47" s="1"/>
  <c r="I40" i="47" s="1"/>
  <c r="G33" i="47"/>
  <c r="AB32" i="47"/>
  <c r="I32" i="47"/>
  <c r="G32" i="47"/>
  <c r="AB31" i="47"/>
  <c r="I31" i="47"/>
  <c r="G31" i="47"/>
  <c r="AB30" i="47"/>
  <c r="AB29" i="47"/>
  <c r="F29" i="47"/>
  <c r="E30" i="47" s="1"/>
  <c r="AB28" i="47"/>
  <c r="F28" i="47"/>
  <c r="AB27" i="47"/>
  <c r="I27" i="47"/>
  <c r="F27" i="47"/>
  <c r="E28" i="47" s="1"/>
  <c r="I28" i="47" s="1"/>
  <c r="AB26" i="47"/>
  <c r="I26" i="47"/>
  <c r="G26" i="47"/>
  <c r="G25" i="47"/>
  <c r="G24" i="47"/>
  <c r="G23" i="47"/>
  <c r="H9" i="47"/>
  <c r="L7" i="47"/>
  <c r="AR175" i="1" l="1"/>
  <c r="AR170" i="1"/>
  <c r="L127" i="22"/>
  <c r="I128" i="22"/>
  <c r="L128" i="22" s="1"/>
  <c r="AR91" i="1"/>
  <c r="AR95" i="1"/>
  <c r="AR70" i="1"/>
  <c r="AR113" i="1"/>
  <c r="AR60" i="1"/>
  <c r="AR176" i="1"/>
  <c r="Z296" i="1"/>
  <c r="Z231" i="1"/>
  <c r="AB24" i="47"/>
  <c r="N5" i="24"/>
  <c r="Z316" i="1"/>
  <c r="L9" i="47"/>
  <c r="L8" i="47" s="1"/>
  <c r="Z320" i="1"/>
  <c r="BF242" i="1"/>
  <c r="BB242" i="1"/>
  <c r="BN242" i="1"/>
  <c r="BJ242" i="1"/>
  <c r="AH242" i="1"/>
  <c r="AL242" i="1"/>
  <c r="Z319" i="1"/>
  <c r="Z315" i="1"/>
  <c r="Z304" i="1"/>
  <c r="Z303" i="1"/>
  <c r="Z236" i="1"/>
  <c r="Z186" i="1"/>
  <c r="AC242" i="1"/>
  <c r="G28" i="47"/>
  <c r="I30" i="47"/>
  <c r="F30" i="47"/>
  <c r="G30" i="47" s="1"/>
  <c r="C14" i="47"/>
  <c r="G27" i="47"/>
  <c r="E29" i="47"/>
  <c r="L10" i="47" l="1"/>
  <c r="C23" i="47" s="1"/>
  <c r="BR242" i="1"/>
  <c r="I29" i="47"/>
  <c r="G29" i="47"/>
  <c r="D23" i="47" l="1"/>
  <c r="J23" i="47"/>
  <c r="K23" i="47" s="1"/>
  <c r="C24" i="47"/>
  <c r="C25" i="47" l="1"/>
  <c r="D24" i="47"/>
  <c r="J24" i="47"/>
  <c r="K24" i="47" s="1"/>
  <c r="J25" i="47" l="1"/>
  <c r="K25" i="47" s="1"/>
  <c r="D26" i="47" s="1"/>
  <c r="J26" i="47" s="1"/>
  <c r="K26" i="47" s="1"/>
  <c r="D27" i="47" s="1"/>
  <c r="J27" i="47" s="1"/>
  <c r="K27" i="47" s="1"/>
  <c r="D28" i="47" s="1"/>
  <c r="C26" i="47"/>
  <c r="C27" i="47" s="1"/>
  <c r="C28" i="47" s="1"/>
  <c r="C29" i="47" s="1"/>
  <c r="C30" i="47" s="1"/>
  <c r="C31" i="47" s="1"/>
  <c r="C32" i="47" s="1"/>
  <c r="C33" i="47" s="1"/>
  <c r="C34" i="47" s="1"/>
  <c r="C35" i="47" s="1"/>
  <c r="C36" i="47" s="1"/>
  <c r="C37" i="47" s="1"/>
  <c r="C38" i="47" s="1"/>
  <c r="C39" i="47" s="1"/>
  <c r="C40" i="47" s="1"/>
  <c r="D25" i="47"/>
  <c r="J28" i="47" l="1"/>
  <c r="K28" i="47" s="1"/>
  <c r="D29" i="47" s="1"/>
  <c r="J29" i="47" l="1"/>
  <c r="K29" i="47" s="1"/>
  <c r="D30" i="47" s="1"/>
  <c r="J30" i="47" l="1"/>
  <c r="K30" i="47" s="1"/>
  <c r="D31" i="47" s="1"/>
  <c r="J31" i="47" l="1"/>
  <c r="K31" i="47" s="1"/>
  <c r="D32" i="47" s="1"/>
  <c r="J32" i="47" l="1"/>
  <c r="K32" i="47" s="1"/>
  <c r="D33" i="47" l="1"/>
  <c r="D34" i="47" l="1"/>
  <c r="J33" i="47"/>
  <c r="K33" i="47" s="1"/>
  <c r="D35" i="47" l="1"/>
  <c r="J34" i="47"/>
  <c r="K34" i="47" s="1"/>
  <c r="J35" i="47" l="1"/>
  <c r="K35" i="47" s="1"/>
  <c r="D36" i="47"/>
  <c r="J36" i="47" l="1"/>
  <c r="K36" i="47" s="1"/>
  <c r="D37" i="47"/>
  <c r="D38" i="47" l="1"/>
  <c r="J37" i="47"/>
  <c r="K37" i="47" s="1"/>
  <c r="D39" i="47" l="1"/>
  <c r="J38" i="47"/>
  <c r="K38" i="47" s="1"/>
  <c r="J39" i="47" l="1"/>
  <c r="K39" i="47" s="1"/>
  <c r="D40" i="47"/>
  <c r="J40" i="47" s="1"/>
  <c r="K40" i="47" l="1"/>
  <c r="W666" i="18"/>
  <c r="W665" i="18"/>
  <c r="W664" i="18"/>
  <c r="W663" i="18"/>
  <c r="V666" i="18"/>
  <c r="V665" i="18"/>
  <c r="V664" i="18"/>
  <c r="V663" i="18"/>
  <c r="V662" i="18"/>
  <c r="U662" i="18"/>
  <c r="P700" i="18"/>
  <c r="P703" i="18" s="1"/>
  <c r="O700" i="18"/>
  <c r="O703" i="18" s="1"/>
  <c r="N700" i="18"/>
  <c r="N703" i="18" s="1"/>
  <c r="M700" i="18"/>
  <c r="P693" i="18"/>
  <c r="P696" i="18" s="1"/>
  <c r="O693" i="18"/>
  <c r="O696" i="18" s="1"/>
  <c r="N693" i="18"/>
  <c r="N696" i="18" s="1"/>
  <c r="M693" i="18"/>
  <c r="P686" i="18"/>
  <c r="O686" i="18"/>
  <c r="P685" i="18"/>
  <c r="W667" i="18" s="1"/>
  <c r="O685" i="18"/>
  <c r="V667" i="18" s="1"/>
  <c r="P684" i="18"/>
  <c r="O684" i="18"/>
  <c r="P683" i="18"/>
  <c r="O683" i="18"/>
  <c r="N686" i="18"/>
  <c r="N685" i="18"/>
  <c r="N684" i="18"/>
  <c r="N683" i="18"/>
  <c r="T668" i="18"/>
  <c r="T667" i="18"/>
  <c r="T666" i="18"/>
  <c r="T663" i="18"/>
  <c r="T662" i="18"/>
  <c r="O670" i="18"/>
  <c r="P677" i="18"/>
  <c r="O677" i="18"/>
  <c r="N676" i="18"/>
  <c r="N674" i="18"/>
  <c r="M668" i="18"/>
  <c r="M667" i="18"/>
  <c r="M666" i="18"/>
  <c r="M663" i="18"/>
  <c r="M662" i="18"/>
  <c r="P662" i="18"/>
  <c r="P670" i="18" s="1"/>
  <c r="G676" i="18"/>
  <c r="N675" i="18" l="1"/>
  <c r="N677" i="18" s="1"/>
  <c r="O687" i="18"/>
  <c r="W662" i="18"/>
  <c r="X662" i="18" s="1"/>
  <c r="Q662" i="18"/>
  <c r="Q683" i="18"/>
  <c r="Q684" i="18" s="1"/>
  <c r="Q685" i="18" s="1"/>
  <c r="Q686" i="18" s="1"/>
  <c r="V668" i="18"/>
  <c r="V670" i="18" s="1"/>
  <c r="P687" i="18"/>
  <c r="Q693" i="18"/>
  <c r="Q700" i="18"/>
  <c r="W668" i="18"/>
  <c r="N687" i="18"/>
  <c r="Q674" i="18"/>
  <c r="Q675" i="18" l="1"/>
  <c r="Q676" i="18" s="1"/>
  <c r="W670" i="18"/>
  <c r="U213" i="18"/>
  <c r="L179" i="22" l="1"/>
  <c r="K180" i="22"/>
  <c r="L180" i="22" s="1"/>
  <c r="AW212" i="1" s="1"/>
  <c r="G523" i="18" s="1"/>
  <c r="M640" i="10" l="1"/>
  <c r="O634" i="10"/>
  <c r="O635" i="10" s="1"/>
  <c r="O636" i="10" s="1"/>
  <c r="O637" i="10" s="1"/>
  <c r="N633" i="10"/>
  <c r="N640" i="10" s="1"/>
  <c r="L638" i="10"/>
  <c r="L640" i="10" s="1"/>
  <c r="O638" i="10" l="1"/>
  <c r="O639" i="10" s="1"/>
  <c r="F250" i="3" l="1"/>
  <c r="J250" i="3" s="1"/>
  <c r="E251" i="3"/>
  <c r="E250" i="3"/>
  <c r="J246" i="3"/>
  <c r="G247" i="3"/>
  <c r="J247" i="3" s="1"/>
  <c r="E246" i="3"/>
  <c r="E247" i="3"/>
  <c r="G119" i="18"/>
  <c r="R323" i="18"/>
  <c r="R324" i="18"/>
  <c r="R325" i="18"/>
  <c r="R327" i="18"/>
  <c r="F324" i="18"/>
  <c r="F329" i="18" s="1"/>
  <c r="D60" i="17"/>
  <c r="D66" i="17" s="1"/>
  <c r="N37" i="17" s="1"/>
  <c r="X2" i="17"/>
  <c r="Y2" i="17"/>
  <c r="G9" i="46"/>
  <c r="G8" i="46"/>
  <c r="H704" i="18"/>
  <c r="I704" i="18"/>
  <c r="H697" i="18"/>
  <c r="I697" i="18"/>
  <c r="J701" i="18"/>
  <c r="J694" i="18"/>
  <c r="F701" i="18"/>
  <c r="F702" i="18"/>
  <c r="G251" i="3" l="1"/>
  <c r="J251" i="3" s="1"/>
  <c r="F688" i="18" l="1"/>
  <c r="J687" i="18"/>
  <c r="H680" i="18"/>
  <c r="I680" i="18"/>
  <c r="Q651" i="18"/>
  <c r="P651" i="18"/>
  <c r="J675" i="18"/>
  <c r="O629" i="18"/>
  <c r="O634" i="18" s="1"/>
  <c r="R648" i="18"/>
  <c r="Q648" i="18"/>
  <c r="P648" i="18"/>
  <c r="S655" i="18"/>
  <c r="O649" i="18"/>
  <c r="O651" i="18" s="1"/>
  <c r="F678" i="18"/>
  <c r="F633" i="18" l="1"/>
  <c r="T655" i="18" s="1"/>
  <c r="J676" i="18"/>
  <c r="J677" i="18" s="1"/>
  <c r="N651" i="18"/>
  <c r="O648" i="18"/>
  <c r="F695" i="18" l="1"/>
  <c r="F694" i="18"/>
  <c r="I669" i="18"/>
  <c r="I653" i="18" s="1"/>
  <c r="H669" i="18"/>
  <c r="H653" i="18" s="1"/>
  <c r="I668" i="18"/>
  <c r="I652" i="18" s="1"/>
  <c r="H668" i="18"/>
  <c r="H652" i="18" s="1"/>
  <c r="I667" i="18"/>
  <c r="I651" i="18" s="1"/>
  <c r="I666" i="18"/>
  <c r="I665" i="18"/>
  <c r="H665" i="18"/>
  <c r="I664" i="18"/>
  <c r="H664" i="18"/>
  <c r="H663" i="18"/>
  <c r="G667" i="18"/>
  <c r="G651" i="18" s="1"/>
  <c r="G666" i="18"/>
  <c r="G665" i="18"/>
  <c r="N665" i="18" s="1"/>
  <c r="U665" i="18" s="1"/>
  <c r="G664" i="18"/>
  <c r="N664" i="18" s="1"/>
  <c r="U664" i="18" s="1"/>
  <c r="G663" i="18"/>
  <c r="F669" i="18"/>
  <c r="F668" i="18"/>
  <c r="F667" i="18"/>
  <c r="F666" i="18"/>
  <c r="F663" i="18"/>
  <c r="N649" i="18"/>
  <c r="G671" i="18" l="1"/>
  <c r="I655" i="18"/>
  <c r="N648" i="18"/>
  <c r="S649" i="18"/>
  <c r="F627" i="18" s="1"/>
  <c r="N663" i="18"/>
  <c r="Q663" i="18" s="1"/>
  <c r="Q664" i="18" s="1"/>
  <c r="Q665" i="18" s="1"/>
  <c r="N667" i="18"/>
  <c r="U667" i="18" s="1"/>
  <c r="G650" i="18"/>
  <c r="N666" i="18"/>
  <c r="U666" i="18" s="1"/>
  <c r="Q316" i="18"/>
  <c r="P316" i="18"/>
  <c r="U663" i="18" l="1"/>
  <c r="X663" i="18" s="1"/>
  <c r="X664" i="18" s="1"/>
  <c r="X665" i="18" s="1"/>
  <c r="X666" i="18" s="1"/>
  <c r="X667" i="18" s="1"/>
  <c r="Q666" i="18"/>
  <c r="Q667" i="18" s="1"/>
  <c r="F246" i="18"/>
  <c r="G247" i="18"/>
  <c r="G246" i="18"/>
  <c r="F242" i="18"/>
  <c r="F241" i="18"/>
  <c r="H241" i="18" s="1"/>
  <c r="G242" i="18"/>
  <c r="G240" i="18"/>
  <c r="F240" i="18"/>
  <c r="F255" i="18"/>
  <c r="F233" i="18"/>
  <c r="H223" i="18"/>
  <c r="G223" i="18"/>
  <c r="F223" i="18"/>
  <c r="G216" i="18"/>
  <c r="H216" i="18"/>
  <c r="H242" i="18" l="1"/>
  <c r="H217" i="18"/>
  <c r="K211" i="19" l="1"/>
  <c r="F376" i="18" l="1"/>
  <c r="G345" i="18"/>
  <c r="G346" i="18" s="1"/>
  <c r="G348" i="18" s="1"/>
  <c r="F346" i="18"/>
  <c r="F348" i="18" s="1"/>
  <c r="I304" i="18"/>
  <c r="I303" i="18"/>
  <c r="N186" i="18"/>
  <c r="F816" i="18" l="1"/>
  <c r="G256" i="22"/>
  <c r="G257" i="22"/>
  <c r="AT230" i="1"/>
  <c r="AP230" i="1"/>
  <c r="AL230" i="1"/>
  <c r="AH230" i="1"/>
  <c r="AA230" i="1"/>
  <c r="AB230" i="1"/>
  <c r="L230" i="1"/>
  <c r="AV230" i="1" l="1"/>
  <c r="AC230" i="1"/>
  <c r="BQ343" i="1"/>
  <c r="BL343" i="1"/>
  <c r="BM343" i="1"/>
  <c r="BH343" i="1"/>
  <c r="BI343" i="1"/>
  <c r="BD343" i="1"/>
  <c r="BE343" i="1"/>
  <c r="AZ343" i="1"/>
  <c r="BA343" i="1"/>
  <c r="AH343" i="1"/>
  <c r="AA343" i="1"/>
  <c r="AB343" i="1"/>
  <c r="L343" i="1"/>
  <c r="BF343" i="1" l="1"/>
  <c r="BJ343" i="1"/>
  <c r="BB343" i="1"/>
  <c r="AC343" i="1"/>
  <c r="BN343" i="1"/>
  <c r="BR343" i="1" l="1"/>
  <c r="K467" i="18"/>
  <c r="K468" i="18"/>
  <c r="K469" i="18"/>
  <c r="K470" i="18"/>
  <c r="K471" i="18"/>
  <c r="K472" i="18"/>
  <c r="K473" i="18"/>
  <c r="K474" i="18"/>
  <c r="K466" i="18"/>
  <c r="L252" i="22"/>
  <c r="G253" i="22"/>
  <c r="L251" i="22"/>
  <c r="G251" i="22"/>
  <c r="G252" i="22"/>
  <c r="J415" i="18"/>
  <c r="L225" i="22"/>
  <c r="G225" i="22"/>
  <c r="G226" i="22"/>
  <c r="I226" i="22"/>
  <c r="L226" i="22" s="1"/>
  <c r="L110" i="22"/>
  <c r="I111" i="22"/>
  <c r="L111" i="22" s="1"/>
  <c r="G110" i="22"/>
  <c r="G111" i="22"/>
  <c r="N200" i="3"/>
  <c r="G165" i="18"/>
  <c r="I165" i="18"/>
  <c r="H161" i="18"/>
  <c r="H160" i="18"/>
  <c r="F160" i="18"/>
  <c r="H159" i="18"/>
  <c r="L253" i="22" l="1"/>
  <c r="H163" i="18" l="1"/>
  <c r="I197" i="18"/>
  <c r="G197" i="18"/>
  <c r="F196" i="18"/>
  <c r="F195" i="18"/>
  <c r="F194" i="18"/>
  <c r="F193" i="18"/>
  <c r="F197" i="18" l="1"/>
  <c r="F162" i="18" s="1"/>
  <c r="G601" i="18" l="1"/>
  <c r="G600" i="18"/>
  <c r="F541" i="18"/>
  <c r="F564" i="18" l="1"/>
  <c r="G492" i="18"/>
  <c r="G284" i="18"/>
  <c r="G286" i="18"/>
  <c r="G285" i="18"/>
  <c r="F286" i="18"/>
  <c r="F285" i="18"/>
  <c r="F327" i="18"/>
  <c r="F330" i="18" s="1"/>
  <c r="I299" i="18"/>
  <c r="I298" i="18"/>
  <c r="H240" i="18"/>
  <c r="F243" i="18" l="1"/>
  <c r="H243" i="18"/>
  <c r="F251" i="18"/>
  <c r="H246" i="18"/>
  <c r="H251" i="18" s="1"/>
  <c r="G251" i="18"/>
  <c r="G376" i="18" l="1"/>
  <c r="G360" i="18"/>
  <c r="G137" i="18"/>
  <c r="F137" i="18"/>
  <c r="F818" i="18"/>
  <c r="I207" i="18" l="1"/>
  <c r="G207" i="18"/>
  <c r="J60" i="18"/>
  <c r="I60" i="18"/>
  <c r="J63" i="18"/>
  <c r="I63" i="18"/>
  <c r="G63" i="18"/>
  <c r="F63" i="18"/>
  <c r="I62" i="18"/>
  <c r="I49" i="18" s="1"/>
  <c r="J61" i="18"/>
  <c r="I61" i="18"/>
  <c r="G61" i="18"/>
  <c r="F61" i="18"/>
  <c r="G807" i="18"/>
  <c r="H780" i="18"/>
  <c r="F653" i="18"/>
  <c r="F652" i="18"/>
  <c r="F651" i="18"/>
  <c r="F650" i="18"/>
  <c r="J647" i="18"/>
  <c r="J648" i="18" s="1"/>
  <c r="J649" i="18" s="1"/>
  <c r="F647" i="18"/>
  <c r="G598" i="18"/>
  <c r="G593" i="18"/>
  <c r="I458" i="18"/>
  <c r="F458" i="18"/>
  <c r="L457" i="18"/>
  <c r="U457" i="18"/>
  <c r="L456" i="18"/>
  <c r="L455" i="18"/>
  <c r="L454" i="18"/>
  <c r="L453" i="18"/>
  <c r="L452" i="18"/>
  <c r="L451" i="18"/>
  <c r="L450" i="18"/>
  <c r="L449" i="18"/>
  <c r="L448" i="18"/>
  <c r="L447" i="18"/>
  <c r="L446" i="18"/>
  <c r="L445" i="18"/>
  <c r="L444" i="18"/>
  <c r="L443" i="18"/>
  <c r="L442" i="18"/>
  <c r="L441" i="18"/>
  <c r="L440" i="18"/>
  <c r="L439" i="18"/>
  <c r="L438" i="18"/>
  <c r="L437" i="18"/>
  <c r="L436" i="18"/>
  <c r="L435" i="18"/>
  <c r="I429" i="18"/>
  <c r="G384" i="18"/>
  <c r="G386" i="18" s="1"/>
  <c r="F384" i="18"/>
  <c r="F386" i="18" s="1"/>
  <c r="G341" i="18"/>
  <c r="H327" i="18"/>
  <c r="I305" i="18"/>
  <c r="H305" i="18"/>
  <c r="H307" i="18" s="1"/>
  <c r="F305" i="18"/>
  <c r="G304" i="18"/>
  <c r="G303" i="18"/>
  <c r="H300" i="18"/>
  <c r="G299" i="18"/>
  <c r="F291" i="18"/>
  <c r="G287" i="18"/>
  <c r="F284" i="18" s="1"/>
  <c r="F287" i="18" s="1"/>
  <c r="H228" i="18"/>
  <c r="G228" i="18"/>
  <c r="G225" i="18"/>
  <c r="F225" i="18"/>
  <c r="I224" i="18"/>
  <c r="I223" i="18"/>
  <c r="I218" i="18"/>
  <c r="I217" i="18"/>
  <c r="I184" i="18"/>
  <c r="G184" i="18"/>
  <c r="G144" i="18"/>
  <c r="G146" i="18" s="1"/>
  <c r="F144" i="18"/>
  <c r="F146" i="18" s="1"/>
  <c r="K52" i="18"/>
  <c r="K54" i="18" s="1"/>
  <c r="E46" i="17"/>
  <c r="E45" i="17"/>
  <c r="E44" i="17"/>
  <c r="E42" i="17"/>
  <c r="E37" i="17"/>
  <c r="I35" i="8" s="1"/>
  <c r="E36" i="17"/>
  <c r="E35" i="17"/>
  <c r="E34" i="17"/>
  <c r="E32" i="17"/>
  <c r="E27" i="17"/>
  <c r="E26" i="17"/>
  <c r="E25" i="17"/>
  <c r="E13" i="17"/>
  <c r="AJ2" i="17"/>
  <c r="AI2" i="17"/>
  <c r="AH2" i="17"/>
  <c r="AG2" i="17"/>
  <c r="AF2" i="17"/>
  <c r="AD2" i="17"/>
  <c r="AC2" i="17"/>
  <c r="AB2" i="17"/>
  <c r="AA2" i="17"/>
  <c r="Z2" i="17"/>
  <c r="W2" i="17"/>
  <c r="V2" i="17"/>
  <c r="U2" i="17"/>
  <c r="T2" i="17"/>
  <c r="S2" i="17"/>
  <c r="R2" i="17"/>
  <c r="Q2" i="17"/>
  <c r="P2" i="17"/>
  <c r="O2" i="17"/>
  <c r="N2" i="17"/>
  <c r="M2" i="17"/>
  <c r="L2" i="17"/>
  <c r="K2" i="17"/>
  <c r="J2" i="17"/>
  <c r="I2" i="17"/>
  <c r="H2" i="17"/>
  <c r="G2" i="17"/>
  <c r="X27" i="6"/>
  <c r="AA187" i="1"/>
  <c r="AB187" i="1"/>
  <c r="AF187" i="1"/>
  <c r="AG187" i="1"/>
  <c r="AJ187" i="1"/>
  <c r="AK187" i="1"/>
  <c r="G27" i="22"/>
  <c r="L159" i="22"/>
  <c r="G159" i="22"/>
  <c r="U25" i="7"/>
  <c r="T25" i="7"/>
  <c r="U7" i="7"/>
  <c r="T7" i="7"/>
  <c r="Q25" i="7"/>
  <c r="Q7" i="7"/>
  <c r="P25" i="7"/>
  <c r="P7" i="7"/>
  <c r="K30" i="7"/>
  <c r="J30" i="7"/>
  <c r="I30" i="7"/>
  <c r="F32" i="7"/>
  <c r="E32" i="7"/>
  <c r="F30" i="7"/>
  <c r="E30" i="7"/>
  <c r="D30" i="7"/>
  <c r="X142" i="6"/>
  <c r="X119" i="6"/>
  <c r="X102" i="6"/>
  <c r="X86" i="6"/>
  <c r="X84" i="6"/>
  <c r="X82" i="6"/>
  <c r="X68" i="6"/>
  <c r="X60" i="6"/>
  <c r="X40" i="6"/>
  <c r="X38" i="6"/>
  <c r="X31" i="6"/>
  <c r="X17" i="6"/>
  <c r="X12" i="6"/>
  <c r="X8" i="6"/>
  <c r="J167" i="3"/>
  <c r="E167" i="3"/>
  <c r="E168" i="3"/>
  <c r="G168" i="3"/>
  <c r="J168" i="3" s="1"/>
  <c r="U141" i="6"/>
  <c r="T141" i="6"/>
  <c r="U140" i="6"/>
  <c r="T140" i="6"/>
  <c r="U136" i="6"/>
  <c r="T136" i="6"/>
  <c r="U132" i="6"/>
  <c r="T132" i="6"/>
  <c r="U131" i="6"/>
  <c r="T131" i="6"/>
  <c r="U129" i="6"/>
  <c r="T129" i="6"/>
  <c r="U128" i="6"/>
  <c r="T128" i="6"/>
  <c r="U127" i="6"/>
  <c r="T127" i="6"/>
  <c r="U126" i="6"/>
  <c r="T126" i="6"/>
  <c r="U125" i="6"/>
  <c r="T125" i="6"/>
  <c r="U123" i="6"/>
  <c r="T123" i="6"/>
  <c r="U116" i="6"/>
  <c r="T116" i="6"/>
  <c r="U115" i="6"/>
  <c r="T115" i="6"/>
  <c r="U114" i="6"/>
  <c r="T114" i="6"/>
  <c r="U113" i="6"/>
  <c r="T113" i="6"/>
  <c r="U112" i="6"/>
  <c r="T112" i="6"/>
  <c r="U111" i="6"/>
  <c r="T111" i="6"/>
  <c r="U110" i="6"/>
  <c r="T110" i="6"/>
  <c r="U108" i="6"/>
  <c r="T108" i="6"/>
  <c r="U107" i="6"/>
  <c r="T107" i="6"/>
  <c r="U106" i="6"/>
  <c r="T106" i="6"/>
  <c r="U105" i="6"/>
  <c r="T105" i="6"/>
  <c r="U104" i="6"/>
  <c r="T104" i="6"/>
  <c r="U101" i="6"/>
  <c r="T101" i="6"/>
  <c r="U100" i="6"/>
  <c r="T100" i="6"/>
  <c r="U99" i="6"/>
  <c r="T99" i="6"/>
  <c r="U98" i="6"/>
  <c r="T98" i="6"/>
  <c r="U94" i="6"/>
  <c r="T94" i="6"/>
  <c r="U93" i="6"/>
  <c r="T93" i="6"/>
  <c r="U89" i="6"/>
  <c r="T89" i="6"/>
  <c r="U79" i="6"/>
  <c r="T79" i="6"/>
  <c r="U78" i="6"/>
  <c r="T78" i="6"/>
  <c r="U74" i="6"/>
  <c r="T74" i="6"/>
  <c r="U71" i="6"/>
  <c r="T71" i="6"/>
  <c r="U66" i="6"/>
  <c r="T66" i="6"/>
  <c r="U63" i="6"/>
  <c r="T63" i="6"/>
  <c r="U62" i="6"/>
  <c r="T62" i="6"/>
  <c r="U56" i="6"/>
  <c r="T56" i="6"/>
  <c r="U55" i="6"/>
  <c r="T55" i="6"/>
  <c r="U48" i="6"/>
  <c r="T48" i="6"/>
  <c r="U47" i="6"/>
  <c r="T47" i="6"/>
  <c r="U46" i="6"/>
  <c r="T46" i="6"/>
  <c r="U45" i="6"/>
  <c r="T45" i="6"/>
  <c r="U44" i="6"/>
  <c r="T44" i="6"/>
  <c r="U43" i="6"/>
  <c r="T43" i="6"/>
  <c r="U42" i="6"/>
  <c r="T42" i="6"/>
  <c r="U37" i="6"/>
  <c r="T37" i="6"/>
  <c r="U36" i="6"/>
  <c r="T36" i="6"/>
  <c r="U35" i="6"/>
  <c r="T35" i="6"/>
  <c r="U30" i="6"/>
  <c r="T30" i="6"/>
  <c r="U26" i="6"/>
  <c r="T26" i="6"/>
  <c r="U25" i="6"/>
  <c r="T25" i="6"/>
  <c r="U23" i="6"/>
  <c r="T23" i="6"/>
  <c r="U22" i="6"/>
  <c r="T22" i="6"/>
  <c r="U21" i="6"/>
  <c r="T21" i="6"/>
  <c r="Q141" i="6"/>
  <c r="P141" i="6"/>
  <c r="Q140" i="6"/>
  <c r="P140" i="6"/>
  <c r="Q136" i="6"/>
  <c r="P136" i="6"/>
  <c r="Q132" i="6"/>
  <c r="P132" i="6"/>
  <c r="Q131" i="6"/>
  <c r="P131" i="6"/>
  <c r="Q129" i="6"/>
  <c r="P129" i="6"/>
  <c r="Q128" i="6"/>
  <c r="P128" i="6"/>
  <c r="Q127" i="6"/>
  <c r="P127" i="6"/>
  <c r="Q126" i="6"/>
  <c r="P126" i="6"/>
  <c r="Q125" i="6"/>
  <c r="P125" i="6"/>
  <c r="Q123" i="6"/>
  <c r="P123" i="6"/>
  <c r="Q116" i="6"/>
  <c r="P116" i="6"/>
  <c r="Q115" i="6"/>
  <c r="P115" i="6"/>
  <c r="Q114" i="6"/>
  <c r="P114" i="6"/>
  <c r="Q113" i="6"/>
  <c r="P113" i="6"/>
  <c r="Q112" i="6"/>
  <c r="P112" i="6"/>
  <c r="Q111" i="6"/>
  <c r="P111" i="6"/>
  <c r="Q110" i="6"/>
  <c r="P110" i="6"/>
  <c r="Q108" i="6"/>
  <c r="P108" i="6"/>
  <c r="Q107" i="6"/>
  <c r="P107" i="6"/>
  <c r="Q106" i="6"/>
  <c r="P106" i="6"/>
  <c r="Q105" i="6"/>
  <c r="P105" i="6"/>
  <c r="Q104" i="6"/>
  <c r="P104" i="6"/>
  <c r="Q101" i="6"/>
  <c r="P101" i="6"/>
  <c r="Q100" i="6"/>
  <c r="P100" i="6"/>
  <c r="Q99" i="6"/>
  <c r="P99" i="6"/>
  <c r="Q98" i="6"/>
  <c r="P98" i="6"/>
  <c r="Q94" i="6"/>
  <c r="P94" i="6"/>
  <c r="Q93" i="6"/>
  <c r="P93" i="6"/>
  <c r="Q89" i="6"/>
  <c r="P89" i="6"/>
  <c r="Q79" i="6"/>
  <c r="P79" i="6"/>
  <c r="Q78" i="6"/>
  <c r="P78" i="6"/>
  <c r="Q74" i="6"/>
  <c r="P74" i="6"/>
  <c r="Q71" i="6"/>
  <c r="P71" i="6"/>
  <c r="Q66" i="6"/>
  <c r="P66" i="6"/>
  <c r="Q63" i="6"/>
  <c r="P63" i="6"/>
  <c r="Q62" i="6"/>
  <c r="P62" i="6"/>
  <c r="Q56" i="6"/>
  <c r="P56" i="6"/>
  <c r="Q55" i="6"/>
  <c r="P55" i="6"/>
  <c r="Q48" i="6"/>
  <c r="P48" i="6"/>
  <c r="Q47" i="6"/>
  <c r="P47" i="6"/>
  <c r="Q46" i="6"/>
  <c r="P46" i="6"/>
  <c r="Q45" i="6"/>
  <c r="P45" i="6"/>
  <c r="Q44" i="6"/>
  <c r="P44" i="6"/>
  <c r="Q43" i="6"/>
  <c r="P43" i="6"/>
  <c r="Q42" i="6"/>
  <c r="P42" i="6"/>
  <c r="Q37" i="6"/>
  <c r="P37" i="6"/>
  <c r="Q36" i="6"/>
  <c r="P36" i="6"/>
  <c r="Q35" i="6"/>
  <c r="P35" i="6"/>
  <c r="Q30" i="6"/>
  <c r="P30" i="6"/>
  <c r="Q26" i="6"/>
  <c r="P26" i="6"/>
  <c r="Q25" i="6"/>
  <c r="P25" i="6"/>
  <c r="Q23" i="6"/>
  <c r="P23" i="6"/>
  <c r="Q22" i="6"/>
  <c r="P22" i="6"/>
  <c r="Q21" i="6"/>
  <c r="P21" i="6"/>
  <c r="J242" i="3"/>
  <c r="I243" i="3"/>
  <c r="J243" i="3" s="1"/>
  <c r="E243" i="3"/>
  <c r="E242" i="3"/>
  <c r="J239" i="3"/>
  <c r="J238" i="3"/>
  <c r="J237" i="3"/>
  <c r="E239" i="3"/>
  <c r="E238" i="3"/>
  <c r="E237" i="3"/>
  <c r="J233" i="3"/>
  <c r="G234" i="3"/>
  <c r="J234" i="3" s="1"/>
  <c r="E234" i="3"/>
  <c r="E233" i="3"/>
  <c r="J230" i="3"/>
  <c r="J229" i="3"/>
  <c r="J228" i="3"/>
  <c r="E230" i="3"/>
  <c r="E229" i="3"/>
  <c r="E228" i="3"/>
  <c r="J225" i="3"/>
  <c r="J224" i="3"/>
  <c r="J223" i="3"/>
  <c r="E225" i="3"/>
  <c r="E224" i="3"/>
  <c r="E223" i="3"/>
  <c r="J219" i="3"/>
  <c r="J218" i="3"/>
  <c r="G220" i="3"/>
  <c r="J220" i="3" s="1"/>
  <c r="E220" i="3"/>
  <c r="E219" i="3"/>
  <c r="E218" i="3"/>
  <c r="J214" i="3"/>
  <c r="G215" i="3"/>
  <c r="J215" i="3" s="1"/>
  <c r="E215" i="3"/>
  <c r="E214" i="3"/>
  <c r="J210" i="3"/>
  <c r="G211" i="3"/>
  <c r="J211" i="3" s="1"/>
  <c r="E211" i="3"/>
  <c r="E210" i="3"/>
  <c r="J207" i="3"/>
  <c r="J206" i="3"/>
  <c r="J205" i="3"/>
  <c r="J204" i="3"/>
  <c r="E207" i="3"/>
  <c r="E206" i="3"/>
  <c r="E205" i="3"/>
  <c r="E204" i="3"/>
  <c r="J200" i="3"/>
  <c r="G201" i="3"/>
  <c r="J201" i="3" s="1"/>
  <c r="E200" i="3"/>
  <c r="E201" i="3"/>
  <c r="J197" i="3"/>
  <c r="J196" i="3"/>
  <c r="J195" i="3"/>
  <c r="E197" i="3"/>
  <c r="E196" i="3"/>
  <c r="E195" i="3"/>
  <c r="J192" i="3"/>
  <c r="J191" i="3"/>
  <c r="J190" i="3"/>
  <c r="J189" i="3"/>
  <c r="J188" i="3"/>
  <c r="J187" i="3"/>
  <c r="E192" i="3"/>
  <c r="E191" i="3"/>
  <c r="E190" i="3"/>
  <c r="E189" i="3"/>
  <c r="E188" i="3"/>
  <c r="E187" i="3"/>
  <c r="J184" i="3"/>
  <c r="J183" i="3"/>
  <c r="J182" i="3"/>
  <c r="J181" i="3"/>
  <c r="J180" i="3"/>
  <c r="U81" i="6" s="1"/>
  <c r="E184" i="3"/>
  <c r="E183" i="3"/>
  <c r="E182" i="3"/>
  <c r="E181" i="3"/>
  <c r="E180" i="3"/>
  <c r="J177" i="3"/>
  <c r="J176" i="3"/>
  <c r="J175" i="3"/>
  <c r="E177" i="3"/>
  <c r="E175" i="3"/>
  <c r="E176" i="3"/>
  <c r="J171" i="3"/>
  <c r="I172" i="3"/>
  <c r="J172" i="3" s="1"/>
  <c r="E172" i="3"/>
  <c r="E171" i="3"/>
  <c r="J163" i="3"/>
  <c r="I164" i="3"/>
  <c r="J164" i="3" s="1"/>
  <c r="E164" i="3"/>
  <c r="E163" i="3"/>
  <c r="J159" i="3"/>
  <c r="G160" i="3"/>
  <c r="J160" i="3" s="1"/>
  <c r="E160" i="3"/>
  <c r="E159" i="3"/>
  <c r="J155" i="3"/>
  <c r="G156" i="3"/>
  <c r="J156" i="3" s="1"/>
  <c r="E156" i="3"/>
  <c r="E155" i="3"/>
  <c r="BQ354" i="1"/>
  <c r="U26" i="7" s="1"/>
  <c r="U20" i="7"/>
  <c r="BQ351" i="1"/>
  <c r="U19" i="7" s="1"/>
  <c r="BQ348" i="1"/>
  <c r="BQ347" i="1"/>
  <c r="BQ346" i="1"/>
  <c r="BQ345" i="1"/>
  <c r="BQ344" i="1"/>
  <c r="BQ342" i="1"/>
  <c r="BQ341" i="1"/>
  <c r="BQ340" i="1"/>
  <c r="BQ339" i="1"/>
  <c r="BQ338" i="1"/>
  <c r="BQ337" i="1"/>
  <c r="BQ336" i="1"/>
  <c r="BQ335" i="1"/>
  <c r="BQ334" i="1"/>
  <c r="BQ333" i="1"/>
  <c r="BQ332" i="1"/>
  <c r="BQ331" i="1"/>
  <c r="BQ330" i="1"/>
  <c r="BQ329" i="1"/>
  <c r="BQ328" i="1"/>
  <c r="BQ327" i="1"/>
  <c r="BQ326" i="1"/>
  <c r="BQ325" i="1"/>
  <c r="BQ324" i="1"/>
  <c r="BQ323" i="1"/>
  <c r="BQ322" i="1"/>
  <c r="BQ321" i="1"/>
  <c r="BQ320" i="1"/>
  <c r="BQ319" i="1"/>
  <c r="BQ318" i="1"/>
  <c r="BQ317" i="1"/>
  <c r="BQ316" i="1"/>
  <c r="BQ315" i="1"/>
  <c r="BQ314" i="1"/>
  <c r="BQ313" i="1"/>
  <c r="BQ311" i="1"/>
  <c r="BQ310" i="1"/>
  <c r="BQ309" i="1"/>
  <c r="BQ308" i="1"/>
  <c r="BQ307" i="1"/>
  <c r="BQ306" i="1"/>
  <c r="BQ305" i="1"/>
  <c r="BQ304" i="1"/>
  <c r="BQ303" i="1"/>
  <c r="BQ300" i="1"/>
  <c r="BQ299" i="1"/>
  <c r="BQ297" i="1"/>
  <c r="BQ296" i="1"/>
  <c r="BQ295" i="1"/>
  <c r="BQ294" i="1"/>
  <c r="BQ293" i="1"/>
  <c r="BQ292" i="1"/>
  <c r="BQ291" i="1"/>
  <c r="BQ290" i="1"/>
  <c r="BQ289" i="1"/>
  <c r="BQ288" i="1"/>
  <c r="BQ287" i="1"/>
  <c r="BQ286" i="1"/>
  <c r="BQ285" i="1"/>
  <c r="BQ284" i="1"/>
  <c r="BQ283" i="1"/>
  <c r="BQ282" i="1"/>
  <c r="BQ281" i="1"/>
  <c r="BQ280" i="1"/>
  <c r="BQ279" i="1"/>
  <c r="BQ278" i="1"/>
  <c r="BQ277" i="1"/>
  <c r="BQ276" i="1"/>
  <c r="BQ275" i="1"/>
  <c r="BQ274" i="1"/>
  <c r="BQ273" i="1"/>
  <c r="BQ272" i="1"/>
  <c r="BQ269" i="1"/>
  <c r="BQ268" i="1"/>
  <c r="BQ267" i="1"/>
  <c r="BQ266" i="1"/>
  <c r="BQ265" i="1"/>
  <c r="BQ264" i="1"/>
  <c r="BQ263" i="1"/>
  <c r="BQ259" i="1"/>
  <c r="BQ258" i="1"/>
  <c r="BQ256" i="1"/>
  <c r="BQ255" i="1"/>
  <c r="BQ254" i="1"/>
  <c r="BQ253" i="1"/>
  <c r="BQ252" i="1"/>
  <c r="BQ248" i="1"/>
  <c r="BQ247" i="1"/>
  <c r="BQ245" i="1"/>
  <c r="BQ244" i="1"/>
  <c r="BQ241" i="1"/>
  <c r="BQ240" i="1"/>
  <c r="BQ239" i="1"/>
  <c r="BQ238" i="1"/>
  <c r="BQ237" i="1"/>
  <c r="BQ233" i="1"/>
  <c r="BQ229" i="1"/>
  <c r="BR229" i="1" s="1"/>
  <c r="BQ227" i="1"/>
  <c r="BQ226" i="1"/>
  <c r="BQ225" i="1"/>
  <c r="BQ224" i="1"/>
  <c r="BQ223" i="1"/>
  <c r="BQ222" i="1"/>
  <c r="BQ221" i="1"/>
  <c r="BQ220" i="1"/>
  <c r="BQ219" i="1"/>
  <c r="BQ218" i="1"/>
  <c r="BQ217" i="1"/>
  <c r="BQ216" i="1"/>
  <c r="BQ215" i="1"/>
  <c r="BQ213" i="1"/>
  <c r="BQ211" i="1"/>
  <c r="BQ210" i="1"/>
  <c r="BQ174" i="1"/>
  <c r="U124" i="6"/>
  <c r="BQ167" i="1"/>
  <c r="U97" i="6" s="1"/>
  <c r="BQ162" i="1"/>
  <c r="BQ161" i="1" s="1"/>
  <c r="BQ159" i="1"/>
  <c r="BQ158" i="1"/>
  <c r="BQ157" i="1"/>
  <c r="BQ156" i="1"/>
  <c r="BQ155" i="1"/>
  <c r="BQ154" i="1"/>
  <c r="BQ153" i="1"/>
  <c r="BQ152" i="1"/>
  <c r="BQ151" i="1"/>
  <c r="BQ150" i="1"/>
  <c r="BQ149" i="1"/>
  <c r="BQ148" i="1"/>
  <c r="BQ147" i="1"/>
  <c r="BQ146" i="1"/>
  <c r="BQ145" i="1"/>
  <c r="BQ144" i="1"/>
  <c r="BQ143" i="1"/>
  <c r="BQ142" i="1"/>
  <c r="BQ141" i="1"/>
  <c r="BQ140" i="1"/>
  <c r="BQ139" i="1"/>
  <c r="BQ138" i="1"/>
  <c r="BQ137" i="1"/>
  <c r="BQ136" i="1"/>
  <c r="BQ135" i="1"/>
  <c r="BQ133" i="1"/>
  <c r="BQ132" i="1"/>
  <c r="BQ131" i="1"/>
  <c r="BQ130" i="1"/>
  <c r="BQ127" i="1"/>
  <c r="BQ126" i="1" s="1"/>
  <c r="BQ124" i="1"/>
  <c r="BQ123" i="1" s="1"/>
  <c r="BQ121" i="1"/>
  <c r="BQ120" i="1" s="1"/>
  <c r="BQ118" i="1"/>
  <c r="BQ117" i="1"/>
  <c r="BQ116" i="1"/>
  <c r="BQ115" i="1"/>
  <c r="BQ114" i="1"/>
  <c r="BQ113" i="1"/>
  <c r="BQ112" i="1"/>
  <c r="BQ111" i="1"/>
  <c r="BQ110" i="1"/>
  <c r="BQ100" i="1"/>
  <c r="U80" i="6" s="1"/>
  <c r="BQ97" i="1"/>
  <c r="U72" i="6"/>
  <c r="BQ87" i="1"/>
  <c r="U67" i="6" s="1"/>
  <c r="BQ84" i="1"/>
  <c r="U59" i="6" s="1"/>
  <c r="BQ83" i="1"/>
  <c r="BQ82" i="1"/>
  <c r="BQ79" i="1"/>
  <c r="U53" i="6" s="1"/>
  <c r="BQ78" i="1"/>
  <c r="BQ77" i="1"/>
  <c r="BQ76" i="1"/>
  <c r="BQ71" i="1"/>
  <c r="BQ70" i="1"/>
  <c r="BQ69" i="1"/>
  <c r="BQ68" i="1"/>
  <c r="BQ65" i="1"/>
  <c r="BQ64" i="1"/>
  <c r="BQ61" i="1"/>
  <c r="BQ60" i="1"/>
  <c r="BQ56" i="1"/>
  <c r="BQ55" i="1"/>
  <c r="BQ54" i="1"/>
  <c r="BQ53" i="1"/>
  <c r="BQ52" i="1"/>
  <c r="BQ51" i="1"/>
  <c r="BQ50" i="1"/>
  <c r="BQ49" i="1"/>
  <c r="BQ48" i="1"/>
  <c r="BQ47" i="1"/>
  <c r="BQ46" i="1"/>
  <c r="BQ43" i="1"/>
  <c r="BQ42" i="1"/>
  <c r="BQ39" i="1"/>
  <c r="BQ35" i="1"/>
  <c r="BQ34" i="1"/>
  <c r="BQ33" i="1"/>
  <c r="BQ32" i="1"/>
  <c r="BQ31" i="1"/>
  <c r="BQ28" i="1"/>
  <c r="BQ27" i="1"/>
  <c r="BQ26" i="1"/>
  <c r="BQ25" i="1"/>
  <c r="U15" i="6" s="1"/>
  <c r="BQ24" i="1"/>
  <c r="BQ23" i="1"/>
  <c r="BQ22" i="1"/>
  <c r="BQ18" i="1"/>
  <c r="BQ17" i="1" s="1"/>
  <c r="BL356" i="1"/>
  <c r="BL354" i="1"/>
  <c r="BL352" i="1"/>
  <c r="BL351" i="1"/>
  <c r="BL348" i="1"/>
  <c r="BL347" i="1"/>
  <c r="BL346" i="1"/>
  <c r="BL345" i="1"/>
  <c r="BL344" i="1"/>
  <c r="BL342" i="1"/>
  <c r="BL341" i="1"/>
  <c r="BL340" i="1"/>
  <c r="BL339" i="1"/>
  <c r="BL338" i="1"/>
  <c r="BL337" i="1"/>
  <c r="BL336" i="1"/>
  <c r="BL335" i="1"/>
  <c r="BL334" i="1"/>
  <c r="BL333" i="1"/>
  <c r="BL332" i="1"/>
  <c r="BL331" i="1"/>
  <c r="BL330" i="1"/>
  <c r="BL329" i="1"/>
  <c r="BL328" i="1"/>
  <c r="BL327" i="1"/>
  <c r="BL326" i="1"/>
  <c r="BL325" i="1"/>
  <c r="BL324" i="1"/>
  <c r="BL323" i="1"/>
  <c r="BL322" i="1"/>
  <c r="BL321" i="1"/>
  <c r="BL320" i="1"/>
  <c r="BL319" i="1"/>
  <c r="BL318" i="1"/>
  <c r="BL317" i="1"/>
  <c r="BL316" i="1"/>
  <c r="BL314" i="1"/>
  <c r="BL313" i="1"/>
  <c r="BL312" i="1"/>
  <c r="BL311" i="1"/>
  <c r="BL310" i="1"/>
  <c r="BL309" i="1"/>
  <c r="BL308" i="1"/>
  <c r="BL307" i="1"/>
  <c r="BL306" i="1"/>
  <c r="BL305" i="1"/>
  <c r="BL304" i="1"/>
  <c r="BL303" i="1"/>
  <c r="BL300" i="1"/>
  <c r="BL299" i="1"/>
  <c r="BL298" i="1"/>
  <c r="BL297" i="1"/>
  <c r="BL296" i="1"/>
  <c r="BL295" i="1"/>
  <c r="BL294" i="1"/>
  <c r="BL293" i="1"/>
  <c r="BL292" i="1"/>
  <c r="BL291" i="1"/>
  <c r="BL290" i="1"/>
  <c r="BL289" i="1"/>
  <c r="BL288" i="1"/>
  <c r="BL287" i="1"/>
  <c r="BL286" i="1"/>
  <c r="BL285" i="1"/>
  <c r="BL284" i="1"/>
  <c r="BL283" i="1"/>
  <c r="BL282" i="1"/>
  <c r="BL281" i="1"/>
  <c r="BL280" i="1"/>
  <c r="BL279" i="1"/>
  <c r="BL278" i="1"/>
  <c r="BL277" i="1"/>
  <c r="BL276" i="1"/>
  <c r="BL275" i="1"/>
  <c r="BL274" i="1"/>
  <c r="BL273" i="1"/>
  <c r="BL272" i="1"/>
  <c r="BL269" i="1"/>
  <c r="BL268" i="1"/>
  <c r="BL267" i="1"/>
  <c r="BL266" i="1"/>
  <c r="BL265" i="1"/>
  <c r="BL264" i="1"/>
  <c r="BL263" i="1"/>
  <c r="BL262" i="1"/>
  <c r="BL261" i="1"/>
  <c r="BL260" i="1"/>
  <c r="BL259" i="1"/>
  <c r="BL258" i="1"/>
  <c r="BL256" i="1"/>
  <c r="BL255" i="1"/>
  <c r="BL254" i="1"/>
  <c r="BL253" i="1"/>
  <c r="BL252" i="1"/>
  <c r="BL251" i="1"/>
  <c r="BL248" i="1"/>
  <c r="BL247" i="1"/>
  <c r="BL246" i="1"/>
  <c r="BL245" i="1"/>
  <c r="BL244" i="1"/>
  <c r="BL241" i="1"/>
  <c r="BL240" i="1"/>
  <c r="BL239" i="1"/>
  <c r="BL238" i="1"/>
  <c r="BL237" i="1"/>
  <c r="BL233" i="1"/>
  <c r="BL232" i="1"/>
  <c r="BL231" i="1"/>
  <c r="BL229" i="1"/>
  <c r="BL228" i="1"/>
  <c r="BL227" i="1"/>
  <c r="BL226" i="1"/>
  <c r="BL225" i="1"/>
  <c r="BL224" i="1"/>
  <c r="BL223" i="1"/>
  <c r="BL222" i="1"/>
  <c r="BL221" i="1"/>
  <c r="BL220" i="1"/>
  <c r="BL219" i="1"/>
  <c r="BL218" i="1"/>
  <c r="BL217" i="1"/>
  <c r="BL216" i="1"/>
  <c r="BL215" i="1"/>
  <c r="BL214" i="1"/>
  <c r="BL213" i="1"/>
  <c r="BL212" i="1"/>
  <c r="BL211" i="1"/>
  <c r="BL210" i="1"/>
  <c r="BL207" i="1"/>
  <c r="BL206" i="1"/>
  <c r="BL205" i="1"/>
  <c r="BL204" i="1"/>
  <c r="BL203" i="1"/>
  <c r="BL202" i="1"/>
  <c r="BL201" i="1"/>
  <c r="BL200" i="1"/>
  <c r="BL199" i="1"/>
  <c r="BL198" i="1"/>
  <c r="BL197" i="1"/>
  <c r="BL196" i="1"/>
  <c r="BL195" i="1"/>
  <c r="BL194" i="1"/>
  <c r="BL193" i="1"/>
  <c r="BL192" i="1"/>
  <c r="BL191" i="1"/>
  <c r="BL190" i="1"/>
  <c r="BL189" i="1"/>
  <c r="BL188" i="1"/>
  <c r="BL187" i="1"/>
  <c r="BL186" i="1"/>
  <c r="BM356" i="1"/>
  <c r="BM354" i="1"/>
  <c r="BM352" i="1"/>
  <c r="BM351" i="1"/>
  <c r="BM348" i="1"/>
  <c r="BM347" i="1"/>
  <c r="BM346" i="1"/>
  <c r="BM345" i="1"/>
  <c r="BM344" i="1"/>
  <c r="BM342" i="1"/>
  <c r="BM341" i="1"/>
  <c r="BM340" i="1"/>
  <c r="BM339" i="1"/>
  <c r="BM338" i="1"/>
  <c r="BM337" i="1"/>
  <c r="BM336" i="1"/>
  <c r="BM335" i="1"/>
  <c r="BM334" i="1"/>
  <c r="BM333" i="1"/>
  <c r="BM332" i="1"/>
  <c r="BM331" i="1"/>
  <c r="BM330" i="1"/>
  <c r="BM329" i="1"/>
  <c r="BM328" i="1"/>
  <c r="BM327" i="1"/>
  <c r="BM326" i="1"/>
  <c r="BM325" i="1"/>
  <c r="BM324" i="1"/>
  <c r="BM323" i="1"/>
  <c r="BM322" i="1"/>
  <c r="BM321" i="1"/>
  <c r="BM320" i="1"/>
  <c r="BM319" i="1"/>
  <c r="BM318" i="1"/>
  <c r="BM317" i="1"/>
  <c r="BM316" i="1"/>
  <c r="BM315" i="1"/>
  <c r="BM314" i="1"/>
  <c r="BM313" i="1"/>
  <c r="BM312" i="1"/>
  <c r="BM311" i="1"/>
  <c r="BM310" i="1"/>
  <c r="BM309" i="1"/>
  <c r="BM308" i="1"/>
  <c r="BM307" i="1"/>
  <c r="BM306" i="1"/>
  <c r="BM305" i="1"/>
  <c r="BM304" i="1"/>
  <c r="BM303" i="1"/>
  <c r="BM300" i="1"/>
  <c r="BM299" i="1"/>
  <c r="BM298" i="1"/>
  <c r="BM297" i="1"/>
  <c r="BM296" i="1"/>
  <c r="BM295" i="1"/>
  <c r="BM294" i="1"/>
  <c r="BM293" i="1"/>
  <c r="BM292" i="1"/>
  <c r="BM291" i="1"/>
  <c r="BM290" i="1"/>
  <c r="BM289" i="1"/>
  <c r="BM288" i="1"/>
  <c r="BM287" i="1"/>
  <c r="BM286" i="1"/>
  <c r="BM285" i="1"/>
  <c r="BM284" i="1"/>
  <c r="BM283" i="1"/>
  <c r="BM282" i="1"/>
  <c r="BM281" i="1"/>
  <c r="BM280" i="1"/>
  <c r="BM279" i="1"/>
  <c r="BM278" i="1"/>
  <c r="BM277" i="1"/>
  <c r="BM276" i="1"/>
  <c r="BM275" i="1"/>
  <c r="BM274" i="1"/>
  <c r="BM273" i="1"/>
  <c r="BM272" i="1"/>
  <c r="BM269" i="1"/>
  <c r="BM268" i="1"/>
  <c r="BM267" i="1"/>
  <c r="BM266" i="1"/>
  <c r="BM265" i="1"/>
  <c r="BM264" i="1"/>
  <c r="BM263" i="1"/>
  <c r="BM262" i="1"/>
  <c r="BM261" i="1"/>
  <c r="BM260" i="1"/>
  <c r="BM259" i="1"/>
  <c r="BM258" i="1"/>
  <c r="BM256" i="1"/>
  <c r="BM255" i="1"/>
  <c r="BM254" i="1"/>
  <c r="BM253" i="1"/>
  <c r="BM252" i="1"/>
  <c r="BM251" i="1"/>
  <c r="BM248" i="1"/>
  <c r="BM247" i="1"/>
  <c r="BM246" i="1"/>
  <c r="BM245" i="1"/>
  <c r="BM244" i="1"/>
  <c r="BM241" i="1"/>
  <c r="BM240" i="1"/>
  <c r="BM239" i="1"/>
  <c r="BM238" i="1"/>
  <c r="BM237" i="1"/>
  <c r="BM236" i="1"/>
  <c r="BM233" i="1"/>
  <c r="BM232" i="1"/>
  <c r="BM231" i="1"/>
  <c r="BM229" i="1"/>
  <c r="BM228" i="1"/>
  <c r="BM227" i="1"/>
  <c r="BM226" i="1"/>
  <c r="BM225" i="1"/>
  <c r="BM224" i="1"/>
  <c r="BM223" i="1"/>
  <c r="BM222" i="1"/>
  <c r="BM221" i="1"/>
  <c r="BM220" i="1"/>
  <c r="BM219" i="1"/>
  <c r="BM218" i="1"/>
  <c r="BM217" i="1"/>
  <c r="BM216" i="1"/>
  <c r="BM215" i="1"/>
  <c r="BM214" i="1"/>
  <c r="BM213" i="1"/>
  <c r="BM212" i="1"/>
  <c r="BM211" i="1"/>
  <c r="BM210" i="1"/>
  <c r="BM207" i="1"/>
  <c r="BM206" i="1"/>
  <c r="BM205" i="1"/>
  <c r="BM204" i="1"/>
  <c r="BM203" i="1"/>
  <c r="BM202" i="1"/>
  <c r="BM201" i="1"/>
  <c r="BM200" i="1"/>
  <c r="BM199" i="1"/>
  <c r="BM198" i="1"/>
  <c r="BM197" i="1"/>
  <c r="BM196" i="1"/>
  <c r="BM195" i="1"/>
  <c r="BM194" i="1"/>
  <c r="BM193" i="1"/>
  <c r="BM192" i="1"/>
  <c r="BM191" i="1"/>
  <c r="BM190" i="1"/>
  <c r="BM189" i="1"/>
  <c r="BM188" i="1"/>
  <c r="BM187" i="1"/>
  <c r="BM186" i="1"/>
  <c r="BM177" i="1"/>
  <c r="BL177" i="1"/>
  <c r="BM176" i="1"/>
  <c r="BM175" i="1"/>
  <c r="BL175" i="1"/>
  <c r="BM174" i="1"/>
  <c r="BL174" i="1"/>
  <c r="BM173" i="1"/>
  <c r="BL173" i="1"/>
  <c r="BM172" i="1"/>
  <c r="BL172" i="1"/>
  <c r="BM171" i="1"/>
  <c r="BL171" i="1"/>
  <c r="BM170" i="1"/>
  <c r="BM167" i="1"/>
  <c r="BM166" i="1" s="1"/>
  <c r="BL167" i="1"/>
  <c r="BL166" i="1" s="1"/>
  <c r="BM163" i="1"/>
  <c r="BM162" i="1" s="1"/>
  <c r="BM161" i="1" s="1"/>
  <c r="BL163" i="1"/>
  <c r="BL162" i="1" s="1"/>
  <c r="BL161" i="1" s="1"/>
  <c r="BM159" i="1"/>
  <c r="BL159" i="1"/>
  <c r="BM158" i="1"/>
  <c r="BL158" i="1"/>
  <c r="BM157" i="1"/>
  <c r="BL157" i="1"/>
  <c r="BM156" i="1"/>
  <c r="BL156" i="1"/>
  <c r="BM155" i="1"/>
  <c r="BL155" i="1"/>
  <c r="BM154" i="1"/>
  <c r="BL154" i="1"/>
  <c r="BM153" i="1"/>
  <c r="BL153" i="1"/>
  <c r="BM152" i="1"/>
  <c r="BL152" i="1"/>
  <c r="BM151" i="1"/>
  <c r="BL151" i="1"/>
  <c r="BM150" i="1"/>
  <c r="BL150" i="1"/>
  <c r="BM149" i="1"/>
  <c r="BL149" i="1"/>
  <c r="BM148" i="1"/>
  <c r="BL148" i="1"/>
  <c r="BM147" i="1"/>
  <c r="BL147" i="1"/>
  <c r="BM146" i="1"/>
  <c r="BL146" i="1"/>
  <c r="BM145" i="1"/>
  <c r="BL145" i="1"/>
  <c r="BM144" i="1"/>
  <c r="BL144" i="1"/>
  <c r="BM143" i="1"/>
  <c r="BL143" i="1"/>
  <c r="BM142" i="1"/>
  <c r="BL142" i="1"/>
  <c r="BM141" i="1"/>
  <c r="BL141" i="1"/>
  <c r="BM140" i="1"/>
  <c r="BL140" i="1"/>
  <c r="BM139" i="1"/>
  <c r="BL139" i="1"/>
  <c r="BM138" i="1"/>
  <c r="BL138" i="1"/>
  <c r="BM137" i="1"/>
  <c r="BL137" i="1"/>
  <c r="BM136" i="1"/>
  <c r="BL136" i="1"/>
  <c r="BM135" i="1"/>
  <c r="BL135" i="1"/>
  <c r="BM134" i="1"/>
  <c r="BL134" i="1"/>
  <c r="BM133" i="1"/>
  <c r="BL133" i="1"/>
  <c r="BM132" i="1"/>
  <c r="BL132" i="1"/>
  <c r="BM131" i="1"/>
  <c r="BL131" i="1"/>
  <c r="BM130" i="1"/>
  <c r="BL130" i="1"/>
  <c r="BM127" i="1"/>
  <c r="BM126" i="1" s="1"/>
  <c r="BL127" i="1"/>
  <c r="BM124" i="1"/>
  <c r="BM123" i="1" s="1"/>
  <c r="BL124" i="1"/>
  <c r="BM121" i="1"/>
  <c r="BM120" i="1" s="1"/>
  <c r="BL121" i="1"/>
  <c r="BM118" i="1"/>
  <c r="BL118" i="1"/>
  <c r="BM117" i="1"/>
  <c r="BL117" i="1"/>
  <c r="BM116" i="1"/>
  <c r="BL116" i="1"/>
  <c r="BM115" i="1"/>
  <c r="BL115" i="1"/>
  <c r="BM114" i="1"/>
  <c r="BL114" i="1"/>
  <c r="BM113" i="1"/>
  <c r="BL113" i="1"/>
  <c r="BM112" i="1"/>
  <c r="BL112" i="1"/>
  <c r="BM111" i="1"/>
  <c r="BL111" i="1"/>
  <c r="BM110" i="1"/>
  <c r="BL110" i="1"/>
  <c r="BM107" i="1"/>
  <c r="BM106" i="1" s="1"/>
  <c r="BL107" i="1"/>
  <c r="BM100" i="1"/>
  <c r="BL100" i="1"/>
  <c r="BM99" i="1"/>
  <c r="BL99" i="1"/>
  <c r="BM97" i="1"/>
  <c r="BL97" i="1"/>
  <c r="BM96" i="1"/>
  <c r="BL96" i="1"/>
  <c r="BM95" i="1"/>
  <c r="BL95" i="1"/>
  <c r="BM92" i="1"/>
  <c r="BL92" i="1"/>
  <c r="BM91" i="1"/>
  <c r="BL91" i="1"/>
  <c r="BM90" i="1"/>
  <c r="BL90" i="1"/>
  <c r="BM87" i="1"/>
  <c r="BM86" i="1" s="1"/>
  <c r="BL87" i="1"/>
  <c r="BM84" i="1"/>
  <c r="BL84" i="1"/>
  <c r="BM83" i="1"/>
  <c r="BL83" i="1"/>
  <c r="BM82" i="1"/>
  <c r="BL82" i="1"/>
  <c r="BM79" i="1"/>
  <c r="BL79" i="1"/>
  <c r="BM78" i="1"/>
  <c r="BL78" i="1"/>
  <c r="BM77" i="1"/>
  <c r="BL77" i="1"/>
  <c r="BM76" i="1"/>
  <c r="BL76" i="1"/>
  <c r="BM71" i="1"/>
  <c r="BL71" i="1"/>
  <c r="BM70" i="1"/>
  <c r="BM69" i="1"/>
  <c r="BL69" i="1"/>
  <c r="BM68" i="1"/>
  <c r="BM65" i="1"/>
  <c r="BL65" i="1"/>
  <c r="BM64" i="1"/>
  <c r="BL64" i="1"/>
  <c r="BM61" i="1"/>
  <c r="BL61" i="1"/>
  <c r="BM60" i="1"/>
  <c r="BL60" i="1"/>
  <c r="BM59" i="1"/>
  <c r="BL59" i="1"/>
  <c r="BM58" i="1"/>
  <c r="BL58" i="1"/>
  <c r="BM57" i="1"/>
  <c r="BL57" i="1"/>
  <c r="BM56" i="1"/>
  <c r="BL56" i="1"/>
  <c r="BM55" i="1"/>
  <c r="BL55" i="1"/>
  <c r="BM54" i="1"/>
  <c r="BL54" i="1"/>
  <c r="BM53" i="1"/>
  <c r="BL53" i="1"/>
  <c r="BM52" i="1"/>
  <c r="BL52" i="1"/>
  <c r="BM51" i="1"/>
  <c r="BL51" i="1"/>
  <c r="BM50" i="1"/>
  <c r="BL50" i="1"/>
  <c r="BM49" i="1"/>
  <c r="BL49" i="1"/>
  <c r="BM48" i="1"/>
  <c r="BL48" i="1"/>
  <c r="BM47" i="1"/>
  <c r="BL47" i="1"/>
  <c r="BM46" i="1"/>
  <c r="BL46" i="1"/>
  <c r="BM43" i="1"/>
  <c r="BL43" i="1"/>
  <c r="BM42" i="1"/>
  <c r="BL42" i="1"/>
  <c r="BM39" i="1"/>
  <c r="BL39" i="1"/>
  <c r="BM38" i="1"/>
  <c r="BL38" i="1"/>
  <c r="BM35" i="1"/>
  <c r="BL35" i="1"/>
  <c r="BM34" i="1"/>
  <c r="BL34" i="1"/>
  <c r="BM33" i="1"/>
  <c r="BL33" i="1"/>
  <c r="BM32" i="1"/>
  <c r="BL32" i="1"/>
  <c r="BM31" i="1"/>
  <c r="BL31" i="1"/>
  <c r="BM28" i="1"/>
  <c r="BL28" i="1"/>
  <c r="BM27" i="1"/>
  <c r="BL27" i="1"/>
  <c r="BM26" i="1"/>
  <c r="BL26" i="1"/>
  <c r="BM25" i="1"/>
  <c r="BL25" i="1"/>
  <c r="BM24" i="1"/>
  <c r="BL24" i="1"/>
  <c r="BM23" i="1"/>
  <c r="BL23" i="1"/>
  <c r="BM18" i="1"/>
  <c r="BM17" i="1" s="1"/>
  <c r="BL18" i="1"/>
  <c r="BM15" i="1"/>
  <c r="BL15" i="1"/>
  <c r="BM14" i="1"/>
  <c r="BL14" i="1"/>
  <c r="BM13" i="1"/>
  <c r="BL13" i="1"/>
  <c r="BM12" i="1"/>
  <c r="BM11" i="1"/>
  <c r="BL11" i="1"/>
  <c r="BI356" i="1"/>
  <c r="BH356" i="1"/>
  <c r="BI354" i="1"/>
  <c r="BH354" i="1"/>
  <c r="BI352" i="1"/>
  <c r="BI351" i="1"/>
  <c r="BH351" i="1"/>
  <c r="BI348" i="1"/>
  <c r="BH348" i="1"/>
  <c r="BI347" i="1"/>
  <c r="BH347" i="1"/>
  <c r="BI346" i="1"/>
  <c r="BH346" i="1"/>
  <c r="BI345" i="1"/>
  <c r="BH345" i="1"/>
  <c r="BI344" i="1"/>
  <c r="BH344" i="1"/>
  <c r="BI342" i="1"/>
  <c r="BH342" i="1"/>
  <c r="BI341" i="1"/>
  <c r="BH341" i="1"/>
  <c r="BI340" i="1"/>
  <c r="BH340" i="1"/>
  <c r="BI339" i="1"/>
  <c r="BH339" i="1"/>
  <c r="BI338" i="1"/>
  <c r="BH338" i="1"/>
  <c r="BI337" i="1"/>
  <c r="BH337" i="1"/>
  <c r="BI336" i="1"/>
  <c r="BH336" i="1"/>
  <c r="BI335" i="1"/>
  <c r="BI334" i="1"/>
  <c r="BH334" i="1"/>
  <c r="BI333" i="1"/>
  <c r="BH333" i="1"/>
  <c r="BI332" i="1"/>
  <c r="BH332" i="1"/>
  <c r="BI331" i="1"/>
  <c r="BH331" i="1"/>
  <c r="BI330" i="1"/>
  <c r="BH330" i="1"/>
  <c r="BI329" i="1"/>
  <c r="BH329" i="1"/>
  <c r="BI328" i="1"/>
  <c r="BH328" i="1"/>
  <c r="BI327" i="1"/>
  <c r="BH327" i="1"/>
  <c r="BI326" i="1"/>
  <c r="BH326" i="1"/>
  <c r="BI325" i="1"/>
  <c r="BH325" i="1"/>
  <c r="BI324" i="1"/>
  <c r="BI323" i="1"/>
  <c r="BH323" i="1"/>
  <c r="BI322" i="1"/>
  <c r="BH322" i="1"/>
  <c r="BI321" i="1"/>
  <c r="BH321" i="1"/>
  <c r="BI320" i="1"/>
  <c r="BH320" i="1"/>
  <c r="BI319" i="1"/>
  <c r="BH319" i="1"/>
  <c r="BI318" i="1"/>
  <c r="BH318" i="1"/>
  <c r="BI317" i="1"/>
  <c r="BH317" i="1"/>
  <c r="BI316" i="1"/>
  <c r="BH316" i="1"/>
  <c r="BI315" i="1"/>
  <c r="BH315" i="1"/>
  <c r="BI314" i="1"/>
  <c r="BH314" i="1"/>
  <c r="BI313" i="1"/>
  <c r="BH313" i="1"/>
  <c r="BI312" i="1"/>
  <c r="BH312" i="1"/>
  <c r="BI311" i="1"/>
  <c r="BH311" i="1"/>
  <c r="BI310" i="1"/>
  <c r="BI309" i="1"/>
  <c r="BH309" i="1"/>
  <c r="BI308" i="1"/>
  <c r="BH308" i="1"/>
  <c r="BI307" i="1"/>
  <c r="BH307" i="1"/>
  <c r="BI306" i="1"/>
  <c r="BH306" i="1"/>
  <c r="BI305" i="1"/>
  <c r="BH305" i="1"/>
  <c r="BI304" i="1"/>
  <c r="BH304" i="1"/>
  <c r="BI303" i="1"/>
  <c r="BH303" i="1"/>
  <c r="BI300" i="1"/>
  <c r="BH300" i="1"/>
  <c r="BI299" i="1"/>
  <c r="BH299" i="1"/>
  <c r="BI298" i="1"/>
  <c r="BH298" i="1"/>
  <c r="BI297" i="1"/>
  <c r="BH297" i="1"/>
  <c r="BI296" i="1"/>
  <c r="BH296" i="1"/>
  <c r="BI295" i="1"/>
  <c r="BH295" i="1"/>
  <c r="BI294" i="1"/>
  <c r="BH294" i="1"/>
  <c r="BI293" i="1"/>
  <c r="BH293" i="1"/>
  <c r="BI292" i="1"/>
  <c r="BH292" i="1"/>
  <c r="BI291" i="1"/>
  <c r="BH291" i="1"/>
  <c r="BI290" i="1"/>
  <c r="BH290" i="1"/>
  <c r="BI289" i="1"/>
  <c r="BH289" i="1"/>
  <c r="BI288" i="1"/>
  <c r="BH288" i="1"/>
  <c r="BI287" i="1"/>
  <c r="BH287" i="1"/>
  <c r="BI286" i="1"/>
  <c r="BH286" i="1"/>
  <c r="BI285" i="1"/>
  <c r="BH285" i="1"/>
  <c r="BI284" i="1"/>
  <c r="BH284" i="1"/>
  <c r="BI283" i="1"/>
  <c r="BH283" i="1"/>
  <c r="BI282" i="1"/>
  <c r="BH282" i="1"/>
  <c r="BI281" i="1"/>
  <c r="BH281" i="1"/>
  <c r="BI280" i="1"/>
  <c r="BH280" i="1"/>
  <c r="BI279" i="1"/>
  <c r="BH279" i="1"/>
  <c r="BI278" i="1"/>
  <c r="BH278" i="1"/>
  <c r="BI277" i="1"/>
  <c r="BH277" i="1"/>
  <c r="BI276" i="1"/>
  <c r="BH276" i="1"/>
  <c r="BI275" i="1"/>
  <c r="BH275" i="1"/>
  <c r="BI274" i="1"/>
  <c r="BH274" i="1"/>
  <c r="BI273" i="1"/>
  <c r="BH273" i="1"/>
  <c r="BI272" i="1"/>
  <c r="BH272" i="1"/>
  <c r="BI269" i="1"/>
  <c r="BH269" i="1"/>
  <c r="BI268" i="1"/>
  <c r="BH268" i="1"/>
  <c r="BI267" i="1"/>
  <c r="BH267" i="1"/>
  <c r="BI266" i="1"/>
  <c r="BH266" i="1"/>
  <c r="BI265" i="1"/>
  <c r="BH265" i="1"/>
  <c r="BI264" i="1"/>
  <c r="BH264" i="1"/>
  <c r="BI263" i="1"/>
  <c r="BH263" i="1"/>
  <c r="BI262" i="1"/>
  <c r="BH262" i="1"/>
  <c r="BI261" i="1"/>
  <c r="BH261" i="1"/>
  <c r="BI260" i="1"/>
  <c r="BH260" i="1"/>
  <c r="BI259" i="1"/>
  <c r="BH259" i="1"/>
  <c r="BI258" i="1"/>
  <c r="BH258" i="1"/>
  <c r="BI256" i="1"/>
  <c r="BH256" i="1"/>
  <c r="BI255" i="1"/>
  <c r="BH255" i="1"/>
  <c r="BI254" i="1"/>
  <c r="BH254" i="1"/>
  <c r="BI253" i="1"/>
  <c r="BH253" i="1"/>
  <c r="BI252" i="1"/>
  <c r="BH252" i="1"/>
  <c r="BI251" i="1"/>
  <c r="BH251" i="1"/>
  <c r="BI248" i="1"/>
  <c r="BH248" i="1"/>
  <c r="BI247" i="1"/>
  <c r="BH247" i="1"/>
  <c r="BI246" i="1"/>
  <c r="BH246" i="1"/>
  <c r="BI245" i="1"/>
  <c r="BH245" i="1"/>
  <c r="BI244" i="1"/>
  <c r="BH244" i="1"/>
  <c r="BI241" i="1"/>
  <c r="BH241" i="1"/>
  <c r="BI240" i="1"/>
  <c r="BH240" i="1"/>
  <c r="BI239" i="1"/>
  <c r="BH239" i="1"/>
  <c r="BI238" i="1"/>
  <c r="BH238" i="1"/>
  <c r="BI237" i="1"/>
  <c r="BH237" i="1"/>
  <c r="BI236" i="1"/>
  <c r="BI233" i="1"/>
  <c r="BH233" i="1"/>
  <c r="BI232" i="1"/>
  <c r="BH232" i="1"/>
  <c r="BI231" i="1"/>
  <c r="BH231" i="1"/>
  <c r="BI229" i="1"/>
  <c r="BH229" i="1"/>
  <c r="BI228" i="1"/>
  <c r="BH228" i="1"/>
  <c r="BI227" i="1"/>
  <c r="BH227" i="1"/>
  <c r="BI226" i="1"/>
  <c r="BH226" i="1"/>
  <c r="BI225" i="1"/>
  <c r="BH225" i="1"/>
  <c r="BI224" i="1"/>
  <c r="BH224" i="1"/>
  <c r="BI223" i="1"/>
  <c r="BH223" i="1"/>
  <c r="BI222" i="1"/>
  <c r="BH222" i="1"/>
  <c r="BI221" i="1"/>
  <c r="BH221" i="1"/>
  <c r="BI220" i="1"/>
  <c r="BH220" i="1"/>
  <c r="BI219" i="1"/>
  <c r="BH219" i="1"/>
  <c r="BI218" i="1"/>
  <c r="BH218" i="1"/>
  <c r="BI217" i="1"/>
  <c r="BH217" i="1"/>
  <c r="BI216" i="1"/>
  <c r="BH216" i="1"/>
  <c r="BI215" i="1"/>
  <c r="BH215" i="1"/>
  <c r="BI214" i="1"/>
  <c r="BH214" i="1"/>
  <c r="BI213" i="1"/>
  <c r="BH213" i="1"/>
  <c r="BI212" i="1"/>
  <c r="BH212" i="1"/>
  <c r="BI211" i="1"/>
  <c r="BH211" i="1"/>
  <c r="BI210" i="1"/>
  <c r="BH210" i="1"/>
  <c r="BI207" i="1"/>
  <c r="BH207" i="1"/>
  <c r="BI206" i="1"/>
  <c r="BH206" i="1"/>
  <c r="BI205" i="1"/>
  <c r="BH205" i="1"/>
  <c r="BI204" i="1"/>
  <c r="BH204" i="1"/>
  <c r="BI203" i="1"/>
  <c r="BH203" i="1"/>
  <c r="BI202" i="1"/>
  <c r="BH202" i="1"/>
  <c r="BI201" i="1"/>
  <c r="BH201" i="1"/>
  <c r="BI200" i="1"/>
  <c r="BH200" i="1"/>
  <c r="BI199" i="1"/>
  <c r="BH199" i="1"/>
  <c r="BI198" i="1"/>
  <c r="BH198" i="1"/>
  <c r="BI197" i="1"/>
  <c r="BH197" i="1"/>
  <c r="BI196" i="1"/>
  <c r="BH196" i="1"/>
  <c r="BI195" i="1"/>
  <c r="BH195" i="1"/>
  <c r="BI194" i="1"/>
  <c r="BH194" i="1"/>
  <c r="BI193" i="1"/>
  <c r="BH193" i="1"/>
  <c r="BI192" i="1"/>
  <c r="BH192" i="1"/>
  <c r="BI191" i="1"/>
  <c r="BH191" i="1"/>
  <c r="BI190" i="1"/>
  <c r="BH190" i="1"/>
  <c r="BI189" i="1"/>
  <c r="BH189" i="1"/>
  <c r="BI188" i="1"/>
  <c r="BH188" i="1"/>
  <c r="BI187" i="1"/>
  <c r="BH187" i="1"/>
  <c r="BH186" i="1"/>
  <c r="BI186" i="1"/>
  <c r="BI177" i="1"/>
  <c r="BH177" i="1"/>
  <c r="BI175" i="1"/>
  <c r="BH175" i="1"/>
  <c r="BI174" i="1"/>
  <c r="BH174" i="1"/>
  <c r="BI173" i="1"/>
  <c r="BH173" i="1"/>
  <c r="BI172" i="1"/>
  <c r="BH172" i="1"/>
  <c r="BI171" i="1"/>
  <c r="BH171" i="1"/>
  <c r="BI170" i="1"/>
  <c r="BI167" i="1"/>
  <c r="BI166" i="1" s="1"/>
  <c r="BH167" i="1"/>
  <c r="BI163" i="1"/>
  <c r="BI162" i="1" s="1"/>
  <c r="BI161" i="1" s="1"/>
  <c r="BH163" i="1"/>
  <c r="BI159" i="1"/>
  <c r="BH159" i="1"/>
  <c r="BI158" i="1"/>
  <c r="BH158" i="1"/>
  <c r="BI157" i="1"/>
  <c r="BH157" i="1"/>
  <c r="BI156" i="1"/>
  <c r="BH156" i="1"/>
  <c r="BI155" i="1"/>
  <c r="BH155" i="1"/>
  <c r="BI154" i="1"/>
  <c r="BH154" i="1"/>
  <c r="BI153" i="1"/>
  <c r="BH153" i="1"/>
  <c r="BI152" i="1"/>
  <c r="BH152" i="1"/>
  <c r="BI151" i="1"/>
  <c r="BH151" i="1"/>
  <c r="BI150" i="1"/>
  <c r="BH150" i="1"/>
  <c r="BI149" i="1"/>
  <c r="BH149" i="1"/>
  <c r="BI148" i="1"/>
  <c r="BH148" i="1"/>
  <c r="BI147" i="1"/>
  <c r="BH147" i="1"/>
  <c r="BI146" i="1"/>
  <c r="BH146" i="1"/>
  <c r="BI145" i="1"/>
  <c r="BH145" i="1"/>
  <c r="BI144" i="1"/>
  <c r="BH144" i="1"/>
  <c r="BI143" i="1"/>
  <c r="BH143" i="1"/>
  <c r="BI142" i="1"/>
  <c r="BH142" i="1"/>
  <c r="BI141" i="1"/>
  <c r="BH141" i="1"/>
  <c r="BI140" i="1"/>
  <c r="BH140" i="1"/>
  <c r="BI139" i="1"/>
  <c r="BH139" i="1"/>
  <c r="BI138" i="1"/>
  <c r="BH138" i="1"/>
  <c r="BI137" i="1"/>
  <c r="BH137" i="1"/>
  <c r="BI136" i="1"/>
  <c r="BH136" i="1"/>
  <c r="BI135" i="1"/>
  <c r="BH135" i="1"/>
  <c r="BI134" i="1"/>
  <c r="BH134" i="1"/>
  <c r="BI133" i="1"/>
  <c r="BH133" i="1"/>
  <c r="BI132" i="1"/>
  <c r="BH132" i="1"/>
  <c r="BI131" i="1"/>
  <c r="BH131" i="1"/>
  <c r="BI130" i="1"/>
  <c r="BH130" i="1"/>
  <c r="BI127" i="1"/>
  <c r="BI126" i="1" s="1"/>
  <c r="BH127" i="1"/>
  <c r="BH126" i="1" s="1"/>
  <c r="BI124" i="1"/>
  <c r="BI123" i="1" s="1"/>
  <c r="BH124" i="1"/>
  <c r="BH123" i="1" s="1"/>
  <c r="BI121" i="1"/>
  <c r="BI120" i="1" s="1"/>
  <c r="BH121" i="1"/>
  <c r="BI118" i="1"/>
  <c r="BH118" i="1"/>
  <c r="BI117" i="1"/>
  <c r="BH117" i="1"/>
  <c r="BI116" i="1"/>
  <c r="BH116" i="1"/>
  <c r="BI115" i="1"/>
  <c r="BH115" i="1"/>
  <c r="BI114" i="1"/>
  <c r="BH114" i="1"/>
  <c r="BI113" i="1"/>
  <c r="BH113" i="1"/>
  <c r="BI112" i="1"/>
  <c r="BH112" i="1"/>
  <c r="BI111" i="1"/>
  <c r="BH111" i="1"/>
  <c r="BI110" i="1"/>
  <c r="BH110" i="1"/>
  <c r="BI107" i="1"/>
  <c r="BI106" i="1" s="1"/>
  <c r="BH107" i="1"/>
  <c r="BI100" i="1"/>
  <c r="BH100" i="1"/>
  <c r="BI99" i="1"/>
  <c r="BH99" i="1"/>
  <c r="BI97" i="1"/>
  <c r="BH97" i="1"/>
  <c r="BI96" i="1"/>
  <c r="BH96" i="1"/>
  <c r="BI95" i="1"/>
  <c r="BH95" i="1"/>
  <c r="BI92" i="1"/>
  <c r="BH92" i="1"/>
  <c r="BI91" i="1"/>
  <c r="BH91" i="1"/>
  <c r="BI90" i="1"/>
  <c r="BH90" i="1"/>
  <c r="BI87" i="1"/>
  <c r="BI86" i="1" s="1"/>
  <c r="BH87" i="1"/>
  <c r="BI84" i="1"/>
  <c r="BH84" i="1"/>
  <c r="BI83" i="1"/>
  <c r="BH83" i="1"/>
  <c r="BI82" i="1"/>
  <c r="BH82" i="1"/>
  <c r="BI79" i="1"/>
  <c r="BH79" i="1"/>
  <c r="BI78" i="1"/>
  <c r="BH78" i="1"/>
  <c r="BI77" i="1"/>
  <c r="BH77" i="1"/>
  <c r="BI76" i="1"/>
  <c r="BH76" i="1"/>
  <c r="BI71" i="1"/>
  <c r="BH71" i="1"/>
  <c r="BI70" i="1"/>
  <c r="BI69" i="1"/>
  <c r="BI68" i="1"/>
  <c r="BI65" i="1"/>
  <c r="BH65" i="1"/>
  <c r="BI64" i="1"/>
  <c r="BH64" i="1"/>
  <c r="BI61" i="1"/>
  <c r="BH61" i="1"/>
  <c r="BI60" i="1"/>
  <c r="BI59" i="1"/>
  <c r="BH59" i="1"/>
  <c r="BI58" i="1"/>
  <c r="BH58" i="1"/>
  <c r="BI57" i="1"/>
  <c r="BH57" i="1"/>
  <c r="BI56" i="1"/>
  <c r="BH56" i="1"/>
  <c r="BI55" i="1"/>
  <c r="BH55" i="1"/>
  <c r="BI54" i="1"/>
  <c r="BH54" i="1"/>
  <c r="BI53" i="1"/>
  <c r="BH53" i="1"/>
  <c r="BI52" i="1"/>
  <c r="BH52" i="1"/>
  <c r="BI51" i="1"/>
  <c r="BH51" i="1"/>
  <c r="BI50" i="1"/>
  <c r="BH50" i="1"/>
  <c r="BI49" i="1"/>
  <c r="BH49" i="1"/>
  <c r="BI48" i="1"/>
  <c r="BH48" i="1"/>
  <c r="BI47" i="1"/>
  <c r="BH47" i="1"/>
  <c r="BI46" i="1"/>
  <c r="BH46" i="1"/>
  <c r="BI43" i="1"/>
  <c r="BH43" i="1"/>
  <c r="BI42" i="1"/>
  <c r="BH42" i="1"/>
  <c r="BI39" i="1"/>
  <c r="BH39" i="1"/>
  <c r="BI38" i="1"/>
  <c r="BH38" i="1"/>
  <c r="BI35" i="1"/>
  <c r="BH35" i="1"/>
  <c r="BI34" i="1"/>
  <c r="BH34" i="1"/>
  <c r="BI33" i="1"/>
  <c r="BH33" i="1"/>
  <c r="BI32" i="1"/>
  <c r="BH32" i="1"/>
  <c r="BI31" i="1"/>
  <c r="BH31" i="1"/>
  <c r="BI28" i="1"/>
  <c r="BH28" i="1"/>
  <c r="BI27" i="1"/>
  <c r="BH27" i="1"/>
  <c r="BI26" i="1"/>
  <c r="BH26" i="1"/>
  <c r="BI25" i="1"/>
  <c r="BH25" i="1"/>
  <c r="BI24" i="1"/>
  <c r="BH24" i="1"/>
  <c r="BI23" i="1"/>
  <c r="BH23" i="1"/>
  <c r="BI22" i="1"/>
  <c r="BH22" i="1"/>
  <c r="BI18" i="1"/>
  <c r="BI17" i="1" s="1"/>
  <c r="BH18" i="1"/>
  <c r="BI15" i="1"/>
  <c r="BH15" i="1"/>
  <c r="BI14" i="1"/>
  <c r="BH14" i="1"/>
  <c r="BI13" i="1"/>
  <c r="BH13" i="1"/>
  <c r="BI12" i="1"/>
  <c r="BI11" i="1"/>
  <c r="BH11" i="1"/>
  <c r="J151" i="3"/>
  <c r="BE51" i="1" s="1"/>
  <c r="G152" i="3"/>
  <c r="J152" i="3" s="1"/>
  <c r="BE46" i="1" s="1"/>
  <c r="E152" i="3"/>
  <c r="E151" i="3"/>
  <c r="J147" i="3"/>
  <c r="BE54" i="1" s="1"/>
  <c r="G148" i="3"/>
  <c r="J148" i="3" s="1"/>
  <c r="BE157" i="1" s="1"/>
  <c r="E148" i="3"/>
  <c r="E147" i="3"/>
  <c r="BE356" i="1"/>
  <c r="BD356" i="1"/>
  <c r="BE354" i="1"/>
  <c r="BD354" i="1"/>
  <c r="BE352" i="1"/>
  <c r="BE351" i="1"/>
  <c r="BE348" i="1"/>
  <c r="BD348" i="1"/>
  <c r="BE347" i="1"/>
  <c r="BD347" i="1"/>
  <c r="BE346" i="1"/>
  <c r="BE345" i="1"/>
  <c r="BE344" i="1"/>
  <c r="BD344" i="1"/>
  <c r="BE342" i="1"/>
  <c r="BD342" i="1"/>
  <c r="BE341" i="1"/>
  <c r="BD341" i="1"/>
  <c r="BE340" i="1"/>
  <c r="BD340" i="1"/>
  <c r="BE339" i="1"/>
  <c r="BD339" i="1"/>
  <c r="BE338" i="1"/>
  <c r="BD338" i="1"/>
  <c r="BE337" i="1"/>
  <c r="BD337" i="1"/>
  <c r="BE336" i="1"/>
  <c r="BD336" i="1"/>
  <c r="BE335" i="1"/>
  <c r="BE334" i="1"/>
  <c r="BD334" i="1"/>
  <c r="BE333" i="1"/>
  <c r="BE332" i="1"/>
  <c r="BD332" i="1"/>
  <c r="BE331" i="1"/>
  <c r="BD331" i="1"/>
  <c r="BE330" i="1"/>
  <c r="BD330" i="1"/>
  <c r="BE329" i="1"/>
  <c r="BE328" i="1"/>
  <c r="BE327" i="1"/>
  <c r="BD327" i="1"/>
  <c r="BE326" i="1"/>
  <c r="BE325" i="1"/>
  <c r="BD325" i="1"/>
  <c r="BE324" i="1"/>
  <c r="BD324" i="1"/>
  <c r="BE323" i="1"/>
  <c r="BE322" i="1"/>
  <c r="BE321" i="1"/>
  <c r="BD321" i="1"/>
  <c r="BE320" i="1"/>
  <c r="BD320" i="1"/>
  <c r="BE319" i="1"/>
  <c r="BE318" i="1"/>
  <c r="BE317" i="1"/>
  <c r="BD317" i="1"/>
  <c r="BE316" i="1"/>
  <c r="BD316" i="1"/>
  <c r="BE315" i="1"/>
  <c r="BD315" i="1"/>
  <c r="BE314" i="1"/>
  <c r="BD314" i="1"/>
  <c r="BE313" i="1"/>
  <c r="BE312" i="1"/>
  <c r="BD312" i="1"/>
  <c r="BE311" i="1"/>
  <c r="BE310" i="1"/>
  <c r="BE309" i="1"/>
  <c r="BD309" i="1"/>
  <c r="BE308" i="1"/>
  <c r="BE307" i="1"/>
  <c r="BE306" i="1"/>
  <c r="BE305" i="1"/>
  <c r="BD305" i="1"/>
  <c r="BE304" i="1"/>
  <c r="BD304" i="1"/>
  <c r="BE303" i="1"/>
  <c r="BD303" i="1"/>
  <c r="BE300" i="1"/>
  <c r="BD300" i="1"/>
  <c r="BE299" i="1"/>
  <c r="BD299" i="1"/>
  <c r="BE298" i="1"/>
  <c r="BD298" i="1"/>
  <c r="BE297" i="1"/>
  <c r="BD297" i="1"/>
  <c r="BE296" i="1"/>
  <c r="BD296" i="1"/>
  <c r="BE295" i="1"/>
  <c r="BD295" i="1"/>
  <c r="BE294" i="1"/>
  <c r="BD294" i="1"/>
  <c r="BE293" i="1"/>
  <c r="BD293" i="1"/>
  <c r="BE292" i="1"/>
  <c r="BD292" i="1"/>
  <c r="BE291" i="1"/>
  <c r="BD291" i="1"/>
  <c r="BE290" i="1"/>
  <c r="BD290" i="1"/>
  <c r="BE289" i="1"/>
  <c r="BD289" i="1"/>
  <c r="BE288" i="1"/>
  <c r="BD288" i="1"/>
  <c r="BE287" i="1"/>
  <c r="BD287" i="1"/>
  <c r="BE286" i="1"/>
  <c r="BD286" i="1"/>
  <c r="BE285" i="1"/>
  <c r="BD285" i="1"/>
  <c r="BE284" i="1"/>
  <c r="BD284" i="1"/>
  <c r="BE283" i="1"/>
  <c r="BD283" i="1"/>
  <c r="BE282" i="1"/>
  <c r="BD282" i="1"/>
  <c r="BE281" i="1"/>
  <c r="BD281" i="1"/>
  <c r="BE280" i="1"/>
  <c r="BD280" i="1"/>
  <c r="BE279" i="1"/>
  <c r="BD279" i="1"/>
  <c r="BE278" i="1"/>
  <c r="BD278" i="1"/>
  <c r="BE277" i="1"/>
  <c r="BD277" i="1"/>
  <c r="BE276" i="1"/>
  <c r="BD276" i="1"/>
  <c r="BE275" i="1"/>
  <c r="BD275" i="1"/>
  <c r="BE274" i="1"/>
  <c r="BD274" i="1"/>
  <c r="BE273" i="1"/>
  <c r="BD273" i="1"/>
  <c r="BE272" i="1"/>
  <c r="BD272" i="1"/>
  <c r="BE269" i="1"/>
  <c r="BD269" i="1"/>
  <c r="BE268" i="1"/>
  <c r="BD268" i="1"/>
  <c r="BE267" i="1"/>
  <c r="BD267" i="1"/>
  <c r="BE266" i="1"/>
  <c r="BD266" i="1"/>
  <c r="BE265" i="1"/>
  <c r="BD265" i="1"/>
  <c r="BE264" i="1"/>
  <c r="BD264" i="1"/>
  <c r="BE263" i="1"/>
  <c r="BD263" i="1"/>
  <c r="BE262" i="1"/>
  <c r="BD262" i="1"/>
  <c r="BE261" i="1"/>
  <c r="BD261" i="1"/>
  <c r="BE260" i="1"/>
  <c r="BD260" i="1"/>
  <c r="BE259" i="1"/>
  <c r="BD259" i="1"/>
  <c r="BE258" i="1"/>
  <c r="BD258" i="1"/>
  <c r="BE256" i="1"/>
  <c r="BD256" i="1"/>
  <c r="BE255" i="1"/>
  <c r="BE254" i="1"/>
  <c r="BD254" i="1"/>
  <c r="BE253" i="1"/>
  <c r="BD253" i="1"/>
  <c r="BE252" i="1"/>
  <c r="BD252" i="1"/>
  <c r="BE251" i="1"/>
  <c r="BD251" i="1"/>
  <c r="BE248" i="1"/>
  <c r="BD248" i="1"/>
  <c r="BE247" i="1"/>
  <c r="BD247" i="1"/>
  <c r="BE246" i="1"/>
  <c r="BD246" i="1"/>
  <c r="BE245" i="1"/>
  <c r="BD245" i="1"/>
  <c r="BE244" i="1"/>
  <c r="BD244" i="1"/>
  <c r="BE241" i="1"/>
  <c r="BD241" i="1"/>
  <c r="BE240" i="1"/>
  <c r="BE239" i="1"/>
  <c r="BD239" i="1"/>
  <c r="BE238" i="1"/>
  <c r="BE237" i="1"/>
  <c r="BE236" i="1"/>
  <c r="BE233" i="1"/>
  <c r="BD233" i="1"/>
  <c r="BE232" i="1"/>
  <c r="BD232" i="1"/>
  <c r="BE231" i="1"/>
  <c r="BD231" i="1"/>
  <c r="BE229" i="1"/>
  <c r="BD229" i="1"/>
  <c r="BE228" i="1"/>
  <c r="BD228" i="1"/>
  <c r="BE227" i="1"/>
  <c r="BD227" i="1"/>
  <c r="BE226" i="1"/>
  <c r="BD226" i="1"/>
  <c r="BE225" i="1"/>
  <c r="BD225" i="1"/>
  <c r="BE224" i="1"/>
  <c r="BD224" i="1"/>
  <c r="BE223" i="1"/>
  <c r="BD223" i="1"/>
  <c r="BE222" i="1"/>
  <c r="BD222" i="1"/>
  <c r="BE221" i="1"/>
  <c r="BD221" i="1"/>
  <c r="BE220" i="1"/>
  <c r="BD220" i="1"/>
  <c r="BE219" i="1"/>
  <c r="BD219" i="1"/>
  <c r="BE218" i="1"/>
  <c r="BD218" i="1"/>
  <c r="BE217" i="1"/>
  <c r="BD217" i="1"/>
  <c r="BE216" i="1"/>
  <c r="BD216" i="1"/>
  <c r="BE215" i="1"/>
  <c r="BD215" i="1"/>
  <c r="BE214" i="1"/>
  <c r="BD214" i="1"/>
  <c r="BE213" i="1"/>
  <c r="BD213" i="1"/>
  <c r="BE212" i="1"/>
  <c r="BD212" i="1"/>
  <c r="BE211" i="1"/>
  <c r="BD211" i="1"/>
  <c r="BE210" i="1"/>
  <c r="BD210" i="1"/>
  <c r="BE207" i="1"/>
  <c r="BD207" i="1"/>
  <c r="BE206" i="1"/>
  <c r="BD206" i="1"/>
  <c r="BE205" i="1"/>
  <c r="BD205" i="1"/>
  <c r="BE204" i="1"/>
  <c r="BD204" i="1"/>
  <c r="BE203" i="1"/>
  <c r="BD203" i="1"/>
  <c r="BE202" i="1"/>
  <c r="BD202" i="1"/>
  <c r="BE201" i="1"/>
  <c r="BD201" i="1"/>
  <c r="BE200" i="1"/>
  <c r="BD200" i="1"/>
  <c r="BE199" i="1"/>
  <c r="BD199" i="1"/>
  <c r="BE198" i="1"/>
  <c r="BD198" i="1"/>
  <c r="BE197" i="1"/>
  <c r="BD197" i="1"/>
  <c r="BE196" i="1"/>
  <c r="BD196" i="1"/>
  <c r="BE195" i="1"/>
  <c r="BD195" i="1"/>
  <c r="BE194" i="1"/>
  <c r="BD194" i="1"/>
  <c r="BE193" i="1"/>
  <c r="BD193" i="1"/>
  <c r="BE192" i="1"/>
  <c r="BD192" i="1"/>
  <c r="BE191" i="1"/>
  <c r="BD191" i="1"/>
  <c r="BE190" i="1"/>
  <c r="BD190" i="1"/>
  <c r="BE189" i="1"/>
  <c r="BD189" i="1"/>
  <c r="BE188" i="1"/>
  <c r="BD188" i="1"/>
  <c r="BE187" i="1"/>
  <c r="BE186" i="1"/>
  <c r="BD186" i="1"/>
  <c r="BE177" i="1"/>
  <c r="BD177" i="1"/>
  <c r="BE175" i="1"/>
  <c r="BE174" i="1"/>
  <c r="BD174" i="1"/>
  <c r="BE173" i="1"/>
  <c r="BE172" i="1"/>
  <c r="BD172" i="1"/>
  <c r="BE171" i="1"/>
  <c r="BD171" i="1"/>
  <c r="BE170" i="1"/>
  <c r="BE167" i="1"/>
  <c r="BE166" i="1" s="1"/>
  <c r="BE163" i="1"/>
  <c r="BE162" i="1" s="1"/>
  <c r="BE161" i="1" s="1"/>
  <c r="BD163" i="1"/>
  <c r="BE159" i="1"/>
  <c r="BE158" i="1"/>
  <c r="BE156" i="1"/>
  <c r="BD156" i="1"/>
  <c r="BE155" i="1"/>
  <c r="BD155" i="1"/>
  <c r="BE154" i="1"/>
  <c r="BD154" i="1"/>
  <c r="BE153" i="1"/>
  <c r="BD153" i="1"/>
  <c r="BE152" i="1"/>
  <c r="BD152" i="1"/>
  <c r="BE151" i="1"/>
  <c r="BE150" i="1"/>
  <c r="BD150" i="1"/>
  <c r="BE149" i="1"/>
  <c r="BD149" i="1"/>
  <c r="BE148" i="1"/>
  <c r="BD148" i="1"/>
  <c r="BE147" i="1"/>
  <c r="BD147" i="1"/>
  <c r="BE146" i="1"/>
  <c r="BD146" i="1"/>
  <c r="BE145" i="1"/>
  <c r="BD145" i="1"/>
  <c r="BE144" i="1"/>
  <c r="BD144" i="1"/>
  <c r="BE143" i="1"/>
  <c r="BD143" i="1"/>
  <c r="BE142" i="1"/>
  <c r="BD142" i="1"/>
  <c r="BE141" i="1"/>
  <c r="BD141" i="1"/>
  <c r="BE140" i="1"/>
  <c r="BD140" i="1"/>
  <c r="BE139" i="1"/>
  <c r="BD139" i="1"/>
  <c r="BE138" i="1"/>
  <c r="BD138" i="1"/>
  <c r="BE137" i="1"/>
  <c r="BD137" i="1"/>
  <c r="BE136" i="1"/>
  <c r="BD136" i="1"/>
  <c r="BE135" i="1"/>
  <c r="BD135" i="1"/>
  <c r="BE134" i="1"/>
  <c r="BD134" i="1"/>
  <c r="BE133" i="1"/>
  <c r="BD133" i="1"/>
  <c r="BE132" i="1"/>
  <c r="BD132" i="1"/>
  <c r="BE131" i="1"/>
  <c r="BD131" i="1"/>
  <c r="BE130" i="1"/>
  <c r="BD130" i="1"/>
  <c r="BE127" i="1"/>
  <c r="BE126" i="1" s="1"/>
  <c r="BD127" i="1"/>
  <c r="BE124" i="1"/>
  <c r="BE123" i="1" s="1"/>
  <c r="BD124" i="1"/>
  <c r="BE121" i="1"/>
  <c r="BE120" i="1" s="1"/>
  <c r="BE118" i="1"/>
  <c r="BD118" i="1"/>
  <c r="BE117" i="1"/>
  <c r="BE116" i="1"/>
  <c r="BE115" i="1"/>
  <c r="BD115" i="1"/>
  <c r="BE114" i="1"/>
  <c r="BE113" i="1"/>
  <c r="BD113" i="1"/>
  <c r="BE112" i="1"/>
  <c r="BD112" i="1"/>
  <c r="BE111" i="1"/>
  <c r="BD111" i="1"/>
  <c r="BE110" i="1"/>
  <c r="BE107" i="1"/>
  <c r="BE106" i="1" s="1"/>
  <c r="BE100" i="1"/>
  <c r="BE99" i="1"/>
  <c r="BD99" i="1"/>
  <c r="BE97" i="1"/>
  <c r="BD97" i="1"/>
  <c r="BE96" i="1"/>
  <c r="BE95" i="1"/>
  <c r="BD95" i="1"/>
  <c r="BE92" i="1"/>
  <c r="BD92" i="1"/>
  <c r="BE91" i="1"/>
  <c r="BD91" i="1"/>
  <c r="BE90" i="1"/>
  <c r="BD90" i="1"/>
  <c r="BE87" i="1"/>
  <c r="BE86" i="1" s="1"/>
  <c r="BD87" i="1"/>
  <c r="BD86" i="1" s="1"/>
  <c r="BE84" i="1"/>
  <c r="BE83" i="1"/>
  <c r="BD83" i="1"/>
  <c r="BE82" i="1"/>
  <c r="BE79" i="1"/>
  <c r="BE78" i="1"/>
  <c r="BE77" i="1"/>
  <c r="BE76" i="1"/>
  <c r="BD76" i="1"/>
  <c r="BE71" i="1"/>
  <c r="BD71" i="1"/>
  <c r="BE70" i="1"/>
  <c r="BE69" i="1"/>
  <c r="BD69" i="1"/>
  <c r="BE68" i="1"/>
  <c r="BE65" i="1"/>
  <c r="BE64" i="1"/>
  <c r="BE61" i="1"/>
  <c r="BE60" i="1"/>
  <c r="BE59" i="1"/>
  <c r="BE58" i="1"/>
  <c r="BE57" i="1"/>
  <c r="BE56" i="1"/>
  <c r="BE55" i="1"/>
  <c r="BE53" i="1"/>
  <c r="BE52" i="1"/>
  <c r="BE50" i="1"/>
  <c r="BE49" i="1"/>
  <c r="BE48" i="1"/>
  <c r="BE47" i="1"/>
  <c r="BE43" i="1"/>
  <c r="BE42" i="1"/>
  <c r="BE39" i="1"/>
  <c r="BE38" i="1"/>
  <c r="BE35" i="1"/>
  <c r="BE34" i="1"/>
  <c r="BE33" i="1"/>
  <c r="BE32" i="1"/>
  <c r="BE31" i="1"/>
  <c r="BE28" i="1"/>
  <c r="BE27" i="1"/>
  <c r="BE26" i="1"/>
  <c r="BE25" i="1"/>
  <c r="BE24" i="1"/>
  <c r="BE23" i="1"/>
  <c r="BE22" i="1"/>
  <c r="BE18" i="1"/>
  <c r="BE17" i="1" s="1"/>
  <c r="BE15" i="1"/>
  <c r="BE14" i="1"/>
  <c r="BE13" i="1"/>
  <c r="BE12" i="1"/>
  <c r="BD65" i="1"/>
  <c r="BD64" i="1"/>
  <c r="BD57" i="1"/>
  <c r="BD56" i="1"/>
  <c r="BD55" i="1"/>
  <c r="BD54" i="1"/>
  <c r="BD52" i="1"/>
  <c r="BD51" i="1"/>
  <c r="BD50" i="1"/>
  <c r="BD49" i="1"/>
  <c r="BD48" i="1"/>
  <c r="BD47" i="1"/>
  <c r="BD42" i="1"/>
  <c r="BD39" i="1"/>
  <c r="BD38" i="1"/>
  <c r="BD35" i="1"/>
  <c r="BD34" i="1"/>
  <c r="BD33" i="1"/>
  <c r="BD32" i="1"/>
  <c r="BD31" i="1"/>
  <c r="BD28" i="1"/>
  <c r="BD27" i="1"/>
  <c r="BD26" i="1"/>
  <c r="BD25" i="1"/>
  <c r="BD23" i="1"/>
  <c r="BD22" i="1"/>
  <c r="BD15" i="1"/>
  <c r="BD14" i="1"/>
  <c r="L296" i="1"/>
  <c r="AC296" i="1"/>
  <c r="AF296" i="1"/>
  <c r="AG296" i="1"/>
  <c r="AK296" i="1"/>
  <c r="AW296" i="1"/>
  <c r="BA296" i="1"/>
  <c r="BA187" i="1"/>
  <c r="BA356" i="1"/>
  <c r="BA354" i="1"/>
  <c r="BA352" i="1"/>
  <c r="BA351" i="1"/>
  <c r="BA348" i="1"/>
  <c r="BA347" i="1"/>
  <c r="BA346" i="1"/>
  <c r="BA345" i="1"/>
  <c r="BA344" i="1"/>
  <c r="BA342" i="1"/>
  <c r="BA341" i="1"/>
  <c r="BA340" i="1"/>
  <c r="BA339" i="1"/>
  <c r="BA338" i="1"/>
  <c r="BA337" i="1"/>
  <c r="BA336" i="1"/>
  <c r="BA335" i="1"/>
  <c r="BA334" i="1"/>
  <c r="BA333" i="1"/>
  <c r="BA332" i="1"/>
  <c r="BA331" i="1"/>
  <c r="BA330" i="1"/>
  <c r="BA329" i="1"/>
  <c r="BA328" i="1"/>
  <c r="BA327" i="1"/>
  <c r="BA326" i="1"/>
  <c r="BA325" i="1"/>
  <c r="BA324" i="1"/>
  <c r="BA323" i="1"/>
  <c r="BA322" i="1"/>
  <c r="BA321" i="1"/>
  <c r="BA320" i="1"/>
  <c r="BA319" i="1"/>
  <c r="BA318" i="1"/>
  <c r="BA317" i="1"/>
  <c r="BA316" i="1"/>
  <c r="BA315" i="1"/>
  <c r="BA314" i="1"/>
  <c r="BA313" i="1"/>
  <c r="BA312" i="1"/>
  <c r="BA311" i="1"/>
  <c r="BA310" i="1"/>
  <c r="BA309" i="1"/>
  <c r="BA308" i="1"/>
  <c r="BA307" i="1"/>
  <c r="BA305" i="1"/>
  <c r="BA304" i="1"/>
  <c r="BA303" i="1"/>
  <c r="BA300" i="1"/>
  <c r="BA299" i="1"/>
  <c r="BA298" i="1"/>
  <c r="BA297" i="1"/>
  <c r="BA295" i="1"/>
  <c r="BA294" i="1"/>
  <c r="BA293" i="1"/>
  <c r="BA292" i="1"/>
  <c r="BA291" i="1"/>
  <c r="BA290" i="1"/>
  <c r="BA289" i="1"/>
  <c r="BA288" i="1"/>
  <c r="BA287" i="1"/>
  <c r="BA286" i="1"/>
  <c r="BA285" i="1"/>
  <c r="BA284" i="1"/>
  <c r="BA283" i="1"/>
  <c r="BA282" i="1"/>
  <c r="BA281" i="1"/>
  <c r="BA280" i="1"/>
  <c r="BA279" i="1"/>
  <c r="BA278" i="1"/>
  <c r="BA277" i="1"/>
  <c r="BA276" i="1"/>
  <c r="BA275" i="1"/>
  <c r="BA274" i="1"/>
  <c r="BA273" i="1"/>
  <c r="BA272" i="1"/>
  <c r="BA269" i="1"/>
  <c r="BA268" i="1"/>
  <c r="BA267" i="1"/>
  <c r="BA266" i="1"/>
  <c r="BA265" i="1"/>
  <c r="BA264" i="1"/>
  <c r="BA263" i="1"/>
  <c r="BA262" i="1"/>
  <c r="BA261" i="1"/>
  <c r="BA260" i="1"/>
  <c r="BA259" i="1"/>
  <c r="BA258" i="1"/>
  <c r="BA256" i="1"/>
  <c r="BA255" i="1"/>
  <c r="BA254" i="1"/>
  <c r="BA253" i="1"/>
  <c r="BA252" i="1"/>
  <c r="BA251" i="1"/>
  <c r="BA248" i="1"/>
  <c r="BA247" i="1"/>
  <c r="BA246" i="1"/>
  <c r="BA245" i="1"/>
  <c r="BA244" i="1"/>
  <c r="BA241" i="1"/>
  <c r="BA240" i="1"/>
  <c r="BA239" i="1"/>
  <c r="BA238" i="1"/>
  <c r="BA237" i="1"/>
  <c r="BA236" i="1"/>
  <c r="BA233" i="1"/>
  <c r="BA232" i="1"/>
  <c r="BA231" i="1"/>
  <c r="BA229" i="1"/>
  <c r="BA228" i="1"/>
  <c r="BA227" i="1"/>
  <c r="BA226" i="1"/>
  <c r="BA225" i="1"/>
  <c r="BA224" i="1"/>
  <c r="BA223" i="1"/>
  <c r="BA222" i="1"/>
  <c r="BA221" i="1"/>
  <c r="BA220" i="1"/>
  <c r="BA219" i="1"/>
  <c r="BA218" i="1"/>
  <c r="BA217" i="1"/>
  <c r="BA216" i="1"/>
  <c r="BA215" i="1"/>
  <c r="BA214" i="1"/>
  <c r="BA213" i="1"/>
  <c r="BA212" i="1"/>
  <c r="BA211" i="1"/>
  <c r="BA210" i="1"/>
  <c r="BA207" i="1"/>
  <c r="BA206" i="1"/>
  <c r="BA205" i="1"/>
  <c r="BA204" i="1"/>
  <c r="BA203" i="1"/>
  <c r="BA202" i="1"/>
  <c r="BA201" i="1"/>
  <c r="BA200" i="1"/>
  <c r="BA199" i="1"/>
  <c r="BA198" i="1"/>
  <c r="BA197" i="1"/>
  <c r="BA196" i="1"/>
  <c r="BA195" i="1"/>
  <c r="BA194" i="1"/>
  <c r="BA193" i="1"/>
  <c r="BA192" i="1"/>
  <c r="BA191" i="1"/>
  <c r="BA190" i="1"/>
  <c r="BA189" i="1"/>
  <c r="BA188" i="1"/>
  <c r="BA186" i="1"/>
  <c r="BA177" i="1"/>
  <c r="BA175" i="1"/>
  <c r="BA174" i="1"/>
  <c r="BA173" i="1"/>
  <c r="BA172" i="1"/>
  <c r="BA171" i="1"/>
  <c r="BA170" i="1"/>
  <c r="BA167" i="1"/>
  <c r="BA166" i="1" s="1"/>
  <c r="BA163" i="1"/>
  <c r="BA159" i="1"/>
  <c r="BA158" i="1"/>
  <c r="BA157" i="1"/>
  <c r="BA156" i="1"/>
  <c r="BA155" i="1"/>
  <c r="BA154" i="1"/>
  <c r="BA153" i="1"/>
  <c r="BA152" i="1"/>
  <c r="BA151" i="1"/>
  <c r="BA150" i="1"/>
  <c r="BA149" i="1"/>
  <c r="BA148" i="1"/>
  <c r="BA147" i="1"/>
  <c r="BA146" i="1"/>
  <c r="BA145" i="1"/>
  <c r="BA144" i="1"/>
  <c r="BA143" i="1"/>
  <c r="BA142" i="1"/>
  <c r="BA141" i="1"/>
  <c r="BA140" i="1"/>
  <c r="BA139" i="1"/>
  <c r="BA138" i="1"/>
  <c r="BA137" i="1"/>
  <c r="BA136" i="1"/>
  <c r="BA135" i="1"/>
  <c r="BA134" i="1"/>
  <c r="BA133" i="1"/>
  <c r="BA132" i="1"/>
  <c r="BA131" i="1"/>
  <c r="BA130" i="1"/>
  <c r="BA127" i="1"/>
  <c r="BA124" i="1"/>
  <c r="BA118" i="1"/>
  <c r="BA117" i="1"/>
  <c r="BA116" i="1"/>
  <c r="BA115" i="1"/>
  <c r="BA114" i="1"/>
  <c r="BA113" i="1"/>
  <c r="BA112" i="1"/>
  <c r="BA111" i="1"/>
  <c r="BA110" i="1"/>
  <c r="BA107" i="1"/>
  <c r="BA100" i="1"/>
  <c r="BA99" i="1"/>
  <c r="BA97" i="1"/>
  <c r="BA96" i="1"/>
  <c r="BA95" i="1"/>
  <c r="BA92" i="1"/>
  <c r="BA91" i="1"/>
  <c r="BA90" i="1"/>
  <c r="BA87" i="1"/>
  <c r="BA86" i="1" s="1"/>
  <c r="BA84" i="1"/>
  <c r="BA83" i="1"/>
  <c r="BA82" i="1"/>
  <c r="BA79" i="1"/>
  <c r="BA78" i="1"/>
  <c r="BA77" i="1"/>
  <c r="BA76" i="1"/>
  <c r="BA71" i="1"/>
  <c r="BA70" i="1"/>
  <c r="BA69" i="1"/>
  <c r="BA68" i="1"/>
  <c r="BA65" i="1"/>
  <c r="BA64" i="1"/>
  <c r="BA61" i="1"/>
  <c r="BA60" i="1"/>
  <c r="BA59" i="1"/>
  <c r="BA58" i="1"/>
  <c r="BA57" i="1"/>
  <c r="BA56" i="1"/>
  <c r="BA55" i="1"/>
  <c r="BA54" i="1"/>
  <c r="BA52" i="1"/>
  <c r="BA50" i="1"/>
  <c r="BA49" i="1"/>
  <c r="BA48" i="1"/>
  <c r="BA47" i="1"/>
  <c r="BA46" i="1"/>
  <c r="BA43" i="1"/>
  <c r="BA42" i="1"/>
  <c r="BA39" i="1"/>
  <c r="BA38" i="1"/>
  <c r="BA35" i="1"/>
  <c r="BA34" i="1"/>
  <c r="BA33" i="1"/>
  <c r="BA32" i="1"/>
  <c r="BA28" i="1"/>
  <c r="BA27" i="1"/>
  <c r="BA26" i="1"/>
  <c r="BA25" i="1"/>
  <c r="BA24" i="1"/>
  <c r="BA23" i="1"/>
  <c r="BA22" i="1"/>
  <c r="BA15" i="1"/>
  <c r="BA14" i="1"/>
  <c r="BA13" i="1"/>
  <c r="BA12" i="1"/>
  <c r="BA11" i="1"/>
  <c r="J143" i="3"/>
  <c r="BA51" i="1" s="1"/>
  <c r="G144" i="3"/>
  <c r="J144" i="3" s="1"/>
  <c r="BA53" i="1" s="1"/>
  <c r="E144" i="3"/>
  <c r="E143" i="3"/>
  <c r="J139" i="3"/>
  <c r="BA17" i="1" s="1"/>
  <c r="G140" i="3"/>
  <c r="J140" i="3" s="1"/>
  <c r="BA31" i="1" s="1"/>
  <c r="E140" i="3"/>
  <c r="E139" i="3"/>
  <c r="J135" i="3"/>
  <c r="BA306" i="1" s="1"/>
  <c r="G136" i="3"/>
  <c r="J136" i="3" s="1"/>
  <c r="BA121" i="1" s="1"/>
  <c r="E136" i="3"/>
  <c r="E135" i="3"/>
  <c r="AZ356" i="1"/>
  <c r="AZ354" i="1"/>
  <c r="AZ348" i="1"/>
  <c r="AZ347" i="1"/>
  <c r="AZ346" i="1"/>
  <c r="AZ345" i="1"/>
  <c r="AZ342" i="1"/>
  <c r="AZ341" i="1"/>
  <c r="AZ340" i="1"/>
  <c r="AZ339" i="1"/>
  <c r="AZ338" i="1"/>
  <c r="AZ337" i="1"/>
  <c r="AZ336" i="1"/>
  <c r="AZ335" i="1"/>
  <c r="AZ333" i="1"/>
  <c r="AZ332" i="1"/>
  <c r="AZ331" i="1"/>
  <c r="AZ330" i="1"/>
  <c r="AZ329" i="1"/>
  <c r="AZ328" i="1"/>
  <c r="AZ327" i="1"/>
  <c r="AZ326" i="1"/>
  <c r="AZ325" i="1"/>
  <c r="AZ324" i="1"/>
  <c r="AZ323" i="1"/>
  <c r="AZ322" i="1"/>
  <c r="AZ318" i="1"/>
  <c r="AZ317" i="1"/>
  <c r="AZ314" i="1"/>
  <c r="AZ312" i="1"/>
  <c r="AZ311" i="1"/>
  <c r="AZ309" i="1"/>
  <c r="AZ308" i="1"/>
  <c r="AZ307" i="1"/>
  <c r="AZ306" i="1"/>
  <c r="AZ300" i="1"/>
  <c r="AZ299" i="1"/>
  <c r="AZ298" i="1"/>
  <c r="AZ297" i="1"/>
  <c r="AZ295" i="1"/>
  <c r="AZ294" i="1"/>
  <c r="AZ293" i="1"/>
  <c r="AZ292" i="1"/>
  <c r="AZ291" i="1"/>
  <c r="AZ290" i="1"/>
  <c r="AZ289" i="1"/>
  <c r="AZ288" i="1"/>
  <c r="AZ287" i="1"/>
  <c r="AZ286" i="1"/>
  <c r="AZ285" i="1"/>
  <c r="AZ284" i="1"/>
  <c r="AZ283" i="1"/>
  <c r="AZ279" i="1"/>
  <c r="AZ278" i="1"/>
  <c r="AZ277" i="1"/>
  <c r="AZ276" i="1"/>
  <c r="AZ275" i="1"/>
  <c r="AZ269" i="1"/>
  <c r="AZ268" i="1"/>
  <c r="AZ267" i="1"/>
  <c r="AZ266" i="1"/>
  <c r="AZ265" i="1"/>
  <c r="AZ264" i="1"/>
  <c r="AZ263" i="1"/>
  <c r="AZ262" i="1"/>
  <c r="AZ261" i="1"/>
  <c r="AZ260" i="1"/>
  <c r="AZ259" i="1"/>
  <c r="AZ258" i="1"/>
  <c r="AZ256" i="1"/>
  <c r="AZ255" i="1"/>
  <c r="AZ254" i="1"/>
  <c r="AZ253" i="1"/>
  <c r="AZ252" i="1"/>
  <c r="AZ248" i="1"/>
  <c r="AZ247" i="1"/>
  <c r="AZ246" i="1"/>
  <c r="AZ245" i="1"/>
  <c r="AZ244" i="1"/>
  <c r="AZ241" i="1"/>
  <c r="AZ240" i="1"/>
  <c r="AZ239" i="1"/>
  <c r="AZ238" i="1"/>
  <c r="AZ236" i="1"/>
  <c r="AZ233" i="1"/>
  <c r="AZ232" i="1"/>
  <c r="AZ229" i="1"/>
  <c r="AZ228" i="1"/>
  <c r="AZ227" i="1"/>
  <c r="AZ226" i="1"/>
  <c r="AZ225" i="1"/>
  <c r="AZ224" i="1"/>
  <c r="AZ223" i="1"/>
  <c r="AZ222" i="1"/>
  <c r="AZ221" i="1"/>
  <c r="AZ220" i="1"/>
  <c r="AZ219" i="1"/>
  <c r="AZ218" i="1"/>
  <c r="AZ217" i="1"/>
  <c r="AZ216" i="1"/>
  <c r="AZ215" i="1"/>
  <c r="AZ214" i="1"/>
  <c r="AZ213" i="1"/>
  <c r="AZ212" i="1"/>
  <c r="AZ211" i="1"/>
  <c r="AZ210" i="1"/>
  <c r="AZ207" i="1"/>
  <c r="AZ206" i="1"/>
  <c r="AZ205" i="1"/>
  <c r="AZ204" i="1"/>
  <c r="AZ203" i="1"/>
  <c r="AZ202" i="1"/>
  <c r="AZ201" i="1"/>
  <c r="AZ200" i="1"/>
  <c r="AZ199" i="1"/>
  <c r="AZ198" i="1"/>
  <c r="AZ197" i="1"/>
  <c r="AZ196" i="1"/>
  <c r="AZ195" i="1"/>
  <c r="AZ194" i="1"/>
  <c r="AZ193" i="1"/>
  <c r="AZ192" i="1"/>
  <c r="AZ191" i="1"/>
  <c r="AZ190" i="1"/>
  <c r="AZ189" i="1"/>
  <c r="AZ188" i="1"/>
  <c r="AZ177" i="1"/>
  <c r="AZ174" i="1"/>
  <c r="AZ173" i="1"/>
  <c r="AZ172" i="1"/>
  <c r="AZ171" i="1"/>
  <c r="AZ167" i="1"/>
  <c r="AZ166" i="1" s="1"/>
  <c r="AZ163" i="1"/>
  <c r="AZ162" i="1" s="1"/>
  <c r="AZ161" i="1" s="1"/>
  <c r="AZ155" i="1"/>
  <c r="AZ154" i="1"/>
  <c r="AZ153" i="1"/>
  <c r="AZ152" i="1"/>
  <c r="AZ151" i="1"/>
  <c r="AZ150" i="1"/>
  <c r="AZ149" i="1"/>
  <c r="AZ148" i="1"/>
  <c r="AZ147" i="1"/>
  <c r="AZ146" i="1"/>
  <c r="AZ145" i="1"/>
  <c r="AZ144" i="1"/>
  <c r="AZ143" i="1"/>
  <c r="AZ142" i="1"/>
  <c r="AZ141" i="1"/>
  <c r="AZ140" i="1"/>
  <c r="AZ139" i="1"/>
  <c r="AZ138" i="1"/>
  <c r="AZ137" i="1"/>
  <c r="AZ136" i="1"/>
  <c r="AZ134" i="1"/>
  <c r="AZ133" i="1"/>
  <c r="AZ132" i="1"/>
  <c r="AZ131" i="1"/>
  <c r="AZ130" i="1"/>
  <c r="AZ127" i="1"/>
  <c r="AZ126" i="1" s="1"/>
  <c r="AZ118" i="1"/>
  <c r="AZ117" i="1"/>
  <c r="AZ115" i="1"/>
  <c r="AZ114" i="1"/>
  <c r="AZ111" i="1"/>
  <c r="AZ100" i="1"/>
  <c r="AZ99" i="1"/>
  <c r="AZ96" i="1"/>
  <c r="AZ95" i="1"/>
  <c r="AZ91" i="1"/>
  <c r="AZ87" i="1"/>
  <c r="AZ86" i="1" s="1"/>
  <c r="AZ84" i="1"/>
  <c r="AZ83" i="1"/>
  <c r="AZ82" i="1"/>
  <c r="AZ79" i="1"/>
  <c r="AZ78" i="1"/>
  <c r="AZ77" i="1"/>
  <c r="AZ76" i="1"/>
  <c r="AZ71" i="1"/>
  <c r="AZ64" i="1"/>
  <c r="AZ61" i="1"/>
  <c r="AZ59" i="1"/>
  <c r="AZ58" i="1"/>
  <c r="AZ56" i="1"/>
  <c r="AZ55" i="1"/>
  <c r="AZ54" i="1"/>
  <c r="AZ52" i="1"/>
  <c r="AZ51" i="1"/>
  <c r="AZ50" i="1"/>
  <c r="AZ49" i="1"/>
  <c r="AZ48" i="1"/>
  <c r="AZ46" i="1"/>
  <c r="AZ42" i="1"/>
  <c r="AZ39" i="1"/>
  <c r="AZ34" i="1"/>
  <c r="AZ33" i="1"/>
  <c r="AZ32" i="1"/>
  <c r="AZ28" i="1"/>
  <c r="AZ27" i="1"/>
  <c r="AZ26" i="1"/>
  <c r="AZ25" i="1"/>
  <c r="AZ24" i="1"/>
  <c r="AZ23" i="1"/>
  <c r="AZ22" i="1"/>
  <c r="AZ18" i="1"/>
  <c r="AZ17" i="1" s="1"/>
  <c r="AZ15" i="1"/>
  <c r="AZ14" i="1"/>
  <c r="AZ13" i="1"/>
  <c r="H220" i="45"/>
  <c r="H219" i="45"/>
  <c r="H218" i="45"/>
  <c r="H217" i="45"/>
  <c r="H216" i="45"/>
  <c r="H215" i="45"/>
  <c r="H214" i="45"/>
  <c r="H213" i="45"/>
  <c r="H212" i="45"/>
  <c r="H211" i="45"/>
  <c r="H210" i="45"/>
  <c r="H209" i="45"/>
  <c r="H208" i="45"/>
  <c r="H207" i="45"/>
  <c r="H206" i="45"/>
  <c r="H205" i="45"/>
  <c r="H204" i="45"/>
  <c r="H203" i="45"/>
  <c r="H202" i="45"/>
  <c r="H201" i="45"/>
  <c r="H200" i="45"/>
  <c r="H199" i="45"/>
  <c r="H198" i="45"/>
  <c r="H197" i="45"/>
  <c r="H196" i="45"/>
  <c r="H195" i="45"/>
  <c r="H194" i="45"/>
  <c r="H193" i="45"/>
  <c r="H192" i="45"/>
  <c r="H191" i="45"/>
  <c r="H190" i="45"/>
  <c r="H189" i="45"/>
  <c r="H188" i="45"/>
  <c r="H187" i="45"/>
  <c r="H186" i="45"/>
  <c r="H185" i="45"/>
  <c r="H184" i="45"/>
  <c r="H183" i="45"/>
  <c r="H182" i="45"/>
  <c r="H181" i="45"/>
  <c r="H180" i="45"/>
  <c r="H179" i="45"/>
  <c r="H178" i="45"/>
  <c r="H177" i="45"/>
  <c r="H176" i="45"/>
  <c r="H175" i="45"/>
  <c r="H174" i="45"/>
  <c r="H173" i="45"/>
  <c r="H172" i="45"/>
  <c r="H171" i="45"/>
  <c r="H170" i="45"/>
  <c r="H169" i="45"/>
  <c r="H168" i="45"/>
  <c r="H167" i="45"/>
  <c r="H166" i="45"/>
  <c r="H165" i="45"/>
  <c r="H164" i="45"/>
  <c r="H163" i="45"/>
  <c r="H162" i="45"/>
  <c r="H161" i="45"/>
  <c r="H160" i="45"/>
  <c r="H159" i="45"/>
  <c r="H158" i="45"/>
  <c r="H157" i="45"/>
  <c r="H156" i="45"/>
  <c r="H155" i="45"/>
  <c r="H154" i="45"/>
  <c r="H153" i="45"/>
  <c r="H152" i="45"/>
  <c r="H151" i="45"/>
  <c r="H150" i="45"/>
  <c r="H149" i="45"/>
  <c r="H148" i="45"/>
  <c r="H147" i="45"/>
  <c r="H146" i="45"/>
  <c r="H145" i="45"/>
  <c r="H144" i="45"/>
  <c r="H143" i="45"/>
  <c r="H142" i="45"/>
  <c r="H141" i="45"/>
  <c r="H140" i="45"/>
  <c r="H139" i="45"/>
  <c r="H138" i="45"/>
  <c r="H137" i="45"/>
  <c r="H136" i="45"/>
  <c r="H135" i="45"/>
  <c r="H134" i="45"/>
  <c r="H133" i="45"/>
  <c r="H132" i="45"/>
  <c r="H131" i="45"/>
  <c r="H130" i="45"/>
  <c r="H129" i="45"/>
  <c r="H128" i="45"/>
  <c r="H127" i="45"/>
  <c r="H126" i="45"/>
  <c r="H125" i="45"/>
  <c r="H124" i="45"/>
  <c r="H123" i="45"/>
  <c r="H122" i="45"/>
  <c r="H121" i="45"/>
  <c r="H120" i="45"/>
  <c r="H119" i="45"/>
  <c r="H118" i="45"/>
  <c r="H117" i="45"/>
  <c r="H116" i="45"/>
  <c r="H115" i="45"/>
  <c r="H114" i="45"/>
  <c r="H113" i="45"/>
  <c r="H112" i="45"/>
  <c r="H111" i="45"/>
  <c r="H110" i="45"/>
  <c r="H109" i="45"/>
  <c r="H108" i="45"/>
  <c r="H107" i="45"/>
  <c r="H106" i="45"/>
  <c r="H105" i="45"/>
  <c r="H104" i="45"/>
  <c r="H103" i="45"/>
  <c r="H102" i="45"/>
  <c r="H101" i="45"/>
  <c r="H100" i="45"/>
  <c r="H99" i="45"/>
  <c r="H98" i="45"/>
  <c r="H97" i="45"/>
  <c r="H96" i="45"/>
  <c r="H95" i="45"/>
  <c r="H94" i="45"/>
  <c r="H93" i="45"/>
  <c r="H92" i="45"/>
  <c r="H91" i="45"/>
  <c r="H90" i="45"/>
  <c r="H89" i="45"/>
  <c r="H88" i="45"/>
  <c r="H87" i="45"/>
  <c r="H86" i="45"/>
  <c r="H85" i="45"/>
  <c r="H84" i="45"/>
  <c r="H83" i="45"/>
  <c r="H82" i="45"/>
  <c r="H81" i="45"/>
  <c r="H80" i="45"/>
  <c r="H79" i="45"/>
  <c r="H78" i="45"/>
  <c r="H77" i="45"/>
  <c r="H76" i="45"/>
  <c r="H75" i="45"/>
  <c r="H74" i="45"/>
  <c r="H73" i="45"/>
  <c r="H72" i="45"/>
  <c r="H71" i="45"/>
  <c r="H70" i="45"/>
  <c r="H69" i="45"/>
  <c r="H68" i="45"/>
  <c r="H67" i="45"/>
  <c r="H66" i="45"/>
  <c r="H65" i="45"/>
  <c r="H64" i="45"/>
  <c r="H63" i="45"/>
  <c r="H62" i="45"/>
  <c r="H61" i="45"/>
  <c r="H60" i="45"/>
  <c r="H59" i="45"/>
  <c r="H58" i="45"/>
  <c r="H57" i="45"/>
  <c r="H56" i="45"/>
  <c r="H55" i="45"/>
  <c r="H54" i="45"/>
  <c r="H53" i="45"/>
  <c r="H52" i="45"/>
  <c r="H51" i="45"/>
  <c r="H50" i="45"/>
  <c r="H49" i="45"/>
  <c r="H48" i="45"/>
  <c r="H47" i="45"/>
  <c r="H46" i="45"/>
  <c r="H45" i="45"/>
  <c r="H44" i="45"/>
  <c r="H43" i="45"/>
  <c r="H42" i="45"/>
  <c r="H41" i="45"/>
  <c r="H40" i="45"/>
  <c r="H39" i="45"/>
  <c r="H38" i="45"/>
  <c r="H37" i="45"/>
  <c r="H36" i="45"/>
  <c r="H35" i="45"/>
  <c r="H34" i="45"/>
  <c r="H33" i="45"/>
  <c r="H32" i="45"/>
  <c r="U31" i="45"/>
  <c r="AZ237" i="1" s="1"/>
  <c r="H31" i="45"/>
  <c r="U30" i="45"/>
  <c r="AZ352" i="1" s="1"/>
  <c r="H30" i="45"/>
  <c r="U29" i="45"/>
  <c r="AZ351" i="1" s="1"/>
  <c r="H29" i="45"/>
  <c r="U28" i="45"/>
  <c r="AZ344" i="1" s="1"/>
  <c r="H28" i="45"/>
  <c r="U27" i="45"/>
  <c r="AZ334" i="1" s="1"/>
  <c r="H27" i="45"/>
  <c r="U26" i="45"/>
  <c r="AZ321" i="1" s="1"/>
  <c r="H26" i="45"/>
  <c r="U25" i="45"/>
  <c r="AZ320" i="1" s="1"/>
  <c r="H25" i="45"/>
  <c r="U24" i="45"/>
  <c r="AZ319" i="1" s="1"/>
  <c r="H24" i="45"/>
  <c r="U23" i="45"/>
  <c r="AZ316" i="1" s="1"/>
  <c r="H23" i="45"/>
  <c r="U22" i="45"/>
  <c r="AZ315" i="1" s="1"/>
  <c r="H22" i="45"/>
  <c r="U21" i="45"/>
  <c r="AZ313" i="1" s="1"/>
  <c r="H21" i="45"/>
  <c r="U20" i="45"/>
  <c r="AZ310" i="1" s="1"/>
  <c r="H20" i="45"/>
  <c r="U19" i="45"/>
  <c r="AZ305" i="1" s="1"/>
  <c r="H19" i="45"/>
  <c r="U18" i="45"/>
  <c r="AZ304" i="1" s="1"/>
  <c r="H18" i="45"/>
  <c r="U17" i="45"/>
  <c r="AZ303" i="1" s="1"/>
  <c r="H17" i="45"/>
  <c r="U16" i="45"/>
  <c r="AZ296" i="1" s="1"/>
  <c r="H16" i="45"/>
  <c r="U15" i="45"/>
  <c r="AZ282" i="1" s="1"/>
  <c r="H15" i="45"/>
  <c r="U14" i="45"/>
  <c r="AZ281" i="1" s="1"/>
  <c r="H14" i="45"/>
  <c r="U13" i="45"/>
  <c r="AZ280" i="1" s="1"/>
  <c r="H13" i="45"/>
  <c r="U12" i="45"/>
  <c r="AZ274" i="1" s="1"/>
  <c r="H12" i="45"/>
  <c r="U11" i="45"/>
  <c r="AZ273" i="1" s="1"/>
  <c r="H11" i="45"/>
  <c r="U10" i="45"/>
  <c r="AZ272" i="1" s="1"/>
  <c r="H10" i="45"/>
  <c r="U9" i="45"/>
  <c r="AZ251" i="1" s="1"/>
  <c r="H9" i="45"/>
  <c r="U8" i="45"/>
  <c r="AZ231" i="1" s="1"/>
  <c r="H8" i="45"/>
  <c r="U7" i="45"/>
  <c r="AZ187" i="1" s="1"/>
  <c r="H7" i="45"/>
  <c r="U6" i="45"/>
  <c r="AZ186" i="1" s="1"/>
  <c r="H6" i="45"/>
  <c r="H5" i="45"/>
  <c r="H4" i="45"/>
  <c r="H3" i="45"/>
  <c r="T9" i="44"/>
  <c r="BH352" i="1" s="1"/>
  <c r="T8" i="44"/>
  <c r="BH335" i="1" s="1"/>
  <c r="T7" i="44"/>
  <c r="BH324" i="1" s="1"/>
  <c r="T6" i="44"/>
  <c r="BH310" i="1" s="1"/>
  <c r="T5" i="44"/>
  <c r="BH236" i="1" s="1"/>
  <c r="T4" i="44"/>
  <c r="T8" i="43"/>
  <c r="BL315" i="1" s="1"/>
  <c r="T7" i="43"/>
  <c r="BL236" i="1" s="1"/>
  <c r="T6" i="43"/>
  <c r="G53" i="42"/>
  <c r="O46" i="42"/>
  <c r="P46" i="42" s="1"/>
  <c r="O45" i="42"/>
  <c r="P45" i="42" s="1"/>
  <c r="R45" i="42" s="1"/>
  <c r="O44" i="42"/>
  <c r="P44" i="42" s="1"/>
  <c r="O43" i="42"/>
  <c r="P43" i="42" s="1"/>
  <c r="O42" i="42"/>
  <c r="P42" i="42" s="1"/>
  <c r="O41" i="42"/>
  <c r="P41" i="42" s="1"/>
  <c r="O40" i="42"/>
  <c r="P40" i="42" s="1"/>
  <c r="O39" i="42"/>
  <c r="P39" i="42" s="1"/>
  <c r="O38" i="42"/>
  <c r="P38" i="42" s="1"/>
  <c r="R38" i="42" s="1"/>
  <c r="O37" i="42"/>
  <c r="P37" i="42" s="1"/>
  <c r="O36" i="42"/>
  <c r="P36" i="42" s="1"/>
  <c r="R36" i="42" s="1"/>
  <c r="BD326" i="1" s="1"/>
  <c r="O35" i="42"/>
  <c r="P35" i="42" s="1"/>
  <c r="R35" i="42" s="1"/>
  <c r="BD335" i="1" s="1"/>
  <c r="O34" i="42"/>
  <c r="P34" i="42" s="1"/>
  <c r="O33" i="42"/>
  <c r="P33" i="42" s="1"/>
  <c r="R33" i="42" s="1"/>
  <c r="O32" i="42"/>
  <c r="P32" i="42" s="1"/>
  <c r="O31" i="42"/>
  <c r="P31" i="42" s="1"/>
  <c r="R31" i="42" s="1"/>
  <c r="O30" i="42"/>
  <c r="P30" i="42" s="1"/>
  <c r="R30" i="42" s="1"/>
  <c r="O29" i="42"/>
  <c r="P29" i="42" s="1"/>
  <c r="O28" i="42"/>
  <c r="P28" i="42" s="1"/>
  <c r="R28" i="42" s="1"/>
  <c r="BD328" i="1" s="1"/>
  <c r="O27" i="42"/>
  <c r="P27" i="42" s="1"/>
  <c r="O26" i="42"/>
  <c r="P26" i="42" s="1"/>
  <c r="R26" i="42" s="1"/>
  <c r="BD307" i="1" s="1"/>
  <c r="O25" i="42"/>
  <c r="P25" i="42" s="1"/>
  <c r="O24" i="42"/>
  <c r="P24" i="42" s="1"/>
  <c r="O23" i="42"/>
  <c r="P23" i="42" s="1"/>
  <c r="R23" i="42" s="1"/>
  <c r="O22" i="42"/>
  <c r="P22" i="42" s="1"/>
  <c r="R22" i="42" s="1"/>
  <c r="O13" i="42"/>
  <c r="P13" i="42" s="1"/>
  <c r="R13" i="42" s="1"/>
  <c r="BD351" i="1" s="1"/>
  <c r="R12" i="42"/>
  <c r="O11" i="42"/>
  <c r="P11" i="42" s="1"/>
  <c r="R11" i="42" s="1"/>
  <c r="BD237" i="1" s="1"/>
  <c r="O10" i="42"/>
  <c r="P10" i="42" s="1"/>
  <c r="O9" i="42"/>
  <c r="P9" i="42" s="1"/>
  <c r="R9" i="42" s="1"/>
  <c r="O8" i="42"/>
  <c r="P8" i="42" s="1"/>
  <c r="R8" i="42" s="1"/>
  <c r="O7" i="42"/>
  <c r="P7" i="42" s="1"/>
  <c r="O6" i="42"/>
  <c r="P6" i="42" s="1"/>
  <c r="O5" i="42"/>
  <c r="P36" i="41"/>
  <c r="P35" i="41"/>
  <c r="P34" i="41"/>
  <c r="P33" i="41"/>
  <c r="P32" i="41"/>
  <c r="P31" i="41"/>
  <c r="P30" i="41"/>
  <c r="P29" i="41"/>
  <c r="P28" i="41"/>
  <c r="BH176" i="1" s="1"/>
  <c r="P27" i="41"/>
  <c r="P26" i="41"/>
  <c r="BH170" i="1" s="1"/>
  <c r="P25" i="41"/>
  <c r="P24" i="41"/>
  <c r="P23" i="41"/>
  <c r="BH60" i="1" s="1"/>
  <c r="P22" i="41"/>
  <c r="BH69" i="1" s="1"/>
  <c r="P21" i="41"/>
  <c r="P20" i="41"/>
  <c r="BH68" i="1" s="1"/>
  <c r="P19" i="41"/>
  <c r="P18" i="41"/>
  <c r="BH70" i="1" s="1"/>
  <c r="P17" i="41"/>
  <c r="P16" i="41"/>
  <c r="BH12" i="1" s="1"/>
  <c r="P15" i="41"/>
  <c r="P30" i="40"/>
  <c r="P29" i="40"/>
  <c r="P28" i="40"/>
  <c r="P27" i="40"/>
  <c r="P26" i="40"/>
  <c r="P25" i="40"/>
  <c r="BL176" i="1" s="1"/>
  <c r="P24" i="40"/>
  <c r="P23" i="40"/>
  <c r="BL170" i="1" s="1"/>
  <c r="P22" i="40"/>
  <c r="P21" i="40"/>
  <c r="P20" i="40"/>
  <c r="BL68" i="1" s="1"/>
  <c r="P19" i="40"/>
  <c r="P18" i="40"/>
  <c r="BL70" i="1" s="1"/>
  <c r="P17" i="40"/>
  <c r="P16" i="40"/>
  <c r="BL12" i="1" s="1"/>
  <c r="P15" i="40"/>
  <c r="J177" i="39"/>
  <c r="L177" i="39" s="1"/>
  <c r="J176" i="39"/>
  <c r="L176" i="39" s="1"/>
  <c r="J175" i="39"/>
  <c r="L175" i="39" s="1"/>
  <c r="G175" i="39"/>
  <c r="J174" i="39"/>
  <c r="J173" i="39"/>
  <c r="L173" i="39" s="1"/>
  <c r="J172" i="39"/>
  <c r="L172" i="39" s="1"/>
  <c r="J171" i="39"/>
  <c r="L171" i="39" s="1"/>
  <c r="J170" i="39"/>
  <c r="J169" i="39"/>
  <c r="L169" i="39" s="1"/>
  <c r="J168" i="39"/>
  <c r="J167" i="39"/>
  <c r="L167" i="39" s="1"/>
  <c r="J166" i="39"/>
  <c r="J165" i="39"/>
  <c r="L165" i="39" s="1"/>
  <c r="J164" i="39"/>
  <c r="L164" i="39" s="1"/>
  <c r="J163" i="39"/>
  <c r="J162" i="39"/>
  <c r="J161" i="39"/>
  <c r="L161" i="39" s="1"/>
  <c r="J160" i="39"/>
  <c r="L160" i="39" s="1"/>
  <c r="J159" i="39"/>
  <c r="L159" i="39" s="1"/>
  <c r="J158" i="39"/>
  <c r="L158" i="39" s="1"/>
  <c r="J157" i="39"/>
  <c r="J156" i="39"/>
  <c r="L156" i="39" s="1"/>
  <c r="J155" i="39"/>
  <c r="L155" i="39" s="1"/>
  <c r="J154" i="39"/>
  <c r="J153" i="39"/>
  <c r="L153" i="39" s="1"/>
  <c r="J152" i="39"/>
  <c r="L152" i="39" s="1"/>
  <c r="J151" i="39"/>
  <c r="J150" i="39"/>
  <c r="J149" i="39"/>
  <c r="L149" i="39" s="1"/>
  <c r="J148" i="39"/>
  <c r="L148" i="39" s="1"/>
  <c r="J147" i="39"/>
  <c r="L147" i="39" s="1"/>
  <c r="J146" i="39"/>
  <c r="L146" i="39" s="1"/>
  <c r="J145" i="39"/>
  <c r="J144" i="39"/>
  <c r="L144" i="39" s="1"/>
  <c r="J143" i="39"/>
  <c r="L143" i="39" s="1"/>
  <c r="J142" i="39"/>
  <c r="J141" i="39"/>
  <c r="L141" i="39" s="1"/>
  <c r="J140" i="39"/>
  <c r="L140" i="39" s="1"/>
  <c r="J139" i="39"/>
  <c r="J138" i="39"/>
  <c r="J137" i="39"/>
  <c r="L137" i="39" s="1"/>
  <c r="J136" i="39"/>
  <c r="L136" i="39" s="1"/>
  <c r="J135" i="39"/>
  <c r="L135" i="39" s="1"/>
  <c r="J134" i="39"/>
  <c r="L134" i="39" s="1"/>
  <c r="J133" i="39"/>
  <c r="J132" i="39"/>
  <c r="L132" i="39" s="1"/>
  <c r="J131" i="39"/>
  <c r="L131" i="39" s="1"/>
  <c r="J130" i="39"/>
  <c r="J129" i="39"/>
  <c r="L129" i="39" s="1"/>
  <c r="J128" i="39"/>
  <c r="L128" i="39" s="1"/>
  <c r="J127" i="39"/>
  <c r="J126" i="39"/>
  <c r="J125" i="39"/>
  <c r="L125" i="39" s="1"/>
  <c r="J124" i="39"/>
  <c r="L124" i="39" s="1"/>
  <c r="J123" i="39"/>
  <c r="L123" i="39" s="1"/>
  <c r="J122" i="39"/>
  <c r="L122" i="39" s="1"/>
  <c r="J121" i="39"/>
  <c r="H118" i="39"/>
  <c r="J118" i="39" s="1"/>
  <c r="J117" i="39"/>
  <c r="J116" i="39"/>
  <c r="L116" i="39" s="1"/>
  <c r="J115" i="39"/>
  <c r="L115" i="39" s="1"/>
  <c r="BD170" i="1" s="1"/>
  <c r="J114" i="39"/>
  <c r="J113" i="39"/>
  <c r="J112" i="39"/>
  <c r="L112" i="39" s="1"/>
  <c r="BD151" i="1" s="1"/>
  <c r="J111" i="39"/>
  <c r="J110" i="39"/>
  <c r="L110" i="39" s="1"/>
  <c r="J109" i="39"/>
  <c r="L109" i="39" s="1"/>
  <c r="I108" i="39"/>
  <c r="J108" i="39" s="1"/>
  <c r="I107" i="39"/>
  <c r="J107" i="39" s="1"/>
  <c r="J106" i="39"/>
  <c r="L106" i="39" s="1"/>
  <c r="J105" i="39"/>
  <c r="J104" i="39"/>
  <c r="L104" i="39" s="1"/>
  <c r="J103" i="39"/>
  <c r="L103" i="39" s="1"/>
  <c r="J102" i="39"/>
  <c r="L102" i="39" s="1"/>
  <c r="BD117" i="1" s="1"/>
  <c r="J101" i="39"/>
  <c r="I100" i="39"/>
  <c r="J100" i="39" s="1"/>
  <c r="L100" i="39" s="1"/>
  <c r="BD114" i="1" s="1"/>
  <c r="J98" i="39"/>
  <c r="L98" i="39" s="1"/>
  <c r="J97" i="39"/>
  <c r="L97" i="39" s="1"/>
  <c r="J96" i="39"/>
  <c r="L96" i="39" s="1"/>
  <c r="BD110" i="1" s="1"/>
  <c r="J95" i="39"/>
  <c r="L95" i="39" s="1"/>
  <c r="J94" i="39"/>
  <c r="L94" i="39" s="1"/>
  <c r="BD159" i="1" s="1"/>
  <c r="J93" i="39"/>
  <c r="L93" i="39" s="1"/>
  <c r="BD158" i="1" s="1"/>
  <c r="J92" i="39"/>
  <c r="L92" i="39" s="1"/>
  <c r="BD157" i="1" s="1"/>
  <c r="J91" i="39"/>
  <c r="L91" i="39" s="1"/>
  <c r="J90" i="39"/>
  <c r="J89" i="39"/>
  <c r="L89" i="39" s="1"/>
  <c r="J88" i="39"/>
  <c r="L88" i="39" s="1"/>
  <c r="BD43" i="1" s="1"/>
  <c r="L87" i="39"/>
  <c r="BD107" i="1" s="1"/>
  <c r="BD106" i="1" s="1"/>
  <c r="J86" i="39"/>
  <c r="L86" i="39" s="1"/>
  <c r="J85" i="39"/>
  <c r="J84" i="39"/>
  <c r="J83" i="39"/>
  <c r="L83" i="39" s="1"/>
  <c r="BD167" i="1" s="1"/>
  <c r="J82" i="39"/>
  <c r="J81" i="39"/>
  <c r="L81" i="39" s="1"/>
  <c r="J80" i="39"/>
  <c r="L80" i="39" s="1"/>
  <c r="BD100" i="1" s="1"/>
  <c r="J79" i="39"/>
  <c r="J78" i="39"/>
  <c r="J77" i="39"/>
  <c r="L77" i="39" s="1"/>
  <c r="J76" i="39"/>
  <c r="J75" i="39"/>
  <c r="L75" i="39" s="1"/>
  <c r="BD68" i="1" s="1"/>
  <c r="J74" i="39"/>
  <c r="L74" i="39" s="1"/>
  <c r="J73" i="39"/>
  <c r="J72" i="39"/>
  <c r="J71" i="39"/>
  <c r="L71" i="39" s="1"/>
  <c r="J70" i="39"/>
  <c r="J69" i="39"/>
  <c r="L69" i="39" s="1"/>
  <c r="BD79" i="1" s="1"/>
  <c r="J68" i="39"/>
  <c r="L68" i="39" s="1"/>
  <c r="J67" i="39"/>
  <c r="J66" i="39"/>
  <c r="J65" i="39"/>
  <c r="L65" i="39" s="1"/>
  <c r="BD78" i="1" s="1"/>
  <c r="J64" i="39"/>
  <c r="J63" i="39"/>
  <c r="L63" i="39" s="1"/>
  <c r="J62" i="39"/>
  <c r="L62" i="39" s="1"/>
  <c r="J61" i="39"/>
  <c r="J60" i="39"/>
  <c r="J59" i="39"/>
  <c r="L59" i="39" s="1"/>
  <c r="J58" i="39"/>
  <c r="J57" i="39"/>
  <c r="L57" i="39" s="1"/>
  <c r="J56" i="39"/>
  <c r="L56" i="39" s="1"/>
  <c r="J55" i="39"/>
  <c r="J54" i="39"/>
  <c r="J53" i="39"/>
  <c r="L53" i="39" s="1"/>
  <c r="BD58" i="1" s="1"/>
  <c r="J52" i="39"/>
  <c r="J51" i="39"/>
  <c r="L51" i="39" s="1"/>
  <c r="J50" i="39"/>
  <c r="L50" i="39" s="1"/>
  <c r="J49" i="39"/>
  <c r="J48" i="39"/>
  <c r="J47" i="39"/>
  <c r="L47" i="39" s="1"/>
  <c r="J46" i="39"/>
  <c r="J45" i="39"/>
  <c r="L45" i="39" s="1"/>
  <c r="J44" i="39"/>
  <c r="L44" i="39" s="1"/>
  <c r="J43" i="39"/>
  <c r="J42" i="39"/>
  <c r="J41" i="39"/>
  <c r="L41" i="39" s="1"/>
  <c r="BD46" i="1" s="1"/>
  <c r="J40" i="39"/>
  <c r="J39" i="39"/>
  <c r="L39" i="39" s="1"/>
  <c r="BD18" i="1" s="1"/>
  <c r="BD17" i="1" s="1"/>
  <c r="J38" i="39"/>
  <c r="L38" i="39" s="1"/>
  <c r="J37" i="39"/>
  <c r="J36" i="39"/>
  <c r="J35" i="39"/>
  <c r="L35" i="39" s="1"/>
  <c r="J34" i="39"/>
  <c r="J33" i="39"/>
  <c r="L33" i="39" s="1"/>
  <c r="J32" i="39"/>
  <c r="L32" i="39" s="1"/>
  <c r="BD24" i="1" s="1"/>
  <c r="J31" i="39"/>
  <c r="J30" i="39"/>
  <c r="J29" i="39"/>
  <c r="L29" i="39" s="1"/>
  <c r="J28" i="39"/>
  <c r="J27" i="39"/>
  <c r="L27" i="39" s="1"/>
  <c r="J26" i="39"/>
  <c r="L26" i="39" s="1"/>
  <c r="BD13" i="1" s="1"/>
  <c r="J25" i="39"/>
  <c r="J24" i="39"/>
  <c r="J23" i="39"/>
  <c r="L23" i="39" s="1"/>
  <c r="J22" i="39"/>
  <c r="J21" i="39"/>
  <c r="L21" i="39" s="1"/>
  <c r="J20" i="39"/>
  <c r="L20" i="39" s="1"/>
  <c r="J19" i="39"/>
  <c r="J18" i="39"/>
  <c r="J17" i="39"/>
  <c r="L17" i="39" s="1"/>
  <c r="J16" i="39"/>
  <c r="J15" i="39"/>
  <c r="L15" i="39" s="1"/>
  <c r="J14" i="39"/>
  <c r="L14" i="39" s="1"/>
  <c r="J13" i="39"/>
  <c r="J12" i="39"/>
  <c r="J11" i="39"/>
  <c r="L11" i="39" s="1"/>
  <c r="J10" i="39"/>
  <c r="J9" i="39"/>
  <c r="L9" i="39" s="1"/>
  <c r="BD12" i="1" s="1"/>
  <c r="J8" i="39"/>
  <c r="L8" i="39" s="1"/>
  <c r="J7" i="39"/>
  <c r="J6" i="39"/>
  <c r="J5" i="39"/>
  <c r="L5" i="39" s="1"/>
  <c r="J4" i="39"/>
  <c r="Q124" i="38"/>
  <c r="Q123" i="38"/>
  <c r="Q122" i="38"/>
  <c r="Q121" i="38"/>
  <c r="Q120" i="38"/>
  <c r="Q119" i="38"/>
  <c r="Q118" i="38"/>
  <c r="Q117" i="38"/>
  <c r="Q116" i="38"/>
  <c r="Q115" i="38"/>
  <c r="Q114" i="38"/>
  <c r="Q113" i="38"/>
  <c r="Q112" i="38"/>
  <c r="Q111" i="38"/>
  <c r="Q110" i="38"/>
  <c r="Q109" i="38"/>
  <c r="Q108" i="38"/>
  <c r="Q107" i="38"/>
  <c r="Q106" i="38"/>
  <c r="Q105" i="38"/>
  <c r="Q104" i="38"/>
  <c r="Q103" i="38"/>
  <c r="Q102" i="38"/>
  <c r="Q101" i="38"/>
  <c r="Q100" i="38"/>
  <c r="Q99" i="38"/>
  <c r="Q98" i="38"/>
  <c r="Q97" i="38"/>
  <c r="Q96" i="38"/>
  <c r="Q95" i="38"/>
  <c r="Q94" i="38"/>
  <c r="Q93" i="38"/>
  <c r="Q92" i="38"/>
  <c r="Q91" i="38"/>
  <c r="Q90" i="38"/>
  <c r="Q89" i="38"/>
  <c r="Q88" i="38"/>
  <c r="Q87" i="38"/>
  <c r="Q86" i="38"/>
  <c r="Q85" i="38"/>
  <c r="Q84" i="38"/>
  <c r="Q83" i="38"/>
  <c r="Q82" i="38"/>
  <c r="AZ176" i="1" s="1"/>
  <c r="Q81" i="38"/>
  <c r="AZ175" i="1" s="1"/>
  <c r="Q80" i="38"/>
  <c r="Q79" i="38"/>
  <c r="AZ170" i="1" s="1"/>
  <c r="Q78" i="38"/>
  <c r="Q77" i="38"/>
  <c r="Q76" i="38"/>
  <c r="Q75" i="38"/>
  <c r="Q74" i="38"/>
  <c r="Q73" i="38"/>
  <c r="Q72" i="38"/>
  <c r="Q71" i="38"/>
  <c r="Q70" i="38"/>
  <c r="Q69" i="38"/>
  <c r="AZ135" i="1" s="1"/>
  <c r="Q68" i="38"/>
  <c r="Q67" i="38"/>
  <c r="AZ159" i="1" s="1"/>
  <c r="Q66" i="38"/>
  <c r="AZ158" i="1" s="1"/>
  <c r="Q65" i="38"/>
  <c r="AZ157" i="1" s="1"/>
  <c r="Q64" i="38"/>
  <c r="AZ156" i="1" s="1"/>
  <c r="Q63" i="38"/>
  <c r="Q62" i="38"/>
  <c r="AZ124" i="1" s="1"/>
  <c r="AZ123" i="1" s="1"/>
  <c r="Q61" i="38"/>
  <c r="Q60" i="38"/>
  <c r="AZ121" i="1" s="1"/>
  <c r="AZ120" i="1" s="1"/>
  <c r="Q59" i="38"/>
  <c r="Q58" i="38"/>
  <c r="AZ112" i="1" s="1"/>
  <c r="Q57" i="38"/>
  <c r="AZ116" i="1" s="1"/>
  <c r="Q56" i="38"/>
  <c r="AZ113" i="1" s="1"/>
  <c r="Q55" i="38"/>
  <c r="Q54" i="38"/>
  <c r="AZ110" i="1" s="1"/>
  <c r="Q53" i="38"/>
  <c r="Q52" i="38"/>
  <c r="Q51" i="38"/>
  <c r="AZ43" i="1" s="1"/>
  <c r="Q50" i="38"/>
  <c r="AZ107" i="1" s="1"/>
  <c r="AZ106" i="1" s="1"/>
  <c r="Q49" i="38"/>
  <c r="Q48" i="38"/>
  <c r="AZ60" i="1" s="1"/>
  <c r="Q47" i="38"/>
  <c r="AZ97" i="1" s="1"/>
  <c r="Q46" i="38"/>
  <c r="AZ69" i="1" s="1"/>
  <c r="Q45" i="38"/>
  <c r="Q44" i="38"/>
  <c r="AZ68" i="1" s="1"/>
  <c r="Q43" i="38"/>
  <c r="Q42" i="38"/>
  <c r="Q41" i="38"/>
  <c r="Q40" i="38"/>
  <c r="Q39" i="38"/>
  <c r="Q38" i="38"/>
  <c r="Q37" i="38"/>
  <c r="Q36" i="38"/>
  <c r="Q35" i="38"/>
  <c r="AZ92" i="1" s="1"/>
  <c r="Q34" i="38"/>
  <c r="Q33" i="38"/>
  <c r="AZ90" i="1" s="1"/>
  <c r="Q32" i="38"/>
  <c r="AZ65" i="1" s="1"/>
  <c r="Q31" i="38"/>
  <c r="Q30" i="38"/>
  <c r="AZ47" i="1" s="1"/>
  <c r="Q29" i="38"/>
  <c r="AZ53" i="1" s="1"/>
  <c r="Q28" i="38"/>
  <c r="AZ57" i="1" s="1"/>
  <c r="Q27" i="38"/>
  <c r="Q26" i="38"/>
  <c r="Q25" i="38"/>
  <c r="AZ70" i="1" s="1"/>
  <c r="Q24" i="38"/>
  <c r="Q23" i="38"/>
  <c r="AZ38" i="1" s="1"/>
  <c r="Q22" i="38"/>
  <c r="AZ35" i="1" s="1"/>
  <c r="Q21" i="38"/>
  <c r="AZ31" i="1" s="1"/>
  <c r="Q20" i="38"/>
  <c r="Q19" i="38"/>
  <c r="Q18" i="38"/>
  <c r="Q17" i="38"/>
  <c r="Q16" i="38"/>
  <c r="AZ11" i="1" s="1"/>
  <c r="Q15" i="38"/>
  <c r="F298" i="18" l="1"/>
  <c r="G298" i="18" s="1"/>
  <c r="G30" i="7"/>
  <c r="BB28" i="1"/>
  <c r="BQ106" i="1"/>
  <c r="BD187" i="1"/>
  <c r="U73" i="6"/>
  <c r="BD333" i="1"/>
  <c r="BF333" i="1" s="1"/>
  <c r="BD255" i="1"/>
  <c r="BF255" i="1" s="1"/>
  <c r="BN192" i="1"/>
  <c r="BN218" i="1"/>
  <c r="BN231" i="1"/>
  <c r="BN198" i="1"/>
  <c r="BN212" i="1"/>
  <c r="BN224" i="1"/>
  <c r="BN320" i="1"/>
  <c r="BN345" i="1"/>
  <c r="BN332" i="1"/>
  <c r="BN255" i="1"/>
  <c r="BN282" i="1"/>
  <c r="BN308" i="1"/>
  <c r="BN262" i="1"/>
  <c r="BN288" i="1"/>
  <c r="BN314" i="1"/>
  <c r="BN338" i="1"/>
  <c r="BN247" i="1"/>
  <c r="BN276" i="1"/>
  <c r="BN300" i="1"/>
  <c r="BN326" i="1"/>
  <c r="BN354" i="1"/>
  <c r="BN268" i="1"/>
  <c r="BN294" i="1"/>
  <c r="BN14" i="1"/>
  <c r="O48" i="42"/>
  <c r="BL350" i="1"/>
  <c r="U65" i="6"/>
  <c r="F428" i="18"/>
  <c r="H428" i="18" s="1"/>
  <c r="F427" i="18"/>
  <c r="U14" i="7"/>
  <c r="BN46" i="1"/>
  <c r="BN58" i="1"/>
  <c r="AC187" i="1"/>
  <c r="AL187" i="1"/>
  <c r="AH187" i="1"/>
  <c r="U441" i="18"/>
  <c r="U449" i="18"/>
  <c r="U439" i="18"/>
  <c r="U447" i="18"/>
  <c r="U455" i="18"/>
  <c r="U436" i="18"/>
  <c r="U444" i="18"/>
  <c r="U452" i="18"/>
  <c r="U442" i="18"/>
  <c r="U450" i="18"/>
  <c r="U437" i="18"/>
  <c r="U445" i="18"/>
  <c r="U453" i="18"/>
  <c r="U440" i="18"/>
  <c r="U448" i="18"/>
  <c r="U456" i="18"/>
  <c r="U435" i="18"/>
  <c r="U443" i="18"/>
  <c r="U451" i="18"/>
  <c r="U438" i="18"/>
  <c r="U446" i="18"/>
  <c r="U454" i="18"/>
  <c r="H207" i="18"/>
  <c r="H209" i="18" s="1"/>
  <c r="G305" i="18"/>
  <c r="I64" i="18"/>
  <c r="H219" i="18"/>
  <c r="H225" i="18"/>
  <c r="I225" i="18" s="1"/>
  <c r="I300" i="18"/>
  <c r="G418" i="18"/>
  <c r="J458" i="18"/>
  <c r="K457" i="18" s="1"/>
  <c r="L458" i="18"/>
  <c r="G602" i="18"/>
  <c r="F807" i="18"/>
  <c r="G219" i="18"/>
  <c r="M441" i="18"/>
  <c r="T441" i="18" s="1"/>
  <c r="M449" i="18"/>
  <c r="T449" i="18" s="1"/>
  <c r="M457" i="18"/>
  <c r="T457" i="18" s="1"/>
  <c r="M436" i="18"/>
  <c r="T436" i="18" s="1"/>
  <c r="M444" i="18"/>
  <c r="T444" i="18" s="1"/>
  <c r="M452" i="18"/>
  <c r="T452" i="18" s="1"/>
  <c r="M439" i="18"/>
  <c r="T439" i="18" s="1"/>
  <c r="M447" i="18"/>
  <c r="T447" i="18" s="1"/>
  <c r="M455" i="18"/>
  <c r="T455" i="18" s="1"/>
  <c r="I307" i="18"/>
  <c r="M442" i="18"/>
  <c r="T442" i="18" s="1"/>
  <c r="M450" i="18"/>
  <c r="T450" i="18" s="1"/>
  <c r="M437" i="18"/>
  <c r="T437" i="18" s="1"/>
  <c r="M445" i="18"/>
  <c r="T445" i="18" s="1"/>
  <c r="M453" i="18"/>
  <c r="T453" i="18" s="1"/>
  <c r="M440" i="18"/>
  <c r="T440" i="18" s="1"/>
  <c r="M448" i="18"/>
  <c r="T448" i="18" s="1"/>
  <c r="M456" i="18"/>
  <c r="T456" i="18" s="1"/>
  <c r="G458" i="18"/>
  <c r="H436" i="18" s="1"/>
  <c r="M435" i="18"/>
  <c r="M443" i="18"/>
  <c r="T443" i="18" s="1"/>
  <c r="M451" i="18"/>
  <c r="T451" i="18" s="1"/>
  <c r="M438" i="18"/>
  <c r="T438" i="18" s="1"/>
  <c r="M446" i="18"/>
  <c r="T446" i="18" s="1"/>
  <c r="M454" i="18"/>
  <c r="T454" i="18" s="1"/>
  <c r="R123" i="6"/>
  <c r="R131" i="6"/>
  <c r="R55" i="6"/>
  <c r="R93" i="6"/>
  <c r="R104" i="6"/>
  <c r="R111" i="6"/>
  <c r="R42" i="6"/>
  <c r="R89" i="6"/>
  <c r="R101" i="6"/>
  <c r="R36" i="6"/>
  <c r="R99" i="6"/>
  <c r="R107" i="6"/>
  <c r="R114" i="6"/>
  <c r="R127" i="6"/>
  <c r="R140" i="6"/>
  <c r="R100" i="6"/>
  <c r="R108" i="6"/>
  <c r="R128" i="6"/>
  <c r="R141" i="6"/>
  <c r="T61" i="6"/>
  <c r="Q61" i="6"/>
  <c r="U9" i="7"/>
  <c r="BN196" i="1"/>
  <c r="BN222" i="1"/>
  <c r="BN197" i="1"/>
  <c r="BN238" i="1"/>
  <c r="BN254" i="1"/>
  <c r="BN267" i="1"/>
  <c r="BN281" i="1"/>
  <c r="R110" i="6"/>
  <c r="R116" i="6"/>
  <c r="R129" i="6"/>
  <c r="V98" i="6"/>
  <c r="V113" i="6"/>
  <c r="V126" i="6"/>
  <c r="V136" i="6"/>
  <c r="V25" i="7"/>
  <c r="R43" i="6"/>
  <c r="BN202" i="1"/>
  <c r="BN216" i="1"/>
  <c r="BN228" i="1"/>
  <c r="BN260" i="1"/>
  <c r="R44" i="6"/>
  <c r="BN11" i="1"/>
  <c r="BN83" i="1"/>
  <c r="BN116" i="1"/>
  <c r="BN217" i="1"/>
  <c r="BN229" i="1"/>
  <c r="BN261" i="1"/>
  <c r="BN275" i="1"/>
  <c r="BN287" i="1"/>
  <c r="BN299" i="1"/>
  <c r="BN352" i="1"/>
  <c r="BN97" i="1"/>
  <c r="BN293" i="1"/>
  <c r="BN307" i="1"/>
  <c r="BN344" i="1"/>
  <c r="R25" i="6"/>
  <c r="R66" i="6"/>
  <c r="U15" i="7"/>
  <c r="BJ113" i="1"/>
  <c r="BN248" i="1"/>
  <c r="BN263" i="1"/>
  <c r="BN303" i="1"/>
  <c r="BN315" i="1"/>
  <c r="BN327" i="1"/>
  <c r="BN339" i="1"/>
  <c r="BN356" i="1"/>
  <c r="R62" i="6"/>
  <c r="BN220" i="1"/>
  <c r="BN233" i="1"/>
  <c r="BN278" i="1"/>
  <c r="BN290" i="1"/>
  <c r="BN304" i="1"/>
  <c r="BN328" i="1"/>
  <c r="U6" i="7"/>
  <c r="U8" i="7" s="1"/>
  <c r="R94" i="6"/>
  <c r="R105" i="6"/>
  <c r="R112" i="6"/>
  <c r="R125" i="6"/>
  <c r="R132" i="6"/>
  <c r="BN176" i="1"/>
  <c r="BN236" i="1"/>
  <c r="BN252" i="1"/>
  <c r="BN265" i="1"/>
  <c r="BN279" i="1"/>
  <c r="BN291" i="1"/>
  <c r="BN305" i="1"/>
  <c r="BN317" i="1"/>
  <c r="BN329" i="1"/>
  <c r="BN341" i="1"/>
  <c r="V7" i="7"/>
  <c r="V8" i="7" s="1"/>
  <c r="V10" i="7" s="1"/>
  <c r="V17" i="7" s="1"/>
  <c r="BN253" i="1"/>
  <c r="BN266" i="1"/>
  <c r="BN280" i="1"/>
  <c r="BN292" i="1"/>
  <c r="BN306" i="1"/>
  <c r="BN318" i="1"/>
  <c r="BN330" i="1"/>
  <c r="BN342" i="1"/>
  <c r="U12" i="7"/>
  <c r="U16" i="7"/>
  <c r="R37" i="6"/>
  <c r="R106" i="6"/>
  <c r="R113" i="6"/>
  <c r="R126" i="6"/>
  <c r="R136" i="6"/>
  <c r="R48" i="6"/>
  <c r="P54" i="6"/>
  <c r="R115" i="6"/>
  <c r="R7" i="7"/>
  <c r="U21" i="7"/>
  <c r="R79" i="6"/>
  <c r="BJ64" i="1"/>
  <c r="BJ25" i="1"/>
  <c r="BJ33" i="1"/>
  <c r="BN54" i="1"/>
  <c r="BN70" i="1"/>
  <c r="BN199" i="1"/>
  <c r="BN240" i="1"/>
  <c r="R26" i="6"/>
  <c r="R45" i="6"/>
  <c r="R25" i="7"/>
  <c r="BN241" i="1"/>
  <c r="BN272" i="1"/>
  <c r="BN284" i="1"/>
  <c r="BN296" i="1"/>
  <c r="BN310" i="1"/>
  <c r="BN322" i="1"/>
  <c r="BN334" i="1"/>
  <c r="BN347" i="1"/>
  <c r="Q41" i="6"/>
  <c r="BJ186" i="1"/>
  <c r="BN215" i="1"/>
  <c r="BN227" i="1"/>
  <c r="BN259" i="1"/>
  <c r="BN323" i="1"/>
  <c r="BN335" i="1"/>
  <c r="R21" i="6"/>
  <c r="R46" i="6"/>
  <c r="Q54" i="6"/>
  <c r="BJ117" i="1"/>
  <c r="BJ69" i="1"/>
  <c r="BN50" i="1"/>
  <c r="BN76" i="1"/>
  <c r="R22" i="6"/>
  <c r="R30" i="6"/>
  <c r="R47" i="6"/>
  <c r="R56" i="6"/>
  <c r="R74" i="6"/>
  <c r="BJ11" i="1"/>
  <c r="BN112" i="1"/>
  <c r="R23" i="6"/>
  <c r="L30" i="7"/>
  <c r="BJ116" i="1"/>
  <c r="R78" i="6"/>
  <c r="R98" i="6"/>
  <c r="V115" i="6"/>
  <c r="V128" i="6"/>
  <c r="V141" i="6"/>
  <c r="V55" i="6"/>
  <c r="V111" i="6"/>
  <c r="V131" i="6"/>
  <c r="U41" i="6"/>
  <c r="U54" i="6"/>
  <c r="V63" i="6"/>
  <c r="V79" i="6"/>
  <c r="U29" i="6"/>
  <c r="U28" i="6" s="1"/>
  <c r="V101" i="6"/>
  <c r="V110" i="6"/>
  <c r="V129" i="6"/>
  <c r="U92" i="6"/>
  <c r="U52" i="6"/>
  <c r="U51" i="6" s="1"/>
  <c r="U20" i="6"/>
  <c r="V78" i="6"/>
  <c r="U122" i="6"/>
  <c r="U121" i="6" s="1"/>
  <c r="U130" i="6"/>
  <c r="V35" i="6"/>
  <c r="V94" i="6"/>
  <c r="V105" i="6"/>
  <c r="V125" i="6"/>
  <c r="V132" i="6"/>
  <c r="U10" i="6"/>
  <c r="U32" i="7"/>
  <c r="U16" i="6"/>
  <c r="V23" i="6"/>
  <c r="V37" i="6"/>
  <c r="V44" i="6"/>
  <c r="U33" i="6"/>
  <c r="V45" i="6"/>
  <c r="V47" i="6"/>
  <c r="V25" i="6"/>
  <c r="T54" i="6"/>
  <c r="V21" i="6"/>
  <c r="V93" i="6"/>
  <c r="V104" i="6"/>
  <c r="V123" i="6"/>
  <c r="U24" i="6"/>
  <c r="U58" i="6"/>
  <c r="U57" i="6" s="1"/>
  <c r="U90" i="6"/>
  <c r="U96" i="6"/>
  <c r="U61" i="6"/>
  <c r="V107" i="6"/>
  <c r="V140" i="6"/>
  <c r="U34" i="6"/>
  <c r="U77" i="6"/>
  <c r="U76" i="6" s="1"/>
  <c r="U14" i="6"/>
  <c r="U19" i="6"/>
  <c r="V106" i="6"/>
  <c r="V112" i="6"/>
  <c r="V99" i="6"/>
  <c r="V26" i="6"/>
  <c r="V36" i="6"/>
  <c r="V46" i="6"/>
  <c r="V56" i="6"/>
  <c r="V89" i="6"/>
  <c r="V100" i="6"/>
  <c r="V108" i="6"/>
  <c r="U11" i="6"/>
  <c r="U95" i="6"/>
  <c r="V22" i="6"/>
  <c r="V30" i="6"/>
  <c r="T41" i="6"/>
  <c r="V48" i="6"/>
  <c r="V71" i="6"/>
  <c r="U109" i="6"/>
  <c r="U103" i="6" s="1"/>
  <c r="U91" i="6"/>
  <c r="V43" i="6"/>
  <c r="V62" i="6"/>
  <c r="V116" i="6"/>
  <c r="V127" i="6"/>
  <c r="V42" i="6"/>
  <c r="R71" i="6"/>
  <c r="R63" i="6"/>
  <c r="P61" i="6"/>
  <c r="P41" i="6"/>
  <c r="R35" i="6"/>
  <c r="U137" i="6"/>
  <c r="U134" i="6"/>
  <c r="BQ350" i="1"/>
  <c r="BJ138" i="1"/>
  <c r="BJ144" i="1"/>
  <c r="BJ150" i="1"/>
  <c r="BB99" i="1"/>
  <c r="BJ53" i="1"/>
  <c r="BJ59" i="1"/>
  <c r="BJ79" i="1"/>
  <c r="BJ91" i="1"/>
  <c r="BJ100" i="1"/>
  <c r="BJ114" i="1"/>
  <c r="BJ134" i="1"/>
  <c r="BJ140" i="1"/>
  <c r="BJ146" i="1"/>
  <c r="BJ152" i="1"/>
  <c r="BJ158" i="1"/>
  <c r="BJ172" i="1"/>
  <c r="BJ15" i="1"/>
  <c r="BJ99" i="1"/>
  <c r="BJ121" i="1"/>
  <c r="BJ120" i="1" s="1"/>
  <c r="BJ133" i="1"/>
  <c r="BJ139" i="1"/>
  <c r="BJ145" i="1"/>
  <c r="BJ151" i="1"/>
  <c r="BJ157" i="1"/>
  <c r="BJ171" i="1"/>
  <c r="BN64" i="1"/>
  <c r="BN65" i="1"/>
  <c r="BJ189" i="1"/>
  <c r="BJ195" i="1"/>
  <c r="BJ201" i="1"/>
  <c r="BJ207" i="1"/>
  <c r="BJ221" i="1"/>
  <c r="BJ236" i="1"/>
  <c r="BJ252" i="1"/>
  <c r="BJ259" i="1"/>
  <c r="BJ265" i="1"/>
  <c r="BJ273" i="1"/>
  <c r="BJ285" i="1"/>
  <c r="BJ297" i="1"/>
  <c r="BJ305" i="1"/>
  <c r="BJ311" i="1"/>
  <c r="BJ317" i="1"/>
  <c r="BJ323" i="1"/>
  <c r="BJ329" i="1"/>
  <c r="BJ335" i="1"/>
  <c r="BJ341" i="1"/>
  <c r="BJ348" i="1"/>
  <c r="BN52" i="1"/>
  <c r="BJ13" i="1"/>
  <c r="BJ24" i="1"/>
  <c r="BJ18" i="1"/>
  <c r="BJ17" i="1" s="1"/>
  <c r="BN163" i="1"/>
  <c r="BN162" i="1" s="1"/>
  <c r="BN161" i="1" s="1"/>
  <c r="BN13" i="1"/>
  <c r="BN25" i="1"/>
  <c r="BN33" i="1"/>
  <c r="BN43" i="1"/>
  <c r="BN51" i="1"/>
  <c r="BN167" i="1"/>
  <c r="BN166" i="1" s="1"/>
  <c r="BN175" i="1"/>
  <c r="BN195" i="1"/>
  <c r="BN221" i="1"/>
  <c r="BJ190" i="1"/>
  <c r="BJ196" i="1"/>
  <c r="BJ202" i="1"/>
  <c r="BJ210" i="1"/>
  <c r="BJ216" i="1"/>
  <c r="BJ222" i="1"/>
  <c r="BJ228" i="1"/>
  <c r="BJ237" i="1"/>
  <c r="BJ245" i="1"/>
  <c r="BJ253" i="1"/>
  <c r="BJ260" i="1"/>
  <c r="BJ266" i="1"/>
  <c r="BJ274" i="1"/>
  <c r="BJ280" i="1"/>
  <c r="BJ286" i="1"/>
  <c r="BJ292" i="1"/>
  <c r="BJ298" i="1"/>
  <c r="BJ306" i="1"/>
  <c r="BJ312" i="1"/>
  <c r="BJ318" i="1"/>
  <c r="BJ324" i="1"/>
  <c r="BJ330" i="1"/>
  <c r="BJ336" i="1"/>
  <c r="BJ342" i="1"/>
  <c r="BJ351" i="1"/>
  <c r="BN113" i="1"/>
  <c r="BJ14" i="1"/>
  <c r="BJ43" i="1"/>
  <c r="BJ51" i="1"/>
  <c r="BJ57" i="1"/>
  <c r="BJ65" i="1"/>
  <c r="BJ77" i="1"/>
  <c r="BJ87" i="1"/>
  <c r="BJ86" i="1" s="1"/>
  <c r="BJ97" i="1"/>
  <c r="BJ112" i="1"/>
  <c r="BJ118" i="1"/>
  <c r="BJ132" i="1"/>
  <c r="BN53" i="1"/>
  <c r="BN177" i="1"/>
  <c r="BN114" i="1"/>
  <c r="BN82" i="1"/>
  <c r="BN92" i="1"/>
  <c r="BN107" i="1"/>
  <c r="BN106" i="1" s="1"/>
  <c r="BN115" i="1"/>
  <c r="BN173" i="1"/>
  <c r="BN174" i="1"/>
  <c r="BJ177" i="1"/>
  <c r="BJ191" i="1"/>
  <c r="BJ197" i="1"/>
  <c r="BJ203" i="1"/>
  <c r="BJ217" i="1"/>
  <c r="BJ229" i="1"/>
  <c r="BJ246" i="1"/>
  <c r="BJ254" i="1"/>
  <c r="BJ261" i="1"/>
  <c r="BJ267" i="1"/>
  <c r="BJ275" i="1"/>
  <c r="BJ281" i="1"/>
  <c r="BJ293" i="1"/>
  <c r="BJ307" i="1"/>
  <c r="BJ313" i="1"/>
  <c r="BJ319" i="1"/>
  <c r="BJ325" i="1"/>
  <c r="BJ331" i="1"/>
  <c r="BJ337" i="1"/>
  <c r="BJ344" i="1"/>
  <c r="BN68" i="1"/>
  <c r="BN187" i="1"/>
  <c r="BN213" i="1"/>
  <c r="BN225" i="1"/>
  <c r="BN256" i="1"/>
  <c r="BN283" i="1"/>
  <c r="BJ308" i="1"/>
  <c r="BJ314" i="1"/>
  <c r="BJ320" i="1"/>
  <c r="BJ326" i="1"/>
  <c r="BJ332" i="1"/>
  <c r="BJ338" i="1"/>
  <c r="BJ345" i="1"/>
  <c r="BJ354" i="1"/>
  <c r="BN59" i="1"/>
  <c r="BN69" i="1"/>
  <c r="BN201" i="1"/>
  <c r="BN285" i="1"/>
  <c r="BN348" i="1"/>
  <c r="BN190" i="1"/>
  <c r="BN245" i="1"/>
  <c r="BN286" i="1"/>
  <c r="BN298" i="1"/>
  <c r="BN312" i="1"/>
  <c r="BN324" i="1"/>
  <c r="BN336" i="1"/>
  <c r="BN351" i="1"/>
  <c r="BJ232" i="1"/>
  <c r="BJ240" i="1"/>
  <c r="BJ256" i="1"/>
  <c r="BJ263" i="1"/>
  <c r="BJ269" i="1"/>
  <c r="BJ277" i="1"/>
  <c r="BJ289" i="1"/>
  <c r="BJ303" i="1"/>
  <c r="BJ309" i="1"/>
  <c r="BJ315" i="1"/>
  <c r="BJ321" i="1"/>
  <c r="BJ327" i="1"/>
  <c r="BJ333" i="1"/>
  <c r="BJ339" i="1"/>
  <c r="BJ346" i="1"/>
  <c r="BJ356" i="1"/>
  <c r="BN60" i="1"/>
  <c r="BM350" i="1"/>
  <c r="BN203" i="1"/>
  <c r="BN171" i="1"/>
  <c r="BN204" i="1"/>
  <c r="BJ188" i="1"/>
  <c r="BJ194" i="1"/>
  <c r="BN42" i="1"/>
  <c r="BN55" i="1"/>
  <c r="BN61" i="1"/>
  <c r="BN71" i="1"/>
  <c r="BM81" i="1"/>
  <c r="BM75" i="1" s="1"/>
  <c r="BN193" i="1"/>
  <c r="BN232" i="1"/>
  <c r="BN277" i="1"/>
  <c r="BJ12" i="1"/>
  <c r="BJ23" i="1"/>
  <c r="BN172" i="1"/>
  <c r="BI81" i="1"/>
  <c r="BI75" i="1" s="1"/>
  <c r="BN269" i="1"/>
  <c r="BN295" i="1"/>
  <c r="BF92" i="1"/>
  <c r="BJ31" i="1"/>
  <c r="BJ39" i="1"/>
  <c r="BJ49" i="1"/>
  <c r="BJ55" i="1"/>
  <c r="BJ61" i="1"/>
  <c r="BJ71" i="1"/>
  <c r="BJ83" i="1"/>
  <c r="BJ95" i="1"/>
  <c r="BJ110" i="1"/>
  <c r="BJ130" i="1"/>
  <c r="BJ136" i="1"/>
  <c r="BJ142" i="1"/>
  <c r="BJ148" i="1"/>
  <c r="BJ154" i="1"/>
  <c r="BJ163" i="1"/>
  <c r="BJ162" i="1" s="1"/>
  <c r="BJ161" i="1" s="1"/>
  <c r="BJ174" i="1"/>
  <c r="BN31" i="1"/>
  <c r="BN48" i="1"/>
  <c r="BN78" i="1"/>
  <c r="BN90" i="1"/>
  <c r="BN99" i="1"/>
  <c r="BN118" i="1"/>
  <c r="BN138" i="1"/>
  <c r="BN144" i="1"/>
  <c r="BN150" i="1"/>
  <c r="BN156" i="1"/>
  <c r="BN210" i="1"/>
  <c r="BN189" i="1"/>
  <c r="BN244" i="1"/>
  <c r="BN297" i="1"/>
  <c r="BN311" i="1"/>
  <c r="BJ32" i="1"/>
  <c r="BJ42" i="1"/>
  <c r="BJ50" i="1"/>
  <c r="BJ56" i="1"/>
  <c r="BJ84" i="1"/>
  <c r="BJ96" i="1"/>
  <c r="BJ131" i="1"/>
  <c r="BJ137" i="1"/>
  <c r="BJ143" i="1"/>
  <c r="BJ149" i="1"/>
  <c r="BJ155" i="1"/>
  <c r="BJ167" i="1"/>
  <c r="BJ166" i="1" s="1"/>
  <c r="BJ175" i="1"/>
  <c r="BN24" i="1"/>
  <c r="BN32" i="1"/>
  <c r="BN39" i="1"/>
  <c r="BN49" i="1"/>
  <c r="BN79" i="1"/>
  <c r="BN91" i="1"/>
  <c r="BN100" i="1"/>
  <c r="BN121" i="1"/>
  <c r="BN120" i="1" s="1"/>
  <c r="BN133" i="1"/>
  <c r="BN139" i="1"/>
  <c r="BN145" i="1"/>
  <c r="BN151" i="1"/>
  <c r="BN157" i="1"/>
  <c r="BN274" i="1"/>
  <c r="BN191" i="1"/>
  <c r="BN205" i="1"/>
  <c r="BN219" i="1"/>
  <c r="BN289" i="1"/>
  <c r="BJ26" i="1"/>
  <c r="BJ34" i="1"/>
  <c r="BJ46" i="1"/>
  <c r="BJ52" i="1"/>
  <c r="BJ58" i="1"/>
  <c r="BJ78" i="1"/>
  <c r="BI350" i="1"/>
  <c r="BN26" i="1"/>
  <c r="BN34" i="1"/>
  <c r="BN56" i="1"/>
  <c r="BN95" i="1"/>
  <c r="BN110" i="1"/>
  <c r="BB254" i="1"/>
  <c r="BB267" i="1"/>
  <c r="BJ192" i="1"/>
  <c r="BJ198" i="1"/>
  <c r="BJ204" i="1"/>
  <c r="BJ212" i="1"/>
  <c r="BJ218" i="1"/>
  <c r="BJ224" i="1"/>
  <c r="BJ231" i="1"/>
  <c r="BJ239" i="1"/>
  <c r="BJ247" i="1"/>
  <c r="BJ255" i="1"/>
  <c r="BJ262" i="1"/>
  <c r="BJ268" i="1"/>
  <c r="BJ276" i="1"/>
  <c r="BJ282" i="1"/>
  <c r="BJ288" i="1"/>
  <c r="BJ294" i="1"/>
  <c r="BJ300" i="1"/>
  <c r="BN207" i="1"/>
  <c r="BB292" i="1"/>
  <c r="BJ27" i="1"/>
  <c r="BJ35" i="1"/>
  <c r="BJ47" i="1"/>
  <c r="BN15" i="1"/>
  <c r="BN27" i="1"/>
  <c r="BN35" i="1"/>
  <c r="BN57" i="1"/>
  <c r="BN84" i="1"/>
  <c r="BN96" i="1"/>
  <c r="BN111" i="1"/>
  <c r="BN130" i="1"/>
  <c r="BN136" i="1"/>
  <c r="BN142" i="1"/>
  <c r="BN148" i="1"/>
  <c r="BN154" i="1"/>
  <c r="BJ22" i="1"/>
  <c r="BJ187" i="1"/>
  <c r="BJ193" i="1"/>
  <c r="BJ199" i="1"/>
  <c r="BJ205" i="1"/>
  <c r="BJ213" i="1"/>
  <c r="BJ225" i="1"/>
  <c r="BN211" i="1"/>
  <c r="BN223" i="1"/>
  <c r="BN319" i="1"/>
  <c r="BN331" i="1"/>
  <c r="BJ28" i="1"/>
  <c r="BJ38" i="1"/>
  <c r="BJ48" i="1"/>
  <c r="BJ54" i="1"/>
  <c r="BJ60" i="1"/>
  <c r="BJ70" i="1"/>
  <c r="BJ82" i="1"/>
  <c r="BJ92" i="1"/>
  <c r="BJ107" i="1"/>
  <c r="BJ106" i="1" s="1"/>
  <c r="BJ115" i="1"/>
  <c r="BJ127" i="1"/>
  <c r="BJ126" i="1" s="1"/>
  <c r="BJ135" i="1"/>
  <c r="BJ141" i="1"/>
  <c r="BJ147" i="1"/>
  <c r="BJ153" i="1"/>
  <c r="BJ159" i="1"/>
  <c r="BJ173" i="1"/>
  <c r="BJ200" i="1"/>
  <c r="BJ206" i="1"/>
  <c r="BJ214" i="1"/>
  <c r="BJ220" i="1"/>
  <c r="BJ226" i="1"/>
  <c r="BJ233" i="1"/>
  <c r="BJ241" i="1"/>
  <c r="BJ251" i="1"/>
  <c r="BJ258" i="1"/>
  <c r="BJ264" i="1"/>
  <c r="BJ272" i="1"/>
  <c r="BJ278" i="1"/>
  <c r="BJ284" i="1"/>
  <c r="BJ290" i="1"/>
  <c r="BJ296" i="1"/>
  <c r="BJ304" i="1"/>
  <c r="BJ310" i="1"/>
  <c r="BJ316" i="1"/>
  <c r="BJ322" i="1"/>
  <c r="BJ328" i="1"/>
  <c r="BJ334" i="1"/>
  <c r="BJ340" i="1"/>
  <c r="BJ347" i="1"/>
  <c r="BN18" i="1"/>
  <c r="BN17" i="1" s="1"/>
  <c r="BN28" i="1"/>
  <c r="BN38" i="1"/>
  <c r="BN47" i="1"/>
  <c r="BN77" i="1"/>
  <c r="BN87" i="1"/>
  <c r="BN86" i="1" s="1"/>
  <c r="BN117" i="1"/>
  <c r="BN131" i="1"/>
  <c r="BN137" i="1"/>
  <c r="BN143" i="1"/>
  <c r="BN149" i="1"/>
  <c r="BN155" i="1"/>
  <c r="BN188" i="1"/>
  <c r="BN200" i="1"/>
  <c r="BN214" i="1"/>
  <c r="BN226" i="1"/>
  <c r="BN258" i="1"/>
  <c r="BN124" i="1"/>
  <c r="BN123" i="1" s="1"/>
  <c r="BN134" i="1"/>
  <c r="BN140" i="1"/>
  <c r="BN146" i="1"/>
  <c r="BN152" i="1"/>
  <c r="BN158" i="1"/>
  <c r="BN194" i="1"/>
  <c r="BN206" i="1"/>
  <c r="BN264" i="1"/>
  <c r="BN316" i="1"/>
  <c r="BN340" i="1"/>
  <c r="BN127" i="1"/>
  <c r="BN126" i="1" s="1"/>
  <c r="BN135" i="1"/>
  <c r="BN141" i="1"/>
  <c r="BN147" i="1"/>
  <c r="BN153" i="1"/>
  <c r="BN159" i="1"/>
  <c r="BN186" i="1"/>
  <c r="BN239" i="1"/>
  <c r="BQ166" i="1"/>
  <c r="BQ86" i="1"/>
  <c r="BQ81" i="1" s="1"/>
  <c r="BQ75" i="1" s="1"/>
  <c r="BN313" i="1"/>
  <c r="BN321" i="1"/>
  <c r="BN337" i="1"/>
  <c r="BN346" i="1"/>
  <c r="BN309" i="1"/>
  <c r="BN325" i="1"/>
  <c r="BN333" i="1"/>
  <c r="BN246" i="1"/>
  <c r="BN237" i="1"/>
  <c r="BN273" i="1"/>
  <c r="BN251" i="1"/>
  <c r="BH350" i="1"/>
  <c r="BJ219" i="1"/>
  <c r="BJ215" i="1"/>
  <c r="BJ227" i="1"/>
  <c r="BJ211" i="1"/>
  <c r="BJ223" i="1"/>
  <c r="BJ244" i="1"/>
  <c r="BJ283" i="1"/>
  <c r="BJ295" i="1"/>
  <c r="BJ238" i="1"/>
  <c r="BJ279" i="1"/>
  <c r="BJ291" i="1"/>
  <c r="BJ248" i="1"/>
  <c r="BJ287" i="1"/>
  <c r="BJ299" i="1"/>
  <c r="BN170" i="1"/>
  <c r="BN132" i="1"/>
  <c r="BL126" i="1"/>
  <c r="BL123" i="1"/>
  <c r="BL120" i="1"/>
  <c r="BL106" i="1"/>
  <c r="BL86" i="1"/>
  <c r="BL81" i="1" s="1"/>
  <c r="BL75" i="1" s="1"/>
  <c r="BN23" i="1"/>
  <c r="BL17" i="1"/>
  <c r="BN12" i="1"/>
  <c r="BJ352" i="1"/>
  <c r="BJ170" i="1"/>
  <c r="BH166" i="1"/>
  <c r="BH162" i="1"/>
  <c r="BH161" i="1" s="1"/>
  <c r="BJ156" i="1"/>
  <c r="BJ124" i="1"/>
  <c r="BJ123" i="1" s="1"/>
  <c r="BH120" i="1"/>
  <c r="BJ111" i="1"/>
  <c r="BH106" i="1"/>
  <c r="BJ90" i="1"/>
  <c r="BH86" i="1"/>
  <c r="BH81" i="1" s="1"/>
  <c r="BH75" i="1" s="1"/>
  <c r="BJ76" i="1"/>
  <c r="BJ68" i="1"/>
  <c r="BH17" i="1"/>
  <c r="AL296" i="1"/>
  <c r="BF186" i="1"/>
  <c r="AH296" i="1"/>
  <c r="BF159" i="1"/>
  <c r="BF193" i="1"/>
  <c r="BF199" i="1"/>
  <c r="BF205" i="1"/>
  <c r="BF263" i="1"/>
  <c r="BF163" i="1"/>
  <c r="BF162" i="1" s="1"/>
  <c r="BF161" i="1" s="1"/>
  <c r="BF83" i="1"/>
  <c r="BF189" i="1"/>
  <c r="BF201" i="1"/>
  <c r="BF207" i="1"/>
  <c r="BF259" i="1"/>
  <c r="BF351" i="1"/>
  <c r="BF197" i="1"/>
  <c r="BF203" i="1"/>
  <c r="BF34" i="1"/>
  <c r="BB246" i="1"/>
  <c r="BF39" i="1"/>
  <c r="BF115" i="1"/>
  <c r="BF127" i="1"/>
  <c r="BF126" i="1" s="1"/>
  <c r="BF135" i="1"/>
  <c r="BF141" i="1"/>
  <c r="BF147" i="1"/>
  <c r="BF153" i="1"/>
  <c r="BB296" i="1"/>
  <c r="BF42" i="1"/>
  <c r="BF174" i="1"/>
  <c r="BF43" i="1"/>
  <c r="BF95" i="1"/>
  <c r="BF110" i="1"/>
  <c r="BF130" i="1"/>
  <c r="BF136" i="1"/>
  <c r="BF142" i="1"/>
  <c r="BF148" i="1"/>
  <c r="BF154" i="1"/>
  <c r="BF26" i="1"/>
  <c r="BF27" i="1"/>
  <c r="BF267" i="1"/>
  <c r="BF52" i="1"/>
  <c r="BF69" i="1"/>
  <c r="BF79" i="1"/>
  <c r="BF91" i="1"/>
  <c r="BF100" i="1"/>
  <c r="BF114" i="1"/>
  <c r="BF124" i="1"/>
  <c r="BF123" i="1" s="1"/>
  <c r="BF134" i="1"/>
  <c r="BF140" i="1"/>
  <c r="BF146" i="1"/>
  <c r="BF152" i="1"/>
  <c r="BF158" i="1"/>
  <c r="BF172" i="1"/>
  <c r="BB13" i="1"/>
  <c r="BF48" i="1"/>
  <c r="BF156" i="1"/>
  <c r="BB96" i="1"/>
  <c r="BF132" i="1"/>
  <c r="BF138" i="1"/>
  <c r="BF144" i="1"/>
  <c r="BF150" i="1"/>
  <c r="BF339" i="1"/>
  <c r="BB261" i="1"/>
  <c r="BF344" i="1"/>
  <c r="BF28" i="1"/>
  <c r="BB116" i="1"/>
  <c r="BA350" i="1"/>
  <c r="BF342" i="1"/>
  <c r="BF317" i="1"/>
  <c r="BF335" i="1"/>
  <c r="BF341" i="1"/>
  <c r="BF190" i="1"/>
  <c r="BF196" i="1"/>
  <c r="BF87" i="1"/>
  <c r="BF86" i="1" s="1"/>
  <c r="BF97" i="1"/>
  <c r="BF112" i="1"/>
  <c r="BF118" i="1"/>
  <c r="BF204" i="1"/>
  <c r="BF206" i="1"/>
  <c r="BB25" i="1"/>
  <c r="BF216" i="1"/>
  <c r="BF222" i="1"/>
  <c r="BF228" i="1"/>
  <c r="BF237" i="1"/>
  <c r="BF245" i="1"/>
  <c r="BF253" i="1"/>
  <c r="BF260" i="1"/>
  <c r="BF266" i="1"/>
  <c r="BF274" i="1"/>
  <c r="BF280" i="1"/>
  <c r="BF286" i="1"/>
  <c r="BF292" i="1"/>
  <c r="BF298" i="1"/>
  <c r="BF312" i="1"/>
  <c r="BF324" i="1"/>
  <c r="BF330" i="1"/>
  <c r="BF336" i="1"/>
  <c r="BB187" i="1"/>
  <c r="BF192" i="1"/>
  <c r="BF198" i="1"/>
  <c r="BF337" i="1"/>
  <c r="BE75" i="1"/>
  <c r="BF338" i="1"/>
  <c r="BE81" i="1"/>
  <c r="BF188" i="1"/>
  <c r="BF194" i="1"/>
  <c r="BF195" i="1"/>
  <c r="BF111" i="1"/>
  <c r="BF117" i="1"/>
  <c r="BF131" i="1"/>
  <c r="BF137" i="1"/>
  <c r="BF143" i="1"/>
  <c r="BF149" i="1"/>
  <c r="BF155" i="1"/>
  <c r="BF167" i="1"/>
  <c r="BF166" i="1" s="1"/>
  <c r="BB14" i="1"/>
  <c r="BF211" i="1"/>
  <c r="BF217" i="1"/>
  <c r="BF223" i="1"/>
  <c r="BF229" i="1"/>
  <c r="BF246" i="1"/>
  <c r="BF261" i="1"/>
  <c r="BF275" i="1"/>
  <c r="BF281" i="1"/>
  <c r="BF287" i="1"/>
  <c r="BF293" i="1"/>
  <c r="BF299" i="1"/>
  <c r="BF307" i="1"/>
  <c r="BF325" i="1"/>
  <c r="BF331" i="1"/>
  <c r="BF71" i="1"/>
  <c r="BF212" i="1"/>
  <c r="BF218" i="1"/>
  <c r="BF224" i="1"/>
  <c r="BF231" i="1"/>
  <c r="BF247" i="1"/>
  <c r="BF262" i="1"/>
  <c r="BF268" i="1"/>
  <c r="BF276" i="1"/>
  <c r="BF282" i="1"/>
  <c r="BF288" i="1"/>
  <c r="BF294" i="1"/>
  <c r="BF300" i="1"/>
  <c r="BF314" i="1"/>
  <c r="BF320" i="1"/>
  <c r="BF326" i="1"/>
  <c r="BF332" i="1"/>
  <c r="BF354" i="1"/>
  <c r="BF54" i="1"/>
  <c r="BF200" i="1"/>
  <c r="BF213" i="1"/>
  <c r="BF219" i="1"/>
  <c r="BF225" i="1"/>
  <c r="BF232" i="1"/>
  <c r="BF248" i="1"/>
  <c r="BF256" i="1"/>
  <c r="BF269" i="1"/>
  <c r="BF277" i="1"/>
  <c r="BF283" i="1"/>
  <c r="BF289" i="1"/>
  <c r="BF295" i="1"/>
  <c r="BF303" i="1"/>
  <c r="BF309" i="1"/>
  <c r="BF315" i="1"/>
  <c r="BF321" i="1"/>
  <c r="BF327" i="1"/>
  <c r="BF356" i="1"/>
  <c r="BF214" i="1"/>
  <c r="BF220" i="1"/>
  <c r="BF226" i="1"/>
  <c r="BF233" i="1"/>
  <c r="BF241" i="1"/>
  <c r="BF251" i="1"/>
  <c r="BF258" i="1"/>
  <c r="BF264" i="1"/>
  <c r="BF272" i="1"/>
  <c r="BF278" i="1"/>
  <c r="BF284" i="1"/>
  <c r="BF290" i="1"/>
  <c r="BF296" i="1"/>
  <c r="BF304" i="1"/>
  <c r="BF316" i="1"/>
  <c r="BF328" i="1"/>
  <c r="BF334" i="1"/>
  <c r="BF340" i="1"/>
  <c r="BF347" i="1"/>
  <c r="BB11" i="1"/>
  <c r="BF78" i="1"/>
  <c r="BF177" i="1"/>
  <c r="BF202" i="1"/>
  <c r="BF215" i="1"/>
  <c r="BF221" i="1"/>
  <c r="BF227" i="1"/>
  <c r="BF244" i="1"/>
  <c r="BF252" i="1"/>
  <c r="BF265" i="1"/>
  <c r="BF273" i="1"/>
  <c r="BF279" i="1"/>
  <c r="BF285" i="1"/>
  <c r="BF291" i="1"/>
  <c r="BF297" i="1"/>
  <c r="BF305" i="1"/>
  <c r="BB12" i="1"/>
  <c r="BB110" i="1"/>
  <c r="BF90" i="1"/>
  <c r="BF99" i="1"/>
  <c r="BF113" i="1"/>
  <c r="BF133" i="1"/>
  <c r="BF139" i="1"/>
  <c r="BF145" i="1"/>
  <c r="BF151" i="1"/>
  <c r="BF157" i="1"/>
  <c r="BF171" i="1"/>
  <c r="BF191" i="1"/>
  <c r="BF348" i="1"/>
  <c r="BE350" i="1"/>
  <c r="BF254" i="1"/>
  <c r="BF239" i="1"/>
  <c r="BF210" i="1"/>
  <c r="BF18" i="1"/>
  <c r="BF17" i="1" s="1"/>
  <c r="BF32" i="1"/>
  <c r="BF33" i="1"/>
  <c r="BF49" i="1"/>
  <c r="BF22" i="1"/>
  <c r="BF50" i="1"/>
  <c r="BF23" i="1"/>
  <c r="BF51" i="1"/>
  <c r="BF24" i="1"/>
  <c r="BF35" i="1"/>
  <c r="BF25" i="1"/>
  <c r="BF38" i="1"/>
  <c r="BF65" i="1"/>
  <c r="BF12" i="1"/>
  <c r="BF13" i="1"/>
  <c r="BF15" i="1"/>
  <c r="BF47" i="1"/>
  <c r="BF57" i="1"/>
  <c r="BF55" i="1"/>
  <c r="BF14" i="1"/>
  <c r="BF56" i="1"/>
  <c r="BF31" i="1"/>
  <c r="BF58" i="1"/>
  <c r="BF170" i="1"/>
  <c r="BD166" i="1"/>
  <c r="BD162" i="1"/>
  <c r="BD161" i="1" s="1"/>
  <c r="BD126" i="1"/>
  <c r="BD123" i="1"/>
  <c r="BF107" i="1"/>
  <c r="BF106" i="1" s="1"/>
  <c r="BF76" i="1"/>
  <c r="BF68" i="1"/>
  <c r="BF64" i="1"/>
  <c r="BF46" i="1"/>
  <c r="BB53" i="1"/>
  <c r="BB69" i="1"/>
  <c r="BB91" i="1"/>
  <c r="BB54" i="1"/>
  <c r="BB70" i="1"/>
  <c r="BB348" i="1"/>
  <c r="BB23" i="1"/>
  <c r="BB312" i="1"/>
  <c r="BB324" i="1"/>
  <c r="BB336" i="1"/>
  <c r="BB24" i="1"/>
  <c r="BB299" i="1"/>
  <c r="BB313" i="1"/>
  <c r="BB325" i="1"/>
  <c r="BB337" i="1"/>
  <c r="BB275" i="1"/>
  <c r="BB287" i="1"/>
  <c r="BB262" i="1"/>
  <c r="BB276" i="1"/>
  <c r="BB288" i="1"/>
  <c r="BB263" i="1"/>
  <c r="BB127" i="1"/>
  <c r="BB126" i="1" s="1"/>
  <c r="BB141" i="1"/>
  <c r="BB153" i="1"/>
  <c r="BB173" i="1"/>
  <c r="BB195" i="1"/>
  <c r="BB207" i="1"/>
  <c r="BB221" i="1"/>
  <c r="BB252" i="1"/>
  <c r="BB142" i="1"/>
  <c r="BB154" i="1"/>
  <c r="BB174" i="1"/>
  <c r="BB15" i="1"/>
  <c r="BB346" i="1"/>
  <c r="BB111" i="1"/>
  <c r="BB47" i="1"/>
  <c r="BB59" i="1"/>
  <c r="BB78" i="1"/>
  <c r="BB97" i="1"/>
  <c r="BB135" i="1"/>
  <c r="BB147" i="1"/>
  <c r="BB159" i="1"/>
  <c r="BB189" i="1"/>
  <c r="BB201" i="1"/>
  <c r="BB215" i="1"/>
  <c r="BB227" i="1"/>
  <c r="BB244" i="1"/>
  <c r="BB256" i="1"/>
  <c r="BB281" i="1"/>
  <c r="BB306" i="1"/>
  <c r="BB318" i="1"/>
  <c r="BB330" i="1"/>
  <c r="BB342" i="1"/>
  <c r="BB48" i="1"/>
  <c r="BB60" i="1"/>
  <c r="BB79" i="1"/>
  <c r="BB136" i="1"/>
  <c r="BB148" i="1"/>
  <c r="BB163" i="1"/>
  <c r="BB162" i="1" s="1"/>
  <c r="BB161" i="1" s="1"/>
  <c r="BB190" i="1"/>
  <c r="BB202" i="1"/>
  <c r="BB216" i="1"/>
  <c r="BB228" i="1"/>
  <c r="BB245" i="1"/>
  <c r="BB258" i="1"/>
  <c r="BB268" i="1"/>
  <c r="BB282" i="1"/>
  <c r="BB293" i="1"/>
  <c r="BB307" i="1"/>
  <c r="BB319" i="1"/>
  <c r="BB331" i="1"/>
  <c r="BB344" i="1"/>
  <c r="BB32" i="1"/>
  <c r="BB49" i="1"/>
  <c r="BB61" i="1"/>
  <c r="BB82" i="1"/>
  <c r="BB117" i="1"/>
  <c r="BB137" i="1"/>
  <c r="BB149" i="1"/>
  <c r="BB191" i="1"/>
  <c r="BB203" i="1"/>
  <c r="BB217" i="1"/>
  <c r="BB229" i="1"/>
  <c r="BB259" i="1"/>
  <c r="BB269" i="1"/>
  <c r="BB283" i="1"/>
  <c r="BB294" i="1"/>
  <c r="BB308" i="1"/>
  <c r="BB320" i="1"/>
  <c r="BB332" i="1"/>
  <c r="BB345" i="1"/>
  <c r="BB33" i="1"/>
  <c r="BB50" i="1"/>
  <c r="BB64" i="1"/>
  <c r="BB83" i="1"/>
  <c r="BB100" i="1"/>
  <c r="BB118" i="1"/>
  <c r="BB138" i="1"/>
  <c r="BB150" i="1"/>
  <c r="BB170" i="1"/>
  <c r="BB192" i="1"/>
  <c r="BB204" i="1"/>
  <c r="BB218" i="1"/>
  <c r="BB231" i="1"/>
  <c r="BB260" i="1"/>
  <c r="BB272" i="1"/>
  <c r="BB284" i="1"/>
  <c r="BB295" i="1"/>
  <c r="BB309" i="1"/>
  <c r="BB321" i="1"/>
  <c r="BB333" i="1"/>
  <c r="BB18" i="1"/>
  <c r="BB17" i="1" s="1"/>
  <c r="BB34" i="1"/>
  <c r="BB51" i="1"/>
  <c r="BB65" i="1"/>
  <c r="BB84" i="1"/>
  <c r="BB107" i="1"/>
  <c r="BB106" i="1" s="1"/>
  <c r="BB121" i="1"/>
  <c r="BB120" i="1" s="1"/>
  <c r="BB139" i="1"/>
  <c r="BB151" i="1"/>
  <c r="BB171" i="1"/>
  <c r="BB193" i="1"/>
  <c r="BB205" i="1"/>
  <c r="BB219" i="1"/>
  <c r="BB232" i="1"/>
  <c r="BB247" i="1"/>
  <c r="BB273" i="1"/>
  <c r="BB285" i="1"/>
  <c r="BB297" i="1"/>
  <c r="BB310" i="1"/>
  <c r="BB322" i="1"/>
  <c r="BB334" i="1"/>
  <c r="AZ81" i="1"/>
  <c r="AZ75" i="1" s="1"/>
  <c r="BB22" i="1"/>
  <c r="BB35" i="1"/>
  <c r="BB52" i="1"/>
  <c r="BB68" i="1"/>
  <c r="BB124" i="1"/>
  <c r="BB123" i="1" s="1"/>
  <c r="BB140" i="1"/>
  <c r="BB152" i="1"/>
  <c r="BB172" i="1"/>
  <c r="BB194" i="1"/>
  <c r="BB206" i="1"/>
  <c r="BB220" i="1"/>
  <c r="BB233" i="1"/>
  <c r="BB248" i="1"/>
  <c r="BB274" i="1"/>
  <c r="BB286" i="1"/>
  <c r="BB298" i="1"/>
  <c r="BB311" i="1"/>
  <c r="BB323" i="1"/>
  <c r="BB335" i="1"/>
  <c r="BB347" i="1"/>
  <c r="BB222" i="1"/>
  <c r="BB39" i="1"/>
  <c r="BB55" i="1"/>
  <c r="BB71" i="1"/>
  <c r="BB92" i="1"/>
  <c r="BB112" i="1"/>
  <c r="BB131" i="1"/>
  <c r="BB143" i="1"/>
  <c r="BB155" i="1"/>
  <c r="BB175" i="1"/>
  <c r="BB197" i="1"/>
  <c r="BB211" i="1"/>
  <c r="BB223" i="1"/>
  <c r="BB238" i="1"/>
  <c r="BB253" i="1"/>
  <c r="BB264" i="1"/>
  <c r="BB277" i="1"/>
  <c r="BB289" i="1"/>
  <c r="BB300" i="1"/>
  <c r="BB314" i="1"/>
  <c r="BB326" i="1"/>
  <c r="BB338" i="1"/>
  <c r="BB352" i="1"/>
  <c r="BB42" i="1"/>
  <c r="BB56" i="1"/>
  <c r="BB113" i="1"/>
  <c r="BB132" i="1"/>
  <c r="BB144" i="1"/>
  <c r="BB156" i="1"/>
  <c r="BB177" i="1"/>
  <c r="BB198" i="1"/>
  <c r="BB212" i="1"/>
  <c r="BB224" i="1"/>
  <c r="BB239" i="1"/>
  <c r="BB265" i="1"/>
  <c r="BB278" i="1"/>
  <c r="BB290" i="1"/>
  <c r="BB315" i="1"/>
  <c r="BB327" i="1"/>
  <c r="BB339" i="1"/>
  <c r="BB354" i="1"/>
  <c r="BB196" i="1"/>
  <c r="BB26" i="1"/>
  <c r="BB43" i="1"/>
  <c r="BB57" i="1"/>
  <c r="BB76" i="1"/>
  <c r="BB114" i="1"/>
  <c r="BB133" i="1"/>
  <c r="BB145" i="1"/>
  <c r="BB157" i="1"/>
  <c r="BB199" i="1"/>
  <c r="BB213" i="1"/>
  <c r="BB225" i="1"/>
  <c r="BB240" i="1"/>
  <c r="BB266" i="1"/>
  <c r="BB279" i="1"/>
  <c r="BB291" i="1"/>
  <c r="BB304" i="1"/>
  <c r="BB316" i="1"/>
  <c r="BB328" i="1"/>
  <c r="BB340" i="1"/>
  <c r="BB356" i="1"/>
  <c r="BB38" i="1"/>
  <c r="BB237" i="1"/>
  <c r="AZ350" i="1"/>
  <c r="BB27" i="1"/>
  <c r="BB46" i="1"/>
  <c r="BB58" i="1"/>
  <c r="BB77" i="1"/>
  <c r="BB115" i="1"/>
  <c r="BB134" i="1"/>
  <c r="BB146" i="1"/>
  <c r="BB158" i="1"/>
  <c r="BB188" i="1"/>
  <c r="BB200" i="1"/>
  <c r="BB214" i="1"/>
  <c r="BB226" i="1"/>
  <c r="BB241" i="1"/>
  <c r="BB255" i="1"/>
  <c r="BB280" i="1"/>
  <c r="BB305" i="1"/>
  <c r="BB317" i="1"/>
  <c r="BB329" i="1"/>
  <c r="BB341" i="1"/>
  <c r="BB351" i="1"/>
  <c r="BB303" i="1"/>
  <c r="BB251" i="1"/>
  <c r="BB236" i="1"/>
  <c r="BB210" i="1"/>
  <c r="BB186" i="1"/>
  <c r="BB167" i="1"/>
  <c r="BB166" i="1" s="1"/>
  <c r="BA162" i="1"/>
  <c r="BA161" i="1" s="1"/>
  <c r="BB130" i="1"/>
  <c r="BA126" i="1"/>
  <c r="BA123" i="1"/>
  <c r="BA120" i="1"/>
  <c r="BA106" i="1"/>
  <c r="BB95" i="1"/>
  <c r="BB90" i="1"/>
  <c r="BB87" i="1"/>
  <c r="BB86" i="1" s="1"/>
  <c r="BA81" i="1"/>
  <c r="BA75" i="1" s="1"/>
  <c r="BB31" i="1"/>
  <c r="L4" i="39"/>
  <c r="L10" i="39"/>
  <c r="L16" i="39"/>
  <c r="L22" i="39"/>
  <c r="L28" i="39"/>
  <c r="L34" i="39"/>
  <c r="L40" i="39"/>
  <c r="L46" i="39"/>
  <c r="L52" i="39"/>
  <c r="BD70" i="1" s="1"/>
  <c r="BF70" i="1" s="1"/>
  <c r="L58" i="39"/>
  <c r="BD53" i="1" s="1"/>
  <c r="BF53" i="1" s="1"/>
  <c r="L64" i="39"/>
  <c r="BD77" i="1" s="1"/>
  <c r="L70" i="39"/>
  <c r="L76" i="39"/>
  <c r="BD96" i="1" s="1"/>
  <c r="BF96" i="1" s="1"/>
  <c r="L82" i="39"/>
  <c r="L105" i="39"/>
  <c r="L111" i="39"/>
  <c r="L117" i="39"/>
  <c r="BD173" i="1" s="1"/>
  <c r="L130" i="39"/>
  <c r="L142" i="39"/>
  <c r="L154" i="39"/>
  <c r="L166" i="39"/>
  <c r="R10" i="42"/>
  <c r="BD238" i="1" s="1"/>
  <c r="BF238" i="1" s="1"/>
  <c r="R24" i="42"/>
  <c r="BD311" i="1" s="1"/>
  <c r="BF311" i="1" s="1"/>
  <c r="R29" i="42"/>
  <c r="BD310" i="1" s="1"/>
  <c r="BF310" i="1" s="1"/>
  <c r="R34" i="42"/>
  <c r="BD329" i="1" s="1"/>
  <c r="BF329" i="1" s="1"/>
  <c r="R43" i="42"/>
  <c r="BD346" i="1" s="1"/>
  <c r="BF346" i="1" s="1"/>
  <c r="K2" i="39"/>
  <c r="R44" i="42"/>
  <c r="R39" i="42"/>
  <c r="BD345" i="1" s="1"/>
  <c r="BF345" i="1" s="1"/>
  <c r="F174" i="39"/>
  <c r="L101" i="39"/>
  <c r="BD116" i="1" s="1"/>
  <c r="L168" i="39"/>
  <c r="L174" i="39"/>
  <c r="R25" i="42"/>
  <c r="R37" i="42"/>
  <c r="BD322" i="1" s="1"/>
  <c r="BF322" i="1" s="1"/>
  <c r="L6" i="39"/>
  <c r="BD11" i="1" s="1"/>
  <c r="BF11" i="1" s="1"/>
  <c r="L12" i="39"/>
  <c r="L18" i="39"/>
  <c r="L24" i="39"/>
  <c r="L30" i="39"/>
  <c r="L36" i="39"/>
  <c r="L42" i="39"/>
  <c r="L48" i="39"/>
  <c r="L54" i="39"/>
  <c r="L60" i="39"/>
  <c r="BD61" i="1" s="1"/>
  <c r="BF61" i="1" s="1"/>
  <c r="L66" i="39"/>
  <c r="L72" i="39"/>
  <c r="BD84" i="1" s="1"/>
  <c r="BF84" i="1" s="1"/>
  <c r="L78" i="39"/>
  <c r="L84" i="39"/>
  <c r="L90" i="39"/>
  <c r="L107" i="39"/>
  <c r="BD121" i="1" s="1"/>
  <c r="BD120" i="1" s="1"/>
  <c r="L113" i="39"/>
  <c r="L126" i="39"/>
  <c r="L138" i="39"/>
  <c r="L150" i="39"/>
  <c r="L162" i="39"/>
  <c r="R6" i="42"/>
  <c r="BD236" i="1" s="1"/>
  <c r="BF236" i="1" s="1"/>
  <c r="R40" i="42"/>
  <c r="BD319" i="1" s="1"/>
  <c r="BF319" i="1" s="1"/>
  <c r="L7" i="39"/>
  <c r="L13" i="39"/>
  <c r="L19" i="39"/>
  <c r="L25" i="39"/>
  <c r="L31" i="39"/>
  <c r="L37" i="39"/>
  <c r="L43" i="39"/>
  <c r="L49" i="39"/>
  <c r="L55" i="39"/>
  <c r="L61" i="39"/>
  <c r="BD59" i="1" s="1"/>
  <c r="BF59" i="1" s="1"/>
  <c r="L67" i="39"/>
  <c r="BD82" i="1" s="1"/>
  <c r="L73" i="39"/>
  <c r="L79" i="39"/>
  <c r="BD60" i="1" s="1"/>
  <c r="BF60" i="1" s="1"/>
  <c r="L85" i="39"/>
  <c r="L108" i="39"/>
  <c r="L114" i="39"/>
  <c r="L121" i="39"/>
  <c r="L127" i="39"/>
  <c r="L133" i="39"/>
  <c r="L139" i="39"/>
  <c r="L145" i="39"/>
  <c r="L151" i="39"/>
  <c r="L157" i="39"/>
  <c r="L163" i="39"/>
  <c r="R7" i="42"/>
  <c r="R41" i="42"/>
  <c r="BD323" i="1" s="1"/>
  <c r="BF323" i="1" s="1"/>
  <c r="L170" i="39"/>
  <c r="R27" i="42"/>
  <c r="BD308" i="1" s="1"/>
  <c r="BF308" i="1" s="1"/>
  <c r="R32" i="42"/>
  <c r="BD313" i="1" s="1"/>
  <c r="BF313" i="1" s="1"/>
  <c r="R46" i="42"/>
  <c r="BD352" i="1" s="1"/>
  <c r="R42" i="42"/>
  <c r="BD318" i="1" s="1"/>
  <c r="BF318" i="1" s="1"/>
  <c r="P5" i="42"/>
  <c r="J119" i="39"/>
  <c r="L119" i="39" s="1"/>
  <c r="BD176" i="1" s="1"/>
  <c r="G174" i="39"/>
  <c r="J120" i="39"/>
  <c r="L120" i="39" s="1"/>
  <c r="BD175" i="1" s="1"/>
  <c r="BF175" i="1" s="1"/>
  <c r="I99" i="39"/>
  <c r="J99" i="39" s="1"/>
  <c r="L99" i="39" s="1"/>
  <c r="F307" i="18" l="1"/>
  <c r="U88" i="6"/>
  <c r="U87" i="6" s="1"/>
  <c r="U85" i="6" s="1"/>
  <c r="F418" i="18"/>
  <c r="V76" i="6"/>
  <c r="BN350" i="1"/>
  <c r="BF187" i="1"/>
  <c r="BR187" i="1" s="1"/>
  <c r="BD306" i="1"/>
  <c r="BF306" i="1" s="1"/>
  <c r="F300" i="18"/>
  <c r="G300" i="18"/>
  <c r="BD81" i="1"/>
  <c r="BD75" i="1" s="1"/>
  <c r="BD350" i="1"/>
  <c r="BF352" i="1"/>
  <c r="BF350" i="1" s="1"/>
  <c r="BF173" i="1"/>
  <c r="BF116" i="1"/>
  <c r="BF77" i="1"/>
  <c r="BF75" i="1" s="1"/>
  <c r="BF121" i="1"/>
  <c r="BF120" i="1" s="1"/>
  <c r="BF82" i="1"/>
  <c r="BF81" i="1" s="1"/>
  <c r="X42" i="6"/>
  <c r="K70" i="18"/>
  <c r="K439" i="18"/>
  <c r="K456" i="18"/>
  <c r="K444" i="18"/>
  <c r="H441" i="18"/>
  <c r="K438" i="18"/>
  <c r="K437" i="18"/>
  <c r="K436" i="18"/>
  <c r="K451" i="18"/>
  <c r="K440" i="18"/>
  <c r="H452" i="18"/>
  <c r="K442" i="18"/>
  <c r="K449" i="18"/>
  <c r="H450" i="18"/>
  <c r="K435" i="18"/>
  <c r="H448" i="18"/>
  <c r="K447" i="18"/>
  <c r="K441" i="18"/>
  <c r="K445" i="18"/>
  <c r="H447" i="18"/>
  <c r="K443" i="18"/>
  <c r="K448" i="18"/>
  <c r="K450" i="18"/>
  <c r="H438" i="18"/>
  <c r="H443" i="18"/>
  <c r="H445" i="18"/>
  <c r="H457" i="18"/>
  <c r="K454" i="18"/>
  <c r="H454" i="18"/>
  <c r="H440" i="18"/>
  <c r="H439" i="18"/>
  <c r="H442" i="18"/>
  <c r="H444" i="18"/>
  <c r="H435" i="18"/>
  <c r="H437" i="18"/>
  <c r="H449" i="18"/>
  <c r="H456" i="18"/>
  <c r="H455" i="18"/>
  <c r="K446" i="18"/>
  <c r="H446" i="18"/>
  <c r="H451" i="18"/>
  <c r="K453" i="18"/>
  <c r="H453" i="18"/>
  <c r="K452" i="18"/>
  <c r="K455" i="18"/>
  <c r="H229" i="18"/>
  <c r="H427" i="18"/>
  <c r="H429" i="18" s="1"/>
  <c r="F429" i="18"/>
  <c r="M458" i="18"/>
  <c r="T435" i="18"/>
  <c r="G229" i="18"/>
  <c r="X98" i="6"/>
  <c r="X26" i="6"/>
  <c r="X131" i="6"/>
  <c r="X123" i="6"/>
  <c r="X101" i="6"/>
  <c r="R54" i="6"/>
  <c r="X89" i="6"/>
  <c r="X104" i="6"/>
  <c r="X93" i="6"/>
  <c r="X55" i="6"/>
  <c r="X36" i="6"/>
  <c r="X111" i="6"/>
  <c r="R61" i="6"/>
  <c r="X99" i="6"/>
  <c r="X62" i="6"/>
  <c r="X100" i="6"/>
  <c r="X23" i="6"/>
  <c r="X105" i="6"/>
  <c r="X30" i="6"/>
  <c r="X94" i="6"/>
  <c r="X127" i="6"/>
  <c r="X107" i="6"/>
  <c r="X140" i="6"/>
  <c r="X114" i="6"/>
  <c r="X25" i="6"/>
  <c r="X43" i="6"/>
  <c r="X141" i="6"/>
  <c r="X128" i="6"/>
  <c r="X66" i="6"/>
  <c r="X125" i="6"/>
  <c r="X47" i="6"/>
  <c r="X116" i="6"/>
  <c r="X108" i="6"/>
  <c r="X136" i="6"/>
  <c r="X126" i="6"/>
  <c r="X112" i="6"/>
  <c r="X44" i="6"/>
  <c r="U10" i="7"/>
  <c r="X21" i="6"/>
  <c r="X129" i="6"/>
  <c r="X113" i="6"/>
  <c r="X110" i="6"/>
  <c r="X132" i="6"/>
  <c r="X48" i="6"/>
  <c r="X115" i="6"/>
  <c r="X37" i="6"/>
  <c r="U9" i="6"/>
  <c r="R41" i="6"/>
  <c r="X71" i="6"/>
  <c r="X106" i="6"/>
  <c r="X45" i="6"/>
  <c r="U13" i="7"/>
  <c r="X22" i="6"/>
  <c r="X79" i="6"/>
  <c r="X35" i="6"/>
  <c r="X63" i="6"/>
  <c r="U50" i="6"/>
  <c r="X78" i="6"/>
  <c r="V54" i="6"/>
  <c r="X56" i="6"/>
  <c r="X74" i="6"/>
  <c r="X46" i="6"/>
  <c r="V61" i="6"/>
  <c r="U13" i="6"/>
  <c r="U32" i="6"/>
  <c r="U18" i="6"/>
  <c r="V41" i="6"/>
  <c r="U70" i="6"/>
  <c r="U69" i="6" s="1"/>
  <c r="BN81" i="1"/>
  <c r="BJ350" i="1"/>
  <c r="BJ81" i="1"/>
  <c r="BN75" i="1"/>
  <c r="BR268" i="1"/>
  <c r="BJ75" i="1"/>
  <c r="BB81" i="1"/>
  <c r="BB75" i="1"/>
  <c r="BB350" i="1"/>
  <c r="R5" i="42"/>
  <c r="P48" i="42"/>
  <c r="L118" i="39"/>
  <c r="T649" i="18" l="1"/>
  <c r="G307" i="18"/>
  <c r="U17" i="7"/>
  <c r="U23" i="7" s="1"/>
  <c r="U28" i="7" s="1"/>
  <c r="U30" i="7" s="1"/>
  <c r="R48" i="42"/>
  <c r="Q48" i="42" s="1"/>
  <c r="BD240" i="1"/>
  <c r="F431" i="18"/>
  <c r="G427" i="18"/>
  <c r="G428" i="18"/>
  <c r="H458" i="18"/>
  <c r="K458" i="18"/>
  <c r="X54" i="6"/>
  <c r="X41" i="6"/>
  <c r="X61" i="6"/>
  <c r="U39" i="6"/>
  <c r="U7" i="6"/>
  <c r="G247" i="22"/>
  <c r="G246" i="22"/>
  <c r="G163" i="22"/>
  <c r="G162" i="22"/>
  <c r="G234" i="22"/>
  <c r="G233" i="22"/>
  <c r="BF240" i="1" l="1"/>
  <c r="G429" i="18"/>
  <c r="U83" i="6"/>
  <c r="G243" i="22"/>
  <c r="L238" i="22"/>
  <c r="I239" i="22"/>
  <c r="L239" i="22" s="1"/>
  <c r="G239" i="22"/>
  <c r="G238" i="22"/>
  <c r="AW354" i="1"/>
  <c r="Q26" i="7" s="1"/>
  <c r="AW352" i="1"/>
  <c r="Q20" i="7" s="1"/>
  <c r="AW351" i="1"/>
  <c r="Q19" i="7" s="1"/>
  <c r="AW348" i="1"/>
  <c r="AW347" i="1"/>
  <c r="AW346" i="1"/>
  <c r="AW345" i="1"/>
  <c r="AW344" i="1"/>
  <c r="AW342" i="1"/>
  <c r="AW341" i="1"/>
  <c r="AW340" i="1"/>
  <c r="AW339" i="1"/>
  <c r="AW338" i="1"/>
  <c r="AW337" i="1"/>
  <c r="AW336" i="1"/>
  <c r="AW335" i="1"/>
  <c r="AW334" i="1"/>
  <c r="AW333" i="1"/>
  <c r="AW332" i="1"/>
  <c r="AW331" i="1"/>
  <c r="AW330" i="1"/>
  <c r="AW329" i="1"/>
  <c r="AW328" i="1"/>
  <c r="AW327" i="1"/>
  <c r="AW326" i="1"/>
  <c r="AW325" i="1"/>
  <c r="AW324" i="1"/>
  <c r="AW323" i="1"/>
  <c r="AW322" i="1"/>
  <c r="AW321" i="1"/>
  <c r="AW320" i="1"/>
  <c r="AW319" i="1"/>
  <c r="AW318" i="1"/>
  <c r="AW317" i="1"/>
  <c r="AW316" i="1"/>
  <c r="AW315" i="1"/>
  <c r="AW314" i="1"/>
  <c r="AW313" i="1"/>
  <c r="AW312" i="1"/>
  <c r="AW311" i="1"/>
  <c r="AW310" i="1"/>
  <c r="AW309" i="1"/>
  <c r="AW308" i="1"/>
  <c r="AW307" i="1"/>
  <c r="AW306" i="1"/>
  <c r="AW305" i="1"/>
  <c r="AW304" i="1"/>
  <c r="AW303" i="1"/>
  <c r="AW300" i="1"/>
  <c r="AW299" i="1"/>
  <c r="AW298" i="1"/>
  <c r="AW297" i="1"/>
  <c r="AW295" i="1"/>
  <c r="AW294" i="1"/>
  <c r="AW293" i="1"/>
  <c r="AW292" i="1"/>
  <c r="AW291" i="1"/>
  <c r="AW290" i="1"/>
  <c r="AW289" i="1"/>
  <c r="AW288" i="1"/>
  <c r="AW287" i="1"/>
  <c r="AW286" i="1"/>
  <c r="AW285" i="1"/>
  <c r="AW284" i="1"/>
  <c r="AW283" i="1"/>
  <c r="AW282" i="1"/>
  <c r="AW281" i="1"/>
  <c r="AW280" i="1"/>
  <c r="AW279" i="1"/>
  <c r="AW278" i="1"/>
  <c r="AW277" i="1"/>
  <c r="AW276" i="1"/>
  <c r="AW275" i="1"/>
  <c r="AW274" i="1"/>
  <c r="AW273" i="1"/>
  <c r="AW272" i="1"/>
  <c r="AW269" i="1"/>
  <c r="AW268" i="1"/>
  <c r="AW267" i="1"/>
  <c r="AW266" i="1"/>
  <c r="AW265" i="1"/>
  <c r="AW264" i="1"/>
  <c r="AW263" i="1"/>
  <c r="AW261" i="1"/>
  <c r="AW259" i="1"/>
  <c r="AW258" i="1"/>
  <c r="AW256" i="1"/>
  <c r="AW255" i="1"/>
  <c r="AW254" i="1"/>
  <c r="AW253" i="1"/>
  <c r="AW252" i="1"/>
  <c r="AW206" i="1"/>
  <c r="AW205" i="1"/>
  <c r="AW203" i="1"/>
  <c r="AW202" i="1"/>
  <c r="AW201" i="1"/>
  <c r="AW200" i="1"/>
  <c r="AW199" i="1"/>
  <c r="AW198" i="1"/>
  <c r="AW196" i="1"/>
  <c r="AW195" i="1"/>
  <c r="AW194" i="1"/>
  <c r="AW193" i="1"/>
  <c r="AW192" i="1"/>
  <c r="AW191" i="1"/>
  <c r="AW190" i="1"/>
  <c r="AW189" i="1"/>
  <c r="AW188" i="1"/>
  <c r="AW174" i="1"/>
  <c r="AW173" i="1"/>
  <c r="AW172" i="1"/>
  <c r="Q124" i="6" s="1"/>
  <c r="AW171" i="1"/>
  <c r="AW158" i="1"/>
  <c r="AW157" i="1"/>
  <c r="AW156" i="1"/>
  <c r="AW155" i="1"/>
  <c r="AW153" i="1"/>
  <c r="AW152" i="1"/>
  <c r="AW150" i="1"/>
  <c r="AW149" i="1"/>
  <c r="AW148" i="1"/>
  <c r="AW147" i="1"/>
  <c r="AW146" i="1"/>
  <c r="AW145" i="1"/>
  <c r="AW143" i="1"/>
  <c r="AW142" i="1"/>
  <c r="AW141" i="1"/>
  <c r="AW140" i="1"/>
  <c r="AW139" i="1"/>
  <c r="AW138" i="1"/>
  <c r="AW137" i="1"/>
  <c r="AW136" i="1"/>
  <c r="AW133" i="1"/>
  <c r="AW132" i="1"/>
  <c r="AW131" i="1"/>
  <c r="AW130" i="1"/>
  <c r="AW127" i="1"/>
  <c r="Q95" i="6" s="1"/>
  <c r="AW124" i="1"/>
  <c r="Q92" i="6" s="1"/>
  <c r="AW121" i="1"/>
  <c r="Q91" i="6" s="1"/>
  <c r="AW118" i="1"/>
  <c r="AW117" i="1"/>
  <c r="AW116" i="1"/>
  <c r="AW115" i="1"/>
  <c r="AW114" i="1"/>
  <c r="AW113" i="1"/>
  <c r="AW112" i="1"/>
  <c r="AW100" i="1"/>
  <c r="Q80" i="6" s="1"/>
  <c r="AW97" i="1"/>
  <c r="AW95" i="1"/>
  <c r="AW87" i="1"/>
  <c r="Q67" i="6" s="1"/>
  <c r="Q65" i="6" s="1"/>
  <c r="AW84" i="1"/>
  <c r="Q59" i="6" s="1"/>
  <c r="AW83" i="1"/>
  <c r="AW82" i="1"/>
  <c r="AW78" i="1"/>
  <c r="AW77" i="1"/>
  <c r="AW76" i="1"/>
  <c r="AW71" i="1"/>
  <c r="AW70" i="1"/>
  <c r="AW69" i="1"/>
  <c r="AW68" i="1"/>
  <c r="AW65" i="1"/>
  <c r="AW64" i="1"/>
  <c r="AW61" i="1"/>
  <c r="AW60" i="1"/>
  <c r="AW59" i="1"/>
  <c r="AW55" i="1"/>
  <c r="AW54" i="1"/>
  <c r="AW53" i="1"/>
  <c r="AW52" i="1"/>
  <c r="AW51" i="1"/>
  <c r="AW50" i="1"/>
  <c r="AW49" i="1"/>
  <c r="AW48" i="1"/>
  <c r="AW47" i="1"/>
  <c r="AW43" i="1"/>
  <c r="AW42" i="1"/>
  <c r="AW39" i="1"/>
  <c r="AW38" i="1"/>
  <c r="AW34" i="1"/>
  <c r="AW33" i="1"/>
  <c r="AW32" i="1"/>
  <c r="G157" i="22"/>
  <c r="G158" i="22"/>
  <c r="AW28" i="1"/>
  <c r="AW27" i="1"/>
  <c r="AW26" i="1"/>
  <c r="AW25" i="1"/>
  <c r="Q15" i="6" s="1"/>
  <c r="AW24" i="1"/>
  <c r="AW23" i="1"/>
  <c r="AW22" i="1"/>
  <c r="AW18" i="1"/>
  <c r="Q11" i="6" s="1"/>
  <c r="AW15" i="1"/>
  <c r="AW14" i="1"/>
  <c r="AW13" i="1"/>
  <c r="AW12" i="1"/>
  <c r="AW11" i="1"/>
  <c r="L220" i="22"/>
  <c r="L219" i="22"/>
  <c r="G222" i="22"/>
  <c r="Q33" i="6" l="1"/>
  <c r="Q130" i="6"/>
  <c r="Q58" i="6"/>
  <c r="Q57" i="6" s="1"/>
  <c r="Q29" i="6"/>
  <c r="Q28" i="6" s="1"/>
  <c r="Q20" i="6"/>
  <c r="Q21" i="7"/>
  <c r="Q10" i="6"/>
  <c r="Q9" i="6" s="1"/>
  <c r="Q14" i="6"/>
  <c r="Q34" i="6"/>
  <c r="Q19" i="6"/>
  <c r="Q52" i="6"/>
  <c r="Q15" i="7"/>
  <c r="I221" i="22"/>
  <c r="G220" i="22"/>
  <c r="G221" i="22"/>
  <c r="G219" i="22"/>
  <c r="G176" i="22"/>
  <c r="G175" i="22"/>
  <c r="G172" i="22"/>
  <c r="G171" i="22"/>
  <c r="G168" i="22"/>
  <c r="G167" i="22"/>
  <c r="G154" i="22"/>
  <c r="G153" i="22"/>
  <c r="Q32" i="6" l="1"/>
  <c r="L221" i="22"/>
  <c r="I222" i="22"/>
  <c r="L222" i="22" s="1"/>
  <c r="G150" i="22"/>
  <c r="G149" i="22"/>
  <c r="G146" i="22"/>
  <c r="G145" i="22"/>
  <c r="G142" i="22"/>
  <c r="G141" i="22"/>
  <c r="G138" i="22"/>
  <c r="G137" i="22"/>
  <c r="AW91" i="1" l="1"/>
  <c r="Q72" i="6" s="1"/>
  <c r="AW207" i="1"/>
  <c r="G526" i="18"/>
  <c r="G531" i="18" s="1"/>
  <c r="I176" i="22" l="1"/>
  <c r="L176" i="22" s="1"/>
  <c r="AW58" i="1" s="1"/>
  <c r="L175" i="22" l="1"/>
  <c r="AW107" i="1" l="1"/>
  <c r="Q88" i="6" s="1"/>
  <c r="E21" i="33"/>
  <c r="E20" i="33"/>
  <c r="B24" i="33"/>
  <c r="J62" i="18"/>
  <c r="J64" i="18" l="1"/>
  <c r="J49" i="18"/>
  <c r="J52" i="18" s="1"/>
  <c r="K288" i="5"/>
  <c r="F289" i="5"/>
  <c r="F288" i="5"/>
  <c r="K289" i="5"/>
  <c r="H63" i="18" l="1"/>
  <c r="H61" i="18"/>
  <c r="K60" i="10"/>
  <c r="K63" i="18" s="1"/>
  <c r="K58" i="10"/>
  <c r="K61" i="18" s="1"/>
  <c r="K59" i="10"/>
  <c r="K57" i="10"/>
  <c r="K60" i="18" s="1"/>
  <c r="K62" i="18" l="1"/>
  <c r="K64" i="18" s="1"/>
  <c r="J48" i="10"/>
  <c r="J50" i="10" s="1"/>
  <c r="I61" i="10"/>
  <c r="J61" i="10"/>
  <c r="K61" i="10"/>
  <c r="H197" i="18" l="1"/>
  <c r="H162" i="18" s="1"/>
  <c r="Q277" i="5"/>
  <c r="K277" i="5" l="1"/>
  <c r="F277" i="5"/>
  <c r="K284" i="5" l="1"/>
  <c r="F285" i="5" l="1"/>
  <c r="F284" i="5"/>
  <c r="K285" i="5"/>
  <c r="K276" i="5" l="1"/>
  <c r="K275" i="5"/>
  <c r="K280" i="5"/>
  <c r="F281" i="5"/>
  <c r="F280" i="5"/>
  <c r="F276" i="5"/>
  <c r="F275" i="5"/>
  <c r="K281" i="5" l="1"/>
  <c r="F90" i="21" l="1"/>
  <c r="F91" i="21"/>
  <c r="I33" i="30" l="1"/>
  <c r="I34" i="30" s="1"/>
  <c r="I35" i="30" s="1"/>
  <c r="I36" i="30" s="1"/>
  <c r="I37" i="30" s="1"/>
  <c r="I38" i="30" s="1"/>
  <c r="I39" i="30" s="1"/>
  <c r="I40" i="30" s="1"/>
  <c r="I32" i="30"/>
  <c r="I31" i="30"/>
  <c r="I27" i="30"/>
  <c r="I26" i="30"/>
  <c r="G40" i="30" l="1"/>
  <c r="G39" i="30"/>
  <c r="G38" i="30"/>
  <c r="G37" i="30"/>
  <c r="G36" i="30"/>
  <c r="G35" i="30"/>
  <c r="G34" i="30"/>
  <c r="G33" i="30"/>
  <c r="G32" i="30"/>
  <c r="G31" i="30"/>
  <c r="G26" i="30"/>
  <c r="F29" i="30"/>
  <c r="E30" i="30" s="1"/>
  <c r="F28" i="30"/>
  <c r="E29" i="30" s="1"/>
  <c r="I29" i="30" s="1"/>
  <c r="F27" i="30"/>
  <c r="E28" i="30" s="1"/>
  <c r="I28" i="30" s="1"/>
  <c r="AB32" i="30"/>
  <c r="AB31" i="30"/>
  <c r="AB30" i="30"/>
  <c r="AB29" i="30"/>
  <c r="AB28" i="30"/>
  <c r="AB27" i="30"/>
  <c r="AB26" i="30"/>
  <c r="G25" i="30"/>
  <c r="F30" i="30" l="1"/>
  <c r="G30" i="30" s="1"/>
  <c r="I30" i="30"/>
  <c r="G27" i="30"/>
  <c r="G28" i="30"/>
  <c r="G29" i="30"/>
  <c r="AB24" i="30"/>
  <c r="AB352" i="1"/>
  <c r="AB351" i="1"/>
  <c r="AB348" i="1"/>
  <c r="AB347" i="1"/>
  <c r="AB346" i="1"/>
  <c r="AB345" i="1"/>
  <c r="AB344" i="1"/>
  <c r="AB342" i="1"/>
  <c r="AB341" i="1"/>
  <c r="AB340" i="1"/>
  <c r="AB339" i="1"/>
  <c r="AB338" i="1"/>
  <c r="AB337" i="1"/>
  <c r="AB336" i="1"/>
  <c r="AB335" i="1"/>
  <c r="AB334" i="1"/>
  <c r="AB333" i="1"/>
  <c r="AB332" i="1"/>
  <c r="AB331" i="1"/>
  <c r="AB330" i="1"/>
  <c r="AB329" i="1"/>
  <c r="AB328" i="1"/>
  <c r="AB327" i="1"/>
  <c r="AB326" i="1"/>
  <c r="AB325" i="1"/>
  <c r="AB324" i="1"/>
  <c r="AB323" i="1"/>
  <c r="AB322" i="1"/>
  <c r="AB321" i="1"/>
  <c r="AB320" i="1"/>
  <c r="AB319" i="1"/>
  <c r="AB318" i="1"/>
  <c r="AB317" i="1"/>
  <c r="AB316" i="1"/>
  <c r="AB315" i="1"/>
  <c r="AB314" i="1"/>
  <c r="AB313" i="1"/>
  <c r="AB312" i="1"/>
  <c r="AB311" i="1"/>
  <c r="AB310" i="1"/>
  <c r="AB309" i="1"/>
  <c r="AB308" i="1"/>
  <c r="AB307" i="1"/>
  <c r="AB306" i="1"/>
  <c r="AB305" i="1"/>
  <c r="AB304" i="1"/>
  <c r="AB300" i="1"/>
  <c r="AB299" i="1"/>
  <c r="AB298" i="1"/>
  <c r="AB297" i="1"/>
  <c r="AB295" i="1"/>
  <c r="AB294" i="1"/>
  <c r="AB293" i="1"/>
  <c r="AB292" i="1"/>
  <c r="AB291" i="1"/>
  <c r="AB290" i="1"/>
  <c r="AB289" i="1"/>
  <c r="AB288" i="1"/>
  <c r="AB287" i="1"/>
  <c r="AB286" i="1"/>
  <c r="AB285" i="1"/>
  <c r="AB284" i="1"/>
  <c r="AB283" i="1"/>
  <c r="AB282" i="1"/>
  <c r="AB281" i="1"/>
  <c r="AB280" i="1"/>
  <c r="AB279" i="1"/>
  <c r="AB278" i="1"/>
  <c r="AB277" i="1"/>
  <c r="AB276" i="1"/>
  <c r="AB275" i="1"/>
  <c r="AB274" i="1"/>
  <c r="AB273" i="1"/>
  <c r="AB272" i="1"/>
  <c r="AB269" i="1"/>
  <c r="AB268" i="1"/>
  <c r="AB266" i="1"/>
  <c r="AB265" i="1"/>
  <c r="AB264" i="1"/>
  <c r="AB263" i="1"/>
  <c r="AB262" i="1"/>
  <c r="AB261" i="1"/>
  <c r="AB259" i="1"/>
  <c r="AB258" i="1"/>
  <c r="AB256" i="1"/>
  <c r="AB255" i="1"/>
  <c r="AB254" i="1"/>
  <c r="AB253" i="1"/>
  <c r="AB252" i="1"/>
  <c r="AB251" i="1"/>
  <c r="AB248" i="1"/>
  <c r="AB247" i="1"/>
  <c r="AB246" i="1"/>
  <c r="AB245" i="1"/>
  <c r="AB244" i="1"/>
  <c r="AB241" i="1"/>
  <c r="AB240" i="1"/>
  <c r="AB239" i="1"/>
  <c r="AB238" i="1"/>
  <c r="AB237" i="1"/>
  <c r="AB233" i="1"/>
  <c r="AB232" i="1"/>
  <c r="AB231" i="1"/>
  <c r="AB229" i="1"/>
  <c r="AB228" i="1"/>
  <c r="AB227" i="1"/>
  <c r="AB226" i="1"/>
  <c r="AB225" i="1"/>
  <c r="AB224" i="1"/>
  <c r="AB223" i="1"/>
  <c r="AB222" i="1"/>
  <c r="AB221" i="1"/>
  <c r="AB220" i="1"/>
  <c r="AB219" i="1"/>
  <c r="AB218" i="1"/>
  <c r="AB217" i="1"/>
  <c r="AB216" i="1"/>
  <c r="AB215" i="1"/>
  <c r="AB214" i="1"/>
  <c r="AB213" i="1"/>
  <c r="AB212" i="1"/>
  <c r="AB211" i="1"/>
  <c r="AB210" i="1"/>
  <c r="AB207" i="1"/>
  <c r="AB206" i="1"/>
  <c r="AB205" i="1"/>
  <c r="AB204" i="1"/>
  <c r="AB203" i="1"/>
  <c r="AB202" i="1"/>
  <c r="AB201" i="1"/>
  <c r="AB200" i="1"/>
  <c r="AB199" i="1"/>
  <c r="AB198" i="1"/>
  <c r="AB197" i="1"/>
  <c r="AB196" i="1"/>
  <c r="AB195" i="1"/>
  <c r="AB194" i="1"/>
  <c r="AB193" i="1"/>
  <c r="AB192" i="1"/>
  <c r="AB191" i="1"/>
  <c r="AB190" i="1"/>
  <c r="AB189" i="1"/>
  <c r="AB188" i="1"/>
  <c r="AB186" i="1"/>
  <c r="AB236" i="1"/>
  <c r="J229" i="1" l="1"/>
  <c r="J227" i="1"/>
  <c r="J224" i="1"/>
  <c r="J221" i="1"/>
  <c r="J212" i="1"/>
  <c r="J219" i="1"/>
  <c r="J218" i="1"/>
  <c r="J217" i="1"/>
  <c r="J210" i="1"/>
  <c r="J348" i="1"/>
  <c r="J347" i="1"/>
  <c r="J342" i="1"/>
  <c r="J340" i="1"/>
  <c r="J338" i="1"/>
  <c r="J336" i="1"/>
  <c r="J335" i="1"/>
  <c r="J333" i="1"/>
  <c r="J331" i="1"/>
  <c r="J330" i="1"/>
  <c r="J329" i="1"/>
  <c r="J328" i="1"/>
  <c r="J326" i="1"/>
  <c r="J325" i="1"/>
  <c r="J323" i="1"/>
  <c r="J322" i="1"/>
  <c r="J321" i="1"/>
  <c r="J320" i="1"/>
  <c r="J319" i="1"/>
  <c r="J318" i="1"/>
  <c r="J317" i="1"/>
  <c r="J316" i="1"/>
  <c r="J315" i="1"/>
  <c r="J310" i="1"/>
  <c r="J308" i="1"/>
  <c r="J298" i="1"/>
  <c r="J294" i="1"/>
  <c r="J292" i="1"/>
  <c r="J290" i="1"/>
  <c r="J289" i="1"/>
  <c r="J288" i="1"/>
  <c r="J286" i="1"/>
  <c r="J284" i="1"/>
  <c r="J283" i="1"/>
  <c r="J282" i="1"/>
  <c r="J281" i="1"/>
  <c r="J280" i="1"/>
  <c r="J278" i="1"/>
  <c r="J277" i="1"/>
  <c r="H324" i="10" l="1"/>
  <c r="H323" i="18" s="1"/>
  <c r="J713" i="10"/>
  <c r="K213" i="5"/>
  <c r="K51" i="1" s="1"/>
  <c r="H323" i="10"/>
  <c r="H322" i="18" s="1"/>
  <c r="H321" i="10"/>
  <c r="M318" i="18"/>
  <c r="R318" i="18" s="1"/>
  <c r="H318" i="18" s="1"/>
  <c r="M317" i="18"/>
  <c r="R317" i="18" s="1"/>
  <c r="H317" i="18" s="1"/>
  <c r="M319" i="18" l="1"/>
  <c r="R319" i="18" s="1"/>
  <c r="H319" i="18" s="1"/>
  <c r="H316" i="18" s="1"/>
  <c r="H318" i="10"/>
  <c r="H322" i="10"/>
  <c r="M316" i="18" l="1"/>
  <c r="O260" i="5"/>
  <c r="F14" i="7" l="1"/>
  <c r="E14" i="7"/>
  <c r="F271" i="5"/>
  <c r="F270" i="5"/>
  <c r="G97" i="22"/>
  <c r="H96" i="22"/>
  <c r="I97" i="22" s="1"/>
  <c r="G96" i="22"/>
  <c r="K86" i="21"/>
  <c r="K87" i="21"/>
  <c r="F87" i="21"/>
  <c r="F86" i="21"/>
  <c r="F83" i="21"/>
  <c r="I107" i="22"/>
  <c r="L96" i="22" l="1"/>
  <c r="L97" i="22"/>
  <c r="L27" i="22" l="1"/>
  <c r="I28" i="22"/>
  <c r="L28" i="22" s="1"/>
  <c r="G28" i="22"/>
  <c r="G107" i="22"/>
  <c r="C126" i="31"/>
  <c r="C94" i="31"/>
  <c r="G76" i="22"/>
  <c r="G75" i="22"/>
  <c r="L51" i="22"/>
  <c r="G51" i="22"/>
  <c r="G50" i="22"/>
  <c r="G49" i="22"/>
  <c r="L57" i="29"/>
  <c r="L56" i="29"/>
  <c r="L55" i="29"/>
  <c r="L54" i="29"/>
  <c r="L53" i="29"/>
  <c r="L52" i="29"/>
  <c r="L51" i="29"/>
  <c r="L50" i="29"/>
  <c r="L49" i="29"/>
  <c r="L48" i="29"/>
  <c r="AR251" i="1" s="1"/>
  <c r="L47" i="29"/>
  <c r="L46" i="29"/>
  <c r="L45" i="29"/>
  <c r="L44" i="29"/>
  <c r="L43" i="29"/>
  <c r="L42" i="29"/>
  <c r="L41" i="29"/>
  <c r="L40" i="29"/>
  <c r="L39" i="29"/>
  <c r="L38" i="29"/>
  <c r="L37" i="29"/>
  <c r="L36" i="29"/>
  <c r="L35" i="29"/>
  <c r="L34" i="29"/>
  <c r="L33" i="29"/>
  <c r="L32" i="29"/>
  <c r="L31" i="29"/>
  <c r="L30" i="29"/>
  <c r="L29" i="29"/>
  <c r="L28" i="29"/>
  <c r="L27" i="29"/>
  <c r="L26" i="29"/>
  <c r="L25" i="29"/>
  <c r="L24" i="29"/>
  <c r="L23" i="29"/>
  <c r="L22" i="29"/>
  <c r="L21" i="29"/>
  <c r="L20" i="29"/>
  <c r="L19" i="29"/>
  <c r="L18" i="29"/>
  <c r="L17" i="29"/>
  <c r="L16" i="29"/>
  <c r="L15" i="29"/>
  <c r="L14" i="29"/>
  <c r="L13" i="29"/>
  <c r="L12" i="29"/>
  <c r="L11" i="29"/>
  <c r="L10" i="29"/>
  <c r="L9" i="29"/>
  <c r="L8" i="29"/>
  <c r="AR313" i="1" s="1"/>
  <c r="L7" i="29"/>
  <c r="L6" i="29"/>
  <c r="L4" i="29" s="1"/>
  <c r="AR318" i="1" l="1"/>
  <c r="AR187" i="1"/>
  <c r="AR335" i="1"/>
  <c r="AR310" i="1"/>
  <c r="AR236" i="1"/>
  <c r="I10" i="28"/>
  <c r="AR12" i="1" s="1"/>
  <c r="I9" i="28"/>
  <c r="I8" i="28"/>
  <c r="AR11" i="1" s="1"/>
  <c r="I7" i="28"/>
  <c r="G106" i="22"/>
  <c r="G105" i="22"/>
  <c r="O23" i="31"/>
  <c r="I46" i="22"/>
  <c r="L46" i="22" s="1"/>
  <c r="L44" i="22"/>
  <c r="L45" i="22"/>
  <c r="G45" i="22"/>
  <c r="G44" i="22"/>
  <c r="G46" i="22"/>
  <c r="L40" i="22"/>
  <c r="I41" i="22"/>
  <c r="L41" i="22" s="1"/>
  <c r="G41" i="22"/>
  <c r="G40" i="22"/>
  <c r="L12" i="31"/>
  <c r="H12" i="31"/>
  <c r="G36" i="22"/>
  <c r="G37" i="22"/>
  <c r="G71" i="22"/>
  <c r="G70" i="22"/>
  <c r="H36" i="22" l="1"/>
  <c r="L36" i="22" s="1"/>
  <c r="I37" i="22" l="1"/>
  <c r="E53" i="9"/>
  <c r="E47" i="9"/>
  <c r="E46" i="9"/>
  <c r="E45" i="9"/>
  <c r="E43" i="9"/>
  <c r="E37" i="9"/>
  <c r="E33" i="9"/>
  <c r="E28" i="9"/>
  <c r="E27" i="9"/>
  <c r="E26" i="9"/>
  <c r="E17" i="9"/>
  <c r="E14" i="9"/>
  <c r="L37" i="22" l="1"/>
  <c r="Q2" i="9" l="1"/>
  <c r="P2" i="9"/>
  <c r="AK2" i="9" l="1"/>
  <c r="AJ2" i="9"/>
  <c r="AI2" i="9"/>
  <c r="AH2" i="9"/>
  <c r="AG2" i="9"/>
  <c r="AE2" i="9"/>
  <c r="AD2" i="9"/>
  <c r="AC2" i="9"/>
  <c r="AB2" i="9"/>
  <c r="AA2" i="9"/>
  <c r="Z2" i="9"/>
  <c r="Y2" i="9"/>
  <c r="X2" i="9"/>
  <c r="W2" i="9"/>
  <c r="V2" i="9"/>
  <c r="U2" i="9"/>
  <c r="T2" i="9"/>
  <c r="S2" i="9"/>
  <c r="R2" i="9"/>
  <c r="O2" i="9"/>
  <c r="N2" i="9"/>
  <c r="M2" i="9"/>
  <c r="L2" i="9"/>
  <c r="K2" i="9"/>
  <c r="J2" i="9"/>
  <c r="I2" i="9"/>
  <c r="H2" i="9"/>
  <c r="G2" i="9"/>
  <c r="G24" i="30"/>
  <c r="G23" i="30"/>
  <c r="G33" i="22"/>
  <c r="G32" i="22"/>
  <c r="G31" i="22"/>
  <c r="L23" i="22"/>
  <c r="I24" i="22"/>
  <c r="L24" i="22" s="1"/>
  <c r="G24" i="22" l="1"/>
  <c r="G23" i="22"/>
  <c r="G20" i="22"/>
  <c r="G19" i="22"/>
  <c r="G18" i="22"/>
  <c r="G17" i="22"/>
  <c r="AR356" i="1"/>
  <c r="AK356" i="1"/>
  <c r="AJ356" i="1"/>
  <c r="AG356" i="1"/>
  <c r="AF356" i="1"/>
  <c r="AB356" i="1"/>
  <c r="AA356" i="1"/>
  <c r="Z356" i="1"/>
  <c r="P356" i="1"/>
  <c r="K32" i="7" s="1"/>
  <c r="O356" i="1"/>
  <c r="J32" i="7" s="1"/>
  <c r="N356" i="1"/>
  <c r="I32" i="7" s="1"/>
  <c r="I356" i="1"/>
  <c r="D32" i="7" s="1"/>
  <c r="G32" i="7" s="1"/>
  <c r="AK177" i="1"/>
  <c r="AJ177" i="1"/>
  <c r="AG177" i="1"/>
  <c r="AF177" i="1"/>
  <c r="AB177" i="1"/>
  <c r="AA177" i="1"/>
  <c r="Z177" i="1"/>
  <c r="N177" i="1"/>
  <c r="I177" i="1"/>
  <c r="C14" i="30"/>
  <c r="I19" i="22" s="1"/>
  <c r="L19" i="22" s="1"/>
  <c r="H9" i="30"/>
  <c r="L7" i="30"/>
  <c r="AJ173" i="1"/>
  <c r="AK173" i="1"/>
  <c r="AF173" i="1"/>
  <c r="AG173" i="1"/>
  <c r="Z173" i="1"/>
  <c r="AA173" i="1"/>
  <c r="AB173" i="1"/>
  <c r="N173" i="1"/>
  <c r="N174" i="1"/>
  <c r="AJ99" i="1"/>
  <c r="AK99" i="1"/>
  <c r="AF99" i="1"/>
  <c r="AG99" i="1"/>
  <c r="Z99" i="1"/>
  <c r="AA99" i="1"/>
  <c r="AB99" i="1"/>
  <c r="N99" i="1"/>
  <c r="N100" i="1"/>
  <c r="I99" i="1"/>
  <c r="G14" i="22"/>
  <c r="G13" i="22"/>
  <c r="G12" i="22"/>
  <c r="G11" i="22"/>
  <c r="G10" i="22"/>
  <c r="L9" i="30" l="1"/>
  <c r="L8" i="30" s="1"/>
  <c r="I20" i="22" s="1"/>
  <c r="L20" i="22" s="1"/>
  <c r="I14" i="22"/>
  <c r="L14" i="22" s="1"/>
  <c r="L32" i="7"/>
  <c r="Q356" i="1"/>
  <c r="BP356" i="1" s="1"/>
  <c r="H12" i="22"/>
  <c r="L12" i="22" s="1"/>
  <c r="H11" i="22"/>
  <c r="L11" i="22" s="1"/>
  <c r="H17" i="22"/>
  <c r="L17" i="22" s="1"/>
  <c r="H18" i="22"/>
  <c r="L18" i="22" s="1"/>
  <c r="I13" i="22"/>
  <c r="L13" i="22" s="1"/>
  <c r="L356" i="1"/>
  <c r="AL356" i="1"/>
  <c r="AC356" i="1"/>
  <c r="AH356" i="1"/>
  <c r="L177" i="1"/>
  <c r="Q174" i="1"/>
  <c r="BP174" i="1" s="1"/>
  <c r="BR174" i="1" s="1"/>
  <c r="Q177" i="1"/>
  <c r="AC177" i="1"/>
  <c r="AL177" i="1"/>
  <c r="Q100" i="1"/>
  <c r="AC173" i="1"/>
  <c r="L173" i="1"/>
  <c r="Q99" i="1"/>
  <c r="AL173" i="1"/>
  <c r="Q173" i="1"/>
  <c r="L99" i="1"/>
  <c r="AL99" i="1"/>
  <c r="AC99" i="1"/>
  <c r="R10" i="22" l="1"/>
  <c r="D124" i="31"/>
  <c r="L10" i="30"/>
  <c r="C23" i="30" s="1"/>
  <c r="BR100" i="1"/>
  <c r="T80" i="6"/>
  <c r="X3" i="17" s="1"/>
  <c r="BR99" i="1"/>
  <c r="T81" i="6"/>
  <c r="BR356" i="1"/>
  <c r="T32" i="7"/>
  <c r="BR177" i="1"/>
  <c r="T137" i="6"/>
  <c r="BR173" i="1"/>
  <c r="T130" i="6"/>
  <c r="V130" i="6" s="1"/>
  <c r="S356" i="1"/>
  <c r="T356" i="1" s="1"/>
  <c r="S177" i="1"/>
  <c r="T177" i="1" s="1"/>
  <c r="S99" i="1"/>
  <c r="T99" i="1" s="1"/>
  <c r="S173" i="1"/>
  <c r="T173" i="1" s="1"/>
  <c r="D23" i="30" l="1"/>
  <c r="J23" i="30"/>
  <c r="K23" i="30" s="1"/>
  <c r="G823" i="18"/>
  <c r="Y3" i="17"/>
  <c r="I420" i="18"/>
  <c r="H10" i="22"/>
  <c r="C24" i="30"/>
  <c r="J24" i="30" s="1"/>
  <c r="D113" i="31"/>
  <c r="E112" i="31" s="1"/>
  <c r="C113" i="31"/>
  <c r="C25" i="30" l="1"/>
  <c r="D24" i="30"/>
  <c r="E111" i="31"/>
  <c r="E110" i="31"/>
  <c r="S16" i="31"/>
  <c r="S15" i="31"/>
  <c r="S14" i="31"/>
  <c r="W14" i="31" s="1"/>
  <c r="AA14" i="31" s="1"/>
  <c r="K53" i="31"/>
  <c r="O53" i="31" s="1"/>
  <c r="T16" i="31"/>
  <c r="T15" i="31"/>
  <c r="T14" i="31"/>
  <c r="C26" i="30" l="1"/>
  <c r="C27" i="30" s="1"/>
  <c r="C28" i="30" s="1"/>
  <c r="C29" i="30" s="1"/>
  <c r="C30" i="30" s="1"/>
  <c r="C31" i="30" s="1"/>
  <c r="C32" i="30" s="1"/>
  <c r="J25" i="30"/>
  <c r="S53" i="31"/>
  <c r="W53" i="31" s="1"/>
  <c r="AA53" i="31" s="1"/>
  <c r="AE53" i="31" s="1"/>
  <c r="AI53" i="31" s="1"/>
  <c r="AM53" i="31" s="1"/>
  <c r="AQ53" i="31" s="1"/>
  <c r="AU53" i="31" s="1"/>
  <c r="AY53" i="31" s="1"/>
  <c r="BC53" i="31" s="1"/>
  <c r="K24" i="30"/>
  <c r="D25" i="30"/>
  <c r="W16" i="31"/>
  <c r="S18" i="31"/>
  <c r="G20" i="10"/>
  <c r="G20" i="18" s="1"/>
  <c r="X16" i="31"/>
  <c r="X14" i="31"/>
  <c r="X15" i="31"/>
  <c r="AB17" i="31" l="1"/>
  <c r="AA17" i="31"/>
  <c r="C28" i="31"/>
  <c r="AB14" i="31"/>
  <c r="E28" i="31" s="1"/>
  <c r="C29" i="31"/>
  <c r="AB16" i="31"/>
  <c r="E29" i="31" s="1"/>
  <c r="R11" i="22"/>
  <c r="AA16" i="31"/>
  <c r="AA18" i="31" s="1"/>
  <c r="AC16" i="31"/>
  <c r="AB18" i="31"/>
  <c r="AC14" i="31"/>
  <c r="F28" i="31" s="1"/>
  <c r="BC60" i="31"/>
  <c r="C125" i="31"/>
  <c r="K25" i="30"/>
  <c r="D26" i="30" s="1"/>
  <c r="C124" i="31"/>
  <c r="E124" i="31" s="1"/>
  <c r="W18" i="31"/>
  <c r="X18" i="31"/>
  <c r="AC15" i="31" s="1"/>
  <c r="BD54" i="31"/>
  <c r="BD55" i="31"/>
  <c r="BD56" i="31"/>
  <c r="BD57" i="31"/>
  <c r="BD58" i="31"/>
  <c r="BD59" i="31"/>
  <c r="AY60" i="31"/>
  <c r="AZ54" i="31"/>
  <c r="BB54" i="31" s="1"/>
  <c r="AZ55" i="31"/>
  <c r="BB55" i="31" s="1"/>
  <c r="AZ56" i="31"/>
  <c r="BB56" i="31" s="1"/>
  <c r="AZ57" i="31"/>
  <c r="BB57" i="31" s="1"/>
  <c r="AZ58" i="31"/>
  <c r="BB58" i="31" s="1"/>
  <c r="AZ59" i="31"/>
  <c r="BB59" i="31" s="1"/>
  <c r="AU60" i="31"/>
  <c r="AV54" i="31"/>
  <c r="AV55" i="31"/>
  <c r="AV56" i="31"/>
  <c r="AV57" i="31"/>
  <c r="AV58" i="31"/>
  <c r="AV59" i="31"/>
  <c r="AQ60" i="31"/>
  <c r="AR54" i="31"/>
  <c r="AR55" i="31"/>
  <c r="AR56" i="31"/>
  <c r="AT56" i="31" s="1"/>
  <c r="AR57" i="31"/>
  <c r="AT57" i="31" s="1"/>
  <c r="AR58" i="31"/>
  <c r="AT58" i="31" s="1"/>
  <c r="AR59" i="31"/>
  <c r="AT59" i="31" s="1"/>
  <c r="AM60" i="31"/>
  <c r="AN54" i="31"/>
  <c r="AP54" i="31" s="1"/>
  <c r="AW54" i="31" s="1"/>
  <c r="AN55" i="31"/>
  <c r="AP55" i="31" s="1"/>
  <c r="AW55" i="31" s="1"/>
  <c r="AN56" i="31"/>
  <c r="AP56" i="31" s="1"/>
  <c r="AW56" i="31" s="1"/>
  <c r="AN57" i="31"/>
  <c r="AN58" i="31"/>
  <c r="AP58" i="31" s="1"/>
  <c r="AW58" i="31" s="1"/>
  <c r="AN59" i="31"/>
  <c r="AP59" i="31" s="1"/>
  <c r="AW59" i="31" s="1"/>
  <c r="AI60" i="31"/>
  <c r="AJ54" i="31"/>
  <c r="AJ55" i="31"/>
  <c r="AL55" i="31" s="1"/>
  <c r="AJ56" i="31"/>
  <c r="AL56" i="31" s="1"/>
  <c r="AJ57" i="31"/>
  <c r="AL57" i="31" s="1"/>
  <c r="AJ58" i="31"/>
  <c r="AL58" i="31" s="1"/>
  <c r="AJ59" i="31"/>
  <c r="AL59" i="31" s="1"/>
  <c r="AE60" i="31"/>
  <c r="AF54" i="31"/>
  <c r="AF55" i="31"/>
  <c r="AH55" i="31" s="1"/>
  <c r="AF56" i="31"/>
  <c r="AH56" i="31" s="1"/>
  <c r="AF57" i="31"/>
  <c r="AH57" i="31" s="1"/>
  <c r="AF58" i="31"/>
  <c r="AH58" i="31" s="1"/>
  <c r="AF59" i="31"/>
  <c r="AH59" i="31" s="1"/>
  <c r="AA60" i="31"/>
  <c r="AB54" i="31"/>
  <c r="AD54" i="31" s="1"/>
  <c r="AB55" i="31"/>
  <c r="AB56" i="31"/>
  <c r="AB57" i="31"/>
  <c r="AB58" i="31"/>
  <c r="AD58" i="31" s="1"/>
  <c r="AB59" i="31"/>
  <c r="AD59" i="31" s="1"/>
  <c r="W60" i="31"/>
  <c r="X54" i="31"/>
  <c r="Z54" i="31" s="1"/>
  <c r="X55" i="31"/>
  <c r="Z55" i="31" s="1"/>
  <c r="X56" i="31"/>
  <c r="Z56" i="31" s="1"/>
  <c r="X57" i="31"/>
  <c r="Z57" i="31" s="1"/>
  <c r="X58" i="31"/>
  <c r="X59" i="31"/>
  <c r="Z59" i="31" s="1"/>
  <c r="D56" i="31"/>
  <c r="D57" i="31"/>
  <c r="D58" i="31"/>
  <c r="D59" i="31"/>
  <c r="S60" i="31"/>
  <c r="T54" i="31"/>
  <c r="V54" i="31" s="1"/>
  <c r="T55" i="31"/>
  <c r="V55" i="31" s="1"/>
  <c r="T56" i="31"/>
  <c r="V56" i="31" s="1"/>
  <c r="T57" i="31"/>
  <c r="V57" i="31" s="1"/>
  <c r="T58" i="31"/>
  <c r="V58" i="31" s="1"/>
  <c r="T59" i="31"/>
  <c r="O60" i="31"/>
  <c r="P54" i="31"/>
  <c r="R54" i="31" s="1"/>
  <c r="P55" i="31"/>
  <c r="R55" i="31" s="1"/>
  <c r="P56" i="31"/>
  <c r="R56" i="31" s="1"/>
  <c r="P57" i="31"/>
  <c r="R57" i="31" s="1"/>
  <c r="P58" i="31"/>
  <c r="R58" i="31" s="1"/>
  <c r="P59" i="31"/>
  <c r="K60" i="31"/>
  <c r="L54" i="31"/>
  <c r="N54" i="31" s="1"/>
  <c r="L55" i="31"/>
  <c r="N55" i="31" s="1"/>
  <c r="L56" i="31"/>
  <c r="N56" i="31" s="1"/>
  <c r="L57" i="31"/>
  <c r="L58" i="31"/>
  <c r="L59" i="31"/>
  <c r="H54" i="31"/>
  <c r="H55" i="31"/>
  <c r="J55" i="31" s="1"/>
  <c r="H56" i="31"/>
  <c r="J56" i="31" s="1"/>
  <c r="H57" i="31"/>
  <c r="H58" i="31"/>
  <c r="J58" i="31" s="1"/>
  <c r="H59" i="31"/>
  <c r="J59" i="31" s="1"/>
  <c r="H53" i="31"/>
  <c r="G60" i="31"/>
  <c r="C60" i="31"/>
  <c r="K18" i="31"/>
  <c r="L18" i="31"/>
  <c r="M14" i="31" s="1"/>
  <c r="G18" i="31"/>
  <c r="H18" i="31"/>
  <c r="I16" i="31" s="1"/>
  <c r="D18" i="31"/>
  <c r="E14" i="31" s="1"/>
  <c r="C18" i="31"/>
  <c r="D54" i="31"/>
  <c r="D55" i="31"/>
  <c r="D53" i="31"/>
  <c r="O18" i="31"/>
  <c r="P18" i="31"/>
  <c r="C42" i="31" l="1"/>
  <c r="C33" i="31"/>
  <c r="AC17" i="31"/>
  <c r="F29" i="31" s="1"/>
  <c r="C41" i="31" s="1"/>
  <c r="C72" i="31"/>
  <c r="J26" i="30"/>
  <c r="Y15" i="31"/>
  <c r="F22" i="10"/>
  <c r="F22" i="18" s="1"/>
  <c r="Q15" i="31"/>
  <c r="T18" i="31"/>
  <c r="U14" i="31" s="1"/>
  <c r="Y16" i="31"/>
  <c r="D29" i="31" s="1"/>
  <c r="Y14" i="31"/>
  <c r="D28" i="31" s="1"/>
  <c r="J53" i="31"/>
  <c r="L53" i="31"/>
  <c r="L60" i="31" s="1"/>
  <c r="M57" i="31" s="1"/>
  <c r="M16" i="31"/>
  <c r="M15" i="31"/>
  <c r="AP57" i="31"/>
  <c r="AW57" i="31" s="1"/>
  <c r="Z58" i="31"/>
  <c r="D60" i="31"/>
  <c r="E54" i="31" s="1"/>
  <c r="AT54" i="31"/>
  <c r="AT55" i="31"/>
  <c r="AD57" i="31"/>
  <c r="E16" i="31"/>
  <c r="E15" i="31"/>
  <c r="J57" i="31"/>
  <c r="AD55" i="31"/>
  <c r="AH54" i="31"/>
  <c r="N59" i="31"/>
  <c r="I15" i="31"/>
  <c r="N58" i="31"/>
  <c r="H60" i="31"/>
  <c r="I57" i="31" s="1"/>
  <c r="R59" i="31"/>
  <c r="AD56" i="31"/>
  <c r="AL54" i="31"/>
  <c r="J54" i="31"/>
  <c r="N57" i="31"/>
  <c r="V59" i="31"/>
  <c r="I14" i="31"/>
  <c r="Q14" i="31"/>
  <c r="Q16" i="31"/>
  <c r="D76" i="31" l="1"/>
  <c r="H114" i="22"/>
  <c r="L114" i="22"/>
  <c r="K26" i="30"/>
  <c r="D27" i="30" s="1"/>
  <c r="J27" i="30" s="1"/>
  <c r="K27" i="30" s="1"/>
  <c r="D28" i="30" s="1"/>
  <c r="J28" i="30" s="1"/>
  <c r="K28" i="30" s="1"/>
  <c r="G22" i="10"/>
  <c r="G22" i="18" s="1"/>
  <c r="P53" i="31"/>
  <c r="N53" i="31"/>
  <c r="U16" i="31"/>
  <c r="U15" i="31"/>
  <c r="I56" i="31"/>
  <c r="I55" i="31"/>
  <c r="E53" i="31"/>
  <c r="E55" i="31"/>
  <c r="I54" i="31"/>
  <c r="M53" i="31"/>
  <c r="M54" i="31"/>
  <c r="M55" i="31"/>
  <c r="M56" i="31"/>
  <c r="I58" i="31"/>
  <c r="I59" i="31"/>
  <c r="I53" i="31"/>
  <c r="M59" i="31"/>
  <c r="M58" i="31"/>
  <c r="I115" i="22" l="1"/>
  <c r="L115" i="22" s="1"/>
  <c r="D29" i="30"/>
  <c r="R53" i="31"/>
  <c r="T53" i="31"/>
  <c r="P60" i="31"/>
  <c r="V4" i="22"/>
  <c r="L10" i="22"/>
  <c r="X4" i="22"/>
  <c r="W4" i="22"/>
  <c r="F15" i="18"/>
  <c r="AK354" i="1"/>
  <c r="AK351" i="1"/>
  <c r="AK35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4" i="1"/>
  <c r="AK345" i="1"/>
  <c r="AK346" i="1"/>
  <c r="AK347" i="1"/>
  <c r="AK348"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7" i="1"/>
  <c r="AK298" i="1"/>
  <c r="AK299" i="1"/>
  <c r="AK300" i="1"/>
  <c r="AK251" i="1"/>
  <c r="AK252" i="1"/>
  <c r="AK253" i="1"/>
  <c r="AK254" i="1"/>
  <c r="AK255" i="1"/>
  <c r="AK256" i="1"/>
  <c r="AK258" i="1"/>
  <c r="AK259" i="1"/>
  <c r="AK260" i="1"/>
  <c r="AK261" i="1"/>
  <c r="AK262" i="1"/>
  <c r="AK263" i="1"/>
  <c r="AK264" i="1"/>
  <c r="AK265" i="1"/>
  <c r="AK266" i="1"/>
  <c r="AK267" i="1"/>
  <c r="AK268" i="1"/>
  <c r="AK269" i="1"/>
  <c r="AK236" i="1"/>
  <c r="AK237" i="1"/>
  <c r="AK238" i="1"/>
  <c r="AK239" i="1"/>
  <c r="AK240" i="1"/>
  <c r="AK241" i="1"/>
  <c r="AK244" i="1"/>
  <c r="AK245" i="1"/>
  <c r="AK246" i="1"/>
  <c r="AK247" i="1"/>
  <c r="AK248" i="1"/>
  <c r="AK210" i="1"/>
  <c r="AK211" i="1"/>
  <c r="AK212" i="1"/>
  <c r="AK213" i="1"/>
  <c r="AK214" i="1"/>
  <c r="AK215" i="1"/>
  <c r="AK216" i="1"/>
  <c r="AK217" i="1"/>
  <c r="AK218" i="1"/>
  <c r="AK219" i="1"/>
  <c r="AK220" i="1"/>
  <c r="AK221" i="1"/>
  <c r="AK222" i="1"/>
  <c r="AK223" i="1"/>
  <c r="AK224" i="1"/>
  <c r="AK225" i="1"/>
  <c r="AK226" i="1"/>
  <c r="AK227" i="1"/>
  <c r="AK228" i="1"/>
  <c r="AK229" i="1"/>
  <c r="AK231" i="1"/>
  <c r="AK232" i="1"/>
  <c r="AK233" i="1"/>
  <c r="AK186" i="1"/>
  <c r="AK188" i="1"/>
  <c r="AK189" i="1"/>
  <c r="AK190" i="1"/>
  <c r="AK191" i="1"/>
  <c r="AK192" i="1"/>
  <c r="AK193" i="1"/>
  <c r="AK194" i="1"/>
  <c r="AK195" i="1"/>
  <c r="AK196" i="1"/>
  <c r="AK197" i="1"/>
  <c r="AK198" i="1"/>
  <c r="AK199" i="1"/>
  <c r="AK200" i="1"/>
  <c r="AK201" i="1"/>
  <c r="AK202" i="1"/>
  <c r="AK203" i="1"/>
  <c r="AK204" i="1"/>
  <c r="AK205" i="1"/>
  <c r="AK206" i="1"/>
  <c r="AK207" i="1"/>
  <c r="AK170" i="1"/>
  <c r="AK171" i="1"/>
  <c r="AK172" i="1"/>
  <c r="AK174" i="1"/>
  <c r="AK175" i="1"/>
  <c r="AK167" i="1"/>
  <c r="AK163"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27" i="1"/>
  <c r="AK124" i="1"/>
  <c r="AK121" i="1"/>
  <c r="AK110" i="1"/>
  <c r="AK111" i="1"/>
  <c r="AK112" i="1"/>
  <c r="AK113" i="1"/>
  <c r="AK114" i="1"/>
  <c r="AK115" i="1"/>
  <c r="AK116" i="1"/>
  <c r="AK117" i="1"/>
  <c r="AK118" i="1"/>
  <c r="AK107" i="1"/>
  <c r="AK95" i="1"/>
  <c r="AK96" i="1"/>
  <c r="AK97" i="1"/>
  <c r="AK100" i="1"/>
  <c r="AK90" i="1"/>
  <c r="AK92" i="1"/>
  <c r="AK87" i="1"/>
  <c r="AK82" i="1"/>
  <c r="AK83" i="1"/>
  <c r="AK84" i="1"/>
  <c r="AK76" i="1"/>
  <c r="AK77" i="1"/>
  <c r="AK78" i="1"/>
  <c r="AK79" i="1"/>
  <c r="AK68" i="1"/>
  <c r="AK69" i="1"/>
  <c r="AK70" i="1"/>
  <c r="AK71" i="1"/>
  <c r="AK65" i="1"/>
  <c r="AK64" i="1"/>
  <c r="AK46" i="1"/>
  <c r="AK47" i="1"/>
  <c r="AK48" i="1"/>
  <c r="AK49" i="1"/>
  <c r="AK50" i="1"/>
  <c r="AK51" i="1"/>
  <c r="AK52" i="1"/>
  <c r="AK53" i="1"/>
  <c r="AK54" i="1"/>
  <c r="AK55" i="1"/>
  <c r="AK56" i="1"/>
  <c r="AK57" i="1"/>
  <c r="AK58" i="1"/>
  <c r="AK59" i="1"/>
  <c r="AK60" i="1"/>
  <c r="AK61" i="1"/>
  <c r="AK42" i="1"/>
  <c r="AK43" i="1"/>
  <c r="AK38" i="1"/>
  <c r="AK39" i="1"/>
  <c r="AK31" i="1"/>
  <c r="AK32" i="1"/>
  <c r="AK33" i="1"/>
  <c r="AK34" i="1"/>
  <c r="AK35" i="1"/>
  <c r="AK22" i="1"/>
  <c r="AK23" i="1"/>
  <c r="AK24" i="1"/>
  <c r="AK25" i="1"/>
  <c r="AK26" i="1"/>
  <c r="AK27" i="1"/>
  <c r="AK28" i="1"/>
  <c r="AK18" i="1"/>
  <c r="AK12" i="1"/>
  <c r="AK13" i="1"/>
  <c r="AK14" i="1"/>
  <c r="AK15" i="1"/>
  <c r="AK11" i="1"/>
  <c r="AJ210" i="1"/>
  <c r="AJ211" i="1"/>
  <c r="AJ212" i="1"/>
  <c r="AJ213" i="1"/>
  <c r="AJ214" i="1"/>
  <c r="AJ215" i="1"/>
  <c r="AJ216" i="1"/>
  <c r="AJ217" i="1"/>
  <c r="AJ218" i="1"/>
  <c r="AJ219" i="1"/>
  <c r="AJ220" i="1"/>
  <c r="AJ221" i="1"/>
  <c r="AJ222" i="1"/>
  <c r="AJ223" i="1"/>
  <c r="AJ224" i="1"/>
  <c r="AJ225" i="1"/>
  <c r="AJ226" i="1"/>
  <c r="AJ227" i="1"/>
  <c r="AJ228" i="1"/>
  <c r="AJ229" i="1"/>
  <c r="AJ231" i="1"/>
  <c r="AJ232" i="1"/>
  <c r="AJ233" i="1"/>
  <c r="AJ188" i="1"/>
  <c r="AJ189" i="1"/>
  <c r="AJ190" i="1"/>
  <c r="AJ191" i="1"/>
  <c r="AJ192" i="1"/>
  <c r="AJ193" i="1"/>
  <c r="AJ194" i="1"/>
  <c r="AJ195" i="1"/>
  <c r="AJ196" i="1"/>
  <c r="AJ197" i="1"/>
  <c r="AJ198" i="1"/>
  <c r="AJ199" i="1"/>
  <c r="AJ200" i="1"/>
  <c r="AJ201" i="1"/>
  <c r="AJ202" i="1"/>
  <c r="AJ203" i="1"/>
  <c r="AJ204" i="1"/>
  <c r="AJ205" i="1"/>
  <c r="AJ206" i="1"/>
  <c r="AJ207" i="1"/>
  <c r="AJ186" i="1"/>
  <c r="L7" i="27"/>
  <c r="AJ313" i="1" s="1"/>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6" i="27"/>
  <c r="AJ171" i="1"/>
  <c r="AJ172" i="1"/>
  <c r="AJ174" i="1"/>
  <c r="AJ167" i="1"/>
  <c r="AJ163"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27" i="1"/>
  <c r="AJ124" i="1"/>
  <c r="AJ121" i="1"/>
  <c r="AJ110" i="1"/>
  <c r="AJ111" i="1"/>
  <c r="AJ113" i="1"/>
  <c r="AJ114" i="1"/>
  <c r="AJ115" i="1"/>
  <c r="AJ116" i="1"/>
  <c r="AJ117" i="1"/>
  <c r="AJ118" i="1"/>
  <c r="AJ107" i="1"/>
  <c r="AJ95" i="1"/>
  <c r="AJ96" i="1"/>
  <c r="AJ97" i="1"/>
  <c r="AJ100" i="1"/>
  <c r="AJ90" i="1"/>
  <c r="AJ91" i="1"/>
  <c r="AJ92" i="1"/>
  <c r="AJ87" i="1"/>
  <c r="AJ82" i="1"/>
  <c r="AJ83" i="1"/>
  <c r="AJ84" i="1"/>
  <c r="AJ76" i="1"/>
  <c r="AJ77" i="1"/>
  <c r="AJ78" i="1"/>
  <c r="AJ79" i="1"/>
  <c r="AJ68" i="1"/>
  <c r="AJ69" i="1"/>
  <c r="AJ71" i="1"/>
  <c r="AJ64" i="1"/>
  <c r="AJ65" i="1"/>
  <c r="AJ46" i="1"/>
  <c r="AJ47" i="1"/>
  <c r="AJ48" i="1"/>
  <c r="AJ49" i="1"/>
  <c r="AJ50" i="1"/>
  <c r="AJ51" i="1"/>
  <c r="AJ52" i="1"/>
  <c r="AJ53" i="1"/>
  <c r="AJ54" i="1"/>
  <c r="AJ55" i="1"/>
  <c r="AJ56" i="1"/>
  <c r="AJ57" i="1"/>
  <c r="AJ58" i="1"/>
  <c r="AJ59" i="1"/>
  <c r="AJ60" i="1"/>
  <c r="AJ61" i="1"/>
  <c r="AJ42" i="1"/>
  <c r="AJ43" i="1"/>
  <c r="AJ38" i="1"/>
  <c r="AJ39" i="1"/>
  <c r="AJ31" i="1"/>
  <c r="AJ32" i="1"/>
  <c r="AJ33" i="1"/>
  <c r="AJ34" i="1"/>
  <c r="AJ35" i="1"/>
  <c r="AJ22" i="1"/>
  <c r="AJ23" i="1"/>
  <c r="AJ24" i="1"/>
  <c r="AJ25" i="1"/>
  <c r="AJ26" i="1"/>
  <c r="AJ27" i="1"/>
  <c r="AJ28" i="1"/>
  <c r="AJ18" i="1"/>
  <c r="AJ13" i="1"/>
  <c r="AJ14" i="1"/>
  <c r="AJ15" i="1"/>
  <c r="AJ11" i="1"/>
  <c r="AJ12" i="1"/>
  <c r="AJ70" i="1"/>
  <c r="AJ112" i="1"/>
  <c r="AJ170" i="1"/>
  <c r="AJ175" i="1"/>
  <c r="AJ176" i="1"/>
  <c r="I7" i="26"/>
  <c r="AB170" i="1"/>
  <c r="AB171" i="1"/>
  <c r="AB172" i="1"/>
  <c r="AB174" i="1"/>
  <c r="AB166" i="1"/>
  <c r="AB163" i="1"/>
  <c r="AB130" i="1"/>
  <c r="AB131" i="1"/>
  <c r="AB132" i="1"/>
  <c r="AB133"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27" i="1"/>
  <c r="AB124" i="1"/>
  <c r="AB121" i="1"/>
  <c r="AB110" i="1"/>
  <c r="AB111" i="1"/>
  <c r="AB112" i="1"/>
  <c r="AB113" i="1"/>
  <c r="AB114" i="1"/>
  <c r="AB115" i="1"/>
  <c r="AB116" i="1"/>
  <c r="AB117" i="1"/>
  <c r="AB118" i="1"/>
  <c r="AB107" i="1"/>
  <c r="AB95" i="1"/>
  <c r="AB96" i="1"/>
  <c r="AB97" i="1"/>
  <c r="AB100" i="1"/>
  <c r="AB91" i="1"/>
  <c r="AB87" i="1"/>
  <c r="AB82" i="1"/>
  <c r="AB83" i="1"/>
  <c r="AB84" i="1"/>
  <c r="AB76" i="1"/>
  <c r="AB77" i="1"/>
  <c r="AB78" i="1"/>
  <c r="AB79" i="1"/>
  <c r="AB68" i="1"/>
  <c r="AB69" i="1"/>
  <c r="AB70" i="1"/>
  <c r="AB71" i="1"/>
  <c r="AB64" i="1"/>
  <c r="AB65" i="1"/>
  <c r="AB11" i="1"/>
  <c r="AB12" i="1"/>
  <c r="AB13" i="1"/>
  <c r="AB14" i="1"/>
  <c r="AB15" i="1"/>
  <c r="AB18" i="1"/>
  <c r="AB22" i="1"/>
  <c r="AB23" i="1"/>
  <c r="AB24" i="1"/>
  <c r="AB25" i="1"/>
  <c r="AB26" i="1"/>
  <c r="AB27" i="1"/>
  <c r="AB28" i="1"/>
  <c r="AB31" i="1"/>
  <c r="AB32" i="1"/>
  <c r="AB33" i="1"/>
  <c r="AB34" i="1"/>
  <c r="AB35" i="1"/>
  <c r="AB38" i="1"/>
  <c r="AB39" i="1"/>
  <c r="AB42" i="1"/>
  <c r="AB43" i="1"/>
  <c r="AB58" i="1"/>
  <c r="AB59" i="1"/>
  <c r="AB60" i="1"/>
  <c r="AB61" i="1"/>
  <c r="AB46" i="1"/>
  <c r="AB47" i="1"/>
  <c r="AB48" i="1"/>
  <c r="AB49" i="1"/>
  <c r="AB50" i="1"/>
  <c r="AB51" i="1"/>
  <c r="AB52" i="1"/>
  <c r="AB53" i="1"/>
  <c r="AB54" i="1"/>
  <c r="AB55" i="1"/>
  <c r="AB56" i="1"/>
  <c r="AA354" i="1"/>
  <c r="AB354" i="1"/>
  <c r="AA351" i="1"/>
  <c r="AA35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4" i="1"/>
  <c r="AA345" i="1"/>
  <c r="AA346" i="1"/>
  <c r="AA347" i="1"/>
  <c r="AA348"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7" i="1"/>
  <c r="AA298" i="1"/>
  <c r="AA299" i="1"/>
  <c r="AA300" i="1"/>
  <c r="AA251" i="1"/>
  <c r="AA252" i="1"/>
  <c r="AA253" i="1"/>
  <c r="AA254" i="1"/>
  <c r="AA255" i="1"/>
  <c r="AA256" i="1"/>
  <c r="AA258" i="1"/>
  <c r="AA259" i="1"/>
  <c r="AA260" i="1"/>
  <c r="AA261" i="1"/>
  <c r="AA262" i="1"/>
  <c r="AA263" i="1"/>
  <c r="AA264" i="1"/>
  <c r="AA265" i="1"/>
  <c r="AA266" i="1"/>
  <c r="AA267" i="1"/>
  <c r="AA268" i="1"/>
  <c r="AA269" i="1"/>
  <c r="AA236" i="1"/>
  <c r="AA237" i="1"/>
  <c r="AA238" i="1"/>
  <c r="AA239" i="1"/>
  <c r="AA240" i="1"/>
  <c r="AA241" i="1"/>
  <c r="AA244" i="1"/>
  <c r="AA245" i="1"/>
  <c r="AA246" i="1"/>
  <c r="AA247" i="1"/>
  <c r="AA248" i="1"/>
  <c r="AA210" i="1"/>
  <c r="AA211" i="1"/>
  <c r="AA212" i="1"/>
  <c r="AA213" i="1"/>
  <c r="AA214" i="1"/>
  <c r="AA215" i="1"/>
  <c r="AA216" i="1"/>
  <c r="AA217" i="1"/>
  <c r="AA218" i="1"/>
  <c r="AA219" i="1"/>
  <c r="AA220" i="1"/>
  <c r="AA221" i="1"/>
  <c r="AA222" i="1"/>
  <c r="AA223" i="1"/>
  <c r="AA224" i="1"/>
  <c r="AA225" i="1"/>
  <c r="AA226" i="1"/>
  <c r="AA227" i="1"/>
  <c r="AA228" i="1"/>
  <c r="AA229" i="1"/>
  <c r="AA231" i="1"/>
  <c r="AA232" i="1"/>
  <c r="AA233" i="1"/>
  <c r="AA186" i="1"/>
  <c r="AA188" i="1"/>
  <c r="AA189" i="1"/>
  <c r="AA190" i="1"/>
  <c r="AA191" i="1"/>
  <c r="AA192" i="1"/>
  <c r="AA193" i="1"/>
  <c r="AA194" i="1"/>
  <c r="AA195" i="1"/>
  <c r="AA196" i="1"/>
  <c r="AA197" i="1"/>
  <c r="AA198" i="1"/>
  <c r="AA199" i="1"/>
  <c r="AA200" i="1"/>
  <c r="AA201" i="1"/>
  <c r="AA202" i="1"/>
  <c r="AA203" i="1"/>
  <c r="AA204" i="1"/>
  <c r="AA205" i="1"/>
  <c r="AA206" i="1"/>
  <c r="AA207" i="1"/>
  <c r="AA170" i="1"/>
  <c r="AA171" i="1"/>
  <c r="AA172" i="1"/>
  <c r="AA174" i="1"/>
  <c r="AA175" i="1"/>
  <c r="AA163"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27" i="1"/>
  <c r="AA124" i="1"/>
  <c r="AA121" i="1"/>
  <c r="AA110" i="1"/>
  <c r="AA111" i="1"/>
  <c r="AA112" i="1"/>
  <c r="AA113" i="1"/>
  <c r="AA114" i="1"/>
  <c r="AA115" i="1"/>
  <c r="AA116" i="1"/>
  <c r="AA117" i="1"/>
  <c r="AA118" i="1"/>
  <c r="AA107" i="1"/>
  <c r="AA95" i="1"/>
  <c r="AA96" i="1"/>
  <c r="AA97" i="1"/>
  <c r="AA100" i="1"/>
  <c r="AA92" i="1"/>
  <c r="AA91" i="1"/>
  <c r="AA87" i="1"/>
  <c r="AA82" i="1"/>
  <c r="AA83" i="1"/>
  <c r="AA84" i="1"/>
  <c r="AA76" i="1"/>
  <c r="AA77" i="1"/>
  <c r="AA78" i="1"/>
  <c r="AA79" i="1"/>
  <c r="AA68" i="1"/>
  <c r="AA69" i="1"/>
  <c r="AA70" i="1"/>
  <c r="AA71" i="1"/>
  <c r="AA64" i="1"/>
  <c r="AA65" i="1"/>
  <c r="AA46" i="1"/>
  <c r="AA47" i="1"/>
  <c r="AA48" i="1"/>
  <c r="AA49" i="1"/>
  <c r="AA50" i="1"/>
  <c r="AA51" i="1"/>
  <c r="AA52" i="1"/>
  <c r="AA53" i="1"/>
  <c r="AA54" i="1"/>
  <c r="AA55" i="1"/>
  <c r="AA56" i="1"/>
  <c r="AA57" i="1"/>
  <c r="AA58" i="1"/>
  <c r="AA59" i="1"/>
  <c r="AA60" i="1"/>
  <c r="AA61" i="1"/>
  <c r="AA42" i="1"/>
  <c r="AA43" i="1"/>
  <c r="AA38" i="1"/>
  <c r="AA39" i="1"/>
  <c r="AA31" i="1"/>
  <c r="AA32" i="1"/>
  <c r="AA33" i="1"/>
  <c r="AA34" i="1"/>
  <c r="AA35" i="1"/>
  <c r="AA22" i="1"/>
  <c r="AA23" i="1"/>
  <c r="AA24" i="1"/>
  <c r="AA25" i="1"/>
  <c r="AA26" i="1"/>
  <c r="AA27" i="1"/>
  <c r="AA28" i="1"/>
  <c r="AA18" i="1"/>
  <c r="AA12" i="1"/>
  <c r="AA13" i="1"/>
  <c r="AA14" i="1"/>
  <c r="AA15" i="1"/>
  <c r="AA11" i="1"/>
  <c r="K78" i="21"/>
  <c r="AB57" i="1" s="1"/>
  <c r="K79" i="21"/>
  <c r="AB134" i="1" s="1"/>
  <c r="F78" i="21"/>
  <c r="F79" i="21"/>
  <c r="U455" i="10"/>
  <c r="L455" i="10"/>
  <c r="U456" i="10"/>
  <c r="L456" i="10"/>
  <c r="U457" i="10"/>
  <c r="L457" i="10"/>
  <c r="U458" i="10"/>
  <c r="L458" i="10"/>
  <c r="U459" i="10"/>
  <c r="L459" i="10"/>
  <c r="U460" i="10"/>
  <c r="L460" i="10"/>
  <c r="U461" i="10"/>
  <c r="L461" i="10"/>
  <c r="U462" i="10"/>
  <c r="L462" i="10"/>
  <c r="U463" i="10"/>
  <c r="L463" i="10"/>
  <c r="U464" i="10"/>
  <c r="L464" i="10"/>
  <c r="U465" i="10"/>
  <c r="L465" i="10"/>
  <c r="U466" i="10"/>
  <c r="L466" i="10"/>
  <c r="U467" i="10"/>
  <c r="L467" i="10"/>
  <c r="U468" i="10"/>
  <c r="L468" i="10"/>
  <c r="U469" i="10"/>
  <c r="L469" i="10"/>
  <c r="U470" i="10"/>
  <c r="L470" i="10"/>
  <c r="U471" i="10"/>
  <c r="L471" i="10"/>
  <c r="U472" i="10"/>
  <c r="L472" i="10"/>
  <c r="U473" i="10"/>
  <c r="L473" i="10"/>
  <c r="U474" i="10"/>
  <c r="L474" i="10"/>
  <c r="U475" i="10"/>
  <c r="L475" i="10"/>
  <c r="U476" i="10"/>
  <c r="L476" i="10"/>
  <c r="U477" i="10"/>
  <c r="L477" i="10"/>
  <c r="I478"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F478" i="10"/>
  <c r="G145" i="10"/>
  <c r="I145" i="10"/>
  <c r="I711" i="10"/>
  <c r="I708" i="10"/>
  <c r="I707" i="10"/>
  <c r="I706" i="10"/>
  <c r="P20" i="25"/>
  <c r="P21" i="25"/>
  <c r="P22" i="25"/>
  <c r="P23" i="25"/>
  <c r="P24" i="25"/>
  <c r="P25" i="25"/>
  <c r="P11" i="25"/>
  <c r="P12" i="25"/>
  <c r="P13" i="25"/>
  <c r="P14" i="25"/>
  <c r="P15" i="25"/>
  <c r="P10" i="25"/>
  <c r="AJ342" i="1" l="1"/>
  <c r="AL342" i="1" s="1"/>
  <c r="I766" i="18"/>
  <c r="I767" i="18"/>
  <c r="I770" i="18"/>
  <c r="I765" i="18"/>
  <c r="G780" i="18"/>
  <c r="I764" i="18"/>
  <c r="AJ236" i="1"/>
  <c r="AL236" i="1" s="1"/>
  <c r="AJ343" i="1"/>
  <c r="AL343" i="1" s="1"/>
  <c r="L4" i="27"/>
  <c r="AT35" i="1"/>
  <c r="J29" i="30"/>
  <c r="AL325" i="1"/>
  <c r="AL288" i="1"/>
  <c r="I713" i="10"/>
  <c r="AL337" i="1"/>
  <c r="AL313" i="1"/>
  <c r="AL276" i="1"/>
  <c r="M468" i="10"/>
  <c r="T468" i="10" s="1"/>
  <c r="M474" i="10"/>
  <c r="T474" i="10" s="1"/>
  <c r="M462" i="10"/>
  <c r="T462" i="10" s="1"/>
  <c r="M457" i="10"/>
  <c r="T457" i="10" s="1"/>
  <c r="M463" i="10"/>
  <c r="T463" i="10" s="1"/>
  <c r="M475" i="10"/>
  <c r="T475" i="10" s="1"/>
  <c r="M467" i="10"/>
  <c r="T467" i="10" s="1"/>
  <c r="M461" i="10"/>
  <c r="T461" i="10" s="1"/>
  <c r="AL241" i="1"/>
  <c r="AL263" i="1"/>
  <c r="AT34" i="1"/>
  <c r="AT57" i="1"/>
  <c r="AL174" i="1"/>
  <c r="AL221" i="1"/>
  <c r="AL248" i="1"/>
  <c r="AL268" i="1"/>
  <c r="AL255" i="1"/>
  <c r="AL345" i="1"/>
  <c r="AL332" i="1"/>
  <c r="AL320" i="1"/>
  <c r="AL308" i="1"/>
  <c r="AL233" i="1"/>
  <c r="AL220" i="1"/>
  <c r="AL247" i="1"/>
  <c r="AL267" i="1"/>
  <c r="AL254" i="1"/>
  <c r="AL344" i="1"/>
  <c r="AL331" i="1"/>
  <c r="AL319" i="1"/>
  <c r="AL307" i="1"/>
  <c r="AL198" i="1"/>
  <c r="AT49" i="1"/>
  <c r="AL146" i="1"/>
  <c r="AL218" i="1"/>
  <c r="AL289" i="1"/>
  <c r="AL277" i="1"/>
  <c r="AT26" i="1"/>
  <c r="AT51" i="1"/>
  <c r="AT79" i="1"/>
  <c r="AT25" i="1"/>
  <c r="AT50" i="1"/>
  <c r="AT61" i="1"/>
  <c r="AL50" i="1"/>
  <c r="AL150" i="1"/>
  <c r="AL138" i="1"/>
  <c r="AL158" i="1"/>
  <c r="AL197" i="1"/>
  <c r="L50" i="22"/>
  <c r="AT15" i="1"/>
  <c r="AT14" i="1"/>
  <c r="AL11" i="1"/>
  <c r="AL22" i="1"/>
  <c r="AL147" i="1"/>
  <c r="AL135" i="1"/>
  <c r="AT11" i="1"/>
  <c r="AL56" i="1"/>
  <c r="AL115" i="1"/>
  <c r="AL156" i="1"/>
  <c r="AL132" i="1"/>
  <c r="AL215" i="1"/>
  <c r="AL240" i="1"/>
  <c r="AL262" i="1"/>
  <c r="AL338" i="1"/>
  <c r="AL326" i="1"/>
  <c r="AL314" i="1"/>
  <c r="AL23" i="1"/>
  <c r="AL232" i="1"/>
  <c r="AL219" i="1"/>
  <c r="AL113" i="1"/>
  <c r="AL225" i="1"/>
  <c r="AL213" i="1"/>
  <c r="AL203" i="1"/>
  <c r="AL191" i="1"/>
  <c r="AL196" i="1"/>
  <c r="AL18" i="1"/>
  <c r="AL31" i="1"/>
  <c r="AL32" i="1"/>
  <c r="AL226" i="1"/>
  <c r="AL214" i="1"/>
  <c r="AL239" i="1"/>
  <c r="AL261" i="1"/>
  <c r="AL204" i="1"/>
  <c r="AL192" i="1"/>
  <c r="AL38" i="1"/>
  <c r="AL152" i="1"/>
  <c r="AL140" i="1"/>
  <c r="AT12" i="1"/>
  <c r="AT55" i="1"/>
  <c r="AL26" i="1"/>
  <c r="AL51" i="1"/>
  <c r="AL294" i="1"/>
  <c r="AL282" i="1"/>
  <c r="AL175" i="1"/>
  <c r="AL269" i="1"/>
  <c r="AL256" i="1"/>
  <c r="AL28" i="1"/>
  <c r="AL39" i="1"/>
  <c r="AL153" i="1"/>
  <c r="AL141" i="1"/>
  <c r="AT13" i="1"/>
  <c r="AT56" i="1"/>
  <c r="AL224" i="1"/>
  <c r="AL212" i="1"/>
  <c r="AL295" i="1"/>
  <c r="AL283" i="1"/>
  <c r="AL202" i="1"/>
  <c r="AL190" i="1"/>
  <c r="AT91" i="1"/>
  <c r="AL42" i="1"/>
  <c r="AL27" i="1"/>
  <c r="AL46" i="1"/>
  <c r="AL25" i="1"/>
  <c r="AL133" i="1"/>
  <c r="AL341" i="1"/>
  <c r="AL305" i="1"/>
  <c r="AT69" i="1"/>
  <c r="AL15" i="1"/>
  <c r="AL35" i="1"/>
  <c r="AT70" i="1"/>
  <c r="AL47" i="1"/>
  <c r="AL84" i="1"/>
  <c r="AL118" i="1"/>
  <c r="AL352" i="1"/>
  <c r="AL24" i="1"/>
  <c r="AL83" i="1"/>
  <c r="AL117" i="1"/>
  <c r="AT27" i="1"/>
  <c r="AL12" i="1"/>
  <c r="AL82" i="1"/>
  <c r="AL116" i="1"/>
  <c r="AL159" i="1"/>
  <c r="AL324" i="1"/>
  <c r="AL354" i="1"/>
  <c r="AT58" i="1"/>
  <c r="AL65" i="1"/>
  <c r="AL87" i="1"/>
  <c r="AL210" i="1"/>
  <c r="AL348" i="1"/>
  <c r="AT33" i="1"/>
  <c r="AL157" i="1"/>
  <c r="AL171" i="1"/>
  <c r="AL14" i="1"/>
  <c r="AL33" i="1"/>
  <c r="AL144" i="1"/>
  <c r="AL69" i="1"/>
  <c r="AL90" i="1"/>
  <c r="AL170" i="1"/>
  <c r="AL13" i="1"/>
  <c r="AL145" i="1"/>
  <c r="AL134" i="1"/>
  <c r="AL231" i="1"/>
  <c r="AL266" i="1"/>
  <c r="Q56" i="31"/>
  <c r="Q59" i="31"/>
  <c r="Q58" i="31"/>
  <c r="Q55" i="31"/>
  <c r="Q57" i="31"/>
  <c r="Q54" i="31"/>
  <c r="X53" i="31"/>
  <c r="V53" i="31"/>
  <c r="T60" i="31"/>
  <c r="Q53" i="31"/>
  <c r="AL61" i="1"/>
  <c r="AL68" i="1"/>
  <c r="AL100" i="1"/>
  <c r="AL189" i="1"/>
  <c r="AL323" i="1"/>
  <c r="AL199" i="1"/>
  <c r="AL60" i="1"/>
  <c r="AL79" i="1"/>
  <c r="AL97" i="1"/>
  <c r="AL130" i="1"/>
  <c r="AL188" i="1"/>
  <c r="AL238" i="1"/>
  <c r="AL281" i="1"/>
  <c r="AL34" i="1"/>
  <c r="AL57" i="1"/>
  <c r="AL59" i="1"/>
  <c r="AL78" i="1"/>
  <c r="AL96" i="1"/>
  <c r="AL111" i="1"/>
  <c r="AL154" i="1"/>
  <c r="AL186" i="1"/>
  <c r="AL217" i="1"/>
  <c r="AL237" i="1"/>
  <c r="AL300" i="1"/>
  <c r="AL58" i="1"/>
  <c r="AL137" i="1"/>
  <c r="AL167" i="1"/>
  <c r="AL216" i="1"/>
  <c r="AL299" i="1"/>
  <c r="AL279" i="1"/>
  <c r="AL227" i="1"/>
  <c r="AL48" i="1"/>
  <c r="AL76" i="1"/>
  <c r="AL107" i="1"/>
  <c r="AL121" i="1"/>
  <c r="AL136" i="1"/>
  <c r="AL195" i="1"/>
  <c r="AL260" i="1"/>
  <c r="AL298" i="1"/>
  <c r="AL124" i="1"/>
  <c r="AL194" i="1"/>
  <c r="AL259" i="1"/>
  <c r="AT68" i="1"/>
  <c r="AL127" i="1"/>
  <c r="AL151" i="1"/>
  <c r="AL143" i="1"/>
  <c r="AL193" i="1"/>
  <c r="AL223" i="1"/>
  <c r="AL258" i="1"/>
  <c r="AL287" i="1"/>
  <c r="AL306" i="1"/>
  <c r="AL55" i="1"/>
  <c r="AL64" i="1"/>
  <c r="AL142" i="1"/>
  <c r="AL222" i="1"/>
  <c r="AL275" i="1"/>
  <c r="AL54" i="1"/>
  <c r="AL285" i="1"/>
  <c r="AL53" i="1"/>
  <c r="AL71" i="1"/>
  <c r="AL92" i="1"/>
  <c r="AL149" i="1"/>
  <c r="AL172" i="1"/>
  <c r="AL201" i="1"/>
  <c r="AL265" i="1"/>
  <c r="AL284" i="1"/>
  <c r="AL43" i="1"/>
  <c r="AL52" i="1"/>
  <c r="AL70" i="1"/>
  <c r="AL91" i="1"/>
  <c r="AL114" i="1"/>
  <c r="AL148" i="1"/>
  <c r="AL200" i="1"/>
  <c r="AL211" i="1"/>
  <c r="AL264" i="1"/>
  <c r="AL293" i="1"/>
  <c r="AL112" i="1"/>
  <c r="AL155" i="1"/>
  <c r="AL139" i="1"/>
  <c r="AL131" i="1"/>
  <c r="AL207" i="1"/>
  <c r="AL229" i="1"/>
  <c r="AL246" i="1"/>
  <c r="AL253" i="1"/>
  <c r="AL292" i="1"/>
  <c r="AL274" i="1"/>
  <c r="AL340" i="1"/>
  <c r="AL322" i="1"/>
  <c r="AL304" i="1"/>
  <c r="AT32" i="1"/>
  <c r="AT90" i="1"/>
  <c r="AL206" i="1"/>
  <c r="AL228" i="1"/>
  <c r="AL245" i="1"/>
  <c r="AL252" i="1"/>
  <c r="AL291" i="1"/>
  <c r="AL273" i="1"/>
  <c r="AL339" i="1"/>
  <c r="AL321" i="1"/>
  <c r="AL303" i="1"/>
  <c r="AT31" i="1"/>
  <c r="AL49" i="1"/>
  <c r="AL77" i="1"/>
  <c r="AL95" i="1"/>
  <c r="AL110" i="1"/>
  <c r="AL163" i="1"/>
  <c r="AL205" i="1"/>
  <c r="AL244" i="1"/>
  <c r="AL251" i="1"/>
  <c r="AL290" i="1"/>
  <c r="AL272" i="1"/>
  <c r="AL330" i="1"/>
  <c r="AL312" i="1"/>
  <c r="AT39" i="1"/>
  <c r="AT48" i="1"/>
  <c r="AT78" i="1"/>
  <c r="AL329" i="1"/>
  <c r="AL311" i="1"/>
  <c r="AL351" i="1"/>
  <c r="AT38" i="1"/>
  <c r="AT47" i="1"/>
  <c r="AT77" i="1"/>
  <c r="AL280" i="1"/>
  <c r="AL347" i="1"/>
  <c r="AL328" i="1"/>
  <c r="AL310" i="1"/>
  <c r="AT24" i="1"/>
  <c r="AT43" i="1"/>
  <c r="AT46" i="1"/>
  <c r="AT76" i="1"/>
  <c r="AL346" i="1"/>
  <c r="AL327" i="1"/>
  <c r="AL309" i="1"/>
  <c r="AT23" i="1"/>
  <c r="AT42" i="1"/>
  <c r="AT54" i="1"/>
  <c r="AT65" i="1"/>
  <c r="AT84" i="1"/>
  <c r="AL297" i="1"/>
  <c r="AL278" i="1"/>
  <c r="AL336" i="1"/>
  <c r="AL318" i="1"/>
  <c r="AT22" i="1"/>
  <c r="AT53" i="1"/>
  <c r="AT64" i="1"/>
  <c r="AT83" i="1"/>
  <c r="AL335" i="1"/>
  <c r="AL317" i="1"/>
  <c r="AT52" i="1"/>
  <c r="AT71" i="1"/>
  <c r="AT82" i="1"/>
  <c r="AL286" i="1"/>
  <c r="AL334" i="1"/>
  <c r="AL316" i="1"/>
  <c r="AT18" i="1"/>
  <c r="AT60" i="1"/>
  <c r="AT87" i="1"/>
  <c r="AL333" i="1"/>
  <c r="AL315" i="1"/>
  <c r="AT28" i="1"/>
  <c r="AT59" i="1"/>
  <c r="M459" i="10"/>
  <c r="T459" i="10" s="1"/>
  <c r="M458" i="10"/>
  <c r="T458" i="10" s="1"/>
  <c r="M472" i="10"/>
  <c r="T472" i="10" s="1"/>
  <c r="M470" i="10"/>
  <c r="T470" i="10" s="1"/>
  <c r="M469" i="10"/>
  <c r="T469" i="10" s="1"/>
  <c r="F447" i="10"/>
  <c r="M465" i="10"/>
  <c r="T465" i="10" s="1"/>
  <c r="M456" i="10"/>
  <c r="T456" i="10" s="1"/>
  <c r="M464" i="10"/>
  <c r="T464" i="10" s="1"/>
  <c r="L478" i="10"/>
  <c r="J478" i="10"/>
  <c r="K461" i="10" s="1"/>
  <c r="G478" i="10"/>
  <c r="H457" i="10" s="1"/>
  <c r="M455" i="10"/>
  <c r="T455" i="10" s="1"/>
  <c r="M477" i="10"/>
  <c r="T477" i="10" s="1"/>
  <c r="M473" i="10"/>
  <c r="T473" i="10" s="1"/>
  <c r="M476" i="10"/>
  <c r="T476" i="10" s="1"/>
  <c r="F448" i="10"/>
  <c r="M466" i="10"/>
  <c r="T466" i="10" s="1"/>
  <c r="M460" i="10"/>
  <c r="T460" i="10" s="1"/>
  <c r="M471" i="10"/>
  <c r="T471" i="10" s="1"/>
  <c r="I771" i="18" l="1"/>
  <c r="K29" i="30"/>
  <c r="D30" i="30" s="1"/>
  <c r="J30" i="30"/>
  <c r="K30" i="30" s="1"/>
  <c r="D31" i="30" s="1"/>
  <c r="J31" i="30" s="1"/>
  <c r="C33" i="30"/>
  <c r="C34" i="30" s="1"/>
  <c r="C35" i="30" s="1"/>
  <c r="C36" i="30" s="1"/>
  <c r="C37" i="30" s="1"/>
  <c r="C38" i="30" s="1"/>
  <c r="C39" i="30" s="1"/>
  <c r="C40" i="30" s="1"/>
  <c r="K462" i="10"/>
  <c r="K477" i="10"/>
  <c r="K456" i="10"/>
  <c r="K465" i="10"/>
  <c r="K475" i="10"/>
  <c r="K467" i="10"/>
  <c r="K458" i="10"/>
  <c r="K474" i="10"/>
  <c r="K472" i="10"/>
  <c r="K473" i="10"/>
  <c r="K468" i="10"/>
  <c r="K460" i="10"/>
  <c r="K457" i="10"/>
  <c r="K463" i="10"/>
  <c r="K455" i="10"/>
  <c r="L49" i="22"/>
  <c r="U53" i="31"/>
  <c r="U54" i="31"/>
  <c r="U58" i="31"/>
  <c r="U56" i="31"/>
  <c r="U59" i="31"/>
  <c r="U57" i="31"/>
  <c r="U55" i="31"/>
  <c r="Z53" i="31"/>
  <c r="AB53" i="31"/>
  <c r="X60" i="31"/>
  <c r="Y53" i="31" s="1"/>
  <c r="K469" i="10"/>
  <c r="K466" i="10"/>
  <c r="K476" i="10"/>
  <c r="K471" i="10"/>
  <c r="K459" i="10"/>
  <c r="K470" i="10"/>
  <c r="K464" i="10"/>
  <c r="H470" i="10"/>
  <c r="H463" i="10"/>
  <c r="H464" i="10"/>
  <c r="H475" i="10"/>
  <c r="H476" i="10"/>
  <c r="H477" i="10"/>
  <c r="H458" i="10"/>
  <c r="H462" i="10"/>
  <c r="H466" i="10"/>
  <c r="H455" i="10"/>
  <c r="H474" i="10"/>
  <c r="H467" i="10"/>
  <c r="H469" i="10"/>
  <c r="H465" i="10"/>
  <c r="H471" i="10"/>
  <c r="H461" i="10"/>
  <c r="M478" i="10"/>
  <c r="H456" i="10"/>
  <c r="H460" i="10"/>
  <c r="H459" i="10"/>
  <c r="H468" i="10"/>
  <c r="H472" i="10"/>
  <c r="H473" i="10"/>
  <c r="K31" i="30" l="1"/>
  <c r="Y55" i="31"/>
  <c r="Y59" i="31"/>
  <c r="Y57" i="31"/>
  <c r="Y58" i="31"/>
  <c r="Y54" i="31"/>
  <c r="Y56" i="31"/>
  <c r="AD53" i="31"/>
  <c r="AF53" i="31"/>
  <c r="AB60" i="31"/>
  <c r="AC53" i="31" s="1"/>
  <c r="K478" i="10"/>
  <c r="H478" i="10"/>
  <c r="D32" i="30" l="1"/>
  <c r="J32" i="30" s="1"/>
  <c r="AC56" i="31"/>
  <c r="AC57" i="31"/>
  <c r="AC58" i="31"/>
  <c r="AC54" i="31"/>
  <c r="AC55" i="31"/>
  <c r="AC59" i="31"/>
  <c r="AJ53" i="31"/>
  <c r="AH53" i="31"/>
  <c r="AF60" i="31"/>
  <c r="AG53" i="31" s="1"/>
  <c r="H32" i="22" l="1"/>
  <c r="L32" i="22" s="1"/>
  <c r="AG55" i="31"/>
  <c r="AG59" i="31"/>
  <c r="AG58" i="31"/>
  <c r="AG56" i="31"/>
  <c r="AG57" i="31"/>
  <c r="AG54" i="31"/>
  <c r="AN53" i="31"/>
  <c r="AL53" i="31"/>
  <c r="AJ60" i="31"/>
  <c r="AK53" i="31" s="1"/>
  <c r="P158" i="10"/>
  <c r="P155" i="10"/>
  <c r="O155" i="10"/>
  <c r="N155" i="10"/>
  <c r="P157" i="10"/>
  <c r="O157" i="10"/>
  <c r="N157" i="10"/>
  <c r="P156" i="10"/>
  <c r="N156" i="10"/>
  <c r="K266" i="5"/>
  <c r="K236" i="1" s="1"/>
  <c r="K267" i="5"/>
  <c r="K247" i="1" s="1"/>
  <c r="F267" i="5"/>
  <c r="F266" i="5"/>
  <c r="I179" i="10"/>
  <c r="G179" i="10"/>
  <c r="AC354" i="1"/>
  <c r="AC352" i="1"/>
  <c r="AC351" i="1"/>
  <c r="AC348" i="1"/>
  <c r="AC347" i="1"/>
  <c r="AC346" i="1"/>
  <c r="AC345" i="1"/>
  <c r="AC344" i="1"/>
  <c r="AC342" i="1"/>
  <c r="AC341" i="1"/>
  <c r="AC340" i="1"/>
  <c r="AC339" i="1"/>
  <c r="AC338" i="1"/>
  <c r="AC337" i="1"/>
  <c r="AC336" i="1"/>
  <c r="AC335" i="1"/>
  <c r="AC334" i="1"/>
  <c r="AC333" i="1"/>
  <c r="AC332" i="1"/>
  <c r="AC331" i="1"/>
  <c r="AC330" i="1"/>
  <c r="AC329" i="1"/>
  <c r="AC328" i="1"/>
  <c r="AC327" i="1"/>
  <c r="AC326" i="1"/>
  <c r="AC325" i="1"/>
  <c r="AC324" i="1"/>
  <c r="AC323" i="1"/>
  <c r="AC322" i="1"/>
  <c r="AC321" i="1"/>
  <c r="AC320" i="1"/>
  <c r="AC319" i="1"/>
  <c r="AC318" i="1"/>
  <c r="AC317" i="1"/>
  <c r="AC316" i="1"/>
  <c r="AC315" i="1"/>
  <c r="AC314" i="1"/>
  <c r="AC313" i="1"/>
  <c r="AC312" i="1"/>
  <c r="AC311" i="1"/>
  <c r="AC310" i="1"/>
  <c r="AC309" i="1"/>
  <c r="AC308" i="1"/>
  <c r="AC307" i="1"/>
  <c r="AC306" i="1"/>
  <c r="AC305" i="1"/>
  <c r="AC304" i="1"/>
  <c r="AC300" i="1"/>
  <c r="AC299" i="1"/>
  <c r="AC298" i="1"/>
  <c r="AC297"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69" i="1"/>
  <c r="AC268" i="1"/>
  <c r="AC265" i="1"/>
  <c r="AC264" i="1"/>
  <c r="AC263" i="1"/>
  <c r="AC262" i="1"/>
  <c r="AC261" i="1"/>
  <c r="AC259" i="1"/>
  <c r="AC258" i="1"/>
  <c r="AC256" i="1"/>
  <c r="AC255" i="1"/>
  <c r="AC254" i="1"/>
  <c r="AC253" i="1"/>
  <c r="AC252" i="1"/>
  <c r="AC251" i="1"/>
  <c r="AC248" i="1"/>
  <c r="AC247" i="1"/>
  <c r="AC246" i="1"/>
  <c r="AC245" i="1"/>
  <c r="AC244" i="1"/>
  <c r="AC241" i="1"/>
  <c r="AC240" i="1"/>
  <c r="AC239" i="1"/>
  <c r="AC238" i="1"/>
  <c r="AC237" i="1"/>
  <c r="AC236" i="1"/>
  <c r="AC233" i="1"/>
  <c r="AC232" i="1"/>
  <c r="AC231" i="1"/>
  <c r="AC229" i="1"/>
  <c r="AC228" i="1"/>
  <c r="AC227" i="1"/>
  <c r="AC226" i="1"/>
  <c r="AC225" i="1"/>
  <c r="AC224" i="1"/>
  <c r="AC223" i="1"/>
  <c r="AC222" i="1"/>
  <c r="AC221" i="1"/>
  <c r="AC220" i="1"/>
  <c r="AC219" i="1"/>
  <c r="AC218" i="1"/>
  <c r="AC217" i="1"/>
  <c r="AC216" i="1"/>
  <c r="AC215" i="1"/>
  <c r="AC214" i="1"/>
  <c r="AC213" i="1"/>
  <c r="AC212" i="1"/>
  <c r="AC211" i="1"/>
  <c r="AC210" i="1"/>
  <c r="AC207" i="1"/>
  <c r="AC206" i="1"/>
  <c r="AC205" i="1"/>
  <c r="AC204" i="1"/>
  <c r="AC203" i="1"/>
  <c r="AC202" i="1"/>
  <c r="AC201" i="1"/>
  <c r="AC200" i="1"/>
  <c r="AC199" i="1"/>
  <c r="AC198" i="1"/>
  <c r="AC197" i="1"/>
  <c r="AC196" i="1"/>
  <c r="AC195" i="1"/>
  <c r="AC194" i="1"/>
  <c r="AC193" i="1"/>
  <c r="AC192" i="1"/>
  <c r="AC191" i="1"/>
  <c r="AC190" i="1"/>
  <c r="AC189" i="1"/>
  <c r="AC188" i="1"/>
  <c r="AC186" i="1"/>
  <c r="AF113" i="1"/>
  <c r="AG113" i="1"/>
  <c r="N113" i="1"/>
  <c r="I113" i="1"/>
  <c r="Z174" i="1"/>
  <c r="AC174" i="1" s="1"/>
  <c r="Z172" i="1"/>
  <c r="AC172" i="1" s="1"/>
  <c r="Z171" i="1"/>
  <c r="AC171" i="1" s="1"/>
  <c r="Z163" i="1"/>
  <c r="AC163" i="1" s="1"/>
  <c r="Z155" i="1"/>
  <c r="AC155" i="1" s="1"/>
  <c r="Z154" i="1"/>
  <c r="AC154" i="1" s="1"/>
  <c r="Z153" i="1"/>
  <c r="AC153" i="1" s="1"/>
  <c r="Z152" i="1"/>
  <c r="AC152" i="1" s="1"/>
  <c r="Z151" i="1"/>
  <c r="AC151" i="1" s="1"/>
  <c r="Z150" i="1"/>
  <c r="AC150" i="1" s="1"/>
  <c r="Z149" i="1"/>
  <c r="AC149" i="1" s="1"/>
  <c r="Z148" i="1"/>
  <c r="AC148" i="1" s="1"/>
  <c r="Z147" i="1"/>
  <c r="AC147" i="1" s="1"/>
  <c r="Z146" i="1"/>
  <c r="AC146" i="1" s="1"/>
  <c r="Z145" i="1"/>
  <c r="AC145" i="1" s="1"/>
  <c r="Z144" i="1"/>
  <c r="AC144" i="1" s="1"/>
  <c r="Z143" i="1"/>
  <c r="AC143" i="1" s="1"/>
  <c r="Z142" i="1"/>
  <c r="AC142" i="1" s="1"/>
  <c r="Z141" i="1"/>
  <c r="AC141" i="1" s="1"/>
  <c r="Z140" i="1"/>
  <c r="AC140" i="1" s="1"/>
  <c r="Z139" i="1"/>
  <c r="AC139" i="1" s="1"/>
  <c r="Z138" i="1"/>
  <c r="AC138" i="1" s="1"/>
  <c r="Z137" i="1"/>
  <c r="AC137" i="1" s="1"/>
  <c r="Z136" i="1"/>
  <c r="AC136" i="1" s="1"/>
  <c r="Z134" i="1"/>
  <c r="AC134" i="1" s="1"/>
  <c r="Z133" i="1"/>
  <c r="AC133" i="1" s="1"/>
  <c r="Z132" i="1"/>
  <c r="AC132" i="1" s="1"/>
  <c r="Z131" i="1"/>
  <c r="AC131" i="1" s="1"/>
  <c r="Z130" i="1"/>
  <c r="AC130" i="1" s="1"/>
  <c r="Z127" i="1"/>
  <c r="AC127" i="1" s="1"/>
  <c r="Z118" i="1"/>
  <c r="AC118" i="1" s="1"/>
  <c r="Z117" i="1"/>
  <c r="AC117" i="1" s="1"/>
  <c r="Z115" i="1"/>
  <c r="AC115" i="1" s="1"/>
  <c r="Z114" i="1"/>
  <c r="AC114" i="1" s="1"/>
  <c r="Z112" i="1"/>
  <c r="AC112" i="1" s="1"/>
  <c r="Z111" i="1"/>
  <c r="AC111" i="1" s="1"/>
  <c r="Z100" i="1"/>
  <c r="AC100" i="1" s="1"/>
  <c r="Z96" i="1"/>
  <c r="AC96" i="1" s="1"/>
  <c r="Z95" i="1"/>
  <c r="AC95" i="1" s="1"/>
  <c r="Z91" i="1"/>
  <c r="AC91" i="1" s="1"/>
  <c r="Z87" i="1"/>
  <c r="AC87" i="1" s="1"/>
  <c r="Z84" i="1"/>
  <c r="AC84" i="1" s="1"/>
  <c r="Z83" i="1"/>
  <c r="AC83" i="1" s="1"/>
  <c r="Z82" i="1"/>
  <c r="AC82" i="1" s="1"/>
  <c r="Z79" i="1"/>
  <c r="AC79" i="1" s="1"/>
  <c r="Z78" i="1"/>
  <c r="AC78" i="1" s="1"/>
  <c r="Z77" i="1"/>
  <c r="AC77" i="1" s="1"/>
  <c r="Z76" i="1"/>
  <c r="AC76" i="1" s="1"/>
  <c r="Z71" i="1"/>
  <c r="AC71" i="1" s="1"/>
  <c r="Z64" i="1"/>
  <c r="AC64" i="1" s="1"/>
  <c r="Z61" i="1"/>
  <c r="AC61" i="1" s="1"/>
  <c r="Z59" i="1"/>
  <c r="AC59" i="1" s="1"/>
  <c r="Z58" i="1"/>
  <c r="AC58" i="1" s="1"/>
  <c r="Z56" i="1"/>
  <c r="AC56" i="1" s="1"/>
  <c r="Z55" i="1"/>
  <c r="AC55" i="1" s="1"/>
  <c r="Z54" i="1"/>
  <c r="AC54" i="1" s="1"/>
  <c r="Z52" i="1"/>
  <c r="AC52" i="1" s="1"/>
  <c r="Z51" i="1"/>
  <c r="AC51" i="1" s="1"/>
  <c r="Z50" i="1"/>
  <c r="AC50" i="1" s="1"/>
  <c r="Z49" i="1"/>
  <c r="AC49" i="1" s="1"/>
  <c r="Z48" i="1"/>
  <c r="AC48" i="1" s="1"/>
  <c r="Z47" i="1"/>
  <c r="AC47" i="1" s="1"/>
  <c r="Z46" i="1"/>
  <c r="AC46" i="1" s="1"/>
  <c r="Z42" i="1"/>
  <c r="AC42" i="1" s="1"/>
  <c r="Z39" i="1"/>
  <c r="AC39" i="1" s="1"/>
  <c r="Z34" i="1"/>
  <c r="AC34" i="1" s="1"/>
  <c r="Z33" i="1"/>
  <c r="AC33" i="1" s="1"/>
  <c r="Z32" i="1"/>
  <c r="AC32" i="1" s="1"/>
  <c r="Z28" i="1"/>
  <c r="AC28" i="1" s="1"/>
  <c r="Z27" i="1"/>
  <c r="AC27" i="1" s="1"/>
  <c r="Z26" i="1"/>
  <c r="AC26" i="1" s="1"/>
  <c r="Z25" i="1"/>
  <c r="AC25" i="1" s="1"/>
  <c r="Z24" i="1"/>
  <c r="AC24" i="1" s="1"/>
  <c r="Z23" i="1"/>
  <c r="AC23" i="1" s="1"/>
  <c r="Z22" i="1"/>
  <c r="AC22" i="1" s="1"/>
  <c r="Z18" i="1"/>
  <c r="AC18" i="1" s="1"/>
  <c r="Z15" i="1"/>
  <c r="AC15" i="1" s="1"/>
  <c r="Z14" i="1"/>
  <c r="AC14" i="1" s="1"/>
  <c r="Z13" i="1"/>
  <c r="AC13" i="1" s="1"/>
  <c r="Z11" i="1"/>
  <c r="AC11" i="1" s="1"/>
  <c r="W26" i="24"/>
  <c r="W25" i="24"/>
  <c r="W24" i="24"/>
  <c r="W23" i="24"/>
  <c r="W22" i="24"/>
  <c r="W21" i="24"/>
  <c r="W20" i="24"/>
  <c r="W19" i="24"/>
  <c r="W18" i="24"/>
  <c r="W17" i="24"/>
  <c r="W16" i="24"/>
  <c r="W15" i="24"/>
  <c r="W14" i="24"/>
  <c r="W13" i="24"/>
  <c r="W12" i="24"/>
  <c r="W11" i="24"/>
  <c r="W10" i="24"/>
  <c r="W9" i="24"/>
  <c r="W8" i="24"/>
  <c r="W7" i="24"/>
  <c r="U26" i="24"/>
  <c r="U25" i="24"/>
  <c r="U24" i="24"/>
  <c r="U23" i="24"/>
  <c r="U22" i="24"/>
  <c r="U21" i="24"/>
  <c r="U20" i="24"/>
  <c r="U19" i="24"/>
  <c r="U18" i="24"/>
  <c r="U17" i="24"/>
  <c r="U16" i="24"/>
  <c r="U15" i="24"/>
  <c r="U14" i="24"/>
  <c r="U13" i="24"/>
  <c r="U12" i="24"/>
  <c r="U11" i="24"/>
  <c r="U10" i="24"/>
  <c r="U9" i="24"/>
  <c r="U8" i="24"/>
  <c r="U7" i="24"/>
  <c r="Z170" i="1"/>
  <c r="Z167" i="1"/>
  <c r="Z135" i="1"/>
  <c r="AC135" i="1" s="1"/>
  <c r="Z159" i="1"/>
  <c r="AC159" i="1" s="1"/>
  <c r="Z158" i="1"/>
  <c r="AC158" i="1" s="1"/>
  <c r="Z157" i="1"/>
  <c r="AC157" i="1" s="1"/>
  <c r="Z156" i="1"/>
  <c r="AC156" i="1" s="1"/>
  <c r="Z124" i="1"/>
  <c r="AC124" i="1" s="1"/>
  <c r="F340" i="18" s="1"/>
  <c r="F341" i="18" s="1"/>
  <c r="Z121" i="1"/>
  <c r="AC121" i="1" s="1"/>
  <c r="Z116" i="1"/>
  <c r="AC116" i="1" s="1"/>
  <c r="Z113" i="1"/>
  <c r="AC113" i="1" s="1"/>
  <c r="Z110" i="1"/>
  <c r="AC110" i="1" s="1"/>
  <c r="Z43" i="1"/>
  <c r="AC43" i="1" s="1"/>
  <c r="Z107" i="1"/>
  <c r="AC107" i="1" s="1"/>
  <c r="Z60" i="1"/>
  <c r="AC60" i="1" s="1"/>
  <c r="Z97" i="1"/>
  <c r="AC97" i="1" s="1"/>
  <c r="Z69" i="1"/>
  <c r="AC69" i="1" s="1"/>
  <c r="Z68" i="1"/>
  <c r="AC68" i="1" s="1"/>
  <c r="Z90" i="1"/>
  <c r="Z65" i="1"/>
  <c r="AC65" i="1" s="1"/>
  <c r="F205" i="18" s="1"/>
  <c r="Z53" i="1"/>
  <c r="AC53" i="1" s="1"/>
  <c r="Z57" i="1"/>
  <c r="AC57" i="1" s="1"/>
  <c r="Z70" i="1"/>
  <c r="AC70" i="1" s="1"/>
  <c r="Z38" i="1"/>
  <c r="AC38" i="1" s="1"/>
  <c r="AC35" i="1"/>
  <c r="Z31" i="1"/>
  <c r="AC31" i="1" s="1"/>
  <c r="Z12" i="1"/>
  <c r="AC12" i="1" s="1"/>
  <c r="I33" i="22" l="1"/>
  <c r="L33" i="22" s="1"/>
  <c r="L146" i="22"/>
  <c r="AW35" i="1" s="1"/>
  <c r="L145" i="22"/>
  <c r="AW167" i="1" s="1"/>
  <c r="Q97" i="6" s="1"/>
  <c r="L137" i="22"/>
  <c r="K32" i="30"/>
  <c r="D33" i="30" s="1"/>
  <c r="J33" i="30" s="1"/>
  <c r="M32" i="30" s="1"/>
  <c r="J88" i="22" s="1"/>
  <c r="L31" i="22"/>
  <c r="AC170" i="1"/>
  <c r="H153" i="22" s="1"/>
  <c r="Q113" i="1"/>
  <c r="AK54" i="31"/>
  <c r="AK59" i="31"/>
  <c r="AK57" i="31"/>
  <c r="AK58" i="31"/>
  <c r="AK56" i="31"/>
  <c r="AK55" i="31"/>
  <c r="AR53" i="31"/>
  <c r="AN60" i="31"/>
  <c r="AO53" i="31" s="1"/>
  <c r="AP53" i="31"/>
  <c r="AW53" i="31" s="1"/>
  <c r="N159" i="10"/>
  <c r="P159" i="10"/>
  <c r="L113" i="1"/>
  <c r="I152" i="1"/>
  <c r="M699" i="10"/>
  <c r="M696" i="10"/>
  <c r="M681" i="10"/>
  <c r="G346" i="10"/>
  <c r="G306" i="10"/>
  <c r="G305" i="10"/>
  <c r="G301" i="10"/>
  <c r="BR113" i="1" l="1"/>
  <c r="F820" i="18"/>
  <c r="F821" i="18" s="1"/>
  <c r="I89" i="22"/>
  <c r="L89" i="22" s="1"/>
  <c r="L88" i="22"/>
  <c r="AW134" i="1"/>
  <c r="AW79" i="1"/>
  <c r="Q53" i="6" s="1"/>
  <c r="Q51" i="6" s="1"/>
  <c r="Q50" i="6" s="1"/>
  <c r="AW144" i="1"/>
  <c r="AW154" i="1"/>
  <c r="I154" i="22"/>
  <c r="L154" i="22" s="1"/>
  <c r="AW90" i="1" s="1"/>
  <c r="Q70" i="6" s="1"/>
  <c r="L153" i="22"/>
  <c r="AW170" i="1" s="1"/>
  <c r="Q122" i="6" s="1"/>
  <c r="K33" i="30"/>
  <c r="D34" i="30"/>
  <c r="S113" i="1"/>
  <c r="T113" i="1" s="1"/>
  <c r="AO59" i="31"/>
  <c r="AO56" i="31"/>
  <c r="AO57" i="31"/>
  <c r="AO58" i="31"/>
  <c r="AO54" i="31"/>
  <c r="AO55" i="31"/>
  <c r="AV53" i="31"/>
  <c r="AT53" i="31"/>
  <c r="AR60" i="31"/>
  <c r="AS53" i="31" s="1"/>
  <c r="F10" i="21"/>
  <c r="S6" i="21"/>
  <c r="S10" i="21"/>
  <c r="S9" i="21"/>
  <c r="K37" i="21"/>
  <c r="K38" i="21"/>
  <c r="K33" i="21"/>
  <c r="K34" i="21"/>
  <c r="K29" i="21"/>
  <c r="K30" i="21"/>
  <c r="F30" i="21"/>
  <c r="F29" i="21"/>
  <c r="AG272" i="1"/>
  <c r="K25" i="21"/>
  <c r="K26" i="21"/>
  <c r="AG268" i="1"/>
  <c r="AF268" i="1"/>
  <c r="I268" i="1"/>
  <c r="K22" i="21"/>
  <c r="F22" i="21"/>
  <c r="F21" i="21"/>
  <c r="K21" i="21"/>
  <c r="K17" i="21"/>
  <c r="K13" i="21"/>
  <c r="K14" i="21"/>
  <c r="F17" i="21"/>
  <c r="F14" i="21"/>
  <c r="F13" i="21"/>
  <c r="N155" i="1"/>
  <c r="I155" i="1"/>
  <c r="AR162" i="1"/>
  <c r="AL162" i="1"/>
  <c r="AK162" i="1"/>
  <c r="AJ162" i="1"/>
  <c r="AC162" i="1"/>
  <c r="AB162" i="1"/>
  <c r="AA162" i="1"/>
  <c r="Z162" i="1"/>
  <c r="I100" i="1"/>
  <c r="N58" i="1"/>
  <c r="I58" i="1"/>
  <c r="F179" i="10"/>
  <c r="F181" i="10" s="1"/>
  <c r="N83" i="1"/>
  <c r="I83" i="1"/>
  <c r="N26" i="1"/>
  <c r="N27" i="1"/>
  <c r="N28" i="1"/>
  <c r="I26" i="1"/>
  <c r="I28" i="1"/>
  <c r="I269" i="1"/>
  <c r="I248" i="1"/>
  <c r="I206" i="1"/>
  <c r="I207" i="1"/>
  <c r="N354" i="1"/>
  <c r="I354" i="1"/>
  <c r="AG344" i="1" l="1"/>
  <c r="M155" i="10"/>
  <c r="F247" i="18"/>
  <c r="Q121" i="6"/>
  <c r="J34" i="30"/>
  <c r="K34" i="30" s="1"/>
  <c r="D35" i="30"/>
  <c r="AE99" i="1"/>
  <c r="AH99" i="1" s="1"/>
  <c r="AE177" i="1"/>
  <c r="AH177" i="1" s="1"/>
  <c r="AE113" i="1"/>
  <c r="AH113" i="1" s="1"/>
  <c r="AS58" i="31"/>
  <c r="AS54" i="31"/>
  <c r="AS56" i="31"/>
  <c r="AS59" i="31"/>
  <c r="AS55" i="31"/>
  <c r="AS57" i="31"/>
  <c r="AZ53" i="31"/>
  <c r="AV60" i="31"/>
  <c r="AX53" i="31" s="1"/>
  <c r="AG237" i="1"/>
  <c r="K10" i="21"/>
  <c r="AG175" i="1" s="1"/>
  <c r="K9" i="21"/>
  <c r="AH268" i="1"/>
  <c r="Q155" i="1"/>
  <c r="BR155" i="1" s="1"/>
  <c r="L207" i="1"/>
  <c r="L269" i="1"/>
  <c r="AF354" i="1"/>
  <c r="AG25" i="1"/>
  <c r="AG115" i="1"/>
  <c r="AG202" i="1"/>
  <c r="AG275" i="1"/>
  <c r="AG326" i="1"/>
  <c r="AF78" i="1"/>
  <c r="AF175" i="1"/>
  <c r="AF267" i="1"/>
  <c r="AF346" i="1"/>
  <c r="AG26" i="1"/>
  <c r="AG68" i="1"/>
  <c r="AG90" i="1"/>
  <c r="AG142" i="1"/>
  <c r="AG148" i="1"/>
  <c r="AG154" i="1"/>
  <c r="AG163" i="1"/>
  <c r="AG162" i="1" s="1"/>
  <c r="AG191" i="1"/>
  <c r="AG197" i="1"/>
  <c r="AG203" i="1"/>
  <c r="AG211" i="1"/>
  <c r="AG217" i="1"/>
  <c r="AG223" i="1"/>
  <c r="AG229" i="1"/>
  <c r="AG238" i="1"/>
  <c r="AG246" i="1"/>
  <c r="AG254" i="1"/>
  <c r="AG261" i="1"/>
  <c r="AG267" i="1"/>
  <c r="AG276" i="1"/>
  <c r="AG282" i="1"/>
  <c r="AG288" i="1"/>
  <c r="AG294" i="1"/>
  <c r="AG303" i="1"/>
  <c r="AG309" i="1"/>
  <c r="AG315" i="1"/>
  <c r="AG321" i="1"/>
  <c r="AG327" i="1"/>
  <c r="AG333" i="1"/>
  <c r="AG339" i="1"/>
  <c r="AG346" i="1"/>
  <c r="AG65" i="1"/>
  <c r="AG196" i="1"/>
  <c r="AG266" i="1"/>
  <c r="AG308" i="1"/>
  <c r="AF46" i="1"/>
  <c r="AF148" i="1"/>
  <c r="AF238" i="1"/>
  <c r="AF282" i="1"/>
  <c r="AF339" i="1"/>
  <c r="AG46" i="1"/>
  <c r="AG130" i="1"/>
  <c r="AF18" i="1"/>
  <c r="AF27" i="1"/>
  <c r="AF35" i="1"/>
  <c r="AF47" i="1"/>
  <c r="AF53" i="1"/>
  <c r="AF59" i="1"/>
  <c r="AF69" i="1"/>
  <c r="AF79" i="1"/>
  <c r="AF91" i="1"/>
  <c r="AF110" i="1"/>
  <c r="AF117" i="1"/>
  <c r="AF131" i="1"/>
  <c r="AF137" i="1"/>
  <c r="AF143" i="1"/>
  <c r="AF149" i="1"/>
  <c r="AF155" i="1"/>
  <c r="AF167" i="1"/>
  <c r="AF107" i="1"/>
  <c r="AF192" i="1"/>
  <c r="AF198" i="1"/>
  <c r="AF204" i="1"/>
  <c r="AF212" i="1"/>
  <c r="AF218" i="1"/>
  <c r="AF224" i="1"/>
  <c r="AF231" i="1"/>
  <c r="AF239" i="1"/>
  <c r="AF247" i="1"/>
  <c r="AF255" i="1"/>
  <c r="AF262" i="1"/>
  <c r="AF269" i="1"/>
  <c r="AF277" i="1"/>
  <c r="AF283" i="1"/>
  <c r="AF289" i="1"/>
  <c r="AF295" i="1"/>
  <c r="AF304" i="1"/>
  <c r="AF310" i="1"/>
  <c r="AF316" i="1"/>
  <c r="AF322" i="1"/>
  <c r="AF328" i="1"/>
  <c r="AF334" i="1"/>
  <c r="AF340" i="1"/>
  <c r="AF347" i="1"/>
  <c r="AG13" i="1"/>
  <c r="AG127" i="1"/>
  <c r="AG210" i="1"/>
  <c r="AG281" i="1"/>
  <c r="AG332" i="1"/>
  <c r="AF90" i="1"/>
  <c r="AF191" i="1"/>
  <c r="AF261" i="1"/>
  <c r="AF294" i="1"/>
  <c r="AG15" i="1"/>
  <c r="AG58" i="1"/>
  <c r="AG116" i="1"/>
  <c r="AG18" i="1"/>
  <c r="AG35" i="1"/>
  <c r="AG47" i="1"/>
  <c r="AG53" i="1"/>
  <c r="AG59" i="1"/>
  <c r="AG69" i="1"/>
  <c r="AG79" i="1"/>
  <c r="AG91" i="1"/>
  <c r="AG110" i="1"/>
  <c r="AG117" i="1"/>
  <c r="AG131" i="1"/>
  <c r="AG137" i="1"/>
  <c r="AG143" i="1"/>
  <c r="AG149" i="1"/>
  <c r="AG155" i="1"/>
  <c r="AG167" i="1"/>
  <c r="AG107" i="1"/>
  <c r="AG192" i="1"/>
  <c r="AG198" i="1"/>
  <c r="AG204" i="1"/>
  <c r="AG212" i="1"/>
  <c r="AG218" i="1"/>
  <c r="AG224" i="1"/>
  <c r="AG231" i="1"/>
  <c r="AG239" i="1"/>
  <c r="AG247" i="1"/>
  <c r="AG255" i="1"/>
  <c r="AG262" i="1"/>
  <c r="AG269" i="1"/>
  <c r="AG277" i="1"/>
  <c r="AG283" i="1"/>
  <c r="AG289" i="1"/>
  <c r="AG295" i="1"/>
  <c r="AG304" i="1"/>
  <c r="AG310" i="1"/>
  <c r="AG316" i="1"/>
  <c r="AG322" i="1"/>
  <c r="AG328" i="1"/>
  <c r="AG334" i="1"/>
  <c r="AG340" i="1"/>
  <c r="AG347" i="1"/>
  <c r="AG77" i="1"/>
  <c r="AG190" i="1"/>
  <c r="AG260" i="1"/>
  <c r="AG314" i="1"/>
  <c r="AF52" i="1"/>
  <c r="AF154" i="1"/>
  <c r="AF246" i="1"/>
  <c r="AF276" i="1"/>
  <c r="AF333" i="1"/>
  <c r="AG52" i="1"/>
  <c r="AG100" i="1"/>
  <c r="AF11" i="1"/>
  <c r="AF28" i="1"/>
  <c r="AF38" i="1"/>
  <c r="AF48" i="1"/>
  <c r="AF54" i="1"/>
  <c r="AF60" i="1"/>
  <c r="AF70" i="1"/>
  <c r="AF82" i="1"/>
  <c r="AF92" i="1"/>
  <c r="AF111" i="1"/>
  <c r="AF118" i="1"/>
  <c r="AF132" i="1"/>
  <c r="AF138" i="1"/>
  <c r="AF144" i="1"/>
  <c r="AF150" i="1"/>
  <c r="AF156" i="1"/>
  <c r="AF170" i="1"/>
  <c r="AF186" i="1"/>
  <c r="AF193" i="1"/>
  <c r="AF199" i="1"/>
  <c r="AF205" i="1"/>
  <c r="AF213" i="1"/>
  <c r="AF219" i="1"/>
  <c r="AF225" i="1"/>
  <c r="AF232" i="1"/>
  <c r="AF240" i="1"/>
  <c r="AF248" i="1"/>
  <c r="AF256" i="1"/>
  <c r="AF263" i="1"/>
  <c r="AF272" i="1"/>
  <c r="AF278" i="1"/>
  <c r="AF284" i="1"/>
  <c r="AF290" i="1"/>
  <c r="AF297" i="1"/>
  <c r="AF305" i="1"/>
  <c r="AF311" i="1"/>
  <c r="AF317" i="1"/>
  <c r="AF323" i="1"/>
  <c r="AF329" i="1"/>
  <c r="AF335" i="1"/>
  <c r="AF341" i="1"/>
  <c r="AF348" i="1"/>
  <c r="AG57" i="1"/>
  <c r="AG141" i="1"/>
  <c r="AG216" i="1"/>
  <c r="AG287" i="1"/>
  <c r="AG320" i="1"/>
  <c r="AF100" i="1"/>
  <c r="AF197" i="1"/>
  <c r="AF254" i="1"/>
  <c r="AF288" i="1"/>
  <c r="AG34" i="1"/>
  <c r="AG78" i="1"/>
  <c r="AG136" i="1"/>
  <c r="AF22" i="1"/>
  <c r="AF12" i="1"/>
  <c r="AG22" i="1"/>
  <c r="AG28" i="1"/>
  <c r="AG38" i="1"/>
  <c r="AG48" i="1"/>
  <c r="AG54" i="1"/>
  <c r="AG60" i="1"/>
  <c r="AG70" i="1"/>
  <c r="AG82" i="1"/>
  <c r="AG92" i="1"/>
  <c r="AG111" i="1"/>
  <c r="AG118" i="1"/>
  <c r="AG132" i="1"/>
  <c r="AG138" i="1"/>
  <c r="AG144" i="1"/>
  <c r="AG150" i="1"/>
  <c r="AG156" i="1"/>
  <c r="AG170" i="1"/>
  <c r="AG186" i="1"/>
  <c r="AG193" i="1"/>
  <c r="AG199" i="1"/>
  <c r="AG205" i="1"/>
  <c r="AG213" i="1"/>
  <c r="AG219" i="1"/>
  <c r="AG225" i="1"/>
  <c r="AG232" i="1"/>
  <c r="AG240" i="1"/>
  <c r="AG248" i="1"/>
  <c r="AG256" i="1"/>
  <c r="AG263" i="1"/>
  <c r="AG278" i="1"/>
  <c r="AG284" i="1"/>
  <c r="AG290" i="1"/>
  <c r="AG297" i="1"/>
  <c r="AG305" i="1"/>
  <c r="AG311" i="1"/>
  <c r="AG317" i="1"/>
  <c r="AG323" i="1"/>
  <c r="AG329" i="1"/>
  <c r="AG335" i="1"/>
  <c r="AG341" i="1"/>
  <c r="AG348" i="1"/>
  <c r="AG33" i="1"/>
  <c r="AG135" i="1"/>
  <c r="AG222" i="1"/>
  <c r="AG345" i="1"/>
  <c r="AF26" i="1"/>
  <c r="AF116" i="1"/>
  <c r="AF217" i="1"/>
  <c r="AF23" i="1"/>
  <c r="AF31" i="1"/>
  <c r="AF39" i="1"/>
  <c r="AF49" i="1"/>
  <c r="AF55" i="1"/>
  <c r="AF61" i="1"/>
  <c r="AF71" i="1"/>
  <c r="AF83" i="1"/>
  <c r="AF95" i="1"/>
  <c r="AF112" i="1"/>
  <c r="AF121" i="1"/>
  <c r="AF133" i="1"/>
  <c r="AF139" i="1"/>
  <c r="AF145" i="1"/>
  <c r="AF151" i="1"/>
  <c r="AF157" i="1"/>
  <c r="AF171" i="1"/>
  <c r="AF188" i="1"/>
  <c r="AF194" i="1"/>
  <c r="AF200" i="1"/>
  <c r="AF206" i="1"/>
  <c r="AF214" i="1"/>
  <c r="AF220" i="1"/>
  <c r="AF226" i="1"/>
  <c r="AF233" i="1"/>
  <c r="AF241" i="1"/>
  <c r="AF251" i="1"/>
  <c r="AF258" i="1"/>
  <c r="AF264" i="1"/>
  <c r="AF273" i="1"/>
  <c r="AF279" i="1"/>
  <c r="AF285" i="1"/>
  <c r="AF291" i="1"/>
  <c r="AF298" i="1"/>
  <c r="AF306" i="1"/>
  <c r="AF312" i="1"/>
  <c r="AF318" i="1"/>
  <c r="AF324" i="1"/>
  <c r="AF330" i="1"/>
  <c r="AF336" i="1"/>
  <c r="AF342" i="1"/>
  <c r="AF351" i="1"/>
  <c r="AG51" i="1"/>
  <c r="AG147" i="1"/>
  <c r="AG338" i="1"/>
  <c r="AG14" i="1"/>
  <c r="AF130" i="1"/>
  <c r="AF211" i="1"/>
  <c r="AF315" i="1"/>
  <c r="AG31" i="1"/>
  <c r="AG39" i="1"/>
  <c r="AG49" i="1"/>
  <c r="AG55" i="1"/>
  <c r="AG61" i="1"/>
  <c r="AG71" i="1"/>
  <c r="AG83" i="1"/>
  <c r="AG95" i="1"/>
  <c r="AG112" i="1"/>
  <c r="AG121" i="1"/>
  <c r="AG133" i="1"/>
  <c r="AG139" i="1"/>
  <c r="AG145" i="1"/>
  <c r="AG151" i="1"/>
  <c r="AG157" i="1"/>
  <c r="AG171" i="1"/>
  <c r="AG188" i="1"/>
  <c r="AG194" i="1"/>
  <c r="AG200" i="1"/>
  <c r="AG206" i="1"/>
  <c r="AG214" i="1"/>
  <c r="AG220" i="1"/>
  <c r="AG226" i="1"/>
  <c r="AG233" i="1"/>
  <c r="AG241" i="1"/>
  <c r="AG251" i="1"/>
  <c r="AG258" i="1"/>
  <c r="AG264" i="1"/>
  <c r="AG273" i="1"/>
  <c r="AG279" i="1"/>
  <c r="AG285" i="1"/>
  <c r="AG291" i="1"/>
  <c r="AG298" i="1"/>
  <c r="AG306" i="1"/>
  <c r="AG312" i="1"/>
  <c r="AG318" i="1"/>
  <c r="AG324" i="1"/>
  <c r="AG330" i="1"/>
  <c r="AG336" i="1"/>
  <c r="AG342" i="1"/>
  <c r="AG351" i="1"/>
  <c r="AG43" i="1"/>
  <c r="AG153" i="1"/>
  <c r="AG245" i="1"/>
  <c r="AG300" i="1"/>
  <c r="AF68" i="1"/>
  <c r="AF163" i="1"/>
  <c r="AF162" i="1" s="1"/>
  <c r="AF223" i="1"/>
  <c r="AF321" i="1"/>
  <c r="AF14" i="1"/>
  <c r="AF24" i="1"/>
  <c r="AF32" i="1"/>
  <c r="AF42" i="1"/>
  <c r="AF50" i="1"/>
  <c r="AF56" i="1"/>
  <c r="AF64" i="1"/>
  <c r="AF76" i="1"/>
  <c r="AF84" i="1"/>
  <c r="AF96" i="1"/>
  <c r="AF114" i="1"/>
  <c r="AF124" i="1"/>
  <c r="AF134" i="1"/>
  <c r="AF140" i="1"/>
  <c r="AF146" i="1"/>
  <c r="AF152" i="1"/>
  <c r="AF158" i="1"/>
  <c r="AF172" i="1"/>
  <c r="AF189" i="1"/>
  <c r="AF195" i="1"/>
  <c r="AF201" i="1"/>
  <c r="AF207" i="1"/>
  <c r="AF215" i="1"/>
  <c r="AF221" i="1"/>
  <c r="AF227" i="1"/>
  <c r="AF236" i="1"/>
  <c r="AF244" i="1"/>
  <c r="AF252" i="1"/>
  <c r="AF259" i="1"/>
  <c r="AF265" i="1"/>
  <c r="AF274" i="1"/>
  <c r="AF280" i="1"/>
  <c r="AF286" i="1"/>
  <c r="AF292" i="1"/>
  <c r="AF299" i="1"/>
  <c r="AF307" i="1"/>
  <c r="AF313" i="1"/>
  <c r="AF319" i="1"/>
  <c r="AF325" i="1"/>
  <c r="AF331" i="1"/>
  <c r="AF337" i="1"/>
  <c r="AF344" i="1"/>
  <c r="AF352" i="1"/>
  <c r="AG87" i="1"/>
  <c r="AG159" i="1"/>
  <c r="AG228" i="1"/>
  <c r="AG293" i="1"/>
  <c r="AF34" i="1"/>
  <c r="AF136" i="1"/>
  <c r="AF229" i="1"/>
  <c r="AF327" i="1"/>
  <c r="AG23" i="1"/>
  <c r="AG11" i="1"/>
  <c r="AG42" i="1"/>
  <c r="AG50" i="1"/>
  <c r="AG64" i="1"/>
  <c r="AG76" i="1"/>
  <c r="AG84" i="1"/>
  <c r="AG96" i="1"/>
  <c r="AG114" i="1"/>
  <c r="AG124" i="1"/>
  <c r="AG134" i="1"/>
  <c r="AG140" i="1"/>
  <c r="AG146" i="1"/>
  <c r="AG152" i="1"/>
  <c r="AG158" i="1"/>
  <c r="AG172" i="1"/>
  <c r="AG189" i="1"/>
  <c r="AG195" i="1"/>
  <c r="AG201" i="1"/>
  <c r="AG207" i="1"/>
  <c r="AG215" i="1"/>
  <c r="AG221" i="1"/>
  <c r="AG227" i="1"/>
  <c r="AG236" i="1"/>
  <c r="AG244" i="1"/>
  <c r="AG252" i="1"/>
  <c r="AG259" i="1"/>
  <c r="AG265" i="1"/>
  <c r="AG274" i="1"/>
  <c r="AG280" i="1"/>
  <c r="AG286" i="1"/>
  <c r="AG292" i="1"/>
  <c r="AG299" i="1"/>
  <c r="AG307" i="1"/>
  <c r="AG313" i="1"/>
  <c r="AG319" i="1"/>
  <c r="AG325" i="1"/>
  <c r="AG331" i="1"/>
  <c r="AG337" i="1"/>
  <c r="AG352" i="1"/>
  <c r="AG97" i="1"/>
  <c r="AG174" i="1"/>
  <c r="AG253" i="1"/>
  <c r="AG354" i="1"/>
  <c r="AF58" i="1"/>
  <c r="AF142" i="1"/>
  <c r="AF203" i="1"/>
  <c r="AF303" i="1"/>
  <c r="AF13" i="1"/>
  <c r="AF15" i="1"/>
  <c r="AG24" i="1"/>
  <c r="AG32" i="1"/>
  <c r="AG56" i="1"/>
  <c r="AG12" i="1"/>
  <c r="AF25" i="1"/>
  <c r="AF33" i="1"/>
  <c r="AF43" i="1"/>
  <c r="AF51" i="1"/>
  <c r="AF57" i="1"/>
  <c r="AF65" i="1"/>
  <c r="AF77" i="1"/>
  <c r="AF87" i="1"/>
  <c r="AF97" i="1"/>
  <c r="AF115" i="1"/>
  <c r="AF127" i="1"/>
  <c r="AF135" i="1"/>
  <c r="AF141" i="1"/>
  <c r="AF147" i="1"/>
  <c r="AF153" i="1"/>
  <c r="AF159" i="1"/>
  <c r="AF174" i="1"/>
  <c r="AF190" i="1"/>
  <c r="AF196" i="1"/>
  <c r="AF202" i="1"/>
  <c r="AF210" i="1"/>
  <c r="AF216" i="1"/>
  <c r="AF222" i="1"/>
  <c r="AF228" i="1"/>
  <c r="AF237" i="1"/>
  <c r="AF245" i="1"/>
  <c r="AF253" i="1"/>
  <c r="AF260" i="1"/>
  <c r="AF266" i="1"/>
  <c r="AF275" i="1"/>
  <c r="AF281" i="1"/>
  <c r="AF287" i="1"/>
  <c r="AF293" i="1"/>
  <c r="AF300" i="1"/>
  <c r="AF308" i="1"/>
  <c r="AF314" i="1"/>
  <c r="AF320" i="1"/>
  <c r="AF326" i="1"/>
  <c r="AF332" i="1"/>
  <c r="AF338" i="1"/>
  <c r="AF345" i="1"/>
  <c r="AE149" i="1"/>
  <c r="AE13" i="1"/>
  <c r="AE14" i="1"/>
  <c r="AE70" i="1"/>
  <c r="AE138" i="1"/>
  <c r="AE25" i="1"/>
  <c r="AE43" i="1"/>
  <c r="AE57" i="1"/>
  <c r="AE97" i="1"/>
  <c r="AE140" i="1"/>
  <c r="AE152" i="1"/>
  <c r="AE33" i="1"/>
  <c r="AE34" i="1"/>
  <c r="AE54" i="1"/>
  <c r="AE71" i="1"/>
  <c r="AE150" i="1"/>
  <c r="AE42" i="1"/>
  <c r="AE56" i="1"/>
  <c r="AE139" i="1"/>
  <c r="AE26" i="1"/>
  <c r="AE127" i="1"/>
  <c r="AE141" i="1"/>
  <c r="AE153" i="1"/>
  <c r="AE31" i="1"/>
  <c r="AE32" i="1"/>
  <c r="AE134" i="1"/>
  <c r="AE90" i="1"/>
  <c r="AE147" i="1"/>
  <c r="AE38" i="1"/>
  <c r="AE39" i="1"/>
  <c r="AE47" i="1"/>
  <c r="AE130" i="1"/>
  <c r="AE142" i="1"/>
  <c r="AE154" i="1"/>
  <c r="AE61" i="1"/>
  <c r="AE64" i="1"/>
  <c r="AE51" i="1"/>
  <c r="AE15" i="1"/>
  <c r="AE52" i="1"/>
  <c r="AE135" i="1"/>
  <c r="AE91" i="1"/>
  <c r="AE116" i="1"/>
  <c r="AE55" i="1"/>
  <c r="AE118" i="1"/>
  <c r="AE48" i="1"/>
  <c r="AE131" i="1"/>
  <c r="AE143" i="1"/>
  <c r="AE111" i="1"/>
  <c r="AE132" i="1"/>
  <c r="AE144" i="1"/>
  <c r="AE50" i="1"/>
  <c r="AE133" i="1"/>
  <c r="AE145" i="1"/>
  <c r="AE146" i="1"/>
  <c r="AE112" i="1"/>
  <c r="AE115" i="1"/>
  <c r="AE49" i="1"/>
  <c r="AE136" i="1"/>
  <c r="AE148" i="1"/>
  <c r="AE163" i="1"/>
  <c r="AE162" i="1" s="1"/>
  <c r="AE65" i="1"/>
  <c r="AE92" i="1"/>
  <c r="AE137" i="1"/>
  <c r="L174" i="1"/>
  <c r="S174" i="1" s="1"/>
  <c r="T174" i="1" s="1"/>
  <c r="L155" i="1"/>
  <c r="Q58" i="1"/>
  <c r="BR58" i="1" s="1"/>
  <c r="L100" i="1"/>
  <c r="S100" i="1" s="1"/>
  <c r="T100" i="1" s="1"/>
  <c r="L58" i="1"/>
  <c r="L28" i="1"/>
  <c r="Q27" i="1"/>
  <c r="BP27" i="1" s="1"/>
  <c r="BR27" i="1" s="1"/>
  <c r="Q83" i="1"/>
  <c r="BR83" i="1" s="1"/>
  <c r="L83" i="1"/>
  <c r="L27" i="1"/>
  <c r="Q26" i="1"/>
  <c r="BP26" i="1" s="1"/>
  <c r="BR26" i="1" s="1"/>
  <c r="L26" i="1"/>
  <c r="Q28" i="1"/>
  <c r="BP28" i="1" s="1"/>
  <c r="BR28" i="1" s="1"/>
  <c r="BR269" i="1"/>
  <c r="L248" i="1"/>
  <c r="BR248" i="1"/>
  <c r="L206" i="1"/>
  <c r="BR206" i="1"/>
  <c r="G479" i="18" s="1"/>
  <c r="BR207" i="1"/>
  <c r="G480" i="18" s="1"/>
  <c r="Q354" i="1"/>
  <c r="BP354" i="1" s="1"/>
  <c r="L354" i="1"/>
  <c r="I233" i="1"/>
  <c r="I232" i="1"/>
  <c r="BD53" i="31" l="1"/>
  <c r="D97" i="31" s="1"/>
  <c r="I82" i="21" s="1"/>
  <c r="BB53" i="31"/>
  <c r="AH87" i="1"/>
  <c r="AH237" i="1"/>
  <c r="H247" i="18"/>
  <c r="F612" i="18" s="1"/>
  <c r="F248" i="18"/>
  <c r="F252" i="18" s="1"/>
  <c r="BR354" i="1"/>
  <c r="T26" i="7"/>
  <c r="J35" i="30"/>
  <c r="K35" i="30" s="1"/>
  <c r="D36" i="30"/>
  <c r="AH228" i="1"/>
  <c r="S155" i="1"/>
  <c r="T155" i="1" s="1"/>
  <c r="AX57" i="31"/>
  <c r="AX55" i="31"/>
  <c r="AX56" i="31"/>
  <c r="AX54" i="31"/>
  <c r="AX59" i="31"/>
  <c r="AX58" i="31"/>
  <c r="AZ60" i="31"/>
  <c r="BA53" i="31" s="1"/>
  <c r="AH354" i="1"/>
  <c r="S354" i="1"/>
  <c r="T354" i="1" s="1"/>
  <c r="S83" i="1"/>
  <c r="T83" i="1" s="1"/>
  <c r="AH216" i="1"/>
  <c r="AH300" i="1"/>
  <c r="AH332" i="1"/>
  <c r="AH254" i="1"/>
  <c r="AH320" i="1"/>
  <c r="AH281" i="1"/>
  <c r="AH327" i="1"/>
  <c r="AH202" i="1"/>
  <c r="AH275" i="1"/>
  <c r="AH246" i="1"/>
  <c r="AH326" i="1"/>
  <c r="AH321" i="1"/>
  <c r="AH210" i="1"/>
  <c r="S207" i="1"/>
  <c r="T207" i="1" s="1"/>
  <c r="S269" i="1"/>
  <c r="T269" i="1" s="1"/>
  <c r="AH130" i="1"/>
  <c r="AH288" i="1"/>
  <c r="AH203" i="1"/>
  <c r="AH266" i="1"/>
  <c r="AH196" i="1"/>
  <c r="AH197" i="1"/>
  <c r="AH149" i="1"/>
  <c r="AH91" i="1"/>
  <c r="AN91" i="1" s="1"/>
  <c r="AH47" i="1"/>
  <c r="AN47" i="1" s="1"/>
  <c r="AH260" i="1"/>
  <c r="AH145" i="1"/>
  <c r="AH190" i="1"/>
  <c r="AH71" i="1"/>
  <c r="AN71" i="1" s="1"/>
  <c r="AH314" i="1"/>
  <c r="AH276" i="1"/>
  <c r="AH222" i="1"/>
  <c r="AH15" i="1"/>
  <c r="AN15" i="1" s="1"/>
  <c r="AH229" i="1"/>
  <c r="AH315" i="1"/>
  <c r="AH90" i="1"/>
  <c r="AH48" i="1"/>
  <c r="AN48" i="1" s="1"/>
  <c r="AH31" i="1"/>
  <c r="AN31" i="1" s="1"/>
  <c r="AH61" i="1"/>
  <c r="AN61" i="1" s="1"/>
  <c r="AH150" i="1"/>
  <c r="AH138" i="1"/>
  <c r="AH171" i="1"/>
  <c r="AH143" i="1"/>
  <c r="AH55" i="1"/>
  <c r="AN55" i="1" s="1"/>
  <c r="AH333" i="1"/>
  <c r="AH282" i="1"/>
  <c r="AH287" i="1"/>
  <c r="AH34" i="1"/>
  <c r="AN34" i="1" s="1"/>
  <c r="AH253" i="1"/>
  <c r="AH191" i="1"/>
  <c r="AH43" i="1"/>
  <c r="AN43" i="1" s="1"/>
  <c r="AH14" i="1"/>
  <c r="AN14" i="1" s="1"/>
  <c r="AH147" i="1"/>
  <c r="AH136" i="1"/>
  <c r="AH139" i="1"/>
  <c r="AH211" i="1"/>
  <c r="AH339" i="1"/>
  <c r="AH236" i="1"/>
  <c r="AH42" i="1"/>
  <c r="AN42" i="1" s="1"/>
  <c r="AH284" i="1"/>
  <c r="AH199" i="1"/>
  <c r="AH277" i="1"/>
  <c r="AH192" i="1"/>
  <c r="AH32" i="1"/>
  <c r="AN32" i="1" s="1"/>
  <c r="AH51" i="1"/>
  <c r="AN51" i="1" s="1"/>
  <c r="AH57" i="1"/>
  <c r="AN57" i="1" s="1"/>
  <c r="AH278" i="1"/>
  <c r="AH193" i="1"/>
  <c r="AH70" i="1"/>
  <c r="AN70" i="1" s="1"/>
  <c r="AH347" i="1"/>
  <c r="AH269" i="1"/>
  <c r="K81" i="22" s="1"/>
  <c r="L81" i="22" s="1"/>
  <c r="AH174" i="1"/>
  <c r="AH33" i="1"/>
  <c r="AN33" i="1" s="1"/>
  <c r="AH140" i="1"/>
  <c r="AH252" i="1"/>
  <c r="AH152" i="1"/>
  <c r="AH146" i="1"/>
  <c r="AH142" i="1"/>
  <c r="AH65" i="1"/>
  <c r="AN65" i="1" s="1"/>
  <c r="AH238" i="1"/>
  <c r="AH346" i="1"/>
  <c r="AH153" i="1"/>
  <c r="AH313" i="1"/>
  <c r="AH227" i="1"/>
  <c r="AH336" i="1"/>
  <c r="AH258" i="1"/>
  <c r="AH295" i="1"/>
  <c r="AH212" i="1"/>
  <c r="AH292" i="1"/>
  <c r="AH189" i="1"/>
  <c r="AH274" i="1"/>
  <c r="AH340" i="1"/>
  <c r="AH262" i="1"/>
  <c r="AH293" i="1"/>
  <c r="AH352" i="1"/>
  <c r="AH214" i="1"/>
  <c r="AH348" i="1"/>
  <c r="AH141" i="1"/>
  <c r="AH186" i="1"/>
  <c r="AH144" i="1"/>
  <c r="AH92" i="1"/>
  <c r="AH127" i="1"/>
  <c r="AH25" i="1"/>
  <c r="AH207" i="1"/>
  <c r="AH64" i="1"/>
  <c r="AN64" i="1" s="1"/>
  <c r="AH298" i="1"/>
  <c r="AH115" i="1"/>
  <c r="AH13" i="1"/>
  <c r="AH272" i="1"/>
  <c r="AH323" i="1"/>
  <c r="AH240" i="1"/>
  <c r="AH317" i="1"/>
  <c r="AH232" i="1"/>
  <c r="AH318" i="1"/>
  <c r="AH233" i="1"/>
  <c r="AH265" i="1"/>
  <c r="AH291" i="1"/>
  <c r="AH337" i="1"/>
  <c r="AH285" i="1"/>
  <c r="AH54" i="1"/>
  <c r="AN54" i="1" s="1"/>
  <c r="AH303" i="1"/>
  <c r="AH331" i="1"/>
  <c r="AH279" i="1"/>
  <c r="AH194" i="1"/>
  <c r="AH341" i="1"/>
  <c r="AH263" i="1"/>
  <c r="AH334" i="1"/>
  <c r="AH255" i="1"/>
  <c r="AH267" i="1"/>
  <c r="AH206" i="1"/>
  <c r="AH259" i="1"/>
  <c r="AH345" i="1"/>
  <c r="AH325" i="1"/>
  <c r="AH244" i="1"/>
  <c r="AH351" i="1"/>
  <c r="AH273" i="1"/>
  <c r="AH188" i="1"/>
  <c r="AH335" i="1"/>
  <c r="AH256" i="1"/>
  <c r="AH294" i="1"/>
  <c r="AH328" i="1"/>
  <c r="AH247" i="1"/>
  <c r="AH172" i="1"/>
  <c r="AH200" i="1"/>
  <c r="AH132" i="1"/>
  <c r="AH39" i="1"/>
  <c r="AN39" i="1" s="1"/>
  <c r="AH148" i="1"/>
  <c r="AH111" i="1"/>
  <c r="AH118" i="1"/>
  <c r="AH154" i="1"/>
  <c r="AH38" i="1"/>
  <c r="AH338" i="1"/>
  <c r="AH319" i="1"/>
  <c r="AH342" i="1"/>
  <c r="AH264" i="1"/>
  <c r="AH329" i="1"/>
  <c r="AH248" i="1"/>
  <c r="H84" i="22" s="1"/>
  <c r="K85" i="22" s="1"/>
  <c r="AH261" i="1"/>
  <c r="AH322" i="1"/>
  <c r="AH239" i="1"/>
  <c r="AH112" i="1"/>
  <c r="AH316" i="1"/>
  <c r="AH231" i="1"/>
  <c r="AH221" i="1"/>
  <c r="AH251" i="1"/>
  <c r="AH310" i="1"/>
  <c r="AH224" i="1"/>
  <c r="AH307" i="1"/>
  <c r="AH330" i="1"/>
  <c r="AH49" i="1"/>
  <c r="AN49" i="1" s="1"/>
  <c r="AH116" i="1"/>
  <c r="AH299" i="1"/>
  <c r="AH215" i="1"/>
  <c r="AH223" i="1"/>
  <c r="AH324" i="1"/>
  <c r="AH241" i="1"/>
  <c r="AH311" i="1"/>
  <c r="AH225" i="1"/>
  <c r="AH304" i="1"/>
  <c r="AH218" i="1"/>
  <c r="AH97" i="1"/>
  <c r="AH131" i="1"/>
  <c r="AH134" i="1"/>
  <c r="AH26" i="1"/>
  <c r="I80" i="22" s="1"/>
  <c r="AH305" i="1"/>
  <c r="AH219" i="1"/>
  <c r="AH308" i="1"/>
  <c r="AH286" i="1"/>
  <c r="AH201" i="1"/>
  <c r="AH312" i="1"/>
  <c r="AH226" i="1"/>
  <c r="AH309" i="1"/>
  <c r="AH297" i="1"/>
  <c r="AH213" i="1"/>
  <c r="AH289" i="1"/>
  <c r="AH204" i="1"/>
  <c r="AH344" i="1"/>
  <c r="AH245" i="1"/>
  <c r="AH133" i="1"/>
  <c r="AH135" i="1"/>
  <c r="AH137" i="1"/>
  <c r="AH50" i="1"/>
  <c r="AN50" i="1" s="1"/>
  <c r="AH52" i="1"/>
  <c r="AN52" i="1" s="1"/>
  <c r="AH56" i="1"/>
  <c r="AN56" i="1" s="1"/>
  <c r="AH280" i="1"/>
  <c r="AH195" i="1"/>
  <c r="AH306" i="1"/>
  <c r="AH220" i="1"/>
  <c r="AH217" i="1"/>
  <c r="AH290" i="1"/>
  <c r="AH205" i="1"/>
  <c r="AH283" i="1"/>
  <c r="AH198" i="1"/>
  <c r="AH163" i="1"/>
  <c r="S58" i="1"/>
  <c r="T58" i="1" s="1"/>
  <c r="S26" i="1"/>
  <c r="T26" i="1" s="1"/>
  <c r="S28" i="1"/>
  <c r="T28" i="1" s="1"/>
  <c r="S27" i="1"/>
  <c r="T27" i="1" s="1"/>
  <c r="S248" i="1"/>
  <c r="T248" i="1" s="1"/>
  <c r="S206" i="1"/>
  <c r="T206" i="1" s="1"/>
  <c r="L232" i="1"/>
  <c r="L233" i="1"/>
  <c r="BR233" i="1"/>
  <c r="BR232" i="1"/>
  <c r="H131" i="22" l="1"/>
  <c r="K109" i="21"/>
  <c r="H110" i="21"/>
  <c r="K110" i="21" s="1"/>
  <c r="H79" i="22"/>
  <c r="L80" i="22"/>
  <c r="AN25" i="1"/>
  <c r="AN26" i="1"/>
  <c r="AN38" i="1"/>
  <c r="BD60" i="31"/>
  <c r="BE53" i="31" s="1"/>
  <c r="C71" i="31"/>
  <c r="H23" i="10"/>
  <c r="H23" i="18" s="1"/>
  <c r="H83" i="21"/>
  <c r="AN13" i="1"/>
  <c r="H248" i="18"/>
  <c r="H252" i="18" s="1"/>
  <c r="I612" i="18"/>
  <c r="J36" i="30"/>
  <c r="K36" i="30" s="1"/>
  <c r="D37" i="30"/>
  <c r="I106" i="22"/>
  <c r="L106" i="22" s="1"/>
  <c r="L107" i="22"/>
  <c r="L105" i="22"/>
  <c r="BA57" i="31"/>
  <c r="BA58" i="31"/>
  <c r="BA54" i="31"/>
  <c r="BA59" i="31"/>
  <c r="BA56" i="31"/>
  <c r="BA55" i="31"/>
  <c r="AH162" i="1"/>
  <c r="S233" i="1"/>
  <c r="T233" i="1" s="1"/>
  <c r="S232" i="1"/>
  <c r="T232" i="1" s="1"/>
  <c r="D71" i="31" l="1"/>
  <c r="D72" i="31" s="1"/>
  <c r="C74" i="31" s="1"/>
  <c r="D75" i="31" s="1"/>
  <c r="D77" i="31" s="1"/>
  <c r="H118" i="22" s="1"/>
  <c r="L131" i="22"/>
  <c r="C127" i="31" s="1"/>
  <c r="J132" i="22"/>
  <c r="L132" i="22" s="1"/>
  <c r="L84" i="22"/>
  <c r="L85" i="22"/>
  <c r="I23" i="10"/>
  <c r="I23" i="18" s="1"/>
  <c r="L79" i="22"/>
  <c r="L229" i="18"/>
  <c r="J612" i="18"/>
  <c r="J37" i="30"/>
  <c r="K37" i="30" s="1"/>
  <c r="D38" i="30"/>
  <c r="C90" i="31"/>
  <c r="K82" i="21"/>
  <c r="AB175" i="1" s="1"/>
  <c r="AC175" i="1" s="1"/>
  <c r="AC4" i="1" s="1"/>
  <c r="K83" i="21"/>
  <c r="D125" i="31"/>
  <c r="E125" i="31" s="1"/>
  <c r="BE56" i="31"/>
  <c r="BE57" i="31"/>
  <c r="BE55" i="31"/>
  <c r="BE58" i="31"/>
  <c r="BE54" i="31"/>
  <c r="C102" i="31" s="1"/>
  <c r="BE59" i="31"/>
  <c r="N347" i="20"/>
  <c r="N346" i="20"/>
  <c r="N345" i="20"/>
  <c r="N344" i="20"/>
  <c r="N343" i="20"/>
  <c r="N342" i="20"/>
  <c r="N341" i="20"/>
  <c r="N340" i="20"/>
  <c r="N339" i="20"/>
  <c r="N338" i="20"/>
  <c r="N337" i="20"/>
  <c r="N336" i="20"/>
  <c r="N255" i="20"/>
  <c r="L255" i="20"/>
  <c r="N254" i="20"/>
  <c r="L254" i="20"/>
  <c r="N253" i="20"/>
  <c r="L253" i="20"/>
  <c r="N252" i="20"/>
  <c r="L252" i="20"/>
  <c r="N251" i="20"/>
  <c r="L251" i="20"/>
  <c r="N250" i="20"/>
  <c r="L250" i="20"/>
  <c r="N249" i="20"/>
  <c r="L249" i="20"/>
  <c r="N248" i="20"/>
  <c r="L248" i="20"/>
  <c r="N247" i="20"/>
  <c r="L247" i="20"/>
  <c r="N246" i="20"/>
  <c r="L246" i="20"/>
  <c r="N245" i="20"/>
  <c r="L245" i="20"/>
  <c r="N244" i="20"/>
  <c r="L244" i="20"/>
  <c r="N243" i="20"/>
  <c r="L243" i="20"/>
  <c r="N242" i="20"/>
  <c r="L242" i="20"/>
  <c r="N241" i="20"/>
  <c r="L241" i="20"/>
  <c r="N240" i="20"/>
  <c r="L240" i="20"/>
  <c r="N239" i="20"/>
  <c r="L239" i="20"/>
  <c r="N238" i="20"/>
  <c r="L238" i="20"/>
  <c r="N237" i="20"/>
  <c r="L237" i="20"/>
  <c r="N236" i="20"/>
  <c r="L236" i="20"/>
  <c r="N235" i="20"/>
  <c r="L235" i="20"/>
  <c r="N234" i="20"/>
  <c r="L234" i="20"/>
  <c r="N233" i="20"/>
  <c r="L233" i="20"/>
  <c r="N232" i="20"/>
  <c r="L232" i="20"/>
  <c r="N231" i="20"/>
  <c r="L231" i="20"/>
  <c r="N230" i="20"/>
  <c r="L230" i="20"/>
  <c r="N229" i="20"/>
  <c r="L229" i="20"/>
  <c r="N228" i="20"/>
  <c r="L228" i="20"/>
  <c r="N227" i="20"/>
  <c r="L227" i="20"/>
  <c r="N226" i="20"/>
  <c r="L226" i="20"/>
  <c r="N225" i="20"/>
  <c r="L225" i="20"/>
  <c r="N224" i="20"/>
  <c r="L224" i="20"/>
  <c r="N223" i="20"/>
  <c r="L223" i="20"/>
  <c r="N222" i="20"/>
  <c r="L222" i="20"/>
  <c r="N221" i="20"/>
  <c r="L221" i="20"/>
  <c r="N220" i="20"/>
  <c r="L220" i="20"/>
  <c r="N219" i="20"/>
  <c r="L219" i="20"/>
  <c r="N218" i="20"/>
  <c r="L218" i="20"/>
  <c r="N217" i="20"/>
  <c r="L217" i="20"/>
  <c r="N216" i="20"/>
  <c r="L216" i="20"/>
  <c r="N215" i="20"/>
  <c r="L215" i="20"/>
  <c r="N214" i="20"/>
  <c r="L214" i="20"/>
  <c r="N213" i="20"/>
  <c r="L213" i="20"/>
  <c r="N212" i="20"/>
  <c r="L212" i="20"/>
  <c r="N211" i="20"/>
  <c r="L211" i="20"/>
  <c r="N210" i="20"/>
  <c r="L210" i="20"/>
  <c r="N209" i="20"/>
  <c r="L209" i="20"/>
  <c r="N208" i="20"/>
  <c r="L208" i="20"/>
  <c r="N207" i="20"/>
  <c r="L207" i="20"/>
  <c r="N206" i="20"/>
  <c r="L206" i="20"/>
  <c r="N205" i="20"/>
  <c r="L205" i="20"/>
  <c r="N204" i="20"/>
  <c r="L204" i="20"/>
  <c r="N203" i="20"/>
  <c r="L203" i="20"/>
  <c r="N202" i="20"/>
  <c r="L202" i="20"/>
  <c r="N201" i="20"/>
  <c r="L201" i="20"/>
  <c r="N200" i="20"/>
  <c r="L200" i="20"/>
  <c r="N199" i="20"/>
  <c r="L199" i="20"/>
  <c r="N198" i="20"/>
  <c r="L198" i="20"/>
  <c r="N197" i="20"/>
  <c r="L197" i="20"/>
  <c r="N196" i="20"/>
  <c r="L196" i="20"/>
  <c r="N195" i="20"/>
  <c r="L195" i="20"/>
  <c r="N194" i="20"/>
  <c r="L194" i="20"/>
  <c r="N193" i="20"/>
  <c r="L193" i="20"/>
  <c r="N192" i="20"/>
  <c r="L192" i="20"/>
  <c r="N191" i="20"/>
  <c r="L191" i="20"/>
  <c r="N190" i="20"/>
  <c r="L190" i="20"/>
  <c r="N189" i="20"/>
  <c r="L189" i="20"/>
  <c r="N188" i="20"/>
  <c r="L188" i="20"/>
  <c r="N187" i="20"/>
  <c r="L187" i="20"/>
  <c r="N186" i="20"/>
  <c r="L186" i="20"/>
  <c r="N185" i="20"/>
  <c r="L185" i="20"/>
  <c r="N184" i="20"/>
  <c r="L184" i="20"/>
  <c r="N183" i="20"/>
  <c r="L183" i="20"/>
  <c r="N182" i="20"/>
  <c r="L182" i="20"/>
  <c r="N181" i="20"/>
  <c r="L181" i="20"/>
  <c r="N180" i="20"/>
  <c r="L180" i="20"/>
  <c r="N179" i="20"/>
  <c r="L179" i="20"/>
  <c r="N178" i="20"/>
  <c r="L178" i="20"/>
  <c r="N177" i="20"/>
  <c r="L177" i="20"/>
  <c r="N176" i="20"/>
  <c r="L176" i="20"/>
  <c r="N175" i="20"/>
  <c r="L175" i="20"/>
  <c r="N174" i="20"/>
  <c r="L174" i="20"/>
  <c r="N173" i="20"/>
  <c r="L173" i="20"/>
  <c r="N172" i="20"/>
  <c r="L172" i="20"/>
  <c r="N171" i="20"/>
  <c r="L171" i="20"/>
  <c r="N170" i="20"/>
  <c r="L170" i="20"/>
  <c r="N169" i="20"/>
  <c r="L169" i="20"/>
  <c r="N168" i="20"/>
  <c r="L168" i="20"/>
  <c r="N167" i="20"/>
  <c r="L167" i="20"/>
  <c r="N166" i="20"/>
  <c r="L166" i="20"/>
  <c r="N165" i="20"/>
  <c r="L165" i="20"/>
  <c r="N164" i="20"/>
  <c r="L164" i="20"/>
  <c r="N163" i="20"/>
  <c r="L163" i="20"/>
  <c r="N162" i="20"/>
  <c r="L162" i="20"/>
  <c r="N161" i="20"/>
  <c r="L161" i="20"/>
  <c r="N160" i="20"/>
  <c r="L160" i="20"/>
  <c r="N159" i="20"/>
  <c r="L159" i="20"/>
  <c r="N158" i="20"/>
  <c r="L158" i="20"/>
  <c r="N157" i="20"/>
  <c r="L157" i="20"/>
  <c r="N156" i="20"/>
  <c r="L156" i="20"/>
  <c r="N155" i="20"/>
  <c r="L155" i="20"/>
  <c r="N154" i="20"/>
  <c r="L154" i="20"/>
  <c r="N153" i="20"/>
  <c r="L153" i="20"/>
  <c r="N152" i="20"/>
  <c r="L152" i="20"/>
  <c r="N151" i="20"/>
  <c r="L151" i="20"/>
  <c r="N150" i="20"/>
  <c r="L150" i="20"/>
  <c r="N149" i="20"/>
  <c r="L149" i="20"/>
  <c r="N148" i="20"/>
  <c r="L148" i="20"/>
  <c r="N147" i="20"/>
  <c r="L147" i="20"/>
  <c r="N146" i="20"/>
  <c r="L146" i="20"/>
  <c r="N145" i="20"/>
  <c r="L145" i="20"/>
  <c r="N144" i="20"/>
  <c r="L144" i="20"/>
  <c r="N143" i="20"/>
  <c r="L143" i="20"/>
  <c r="N142" i="20"/>
  <c r="L142" i="20"/>
  <c r="N141" i="20"/>
  <c r="L141" i="20"/>
  <c r="N140" i="20"/>
  <c r="L140" i="20"/>
  <c r="N139" i="20"/>
  <c r="L139" i="20"/>
  <c r="N138" i="20"/>
  <c r="L138" i="20"/>
  <c r="N137" i="20"/>
  <c r="L137" i="20"/>
  <c r="N136" i="20"/>
  <c r="L136" i="20"/>
  <c r="N135" i="20"/>
  <c r="L135" i="20"/>
  <c r="N134" i="20"/>
  <c r="L134" i="20"/>
  <c r="N133" i="20"/>
  <c r="L133" i="20"/>
  <c r="N132" i="20"/>
  <c r="L132" i="20"/>
  <c r="N131" i="20"/>
  <c r="L131" i="20"/>
  <c r="N130" i="20"/>
  <c r="L130" i="20"/>
  <c r="N129" i="20"/>
  <c r="L129" i="20"/>
  <c r="N128" i="20"/>
  <c r="L128" i="20"/>
  <c r="N127" i="20"/>
  <c r="L127" i="20"/>
  <c r="N126" i="20"/>
  <c r="L126" i="20"/>
  <c r="N125" i="20"/>
  <c r="L125" i="20"/>
  <c r="N124" i="20"/>
  <c r="L124" i="20"/>
  <c r="N123" i="20"/>
  <c r="L123" i="20"/>
  <c r="N122" i="20"/>
  <c r="L122" i="20"/>
  <c r="N121" i="20"/>
  <c r="L121" i="20"/>
  <c r="N120" i="20"/>
  <c r="L120" i="20"/>
  <c r="N119" i="20"/>
  <c r="L119" i="20"/>
  <c r="N118" i="20"/>
  <c r="L118" i="20"/>
  <c r="N117" i="20"/>
  <c r="L117" i="20"/>
  <c r="N116" i="20"/>
  <c r="L116" i="20"/>
  <c r="N115" i="20"/>
  <c r="L115" i="20"/>
  <c r="N114" i="20"/>
  <c r="L114" i="20"/>
  <c r="N113" i="20"/>
  <c r="L113" i="20"/>
  <c r="N112" i="20"/>
  <c r="L112" i="20"/>
  <c r="N111" i="20"/>
  <c r="L111" i="20"/>
  <c r="N110" i="20"/>
  <c r="L110" i="20"/>
  <c r="N109" i="20"/>
  <c r="L109" i="20"/>
  <c r="N108" i="20"/>
  <c r="L108" i="20"/>
  <c r="N107" i="20"/>
  <c r="L107" i="20"/>
  <c r="N106" i="20"/>
  <c r="L106" i="20"/>
  <c r="N105" i="20"/>
  <c r="L105" i="20"/>
  <c r="N104" i="20"/>
  <c r="L104" i="20"/>
  <c r="N103" i="20"/>
  <c r="L103" i="20"/>
  <c r="N102" i="20"/>
  <c r="L102" i="20"/>
  <c r="N101" i="20"/>
  <c r="L101" i="20"/>
  <c r="N100" i="20"/>
  <c r="L100" i="20"/>
  <c r="N99" i="20"/>
  <c r="L99" i="20"/>
  <c r="N98" i="20"/>
  <c r="L98" i="20"/>
  <c r="N97" i="20"/>
  <c r="L97" i="20"/>
  <c r="N96" i="20"/>
  <c r="L96" i="20"/>
  <c r="N95" i="20"/>
  <c r="L95" i="20"/>
  <c r="N94" i="20"/>
  <c r="L94" i="20"/>
  <c r="N93" i="20"/>
  <c r="L93" i="20"/>
  <c r="N92" i="20"/>
  <c r="L92" i="20"/>
  <c r="N91" i="20"/>
  <c r="L91" i="20"/>
  <c r="N90" i="20"/>
  <c r="L90" i="20"/>
  <c r="N89" i="20"/>
  <c r="L89" i="20"/>
  <c r="N88" i="20"/>
  <c r="L88" i="20"/>
  <c r="N87" i="20"/>
  <c r="L87" i="20"/>
  <c r="N86" i="20"/>
  <c r="L86" i="20"/>
  <c r="N85" i="20"/>
  <c r="L85" i="20"/>
  <c r="N84" i="20"/>
  <c r="L84" i="20"/>
  <c r="N83" i="20"/>
  <c r="L83" i="20"/>
  <c r="N82" i="20"/>
  <c r="L82" i="20"/>
  <c r="N81" i="20"/>
  <c r="L81" i="20"/>
  <c r="N80" i="20"/>
  <c r="L80" i="20"/>
  <c r="N79" i="20"/>
  <c r="L79" i="20"/>
  <c r="N78" i="20"/>
  <c r="L78" i="20"/>
  <c r="N77" i="20"/>
  <c r="L77" i="20"/>
  <c r="N76" i="20"/>
  <c r="L76" i="20"/>
  <c r="N75" i="20"/>
  <c r="L75" i="20"/>
  <c r="N74" i="20"/>
  <c r="L74" i="20"/>
  <c r="N73" i="20"/>
  <c r="L73" i="20"/>
  <c r="N72" i="20"/>
  <c r="L72" i="20"/>
  <c r="N71" i="20"/>
  <c r="L71" i="20"/>
  <c r="N70" i="20"/>
  <c r="L70" i="20"/>
  <c r="N69" i="20"/>
  <c r="L69" i="20"/>
  <c r="N68" i="20"/>
  <c r="L68" i="20"/>
  <c r="N67" i="20"/>
  <c r="L67" i="20"/>
  <c r="N66" i="20"/>
  <c r="L66" i="20"/>
  <c r="N65" i="20"/>
  <c r="L65" i="20"/>
  <c r="N64" i="20"/>
  <c r="L64" i="20"/>
  <c r="N63" i="20"/>
  <c r="L63" i="20"/>
  <c r="N62" i="20"/>
  <c r="L62" i="20"/>
  <c r="N61" i="20"/>
  <c r="L61" i="20"/>
  <c r="N60" i="20"/>
  <c r="L60" i="20"/>
  <c r="N59" i="20"/>
  <c r="L59" i="20"/>
  <c r="N58" i="20"/>
  <c r="L58" i="20"/>
  <c r="N57" i="20"/>
  <c r="L57" i="20"/>
  <c r="N56" i="20"/>
  <c r="L56" i="20"/>
  <c r="N55" i="20"/>
  <c r="L55" i="20"/>
  <c r="N54" i="20"/>
  <c r="L54" i="20"/>
  <c r="N53" i="20"/>
  <c r="L53" i="20"/>
  <c r="N52" i="20"/>
  <c r="L52" i="20"/>
  <c r="N51" i="20"/>
  <c r="L51" i="20"/>
  <c r="N50" i="20"/>
  <c r="L50" i="20"/>
  <c r="N49" i="20"/>
  <c r="L49" i="20"/>
  <c r="N48" i="20"/>
  <c r="L48" i="20"/>
  <c r="N47" i="20"/>
  <c r="L47" i="20"/>
  <c r="N46" i="20"/>
  <c r="L46" i="20"/>
  <c r="N45" i="20"/>
  <c r="L45" i="20"/>
  <c r="N44" i="20"/>
  <c r="L44" i="20"/>
  <c r="N43" i="20"/>
  <c r="L43" i="20"/>
  <c r="N42" i="20"/>
  <c r="L42" i="20"/>
  <c r="N41" i="20"/>
  <c r="L41" i="20"/>
  <c r="N40" i="20"/>
  <c r="L40" i="20"/>
  <c r="N39" i="20"/>
  <c r="L39" i="20"/>
  <c r="N38" i="20"/>
  <c r="L38" i="20"/>
  <c r="N37" i="20"/>
  <c r="L37" i="20"/>
  <c r="N36" i="20"/>
  <c r="L36" i="20"/>
  <c r="N35" i="20"/>
  <c r="L35" i="20"/>
  <c r="N34" i="20"/>
  <c r="L34" i="20"/>
  <c r="N33" i="20"/>
  <c r="L33" i="20"/>
  <c r="N32" i="20"/>
  <c r="L32" i="20"/>
  <c r="N31" i="20"/>
  <c r="L31" i="20"/>
  <c r="N30" i="20"/>
  <c r="L30" i="20"/>
  <c r="N29" i="20"/>
  <c r="L29" i="20"/>
  <c r="N28" i="20"/>
  <c r="L28" i="20"/>
  <c r="N27" i="20"/>
  <c r="L27" i="20"/>
  <c r="N26" i="20"/>
  <c r="L26" i="20"/>
  <c r="N25" i="20"/>
  <c r="L25" i="20"/>
  <c r="N24" i="20"/>
  <c r="L24" i="20"/>
  <c r="N23" i="20"/>
  <c r="L23" i="20"/>
  <c r="N22" i="20"/>
  <c r="L22" i="20"/>
  <c r="N21" i="20"/>
  <c r="L21" i="20"/>
  <c r="N20" i="20"/>
  <c r="L20" i="20"/>
  <c r="N19" i="20"/>
  <c r="L19" i="20"/>
  <c r="N18" i="20"/>
  <c r="L18" i="20"/>
  <c r="N17" i="20"/>
  <c r="L17" i="20"/>
  <c r="N16" i="20"/>
  <c r="L16" i="20"/>
  <c r="L15" i="20"/>
  <c r="N14" i="20"/>
  <c r="L14" i="20"/>
  <c r="N13" i="20"/>
  <c r="L13" i="20"/>
  <c r="N12" i="20"/>
  <c r="N11" i="20"/>
  <c r="L11" i="20"/>
  <c r="N10" i="20"/>
  <c r="L10" i="20"/>
  <c r="N9" i="20"/>
  <c r="L9" i="20"/>
  <c r="L8" i="20"/>
  <c r="AW17" i="1"/>
  <c r="AW86" i="1"/>
  <c r="AW81" i="1" s="1"/>
  <c r="AW75" i="1" s="1"/>
  <c r="AW106" i="1"/>
  <c r="AW120" i="1"/>
  <c r="AW123" i="1"/>
  <c r="AW126" i="1"/>
  <c r="AW166" i="1"/>
  <c r="AW350" i="1"/>
  <c r="AR17" i="1"/>
  <c r="AS17" i="1"/>
  <c r="AT17" i="1"/>
  <c r="AS75" i="1"/>
  <c r="AR81" i="1"/>
  <c r="AR75" i="1" s="1"/>
  <c r="AS81" i="1"/>
  <c r="AT81" i="1"/>
  <c r="AT75" i="1" s="1"/>
  <c r="AR86" i="1"/>
  <c r="AS86" i="1"/>
  <c r="AT86" i="1"/>
  <c r="AR106" i="1"/>
  <c r="AR120" i="1"/>
  <c r="AR123" i="1"/>
  <c r="AR126" i="1"/>
  <c r="AR161" i="1"/>
  <c r="AR166" i="1"/>
  <c r="AR350" i="1"/>
  <c r="AJ17" i="1"/>
  <c r="AK17" i="1"/>
  <c r="AL17" i="1"/>
  <c r="AL75" i="1"/>
  <c r="AK81" i="1"/>
  <c r="AK75" i="1" s="1"/>
  <c r="AL81" i="1"/>
  <c r="AJ86" i="1"/>
  <c r="AJ81" i="1" s="1"/>
  <c r="AJ75" i="1" s="1"/>
  <c r="AK86" i="1"/>
  <c r="AL86" i="1"/>
  <c r="AJ106" i="1"/>
  <c r="AK106" i="1"/>
  <c r="AL106" i="1"/>
  <c r="AJ120" i="1"/>
  <c r="AK120" i="1"/>
  <c r="AL120" i="1"/>
  <c r="AJ123" i="1"/>
  <c r="AK123" i="1"/>
  <c r="AL123" i="1"/>
  <c r="AJ126" i="1"/>
  <c r="AK126" i="1"/>
  <c r="AL126" i="1"/>
  <c r="AJ161" i="1"/>
  <c r="AK161" i="1"/>
  <c r="AL161" i="1"/>
  <c r="AJ166" i="1"/>
  <c r="AK166" i="1"/>
  <c r="AL166" i="1"/>
  <c r="AJ350" i="1"/>
  <c r="AK350" i="1"/>
  <c r="AL350" i="1"/>
  <c r="AF17" i="1"/>
  <c r="AG17" i="1"/>
  <c r="AF81" i="1"/>
  <c r="AF75" i="1" s="1"/>
  <c r="AG81" i="1"/>
  <c r="AG75" i="1" s="1"/>
  <c r="AF86" i="1"/>
  <c r="AG86" i="1"/>
  <c r="AF106" i="1"/>
  <c r="AG106" i="1"/>
  <c r="AF120" i="1"/>
  <c r="AG120" i="1"/>
  <c r="AF123" i="1"/>
  <c r="AG123" i="1"/>
  <c r="AE126" i="1"/>
  <c r="AF126" i="1"/>
  <c r="AG126" i="1"/>
  <c r="AH126" i="1"/>
  <c r="AE161" i="1"/>
  <c r="AF161" i="1"/>
  <c r="AG161" i="1"/>
  <c r="AH161" i="1"/>
  <c r="AF166" i="1"/>
  <c r="AG166" i="1"/>
  <c r="AF350" i="1"/>
  <c r="AG350" i="1"/>
  <c r="AH350" i="1"/>
  <c r="AA17" i="1"/>
  <c r="AB17" i="1"/>
  <c r="AC17" i="1"/>
  <c r="AB75" i="1"/>
  <c r="AB81" i="1"/>
  <c r="AA86" i="1"/>
  <c r="AA81" i="1" s="1"/>
  <c r="AA75" i="1" s="1"/>
  <c r="AB86" i="1"/>
  <c r="AC86" i="1"/>
  <c r="AC81" i="1" s="1"/>
  <c r="AC75" i="1" s="1"/>
  <c r="AA106" i="1"/>
  <c r="AB106" i="1"/>
  <c r="AC106" i="1"/>
  <c r="AA120" i="1"/>
  <c r="AB120" i="1"/>
  <c r="AC120" i="1"/>
  <c r="AA123" i="1"/>
  <c r="AB123" i="1"/>
  <c r="AC123" i="1"/>
  <c r="AA126" i="1"/>
  <c r="AB126" i="1"/>
  <c r="AC126" i="1"/>
  <c r="AA161" i="1"/>
  <c r="AB161" i="1"/>
  <c r="AC161" i="1"/>
  <c r="AA166" i="1"/>
  <c r="AC166" i="1"/>
  <c r="AA350" i="1"/>
  <c r="AB350" i="1"/>
  <c r="AC350" i="1"/>
  <c r="Z350" i="1"/>
  <c r="K260" i="5"/>
  <c r="K262" i="5"/>
  <c r="K263" i="5"/>
  <c r="K261" i="5"/>
  <c r="Z166" i="1"/>
  <c r="Z161" i="1"/>
  <c r="L8" i="19"/>
  <c r="M8" i="19" s="1"/>
  <c r="L9" i="19"/>
  <c r="M9" i="19" s="1"/>
  <c r="L10" i="19"/>
  <c r="M10" i="19" s="1"/>
  <c r="M11" i="19"/>
  <c r="L12" i="19"/>
  <c r="M12" i="19" s="1"/>
  <c r="L13" i="19"/>
  <c r="M13" i="19" s="1"/>
  <c r="L14" i="19"/>
  <c r="M14" i="19" s="1"/>
  <c r="L15" i="19"/>
  <c r="M15" i="19" s="1"/>
  <c r="L17" i="19"/>
  <c r="M17" i="19" s="1"/>
  <c r="L18" i="19"/>
  <c r="M18" i="19" s="1"/>
  <c r="L19" i="19"/>
  <c r="M19" i="19" s="1"/>
  <c r="L20" i="19"/>
  <c r="M20" i="19" s="1"/>
  <c r="L21" i="19"/>
  <c r="M21" i="19" s="1"/>
  <c r="L22" i="19"/>
  <c r="M22" i="19" s="1"/>
  <c r="L23" i="19"/>
  <c r="M23" i="19" s="1"/>
  <c r="L24" i="19"/>
  <c r="M24" i="19" s="1"/>
  <c r="L25" i="19"/>
  <c r="M25" i="19" s="1"/>
  <c r="L26" i="19"/>
  <c r="M26" i="19" s="1"/>
  <c r="L27" i="19"/>
  <c r="M27" i="19" s="1"/>
  <c r="L28" i="19"/>
  <c r="M28" i="19" s="1"/>
  <c r="L29" i="19"/>
  <c r="M29" i="19" s="1"/>
  <c r="L30" i="19"/>
  <c r="M30" i="19" s="1"/>
  <c r="L31" i="19"/>
  <c r="M31" i="19" s="1"/>
  <c r="L32" i="19"/>
  <c r="M32" i="19" s="1"/>
  <c r="L33" i="19"/>
  <c r="M33" i="19" s="1"/>
  <c r="L34" i="19"/>
  <c r="M34" i="19" s="1"/>
  <c r="L35" i="19"/>
  <c r="M35" i="19" s="1"/>
  <c r="L36" i="19"/>
  <c r="M36" i="19" s="1"/>
  <c r="L37" i="19"/>
  <c r="M37" i="19" s="1"/>
  <c r="L38" i="19"/>
  <c r="M38" i="19" s="1"/>
  <c r="L39" i="19"/>
  <c r="M39" i="19" s="1"/>
  <c r="L40" i="19"/>
  <c r="M40" i="19" s="1"/>
  <c r="L41" i="19"/>
  <c r="M41" i="19" s="1"/>
  <c r="L42" i="19"/>
  <c r="M42" i="19" s="1"/>
  <c r="L43" i="19"/>
  <c r="M43" i="19" s="1"/>
  <c r="L45" i="19"/>
  <c r="M45" i="19" s="1"/>
  <c r="L46" i="19"/>
  <c r="M46" i="19" s="1"/>
  <c r="L47" i="19"/>
  <c r="M47" i="19" s="1"/>
  <c r="L48" i="19"/>
  <c r="M48" i="19" s="1"/>
  <c r="L49" i="19"/>
  <c r="M49" i="19" s="1"/>
  <c r="L50" i="19"/>
  <c r="M50" i="19" s="1"/>
  <c r="L51" i="19"/>
  <c r="M51" i="19" s="1"/>
  <c r="L52" i="19"/>
  <c r="M52" i="19" s="1"/>
  <c r="L53" i="19"/>
  <c r="M53" i="19" s="1"/>
  <c r="L54" i="19"/>
  <c r="M54" i="19" s="1"/>
  <c r="L55" i="19"/>
  <c r="M55" i="19" s="1"/>
  <c r="L56" i="19"/>
  <c r="M56" i="19" s="1"/>
  <c r="L60" i="19"/>
  <c r="M60" i="19" s="1"/>
  <c r="L61" i="19"/>
  <c r="M61" i="19" s="1"/>
  <c r="L62" i="19"/>
  <c r="M62" i="19" s="1"/>
  <c r="L63" i="19"/>
  <c r="M63" i="19" s="1"/>
  <c r="L64" i="19"/>
  <c r="M64" i="19" s="1"/>
  <c r="L65" i="19"/>
  <c r="M65" i="19" s="1"/>
  <c r="L66" i="19"/>
  <c r="M66" i="19" s="1"/>
  <c r="L67" i="19"/>
  <c r="M67" i="19" s="1"/>
  <c r="L68" i="19"/>
  <c r="M68" i="19" s="1"/>
  <c r="L69" i="19"/>
  <c r="M69" i="19" s="1"/>
  <c r="L70" i="19"/>
  <c r="M70" i="19" s="1"/>
  <c r="L73" i="19"/>
  <c r="M73" i="19" s="1"/>
  <c r="L74" i="19"/>
  <c r="M74" i="19" s="1"/>
  <c r="L78" i="19"/>
  <c r="M78" i="19" s="1"/>
  <c r="L79" i="19"/>
  <c r="M79" i="19" s="1"/>
  <c r="L81" i="19"/>
  <c r="M81" i="19" s="1"/>
  <c r="L82" i="19"/>
  <c r="M82" i="19" s="1"/>
  <c r="L83" i="19"/>
  <c r="M83" i="19" s="1"/>
  <c r="L84" i="19"/>
  <c r="M84" i="19" s="1"/>
  <c r="L85" i="19"/>
  <c r="M85" i="19" s="1"/>
  <c r="AE24" i="1" s="1"/>
  <c r="L87" i="19"/>
  <c r="M87" i="19" s="1"/>
  <c r="L88" i="19"/>
  <c r="M88" i="19" s="1"/>
  <c r="L91" i="19"/>
  <c r="M91" i="19" s="1"/>
  <c r="AE27" i="1" s="1"/>
  <c r="L94" i="19"/>
  <c r="M94" i="19" s="1"/>
  <c r="L95" i="19"/>
  <c r="M95" i="19" s="1"/>
  <c r="L96" i="19"/>
  <c r="M96" i="19" s="1"/>
  <c r="L97" i="19"/>
  <c r="M97" i="19" s="1"/>
  <c r="AE18" i="1" s="1"/>
  <c r="AH18" i="1" s="1"/>
  <c r="L98" i="19"/>
  <c r="M98" i="19" s="1"/>
  <c r="L99" i="19"/>
  <c r="M99" i="19" s="1"/>
  <c r="L100" i="19"/>
  <c r="M100" i="19" s="1"/>
  <c r="L101" i="19"/>
  <c r="M101" i="19" s="1"/>
  <c r="L102" i="19"/>
  <c r="M102" i="19" s="1"/>
  <c r="F89" i="18" s="1"/>
  <c r="L103" i="19"/>
  <c r="M103" i="19" s="1"/>
  <c r="L104" i="19"/>
  <c r="M104" i="19" s="1"/>
  <c r="L105" i="19"/>
  <c r="M105" i="19" s="1"/>
  <c r="F90" i="18" s="1"/>
  <c r="G90" i="18" s="1"/>
  <c r="L106" i="19"/>
  <c r="M106" i="19" s="1"/>
  <c r="L107" i="19"/>
  <c r="M107" i="19" s="1"/>
  <c r="L108" i="19"/>
  <c r="M108" i="19" s="1"/>
  <c r="L109" i="19"/>
  <c r="M109" i="19" s="1"/>
  <c r="L110" i="19"/>
  <c r="M110" i="19" s="1"/>
  <c r="L111" i="19"/>
  <c r="M111" i="19" s="1"/>
  <c r="L115" i="19"/>
  <c r="M115" i="19" s="1"/>
  <c r="L116" i="19"/>
  <c r="M116" i="19" s="1"/>
  <c r="L117" i="19"/>
  <c r="M117" i="19" s="1"/>
  <c r="L118" i="19"/>
  <c r="M118" i="19" s="1"/>
  <c r="L119" i="19"/>
  <c r="M119" i="19" s="1"/>
  <c r="L122" i="19"/>
  <c r="M122" i="19" s="1"/>
  <c r="L123" i="19"/>
  <c r="M123" i="19" s="1"/>
  <c r="L124" i="19"/>
  <c r="M124" i="19" s="1"/>
  <c r="L125" i="19"/>
  <c r="M125" i="19" s="1"/>
  <c r="L126" i="19"/>
  <c r="M126" i="19" s="1"/>
  <c r="L127" i="19"/>
  <c r="M127" i="19" s="1"/>
  <c r="L128" i="19"/>
  <c r="M128" i="19" s="1"/>
  <c r="L129" i="19"/>
  <c r="M129" i="19" s="1"/>
  <c r="L130" i="19"/>
  <c r="M130" i="19" s="1"/>
  <c r="L131" i="19"/>
  <c r="M131" i="19" s="1"/>
  <c r="L132" i="19"/>
  <c r="M132" i="19" s="1"/>
  <c r="L133" i="19"/>
  <c r="M133" i="19" s="1"/>
  <c r="L134" i="19"/>
  <c r="M134" i="19" s="1"/>
  <c r="L135" i="19"/>
  <c r="M135" i="19" s="1"/>
  <c r="L139" i="19"/>
  <c r="M139" i="19" s="1"/>
  <c r="AE58" i="1" s="1"/>
  <c r="L140" i="19"/>
  <c r="M140" i="19" s="1"/>
  <c r="L141" i="19"/>
  <c r="M141" i="19" s="1"/>
  <c r="L142" i="19"/>
  <c r="M142" i="19" s="1"/>
  <c r="L143" i="19"/>
  <c r="M143" i="19" s="1"/>
  <c r="L144" i="19"/>
  <c r="M144" i="19" s="1"/>
  <c r="L145" i="19"/>
  <c r="M145" i="19" s="1"/>
  <c r="L146" i="19"/>
  <c r="M146" i="19" s="1"/>
  <c r="L147" i="19"/>
  <c r="M147" i="19" s="1"/>
  <c r="L148" i="19"/>
  <c r="M148" i="19" s="1"/>
  <c r="L151" i="19"/>
  <c r="M151" i="19" s="1"/>
  <c r="L152" i="19"/>
  <c r="M152" i="19" s="1"/>
  <c r="L153" i="19"/>
  <c r="M153" i="19" s="1"/>
  <c r="L154" i="19"/>
  <c r="M154" i="19" s="1"/>
  <c r="L155" i="19"/>
  <c r="M155" i="19" s="1"/>
  <c r="L156" i="19"/>
  <c r="M156" i="19" s="1"/>
  <c r="L157" i="19"/>
  <c r="M157" i="19" s="1"/>
  <c r="L158" i="19"/>
  <c r="M158" i="19" s="1"/>
  <c r="L159" i="19"/>
  <c r="M159" i="19" s="1"/>
  <c r="L160" i="19"/>
  <c r="M160" i="19" s="1"/>
  <c r="L161" i="19"/>
  <c r="M161" i="19" s="1"/>
  <c r="L162" i="19"/>
  <c r="M162" i="19" s="1"/>
  <c r="L163" i="19"/>
  <c r="M163" i="19" s="1"/>
  <c r="L164" i="19"/>
  <c r="M164" i="19" s="1"/>
  <c r="L165" i="19"/>
  <c r="M165" i="19" s="1"/>
  <c r="L166" i="19"/>
  <c r="M166" i="19" s="1"/>
  <c r="L167" i="19"/>
  <c r="M167" i="19" s="1"/>
  <c r="L168" i="19"/>
  <c r="M168" i="19" s="1"/>
  <c r="L169" i="19"/>
  <c r="M169" i="19" s="1"/>
  <c r="L170" i="19"/>
  <c r="M170" i="19" s="1"/>
  <c r="L171" i="19"/>
  <c r="M171" i="19" s="1"/>
  <c r="L172" i="19"/>
  <c r="M172" i="19" s="1"/>
  <c r="L173" i="19"/>
  <c r="M173" i="19" s="1"/>
  <c r="L174" i="19"/>
  <c r="M174" i="19" s="1"/>
  <c r="L175" i="19"/>
  <c r="M175" i="19" s="1"/>
  <c r="L176" i="19"/>
  <c r="M176" i="19" s="1"/>
  <c r="L177" i="19"/>
  <c r="M177" i="19" s="1"/>
  <c r="L178" i="19"/>
  <c r="M178" i="19" s="1"/>
  <c r="L179" i="19"/>
  <c r="M179" i="19" s="1"/>
  <c r="L180" i="19"/>
  <c r="M180" i="19" s="1"/>
  <c r="L181" i="19"/>
  <c r="M181" i="19" s="1"/>
  <c r="L182" i="19"/>
  <c r="M182" i="19" s="1"/>
  <c r="L183" i="19"/>
  <c r="M183" i="19" s="1"/>
  <c r="L184" i="19"/>
  <c r="M184" i="19" s="1"/>
  <c r="L185" i="19"/>
  <c r="M185" i="19" s="1"/>
  <c r="L186" i="19"/>
  <c r="M186" i="19" s="1"/>
  <c r="L187" i="19"/>
  <c r="M187" i="19" s="1"/>
  <c r="AE167" i="1" s="1"/>
  <c r="AH167" i="1" s="1"/>
  <c r="L188" i="19"/>
  <c r="M188" i="19" s="1"/>
  <c r="L189" i="19"/>
  <c r="M189" i="19" s="1"/>
  <c r="L190" i="19"/>
  <c r="M190" i="19" s="1"/>
  <c r="L191" i="19"/>
  <c r="M191" i="19" s="1"/>
  <c r="L192" i="19"/>
  <c r="M192" i="19" s="1"/>
  <c r="L193" i="19"/>
  <c r="M193" i="19" s="1"/>
  <c r="L194" i="19"/>
  <c r="M194" i="19" s="1"/>
  <c r="L195" i="19"/>
  <c r="M195" i="19" s="1"/>
  <c r="L196" i="19"/>
  <c r="M196" i="19" s="1"/>
  <c r="L197" i="19"/>
  <c r="M197" i="19" s="1"/>
  <c r="L200" i="19"/>
  <c r="M200" i="19" s="1"/>
  <c r="L201" i="19"/>
  <c r="M201" i="19" s="1"/>
  <c r="L202" i="19"/>
  <c r="M202" i="19" s="1"/>
  <c r="L203" i="19"/>
  <c r="M203" i="19" s="1"/>
  <c r="L204" i="19"/>
  <c r="M204" i="19" s="1"/>
  <c r="L205" i="19"/>
  <c r="M205" i="19" s="1"/>
  <c r="L206" i="19"/>
  <c r="M206" i="19" s="1"/>
  <c r="L207" i="19"/>
  <c r="M207" i="19" s="1"/>
  <c r="L208" i="19"/>
  <c r="M208" i="19" s="1"/>
  <c r="L209" i="19"/>
  <c r="M209" i="19" s="1"/>
  <c r="L210" i="19"/>
  <c r="M210" i="19" s="1"/>
  <c r="L211" i="19"/>
  <c r="M211" i="19" s="1"/>
  <c r="L212" i="19"/>
  <c r="M212" i="19" s="1"/>
  <c r="L213" i="19"/>
  <c r="M213" i="19" s="1"/>
  <c r="L214" i="19"/>
  <c r="M214" i="19" s="1"/>
  <c r="L215" i="19"/>
  <c r="M215" i="19" s="1"/>
  <c r="L216" i="19"/>
  <c r="M216" i="19" s="1"/>
  <c r="L217" i="19"/>
  <c r="M217" i="19" s="1"/>
  <c r="L218" i="19"/>
  <c r="M218" i="19" s="1"/>
  <c r="L219" i="19"/>
  <c r="M219" i="19" s="1"/>
  <c r="L220" i="19"/>
  <c r="M220" i="19" s="1"/>
  <c r="L221" i="19"/>
  <c r="M221" i="19" s="1"/>
  <c r="L222" i="19"/>
  <c r="M222" i="19" s="1"/>
  <c r="L223" i="19"/>
  <c r="M223" i="19" s="1"/>
  <c r="L224" i="19"/>
  <c r="M224" i="19" s="1"/>
  <c r="L225" i="19"/>
  <c r="M225" i="19" s="1"/>
  <c r="L226" i="19"/>
  <c r="M226" i="19" s="1"/>
  <c r="L227" i="19"/>
  <c r="M227" i="19" s="1"/>
  <c r="L228" i="19"/>
  <c r="M228" i="19" s="1"/>
  <c r="L229" i="19"/>
  <c r="M229" i="19" s="1"/>
  <c r="L230" i="19"/>
  <c r="M230" i="19" s="1"/>
  <c r="L231" i="19"/>
  <c r="M231" i="19" s="1"/>
  <c r="AE124" i="1" s="1"/>
  <c r="L232" i="19"/>
  <c r="M232" i="19" s="1"/>
  <c r="L233" i="19"/>
  <c r="M233" i="19" s="1"/>
  <c r="L234" i="19"/>
  <c r="M234" i="19" s="1"/>
  <c r="L235" i="19"/>
  <c r="M235" i="19" s="1"/>
  <c r="L236" i="19"/>
  <c r="M236" i="19" s="1"/>
  <c r="L237" i="19"/>
  <c r="M237" i="19" s="1"/>
  <c r="L238" i="19"/>
  <c r="M238" i="19" s="1"/>
  <c r="L239" i="19"/>
  <c r="M239" i="19" s="1"/>
  <c r="L240" i="19"/>
  <c r="M240" i="19" s="1"/>
  <c r="L241" i="19"/>
  <c r="M241" i="19" s="1"/>
  <c r="L242" i="19"/>
  <c r="M242" i="19" s="1"/>
  <c r="L243" i="19"/>
  <c r="M243" i="19" s="1"/>
  <c r="L244" i="19"/>
  <c r="M244" i="19" s="1"/>
  <c r="L245" i="19"/>
  <c r="M245" i="19" s="1"/>
  <c r="L246" i="19"/>
  <c r="M246" i="19" s="1"/>
  <c r="L247" i="19"/>
  <c r="M247" i="19" s="1"/>
  <c r="L248" i="19"/>
  <c r="M248" i="19" s="1"/>
  <c r="L249" i="19"/>
  <c r="M249" i="19" s="1"/>
  <c r="AE173" i="1" s="1"/>
  <c r="L250" i="19"/>
  <c r="M250" i="19" s="1"/>
  <c r="L251" i="19"/>
  <c r="M251" i="19" s="1"/>
  <c r="L252" i="19"/>
  <c r="M252" i="19" s="1"/>
  <c r="L253" i="19"/>
  <c r="L254" i="19"/>
  <c r="M254" i="19" s="1"/>
  <c r="L255" i="19"/>
  <c r="L256" i="19"/>
  <c r="M256" i="19" s="1"/>
  <c r="L257" i="19"/>
  <c r="M257" i="19" s="1"/>
  <c r="L258" i="19"/>
  <c r="M258" i="19" s="1"/>
  <c r="L259" i="19"/>
  <c r="M259" i="19" s="1"/>
  <c r="L260" i="19"/>
  <c r="M260" i="19" s="1"/>
  <c r="L262" i="19"/>
  <c r="M262" i="19" s="1"/>
  <c r="L265" i="19"/>
  <c r="M265" i="19" s="1"/>
  <c r="L266" i="19"/>
  <c r="M266" i="19" s="1"/>
  <c r="L267" i="19"/>
  <c r="M267" i="19" s="1"/>
  <c r="L270" i="19"/>
  <c r="M270" i="19" s="1"/>
  <c r="L273" i="19"/>
  <c r="M273" i="19" s="1"/>
  <c r="L274" i="19"/>
  <c r="M274" i="19" s="1"/>
  <c r="L275" i="19"/>
  <c r="M275" i="19" s="1"/>
  <c r="L276" i="19"/>
  <c r="M276" i="19" s="1"/>
  <c r="L277" i="19"/>
  <c r="M277" i="19" s="1"/>
  <c r="L278" i="19"/>
  <c r="M278" i="19" s="1"/>
  <c r="L279" i="19"/>
  <c r="M279" i="19" s="1"/>
  <c r="L283" i="19"/>
  <c r="M283" i="19" s="1"/>
  <c r="L284" i="19"/>
  <c r="M284" i="19" s="1"/>
  <c r="L285" i="19"/>
  <c r="M285" i="19" s="1"/>
  <c r="L286" i="19"/>
  <c r="M286" i="19" s="1"/>
  <c r="L287" i="19"/>
  <c r="M287" i="19" s="1"/>
  <c r="L288" i="19"/>
  <c r="M288" i="19" s="1"/>
  <c r="L289" i="19"/>
  <c r="M289" i="19" s="1"/>
  <c r="L290" i="19"/>
  <c r="M290" i="19" s="1"/>
  <c r="L291" i="19"/>
  <c r="M291" i="19" s="1"/>
  <c r="L292" i="19"/>
  <c r="M292" i="19" s="1"/>
  <c r="L293" i="19"/>
  <c r="M293" i="19" s="1"/>
  <c r="L294" i="19"/>
  <c r="M294" i="19" s="1"/>
  <c r="L295" i="19"/>
  <c r="M295" i="19" s="1"/>
  <c r="L296" i="19"/>
  <c r="M296" i="19" s="1"/>
  <c r="L297" i="19"/>
  <c r="M297" i="19" s="1"/>
  <c r="L298" i="19"/>
  <c r="M298" i="19" s="1"/>
  <c r="L299" i="19"/>
  <c r="M299" i="19" s="1"/>
  <c r="L300" i="19"/>
  <c r="M300" i="19" s="1"/>
  <c r="L301" i="19"/>
  <c r="M301" i="19" s="1"/>
  <c r="L302" i="19"/>
  <c r="M302" i="19" s="1"/>
  <c r="L303" i="19"/>
  <c r="M303" i="19" s="1"/>
  <c r="L304" i="19"/>
  <c r="M304" i="19" s="1"/>
  <c r="L307" i="19"/>
  <c r="M307" i="19" s="1"/>
  <c r="L308" i="19"/>
  <c r="M308" i="19" s="1"/>
  <c r="L309" i="19"/>
  <c r="M309" i="19" s="1"/>
  <c r="L310" i="19"/>
  <c r="M310" i="19" s="1"/>
  <c r="L311" i="19"/>
  <c r="M311" i="19" s="1"/>
  <c r="L317" i="19"/>
  <c r="M317" i="19" s="1"/>
  <c r="L318" i="19"/>
  <c r="M318" i="19" s="1"/>
  <c r="L319" i="19"/>
  <c r="M319" i="19" s="1"/>
  <c r="L320" i="19"/>
  <c r="M320" i="19" s="1"/>
  <c r="L321" i="19"/>
  <c r="M321" i="19" s="1"/>
  <c r="L322" i="19"/>
  <c r="M322" i="19" s="1"/>
  <c r="L323" i="19"/>
  <c r="M323" i="19" s="1"/>
  <c r="L324" i="19"/>
  <c r="M324" i="19" s="1"/>
  <c r="L325" i="19"/>
  <c r="M325" i="19" s="1"/>
  <c r="L326" i="19"/>
  <c r="M326" i="19" s="1"/>
  <c r="L327" i="19"/>
  <c r="M327" i="19" s="1"/>
  <c r="L328" i="19"/>
  <c r="M328" i="19" s="1"/>
  <c r="L329" i="19"/>
  <c r="M329" i="19" s="1"/>
  <c r="L330" i="19"/>
  <c r="M330" i="19" s="1"/>
  <c r="L331" i="19"/>
  <c r="M331" i="19" s="1"/>
  <c r="L332" i="19"/>
  <c r="M332" i="19" s="1"/>
  <c r="L334" i="19"/>
  <c r="M334" i="19" s="1"/>
  <c r="L335" i="19"/>
  <c r="M335" i="19" s="1"/>
  <c r="L336" i="19"/>
  <c r="M336" i="19" s="1"/>
  <c r="L337" i="19"/>
  <c r="M337" i="19" s="1"/>
  <c r="L338" i="19"/>
  <c r="M338" i="19" s="1"/>
  <c r="L339" i="19"/>
  <c r="M339" i="19" s="1"/>
  <c r="L340" i="19"/>
  <c r="M340" i="19" s="1"/>
  <c r="L343" i="19"/>
  <c r="M343" i="19" s="1"/>
  <c r="L346" i="19"/>
  <c r="M346" i="19" s="1"/>
  <c r="L347" i="19"/>
  <c r="M347" i="19" s="1"/>
  <c r="L348" i="19"/>
  <c r="M348" i="19" s="1"/>
  <c r="L349" i="19"/>
  <c r="M349" i="19" s="1"/>
  <c r="L350" i="19"/>
  <c r="M350" i="19" s="1"/>
  <c r="L351" i="19"/>
  <c r="M351" i="19" s="1"/>
  <c r="L352" i="19"/>
  <c r="M352" i="19" s="1"/>
  <c r="L353" i="19"/>
  <c r="M353" i="19" s="1"/>
  <c r="L354" i="19"/>
  <c r="M354" i="19" s="1"/>
  <c r="L355" i="19"/>
  <c r="M355" i="19" s="1"/>
  <c r="Z126" i="1"/>
  <c r="Z123" i="1"/>
  <c r="Z120" i="1"/>
  <c r="Z106" i="1"/>
  <c r="Z86" i="1"/>
  <c r="Z81" i="1" s="1"/>
  <c r="Z75" i="1" s="1"/>
  <c r="Z17" i="1"/>
  <c r="G89" i="18" l="1"/>
  <c r="G104" i="18" s="1"/>
  <c r="F104" i="18"/>
  <c r="K110" i="1"/>
  <c r="AE170" i="1"/>
  <c r="AH170" i="1" s="1"/>
  <c r="AE175" i="1"/>
  <c r="AH175" i="1" s="1"/>
  <c r="AE23" i="1"/>
  <c r="AH23" i="1" s="1"/>
  <c r="AN18" i="1"/>
  <c r="AN17" i="1" s="1"/>
  <c r="I119" i="22"/>
  <c r="L119" i="22" s="1"/>
  <c r="L118" i="22"/>
  <c r="K70" i="1"/>
  <c r="AE79" i="1"/>
  <c r="AH79" i="1" s="1"/>
  <c r="AN79" i="1" s="1"/>
  <c r="AH166" i="1"/>
  <c r="AE17" i="1"/>
  <c r="AE166" i="1"/>
  <c r="AE68" i="1"/>
  <c r="AH68" i="1" s="1"/>
  <c r="AN68" i="1" s="1"/>
  <c r="AH17" i="1"/>
  <c r="AB90" i="1"/>
  <c r="AC90" i="1" s="1"/>
  <c r="AN90" i="1" s="1"/>
  <c r="N5" i="20"/>
  <c r="AE77" i="1"/>
  <c r="AH77" i="1" s="1"/>
  <c r="AN77" i="1" s="1"/>
  <c r="AE35" i="1"/>
  <c r="AH35" i="1" s="1"/>
  <c r="AE155" i="1"/>
  <c r="AH155" i="1" s="1"/>
  <c r="AE158" i="1"/>
  <c r="AH158" i="1" s="1"/>
  <c r="AE107" i="1"/>
  <c r="AH107" i="1" s="1"/>
  <c r="AE95" i="1"/>
  <c r="AH95" i="1" s="1"/>
  <c r="AE83" i="1"/>
  <c r="AE28" i="1"/>
  <c r="AH28" i="1" s="1"/>
  <c r="AN28" i="1" s="1"/>
  <c r="AE159" i="1"/>
  <c r="AH159" i="1" s="1"/>
  <c r="AE110" i="1"/>
  <c r="AH110" i="1" s="1"/>
  <c r="AE84" i="1"/>
  <c r="AH84" i="1" s="1"/>
  <c r="AN84" i="1" s="1"/>
  <c r="AE60" i="1"/>
  <c r="AH60" i="1" s="1"/>
  <c r="AN60" i="1" s="1"/>
  <c r="AE78" i="1"/>
  <c r="AH78" i="1" s="1"/>
  <c r="AN78" i="1" s="1"/>
  <c r="AE53" i="1"/>
  <c r="AH53" i="1" s="1"/>
  <c r="AN53" i="1" s="1"/>
  <c r="AH24" i="1"/>
  <c r="AN87" i="1"/>
  <c r="AE59" i="1"/>
  <c r="AH59" i="1" s="1"/>
  <c r="AN59" i="1" s="1"/>
  <c r="AH58" i="1"/>
  <c r="AN58" i="1" s="1"/>
  <c r="AE121" i="1"/>
  <c r="AH121" i="1" s="1"/>
  <c r="AE114" i="1"/>
  <c r="AH114" i="1" s="1"/>
  <c r="AE157" i="1"/>
  <c r="AH157" i="1" s="1"/>
  <c r="AE82" i="1"/>
  <c r="AH82" i="1" s="1"/>
  <c r="AE46" i="1"/>
  <c r="AH46" i="1" s="1"/>
  <c r="AH173" i="1"/>
  <c r="AE151" i="1"/>
  <c r="AH151" i="1" s="1"/>
  <c r="AH124" i="1"/>
  <c r="AE156" i="1"/>
  <c r="AH156" i="1" s="1"/>
  <c r="AE76" i="1"/>
  <c r="AH76" i="1" s="1"/>
  <c r="AE12" i="1"/>
  <c r="AH12" i="1" s="1"/>
  <c r="AN12" i="1" s="1"/>
  <c r="Y4" i="22"/>
  <c r="AB267" i="1"/>
  <c r="AC267" i="1" s="1"/>
  <c r="AB303" i="1"/>
  <c r="C91" i="31"/>
  <c r="J38" i="30"/>
  <c r="K38" i="30" s="1"/>
  <c r="D39" i="30"/>
  <c r="AE176" i="1"/>
  <c r="AE69" i="1"/>
  <c r="AH69" i="1" s="1"/>
  <c r="AN69" i="1" s="1"/>
  <c r="AH11" i="1"/>
  <c r="AH27" i="1"/>
  <c r="AN27" i="1" s="1"/>
  <c r="AH22" i="1"/>
  <c r="AE100" i="1"/>
  <c r="AH100" i="1" s="1"/>
  <c r="AE117" i="1"/>
  <c r="AH117" i="1" s="1"/>
  <c r="AH96" i="1"/>
  <c r="AN24" i="1" l="1"/>
  <c r="G51" i="18"/>
  <c r="F51" i="18"/>
  <c r="AN46" i="1"/>
  <c r="AE169" i="1"/>
  <c r="AN23" i="1"/>
  <c r="AP365" i="1"/>
  <c r="AE21" i="1"/>
  <c r="AE106" i="1"/>
  <c r="AH106" i="1"/>
  <c r="AH83" i="1"/>
  <c r="AN83" i="1" s="1"/>
  <c r="AE86" i="1"/>
  <c r="AN86" i="1"/>
  <c r="AE123" i="1"/>
  <c r="AE81" i="1"/>
  <c r="AH86" i="1"/>
  <c r="AH120" i="1"/>
  <c r="AE120" i="1"/>
  <c r="AE75" i="1"/>
  <c r="AC303" i="1"/>
  <c r="J39" i="30"/>
  <c r="K39" i="30" s="1"/>
  <c r="D40" i="30"/>
  <c r="J40" i="30" s="1"/>
  <c r="AN82" i="1"/>
  <c r="AN35" i="1"/>
  <c r="AN22" i="1"/>
  <c r="AN11" i="1"/>
  <c r="AC266" i="1"/>
  <c r="AN76" i="1"/>
  <c r="AH123" i="1"/>
  <c r="AH81" i="1" l="1"/>
  <c r="AH75" i="1" s="1"/>
  <c r="K40" i="30"/>
  <c r="AN81" i="1"/>
  <c r="AN75" i="1" s="1"/>
  <c r="K672" i="10"/>
  <c r="K110" i="5" l="1"/>
  <c r="K111" i="5"/>
  <c r="K115" i="5"/>
  <c r="K116" i="5"/>
  <c r="K120" i="5"/>
  <c r="K121" i="5"/>
  <c r="K125" i="5"/>
  <c r="K126" i="5"/>
  <c r="K135" i="5"/>
  <c r="K136" i="5"/>
  <c r="K140" i="5"/>
  <c r="K141" i="5"/>
  <c r="K162" i="5"/>
  <c r="K163" i="5"/>
  <c r="K167" i="5"/>
  <c r="K168" i="5"/>
  <c r="K182" i="5"/>
  <c r="K183" i="5"/>
  <c r="K214" i="5"/>
  <c r="K254" i="1"/>
  <c r="K241" i="1"/>
  <c r="K256" i="1"/>
  <c r="K218" i="5"/>
  <c r="K18" i="1" s="1"/>
  <c r="K219" i="5"/>
  <c r="K34" i="1" s="1"/>
  <c r="K223" i="5"/>
  <c r="K32" i="1" s="1"/>
  <c r="K224" i="5"/>
  <c r="K91" i="1" s="1"/>
  <c r="K95" i="1"/>
  <c r="K97" i="1"/>
  <c r="K255" i="5"/>
  <c r="K256" i="5"/>
  <c r="K97" i="5"/>
  <c r="K100" i="5"/>
  <c r="K24" i="1" s="1"/>
  <c r="K54" i="1" l="1"/>
  <c r="F161" i="10"/>
  <c r="K239" i="1"/>
  <c r="K237" i="1"/>
  <c r="K22" i="1"/>
  <c r="F182" i="18" l="1"/>
  <c r="M157" i="10"/>
  <c r="L71" i="22" l="1"/>
  <c r="AO175" i="1" l="1"/>
  <c r="F228" i="18"/>
  <c r="I216" i="18"/>
  <c r="K216" i="18" s="1"/>
  <c r="F219" i="18"/>
  <c r="F229" i="18" s="1"/>
  <c r="F721" i="10"/>
  <c r="I228" i="18" l="1"/>
  <c r="I219" i="18"/>
  <c r="F107" i="10"/>
  <c r="G107" i="10"/>
  <c r="G109" i="10" s="1"/>
  <c r="I229" i="18" l="1"/>
  <c r="F637" i="10"/>
  <c r="F638" i="10"/>
  <c r="F639" i="10"/>
  <c r="G585" i="10"/>
  <c r="G590" i="10"/>
  <c r="F504" i="10"/>
  <c r="G504" i="10"/>
  <c r="I247" i="1"/>
  <c r="H448" i="10"/>
  <c r="I449" i="10"/>
  <c r="I430" i="10"/>
  <c r="F433" i="10"/>
  <c r="G433" i="10"/>
  <c r="G438" i="10" s="1"/>
  <c r="I431" i="10"/>
  <c r="I436" i="10"/>
  <c r="G407" i="10"/>
  <c r="I418" i="10"/>
  <c r="G418" i="10"/>
  <c r="H418" i="10"/>
  <c r="J418" i="10"/>
  <c r="K418" i="10"/>
  <c r="F418" i="10"/>
  <c r="G384" i="10"/>
  <c r="G386" i="10" s="1"/>
  <c r="F384" i="10"/>
  <c r="F386" i="10" s="1"/>
  <c r="G347" i="10"/>
  <c r="G349" i="10" s="1"/>
  <c r="F347" i="10"/>
  <c r="F349" i="10" s="1"/>
  <c r="G342" i="10"/>
  <c r="F342" i="10"/>
  <c r="H328" i="10"/>
  <c r="G307" i="10"/>
  <c r="H307" i="10"/>
  <c r="H309" i="10" s="1"/>
  <c r="I307" i="10"/>
  <c r="I309" i="10" s="1"/>
  <c r="F307" i="10"/>
  <c r="F300" i="10" s="1"/>
  <c r="H302" i="10"/>
  <c r="I302" i="10"/>
  <c r="F282" i="10"/>
  <c r="F280" i="10"/>
  <c r="F279" i="10"/>
  <c r="K282" i="10"/>
  <c r="K281" i="10" s="1"/>
  <c r="K280" i="10"/>
  <c r="J281" i="10"/>
  <c r="I281" i="10"/>
  <c r="I278" i="10"/>
  <c r="G181" i="10"/>
  <c r="I181" i="10"/>
  <c r="I165" i="10"/>
  <c r="G165" i="10"/>
  <c r="G130" i="10"/>
  <c r="G132" i="10" s="1"/>
  <c r="F130" i="10"/>
  <c r="F132" i="10" s="1"/>
  <c r="G123" i="10"/>
  <c r="F123" i="10"/>
  <c r="F109" i="10"/>
  <c r="G101" i="10"/>
  <c r="F101" i="10"/>
  <c r="J51" i="10"/>
  <c r="O162" i="1"/>
  <c r="P162" i="1"/>
  <c r="N163" i="1"/>
  <c r="I163" i="1"/>
  <c r="I162" i="1" s="1"/>
  <c r="I161" i="1" s="1"/>
  <c r="J55" i="1"/>
  <c r="J346" i="1"/>
  <c r="F302" i="10" l="1"/>
  <c r="F309" i="10"/>
  <c r="F118" i="18"/>
  <c r="F119" i="18" s="1"/>
  <c r="G300" i="10"/>
  <c r="G302" i="10" s="1"/>
  <c r="I642" i="10"/>
  <c r="I663" i="18"/>
  <c r="I671" i="18" s="1"/>
  <c r="F438" i="10"/>
  <c r="J131" i="1"/>
  <c r="J142" i="1"/>
  <c r="J70" i="1"/>
  <c r="J241" i="1"/>
  <c r="L247" i="1"/>
  <c r="Q163" i="1"/>
  <c r="I283" i="10"/>
  <c r="F281" i="10"/>
  <c r="F278" i="10"/>
  <c r="G594" i="10"/>
  <c r="P161" i="1"/>
  <c r="O161" i="1"/>
  <c r="J162" i="1"/>
  <c r="N162" i="1"/>
  <c r="K51" i="10"/>
  <c r="K65" i="10" s="1"/>
  <c r="J22" i="1"/>
  <c r="J32" i="1"/>
  <c r="J24" i="1"/>
  <c r="J237" i="1"/>
  <c r="F25" i="7"/>
  <c r="F7" i="7"/>
  <c r="E25" i="7"/>
  <c r="E7" i="7"/>
  <c r="G309" i="10" l="1"/>
  <c r="BP163" i="1"/>
  <c r="T109" i="6" s="1"/>
  <c r="T103" i="6" s="1"/>
  <c r="G402" i="10"/>
  <c r="G409" i="10" s="1"/>
  <c r="J51" i="1"/>
  <c r="J239" i="1"/>
  <c r="J53" i="1"/>
  <c r="J148" i="1"/>
  <c r="J636" i="10"/>
  <c r="J637" i="10" s="1"/>
  <c r="J663" i="18"/>
  <c r="G502" i="10"/>
  <c r="BR247" i="1"/>
  <c r="G490" i="18" s="1"/>
  <c r="S247" i="1"/>
  <c r="T247" i="1" s="1"/>
  <c r="Q162" i="1"/>
  <c r="Q161" i="1" s="1"/>
  <c r="F283" i="10"/>
  <c r="J161" i="1"/>
  <c r="N161" i="1"/>
  <c r="H447" i="10"/>
  <c r="H449" i="10" s="1"/>
  <c r="F449" i="10"/>
  <c r="J159" i="1"/>
  <c r="J214" i="1"/>
  <c r="K36" i="5"/>
  <c r="K37" i="5"/>
  <c r="K33" i="5"/>
  <c r="J345" i="1" s="1"/>
  <c r="K34" i="5"/>
  <c r="J157" i="1" l="1"/>
  <c r="J306" i="1"/>
  <c r="BP162" i="1"/>
  <c r="BP161" i="1" s="1"/>
  <c r="BR163" i="1"/>
  <c r="BR162" i="1" s="1"/>
  <c r="BR161" i="1" s="1"/>
  <c r="J158" i="1"/>
  <c r="J107" i="1"/>
  <c r="J211" i="1"/>
  <c r="J12" i="1"/>
  <c r="J84" i="1"/>
  <c r="J236" i="1"/>
  <c r="J307" i="1"/>
  <c r="J121" i="1"/>
  <c r="J664" i="18"/>
  <c r="V103" i="6"/>
  <c r="F451" i="10"/>
  <c r="G447" i="10"/>
  <c r="F9" i="10" s="1"/>
  <c r="F9" i="18" s="1"/>
  <c r="G448" i="10"/>
  <c r="F10" i="10" s="1"/>
  <c r="F10" i="18" s="1"/>
  <c r="G403" i="10"/>
  <c r="J100" i="3"/>
  <c r="J665" i="18" l="1"/>
  <c r="G449" i="10"/>
  <c r="S108" i="1"/>
  <c r="T108" i="1" s="1"/>
  <c r="K51" i="8" l="1"/>
  <c r="K46" i="8"/>
  <c r="J31" i="8"/>
  <c r="J36" i="8" s="1"/>
  <c r="G51" i="8"/>
  <c r="G46" i="8"/>
  <c r="F36" i="8"/>
  <c r="I50" i="8"/>
  <c r="I44" i="8"/>
  <c r="K44" i="8" s="1"/>
  <c r="I43" i="8"/>
  <c r="K43" i="8" s="1"/>
  <c r="I42" i="8"/>
  <c r="K42" i="8" s="1"/>
  <c r="I40" i="8"/>
  <c r="K40" i="8" s="1"/>
  <c r="K35" i="8"/>
  <c r="I34" i="8"/>
  <c r="K34" i="8" s="1"/>
  <c r="I33" i="8"/>
  <c r="K33" i="8" s="1"/>
  <c r="I32" i="8"/>
  <c r="K32" i="8" s="1"/>
  <c r="I30" i="8"/>
  <c r="K30" i="8" s="1"/>
  <c r="I25" i="8"/>
  <c r="K25" i="8" s="1"/>
  <c r="I24" i="8"/>
  <c r="K24" i="8" s="1"/>
  <c r="I23" i="8"/>
  <c r="K23" i="8" s="1"/>
  <c r="I11" i="8"/>
  <c r="K11" i="8" s="1"/>
  <c r="E50" i="8"/>
  <c r="E44" i="8"/>
  <c r="G44" i="8" s="1"/>
  <c r="E43" i="8"/>
  <c r="G43" i="8" s="1"/>
  <c r="E42" i="8"/>
  <c r="G42" i="8" s="1"/>
  <c r="E40" i="8"/>
  <c r="G40" i="8" s="1"/>
  <c r="G35" i="8"/>
  <c r="E34" i="8"/>
  <c r="G34" i="8" s="1"/>
  <c r="E30" i="8"/>
  <c r="G30" i="8" s="1"/>
  <c r="E25" i="8"/>
  <c r="G25" i="8" s="1"/>
  <c r="E24" i="8"/>
  <c r="G24" i="8" s="1"/>
  <c r="E23" i="8"/>
  <c r="G23" i="8" s="1"/>
  <c r="E14" i="8"/>
  <c r="G14" i="8" s="1"/>
  <c r="E11" i="8"/>
  <c r="G11" i="8" s="1"/>
  <c r="F45" i="8"/>
  <c r="E20" i="7" l="1"/>
  <c r="E19" i="7"/>
  <c r="I344" i="1"/>
  <c r="I341" i="1"/>
  <c r="I339" i="1"/>
  <c r="I314" i="1"/>
  <c r="I295" i="1"/>
  <c r="I291" i="1"/>
  <c r="I287" i="1"/>
  <c r="I274" i="1"/>
  <c r="I273" i="1"/>
  <c r="I272" i="1"/>
  <c r="I267" i="1"/>
  <c r="I265" i="1"/>
  <c r="I261" i="1"/>
  <c r="I258" i="1"/>
  <c r="I228" i="1"/>
  <c r="I222" i="1"/>
  <c r="I215" i="1"/>
  <c r="S183" i="16"/>
  <c r="S182" i="16"/>
  <c r="S181" i="16"/>
  <c r="S180" i="16"/>
  <c r="S179" i="16"/>
  <c r="S178" i="16"/>
  <c r="S177" i="16"/>
  <c r="S176" i="16"/>
  <c r="S175" i="16"/>
  <c r="S174" i="16"/>
  <c r="S173" i="16"/>
  <c r="S172" i="16"/>
  <c r="S171" i="16"/>
  <c r="S170" i="16"/>
  <c r="S169" i="16"/>
  <c r="S168" i="16"/>
  <c r="S167" i="16"/>
  <c r="S166" i="16"/>
  <c r="S165" i="16"/>
  <c r="S164" i="16"/>
  <c r="S163" i="16"/>
  <c r="S162" i="16"/>
  <c r="S161" i="16"/>
  <c r="S160" i="16"/>
  <c r="S159" i="16"/>
  <c r="S158" i="16"/>
  <c r="S157" i="16"/>
  <c r="S156" i="16"/>
  <c r="S155" i="16"/>
  <c r="S154" i="16"/>
  <c r="S153" i="16"/>
  <c r="S152" i="16"/>
  <c r="S151" i="16"/>
  <c r="S150" i="16"/>
  <c r="S149" i="16"/>
  <c r="S148" i="16"/>
  <c r="S147" i="16"/>
  <c r="S146" i="16"/>
  <c r="S145" i="16"/>
  <c r="S144" i="16"/>
  <c r="S143" i="16"/>
  <c r="S142" i="16"/>
  <c r="S141" i="16"/>
  <c r="S140" i="16"/>
  <c r="S139" i="16"/>
  <c r="S138" i="16"/>
  <c r="S137" i="16"/>
  <c r="S136" i="16"/>
  <c r="S135" i="16"/>
  <c r="S134" i="16"/>
  <c r="S133" i="16"/>
  <c r="S132" i="16"/>
  <c r="S131" i="16"/>
  <c r="S130" i="16"/>
  <c r="S129" i="16"/>
  <c r="S128" i="16"/>
  <c r="S127" i="16"/>
  <c r="S126" i="16"/>
  <c r="S125" i="16"/>
  <c r="S124" i="16"/>
  <c r="S123" i="16"/>
  <c r="S122" i="16"/>
  <c r="S121" i="16"/>
  <c r="S120" i="16"/>
  <c r="S119" i="16"/>
  <c r="S118" i="16"/>
  <c r="S117" i="16"/>
  <c r="S116" i="16"/>
  <c r="S115" i="16"/>
  <c r="S114" i="16"/>
  <c r="S113" i="16"/>
  <c r="S112" i="16"/>
  <c r="S111" i="16"/>
  <c r="S110" i="16"/>
  <c r="S109" i="16"/>
  <c r="S108" i="16"/>
  <c r="S107" i="16"/>
  <c r="S106" i="16"/>
  <c r="S105" i="16"/>
  <c r="S104" i="16"/>
  <c r="S103" i="16"/>
  <c r="S102" i="16"/>
  <c r="S101" i="16"/>
  <c r="S100" i="16"/>
  <c r="S99" i="16"/>
  <c r="S98" i="16"/>
  <c r="S97" i="16"/>
  <c r="S96" i="16"/>
  <c r="S95" i="16"/>
  <c r="S94" i="16"/>
  <c r="S93" i="16"/>
  <c r="S92" i="16"/>
  <c r="S91" i="16"/>
  <c r="S90" i="16"/>
  <c r="S89" i="16"/>
  <c r="S88" i="16"/>
  <c r="S87" i="16"/>
  <c r="S86" i="16"/>
  <c r="S85" i="16"/>
  <c r="S84" i="16"/>
  <c r="S83" i="16"/>
  <c r="S82" i="16"/>
  <c r="S81" i="16"/>
  <c r="S80" i="16"/>
  <c r="S79" i="16"/>
  <c r="S78" i="16"/>
  <c r="S77" i="16"/>
  <c r="S76" i="16"/>
  <c r="S75" i="16"/>
  <c r="S74" i="16"/>
  <c r="S73" i="16"/>
  <c r="S72" i="16"/>
  <c r="S71" i="16"/>
  <c r="S70" i="16"/>
  <c r="S69" i="16"/>
  <c r="S68" i="16"/>
  <c r="S67" i="16"/>
  <c r="S66" i="16"/>
  <c r="S65" i="16"/>
  <c r="S64" i="16"/>
  <c r="S63" i="16"/>
  <c r="S62" i="16"/>
  <c r="S61" i="16"/>
  <c r="S60" i="16"/>
  <c r="S59" i="16"/>
  <c r="S58" i="16"/>
  <c r="S57" i="16"/>
  <c r="S56" i="16"/>
  <c r="S55" i="16"/>
  <c r="S54" i="16"/>
  <c r="S53" i="16"/>
  <c r="S52" i="16"/>
  <c r="S51" i="16"/>
  <c r="S50" i="16"/>
  <c r="S49" i="16"/>
  <c r="S48" i="16"/>
  <c r="S47" i="16"/>
  <c r="S46" i="16"/>
  <c r="S45" i="16"/>
  <c r="S44" i="16"/>
  <c r="S43" i="16"/>
  <c r="S42" i="16"/>
  <c r="S41" i="16"/>
  <c r="S40" i="16"/>
  <c r="S39" i="16"/>
  <c r="S38" i="16"/>
  <c r="S37" i="16"/>
  <c r="S36" i="16"/>
  <c r="S35" i="16"/>
  <c r="S34" i="16"/>
  <c r="S33" i="16"/>
  <c r="S32" i="16"/>
  <c r="S31" i="16"/>
  <c r="S30" i="16"/>
  <c r="S29" i="16"/>
  <c r="S28" i="16"/>
  <c r="S27" i="16"/>
  <c r="S26" i="16"/>
  <c r="S25" i="16"/>
  <c r="S24" i="16"/>
  <c r="S23" i="16"/>
  <c r="S22" i="16"/>
  <c r="S21" i="16"/>
  <c r="S20" i="16"/>
  <c r="S19" i="16"/>
  <c r="S18" i="16"/>
  <c r="S17" i="16"/>
  <c r="S16" i="16"/>
  <c r="S15" i="16"/>
  <c r="S14" i="16"/>
  <c r="S13" i="16"/>
  <c r="S12" i="16"/>
  <c r="S11" i="16"/>
  <c r="S10" i="16"/>
  <c r="S9" i="16"/>
  <c r="S8" i="16"/>
  <c r="I216" i="1" s="1"/>
  <c r="S7" i="16"/>
  <c r="S6" i="16"/>
  <c r="S5" i="16"/>
  <c r="S4" i="16"/>
  <c r="I245" i="1"/>
  <c r="I238" i="1"/>
  <c r="I201" i="1"/>
  <c r="I198" i="1"/>
  <c r="I196" i="1"/>
  <c r="I194" i="1"/>
  <c r="I193" i="1"/>
  <c r="I191" i="1"/>
  <c r="T833" i="15"/>
  <c r="T832" i="15"/>
  <c r="T831" i="15"/>
  <c r="T830" i="15"/>
  <c r="T829" i="15"/>
  <c r="T828" i="15"/>
  <c r="T827" i="15"/>
  <c r="T826" i="15"/>
  <c r="T825" i="15"/>
  <c r="T824" i="15"/>
  <c r="T823" i="15"/>
  <c r="T822" i="15"/>
  <c r="T821" i="15"/>
  <c r="T820" i="15"/>
  <c r="T819" i="15"/>
  <c r="T818" i="15"/>
  <c r="T817" i="15"/>
  <c r="T816" i="15"/>
  <c r="T815" i="15"/>
  <c r="T814" i="15"/>
  <c r="T813" i="15"/>
  <c r="T812" i="15"/>
  <c r="T811" i="15"/>
  <c r="T810" i="15"/>
  <c r="T809" i="15"/>
  <c r="T808" i="15"/>
  <c r="T807" i="15"/>
  <c r="T806" i="15"/>
  <c r="T805" i="15"/>
  <c r="T804" i="15"/>
  <c r="T803" i="15"/>
  <c r="T802" i="15"/>
  <c r="T801" i="15"/>
  <c r="T800" i="15"/>
  <c r="T799" i="15"/>
  <c r="T798" i="15"/>
  <c r="T797" i="15"/>
  <c r="T796" i="15"/>
  <c r="T795" i="15"/>
  <c r="T794" i="15"/>
  <c r="T793" i="15"/>
  <c r="T792" i="15"/>
  <c r="T791" i="15"/>
  <c r="T790" i="15"/>
  <c r="T789" i="15"/>
  <c r="T788" i="15"/>
  <c r="T787" i="15"/>
  <c r="T786" i="15"/>
  <c r="T785" i="15"/>
  <c r="T784" i="15"/>
  <c r="T783" i="15"/>
  <c r="T782" i="15"/>
  <c r="T781" i="15"/>
  <c r="T780" i="15"/>
  <c r="T779" i="15"/>
  <c r="T778" i="15"/>
  <c r="T777" i="15"/>
  <c r="T776" i="15"/>
  <c r="T775" i="15"/>
  <c r="T774" i="15"/>
  <c r="T773" i="15"/>
  <c r="T772" i="15"/>
  <c r="T771" i="15"/>
  <c r="T770" i="15"/>
  <c r="T769" i="15"/>
  <c r="T768" i="15"/>
  <c r="T767" i="15"/>
  <c r="T766" i="15"/>
  <c r="T765" i="15"/>
  <c r="T764" i="15"/>
  <c r="T763" i="15"/>
  <c r="T762" i="15"/>
  <c r="T761" i="15"/>
  <c r="T760" i="15"/>
  <c r="T759" i="15"/>
  <c r="T758" i="15"/>
  <c r="T757" i="15"/>
  <c r="T756" i="15"/>
  <c r="T755" i="15"/>
  <c r="T754" i="15"/>
  <c r="T753" i="15"/>
  <c r="T752" i="15"/>
  <c r="T751" i="15"/>
  <c r="T750" i="15"/>
  <c r="T749" i="15"/>
  <c r="T748" i="15"/>
  <c r="T747" i="15"/>
  <c r="T746" i="15"/>
  <c r="T745" i="15"/>
  <c r="T744" i="15"/>
  <c r="T743" i="15"/>
  <c r="T742" i="15"/>
  <c r="T741" i="15"/>
  <c r="T740" i="15"/>
  <c r="T739" i="15"/>
  <c r="T738" i="15"/>
  <c r="T737" i="15"/>
  <c r="T736" i="15"/>
  <c r="T735" i="15"/>
  <c r="T734" i="15"/>
  <c r="T733" i="15"/>
  <c r="T732" i="15"/>
  <c r="T731" i="15"/>
  <c r="T730" i="15"/>
  <c r="T729" i="15"/>
  <c r="T728" i="15"/>
  <c r="T727" i="15"/>
  <c r="T726" i="15"/>
  <c r="T725" i="15"/>
  <c r="T724" i="15"/>
  <c r="T723" i="15"/>
  <c r="T722" i="15"/>
  <c r="T721" i="15"/>
  <c r="T720" i="15"/>
  <c r="T719" i="15"/>
  <c r="T718" i="15"/>
  <c r="T717" i="15"/>
  <c r="T716" i="15"/>
  <c r="T715" i="15"/>
  <c r="T714" i="15"/>
  <c r="T713" i="15"/>
  <c r="T712" i="15"/>
  <c r="T711" i="15"/>
  <c r="T710" i="15"/>
  <c r="T709" i="15"/>
  <c r="T708" i="15"/>
  <c r="T707" i="15"/>
  <c r="T706" i="15"/>
  <c r="T705" i="15"/>
  <c r="T704" i="15"/>
  <c r="T703" i="15"/>
  <c r="T702" i="15"/>
  <c r="T701" i="15"/>
  <c r="T700" i="15"/>
  <c r="T699" i="15"/>
  <c r="T698" i="15"/>
  <c r="T697" i="15"/>
  <c r="T696" i="15"/>
  <c r="T695" i="15"/>
  <c r="T694" i="15"/>
  <c r="T693" i="15"/>
  <c r="T692" i="15"/>
  <c r="T691" i="15"/>
  <c r="T690" i="15"/>
  <c r="T689" i="15"/>
  <c r="T688" i="15"/>
  <c r="T687" i="15"/>
  <c r="T686" i="15"/>
  <c r="T685" i="15"/>
  <c r="T684" i="15"/>
  <c r="T683" i="15"/>
  <c r="T682" i="15"/>
  <c r="T681" i="15"/>
  <c r="T680" i="15"/>
  <c r="T679" i="15"/>
  <c r="T678" i="15"/>
  <c r="T677" i="15"/>
  <c r="T676" i="15"/>
  <c r="T675" i="15"/>
  <c r="T674" i="15"/>
  <c r="T673" i="15"/>
  <c r="T672" i="15"/>
  <c r="T671" i="15"/>
  <c r="T670" i="15"/>
  <c r="T669" i="15"/>
  <c r="T668" i="15"/>
  <c r="T667" i="15"/>
  <c r="T666" i="15"/>
  <c r="T665" i="15"/>
  <c r="T664" i="15"/>
  <c r="T663" i="15"/>
  <c r="T662" i="15"/>
  <c r="T661" i="15"/>
  <c r="I348" i="1" s="1"/>
  <c r="T660" i="15"/>
  <c r="T659" i="15"/>
  <c r="T658" i="15"/>
  <c r="T657" i="15"/>
  <c r="T656" i="15"/>
  <c r="T655" i="15"/>
  <c r="T654" i="15"/>
  <c r="T653" i="15"/>
  <c r="T652" i="15"/>
  <c r="T651" i="15"/>
  <c r="T650" i="15"/>
  <c r="T649" i="15"/>
  <c r="T648" i="15"/>
  <c r="T647" i="15"/>
  <c r="T646" i="15"/>
  <c r="T645" i="15"/>
  <c r="T644" i="15"/>
  <c r="T643" i="15"/>
  <c r="T642" i="15"/>
  <c r="T641" i="15"/>
  <c r="T640" i="15"/>
  <c r="T639" i="15"/>
  <c r="T638" i="15"/>
  <c r="T637" i="15"/>
  <c r="T636" i="15"/>
  <c r="T635" i="15"/>
  <c r="T634" i="15"/>
  <c r="T633" i="15"/>
  <c r="T632" i="15"/>
  <c r="T631" i="15"/>
  <c r="T630" i="15"/>
  <c r="T629" i="15"/>
  <c r="T628" i="15"/>
  <c r="T627" i="15"/>
  <c r="T626" i="15"/>
  <c r="T625" i="15"/>
  <c r="T624" i="15"/>
  <c r="T623" i="15"/>
  <c r="T622" i="15"/>
  <c r="T621" i="15"/>
  <c r="T620" i="15"/>
  <c r="T619" i="15"/>
  <c r="T618" i="15"/>
  <c r="T617" i="15"/>
  <c r="T616" i="15"/>
  <c r="T615" i="15"/>
  <c r="T614" i="15"/>
  <c r="T613" i="15"/>
  <c r="T612" i="15"/>
  <c r="T611" i="15"/>
  <c r="T610" i="15"/>
  <c r="T609" i="15"/>
  <c r="T608" i="15"/>
  <c r="T607" i="15"/>
  <c r="T606" i="15"/>
  <c r="T605" i="15"/>
  <c r="T604" i="15"/>
  <c r="T603" i="15"/>
  <c r="T602" i="15"/>
  <c r="T601" i="15"/>
  <c r="T600" i="15"/>
  <c r="T599" i="15"/>
  <c r="T598" i="15"/>
  <c r="T597" i="15"/>
  <c r="T596" i="15"/>
  <c r="T595" i="15"/>
  <c r="T594" i="15"/>
  <c r="T593" i="15"/>
  <c r="T592" i="15"/>
  <c r="T591" i="15"/>
  <c r="T590" i="15"/>
  <c r="T589" i="15"/>
  <c r="T588" i="15"/>
  <c r="T587" i="15"/>
  <c r="T586" i="15"/>
  <c r="T585" i="15"/>
  <c r="T584" i="15"/>
  <c r="T583" i="15"/>
  <c r="T582" i="15"/>
  <c r="T581" i="15"/>
  <c r="T580" i="15"/>
  <c r="T579" i="15"/>
  <c r="T578" i="15"/>
  <c r="T577" i="15"/>
  <c r="T576" i="15"/>
  <c r="T575" i="15"/>
  <c r="T574" i="15"/>
  <c r="T573" i="15"/>
  <c r="T572" i="15"/>
  <c r="T571" i="15"/>
  <c r="T570" i="15"/>
  <c r="T569" i="15"/>
  <c r="T568" i="15"/>
  <c r="T567" i="15"/>
  <c r="T566" i="15"/>
  <c r="T565" i="15"/>
  <c r="T564" i="15"/>
  <c r="T563" i="15"/>
  <c r="T562" i="15"/>
  <c r="T561" i="15"/>
  <c r="T560" i="15"/>
  <c r="T559" i="15"/>
  <c r="T558" i="15"/>
  <c r="T557" i="15"/>
  <c r="T556" i="15"/>
  <c r="T555" i="15"/>
  <c r="T554" i="15"/>
  <c r="T553" i="15"/>
  <c r="T552" i="15"/>
  <c r="T551" i="15"/>
  <c r="T550" i="15"/>
  <c r="T549" i="15"/>
  <c r="T548" i="15"/>
  <c r="T547" i="15"/>
  <c r="I293" i="1" s="1"/>
  <c r="T546" i="15"/>
  <c r="T545" i="15"/>
  <c r="T544" i="15"/>
  <c r="T543" i="15"/>
  <c r="T542" i="15"/>
  <c r="T541" i="15"/>
  <c r="T540" i="15"/>
  <c r="T539" i="15"/>
  <c r="T538" i="15"/>
  <c r="T537" i="15"/>
  <c r="T536" i="15"/>
  <c r="T535" i="15"/>
  <c r="T534" i="15"/>
  <c r="T533" i="15"/>
  <c r="T532" i="15"/>
  <c r="T531" i="15"/>
  <c r="T530" i="15"/>
  <c r="T529" i="15"/>
  <c r="T528" i="15"/>
  <c r="T527" i="15"/>
  <c r="T526" i="15"/>
  <c r="T525" i="15"/>
  <c r="T524" i="15"/>
  <c r="T523" i="15"/>
  <c r="T522" i="15"/>
  <c r="T521" i="15"/>
  <c r="T520" i="15"/>
  <c r="T519" i="15"/>
  <c r="T518" i="15"/>
  <c r="T517" i="15"/>
  <c r="T516" i="15"/>
  <c r="T515" i="15"/>
  <c r="T514" i="15"/>
  <c r="T513" i="15"/>
  <c r="T512" i="15"/>
  <c r="T511" i="15"/>
  <c r="T510" i="15"/>
  <c r="T509" i="15"/>
  <c r="T508" i="15"/>
  <c r="T507" i="15"/>
  <c r="T506" i="15"/>
  <c r="T505" i="15"/>
  <c r="T504" i="15"/>
  <c r="T503" i="15"/>
  <c r="T502" i="15"/>
  <c r="T501" i="15"/>
  <c r="T500" i="15"/>
  <c r="T499" i="15"/>
  <c r="T498" i="15"/>
  <c r="T497" i="15"/>
  <c r="T496" i="15"/>
  <c r="T495" i="15"/>
  <c r="T494" i="15"/>
  <c r="T493" i="15"/>
  <c r="T492" i="15"/>
  <c r="T491" i="15"/>
  <c r="T490" i="15"/>
  <c r="T489" i="15"/>
  <c r="T488" i="15"/>
  <c r="T487" i="15"/>
  <c r="T486" i="15"/>
  <c r="T485" i="15"/>
  <c r="T484" i="15"/>
  <c r="T483" i="15"/>
  <c r="T482" i="15"/>
  <c r="T481" i="15"/>
  <c r="T480" i="15"/>
  <c r="T479" i="15"/>
  <c r="T478" i="15"/>
  <c r="T477" i="15"/>
  <c r="T476" i="15"/>
  <c r="T475" i="15"/>
  <c r="T474" i="15"/>
  <c r="T473" i="15"/>
  <c r="T472" i="15"/>
  <c r="T471" i="15"/>
  <c r="T470" i="15"/>
  <c r="T469" i="15"/>
  <c r="T468" i="15"/>
  <c r="T467" i="15"/>
  <c r="T466" i="15"/>
  <c r="T465" i="15"/>
  <c r="T464" i="15"/>
  <c r="T463" i="15"/>
  <c r="T462" i="15"/>
  <c r="T461" i="15"/>
  <c r="T460" i="15"/>
  <c r="T459" i="15"/>
  <c r="T458" i="15"/>
  <c r="T457" i="15"/>
  <c r="T456" i="15"/>
  <c r="T455" i="15"/>
  <c r="T454" i="15"/>
  <c r="T453" i="15"/>
  <c r="T452" i="15"/>
  <c r="T451" i="15"/>
  <c r="T450" i="15"/>
  <c r="T449" i="15"/>
  <c r="T448" i="15"/>
  <c r="T447" i="15"/>
  <c r="T446" i="15"/>
  <c r="T445" i="15"/>
  <c r="T444" i="15"/>
  <c r="T443" i="15"/>
  <c r="T442" i="15"/>
  <c r="T441" i="15"/>
  <c r="T440" i="15"/>
  <c r="T439" i="15"/>
  <c r="T438" i="15"/>
  <c r="T437" i="15"/>
  <c r="T436" i="15"/>
  <c r="T435" i="15"/>
  <c r="T434" i="15"/>
  <c r="T433" i="15"/>
  <c r="T432" i="15"/>
  <c r="T431" i="15"/>
  <c r="T430" i="15"/>
  <c r="T429" i="15"/>
  <c r="T428" i="15"/>
  <c r="T427" i="15"/>
  <c r="T426" i="15"/>
  <c r="T425" i="15"/>
  <c r="T424" i="15"/>
  <c r="T423" i="15"/>
  <c r="T422" i="15"/>
  <c r="T421" i="15"/>
  <c r="T420" i="15"/>
  <c r="T419" i="15"/>
  <c r="T418" i="15"/>
  <c r="T417" i="15"/>
  <c r="T416" i="15"/>
  <c r="T415" i="15"/>
  <c r="T414" i="15"/>
  <c r="T413" i="15"/>
  <c r="T412" i="15"/>
  <c r="T411" i="15"/>
  <c r="T410" i="15"/>
  <c r="T409" i="15"/>
  <c r="T408" i="15"/>
  <c r="T407" i="15"/>
  <c r="T406" i="15"/>
  <c r="T405" i="15"/>
  <c r="T404" i="15"/>
  <c r="T403" i="15"/>
  <c r="T402" i="15"/>
  <c r="T401" i="15"/>
  <c r="T400" i="15"/>
  <c r="T399" i="15"/>
  <c r="T398" i="15"/>
  <c r="T397" i="15"/>
  <c r="T396" i="15"/>
  <c r="T395" i="15"/>
  <c r="T394" i="15"/>
  <c r="T393" i="15"/>
  <c r="T392" i="15"/>
  <c r="T391" i="15"/>
  <c r="T390" i="15"/>
  <c r="T389" i="15"/>
  <c r="T388" i="15"/>
  <c r="T387" i="15"/>
  <c r="T386" i="15"/>
  <c r="T385" i="15"/>
  <c r="T384" i="15"/>
  <c r="T383" i="15"/>
  <c r="T382" i="15"/>
  <c r="T381" i="15"/>
  <c r="T380" i="15"/>
  <c r="T379" i="15"/>
  <c r="T378" i="15"/>
  <c r="T377" i="15"/>
  <c r="T376" i="15"/>
  <c r="T375" i="15"/>
  <c r="T374" i="15"/>
  <c r="T373" i="15"/>
  <c r="T372" i="15"/>
  <c r="T371" i="15"/>
  <c r="T370" i="15"/>
  <c r="T369" i="15"/>
  <c r="T368" i="15"/>
  <c r="T367" i="15"/>
  <c r="T366" i="15"/>
  <c r="T365" i="15"/>
  <c r="T364" i="15"/>
  <c r="T363" i="15"/>
  <c r="T362" i="15"/>
  <c r="T361" i="15"/>
  <c r="T360" i="15"/>
  <c r="T359" i="15"/>
  <c r="T358" i="15"/>
  <c r="T357" i="15"/>
  <c r="T356" i="15"/>
  <c r="T355" i="15"/>
  <c r="T354" i="15"/>
  <c r="T353" i="15"/>
  <c r="T352" i="15"/>
  <c r="T351" i="15"/>
  <c r="T350" i="15"/>
  <c r="T349" i="15"/>
  <c r="T348" i="15"/>
  <c r="T347" i="15"/>
  <c r="T346" i="15"/>
  <c r="T345" i="15"/>
  <c r="T344" i="15"/>
  <c r="T343" i="15"/>
  <c r="T342" i="15"/>
  <c r="T341" i="15"/>
  <c r="T340" i="15"/>
  <c r="T339" i="15"/>
  <c r="T338" i="15"/>
  <c r="T337" i="15"/>
  <c r="T336" i="15"/>
  <c r="T335" i="15"/>
  <c r="T334" i="15"/>
  <c r="T333" i="15"/>
  <c r="T332" i="15"/>
  <c r="T331" i="15"/>
  <c r="T330" i="15"/>
  <c r="T329" i="15"/>
  <c r="T328" i="15"/>
  <c r="T327" i="15"/>
  <c r="T326" i="15"/>
  <c r="T325" i="15"/>
  <c r="T324" i="15"/>
  <c r="T323" i="15"/>
  <c r="T322" i="15"/>
  <c r="T321" i="15"/>
  <c r="T320" i="15"/>
  <c r="T319" i="15"/>
  <c r="T318" i="15"/>
  <c r="T317" i="15"/>
  <c r="T316" i="15"/>
  <c r="T315" i="15"/>
  <c r="T314" i="15"/>
  <c r="T313" i="15"/>
  <c r="T312" i="15"/>
  <c r="T311" i="15"/>
  <c r="T310" i="15"/>
  <c r="T309" i="15"/>
  <c r="T308" i="15"/>
  <c r="T307" i="15"/>
  <c r="T306" i="15"/>
  <c r="T305" i="15"/>
  <c r="T304" i="15"/>
  <c r="T303" i="15"/>
  <c r="T302" i="15"/>
  <c r="T301" i="15"/>
  <c r="T300" i="15"/>
  <c r="I299" i="1" s="1"/>
  <c r="T299" i="15"/>
  <c r="T298" i="15"/>
  <c r="T297" i="15"/>
  <c r="T296" i="15"/>
  <c r="T295" i="15"/>
  <c r="T294" i="15"/>
  <c r="T293" i="15"/>
  <c r="T292" i="15"/>
  <c r="T291" i="15"/>
  <c r="T290" i="15"/>
  <c r="T289" i="15"/>
  <c r="T288" i="15"/>
  <c r="T287" i="15"/>
  <c r="T286" i="15"/>
  <c r="T285" i="15"/>
  <c r="T284" i="15"/>
  <c r="T283" i="15"/>
  <c r="T282" i="15"/>
  <c r="T281" i="15"/>
  <c r="T280" i="15"/>
  <c r="T279" i="15"/>
  <c r="T278" i="15"/>
  <c r="T277" i="15"/>
  <c r="T276" i="15"/>
  <c r="T275" i="15"/>
  <c r="T274" i="15"/>
  <c r="T273" i="15"/>
  <c r="T272" i="15"/>
  <c r="T271" i="15"/>
  <c r="T270" i="15"/>
  <c r="T269" i="15"/>
  <c r="T268" i="15"/>
  <c r="T267" i="15"/>
  <c r="T266" i="15"/>
  <c r="T265" i="15"/>
  <c r="T264" i="15"/>
  <c r="T263" i="15"/>
  <c r="T262" i="15"/>
  <c r="T261" i="15"/>
  <c r="T260" i="15"/>
  <c r="T259" i="15"/>
  <c r="T258" i="15"/>
  <c r="T257" i="15"/>
  <c r="T256" i="15"/>
  <c r="T255" i="15"/>
  <c r="T254" i="15"/>
  <c r="T253" i="15"/>
  <c r="T252" i="15"/>
  <c r="T251" i="15"/>
  <c r="T250" i="15"/>
  <c r="T249" i="15"/>
  <c r="T248" i="15"/>
  <c r="T247" i="15"/>
  <c r="T246" i="15"/>
  <c r="T245" i="15"/>
  <c r="T244" i="15"/>
  <c r="T243" i="15"/>
  <c r="T242" i="15"/>
  <c r="T241" i="15"/>
  <c r="T240" i="15"/>
  <c r="T239" i="15"/>
  <c r="T238" i="15"/>
  <c r="T237" i="15"/>
  <c r="T236" i="15"/>
  <c r="T235" i="15"/>
  <c r="T234" i="15"/>
  <c r="T233" i="15"/>
  <c r="T232" i="15"/>
  <c r="T231" i="15"/>
  <c r="T230" i="15"/>
  <c r="T229" i="15"/>
  <c r="T228" i="15"/>
  <c r="T227" i="15"/>
  <c r="T226" i="15"/>
  <c r="T225" i="15"/>
  <c r="T224" i="15"/>
  <c r="T223" i="15"/>
  <c r="T222" i="15"/>
  <c r="T221" i="15"/>
  <c r="T220" i="15"/>
  <c r="T219" i="15"/>
  <c r="T218" i="15"/>
  <c r="T217" i="15"/>
  <c r="T216" i="15"/>
  <c r="T215" i="15"/>
  <c r="T214" i="15"/>
  <c r="T213" i="15"/>
  <c r="T212" i="15"/>
  <c r="T211" i="15"/>
  <c r="T210" i="15"/>
  <c r="T209" i="15"/>
  <c r="T208" i="15"/>
  <c r="T207" i="15"/>
  <c r="T206" i="15"/>
  <c r="T205" i="15"/>
  <c r="T204" i="15"/>
  <c r="T203" i="15"/>
  <c r="T202" i="15"/>
  <c r="T201" i="15"/>
  <c r="T200" i="15"/>
  <c r="T199" i="15"/>
  <c r="T198" i="15"/>
  <c r="T197" i="15"/>
  <c r="T196" i="15"/>
  <c r="T195" i="15"/>
  <c r="T194" i="15"/>
  <c r="T193" i="15"/>
  <c r="T192" i="15"/>
  <c r="T191" i="15"/>
  <c r="T190" i="15"/>
  <c r="T189" i="15"/>
  <c r="T188" i="15"/>
  <c r="T187" i="15"/>
  <c r="T186" i="15"/>
  <c r="T185" i="15"/>
  <c r="T184" i="15"/>
  <c r="T183" i="15"/>
  <c r="T182" i="15"/>
  <c r="T181" i="15"/>
  <c r="T180" i="15"/>
  <c r="T179" i="15"/>
  <c r="T178" i="15"/>
  <c r="T177" i="15"/>
  <c r="T176" i="15"/>
  <c r="T175" i="15"/>
  <c r="T174" i="15"/>
  <c r="T173" i="15"/>
  <c r="T172" i="15"/>
  <c r="T171" i="15"/>
  <c r="T170" i="15"/>
  <c r="T169" i="15"/>
  <c r="T168" i="15"/>
  <c r="T167" i="15"/>
  <c r="T166" i="15"/>
  <c r="T165" i="15"/>
  <c r="T164" i="15"/>
  <c r="T163" i="15"/>
  <c r="T162" i="15"/>
  <c r="T161" i="15"/>
  <c r="T160" i="15"/>
  <c r="T159" i="15"/>
  <c r="T158" i="15"/>
  <c r="T157" i="15"/>
  <c r="T156" i="15"/>
  <c r="T155" i="15"/>
  <c r="T154" i="15"/>
  <c r="T153" i="15"/>
  <c r="T152" i="15"/>
  <c r="T151" i="15"/>
  <c r="T150" i="15"/>
  <c r="T149" i="15"/>
  <c r="T148" i="15"/>
  <c r="T147" i="15"/>
  <c r="T146" i="15"/>
  <c r="T145" i="15"/>
  <c r="T144" i="15"/>
  <c r="T143" i="15"/>
  <c r="T142" i="15"/>
  <c r="T141" i="15"/>
  <c r="T140" i="15"/>
  <c r="T139" i="15"/>
  <c r="T138" i="15"/>
  <c r="T137" i="15"/>
  <c r="T136" i="15"/>
  <c r="T135" i="15"/>
  <c r="T134" i="15"/>
  <c r="T133" i="15"/>
  <c r="T132" i="15"/>
  <c r="T131" i="15"/>
  <c r="T130" i="15"/>
  <c r="T129" i="15"/>
  <c r="T128" i="15"/>
  <c r="T127" i="15"/>
  <c r="T126" i="15"/>
  <c r="T125" i="15"/>
  <c r="T124" i="15"/>
  <c r="T123" i="15"/>
  <c r="T122" i="15"/>
  <c r="T121" i="15"/>
  <c r="T120" i="15"/>
  <c r="T119" i="15"/>
  <c r="T118" i="15"/>
  <c r="T117" i="15"/>
  <c r="T116" i="15"/>
  <c r="T115" i="15"/>
  <c r="T114" i="15"/>
  <c r="T113" i="15"/>
  <c r="T112" i="15"/>
  <c r="T111" i="15"/>
  <c r="T110" i="15"/>
  <c r="T109" i="15"/>
  <c r="T108" i="15"/>
  <c r="T107" i="15"/>
  <c r="T106" i="15"/>
  <c r="T105" i="15"/>
  <c r="T104" i="15"/>
  <c r="T103" i="15"/>
  <c r="T102" i="15"/>
  <c r="T101" i="15"/>
  <c r="T100" i="15"/>
  <c r="T99" i="15"/>
  <c r="T98" i="15"/>
  <c r="T97" i="15"/>
  <c r="T96" i="15"/>
  <c r="T95" i="15"/>
  <c r="T94" i="15"/>
  <c r="T93" i="15"/>
  <c r="T92" i="15"/>
  <c r="T91" i="15"/>
  <c r="T90" i="15"/>
  <c r="T89" i="15"/>
  <c r="T88" i="15"/>
  <c r="T87" i="15"/>
  <c r="T86" i="15"/>
  <c r="T85" i="15"/>
  <c r="T84" i="15"/>
  <c r="T83" i="15"/>
  <c r="T82" i="15"/>
  <c r="T81" i="15"/>
  <c r="T80" i="15"/>
  <c r="T79" i="15"/>
  <c r="T78" i="15"/>
  <c r="T77" i="15"/>
  <c r="T76" i="15"/>
  <c r="T75" i="15"/>
  <c r="T74" i="15"/>
  <c r="T73" i="15"/>
  <c r="T72" i="15"/>
  <c r="T71" i="15"/>
  <c r="T70" i="15"/>
  <c r="T69" i="15"/>
  <c r="T68" i="15"/>
  <c r="T67" i="15"/>
  <c r="T66" i="15"/>
  <c r="T65" i="15"/>
  <c r="T64" i="15"/>
  <c r="T63" i="15"/>
  <c r="T62" i="15"/>
  <c r="T61" i="15"/>
  <c r="T60" i="15"/>
  <c r="T59" i="15"/>
  <c r="T58" i="15"/>
  <c r="T57" i="15"/>
  <c r="T56" i="15"/>
  <c r="T55" i="15"/>
  <c r="T54" i="15"/>
  <c r="I327" i="1" s="1"/>
  <c r="T53" i="15"/>
  <c r="T52" i="15"/>
  <c r="T51" i="15"/>
  <c r="T50" i="15"/>
  <c r="T49" i="15"/>
  <c r="T48" i="15"/>
  <c r="T47" i="15"/>
  <c r="T46" i="15"/>
  <c r="T45" i="15"/>
  <c r="T44" i="15"/>
  <c r="T43" i="15"/>
  <c r="T42" i="15"/>
  <c r="T41" i="15"/>
  <c r="T40" i="15"/>
  <c r="T39" i="15"/>
  <c r="T38" i="15"/>
  <c r="T37" i="15"/>
  <c r="T36" i="15"/>
  <c r="T35" i="15"/>
  <c r="T34" i="15"/>
  <c r="T33" i="15"/>
  <c r="T32" i="15"/>
  <c r="T31" i="15"/>
  <c r="T30" i="15"/>
  <c r="T29" i="15"/>
  <c r="T28" i="15"/>
  <c r="T27" i="15"/>
  <c r="T26" i="15"/>
  <c r="T25" i="15"/>
  <c r="T24" i="15"/>
  <c r="T23" i="15"/>
  <c r="T22" i="15"/>
  <c r="T21" i="15"/>
  <c r="T20" i="15"/>
  <c r="T19" i="15"/>
  <c r="T18" i="15"/>
  <c r="T17" i="15"/>
  <c r="T16" i="15"/>
  <c r="T15" i="15"/>
  <c r="T14" i="15"/>
  <c r="T13" i="15"/>
  <c r="T12" i="15"/>
  <c r="T11" i="15"/>
  <c r="T10" i="15"/>
  <c r="T9" i="15"/>
  <c r="T8" i="15"/>
  <c r="T7" i="15"/>
  <c r="T6" i="15"/>
  <c r="T5" i="15"/>
  <c r="T4" i="15"/>
  <c r="O126" i="1"/>
  <c r="I151" i="1"/>
  <c r="I150" i="1"/>
  <c r="I149" i="1"/>
  <c r="I145" i="1"/>
  <c r="I143" i="1"/>
  <c r="I140" i="1"/>
  <c r="I139" i="1"/>
  <c r="I138" i="1"/>
  <c r="I137" i="1"/>
  <c r="I118" i="1"/>
  <c r="I115" i="1"/>
  <c r="I96" i="1"/>
  <c r="I64" i="1"/>
  <c r="I61" i="1"/>
  <c r="I57" i="1"/>
  <c r="I56" i="1"/>
  <c r="I54" i="1"/>
  <c r="I49" i="1"/>
  <c r="I47" i="1"/>
  <c r="I46" i="1"/>
  <c r="I39" i="1"/>
  <c r="I18" i="1"/>
  <c r="I14" i="1"/>
  <c r="I13" i="1"/>
  <c r="I176" i="1"/>
  <c r="I172" i="1"/>
  <c r="I170" i="1"/>
  <c r="I167" i="1"/>
  <c r="I154" i="1"/>
  <c r="I141" i="1"/>
  <c r="I147" i="1"/>
  <c r="I148" i="1"/>
  <c r="I146" i="1"/>
  <c r="G104" i="5" s="1"/>
  <c r="I136" i="1"/>
  <c r="I135" i="1"/>
  <c r="I134" i="1"/>
  <c r="I153" i="1"/>
  <c r="I133" i="1"/>
  <c r="I132" i="1"/>
  <c r="I144" i="1"/>
  <c r="I131" i="1"/>
  <c r="I130" i="1"/>
  <c r="I142" i="1"/>
  <c r="I127" i="1"/>
  <c r="G232" i="5" s="1"/>
  <c r="I159" i="1"/>
  <c r="I158" i="1"/>
  <c r="I157" i="1"/>
  <c r="I156" i="1"/>
  <c r="I124" i="1"/>
  <c r="I121" i="1"/>
  <c r="I112" i="1"/>
  <c r="I111" i="1"/>
  <c r="I117" i="1"/>
  <c r="I116" i="1"/>
  <c r="I114" i="1"/>
  <c r="I110" i="1"/>
  <c r="I43" i="1"/>
  <c r="I107" i="1"/>
  <c r="I60" i="1"/>
  <c r="I97" i="1"/>
  <c r="I69" i="1"/>
  <c r="I87" i="1"/>
  <c r="I92" i="1"/>
  <c r="I25" i="1"/>
  <c r="I91" i="1"/>
  <c r="I90" i="1"/>
  <c r="I84" i="1"/>
  <c r="I79" i="1"/>
  <c r="I82" i="1"/>
  <c r="I78" i="1"/>
  <c r="I77" i="1"/>
  <c r="I76" i="1"/>
  <c r="I65" i="1"/>
  <c r="I59" i="1"/>
  <c r="L59" i="1" s="1"/>
  <c r="I55" i="1"/>
  <c r="I50" i="1"/>
  <c r="I48" i="1"/>
  <c r="I53" i="1"/>
  <c r="I52" i="1"/>
  <c r="I51" i="1"/>
  <c r="I71" i="1"/>
  <c r="I70" i="1"/>
  <c r="I38" i="1"/>
  <c r="I35" i="1"/>
  <c r="L35" i="1" s="1"/>
  <c r="I34" i="1"/>
  <c r="I33" i="1"/>
  <c r="I32" i="1"/>
  <c r="I31" i="1"/>
  <c r="I24" i="1"/>
  <c r="I23" i="1"/>
  <c r="I22" i="1"/>
  <c r="I15" i="1"/>
  <c r="G92" i="5" s="1"/>
  <c r="I12" i="1"/>
  <c r="I11" i="1"/>
  <c r="K26" i="7"/>
  <c r="J26" i="7"/>
  <c r="I26" i="7"/>
  <c r="F26" i="7"/>
  <c r="E26" i="7"/>
  <c r="D26" i="7"/>
  <c r="K25" i="7"/>
  <c r="J25" i="7"/>
  <c r="I25" i="7"/>
  <c r="D25" i="7"/>
  <c r="K7" i="7"/>
  <c r="J7" i="7"/>
  <c r="D7" i="7"/>
  <c r="N142" i="6"/>
  <c r="N119" i="6"/>
  <c r="N117" i="6"/>
  <c r="N86" i="6"/>
  <c r="N84" i="6"/>
  <c r="N82" i="6"/>
  <c r="N75" i="6"/>
  <c r="N68" i="6"/>
  <c r="N64" i="6"/>
  <c r="N49" i="6"/>
  <c r="N38" i="6"/>
  <c r="N31" i="6"/>
  <c r="N17" i="6"/>
  <c r="N12" i="6"/>
  <c r="N8" i="6"/>
  <c r="D55" i="6"/>
  <c r="E55" i="6"/>
  <c r="F55" i="6"/>
  <c r="I55" i="6"/>
  <c r="J55" i="6"/>
  <c r="K55" i="6"/>
  <c r="D56" i="6"/>
  <c r="E56" i="6"/>
  <c r="F56" i="6"/>
  <c r="I56" i="6"/>
  <c r="J56" i="6"/>
  <c r="K56" i="6"/>
  <c r="I186" i="1" l="1"/>
  <c r="L186" i="1" s="1"/>
  <c r="I298" i="1"/>
  <c r="L298" i="1" s="1"/>
  <c r="I257" i="1"/>
  <c r="L257" i="1" s="1"/>
  <c r="I246" i="1"/>
  <c r="L246" i="1" s="1"/>
  <c r="I212" i="1"/>
  <c r="Q203" i="5"/>
  <c r="Q202" i="5" s="1"/>
  <c r="H93" i="5"/>
  <c r="K93" i="5" s="1"/>
  <c r="K92" i="5"/>
  <c r="F156" i="10" s="1"/>
  <c r="B9" i="33" s="1"/>
  <c r="H105" i="5"/>
  <c r="K105" i="5" s="1"/>
  <c r="K146" i="1" s="1"/>
  <c r="L146" i="1" s="1"/>
  <c r="K15" i="33" s="1"/>
  <c r="K104" i="5"/>
  <c r="K69" i="1" s="1"/>
  <c r="F33" i="6" s="1"/>
  <c r="I259" i="1"/>
  <c r="I260" i="1"/>
  <c r="I190" i="1"/>
  <c r="L190" i="1" s="1"/>
  <c r="I253" i="1"/>
  <c r="L253" i="1" s="1"/>
  <c r="I308" i="1"/>
  <c r="L308" i="1" s="1"/>
  <c r="I188" i="1"/>
  <c r="L188" i="1" s="1"/>
  <c r="I189" i="1"/>
  <c r="L189" i="1" s="1"/>
  <c r="I306" i="1"/>
  <c r="I307" i="1"/>
  <c r="L307" i="1" s="1"/>
  <c r="I310" i="1"/>
  <c r="L310" i="1" s="1"/>
  <c r="I242" i="1"/>
  <c r="L242" i="1" s="1"/>
  <c r="L390" i="1" s="1"/>
  <c r="I311" i="1"/>
  <c r="L311" i="1" s="1"/>
  <c r="I171" i="1"/>
  <c r="D122" i="6" s="1"/>
  <c r="I213" i="1"/>
  <c r="L213" i="1" s="1"/>
  <c r="H233" i="5"/>
  <c r="K233" i="5" s="1"/>
  <c r="K163" i="1" s="1"/>
  <c r="F109" i="6" s="1"/>
  <c r="K232" i="5"/>
  <c r="K127" i="1" s="1"/>
  <c r="K126" i="1" s="1"/>
  <c r="F80" i="18"/>
  <c r="H68" i="18" s="1"/>
  <c r="D77" i="6"/>
  <c r="L309" i="1"/>
  <c r="I288" i="1"/>
  <c r="L288" i="1" s="1"/>
  <c r="I313" i="1"/>
  <c r="L32" i="1"/>
  <c r="D75" i="17" s="1"/>
  <c r="BM22" i="1"/>
  <c r="BL22" i="1"/>
  <c r="D24" i="6"/>
  <c r="E6" i="7"/>
  <c r="E8" i="7" s="1"/>
  <c r="F12" i="7"/>
  <c r="E13" i="7"/>
  <c r="E16" i="7"/>
  <c r="F16" i="7"/>
  <c r="E12" i="7"/>
  <c r="F6" i="7"/>
  <c r="F8" i="7" s="1"/>
  <c r="E9" i="7"/>
  <c r="F9" i="7"/>
  <c r="E15" i="7"/>
  <c r="F15" i="7"/>
  <c r="I266" i="1"/>
  <c r="L266" i="1" s="1"/>
  <c r="I331" i="1"/>
  <c r="L331" i="1" s="1"/>
  <c r="I275" i="1"/>
  <c r="L275" i="1" s="1"/>
  <c r="I297" i="1"/>
  <c r="L297" i="1" s="1"/>
  <c r="I321" i="1"/>
  <c r="L321" i="1" s="1"/>
  <c r="I336" i="1"/>
  <c r="L336" i="1" s="1"/>
  <c r="I210" i="1"/>
  <c r="I226" i="1"/>
  <c r="L226" i="1" s="1"/>
  <c r="I214" i="1"/>
  <c r="L214" i="1" s="1"/>
  <c r="I236" i="1"/>
  <c r="I276" i="1"/>
  <c r="L276" i="1" s="1"/>
  <c r="I323" i="1"/>
  <c r="L323" i="1" s="1"/>
  <c r="I337" i="1"/>
  <c r="L337" i="1" s="1"/>
  <c r="I328" i="1"/>
  <c r="L328" i="1" s="1"/>
  <c r="I292" i="1"/>
  <c r="L292" i="1" s="1"/>
  <c r="I255" i="1"/>
  <c r="L255" i="1" s="1"/>
  <c r="L387" i="1" s="1"/>
  <c r="I237" i="1"/>
  <c r="L237" i="1" s="1"/>
  <c r="I340" i="1"/>
  <c r="L340" i="1" s="1"/>
  <c r="I330" i="1"/>
  <c r="L330" i="1" s="1"/>
  <c r="I229" i="1"/>
  <c r="L229" i="1" s="1"/>
  <c r="I264" i="1"/>
  <c r="L264" i="1" s="1"/>
  <c r="I286" i="1"/>
  <c r="L286" i="1" s="1"/>
  <c r="I317" i="1"/>
  <c r="L317" i="1" s="1"/>
  <c r="I211" i="1"/>
  <c r="L211" i="1" s="1"/>
  <c r="I227" i="1"/>
  <c r="L227" i="1" s="1"/>
  <c r="I217" i="1"/>
  <c r="L217" i="1" s="1"/>
  <c r="I278" i="1"/>
  <c r="L278" i="1" s="1"/>
  <c r="I324" i="1"/>
  <c r="L324" i="1" s="1"/>
  <c r="I197" i="1"/>
  <c r="L197" i="1" s="1"/>
  <c r="G9" i="49" s="1"/>
  <c r="I325" i="1"/>
  <c r="L325" i="1" s="1"/>
  <c r="I342" i="1"/>
  <c r="L342" i="1" s="1"/>
  <c r="I338" i="1"/>
  <c r="L338" i="1" s="1"/>
  <c r="I262" i="1"/>
  <c r="I240" i="1"/>
  <c r="L240" i="1" s="1"/>
  <c r="L386" i="1" s="1"/>
  <c r="I280" i="1"/>
  <c r="L280" i="1" s="1"/>
  <c r="I326" i="1"/>
  <c r="L326" i="1" s="1"/>
  <c r="I345" i="1"/>
  <c r="L345" i="1" s="1"/>
  <c r="I241" i="1"/>
  <c r="L241" i="1" s="1"/>
  <c r="L394" i="1" s="1"/>
  <c r="I281" i="1"/>
  <c r="L281" i="1" s="1"/>
  <c r="I347" i="1"/>
  <c r="L347" i="1" s="1"/>
  <c r="I205" i="1"/>
  <c r="L205" i="1" s="1"/>
  <c r="F474" i="18" s="1"/>
  <c r="I192" i="1"/>
  <c r="L192" i="1" s="1"/>
  <c r="I244" i="1"/>
  <c r="L244" i="1" s="1"/>
  <c r="I282" i="1"/>
  <c r="L282" i="1" s="1"/>
  <c r="I329" i="1"/>
  <c r="L329" i="1" s="1"/>
  <c r="I351" i="1"/>
  <c r="F584" i="10" s="1"/>
  <c r="I203" i="1"/>
  <c r="L203" i="1" s="1"/>
  <c r="I263" i="1"/>
  <c r="L263" i="1" s="1"/>
  <c r="I239" i="1"/>
  <c r="L239" i="1" s="1"/>
  <c r="I219" i="1"/>
  <c r="L219" i="1" s="1"/>
  <c r="I284" i="1"/>
  <c r="L284" i="1" s="1"/>
  <c r="I315" i="1"/>
  <c r="L315" i="1" s="1"/>
  <c r="I352" i="1"/>
  <c r="I319" i="1"/>
  <c r="L319" i="1" s="1"/>
  <c r="I252" i="1"/>
  <c r="I285" i="1"/>
  <c r="L285" i="1" s="1"/>
  <c r="I316" i="1"/>
  <c r="L316" i="1" s="1"/>
  <c r="I332" i="1"/>
  <c r="L332" i="1" s="1"/>
  <c r="I277" i="1"/>
  <c r="L277" i="1" s="1"/>
  <c r="I346" i="1"/>
  <c r="L346" i="1" s="1"/>
  <c r="I294" i="1"/>
  <c r="L294" i="1" s="1"/>
  <c r="I221" i="1"/>
  <c r="L221" i="1" s="1"/>
  <c r="I218" i="1"/>
  <c r="L218" i="1" s="1"/>
  <c r="L212" i="1"/>
  <c r="I333" i="1"/>
  <c r="L333" i="1" s="1"/>
  <c r="I204" i="1"/>
  <c r="L204" i="1" s="1"/>
  <c r="J167" i="22" s="1"/>
  <c r="I322" i="1"/>
  <c r="L322" i="1" s="1"/>
  <c r="I223" i="1"/>
  <c r="L223" i="1" s="1"/>
  <c r="I200" i="1"/>
  <c r="L200" i="1" s="1"/>
  <c r="I254" i="1"/>
  <c r="L254" i="1" s="1"/>
  <c r="I289" i="1"/>
  <c r="L289" i="1" s="1"/>
  <c r="I318" i="1"/>
  <c r="L318" i="1" s="1"/>
  <c r="I334" i="1"/>
  <c r="L334" i="1" s="1"/>
  <c r="I279" i="1"/>
  <c r="L279" i="1" s="1"/>
  <c r="I199" i="1"/>
  <c r="I195" i="1"/>
  <c r="I283" i="1"/>
  <c r="L283" i="1" s="1"/>
  <c r="I224" i="1"/>
  <c r="L224" i="1" s="1"/>
  <c r="I220" i="1"/>
  <c r="L220" i="1" s="1"/>
  <c r="I202" i="1"/>
  <c r="L202" i="1" s="1"/>
  <c r="I256" i="1"/>
  <c r="L256" i="1" s="1"/>
  <c r="L395" i="1" s="1"/>
  <c r="I290" i="1"/>
  <c r="L290" i="1" s="1"/>
  <c r="I320" i="1"/>
  <c r="L320" i="1" s="1"/>
  <c r="I335" i="1"/>
  <c r="L335" i="1" s="1"/>
  <c r="I225" i="1"/>
  <c r="L225" i="1" s="1"/>
  <c r="L341" i="1"/>
  <c r="P126" i="1"/>
  <c r="I126" i="1"/>
  <c r="L344" i="1"/>
  <c r="BR205" i="1"/>
  <c r="L273" i="1"/>
  <c r="L291" i="1"/>
  <c r="L300" i="1"/>
  <c r="L64" i="1"/>
  <c r="L267" i="1"/>
  <c r="L339" i="1"/>
  <c r="L348" i="1"/>
  <c r="L314" i="1"/>
  <c r="L274" i="1"/>
  <c r="L299" i="1"/>
  <c r="L327" i="1"/>
  <c r="L50" i="1"/>
  <c r="BR264" i="1"/>
  <c r="L287" i="1"/>
  <c r="L295" i="1"/>
  <c r="BR262" i="1"/>
  <c r="L293" i="1"/>
  <c r="L304" i="1"/>
  <c r="L312" i="1"/>
  <c r="L46" i="1"/>
  <c r="L272" i="1"/>
  <c r="BR263" i="1"/>
  <c r="L305" i="1"/>
  <c r="L303" i="1"/>
  <c r="L245" i="1"/>
  <c r="L38" i="1"/>
  <c r="L158" i="1"/>
  <c r="L90" i="1"/>
  <c r="L97" i="1"/>
  <c r="F250" i="10" s="1"/>
  <c r="L13" i="1"/>
  <c r="L71" i="1"/>
  <c r="L57" i="1"/>
  <c r="L112" i="1"/>
  <c r="L261" i="1"/>
  <c r="L231" i="1"/>
  <c r="L238" i="1"/>
  <c r="L265" i="1"/>
  <c r="L251" i="1"/>
  <c r="L258" i="1"/>
  <c r="L70" i="1"/>
  <c r="L79" i="1"/>
  <c r="L193" i="1"/>
  <c r="F491" i="10" s="1"/>
  <c r="L194" i="1"/>
  <c r="F492" i="10" s="1"/>
  <c r="L201" i="1"/>
  <c r="L215" i="1"/>
  <c r="L196" i="1"/>
  <c r="L216" i="1"/>
  <c r="L222" i="1"/>
  <c r="L228" i="1"/>
  <c r="L191" i="1"/>
  <c r="L115" i="1"/>
  <c r="L198" i="1"/>
  <c r="J126" i="1"/>
  <c r="L34" i="1"/>
  <c r="L91" i="1"/>
  <c r="L147" i="1"/>
  <c r="L33" i="1"/>
  <c r="L31" i="1"/>
  <c r="L11" i="1"/>
  <c r="F29" i="10" s="1"/>
  <c r="L22" i="1"/>
  <c r="F47" i="10" s="1"/>
  <c r="L111" i="1"/>
  <c r="I322" i="10" s="1"/>
  <c r="I324" i="10" s="1"/>
  <c r="L116" i="1"/>
  <c r="L12" i="1"/>
  <c r="L26" i="7"/>
  <c r="L114" i="1"/>
  <c r="L110" i="1"/>
  <c r="L14" i="1"/>
  <c r="L25" i="7"/>
  <c r="L24" i="1"/>
  <c r="F52" i="10" s="1"/>
  <c r="L39" i="1"/>
  <c r="L47" i="1"/>
  <c r="L54" i="1"/>
  <c r="L65" i="1"/>
  <c r="L76" i="1"/>
  <c r="L82" i="1"/>
  <c r="L117" i="1"/>
  <c r="L118" i="1"/>
  <c r="L135" i="1"/>
  <c r="L139" i="1"/>
  <c r="L143" i="1"/>
  <c r="L149" i="1"/>
  <c r="L153" i="1"/>
  <c r="K18" i="33" s="1"/>
  <c r="L23" i="1"/>
  <c r="L121" i="1"/>
  <c r="L136" i="1"/>
  <c r="K11" i="33" s="1"/>
  <c r="L140" i="1"/>
  <c r="L144" i="1"/>
  <c r="L150" i="1"/>
  <c r="L154" i="1"/>
  <c r="K19" i="33" s="1"/>
  <c r="L159" i="1"/>
  <c r="L172" i="1"/>
  <c r="L18" i="1"/>
  <c r="L124" i="1"/>
  <c r="L133" i="1"/>
  <c r="K9" i="33" s="1"/>
  <c r="L137" i="1"/>
  <c r="L141" i="1"/>
  <c r="L145" i="1"/>
  <c r="L151" i="1"/>
  <c r="L156" i="1"/>
  <c r="L167" i="1"/>
  <c r="L175" i="1"/>
  <c r="L42" i="1"/>
  <c r="L51" i="1"/>
  <c r="F139" i="10" s="1"/>
  <c r="L55" i="1"/>
  <c r="L60" i="1"/>
  <c r="F159" i="10" s="1"/>
  <c r="L68" i="1"/>
  <c r="F242" i="10" s="1"/>
  <c r="L77" i="1"/>
  <c r="L84" i="1"/>
  <c r="L95" i="1"/>
  <c r="L107" i="1"/>
  <c r="L130" i="1"/>
  <c r="L134" i="1"/>
  <c r="L138" i="1"/>
  <c r="L142" i="1"/>
  <c r="L148" i="1"/>
  <c r="L152" i="1"/>
  <c r="L157" i="1"/>
  <c r="L170" i="1"/>
  <c r="L43" i="1"/>
  <c r="L49" i="1"/>
  <c r="L52" i="1"/>
  <c r="L56" i="1"/>
  <c r="L61" i="1"/>
  <c r="L78" i="1"/>
  <c r="L87" i="1"/>
  <c r="F259" i="10" s="1"/>
  <c r="F260" i="10" s="1"/>
  <c r="L96" i="1"/>
  <c r="G25" i="7"/>
  <c r="G26" i="7"/>
  <c r="F640" i="18" s="1"/>
  <c r="G7" i="7"/>
  <c r="L7" i="7"/>
  <c r="E21" i="7"/>
  <c r="G56" i="6"/>
  <c r="L56" i="6"/>
  <c r="G55" i="6"/>
  <c r="L55" i="6"/>
  <c r="K141" i="6"/>
  <c r="J141" i="6"/>
  <c r="I141" i="6"/>
  <c r="F141" i="6"/>
  <c r="E141" i="6"/>
  <c r="D141" i="6"/>
  <c r="K140" i="6"/>
  <c r="J140" i="6"/>
  <c r="I140" i="6"/>
  <c r="F140" i="6"/>
  <c r="E140" i="6"/>
  <c r="D140" i="6"/>
  <c r="K137" i="6"/>
  <c r="J137" i="6"/>
  <c r="I137" i="6"/>
  <c r="F137" i="6"/>
  <c r="E137" i="6"/>
  <c r="D137" i="6"/>
  <c r="K136" i="6"/>
  <c r="J136" i="6"/>
  <c r="I136" i="6"/>
  <c r="F136" i="6"/>
  <c r="E136" i="6"/>
  <c r="D136" i="6"/>
  <c r="D135" i="6"/>
  <c r="F134" i="6"/>
  <c r="E134" i="6"/>
  <c r="D134" i="6"/>
  <c r="K132" i="6"/>
  <c r="J132" i="6"/>
  <c r="I132" i="6"/>
  <c r="F132" i="6"/>
  <c r="E132" i="6"/>
  <c r="D132" i="6"/>
  <c r="K131" i="6"/>
  <c r="J131" i="6"/>
  <c r="I131" i="6"/>
  <c r="F131" i="6"/>
  <c r="E131" i="6"/>
  <c r="D131" i="6"/>
  <c r="K130" i="6"/>
  <c r="J130" i="6"/>
  <c r="I130" i="6"/>
  <c r="F130" i="6"/>
  <c r="E130" i="6"/>
  <c r="D130" i="6"/>
  <c r="K129" i="6"/>
  <c r="J129" i="6"/>
  <c r="I129" i="6"/>
  <c r="F129" i="6"/>
  <c r="E129" i="6"/>
  <c r="D129" i="6"/>
  <c r="K128" i="6"/>
  <c r="J128" i="6"/>
  <c r="I128" i="6"/>
  <c r="F128" i="6"/>
  <c r="E128" i="6"/>
  <c r="D128" i="6"/>
  <c r="K127" i="6"/>
  <c r="J127" i="6"/>
  <c r="I127" i="6"/>
  <c r="F127" i="6"/>
  <c r="E127" i="6"/>
  <c r="D127" i="6"/>
  <c r="K126" i="6"/>
  <c r="J126" i="6"/>
  <c r="I126" i="6"/>
  <c r="F126" i="6"/>
  <c r="E126" i="6"/>
  <c r="D126" i="6"/>
  <c r="K125" i="6"/>
  <c r="J125" i="6"/>
  <c r="I125" i="6"/>
  <c r="F125" i="6"/>
  <c r="E125" i="6"/>
  <c r="D125" i="6"/>
  <c r="F124" i="6"/>
  <c r="E124" i="6"/>
  <c r="D124" i="6"/>
  <c r="K123" i="6"/>
  <c r="J123" i="6"/>
  <c r="I123" i="6"/>
  <c r="F123" i="6"/>
  <c r="E123" i="6"/>
  <c r="D123" i="6"/>
  <c r="F122" i="6"/>
  <c r="E122" i="6"/>
  <c r="K116" i="6"/>
  <c r="J116" i="6"/>
  <c r="I116" i="6"/>
  <c r="F116" i="6"/>
  <c r="E116" i="6"/>
  <c r="D116" i="6"/>
  <c r="K115" i="6"/>
  <c r="J115" i="6"/>
  <c r="I115" i="6"/>
  <c r="F115" i="6"/>
  <c r="E115" i="6"/>
  <c r="D115" i="6"/>
  <c r="K114" i="6"/>
  <c r="J114" i="6"/>
  <c r="I114" i="6"/>
  <c r="F114" i="6"/>
  <c r="E114" i="6"/>
  <c r="D114" i="6"/>
  <c r="K113" i="6"/>
  <c r="J113" i="6"/>
  <c r="I113" i="6"/>
  <c r="F113" i="6"/>
  <c r="E113" i="6"/>
  <c r="D113" i="6"/>
  <c r="K112" i="6"/>
  <c r="J112" i="6"/>
  <c r="I112" i="6"/>
  <c r="F112" i="6"/>
  <c r="E112" i="6"/>
  <c r="D112" i="6"/>
  <c r="K111" i="6"/>
  <c r="J111" i="6"/>
  <c r="I111" i="6"/>
  <c r="F111" i="6"/>
  <c r="E111" i="6"/>
  <c r="D111" i="6"/>
  <c r="K110" i="6"/>
  <c r="J110" i="6"/>
  <c r="I110" i="6"/>
  <c r="F110" i="6"/>
  <c r="E110" i="6"/>
  <c r="D110" i="6"/>
  <c r="K109" i="6"/>
  <c r="J109" i="6"/>
  <c r="I109" i="6"/>
  <c r="E109" i="6"/>
  <c r="D109" i="6"/>
  <c r="K108" i="6"/>
  <c r="J108" i="6"/>
  <c r="I108" i="6"/>
  <c r="F108" i="6"/>
  <c r="E108" i="6"/>
  <c r="D108" i="6"/>
  <c r="K107" i="6"/>
  <c r="J107" i="6"/>
  <c r="I107" i="6"/>
  <c r="F107" i="6"/>
  <c r="E107" i="6"/>
  <c r="D107" i="6"/>
  <c r="K106" i="6"/>
  <c r="J106" i="6"/>
  <c r="I106" i="6"/>
  <c r="F106" i="6"/>
  <c r="E106" i="6"/>
  <c r="D106" i="6"/>
  <c r="K105" i="6"/>
  <c r="J105" i="6"/>
  <c r="I105" i="6"/>
  <c r="F105" i="6"/>
  <c r="E105" i="6"/>
  <c r="D105" i="6"/>
  <c r="K104" i="6"/>
  <c r="J104" i="6"/>
  <c r="I104" i="6"/>
  <c r="F104" i="6"/>
  <c r="E104" i="6"/>
  <c r="D104" i="6"/>
  <c r="K101" i="6"/>
  <c r="J101" i="6"/>
  <c r="I101" i="6"/>
  <c r="F101" i="6"/>
  <c r="E101" i="6"/>
  <c r="D101" i="6"/>
  <c r="K100" i="6"/>
  <c r="J100" i="6"/>
  <c r="I100" i="6"/>
  <c r="F100" i="6"/>
  <c r="E100" i="6"/>
  <c r="D100" i="6"/>
  <c r="K99" i="6"/>
  <c r="J99" i="6"/>
  <c r="I99" i="6"/>
  <c r="F99" i="6"/>
  <c r="E99" i="6"/>
  <c r="D99" i="6"/>
  <c r="K98" i="6"/>
  <c r="J98" i="6"/>
  <c r="I98" i="6"/>
  <c r="F98" i="6"/>
  <c r="E98" i="6"/>
  <c r="D98" i="6"/>
  <c r="F97" i="6"/>
  <c r="E97" i="6"/>
  <c r="D97" i="6"/>
  <c r="E96" i="6"/>
  <c r="D96" i="6"/>
  <c r="K95" i="6"/>
  <c r="J95" i="6"/>
  <c r="E95" i="6"/>
  <c r="D95" i="6"/>
  <c r="K94" i="6"/>
  <c r="J94" i="6"/>
  <c r="I94" i="6"/>
  <c r="F94" i="6"/>
  <c r="E94" i="6"/>
  <c r="D94" i="6"/>
  <c r="K93" i="6"/>
  <c r="J93" i="6"/>
  <c r="I93" i="6"/>
  <c r="F93" i="6"/>
  <c r="E93" i="6"/>
  <c r="D93" i="6"/>
  <c r="F92" i="6"/>
  <c r="D92" i="6"/>
  <c r="F91" i="6"/>
  <c r="E91" i="6"/>
  <c r="D91" i="6"/>
  <c r="F90" i="6"/>
  <c r="E90" i="6"/>
  <c r="D90" i="6"/>
  <c r="K89" i="6"/>
  <c r="J89" i="6"/>
  <c r="I89" i="6"/>
  <c r="F89" i="6"/>
  <c r="E89" i="6"/>
  <c r="D89" i="6"/>
  <c r="F88" i="6"/>
  <c r="E88" i="6"/>
  <c r="D88" i="6"/>
  <c r="K81" i="6"/>
  <c r="J81" i="6"/>
  <c r="I81" i="6"/>
  <c r="F81" i="6"/>
  <c r="E81" i="6"/>
  <c r="D81" i="6"/>
  <c r="K80" i="6"/>
  <c r="J80" i="6"/>
  <c r="I80" i="6"/>
  <c r="F80" i="6"/>
  <c r="E80" i="6"/>
  <c r="D80" i="6"/>
  <c r="K79" i="6"/>
  <c r="J79" i="6"/>
  <c r="I79" i="6"/>
  <c r="F79" i="6"/>
  <c r="E79" i="6"/>
  <c r="D79" i="6"/>
  <c r="K78" i="6"/>
  <c r="J78" i="6"/>
  <c r="I78" i="6"/>
  <c r="F78" i="6"/>
  <c r="E78" i="6"/>
  <c r="D78" i="6"/>
  <c r="F77" i="6"/>
  <c r="E77" i="6"/>
  <c r="K74" i="6"/>
  <c r="J74" i="6"/>
  <c r="I74" i="6"/>
  <c r="F74" i="6"/>
  <c r="E74" i="6"/>
  <c r="D74" i="6"/>
  <c r="E73" i="6"/>
  <c r="D73" i="6"/>
  <c r="K72" i="6"/>
  <c r="J72" i="6"/>
  <c r="F72" i="6"/>
  <c r="E72" i="6"/>
  <c r="D72" i="6"/>
  <c r="K71" i="6"/>
  <c r="J71" i="6"/>
  <c r="I71" i="6"/>
  <c r="F71" i="6"/>
  <c r="E71" i="6"/>
  <c r="D71" i="6"/>
  <c r="F70" i="6"/>
  <c r="E70" i="6"/>
  <c r="D70" i="6"/>
  <c r="F67" i="6"/>
  <c r="E67" i="6"/>
  <c r="D67" i="6"/>
  <c r="K66" i="6"/>
  <c r="J66" i="6"/>
  <c r="I66" i="6"/>
  <c r="F66" i="6"/>
  <c r="E66" i="6"/>
  <c r="D66" i="6"/>
  <c r="K63" i="6"/>
  <c r="J63" i="6"/>
  <c r="I63" i="6"/>
  <c r="F63" i="6"/>
  <c r="E63" i="6"/>
  <c r="D63" i="6"/>
  <c r="K62" i="6"/>
  <c r="J62" i="6"/>
  <c r="I62" i="6"/>
  <c r="F62" i="6"/>
  <c r="E62" i="6"/>
  <c r="D62" i="6"/>
  <c r="F59" i="6"/>
  <c r="E59" i="6"/>
  <c r="D59" i="6"/>
  <c r="F54" i="6"/>
  <c r="E54" i="6"/>
  <c r="K54" i="6"/>
  <c r="J54" i="6"/>
  <c r="I54" i="6"/>
  <c r="F58" i="6"/>
  <c r="E58" i="6"/>
  <c r="D58" i="6"/>
  <c r="F53" i="6"/>
  <c r="E53" i="6"/>
  <c r="D53" i="6"/>
  <c r="F52" i="6"/>
  <c r="E52" i="6"/>
  <c r="D52" i="6"/>
  <c r="F48" i="6"/>
  <c r="E48" i="6"/>
  <c r="D48" i="6"/>
  <c r="F47" i="6"/>
  <c r="E47" i="6"/>
  <c r="D47" i="6"/>
  <c r="F46" i="6"/>
  <c r="E46" i="6"/>
  <c r="D46" i="6"/>
  <c r="F45" i="6"/>
  <c r="E45" i="6"/>
  <c r="D45" i="6"/>
  <c r="F44" i="6"/>
  <c r="E44" i="6"/>
  <c r="D44" i="6"/>
  <c r="F43" i="6"/>
  <c r="E43" i="6"/>
  <c r="D43" i="6"/>
  <c r="F42" i="6"/>
  <c r="E42" i="6"/>
  <c r="D42" i="6"/>
  <c r="F37" i="6"/>
  <c r="E37" i="6"/>
  <c r="D37" i="6"/>
  <c r="F36" i="6"/>
  <c r="E36" i="6"/>
  <c r="D36" i="6"/>
  <c r="F35" i="6"/>
  <c r="E35" i="6"/>
  <c r="D35" i="6"/>
  <c r="F34" i="6"/>
  <c r="E34" i="6"/>
  <c r="D34" i="6"/>
  <c r="E33" i="6"/>
  <c r="D33" i="6"/>
  <c r="F30" i="6"/>
  <c r="E30" i="6"/>
  <c r="D30" i="6"/>
  <c r="F29" i="6"/>
  <c r="E29" i="6"/>
  <c r="D29" i="6"/>
  <c r="F26" i="6"/>
  <c r="E26" i="6"/>
  <c r="D26" i="6"/>
  <c r="F25" i="6"/>
  <c r="E25" i="6"/>
  <c r="D25" i="6"/>
  <c r="E24" i="6"/>
  <c r="F23" i="6"/>
  <c r="E23" i="6"/>
  <c r="D23" i="6"/>
  <c r="F22" i="6"/>
  <c r="E22" i="6"/>
  <c r="D22" i="6"/>
  <c r="F21" i="6"/>
  <c r="E21" i="6"/>
  <c r="D21" i="6"/>
  <c r="F20" i="6"/>
  <c r="E20" i="6"/>
  <c r="D20" i="6"/>
  <c r="F19" i="6"/>
  <c r="E19" i="6"/>
  <c r="D19" i="6"/>
  <c r="F16" i="6"/>
  <c r="E16" i="6"/>
  <c r="D16" i="6"/>
  <c r="E15" i="6"/>
  <c r="D15" i="6"/>
  <c r="F14" i="6"/>
  <c r="E14" i="6"/>
  <c r="D14" i="6"/>
  <c r="F11" i="6"/>
  <c r="E11" i="6"/>
  <c r="D11" i="6"/>
  <c r="E10" i="6"/>
  <c r="D10" i="6"/>
  <c r="K48" i="6"/>
  <c r="J48" i="6"/>
  <c r="I48" i="6"/>
  <c r="K47" i="6"/>
  <c r="J47" i="6"/>
  <c r="I47" i="6"/>
  <c r="K46" i="6"/>
  <c r="J46" i="6"/>
  <c r="I46" i="6"/>
  <c r="K45" i="6"/>
  <c r="J45" i="6"/>
  <c r="I45" i="6"/>
  <c r="K44" i="6"/>
  <c r="J44" i="6"/>
  <c r="I44" i="6"/>
  <c r="K43" i="6"/>
  <c r="J43" i="6"/>
  <c r="I43" i="6"/>
  <c r="K42" i="6"/>
  <c r="J42" i="6"/>
  <c r="I42" i="6"/>
  <c r="K37" i="6"/>
  <c r="J37" i="6"/>
  <c r="I37" i="6"/>
  <c r="K36" i="6"/>
  <c r="J36" i="6"/>
  <c r="I36" i="6"/>
  <c r="K35" i="6"/>
  <c r="J35" i="6"/>
  <c r="I35" i="6"/>
  <c r="K30" i="6"/>
  <c r="J30" i="6"/>
  <c r="I30" i="6"/>
  <c r="K26" i="6"/>
  <c r="J26" i="6"/>
  <c r="I26" i="6"/>
  <c r="K25" i="6"/>
  <c r="J25" i="6"/>
  <c r="I25" i="6"/>
  <c r="K23" i="6"/>
  <c r="J23" i="6"/>
  <c r="I23" i="6"/>
  <c r="K22" i="6"/>
  <c r="J22" i="6"/>
  <c r="I22" i="6"/>
  <c r="K21" i="6"/>
  <c r="J21" i="6"/>
  <c r="I21" i="6"/>
  <c r="N152" i="1"/>
  <c r="J32" i="3"/>
  <c r="G33" i="3"/>
  <c r="J33" i="3" s="1"/>
  <c r="S257" i="1" l="1"/>
  <c r="T257" i="1" s="1"/>
  <c r="L391" i="1"/>
  <c r="L392" i="1" s="1"/>
  <c r="K6" i="33"/>
  <c r="F375" i="10"/>
  <c r="G47" i="10"/>
  <c r="F57" i="10" s="1"/>
  <c r="L388" i="1"/>
  <c r="F493" i="10"/>
  <c r="L396" i="1"/>
  <c r="G16" i="6"/>
  <c r="K4" i="9" s="1"/>
  <c r="F475" i="18"/>
  <c r="F550" i="10"/>
  <c r="F535" i="10"/>
  <c r="F536" i="10"/>
  <c r="F537" i="10"/>
  <c r="K15" i="1"/>
  <c r="F10" i="6" s="1"/>
  <c r="F9" i="6" s="1"/>
  <c r="I319" i="10"/>
  <c r="I327" i="10"/>
  <c r="F270" i="10"/>
  <c r="K53" i="1"/>
  <c r="L69" i="1"/>
  <c r="F243" i="10" s="1"/>
  <c r="F244" i="10" s="1"/>
  <c r="F49" i="10"/>
  <c r="L271" i="1"/>
  <c r="I209" i="1"/>
  <c r="F554" i="10"/>
  <c r="F32" i="10"/>
  <c r="K14" i="33"/>
  <c r="K10" i="33"/>
  <c r="K16" i="33"/>
  <c r="K17" i="33"/>
  <c r="K13" i="33"/>
  <c r="K12" i="33"/>
  <c r="F395" i="10"/>
  <c r="F392" i="10"/>
  <c r="S242" i="1"/>
  <c r="T242" i="1" s="1"/>
  <c r="L171" i="1"/>
  <c r="L313" i="1"/>
  <c r="I302" i="1"/>
  <c r="K358" i="10"/>
  <c r="D13" i="7"/>
  <c r="D9" i="7"/>
  <c r="G9" i="7" s="1"/>
  <c r="G88" i="6"/>
  <c r="F310" i="10" s="1"/>
  <c r="L127" i="1"/>
  <c r="F95" i="6"/>
  <c r="D19" i="7"/>
  <c r="D20" i="7"/>
  <c r="K162" i="1"/>
  <c r="K161" i="1" s="1"/>
  <c r="L163" i="1"/>
  <c r="F402" i="10" s="1"/>
  <c r="F552" i="10"/>
  <c r="F555" i="10"/>
  <c r="F532" i="10"/>
  <c r="F551" i="10"/>
  <c r="F549" i="10"/>
  <c r="F538" i="10"/>
  <c r="F557" i="10"/>
  <c r="F534" i="10"/>
  <c r="F558" i="10"/>
  <c r="F206" i="18"/>
  <c r="F207" i="18" s="1"/>
  <c r="F187" i="10"/>
  <c r="F249" i="10"/>
  <c r="F251" i="10" s="1"/>
  <c r="F30" i="10"/>
  <c r="B8" i="33" s="1"/>
  <c r="F12" i="49"/>
  <c r="G18" i="49"/>
  <c r="D24" i="49" s="1"/>
  <c r="E13" i="49"/>
  <c r="L262" i="1"/>
  <c r="K142" i="22" s="1"/>
  <c r="J141" i="22" s="1"/>
  <c r="H12" i="49"/>
  <c r="F378" i="10"/>
  <c r="G77" i="6"/>
  <c r="H51" i="10"/>
  <c r="K259" i="1"/>
  <c r="L259" i="1" s="1"/>
  <c r="G109" i="6"/>
  <c r="J149" i="22"/>
  <c r="K150" i="22" s="1"/>
  <c r="L150" i="22" s="1"/>
  <c r="AW231" i="1" s="1"/>
  <c r="BN22" i="1"/>
  <c r="L138" i="22"/>
  <c r="D9" i="33"/>
  <c r="E9" i="33" s="1"/>
  <c r="D8" i="33"/>
  <c r="D17" i="33"/>
  <c r="E17" i="33" s="1"/>
  <c r="B19" i="33"/>
  <c r="E19" i="33" s="1"/>
  <c r="I321" i="10"/>
  <c r="I317" i="10"/>
  <c r="I320" i="10"/>
  <c r="G324" i="10"/>
  <c r="G323" i="18" s="1"/>
  <c r="I323" i="18" s="1"/>
  <c r="F486" i="10"/>
  <c r="F574" i="10"/>
  <c r="F505" i="10"/>
  <c r="F506" i="10"/>
  <c r="F507" i="10"/>
  <c r="F143" i="10"/>
  <c r="F490" i="10"/>
  <c r="B12" i="33"/>
  <c r="E12" i="33" s="1"/>
  <c r="F572" i="10"/>
  <c r="F374" i="10"/>
  <c r="F360" i="10"/>
  <c r="F357" i="10"/>
  <c r="M156" i="10"/>
  <c r="F157" i="10"/>
  <c r="L210" i="1"/>
  <c r="F503" i="10"/>
  <c r="F487" i="10"/>
  <c r="F573" i="10"/>
  <c r="F568" i="10"/>
  <c r="F371" i="10"/>
  <c r="F488" i="10"/>
  <c r="F158" i="10"/>
  <c r="F376" i="10"/>
  <c r="F489" i="10"/>
  <c r="L236" i="1"/>
  <c r="F81" i="10"/>
  <c r="E10" i="7"/>
  <c r="E17" i="7" s="1"/>
  <c r="E23" i="7" s="1"/>
  <c r="E28" i="7" s="1"/>
  <c r="F10" i="7"/>
  <c r="S263" i="1"/>
  <c r="T263" i="1" s="1"/>
  <c r="S264" i="1"/>
  <c r="T264" i="1" s="1"/>
  <c r="S205" i="1"/>
  <c r="T205" i="1" s="1"/>
  <c r="D15" i="7"/>
  <c r="G15" i="7" s="1"/>
  <c r="L252" i="1"/>
  <c r="L383" i="1" s="1"/>
  <c r="D6" i="7"/>
  <c r="D12" i="7"/>
  <c r="G12" i="7" s="1"/>
  <c r="L199" i="1"/>
  <c r="D16" i="7"/>
  <c r="G16" i="7" s="1"/>
  <c r="L195" i="1"/>
  <c r="L306" i="1"/>
  <c r="L54" i="6"/>
  <c r="G54" i="6"/>
  <c r="E87" i="6"/>
  <c r="J103" i="6"/>
  <c r="N56" i="6"/>
  <c r="E103" i="6"/>
  <c r="D51" i="6"/>
  <c r="D87" i="6"/>
  <c r="D103" i="6"/>
  <c r="D133" i="6"/>
  <c r="D120" i="6" s="1"/>
  <c r="D118" i="6" s="1"/>
  <c r="F103" i="6"/>
  <c r="N55" i="6"/>
  <c r="K103" i="6"/>
  <c r="J61" i="6"/>
  <c r="F76" i="6"/>
  <c r="L89" i="6"/>
  <c r="L93" i="6"/>
  <c r="L99" i="6"/>
  <c r="L101" i="6"/>
  <c r="L105" i="6"/>
  <c r="L107" i="6"/>
  <c r="L109" i="6"/>
  <c r="L111" i="6"/>
  <c r="I103" i="6"/>
  <c r="L22" i="6"/>
  <c r="L112" i="6"/>
  <c r="L116" i="6"/>
  <c r="L123" i="6"/>
  <c r="L125" i="6"/>
  <c r="L127" i="6"/>
  <c r="L129" i="6"/>
  <c r="L131" i="6"/>
  <c r="L137" i="6"/>
  <c r="L141" i="6"/>
  <c r="G22" i="6"/>
  <c r="G26" i="6"/>
  <c r="G34" i="6"/>
  <c r="Q4" i="9" s="1"/>
  <c r="G42" i="6"/>
  <c r="G46" i="6"/>
  <c r="E9" i="6"/>
  <c r="E41" i="6"/>
  <c r="E51" i="6"/>
  <c r="L26" i="6"/>
  <c r="I41" i="6"/>
  <c r="E28" i="6"/>
  <c r="G36" i="6"/>
  <c r="G44" i="6"/>
  <c r="G113" i="6"/>
  <c r="G115" i="6"/>
  <c r="F51" i="6"/>
  <c r="E76" i="6"/>
  <c r="J41" i="6"/>
  <c r="F41" i="6"/>
  <c r="F121" i="6"/>
  <c r="K41" i="6"/>
  <c r="G11" i="6"/>
  <c r="G19" i="6"/>
  <c r="F103" i="10" s="1"/>
  <c r="G23" i="6"/>
  <c r="G29" i="6"/>
  <c r="G35" i="6"/>
  <c r="G43" i="6"/>
  <c r="L115" i="6"/>
  <c r="E18" i="6"/>
  <c r="G72" i="6"/>
  <c r="G74" i="6"/>
  <c r="G78" i="6"/>
  <c r="G80" i="6"/>
  <c r="F28" i="6"/>
  <c r="G110" i="6"/>
  <c r="G116" i="6"/>
  <c r="G123" i="6"/>
  <c r="G125" i="6"/>
  <c r="G127" i="6"/>
  <c r="G129" i="6"/>
  <c r="G131" i="6"/>
  <c r="G137" i="6"/>
  <c r="G141" i="6"/>
  <c r="L30" i="6"/>
  <c r="L36" i="6"/>
  <c r="L44" i="6"/>
  <c r="L48" i="6"/>
  <c r="E13" i="6"/>
  <c r="L74" i="6"/>
  <c r="L78" i="6"/>
  <c r="L80" i="6"/>
  <c r="L110" i="6"/>
  <c r="D32" i="6"/>
  <c r="L21" i="6"/>
  <c r="E32" i="6"/>
  <c r="G71" i="6"/>
  <c r="G79" i="6"/>
  <c r="G81" i="6"/>
  <c r="L108" i="6"/>
  <c r="G33" i="6"/>
  <c r="P4" i="9" s="1"/>
  <c r="G63" i="6"/>
  <c r="G89" i="6"/>
  <c r="G91" i="6"/>
  <c r="G93" i="6"/>
  <c r="G97" i="6"/>
  <c r="G99" i="6"/>
  <c r="G101" i="6"/>
  <c r="G105" i="6"/>
  <c r="L114" i="6"/>
  <c r="G14" i="6"/>
  <c r="I4" i="9" s="1"/>
  <c r="G20" i="6"/>
  <c r="G30" i="6"/>
  <c r="G48" i="6"/>
  <c r="F61" i="6"/>
  <c r="E65" i="6"/>
  <c r="E69" i="6"/>
  <c r="G90" i="6"/>
  <c r="G92" i="6"/>
  <c r="F350" i="10" s="1"/>
  <c r="G94" i="6"/>
  <c r="G98" i="6"/>
  <c r="G100" i="6"/>
  <c r="G104" i="6"/>
  <c r="G106" i="6"/>
  <c r="G108" i="6"/>
  <c r="G122" i="6"/>
  <c r="G124" i="6"/>
  <c r="G441" i="10" s="1"/>
  <c r="G126" i="6"/>
  <c r="G128" i="6"/>
  <c r="G130" i="6"/>
  <c r="G132" i="6"/>
  <c r="G134" i="6"/>
  <c r="G136" i="6"/>
  <c r="G140" i="6"/>
  <c r="D13" i="6"/>
  <c r="L66" i="6"/>
  <c r="L62" i="6"/>
  <c r="I61" i="6"/>
  <c r="F65" i="6"/>
  <c r="L113" i="6"/>
  <c r="E121" i="6"/>
  <c r="F32" i="6"/>
  <c r="G21" i="6"/>
  <c r="G25" i="6"/>
  <c r="G37" i="6"/>
  <c r="G45" i="6"/>
  <c r="K61" i="6"/>
  <c r="L94" i="6"/>
  <c r="L98" i="6"/>
  <c r="L100" i="6"/>
  <c r="L104" i="6"/>
  <c r="L106" i="6"/>
  <c r="G112" i="6"/>
  <c r="L126" i="6"/>
  <c r="L128" i="6"/>
  <c r="L130" i="6"/>
  <c r="L132" i="6"/>
  <c r="L136" i="6"/>
  <c r="L140" i="6"/>
  <c r="G114" i="6"/>
  <c r="D9" i="6"/>
  <c r="D28" i="6"/>
  <c r="G67" i="6"/>
  <c r="F271" i="10" s="1"/>
  <c r="G59" i="6"/>
  <c r="H229" i="10" s="1"/>
  <c r="G107" i="6"/>
  <c r="L63" i="6"/>
  <c r="L71" i="6"/>
  <c r="L79" i="6"/>
  <c r="L81" i="6"/>
  <c r="G111" i="6"/>
  <c r="D18" i="6"/>
  <c r="D41" i="6"/>
  <c r="G62" i="6"/>
  <c r="D61" i="6"/>
  <c r="D76" i="6"/>
  <c r="G47" i="6"/>
  <c r="E61" i="6"/>
  <c r="G66" i="6"/>
  <c r="D65" i="6"/>
  <c r="G70" i="6"/>
  <c r="F285" i="10" s="1"/>
  <c r="D69" i="6"/>
  <c r="D121" i="6"/>
  <c r="F57" i="6"/>
  <c r="D57" i="6"/>
  <c r="E57" i="6"/>
  <c r="D54" i="6"/>
  <c r="G58" i="6"/>
  <c r="H224" i="10" s="1"/>
  <c r="G53" i="6"/>
  <c r="G52" i="6"/>
  <c r="K200" i="10" s="1"/>
  <c r="L42" i="6"/>
  <c r="L46" i="6"/>
  <c r="L23" i="6"/>
  <c r="L35" i="6"/>
  <c r="L43" i="6"/>
  <c r="L47" i="6"/>
  <c r="L25" i="6"/>
  <c r="L37" i="6"/>
  <c r="L45" i="6"/>
  <c r="H57" i="10" l="1"/>
  <c r="L382" i="1"/>
  <c r="L384" i="1" s="1"/>
  <c r="F501" i="10"/>
  <c r="G49" i="10"/>
  <c r="G48" i="18"/>
  <c r="F246" i="10"/>
  <c r="F83" i="10"/>
  <c r="K207" i="10"/>
  <c r="F62" i="18"/>
  <c r="F60" i="18"/>
  <c r="F567" i="10"/>
  <c r="AE16" i="9" s="1"/>
  <c r="F188" i="10"/>
  <c r="F189" i="10"/>
  <c r="G10" i="6"/>
  <c r="G4" i="9" s="1"/>
  <c r="G55" i="9" s="1"/>
  <c r="F546" i="10"/>
  <c r="E9" i="49"/>
  <c r="E18" i="49" s="1"/>
  <c r="D22" i="49" s="1"/>
  <c r="F525" i="10"/>
  <c r="F548" i="10"/>
  <c r="F547" i="10" s="1"/>
  <c r="F603" i="10" s="1"/>
  <c r="L15" i="1"/>
  <c r="F539" i="10"/>
  <c r="AF4" i="9"/>
  <c r="K419" i="10"/>
  <c r="L211" i="10"/>
  <c r="Z4" i="9"/>
  <c r="F253" i="10"/>
  <c r="L53" i="1"/>
  <c r="G394" i="10" s="1"/>
  <c r="F51" i="10"/>
  <c r="M49" i="10"/>
  <c r="B18" i="33"/>
  <c r="F593" i="10"/>
  <c r="F597" i="18"/>
  <c r="M152" i="10"/>
  <c r="F82" i="10"/>
  <c r="K25" i="1"/>
  <c r="K268" i="1"/>
  <c r="L268" i="1" s="1"/>
  <c r="F362" i="10"/>
  <c r="L126" i="1"/>
  <c r="S262" i="1"/>
  <c r="T262" i="1" s="1"/>
  <c r="F409" i="10"/>
  <c r="F403" i="10"/>
  <c r="F410" i="10" s="1"/>
  <c r="G95" i="6"/>
  <c r="D21" i="7"/>
  <c r="L162" i="1"/>
  <c r="L161" i="1" s="1"/>
  <c r="F592" i="18"/>
  <c r="H171" i="22"/>
  <c r="F553" i="10"/>
  <c r="F16" i="49"/>
  <c r="M16" i="49" s="1"/>
  <c r="M13" i="49"/>
  <c r="L141" i="22"/>
  <c r="H18" i="49"/>
  <c r="D25" i="49" s="1"/>
  <c r="M12" i="49"/>
  <c r="AW186" i="1"/>
  <c r="AW57" i="1"/>
  <c r="AW46" i="1"/>
  <c r="AW56" i="1"/>
  <c r="L149" i="22"/>
  <c r="AW197" i="1" s="1"/>
  <c r="F577" i="18"/>
  <c r="AJ4" i="9"/>
  <c r="AC4" i="9"/>
  <c r="L167" i="22"/>
  <c r="AW204" i="1" s="1"/>
  <c r="K168" i="22"/>
  <c r="L168" i="22" s="1"/>
  <c r="AW232" i="1" s="1"/>
  <c r="E8" i="33"/>
  <c r="M51" i="10"/>
  <c r="B11" i="33"/>
  <c r="E11" i="33" s="1"/>
  <c r="H4" i="9"/>
  <c r="H55" i="9" s="1"/>
  <c r="B10" i="33"/>
  <c r="E10" i="33" s="1"/>
  <c r="S4" i="9"/>
  <c r="G6" i="7"/>
  <c r="D43" i="7"/>
  <c r="I318" i="10"/>
  <c r="I325" i="10" s="1"/>
  <c r="I328" i="10"/>
  <c r="I331" i="10" s="1"/>
  <c r="F571" i="10"/>
  <c r="G410" i="10"/>
  <c r="AG3" i="9"/>
  <c r="R4" i="9"/>
  <c r="AG4" i="9"/>
  <c r="U4" i="9"/>
  <c r="AB4" i="9"/>
  <c r="F286" i="10"/>
  <c r="X4" i="9"/>
  <c r="AI4" i="9"/>
  <c r="V4" i="9"/>
  <c r="F441" i="10"/>
  <c r="AH4" i="9"/>
  <c r="L4" i="9"/>
  <c r="T4" i="9"/>
  <c r="AD4" i="9"/>
  <c r="W4" i="9"/>
  <c r="F125" i="10"/>
  <c r="M4" i="9"/>
  <c r="AA4" i="9"/>
  <c r="O4" i="9"/>
  <c r="F485" i="10"/>
  <c r="G81" i="10"/>
  <c r="G82" i="10" s="1"/>
  <c r="D8" i="7"/>
  <c r="D10" i="7" s="1"/>
  <c r="D17" i="7" s="1"/>
  <c r="N54" i="6"/>
  <c r="N25" i="6"/>
  <c r="N98" i="6"/>
  <c r="N42" i="6"/>
  <c r="N100" i="6"/>
  <c r="E85" i="6"/>
  <c r="N140" i="6"/>
  <c r="N136" i="6"/>
  <c r="N126" i="6"/>
  <c r="N110" i="6"/>
  <c r="N130" i="6"/>
  <c r="N128" i="6"/>
  <c r="N46" i="6"/>
  <c r="N37" i="6"/>
  <c r="N113" i="6"/>
  <c r="N112" i="6"/>
  <c r="D85" i="6"/>
  <c r="D143" i="6" s="1"/>
  <c r="G61" i="6"/>
  <c r="N44" i="6"/>
  <c r="N93" i="6"/>
  <c r="N80" i="6"/>
  <c r="N94" i="6"/>
  <c r="N71" i="6"/>
  <c r="N45" i="6"/>
  <c r="N123" i="6"/>
  <c r="G28" i="6"/>
  <c r="N129" i="6"/>
  <c r="F50" i="6"/>
  <c r="N23" i="6"/>
  <c r="N36" i="6"/>
  <c r="N47" i="6"/>
  <c r="N114" i="6"/>
  <c r="N115" i="6"/>
  <c r="N116" i="6"/>
  <c r="N81" i="6"/>
  <c r="N108" i="6"/>
  <c r="N78" i="6"/>
  <c r="N79" i="6"/>
  <c r="N74" i="6"/>
  <c r="N26" i="6"/>
  <c r="N141" i="6"/>
  <c r="N89" i="6"/>
  <c r="N62" i="6"/>
  <c r="N111" i="6"/>
  <c r="N132" i="6"/>
  <c r="N137" i="6"/>
  <c r="N22" i="6"/>
  <c r="N43" i="6"/>
  <c r="N35" i="6"/>
  <c r="N48" i="6"/>
  <c r="N109" i="6"/>
  <c r="N131" i="6"/>
  <c r="N107" i="6"/>
  <c r="N105" i="6"/>
  <c r="N106" i="6"/>
  <c r="N66" i="6"/>
  <c r="N104" i="6"/>
  <c r="L103" i="6"/>
  <c r="G103" i="6"/>
  <c r="N63" i="6"/>
  <c r="N21" i="6"/>
  <c r="N30" i="6"/>
  <c r="N127" i="6"/>
  <c r="N101" i="6"/>
  <c r="N125" i="6"/>
  <c r="N99" i="6"/>
  <c r="E50" i="6"/>
  <c r="E39" i="6" s="1"/>
  <c r="G65" i="6"/>
  <c r="E7" i="6"/>
  <c r="G57" i="6"/>
  <c r="H233" i="10" s="1"/>
  <c r="G41" i="6"/>
  <c r="D7" i="6"/>
  <c r="G121" i="6"/>
  <c r="D50" i="6"/>
  <c r="D39" i="6" s="1"/>
  <c r="G76" i="6"/>
  <c r="G32" i="6"/>
  <c r="L41" i="6"/>
  <c r="L61" i="6"/>
  <c r="G51" i="6"/>
  <c r="K211" i="10" s="1"/>
  <c r="AW236" i="1" l="1"/>
  <c r="Q12" i="7" s="1"/>
  <c r="G50" i="18"/>
  <c r="F560" i="10"/>
  <c r="F64" i="18"/>
  <c r="F163" i="10"/>
  <c r="J396" i="10"/>
  <c r="F15" i="6"/>
  <c r="G15" i="6" s="1"/>
  <c r="H52" i="10" s="1"/>
  <c r="G9" i="6"/>
  <c r="M9" i="49"/>
  <c r="N9" i="49" s="1"/>
  <c r="S268" i="1"/>
  <c r="T268" i="1" s="1"/>
  <c r="F31" i="10"/>
  <c r="F33" i="10" s="1"/>
  <c r="F541" i="10"/>
  <c r="F144" i="10"/>
  <c r="F601" i="18"/>
  <c r="G2" i="12"/>
  <c r="G3" i="12" s="1"/>
  <c r="G4" i="12" s="1"/>
  <c r="F495" i="10"/>
  <c r="F570" i="10"/>
  <c r="F72" i="10"/>
  <c r="F73" i="10" s="1"/>
  <c r="H65" i="10" s="1"/>
  <c r="L25" i="1"/>
  <c r="D23" i="7"/>
  <c r="D28" i="7" s="1"/>
  <c r="D14" i="7"/>
  <c r="G14" i="7" s="1"/>
  <c r="L142" i="22"/>
  <c r="AE25" i="9"/>
  <c r="E25" i="9" s="1"/>
  <c r="E22" i="8" s="1"/>
  <c r="G22" i="8" s="1"/>
  <c r="I172" i="22"/>
  <c r="L172" i="22" s="1"/>
  <c r="L171" i="22"/>
  <c r="AW163" i="1" s="1"/>
  <c r="F18" i="49"/>
  <c r="D23" i="49" s="1"/>
  <c r="D30" i="49" s="1"/>
  <c r="F65" i="10"/>
  <c r="N13" i="49"/>
  <c r="N16" i="49"/>
  <c r="AW187" i="1"/>
  <c r="Q24" i="6"/>
  <c r="Q18" i="6" s="1"/>
  <c r="AW135" i="1"/>
  <c r="AW159" i="1"/>
  <c r="G8" i="7"/>
  <c r="G10" i="7" s="1"/>
  <c r="F508" i="10"/>
  <c r="F510" i="10" s="1"/>
  <c r="N15" i="9"/>
  <c r="E15" i="9" s="1"/>
  <c r="E12" i="8" s="1"/>
  <c r="G12" i="8" s="1"/>
  <c r="AG5" i="9"/>
  <c r="AG22" i="9" s="1"/>
  <c r="AG6" i="9" s="1"/>
  <c r="E55" i="9"/>
  <c r="E52" i="8" s="1"/>
  <c r="F14" i="10"/>
  <c r="F14" i="18" s="1"/>
  <c r="N61" i="6"/>
  <c r="N41" i="6"/>
  <c r="D83" i="6"/>
  <c r="D145" i="6" s="1"/>
  <c r="E83" i="6"/>
  <c r="N103" i="6"/>
  <c r="G50" i="6"/>
  <c r="G6" i="12" l="1"/>
  <c r="G5" i="12"/>
  <c r="AW96" i="1"/>
  <c r="Q77" i="6" s="1"/>
  <c r="AW99" i="1"/>
  <c r="Q81" i="6" s="1"/>
  <c r="F522" i="10"/>
  <c r="G392" i="10"/>
  <c r="F13" i="6"/>
  <c r="F35" i="10"/>
  <c r="N12" i="49"/>
  <c r="M18" i="49"/>
  <c r="AW262" i="1"/>
  <c r="Q14" i="7" s="1"/>
  <c r="I490" i="10"/>
  <c r="J490" i="10" s="1"/>
  <c r="I492" i="10"/>
  <c r="J492" i="10" s="1"/>
  <c r="I493" i="10"/>
  <c r="J493" i="10" s="1"/>
  <c r="I491" i="10"/>
  <c r="J491" i="10" s="1"/>
  <c r="I487" i="10"/>
  <c r="J487" i="10" s="1"/>
  <c r="I489" i="10"/>
  <c r="J489" i="10" s="1"/>
  <c r="F496" i="10"/>
  <c r="I485" i="10"/>
  <c r="J485" i="10" s="1"/>
  <c r="I488" i="10"/>
  <c r="J488" i="10" s="1"/>
  <c r="F518" i="10"/>
  <c r="F526" i="18" s="1"/>
  <c r="F521" i="10"/>
  <c r="F517" i="10"/>
  <c r="I486" i="10"/>
  <c r="J486" i="10" s="1"/>
  <c r="I515" i="10"/>
  <c r="I520" i="10"/>
  <c r="F520" i="10"/>
  <c r="F515" i="10"/>
  <c r="I517" i="10"/>
  <c r="I516" i="10"/>
  <c r="F519" i="10"/>
  <c r="I521" i="10"/>
  <c r="I518" i="10"/>
  <c r="I519" i="10"/>
  <c r="I522" i="10"/>
  <c r="F516" i="10"/>
  <c r="F524" i="18" s="1"/>
  <c r="H524" i="18" s="1"/>
  <c r="F505" i="18" s="1"/>
  <c r="F75" i="10"/>
  <c r="D40" i="7"/>
  <c r="D41" i="7" s="1"/>
  <c r="F562" i="10"/>
  <c r="E16" i="9"/>
  <c r="E13" i="8" s="1"/>
  <c r="G13" i="8" s="1"/>
  <c r="AW162" i="1"/>
  <c r="AW161" i="1" s="1"/>
  <c r="Q109" i="6"/>
  <c r="G13" i="6"/>
  <c r="J4" i="9"/>
  <c r="Q6" i="7"/>
  <c r="F529" i="18" l="1"/>
  <c r="H529" i="18" s="1"/>
  <c r="F509" i="18" s="1"/>
  <c r="H526" i="18"/>
  <c r="F506" i="18" s="1"/>
  <c r="F530" i="18"/>
  <c r="H530" i="18" s="1"/>
  <c r="F511" i="18" s="1"/>
  <c r="F527" i="18"/>
  <c r="H527" i="18" s="1"/>
  <c r="F507" i="18" s="1"/>
  <c r="F528" i="18"/>
  <c r="H528" i="18" s="1"/>
  <c r="Q76" i="6"/>
  <c r="G393" i="10"/>
  <c r="F523" i="18"/>
  <c r="F605" i="10"/>
  <c r="F523" i="10"/>
  <c r="Q103" i="6"/>
  <c r="F525" i="18"/>
  <c r="Q8" i="7"/>
  <c r="J350" i="1"/>
  <c r="I350" i="1"/>
  <c r="L166" i="1"/>
  <c r="K166" i="1"/>
  <c r="J166" i="1"/>
  <c r="I166" i="1"/>
  <c r="L123" i="1"/>
  <c r="K123" i="1"/>
  <c r="J123" i="1"/>
  <c r="I123" i="1"/>
  <c r="L120" i="1"/>
  <c r="K120" i="1"/>
  <c r="J120" i="1"/>
  <c r="I120" i="1"/>
  <c r="L106" i="1"/>
  <c r="K106" i="1"/>
  <c r="J106" i="1"/>
  <c r="I106" i="1"/>
  <c r="N42" i="1"/>
  <c r="L86" i="1"/>
  <c r="K86" i="1"/>
  <c r="J86" i="1"/>
  <c r="I86" i="1"/>
  <c r="I81" i="1" s="1"/>
  <c r="I75" i="1" s="1"/>
  <c r="L81" i="1"/>
  <c r="L75" i="1" s="1"/>
  <c r="K81" i="1"/>
  <c r="K75" i="1" s="1"/>
  <c r="J81" i="1"/>
  <c r="J75" i="1" s="1"/>
  <c r="L17" i="1"/>
  <c r="K17" i="1"/>
  <c r="J17" i="1"/>
  <c r="I17" i="1"/>
  <c r="K134" i="6"/>
  <c r="K124" i="6"/>
  <c r="P124" i="1"/>
  <c r="K70" i="6"/>
  <c r="K59" i="6"/>
  <c r="K58" i="6"/>
  <c r="K53" i="6"/>
  <c r="K34" i="6"/>
  <c r="J20" i="7"/>
  <c r="J14" i="7"/>
  <c r="J134" i="6"/>
  <c r="J124" i="6"/>
  <c r="J73" i="6"/>
  <c r="J70" i="6"/>
  <c r="J59" i="6"/>
  <c r="J58" i="6"/>
  <c r="J53" i="6"/>
  <c r="O64" i="1"/>
  <c r="J15" i="6"/>
  <c r="H4" i="3"/>
  <c r="F4" i="3"/>
  <c r="J129" i="3"/>
  <c r="K73" i="6" s="1"/>
  <c r="I130" i="3"/>
  <c r="J130" i="3" s="1"/>
  <c r="E130" i="3"/>
  <c r="E129" i="3"/>
  <c r="J125" i="3"/>
  <c r="G126" i="3"/>
  <c r="J126" i="3" s="1"/>
  <c r="E126" i="3"/>
  <c r="E125" i="3"/>
  <c r="J122" i="3"/>
  <c r="J121" i="3"/>
  <c r="J120" i="3"/>
  <c r="E122" i="3"/>
  <c r="E121" i="3"/>
  <c r="E120" i="3"/>
  <c r="J116" i="3"/>
  <c r="G117" i="3"/>
  <c r="J117" i="3" s="1"/>
  <c r="E117" i="3"/>
  <c r="E116" i="3"/>
  <c r="J112" i="3"/>
  <c r="G113" i="3"/>
  <c r="J113" i="3" s="1"/>
  <c r="E113" i="3"/>
  <c r="E112" i="3"/>
  <c r="J108" i="3"/>
  <c r="I109" i="3"/>
  <c r="J109" i="3" s="1"/>
  <c r="E109" i="3"/>
  <c r="E108" i="3"/>
  <c r="J104" i="3"/>
  <c r="I105" i="3"/>
  <c r="J105" i="3" s="1"/>
  <c r="K14" i="7" s="1"/>
  <c r="E105" i="3"/>
  <c r="E104" i="3"/>
  <c r="G101" i="3"/>
  <c r="J101" i="3" s="1"/>
  <c r="E101" i="3"/>
  <c r="E100" i="3"/>
  <c r="J96" i="3"/>
  <c r="G97" i="3"/>
  <c r="J97" i="3" s="1"/>
  <c r="E97" i="3"/>
  <c r="E96" i="3"/>
  <c r="J92" i="3"/>
  <c r="G93" i="3"/>
  <c r="J93" i="3" s="1"/>
  <c r="K15" i="6" s="1"/>
  <c r="E93" i="3"/>
  <c r="E92" i="3"/>
  <c r="J88" i="3"/>
  <c r="G89" i="3"/>
  <c r="J89" i="3" s="1"/>
  <c r="E89" i="3"/>
  <c r="E88" i="3"/>
  <c r="J84" i="3"/>
  <c r="I85" i="3"/>
  <c r="J85" i="3" s="1"/>
  <c r="E84" i="3"/>
  <c r="E85" i="3"/>
  <c r="J80" i="3"/>
  <c r="M35" i="4" s="1"/>
  <c r="I81" i="3"/>
  <c r="J81" i="3" s="1"/>
  <c r="E81" i="3"/>
  <c r="E80" i="3"/>
  <c r="J76" i="3"/>
  <c r="G77" i="3"/>
  <c r="J77" i="3" s="1"/>
  <c r="E77" i="3"/>
  <c r="E76" i="3"/>
  <c r="J72" i="3"/>
  <c r="I73" i="3"/>
  <c r="J73" i="3" s="1"/>
  <c r="E73" i="3"/>
  <c r="E72" i="3"/>
  <c r="J68" i="3"/>
  <c r="I69" i="3"/>
  <c r="J69" i="3" s="1"/>
  <c r="E69" i="3"/>
  <c r="E68" i="3"/>
  <c r="J64" i="3"/>
  <c r="G65" i="3"/>
  <c r="J65" i="3" s="1"/>
  <c r="E65" i="3"/>
  <c r="E64" i="3"/>
  <c r="J60" i="3"/>
  <c r="G61" i="3"/>
  <c r="J61" i="3" s="1"/>
  <c r="E61" i="3"/>
  <c r="E60" i="3"/>
  <c r="J56" i="3"/>
  <c r="G57" i="3"/>
  <c r="J57" i="3" s="1"/>
  <c r="E57" i="3"/>
  <c r="E56" i="3"/>
  <c r="J52" i="3"/>
  <c r="G53" i="3"/>
  <c r="J53" i="3" s="1"/>
  <c r="E53" i="3"/>
  <c r="E52" i="3"/>
  <c r="J48" i="3"/>
  <c r="G49" i="3"/>
  <c r="J49" i="3" s="1"/>
  <c r="E49" i="3"/>
  <c r="E48" i="3"/>
  <c r="J44" i="3"/>
  <c r="G45" i="3"/>
  <c r="J45" i="3" s="1"/>
  <c r="E45" i="3"/>
  <c r="E44" i="3"/>
  <c r="J40" i="3"/>
  <c r="G41" i="3"/>
  <c r="J41" i="3" s="1"/>
  <c r="E41" i="3"/>
  <c r="E40" i="3"/>
  <c r="J36" i="3"/>
  <c r="G37" i="3"/>
  <c r="J37" i="3" s="1"/>
  <c r="E37" i="3"/>
  <c r="E36" i="3"/>
  <c r="E33" i="3"/>
  <c r="E32" i="3"/>
  <c r="J28" i="3"/>
  <c r="G29" i="3"/>
  <c r="J29" i="3" s="1"/>
  <c r="E29" i="3"/>
  <c r="E28" i="3"/>
  <c r="J24" i="3"/>
  <c r="G25" i="3"/>
  <c r="J25" i="3" s="1"/>
  <c r="E25" i="3"/>
  <c r="E24" i="3"/>
  <c r="J20" i="3"/>
  <c r="G21" i="3"/>
  <c r="E21" i="3"/>
  <c r="E20" i="3"/>
  <c r="J16" i="3"/>
  <c r="G17" i="3"/>
  <c r="J17" i="3" s="1"/>
  <c r="E17" i="3"/>
  <c r="E16" i="3"/>
  <c r="J12" i="3"/>
  <c r="I13" i="3"/>
  <c r="J13" i="3" s="1"/>
  <c r="E13" i="3"/>
  <c r="E12" i="3"/>
  <c r="J8" i="3"/>
  <c r="I9" i="3"/>
  <c r="E9" i="3"/>
  <c r="E8" i="3"/>
  <c r="Y12" i="14"/>
  <c r="Y8" i="14"/>
  <c r="Y9" i="14"/>
  <c r="Y14" i="14"/>
  <c r="Y22" i="14"/>
  <c r="Y11" i="14"/>
  <c r="Y16" i="14"/>
  <c r="Y18" i="14"/>
  <c r="Y17" i="14"/>
  <c r="Y20" i="14"/>
  <c r="Y19" i="14"/>
  <c r="Y21" i="14"/>
  <c r="Y23" i="14"/>
  <c r="Y13" i="14"/>
  <c r="Y10" i="14"/>
  <c r="Y15" i="14"/>
  <c r="H256" i="22" l="1"/>
  <c r="L256" i="22" s="1"/>
  <c r="H523" i="18"/>
  <c r="F504" i="18" s="1"/>
  <c r="F531" i="18"/>
  <c r="F527" i="10"/>
  <c r="F607" i="10"/>
  <c r="F610" i="10" s="1"/>
  <c r="H525" i="18"/>
  <c r="J16" i="7"/>
  <c r="J15" i="7"/>
  <c r="K19" i="7"/>
  <c r="K96" i="6"/>
  <c r="G4" i="3"/>
  <c r="K20" i="7"/>
  <c r="J34" i="6"/>
  <c r="I4" i="3"/>
  <c r="J9" i="3"/>
  <c r="J19" i="7" s="1"/>
  <c r="J21" i="7" s="1"/>
  <c r="O123" i="1"/>
  <c r="J19" i="6"/>
  <c r="K19" i="6"/>
  <c r="J14" i="6"/>
  <c r="K20" i="6"/>
  <c r="K33" i="6"/>
  <c r="K32" i="6" s="1"/>
  <c r="K77" i="6"/>
  <c r="K76" i="6" s="1"/>
  <c r="K57" i="6"/>
  <c r="J12" i="7"/>
  <c r="K12" i="7"/>
  <c r="P17" i="1"/>
  <c r="K11" i="6"/>
  <c r="K16" i="6"/>
  <c r="P120" i="1"/>
  <c r="K91" i="6"/>
  <c r="J21" i="3"/>
  <c r="O17" i="1"/>
  <c r="J11" i="6"/>
  <c r="J29" i="6"/>
  <c r="J28" i="6" s="1"/>
  <c r="J69" i="6"/>
  <c r="J13" i="7"/>
  <c r="P123" i="1"/>
  <c r="K92" i="6"/>
  <c r="Q42" i="1"/>
  <c r="J20" i="6"/>
  <c r="J6" i="7"/>
  <c r="J8" i="7" s="1"/>
  <c r="J33" i="6"/>
  <c r="J77" i="6"/>
  <c r="J76" i="6" s="1"/>
  <c r="K52" i="6"/>
  <c r="K51" i="6" s="1"/>
  <c r="P106" i="1"/>
  <c r="K88" i="6"/>
  <c r="K9" i="7"/>
  <c r="K16" i="7"/>
  <c r="K90" i="6"/>
  <c r="K10" i="6"/>
  <c r="P166" i="1"/>
  <c r="K97" i="6"/>
  <c r="J16" i="6"/>
  <c r="J52" i="6"/>
  <c r="J51" i="6" s="1"/>
  <c r="K122" i="6"/>
  <c r="K121" i="6" s="1"/>
  <c r="K14" i="6"/>
  <c r="O86" i="1"/>
  <c r="J67" i="6"/>
  <c r="J65" i="6" s="1"/>
  <c r="J90" i="6"/>
  <c r="J9" i="7"/>
  <c r="J10" i="6"/>
  <c r="J24" i="6"/>
  <c r="O166" i="1"/>
  <c r="J97" i="6"/>
  <c r="P86" i="1"/>
  <c r="K67" i="6"/>
  <c r="K65" i="6" s="1"/>
  <c r="J57" i="6"/>
  <c r="J122" i="6"/>
  <c r="K29" i="6"/>
  <c r="K28" i="6" s="1"/>
  <c r="K69" i="6"/>
  <c r="K6" i="7"/>
  <c r="K8" i="7" s="1"/>
  <c r="K15" i="7"/>
  <c r="O75" i="1"/>
  <c r="P81" i="1"/>
  <c r="P75" i="1" s="1"/>
  <c r="O81" i="1"/>
  <c r="H531" i="18" l="1"/>
  <c r="F606" i="10"/>
  <c r="I257" i="22"/>
  <c r="L257" i="22" s="1"/>
  <c r="AW230" i="1" s="1"/>
  <c r="AW343" i="1"/>
  <c r="J5" i="3"/>
  <c r="S218" i="1"/>
  <c r="T218" i="1" s="1"/>
  <c r="BR218" i="1"/>
  <c r="S211" i="1"/>
  <c r="T211" i="1" s="1"/>
  <c r="BR211" i="1"/>
  <c r="S221" i="1"/>
  <c r="T221" i="1" s="1"/>
  <c r="BR221" i="1"/>
  <c r="S216" i="1"/>
  <c r="T216" i="1" s="1"/>
  <c r="BR216" i="1"/>
  <c r="S220" i="1"/>
  <c r="T220" i="1" s="1"/>
  <c r="BR220" i="1"/>
  <c r="S215" i="1"/>
  <c r="T215" i="1" s="1"/>
  <c r="BR215" i="1"/>
  <c r="S226" i="1"/>
  <c r="T226" i="1" s="1"/>
  <c r="BR226" i="1"/>
  <c r="S219" i="1"/>
  <c r="T219" i="1" s="1"/>
  <c r="BR219" i="1"/>
  <c r="S212" i="1"/>
  <c r="T212" i="1" s="1"/>
  <c r="BR212" i="1"/>
  <c r="S228" i="1"/>
  <c r="T228" i="1" s="1"/>
  <c r="S223" i="1"/>
  <c r="T223" i="1" s="1"/>
  <c r="BR223" i="1"/>
  <c r="S214" i="1"/>
  <c r="T214" i="1" s="1"/>
  <c r="BR214" i="1"/>
  <c r="S222" i="1"/>
  <c r="T222" i="1" s="1"/>
  <c r="BR222" i="1"/>
  <c r="S224" i="1"/>
  <c r="T224" i="1" s="1"/>
  <c r="BR224" i="1"/>
  <c r="S231" i="1"/>
  <c r="T231" i="1" s="1"/>
  <c r="S213" i="1"/>
  <c r="T213" i="1" s="1"/>
  <c r="BR213" i="1"/>
  <c r="S229" i="1"/>
  <c r="T229" i="1" s="1"/>
  <c r="S42" i="1"/>
  <c r="T42" i="1" s="1"/>
  <c r="S227" i="1"/>
  <c r="T227" i="1" s="1"/>
  <c r="BR227" i="1"/>
  <c r="S217" i="1"/>
  <c r="T217" i="1" s="1"/>
  <c r="BR217" i="1"/>
  <c r="S225" i="1"/>
  <c r="T225" i="1" s="1"/>
  <c r="BR225" i="1"/>
  <c r="K13" i="7"/>
  <c r="K24" i="6"/>
  <c r="K18" i="6" s="1"/>
  <c r="K21" i="7"/>
  <c r="J96" i="6"/>
  <c r="P350" i="1"/>
  <c r="J32" i="6"/>
  <c r="O350" i="1"/>
  <c r="J92" i="6"/>
  <c r="J13" i="6"/>
  <c r="K13" i="6"/>
  <c r="K50" i="6"/>
  <c r="K39" i="6" s="1"/>
  <c r="J18" i="6"/>
  <c r="J9" i="6"/>
  <c r="K9" i="6"/>
  <c r="J10" i="7"/>
  <c r="J17" i="7" s="1"/>
  <c r="J23" i="7" s="1"/>
  <c r="J28" i="7" s="1"/>
  <c r="K10" i="7"/>
  <c r="I9" i="7"/>
  <c r="L9" i="7" s="1"/>
  <c r="G527" i="10" s="1"/>
  <c r="O106" i="1"/>
  <c r="J88" i="6"/>
  <c r="O120" i="1"/>
  <c r="J91" i="6"/>
  <c r="K87" i="6"/>
  <c r="K85" i="6" s="1"/>
  <c r="J50" i="6"/>
  <c r="J39" i="6" s="1"/>
  <c r="J121" i="6"/>
  <c r="AX230" i="1" l="1"/>
  <c r="Q16" i="7"/>
  <c r="BR42" i="1"/>
  <c r="T9" i="7"/>
  <c r="K17" i="7"/>
  <c r="K23" i="7" s="1"/>
  <c r="K28" i="7" s="1"/>
  <c r="S210" i="1"/>
  <c r="T210" i="1" s="1"/>
  <c r="K7" i="6"/>
  <c r="K83" i="6" s="1"/>
  <c r="J7" i="6"/>
  <c r="J83" i="6" s="1"/>
  <c r="J87" i="6"/>
  <c r="J85" i="6" s="1"/>
  <c r="BR210" i="1" l="1"/>
  <c r="G518" i="18" l="1"/>
  <c r="Q152" i="1"/>
  <c r="N151" i="1"/>
  <c r="Q151" i="1" s="1"/>
  <c r="N150" i="1"/>
  <c r="Q150" i="1" s="1"/>
  <c r="N149" i="1"/>
  <c r="Q149" i="1" s="1"/>
  <c r="N145" i="1"/>
  <c r="Q145" i="1" s="1"/>
  <c r="N138" i="1"/>
  <c r="Q138" i="1" s="1"/>
  <c r="N118" i="1"/>
  <c r="Q118" i="1" s="1"/>
  <c r="N115" i="1"/>
  <c r="Q115" i="1" s="1"/>
  <c r="N96" i="1"/>
  <c r="Q96" i="1" s="1"/>
  <c r="N95" i="1"/>
  <c r="N64" i="1"/>
  <c r="N61" i="1"/>
  <c r="Q61" i="1" s="1"/>
  <c r="N54" i="1"/>
  <c r="Q54" i="1" s="1"/>
  <c r="N46" i="1"/>
  <c r="N39" i="1"/>
  <c r="Q39" i="1" s="1"/>
  <c r="N18" i="1"/>
  <c r="I11" i="6" s="1"/>
  <c r="L11" i="6" s="1"/>
  <c r="N13" i="1"/>
  <c r="Q13" i="1" s="1"/>
  <c r="BP13" i="1" s="1"/>
  <c r="Z41" i="13"/>
  <c r="Z46" i="13"/>
  <c r="Z33" i="13"/>
  <c r="Z66" i="13"/>
  <c r="Z38" i="13"/>
  <c r="Z72" i="13"/>
  <c r="Z22" i="13"/>
  <c r="Z35" i="13"/>
  <c r="Z59" i="13"/>
  <c r="Z52" i="13"/>
  <c r="Z7" i="13"/>
  <c r="Z68" i="13"/>
  <c r="Z44" i="13"/>
  <c r="Z54" i="13"/>
  <c r="Z25" i="13"/>
  <c r="Z40" i="13"/>
  <c r="Z27" i="13"/>
  <c r="Z34" i="13"/>
  <c r="Z69" i="13"/>
  <c r="Z64" i="13"/>
  <c r="Z65" i="13"/>
  <c r="Z21" i="13"/>
  <c r="Z45" i="13"/>
  <c r="Z82" i="13"/>
  <c r="Z47" i="13"/>
  <c r="Z39" i="13"/>
  <c r="Z37" i="13"/>
  <c r="Z29" i="13"/>
  <c r="Z12" i="13"/>
  <c r="Z23" i="13"/>
  <c r="Z11" i="13"/>
  <c r="Z73" i="13"/>
  <c r="Z24" i="13"/>
  <c r="Z48" i="13"/>
  <c r="Z71" i="13"/>
  <c r="Z50" i="13"/>
  <c r="Z36" i="13"/>
  <c r="Z43" i="13"/>
  <c r="Z57" i="13"/>
  <c r="Z8" i="13"/>
  <c r="Z80" i="13"/>
  <c r="Z18" i="13"/>
  <c r="Z9" i="13"/>
  <c r="Z55" i="13"/>
  <c r="Z58" i="13"/>
  <c r="Z63" i="13"/>
  <c r="Z10" i="13"/>
  <c r="Z17" i="13"/>
  <c r="Z56" i="13"/>
  <c r="Z60" i="13"/>
  <c r="Z75" i="13"/>
  <c r="Z31" i="13"/>
  <c r="Z14" i="13"/>
  <c r="Z6" i="13"/>
  <c r="Z78" i="13"/>
  <c r="Z19" i="13"/>
  <c r="Z42" i="13"/>
  <c r="Z16" i="13"/>
  <c r="Z62" i="13"/>
  <c r="Z77" i="13"/>
  <c r="Z32" i="13"/>
  <c r="Z51" i="13"/>
  <c r="Z53" i="13"/>
  <c r="Z83" i="13"/>
  <c r="Z70" i="13"/>
  <c r="Z74" i="13"/>
  <c r="Z26" i="13"/>
  <c r="Z13" i="13"/>
  <c r="Z15" i="13"/>
  <c r="Z76" i="13"/>
  <c r="Z30" i="13"/>
  <c r="Z28" i="13"/>
  <c r="Z20" i="13"/>
  <c r="Z67" i="13"/>
  <c r="Z79" i="13"/>
  <c r="Z81" i="13"/>
  <c r="Z49" i="13"/>
  <c r="Z61" i="13"/>
  <c r="G493" i="10" l="1"/>
  <c r="BR246" i="1"/>
  <c r="G493" i="18" s="1"/>
  <c r="BR327" i="1"/>
  <c r="BR314" i="1"/>
  <c r="G567" i="18" s="1"/>
  <c r="BR152" i="1"/>
  <c r="BR245" i="1"/>
  <c r="G494" i="18" s="1"/>
  <c r="BR258" i="1"/>
  <c r="G580" i="18" s="1"/>
  <c r="BR304" i="1"/>
  <c r="S287" i="1"/>
  <c r="T287" i="1" s="1"/>
  <c r="S61" i="1"/>
  <c r="T61" i="1" s="1"/>
  <c r="BR61" i="1"/>
  <c r="S238" i="1"/>
  <c r="T238" i="1" s="1"/>
  <c r="BR238" i="1"/>
  <c r="S305" i="1"/>
  <c r="T305" i="1" s="1"/>
  <c r="BR305" i="1"/>
  <c r="S96" i="1"/>
  <c r="T96" i="1" s="1"/>
  <c r="BR96" i="1"/>
  <c r="S309" i="1"/>
  <c r="T309" i="1" s="1"/>
  <c r="BR309" i="1"/>
  <c r="S115" i="1"/>
  <c r="T115" i="1" s="1"/>
  <c r="BR115" i="1"/>
  <c r="S312" i="1"/>
  <c r="T312" i="1" s="1"/>
  <c r="BR312" i="1"/>
  <c r="S13" i="1"/>
  <c r="T13" i="1" s="1"/>
  <c r="BR13" i="1"/>
  <c r="S138" i="1"/>
  <c r="T138" i="1" s="1"/>
  <c r="BR138" i="1"/>
  <c r="S259" i="1"/>
  <c r="T259" i="1" s="1"/>
  <c r="BR259" i="1"/>
  <c r="S145" i="1"/>
  <c r="T145" i="1" s="1"/>
  <c r="BR145" i="1"/>
  <c r="S267" i="1"/>
  <c r="T267" i="1" s="1"/>
  <c r="BR267" i="1"/>
  <c r="S344" i="1"/>
  <c r="T344" i="1" s="1"/>
  <c r="BR344" i="1"/>
  <c r="S149" i="1"/>
  <c r="T149" i="1" s="1"/>
  <c r="BR149" i="1"/>
  <c r="S150" i="1"/>
  <c r="T150" i="1" s="1"/>
  <c r="BR150" i="1"/>
  <c r="S273" i="1"/>
  <c r="T273" i="1" s="1"/>
  <c r="S118" i="1"/>
  <c r="T118" i="1" s="1"/>
  <c r="BR118" i="1"/>
  <c r="S39" i="1"/>
  <c r="T39" i="1" s="1"/>
  <c r="BP39" i="1"/>
  <c r="BR39" i="1" s="1"/>
  <c r="S54" i="1"/>
  <c r="T54" i="1" s="1"/>
  <c r="BR54" i="1"/>
  <c r="S151" i="1"/>
  <c r="T151" i="1" s="1"/>
  <c r="BR151" i="1"/>
  <c r="S274" i="1"/>
  <c r="T274" i="1" s="1"/>
  <c r="G360" i="10"/>
  <c r="N11" i="6"/>
  <c r="H3" i="9"/>
  <c r="S314" i="1"/>
  <c r="T314" i="1" s="1"/>
  <c r="S152" i="1"/>
  <c r="T152" i="1" s="1"/>
  <c r="K62" i="10"/>
  <c r="S245" i="1"/>
  <c r="T245" i="1" s="1"/>
  <c r="G506" i="10"/>
  <c r="S258" i="1"/>
  <c r="T258" i="1" s="1"/>
  <c r="G572" i="10"/>
  <c r="S304" i="1"/>
  <c r="T304" i="1" s="1"/>
  <c r="G550" i="10"/>
  <c r="G552" i="10"/>
  <c r="BR252" i="1"/>
  <c r="G536" i="10"/>
  <c r="BR191" i="1"/>
  <c r="G549" i="10"/>
  <c r="G535" i="10"/>
  <c r="G537" i="10"/>
  <c r="S188" i="1"/>
  <c r="G548" i="10"/>
  <c r="Q46" i="1"/>
  <c r="N17" i="1"/>
  <c r="Q18" i="1"/>
  <c r="Q64" i="1"/>
  <c r="BP64" i="1" s="1"/>
  <c r="Q95" i="1"/>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N176" i="1" s="1"/>
  <c r="I112" i="2"/>
  <c r="N175" i="1" s="1"/>
  <c r="I111" i="2"/>
  <c r="I110" i="2"/>
  <c r="N172" i="1" s="1"/>
  <c r="I109" i="2"/>
  <c r="N171" i="1" s="1"/>
  <c r="Q171" i="1" s="1"/>
  <c r="I108" i="2"/>
  <c r="N170" i="1" s="1"/>
  <c r="I107" i="2"/>
  <c r="I106" i="2"/>
  <c r="I105" i="2"/>
  <c r="N167" i="1" s="1"/>
  <c r="I104" i="2"/>
  <c r="I103" i="2"/>
  <c r="N154" i="1" s="1"/>
  <c r="Q154" i="1" s="1"/>
  <c r="I102" i="2"/>
  <c r="N141" i="1" s="1"/>
  <c r="Q141" i="1" s="1"/>
  <c r="I101" i="2"/>
  <c r="I100" i="2"/>
  <c r="N137" i="1" s="1"/>
  <c r="Q137" i="1" s="1"/>
  <c r="I99" i="2"/>
  <c r="I98" i="2"/>
  <c r="I97" i="2"/>
  <c r="I96" i="2"/>
  <c r="I95" i="2"/>
  <c r="I94" i="2"/>
  <c r="N153" i="1" s="1"/>
  <c r="Q153" i="1" s="1"/>
  <c r="I93" i="2"/>
  <c r="I92" i="2"/>
  <c r="I91" i="2"/>
  <c r="I90" i="2"/>
  <c r="N131" i="1" s="1"/>
  <c r="Q131" i="1" s="1"/>
  <c r="I89" i="2"/>
  <c r="I88" i="2"/>
  <c r="N143" i="1" s="1"/>
  <c r="Q143" i="1" s="1"/>
  <c r="I87" i="2"/>
  <c r="I86" i="2"/>
  <c r="I85" i="2"/>
  <c r="I84" i="2"/>
  <c r="I83" i="2"/>
  <c r="I82" i="2"/>
  <c r="I81" i="2"/>
  <c r="I80" i="2"/>
  <c r="N124" i="1" s="1"/>
  <c r="I79" i="2"/>
  <c r="I78" i="2"/>
  <c r="N121" i="1" s="1"/>
  <c r="I77" i="2"/>
  <c r="I76" i="2"/>
  <c r="I75" i="2"/>
  <c r="I74" i="2"/>
  <c r="I73" i="2"/>
  <c r="I72" i="2"/>
  <c r="I71" i="2"/>
  <c r="I70" i="2"/>
  <c r="I69" i="2"/>
  <c r="I68" i="2"/>
  <c r="I67" i="2"/>
  <c r="I66" i="2"/>
  <c r="I65" i="2"/>
  <c r="I64" i="2"/>
  <c r="I63" i="2"/>
  <c r="I62" i="2"/>
  <c r="N97" i="1" s="1"/>
  <c r="Q97" i="1" s="1"/>
  <c r="BR97" i="1" s="1"/>
  <c r="I61" i="2"/>
  <c r="I60" i="2"/>
  <c r="I59" i="2"/>
  <c r="I58" i="2"/>
  <c r="I57" i="2"/>
  <c r="I56" i="2"/>
  <c r="I55" i="2"/>
  <c r="I54" i="2"/>
  <c r="N25" i="1" s="1"/>
  <c r="I53" i="2"/>
  <c r="N92" i="1" s="1"/>
  <c r="I52" i="2"/>
  <c r="I51" i="2"/>
  <c r="I50" i="2"/>
  <c r="I49" i="2"/>
  <c r="I48" i="2"/>
  <c r="N84" i="1" s="1"/>
  <c r="I47" i="2"/>
  <c r="I46" i="2"/>
  <c r="I45" i="2"/>
  <c r="I44" i="2"/>
  <c r="I43" i="2"/>
  <c r="I42" i="2"/>
  <c r="N77" i="1" s="1"/>
  <c r="Q77" i="1" s="1"/>
  <c r="I41" i="2"/>
  <c r="I40" i="2"/>
  <c r="N65" i="1" s="1"/>
  <c r="Q65" i="1" s="1"/>
  <c r="BR65" i="1" s="1"/>
  <c r="I39" i="2"/>
  <c r="I38" i="2"/>
  <c r="I37" i="2"/>
  <c r="I36" i="2"/>
  <c r="N50" i="1" s="1"/>
  <c r="Q50" i="1" s="1"/>
  <c r="I35" i="2"/>
  <c r="N47" i="1" s="1"/>
  <c r="Q47" i="1" s="1"/>
  <c r="BR47" i="1" s="1"/>
  <c r="I34" i="2"/>
  <c r="N56" i="1" s="1"/>
  <c r="Q56" i="1" s="1"/>
  <c r="I33" i="2"/>
  <c r="I32" i="2"/>
  <c r="N53" i="1" s="1"/>
  <c r="Q53" i="1" s="1"/>
  <c r="I31" i="2"/>
  <c r="N57" i="1" s="1"/>
  <c r="Q57" i="1" s="1"/>
  <c r="I30" i="2"/>
  <c r="I29" i="2"/>
  <c r="N49" i="1" s="1"/>
  <c r="Q49" i="1" s="1"/>
  <c r="BR49" i="1" s="1"/>
  <c r="I28" i="2"/>
  <c r="I27" i="2"/>
  <c r="I26" i="2"/>
  <c r="I25" i="2"/>
  <c r="I24" i="2"/>
  <c r="N35" i="1" s="1"/>
  <c r="Q35" i="1" s="1"/>
  <c r="BR35" i="1" s="1"/>
  <c r="E84" i="17" s="1"/>
  <c r="I23" i="2"/>
  <c r="I22" i="2"/>
  <c r="N33" i="1" s="1"/>
  <c r="Q33" i="1" s="1"/>
  <c r="I21" i="2"/>
  <c r="I20" i="2"/>
  <c r="I19" i="2"/>
  <c r="I18" i="2"/>
  <c r="I17" i="2"/>
  <c r="I16" i="2"/>
  <c r="N22" i="1" s="1"/>
  <c r="I15" i="2"/>
  <c r="I14" i="2"/>
  <c r="I13" i="2"/>
  <c r="N14" i="1" s="1"/>
  <c r="Q14" i="1" s="1"/>
  <c r="I12" i="2"/>
  <c r="I11" i="2"/>
  <c r="I10" i="2"/>
  <c r="N12" i="1" s="1"/>
  <c r="I9" i="2"/>
  <c r="I8" i="2"/>
  <c r="N11" i="1" s="1"/>
  <c r="Q11" i="1" s="1"/>
  <c r="I7" i="2"/>
  <c r="N43" i="1" l="1"/>
  <c r="I20" i="6" s="1"/>
  <c r="L20" i="6" s="1"/>
  <c r="N156" i="1"/>
  <c r="Q156" i="1" s="1"/>
  <c r="BR156" i="1" s="1"/>
  <c r="N87" i="1"/>
  <c r="I67" i="6" s="1"/>
  <c r="L67" i="6" s="1"/>
  <c r="V3" i="9" s="1"/>
  <c r="V5" i="9" s="1"/>
  <c r="N116" i="1"/>
  <c r="Q116" i="1" s="1"/>
  <c r="BR116" i="1" s="1"/>
  <c r="N70" i="1"/>
  <c r="Q70" i="1" s="1"/>
  <c r="BP14" i="1"/>
  <c r="BR14" i="1" s="1"/>
  <c r="N82" i="1"/>
  <c r="I58" i="6" s="1"/>
  <c r="L58" i="6" s="1"/>
  <c r="H221" i="10" s="1"/>
  <c r="N69" i="1"/>
  <c r="Q69" i="1" s="1"/>
  <c r="S69" i="1" s="1"/>
  <c r="T69" i="1" s="1"/>
  <c r="N110" i="1"/>
  <c r="Q110" i="1" s="1"/>
  <c r="N159" i="1"/>
  <c r="Q159" i="1" s="1"/>
  <c r="S159" i="1" s="1"/>
  <c r="T159" i="1" s="1"/>
  <c r="N133" i="1"/>
  <c r="Q133" i="1" s="1"/>
  <c r="BR251" i="1"/>
  <c r="S246" i="1"/>
  <c r="T246" i="1" s="1"/>
  <c r="G505" i="10"/>
  <c r="S327" i="1"/>
  <c r="T327" i="1" s="1"/>
  <c r="N68" i="1"/>
  <c r="Q68" i="1" s="1"/>
  <c r="N112" i="1"/>
  <c r="Q112" i="1" s="1"/>
  <c r="BR112" i="1" s="1"/>
  <c r="N158" i="1"/>
  <c r="Q158" i="1" s="1"/>
  <c r="S158" i="1" s="1"/>
  <c r="T158" i="1" s="1"/>
  <c r="N132" i="1"/>
  <c r="Q132" i="1" s="1"/>
  <c r="N135" i="1"/>
  <c r="Q135" i="1" s="1"/>
  <c r="BR135" i="1" s="1"/>
  <c r="N148" i="1"/>
  <c r="Q148" i="1" s="1"/>
  <c r="S148" i="1" s="1"/>
  <c r="T148" i="1" s="1"/>
  <c r="N24" i="1"/>
  <c r="Q24" i="1" s="1"/>
  <c r="G604" i="10"/>
  <c r="N271" i="1"/>
  <c r="G534" i="10"/>
  <c r="H534" i="10" s="1"/>
  <c r="G558" i="10"/>
  <c r="G538" i="10"/>
  <c r="G532" i="10"/>
  <c r="BR313" i="1"/>
  <c r="G546" i="10"/>
  <c r="BR335" i="1"/>
  <c r="G554" i="10"/>
  <c r="G555" i="10"/>
  <c r="G557" i="10"/>
  <c r="BR303" i="1"/>
  <c r="G547" i="10"/>
  <c r="S65" i="1"/>
  <c r="T65" i="1" s="1"/>
  <c r="N78" i="1"/>
  <c r="Q78" i="1" s="1"/>
  <c r="S78" i="1" s="1"/>
  <c r="T78" i="1" s="1"/>
  <c r="N91" i="1"/>
  <c r="Q91" i="1" s="1"/>
  <c r="N111" i="1"/>
  <c r="Q111" i="1" s="1"/>
  <c r="BR111" i="1" s="1"/>
  <c r="N157" i="1"/>
  <c r="Q157" i="1" s="1"/>
  <c r="BR157" i="1" s="1"/>
  <c r="N144" i="1"/>
  <c r="Q144" i="1" s="1"/>
  <c r="S144" i="1" s="1"/>
  <c r="T144" i="1" s="1"/>
  <c r="N139" i="1"/>
  <c r="Q139" i="1" s="1"/>
  <c r="BR139" i="1" s="1"/>
  <c r="N146" i="1"/>
  <c r="Q146" i="1" s="1"/>
  <c r="N51" i="1"/>
  <c r="Q51" i="1" s="1"/>
  <c r="BR51" i="1" s="1"/>
  <c r="N71" i="1"/>
  <c r="Q71" i="1" s="1"/>
  <c r="N140" i="1"/>
  <c r="Q140" i="1" s="1"/>
  <c r="S140" i="1" s="1"/>
  <c r="T140" i="1" s="1"/>
  <c r="N147" i="1"/>
  <c r="Q147" i="1" s="1"/>
  <c r="I29" i="6"/>
  <c r="I28" i="6" s="1"/>
  <c r="N31" i="1"/>
  <c r="Q31" i="1" s="1"/>
  <c r="BP31" i="1" s="1"/>
  <c r="N55" i="1"/>
  <c r="Q55" i="1" s="1"/>
  <c r="S55" i="1" s="1"/>
  <c r="T55" i="1" s="1"/>
  <c r="N15" i="1"/>
  <c r="Q15" i="1" s="1"/>
  <c r="BP33" i="1"/>
  <c r="BR33" i="1" s="1"/>
  <c r="S33" i="1"/>
  <c r="T33" i="1" s="1"/>
  <c r="N52" i="1"/>
  <c r="Q52" i="1" s="1"/>
  <c r="BR52" i="1" s="1"/>
  <c r="N38" i="1"/>
  <c r="I19" i="6" s="1"/>
  <c r="L19" i="6" s="1"/>
  <c r="N34" i="1"/>
  <c r="Q34" i="1" s="1"/>
  <c r="N79" i="1"/>
  <c r="I53" i="6" s="1"/>
  <c r="L53" i="6" s="1"/>
  <c r="N53" i="6" s="1"/>
  <c r="N60" i="1"/>
  <c r="Q60" i="1" s="1"/>
  <c r="BR60" i="1" s="1"/>
  <c r="N114" i="1"/>
  <c r="Q114" i="1" s="1"/>
  <c r="N142" i="1"/>
  <c r="Q142" i="1" s="1"/>
  <c r="S142" i="1" s="1"/>
  <c r="T142" i="1" s="1"/>
  <c r="N127" i="1"/>
  <c r="N134" i="1"/>
  <c r="Q134" i="1" s="1"/>
  <c r="BR134" i="1" s="1"/>
  <c r="T29" i="6"/>
  <c r="T28" i="6" s="1"/>
  <c r="N23" i="1"/>
  <c r="Q23" i="1" s="1"/>
  <c r="N48" i="1"/>
  <c r="Q48" i="1" s="1"/>
  <c r="N76" i="1"/>
  <c r="N90" i="1"/>
  <c r="I70" i="6" s="1"/>
  <c r="L70" i="6" s="1"/>
  <c r="N107" i="1"/>
  <c r="Q107" i="1" s="1"/>
  <c r="N117" i="1"/>
  <c r="Q117" i="1" s="1"/>
  <c r="BR117" i="1" s="1"/>
  <c r="N130" i="1"/>
  <c r="Q130" i="1" s="1"/>
  <c r="N136" i="1"/>
  <c r="Q136" i="1" s="1"/>
  <c r="H187" i="10"/>
  <c r="H188" i="10" s="1"/>
  <c r="G487" i="10"/>
  <c r="S204" i="1"/>
  <c r="T204" i="1" s="1"/>
  <c r="BR204" i="1"/>
  <c r="S310" i="1"/>
  <c r="T310" i="1" s="1"/>
  <c r="I6" i="7"/>
  <c r="L6" i="7" s="1"/>
  <c r="L8" i="7" s="1"/>
  <c r="L10" i="7" s="1"/>
  <c r="Q12" i="1"/>
  <c r="S12" i="1" s="1"/>
  <c r="T12" i="1" s="1"/>
  <c r="G373" i="18"/>
  <c r="G359" i="18"/>
  <c r="BR311" i="1"/>
  <c r="BR239" i="1"/>
  <c r="BR265" i="1"/>
  <c r="BR193" i="1"/>
  <c r="G472" i="18" s="1"/>
  <c r="BR186" i="1"/>
  <c r="BR324" i="1"/>
  <c r="BR197" i="1"/>
  <c r="BR319" i="1"/>
  <c r="BR194" i="1"/>
  <c r="BR315" i="1"/>
  <c r="BR188" i="1"/>
  <c r="BR192" i="1"/>
  <c r="BR189" i="1"/>
  <c r="BR244" i="1"/>
  <c r="G495" i="18" s="1"/>
  <c r="G496" i="18" s="1"/>
  <c r="G498" i="18" s="1"/>
  <c r="BR266" i="1"/>
  <c r="G582" i="18" s="1"/>
  <c r="BR254" i="1"/>
  <c r="BR308" i="1"/>
  <c r="T77" i="6"/>
  <c r="W3" i="17" s="1"/>
  <c r="BR11" i="1"/>
  <c r="S298" i="1"/>
  <c r="T298" i="1" s="1"/>
  <c r="S278" i="1"/>
  <c r="T278" i="1" s="1"/>
  <c r="S282" i="1"/>
  <c r="T282" i="1" s="1"/>
  <c r="S332" i="1"/>
  <c r="T332" i="1" s="1"/>
  <c r="BR332" i="1"/>
  <c r="S275" i="1"/>
  <c r="T275" i="1" s="1"/>
  <c r="BR260" i="1"/>
  <c r="S325" i="1"/>
  <c r="T325" i="1" s="1"/>
  <c r="BR325" i="1"/>
  <c r="S276" i="1"/>
  <c r="T276" i="1" s="1"/>
  <c r="S237" i="1"/>
  <c r="T237" i="1" s="1"/>
  <c r="S323" i="1"/>
  <c r="T323" i="1" s="1"/>
  <c r="BR323" i="1"/>
  <c r="S57" i="1"/>
  <c r="T57" i="1" s="1"/>
  <c r="BR57" i="1"/>
  <c r="S154" i="1"/>
  <c r="T154" i="1" s="1"/>
  <c r="BR154" i="1"/>
  <c r="T11" i="6"/>
  <c r="S290" i="1"/>
  <c r="T290" i="1" s="1"/>
  <c r="S333" i="1"/>
  <c r="T333" i="1" s="1"/>
  <c r="BR333" i="1"/>
  <c r="S241" i="1"/>
  <c r="T241" i="1" s="1"/>
  <c r="BR241" i="1"/>
  <c r="S307" i="1"/>
  <c r="T307" i="1" s="1"/>
  <c r="BR307" i="1"/>
  <c r="S320" i="1"/>
  <c r="T320" i="1" s="1"/>
  <c r="BR320" i="1"/>
  <c r="S283" i="1"/>
  <c r="T283" i="1" s="1"/>
  <c r="S285" i="1"/>
  <c r="T285" i="1" s="1"/>
  <c r="S338" i="1"/>
  <c r="T338" i="1" s="1"/>
  <c r="BR338" i="1"/>
  <c r="S337" i="1"/>
  <c r="T337" i="1" s="1"/>
  <c r="BR337" i="1"/>
  <c r="G358" i="10"/>
  <c r="BR131" i="1"/>
  <c r="S284" i="1"/>
  <c r="T284" i="1" s="1"/>
  <c r="S331" i="1"/>
  <c r="T331" i="1" s="1"/>
  <c r="BR331" i="1"/>
  <c r="S137" i="1"/>
  <c r="T137" i="1" s="1"/>
  <c r="BR137" i="1"/>
  <c r="S77" i="1"/>
  <c r="T77" i="1" s="1"/>
  <c r="BR77" i="1"/>
  <c r="S295" i="1"/>
  <c r="T295" i="1" s="1"/>
  <c r="BR46" i="1"/>
  <c r="S279" i="1"/>
  <c r="T279" i="1" s="1"/>
  <c r="S288" i="1"/>
  <c r="T288" i="1" s="1"/>
  <c r="S202" i="1"/>
  <c r="T202" i="1" s="1"/>
  <c r="BR202" i="1"/>
  <c r="S345" i="1"/>
  <c r="T345" i="1" s="1"/>
  <c r="BR345" i="1"/>
  <c r="S240" i="1"/>
  <c r="T240" i="1" s="1"/>
  <c r="BR240" i="1"/>
  <c r="S317" i="1"/>
  <c r="T317" i="1" s="1"/>
  <c r="BR317" i="1"/>
  <c r="BR64" i="1"/>
  <c r="S141" i="1"/>
  <c r="T141" i="1" s="1"/>
  <c r="BR141" i="1"/>
  <c r="S53" i="1"/>
  <c r="T53" i="1" s="1"/>
  <c r="BR53" i="1"/>
  <c r="S341" i="1"/>
  <c r="T341" i="1" s="1"/>
  <c r="BR341" i="1"/>
  <c r="S56" i="1"/>
  <c r="T56" i="1" s="1"/>
  <c r="BR56" i="1"/>
  <c r="S153" i="1"/>
  <c r="T153" i="1" s="1"/>
  <c r="BR153" i="1"/>
  <c r="S272" i="1"/>
  <c r="T272" i="1" s="1"/>
  <c r="S346" i="1"/>
  <c r="T346" i="1" s="1"/>
  <c r="BR346" i="1"/>
  <c r="S291" i="1"/>
  <c r="T291" i="1" s="1"/>
  <c r="S198" i="1"/>
  <c r="T198" i="1" s="1"/>
  <c r="BR198" i="1"/>
  <c r="S201" i="1"/>
  <c r="T201" i="1" s="1"/>
  <c r="BR201" i="1"/>
  <c r="S293" i="1"/>
  <c r="T293" i="1" s="1"/>
  <c r="S318" i="1"/>
  <c r="T318" i="1" s="1"/>
  <c r="BR318" i="1"/>
  <c r="S336" i="1"/>
  <c r="T336" i="1" s="1"/>
  <c r="BR336" i="1"/>
  <c r="S292" i="1"/>
  <c r="T292" i="1" s="1"/>
  <c r="S286" i="1"/>
  <c r="T286" i="1" s="1"/>
  <c r="S342" i="1"/>
  <c r="T342" i="1" s="1"/>
  <c r="BR342" i="1"/>
  <c r="S289" i="1"/>
  <c r="T289" i="1" s="1"/>
  <c r="S190" i="1"/>
  <c r="T190" i="1" s="1"/>
  <c r="BR190" i="1"/>
  <c r="S277" i="1"/>
  <c r="T277" i="1" s="1"/>
  <c r="S340" i="1"/>
  <c r="T340" i="1" s="1"/>
  <c r="BR340" i="1"/>
  <c r="S297" i="1"/>
  <c r="T297" i="1" s="1"/>
  <c r="S143" i="1"/>
  <c r="T143" i="1" s="1"/>
  <c r="BR143" i="1"/>
  <c r="S195" i="1"/>
  <c r="T195" i="1" s="1"/>
  <c r="BR195" i="1"/>
  <c r="S253" i="1"/>
  <c r="T253" i="1" s="1"/>
  <c r="BR253" i="1"/>
  <c r="S50" i="1"/>
  <c r="T50" i="1" s="1"/>
  <c r="BR50" i="1"/>
  <c r="S330" i="1"/>
  <c r="T330" i="1" s="1"/>
  <c r="BR330" i="1"/>
  <c r="S300" i="1"/>
  <c r="T300" i="1" s="1"/>
  <c r="S255" i="1"/>
  <c r="T255" i="1" s="1"/>
  <c r="BR255" i="1"/>
  <c r="S328" i="1"/>
  <c r="T328" i="1" s="1"/>
  <c r="BR328" i="1"/>
  <c r="S280" i="1"/>
  <c r="T280" i="1" s="1"/>
  <c r="S256" i="1"/>
  <c r="T256" i="1" s="1"/>
  <c r="BR256" i="1"/>
  <c r="BR159" i="1"/>
  <c r="S171" i="1"/>
  <c r="T171" i="1" s="1"/>
  <c r="BR171" i="1"/>
  <c r="S321" i="1"/>
  <c r="T321" i="1" s="1"/>
  <c r="BR321" i="1"/>
  <c r="S329" i="1"/>
  <c r="T329" i="1" s="1"/>
  <c r="BR329" i="1"/>
  <c r="S199" i="1"/>
  <c r="T199" i="1" s="1"/>
  <c r="BR199" i="1"/>
  <c r="S299" i="1"/>
  <c r="T299" i="1" s="1"/>
  <c r="S306" i="1"/>
  <c r="T306" i="1" s="1"/>
  <c r="BR306" i="1"/>
  <c r="BR95" i="1"/>
  <c r="S281" i="1"/>
  <c r="T281" i="1" s="1"/>
  <c r="S326" i="1"/>
  <c r="T326" i="1" s="1"/>
  <c r="BR326" i="1"/>
  <c r="S334" i="1"/>
  <c r="T334" i="1" s="1"/>
  <c r="BR334" i="1"/>
  <c r="S348" i="1"/>
  <c r="T348" i="1" s="1"/>
  <c r="BR348" i="1"/>
  <c r="S347" i="1"/>
  <c r="T347" i="1" s="1"/>
  <c r="BR347" i="1"/>
  <c r="S322" i="1"/>
  <c r="T322" i="1" s="1"/>
  <c r="BR322" i="1"/>
  <c r="S339" i="1"/>
  <c r="T339" i="1" s="1"/>
  <c r="BR339" i="1"/>
  <c r="S294" i="1"/>
  <c r="T294" i="1" s="1"/>
  <c r="S316" i="1"/>
  <c r="T316" i="1" s="1"/>
  <c r="BR316" i="1"/>
  <c r="S200" i="1"/>
  <c r="T200" i="1" s="1"/>
  <c r="BR200" i="1"/>
  <c r="S196" i="1"/>
  <c r="T196" i="1" s="1"/>
  <c r="BR196" i="1"/>
  <c r="S203" i="1"/>
  <c r="T203" i="1" s="1"/>
  <c r="BR203" i="1"/>
  <c r="N59" i="1"/>
  <c r="Q59" i="1" s="1"/>
  <c r="H52" i="9"/>
  <c r="H6" i="9" s="1"/>
  <c r="H5" i="9"/>
  <c r="S11" i="1"/>
  <c r="T11" i="1" s="1"/>
  <c r="O152" i="10"/>
  <c r="S95" i="1"/>
  <c r="T95" i="1" s="1"/>
  <c r="S186" i="1"/>
  <c r="T186" i="1" s="1"/>
  <c r="S193" i="1"/>
  <c r="T193" i="1" s="1"/>
  <c r="G491" i="10"/>
  <c r="S319" i="1"/>
  <c r="T319" i="1" s="1"/>
  <c r="S311" i="1"/>
  <c r="T311" i="1" s="1"/>
  <c r="S303" i="1"/>
  <c r="T303" i="1" s="1"/>
  <c r="S239" i="1"/>
  <c r="T239" i="1" s="1"/>
  <c r="G503" i="10"/>
  <c r="S265" i="1"/>
  <c r="T265" i="1" s="1"/>
  <c r="G573" i="10"/>
  <c r="S14" i="1"/>
  <c r="T14" i="1" s="1"/>
  <c r="S97" i="1"/>
  <c r="T97" i="1" s="1"/>
  <c r="S49" i="1"/>
  <c r="T49" i="1" s="1"/>
  <c r="O156" i="10"/>
  <c r="S313" i="1"/>
  <c r="T313" i="1" s="1"/>
  <c r="S324" i="1"/>
  <c r="T324" i="1" s="1"/>
  <c r="S252" i="1"/>
  <c r="T252" i="1" s="1"/>
  <c r="G571" i="10"/>
  <c r="S197" i="1"/>
  <c r="T197" i="1" s="1"/>
  <c r="G490" i="10"/>
  <c r="O154" i="10"/>
  <c r="S46" i="1"/>
  <c r="T46" i="1" s="1"/>
  <c r="S335" i="1"/>
  <c r="T335" i="1" s="1"/>
  <c r="S194" i="1"/>
  <c r="T194" i="1" s="1"/>
  <c r="G492" i="10"/>
  <c r="S191" i="1"/>
  <c r="T191" i="1" s="1"/>
  <c r="G485" i="10"/>
  <c r="S315" i="1"/>
  <c r="T315" i="1" s="1"/>
  <c r="T188" i="1"/>
  <c r="G488" i="10"/>
  <c r="S192" i="1"/>
  <c r="T192" i="1" s="1"/>
  <c r="G486" i="10"/>
  <c r="S189" i="1"/>
  <c r="T189" i="1" s="1"/>
  <c r="G489" i="10"/>
  <c r="S47" i="1"/>
  <c r="T47" i="1" s="1"/>
  <c r="S251" i="1"/>
  <c r="T251" i="1" s="1"/>
  <c r="S244" i="1"/>
  <c r="T244" i="1" s="1"/>
  <c r="G507" i="10"/>
  <c r="S266" i="1"/>
  <c r="T266" i="1" s="1"/>
  <c r="G574" i="10"/>
  <c r="S254" i="1"/>
  <c r="T254" i="1" s="1"/>
  <c r="G568" i="10"/>
  <c r="S308" i="1"/>
  <c r="T308" i="1" s="1"/>
  <c r="S64" i="1"/>
  <c r="T64" i="1" s="1"/>
  <c r="N32" i="1"/>
  <c r="Q32" i="1" s="1"/>
  <c r="Q17" i="1"/>
  <c r="S17" i="1" s="1"/>
  <c r="T17" i="1" s="1"/>
  <c r="S18" i="1"/>
  <c r="T18" i="1" s="1"/>
  <c r="I13" i="7"/>
  <c r="L13" i="7" s="1"/>
  <c r="I15" i="7"/>
  <c r="L15" i="7" s="1"/>
  <c r="I16" i="7"/>
  <c r="L16" i="7" s="1"/>
  <c r="Q175" i="1"/>
  <c r="I134" i="6"/>
  <c r="Q22" i="1"/>
  <c r="I20" i="7"/>
  <c r="L20" i="7" s="1"/>
  <c r="G597" i="10" s="1"/>
  <c r="Q92" i="1"/>
  <c r="I73" i="6"/>
  <c r="L73" i="6" s="1"/>
  <c r="I135" i="6"/>
  <c r="Q121" i="1"/>
  <c r="T91" i="6" s="1"/>
  <c r="I91" i="6"/>
  <c r="L91" i="6" s="1"/>
  <c r="N120" i="1"/>
  <c r="Q25" i="1"/>
  <c r="I15" i="6"/>
  <c r="L15" i="6" s="1"/>
  <c r="J3" i="9" s="1"/>
  <c r="J5" i="9" s="1"/>
  <c r="J13" i="9" s="1"/>
  <c r="I92" i="6"/>
  <c r="L92" i="6" s="1"/>
  <c r="AD3" i="9" s="1"/>
  <c r="AD5" i="9" s="1"/>
  <c r="AD22" i="9" s="1"/>
  <c r="AD6" i="9" s="1"/>
  <c r="N123" i="1"/>
  <c r="Q124" i="1"/>
  <c r="I77" i="6"/>
  <c r="Q167" i="1"/>
  <c r="I97" i="6"/>
  <c r="L97" i="6" s="1"/>
  <c r="AF3" i="9" s="1"/>
  <c r="AF5" i="9" s="1"/>
  <c r="N166" i="1"/>
  <c r="I12" i="7"/>
  <c r="L12" i="7" s="1"/>
  <c r="Q84" i="1"/>
  <c r="I59" i="6"/>
  <c r="L59" i="6" s="1"/>
  <c r="Q170" i="1"/>
  <c r="I122" i="6"/>
  <c r="T19" i="7"/>
  <c r="I19" i="7"/>
  <c r="N350" i="1"/>
  <c r="G567" i="10"/>
  <c r="I14" i="7"/>
  <c r="L14" i="7" s="1"/>
  <c r="Q172" i="1"/>
  <c r="I124" i="6"/>
  <c r="L124" i="6" s="1"/>
  <c r="AI3" i="9" s="1"/>
  <c r="AI5" i="9" s="1"/>
  <c r="AI6" i="9" s="1"/>
  <c r="Q43" i="1" l="1"/>
  <c r="T20" i="6" s="1"/>
  <c r="I65" i="6"/>
  <c r="N86" i="1"/>
  <c r="Q87" i="1"/>
  <c r="S156" i="1"/>
  <c r="T156" i="1" s="1"/>
  <c r="F320" i="10"/>
  <c r="G320" i="10" s="1"/>
  <c r="S116" i="1"/>
  <c r="T116" i="1" s="1"/>
  <c r="L17" i="7"/>
  <c r="D74" i="17"/>
  <c r="D76" i="17" s="1"/>
  <c r="H141" i="10"/>
  <c r="BR23" i="1"/>
  <c r="BR24" i="1"/>
  <c r="I51" i="18" s="1"/>
  <c r="BR132" i="1"/>
  <c r="BR133" i="1"/>
  <c r="BR136" i="1"/>
  <c r="G357" i="10"/>
  <c r="Q82" i="1"/>
  <c r="Q81" i="1" s="1"/>
  <c r="S81" i="1" s="1"/>
  <c r="T81" i="1" s="1"/>
  <c r="N81" i="1"/>
  <c r="S15" i="1"/>
  <c r="T15" i="1" s="1"/>
  <c r="BP15" i="1"/>
  <c r="BR15" i="1" s="1"/>
  <c r="S135" i="1"/>
  <c r="T135" i="1" s="1"/>
  <c r="BR69" i="1"/>
  <c r="S133" i="1"/>
  <c r="T133" i="1" s="1"/>
  <c r="BR92" i="1"/>
  <c r="J279" i="10"/>
  <c r="S112" i="1"/>
  <c r="T112" i="1" s="1"/>
  <c r="BR158" i="1"/>
  <c r="G495" i="10"/>
  <c r="J516" i="10" s="1"/>
  <c r="I33" i="6"/>
  <c r="L33" i="6" s="1"/>
  <c r="P3" i="9" s="1"/>
  <c r="P5" i="9" s="1"/>
  <c r="P23" i="9" s="1"/>
  <c r="P6" i="9" s="1"/>
  <c r="G359" i="10"/>
  <c r="S139" i="1"/>
  <c r="T139" i="1" s="1"/>
  <c r="BR114" i="1"/>
  <c r="F319" i="10"/>
  <c r="G319" i="10" s="1"/>
  <c r="BR144" i="1"/>
  <c r="BR148" i="1"/>
  <c r="G610" i="10"/>
  <c r="Q79" i="1"/>
  <c r="S79" i="1" s="1"/>
  <c r="T79" i="1" s="1"/>
  <c r="G603" i="10"/>
  <c r="G606" i="10" s="1"/>
  <c r="F322" i="10"/>
  <c r="S111" i="1"/>
  <c r="T111" i="1" s="1"/>
  <c r="I52" i="6"/>
  <c r="L52" i="6" s="1"/>
  <c r="L51" i="6" s="1"/>
  <c r="S51" i="1"/>
  <c r="T51" i="1" s="1"/>
  <c r="G376" i="10"/>
  <c r="G362" i="10" s="1"/>
  <c r="Q90" i="1"/>
  <c r="I14" i="6"/>
  <c r="L14" i="6" s="1"/>
  <c r="I3" i="9" s="1"/>
  <c r="I5" i="9" s="1"/>
  <c r="I24" i="9" s="1"/>
  <c r="E24" i="9" s="1"/>
  <c r="E21" i="8" s="1"/>
  <c r="G21" i="8" s="1"/>
  <c r="S60" i="1"/>
  <c r="T60" i="1" s="1"/>
  <c r="N75" i="1"/>
  <c r="I10" i="6"/>
  <c r="I9" i="6" s="1"/>
  <c r="BR55" i="1"/>
  <c r="H143" i="10"/>
  <c r="Q76" i="1"/>
  <c r="S76" i="1" s="1"/>
  <c r="T76" i="1" s="1"/>
  <c r="S157" i="1"/>
  <c r="T157" i="1" s="1"/>
  <c r="S136" i="1"/>
  <c r="T136" i="1" s="1"/>
  <c r="N106" i="1"/>
  <c r="H139" i="10"/>
  <c r="I88" i="6"/>
  <c r="L88" i="6" s="1"/>
  <c r="BR142" i="1"/>
  <c r="G378" i="18" s="1"/>
  <c r="G361" i="18" s="1"/>
  <c r="I34" i="6"/>
  <c r="L34" i="6" s="1"/>
  <c r="Q3" i="9" s="1"/>
  <c r="Q5" i="9" s="1"/>
  <c r="Q20" i="9" s="1"/>
  <c r="Q6" i="9" s="1"/>
  <c r="S117" i="1"/>
  <c r="T117" i="1" s="1"/>
  <c r="S52" i="1"/>
  <c r="T52" i="1" s="1"/>
  <c r="BR78" i="1"/>
  <c r="S134" i="1"/>
  <c r="T134" i="1" s="1"/>
  <c r="L29" i="6"/>
  <c r="L28" i="6" s="1"/>
  <c r="N28" i="6" s="1"/>
  <c r="Q38" i="1"/>
  <c r="T19" i="6" s="1"/>
  <c r="I96" i="6"/>
  <c r="BR48" i="1"/>
  <c r="G539" i="10"/>
  <c r="G541" i="10" s="1"/>
  <c r="G469" i="18"/>
  <c r="G553" i="10"/>
  <c r="I90" i="6"/>
  <c r="L90" i="6" s="1"/>
  <c r="AB3" i="9" s="1"/>
  <c r="AB5" i="9" s="1"/>
  <c r="AB22" i="9" s="1"/>
  <c r="AB6" i="9" s="1"/>
  <c r="F321" i="10"/>
  <c r="G321" i="10" s="1"/>
  <c r="I72" i="6"/>
  <c r="L72" i="6" s="1"/>
  <c r="X3" i="9" s="1"/>
  <c r="X5" i="9" s="1"/>
  <c r="X36" i="9" s="1"/>
  <c r="X6" i="9" s="1"/>
  <c r="AF44" i="9"/>
  <c r="E44" i="9" s="1"/>
  <c r="E41" i="8" s="1"/>
  <c r="G41" i="8" s="1"/>
  <c r="S24" i="1"/>
  <c r="T24" i="1" s="1"/>
  <c r="BR140" i="1"/>
  <c r="M3" i="9"/>
  <c r="M5" i="9" s="1"/>
  <c r="M20" i="9" s="1"/>
  <c r="M6" i="9" s="1"/>
  <c r="G125" i="10"/>
  <c r="BR310" i="1"/>
  <c r="G551" i="10"/>
  <c r="H551" i="10" s="1"/>
  <c r="S114" i="1"/>
  <c r="T114" i="1" s="1"/>
  <c r="BR146" i="1"/>
  <c r="S146" i="1"/>
  <c r="T146" i="1" s="1"/>
  <c r="BP34" i="1"/>
  <c r="BR34" i="1" s="1"/>
  <c r="S34" i="1"/>
  <c r="T34" i="1" s="1"/>
  <c r="BR147" i="1"/>
  <c r="S147" i="1"/>
  <c r="T147" i="1" s="1"/>
  <c r="T14" i="6"/>
  <c r="I47" i="10"/>
  <c r="N126" i="1"/>
  <c r="I95" i="6"/>
  <c r="L95" i="6" s="1"/>
  <c r="N95" i="6" s="1"/>
  <c r="Q127" i="1"/>
  <c r="BR71" i="1"/>
  <c r="S71" i="1"/>
  <c r="T71" i="1" s="1"/>
  <c r="I49" i="10"/>
  <c r="S23" i="1"/>
  <c r="T23" i="1" s="1"/>
  <c r="G577" i="18"/>
  <c r="G555" i="18"/>
  <c r="G371" i="18"/>
  <c r="G357" i="18"/>
  <c r="K65" i="18"/>
  <c r="G270" i="18"/>
  <c r="G272" i="18" s="1"/>
  <c r="AB3" i="17"/>
  <c r="G139" i="18"/>
  <c r="M3" i="17"/>
  <c r="H3" i="17"/>
  <c r="H51" i="17" s="1"/>
  <c r="O3" i="17"/>
  <c r="N97" i="6"/>
  <c r="V28" i="6"/>
  <c r="T76" i="6"/>
  <c r="G604" i="18"/>
  <c r="BR352" i="1"/>
  <c r="T20" i="7"/>
  <c r="G605" i="18" s="1"/>
  <c r="T6" i="7"/>
  <c r="T122" i="6"/>
  <c r="F420" i="18" s="1"/>
  <c r="BR175" i="1"/>
  <c r="T134" i="6"/>
  <c r="BR130" i="1"/>
  <c r="S172" i="1"/>
  <c r="T172" i="1" s="1"/>
  <c r="F317" i="10"/>
  <c r="S107" i="1"/>
  <c r="T107" i="1" s="1"/>
  <c r="T88" i="6"/>
  <c r="BR121" i="1"/>
  <c r="BR120" i="1" s="1"/>
  <c r="BP120" i="1"/>
  <c r="S91" i="1"/>
  <c r="T91" i="1" s="1"/>
  <c r="BR70" i="1"/>
  <c r="BR31" i="1"/>
  <c r="BR43" i="1"/>
  <c r="S124" i="1"/>
  <c r="T124" i="1" s="1"/>
  <c r="T92" i="6"/>
  <c r="G349" i="18" s="1"/>
  <c r="BP87" i="1"/>
  <c r="T67" i="6" s="1"/>
  <c r="S167" i="1"/>
  <c r="T167" i="1" s="1"/>
  <c r="BP167" i="1"/>
  <c r="T97" i="6" s="1"/>
  <c r="V97" i="6" s="1"/>
  <c r="S32" i="1"/>
  <c r="T32" i="1" s="1"/>
  <c r="BP32" i="1"/>
  <c r="BR32" i="1" s="1"/>
  <c r="G575" i="10"/>
  <c r="G577" i="10" s="1"/>
  <c r="BR351" i="1"/>
  <c r="BP350" i="1"/>
  <c r="S59" i="1"/>
  <c r="T59" i="1" s="1"/>
  <c r="BR59" i="1"/>
  <c r="T58" i="6"/>
  <c r="BR170" i="1"/>
  <c r="BR18" i="1"/>
  <c r="BP17" i="1"/>
  <c r="BR237" i="1"/>
  <c r="S84" i="1"/>
  <c r="T84" i="1" s="1"/>
  <c r="S25" i="1"/>
  <c r="T25" i="1" s="1"/>
  <c r="H144" i="10"/>
  <c r="S175" i="1"/>
  <c r="T175" i="1" s="1"/>
  <c r="H165" i="10"/>
  <c r="O158" i="10" s="1"/>
  <c r="O159" i="10" s="1"/>
  <c r="S70" i="1"/>
  <c r="T70" i="1" s="1"/>
  <c r="F327" i="10"/>
  <c r="G327" i="10" s="1"/>
  <c r="I24" i="6"/>
  <c r="L24" i="6" s="1"/>
  <c r="L18" i="6" s="1"/>
  <c r="T3" i="9"/>
  <c r="T5" i="9" s="1"/>
  <c r="I285" i="10"/>
  <c r="W3" i="9"/>
  <c r="W5" i="9" s="1"/>
  <c r="W36" i="9" s="1"/>
  <c r="G103" i="10"/>
  <c r="L3" i="9"/>
  <c r="L5" i="9" s="1"/>
  <c r="N91" i="6"/>
  <c r="AC3" i="9"/>
  <c r="AC5" i="9" s="1"/>
  <c r="AC22" i="9" s="1"/>
  <c r="AC6" i="9" s="1"/>
  <c r="V32" i="9"/>
  <c r="V6" i="9" s="1"/>
  <c r="Y3" i="9"/>
  <c r="U3" i="9"/>
  <c r="U5" i="9" s="1"/>
  <c r="U12" i="9" s="1"/>
  <c r="J6" i="9"/>
  <c r="S3" i="9"/>
  <c r="S5" i="9" s="1"/>
  <c r="S12" i="9" s="1"/>
  <c r="S170" i="1"/>
  <c r="T170" i="1" s="1"/>
  <c r="G501" i="10"/>
  <c r="G508" i="10" s="1"/>
  <c r="G510" i="10" s="1"/>
  <c r="N124" i="6"/>
  <c r="G440" i="10"/>
  <c r="N59" i="6"/>
  <c r="N15" i="6"/>
  <c r="G75" i="10"/>
  <c r="S68" i="1"/>
  <c r="T68" i="1" s="1"/>
  <c r="N20" i="6"/>
  <c r="N92" i="6"/>
  <c r="G350" i="10"/>
  <c r="S130" i="1"/>
  <c r="T130" i="1" s="1"/>
  <c r="S22" i="1"/>
  <c r="T22" i="1" s="1"/>
  <c r="S236" i="1"/>
  <c r="T236" i="1" s="1"/>
  <c r="Q120" i="1"/>
  <c r="S120" i="1" s="1"/>
  <c r="T120" i="1" s="1"/>
  <c r="S121" i="1"/>
  <c r="T121" i="1" s="1"/>
  <c r="S261" i="1"/>
  <c r="T261" i="1" s="1"/>
  <c r="Q86" i="1"/>
  <c r="S86" i="1" s="1"/>
  <c r="T86" i="1" s="1"/>
  <c r="S87" i="1"/>
  <c r="T87" i="1" s="1"/>
  <c r="S110" i="1"/>
  <c r="T110" i="1" s="1"/>
  <c r="I16" i="6"/>
  <c r="L16" i="6" s="1"/>
  <c r="H83" i="10" s="1"/>
  <c r="Q106" i="1"/>
  <c r="Q123" i="1"/>
  <c r="S123" i="1" s="1"/>
  <c r="T123" i="1" s="1"/>
  <c r="Q166" i="1"/>
  <c r="S166" i="1" s="1"/>
  <c r="T166" i="1" s="1"/>
  <c r="S31" i="1"/>
  <c r="T31" i="1" s="1"/>
  <c r="S43" i="1"/>
  <c r="T43" i="1" s="1"/>
  <c r="Q350" i="1"/>
  <c r="I8" i="7"/>
  <c r="I10" i="7" s="1"/>
  <c r="I17" i="7" s="1"/>
  <c r="L122" i="6"/>
  <c r="F440" i="10" s="1"/>
  <c r="I121" i="6"/>
  <c r="L57" i="6"/>
  <c r="N58" i="6"/>
  <c r="I57" i="6"/>
  <c r="I76" i="6"/>
  <c r="L77" i="6"/>
  <c r="Z3" i="9" s="1"/>
  <c r="Z5" i="9" s="1"/>
  <c r="Z23" i="9" s="1"/>
  <c r="Z6" i="9" s="1"/>
  <c r="N70" i="6"/>
  <c r="N19" i="6"/>
  <c r="L134" i="6"/>
  <c r="I133" i="6"/>
  <c r="L19" i="7"/>
  <c r="G596" i="10" s="1"/>
  <c r="I21" i="7"/>
  <c r="L65" i="6"/>
  <c r="N65" i="6" s="1"/>
  <c r="N67" i="6"/>
  <c r="F397" i="18" l="1"/>
  <c r="F398" i="18"/>
  <c r="G372" i="18"/>
  <c r="E12" i="9"/>
  <c r="T32" i="9"/>
  <c r="T6" i="9" s="1"/>
  <c r="G358" i="18"/>
  <c r="S90" i="1"/>
  <c r="T90" i="1" s="1"/>
  <c r="S82" i="1"/>
  <c r="T82" i="1" s="1"/>
  <c r="T33" i="6"/>
  <c r="T73" i="6"/>
  <c r="J515" i="10"/>
  <c r="K279" i="10"/>
  <c r="K278" i="10" s="1"/>
  <c r="K283" i="10" s="1"/>
  <c r="J278" i="10"/>
  <c r="J283" i="10" s="1"/>
  <c r="T90" i="6"/>
  <c r="N33" i="6"/>
  <c r="L96" i="6"/>
  <c r="H363" i="10" s="1"/>
  <c r="T70" i="6"/>
  <c r="V70" i="6" s="1"/>
  <c r="T53" i="6"/>
  <c r="T52" i="6"/>
  <c r="N14" i="6"/>
  <c r="F318" i="10"/>
  <c r="F325" i="10" s="1"/>
  <c r="F330" i="10" s="1"/>
  <c r="L10" i="6"/>
  <c r="N52" i="6"/>
  <c r="I51" i="6"/>
  <c r="I50" i="6" s="1"/>
  <c r="R3" i="9"/>
  <c r="R5" i="9" s="1"/>
  <c r="G363" i="10"/>
  <c r="J519" i="10"/>
  <c r="J517" i="10"/>
  <c r="J518" i="10"/>
  <c r="T16" i="7"/>
  <c r="G496" i="10"/>
  <c r="K487" i="10"/>
  <c r="L487" i="10" s="1"/>
  <c r="K485" i="10"/>
  <c r="L485" i="10" s="1"/>
  <c r="K488" i="10"/>
  <c r="L488" i="10" s="1"/>
  <c r="K489" i="10"/>
  <c r="L489" i="10" s="1"/>
  <c r="K486" i="10"/>
  <c r="L486" i="10" s="1"/>
  <c r="K490" i="10"/>
  <c r="L490" i="10" s="1"/>
  <c r="K491" i="10"/>
  <c r="L491" i="10" s="1"/>
  <c r="J520" i="10"/>
  <c r="K492" i="10"/>
  <c r="L492" i="10" s="1"/>
  <c r="J521" i="10"/>
  <c r="J522" i="10"/>
  <c r="K493" i="10"/>
  <c r="L493" i="10" s="1"/>
  <c r="I286" i="10"/>
  <c r="L32" i="6"/>
  <c r="N32" i="6" s="1"/>
  <c r="Q75" i="1"/>
  <c r="S75" i="1" s="1"/>
  <c r="T75" i="1" s="1"/>
  <c r="N90" i="6"/>
  <c r="H145" i="10"/>
  <c r="H147" i="10" s="1"/>
  <c r="I32" i="6"/>
  <c r="N72" i="6"/>
  <c r="I69" i="6"/>
  <c r="BR22" i="1"/>
  <c r="I48" i="18" s="1"/>
  <c r="I52" i="18" s="1"/>
  <c r="I87" i="6"/>
  <c r="I85" i="6" s="1"/>
  <c r="L69" i="6"/>
  <c r="N34" i="6"/>
  <c r="BR68" i="1"/>
  <c r="G263" i="18" s="1"/>
  <c r="G265" i="18" s="1"/>
  <c r="S38" i="1"/>
  <c r="T38" i="1" s="1"/>
  <c r="O3" i="9"/>
  <c r="O5" i="9" s="1"/>
  <c r="O21" i="9" s="1"/>
  <c r="E21" i="9" s="1"/>
  <c r="E18" i="8" s="1"/>
  <c r="G18" i="8" s="1"/>
  <c r="N29" i="6"/>
  <c r="H189" i="10"/>
  <c r="BR38" i="1"/>
  <c r="G318" i="10"/>
  <c r="G356" i="18"/>
  <c r="AF6" i="9"/>
  <c r="H88" i="18"/>
  <c r="H91" i="18" s="1"/>
  <c r="T96" i="6"/>
  <c r="G370" i="18"/>
  <c r="AE3" i="17"/>
  <c r="G560" i="10"/>
  <c r="G562" i="10" s="1"/>
  <c r="I51" i="10"/>
  <c r="K374" i="10" s="1"/>
  <c r="BP127" i="1"/>
  <c r="S127" i="1"/>
  <c r="T127" i="1" s="1"/>
  <c r="Q126" i="1"/>
  <c r="S126" i="1" s="1"/>
  <c r="T126" i="1" s="1"/>
  <c r="T34" i="6"/>
  <c r="T10" i="6"/>
  <c r="T9" i="6" s="1"/>
  <c r="BR12" i="1"/>
  <c r="G482" i="18"/>
  <c r="G374" i="18"/>
  <c r="H465" i="18"/>
  <c r="H475" i="18" s="1"/>
  <c r="G561" i="18"/>
  <c r="G568" i="18" s="1"/>
  <c r="G570" i="18" s="1"/>
  <c r="AD3" i="17"/>
  <c r="BR17" i="1"/>
  <c r="L3" i="17"/>
  <c r="G121" i="18"/>
  <c r="P3" i="17"/>
  <c r="AC3" i="17"/>
  <c r="AF3" i="17"/>
  <c r="Q3" i="17"/>
  <c r="AA3" i="17"/>
  <c r="AH3" i="17"/>
  <c r="BR350" i="1"/>
  <c r="T13" i="7"/>
  <c r="T14" i="7"/>
  <c r="T8" i="7"/>
  <c r="T10" i="7" s="1"/>
  <c r="BR236" i="1"/>
  <c r="T12" i="7"/>
  <c r="G606" i="18"/>
  <c r="T21" i="7"/>
  <c r="T121" i="6"/>
  <c r="T16" i="6"/>
  <c r="V32" i="6"/>
  <c r="T24" i="6"/>
  <c r="V3" i="17"/>
  <c r="T65" i="6"/>
  <c r="BR25" i="1"/>
  <c r="T15" i="6"/>
  <c r="BR84" i="1"/>
  <c r="T59" i="6"/>
  <c r="I246" i="18" s="1"/>
  <c r="I240" i="18"/>
  <c r="BR91" i="1"/>
  <c r="T72" i="6"/>
  <c r="V72" i="6" s="1"/>
  <c r="BR172" i="1"/>
  <c r="T124" i="6"/>
  <c r="G420" i="18" s="1"/>
  <c r="V121" i="6"/>
  <c r="G270" i="10"/>
  <c r="BR261" i="1"/>
  <c r="BR107" i="1"/>
  <c r="BR106" i="1" s="1"/>
  <c r="BP106" i="1"/>
  <c r="BR82" i="1"/>
  <c r="BP81" i="1"/>
  <c r="BP166" i="1"/>
  <c r="BR167" i="1"/>
  <c r="BR166" i="1" s="1"/>
  <c r="BP86" i="1"/>
  <c r="BR87" i="1"/>
  <c r="BR110" i="1"/>
  <c r="BR124" i="1"/>
  <c r="BR123" i="1" s="1"/>
  <c r="BP123" i="1"/>
  <c r="N3" i="9"/>
  <c r="I18" i="6"/>
  <c r="F328" i="10"/>
  <c r="F331" i="10" s="1"/>
  <c r="H317" i="10"/>
  <c r="G317" i="10" s="1"/>
  <c r="I6" i="9"/>
  <c r="N134" i="6"/>
  <c r="AJ3" i="9"/>
  <c r="AJ5" i="9" s="1"/>
  <c r="AJ10" i="9" s="1"/>
  <c r="AH3" i="9"/>
  <c r="AH5" i="9" s="1"/>
  <c r="L20" i="9"/>
  <c r="S6" i="9"/>
  <c r="H310" i="10"/>
  <c r="AA3" i="9"/>
  <c r="AA5" i="9" s="1"/>
  <c r="AA22" i="9" s="1"/>
  <c r="W6" i="9"/>
  <c r="E36" i="9"/>
  <c r="E33" i="8" s="1"/>
  <c r="G33" i="8" s="1"/>
  <c r="N16" i="6"/>
  <c r="K3" i="9"/>
  <c r="K5" i="9" s="1"/>
  <c r="E23" i="9"/>
  <c r="E20" i="8" s="1"/>
  <c r="H167" i="10"/>
  <c r="J162" i="10"/>
  <c r="J161" i="10"/>
  <c r="J153" i="10"/>
  <c r="J160" i="10"/>
  <c r="J159" i="10"/>
  <c r="J154" i="10"/>
  <c r="J152" i="10"/>
  <c r="J158" i="10"/>
  <c r="J155" i="10"/>
  <c r="J164" i="10"/>
  <c r="J157" i="10"/>
  <c r="J156" i="10"/>
  <c r="J163" i="10"/>
  <c r="N57" i="6"/>
  <c r="L21" i="7"/>
  <c r="L23" i="7" s="1"/>
  <c r="G622" i="10" s="1"/>
  <c r="G644" i="10" s="1"/>
  <c r="S106" i="1"/>
  <c r="T106" i="1" s="1"/>
  <c r="L13" i="6"/>
  <c r="N13" i="6" s="1"/>
  <c r="I13" i="6"/>
  <c r="I23" i="7"/>
  <c r="I28" i="7" s="1"/>
  <c r="N88" i="6"/>
  <c r="N51" i="6"/>
  <c r="L50" i="6"/>
  <c r="L121" i="6"/>
  <c r="L76" i="6"/>
  <c r="N76" i="6" s="1"/>
  <c r="N77" i="6"/>
  <c r="I120" i="6"/>
  <c r="I68" i="18" l="1"/>
  <c r="I54" i="18"/>
  <c r="G3" i="9"/>
  <c r="G5" i="9" s="1"/>
  <c r="R32" i="9"/>
  <c r="E32" i="9" s="1"/>
  <c r="E29" i="8" s="1"/>
  <c r="K35" i="9"/>
  <c r="E35" i="9" s="1"/>
  <c r="E32" i="8" s="1"/>
  <c r="G32" i="8" s="1"/>
  <c r="G362" i="18"/>
  <c r="G363" i="18" s="1"/>
  <c r="T32" i="6"/>
  <c r="K373" i="18"/>
  <c r="L87" i="6"/>
  <c r="L85" i="6" s="1"/>
  <c r="BR76" i="1"/>
  <c r="BR90" i="1"/>
  <c r="AE3" i="9"/>
  <c r="N10" i="6"/>
  <c r="BP75" i="1"/>
  <c r="BR79" i="1"/>
  <c r="G20" i="8"/>
  <c r="L9" i="6"/>
  <c r="L7" i="6" s="1"/>
  <c r="K140" i="10"/>
  <c r="K144" i="10"/>
  <c r="K143" i="10"/>
  <c r="K141" i="10"/>
  <c r="I39" i="6"/>
  <c r="K142" i="10"/>
  <c r="K139" i="10"/>
  <c r="G355" i="18"/>
  <c r="G484" i="18"/>
  <c r="I65" i="10"/>
  <c r="T95" i="6"/>
  <c r="BR127" i="1"/>
  <c r="BR126" i="1" s="1"/>
  <c r="BP126" i="1"/>
  <c r="E51" i="17"/>
  <c r="I49" i="8" s="1"/>
  <c r="G34" i="18"/>
  <c r="B8" i="46"/>
  <c r="D8" i="46" s="1"/>
  <c r="G379" i="18"/>
  <c r="H184" i="18"/>
  <c r="I88" i="18"/>
  <c r="I91" i="18" s="1"/>
  <c r="G583" i="18"/>
  <c r="G585" i="18" s="1"/>
  <c r="G549" i="18"/>
  <c r="G611" i="18"/>
  <c r="H468" i="18"/>
  <c r="H474" i="18"/>
  <c r="H473" i="18"/>
  <c r="H471" i="18"/>
  <c r="H472" i="18"/>
  <c r="H467" i="18"/>
  <c r="H466" i="18"/>
  <c r="H470" i="18"/>
  <c r="H469" i="18"/>
  <c r="BR86" i="1"/>
  <c r="G278" i="18"/>
  <c r="G279" i="18" s="1"/>
  <c r="Z3" i="17"/>
  <c r="H308" i="18"/>
  <c r="S3" i="17"/>
  <c r="AG3" i="17"/>
  <c r="J3" i="17"/>
  <c r="K68" i="18"/>
  <c r="K3" i="17"/>
  <c r="T3" i="17"/>
  <c r="I3" i="17"/>
  <c r="N3" i="17"/>
  <c r="H92" i="18"/>
  <c r="R3" i="17"/>
  <c r="G598" i="10"/>
  <c r="U3" i="17"/>
  <c r="V9" i="6"/>
  <c r="V23" i="7"/>
  <c r="J7" i="8" s="1"/>
  <c r="J16" i="8" s="1"/>
  <c r="I143" i="6"/>
  <c r="I118" i="6"/>
  <c r="V87" i="6"/>
  <c r="V65" i="6"/>
  <c r="V120" i="6"/>
  <c r="BR81" i="1"/>
  <c r="T51" i="6"/>
  <c r="T57" i="6"/>
  <c r="V69" i="6"/>
  <c r="I251" i="18"/>
  <c r="T69" i="6"/>
  <c r="T13" i="6"/>
  <c r="V18" i="6"/>
  <c r="T18" i="6"/>
  <c r="I7" i="6"/>
  <c r="G328" i="10"/>
  <c r="O6" i="9"/>
  <c r="AA6" i="9"/>
  <c r="E9" i="8"/>
  <c r="G9" i="8" s="1"/>
  <c r="E34" i="9"/>
  <c r="E31" i="8" s="1"/>
  <c r="G31" i="8" s="1"/>
  <c r="U6" i="9"/>
  <c r="AH42" i="9"/>
  <c r="E42" i="9" s="1"/>
  <c r="AJ6" i="9"/>
  <c r="L6" i="9"/>
  <c r="G379" i="10"/>
  <c r="G52" i="8"/>
  <c r="N121" i="6"/>
  <c r="G14" i="10"/>
  <c r="G14" i="18" s="1"/>
  <c r="L39" i="6"/>
  <c r="N50" i="6"/>
  <c r="G52" i="9" l="1"/>
  <c r="G6" i="9" s="1"/>
  <c r="R6" i="9"/>
  <c r="J26" i="8"/>
  <c r="J47" i="8" s="1"/>
  <c r="J54" i="8" s="1"/>
  <c r="G387" i="18"/>
  <c r="H379" i="18"/>
  <c r="BR75" i="1"/>
  <c r="N9" i="6"/>
  <c r="I83" i="6"/>
  <c r="I145" i="6" s="1"/>
  <c r="I375" i="10"/>
  <c r="G364" i="10"/>
  <c r="G36" i="18"/>
  <c r="K183" i="18"/>
  <c r="H186" i="18"/>
  <c r="V28" i="7"/>
  <c r="G625" i="18"/>
  <c r="G635" i="18" s="1"/>
  <c r="G642" i="18" s="1"/>
  <c r="T87" i="6"/>
  <c r="T85" i="6" s="1"/>
  <c r="M315" i="18"/>
  <c r="M326" i="18" s="1"/>
  <c r="H325" i="10"/>
  <c r="I374" i="18"/>
  <c r="I378" i="18"/>
  <c r="I371" i="18"/>
  <c r="I373" i="18"/>
  <c r="I370" i="18"/>
  <c r="I376" i="18"/>
  <c r="I375" i="18"/>
  <c r="I372" i="18"/>
  <c r="H165" i="18"/>
  <c r="K173" i="18"/>
  <c r="K172" i="18"/>
  <c r="K182" i="18"/>
  <c r="K174" i="18"/>
  <c r="K178" i="18"/>
  <c r="K175" i="18"/>
  <c r="K177" i="18"/>
  <c r="K176" i="18"/>
  <c r="K180" i="18"/>
  <c r="K179" i="18"/>
  <c r="G290" i="18"/>
  <c r="G289" i="18"/>
  <c r="K228" i="18"/>
  <c r="V7" i="6"/>
  <c r="V118" i="6"/>
  <c r="V85" i="6"/>
  <c r="T7" i="6"/>
  <c r="V50" i="6"/>
  <c r="T50" i="6"/>
  <c r="T39" i="6" s="1"/>
  <c r="G356" i="10"/>
  <c r="AH6" i="9"/>
  <c r="K6" i="9"/>
  <c r="E48" i="9"/>
  <c r="E39" i="8"/>
  <c r="E36" i="8"/>
  <c r="G36" i="8" s="1"/>
  <c r="G29" i="8"/>
  <c r="E39" i="9"/>
  <c r="G387" i="10"/>
  <c r="I374" i="10"/>
  <c r="I377" i="10"/>
  <c r="I372" i="10"/>
  <c r="I371" i="10"/>
  <c r="I378" i="10"/>
  <c r="I376" i="10"/>
  <c r="I373" i="10"/>
  <c r="L28" i="7"/>
  <c r="L83" i="6"/>
  <c r="V30" i="7" l="1"/>
  <c r="G785" i="18" s="1"/>
  <c r="G787" i="18" s="1"/>
  <c r="E52" i="9"/>
  <c r="E49" i="8" s="1"/>
  <c r="G49" i="8" s="1"/>
  <c r="H433" i="10"/>
  <c r="F7" i="8"/>
  <c r="F16" i="8" s="1"/>
  <c r="F26" i="8" s="1"/>
  <c r="F47" i="8" s="1"/>
  <c r="F54" i="8" s="1"/>
  <c r="G641" i="18"/>
  <c r="J420" i="18"/>
  <c r="K49" i="8"/>
  <c r="H164" i="18"/>
  <c r="H167" i="18"/>
  <c r="V143" i="6"/>
  <c r="T83" i="6"/>
  <c r="V39" i="6"/>
  <c r="V83" i="6" s="1"/>
  <c r="H364" i="10"/>
  <c r="G39" i="8"/>
  <c r="E45" i="8"/>
  <c r="G45" i="8" s="1"/>
  <c r="G628" i="10"/>
  <c r="G657" i="18" l="1"/>
  <c r="I432" i="10"/>
  <c r="I433" i="10" s="1"/>
  <c r="G652" i="18"/>
  <c r="V145" i="6"/>
  <c r="N668" i="18" l="1"/>
  <c r="Q668" i="18" s="1"/>
  <c r="I330" i="10"/>
  <c r="G323" i="10"/>
  <c r="G322" i="18" s="1"/>
  <c r="I322" i="18" s="1"/>
  <c r="U668" i="18" l="1"/>
  <c r="H640" i="18" s="1"/>
  <c r="N670" i="18"/>
  <c r="G322" i="10"/>
  <c r="G325" i="10" s="1"/>
  <c r="M322" i="18"/>
  <c r="R322" i="18" s="1"/>
  <c r="K270" i="5"/>
  <c r="K271" i="5"/>
  <c r="X668" i="18" l="1"/>
  <c r="U670" i="18"/>
  <c r="G321" i="18"/>
  <c r="H321" i="18"/>
  <c r="D18" i="33" l="1"/>
  <c r="E18" i="33" l="1"/>
  <c r="G243" i="18" l="1"/>
  <c r="G248" i="18"/>
  <c r="G252" i="18" l="1"/>
  <c r="G514" i="18" l="1"/>
  <c r="G515" i="18"/>
  <c r="G516" i="18" l="1"/>
  <c r="G615" i="18" s="1"/>
  <c r="G520" i="18" l="1"/>
  <c r="G618" i="18"/>
  <c r="G614" i="18"/>
  <c r="Q9" i="7"/>
  <c r="AI3" i="17"/>
  <c r="AW31" i="1"/>
  <c r="BR67" i="1"/>
  <c r="BR63" i="1"/>
  <c r="AW151" i="1"/>
  <c r="Q96" i="6" s="1"/>
  <c r="BN67" i="1"/>
  <c r="BN63" i="1"/>
  <c r="AW67" i="1"/>
  <c r="AW63" i="1"/>
  <c r="BM67" i="1"/>
  <c r="BM63" i="1"/>
  <c r="BL67" i="1"/>
  <c r="BL63" i="1"/>
  <c r="AN67" i="1"/>
  <c r="AN63" i="1"/>
  <c r="AE67" i="1"/>
  <c r="AE63" i="1"/>
  <c r="AC67" i="1"/>
  <c r="AC63" i="1"/>
  <c r="AB67" i="1"/>
  <c r="AB63" i="1"/>
  <c r="BQ67" i="1"/>
  <c r="BQ63" i="1"/>
  <c r="BH185" i="1"/>
  <c r="BH209" i="1"/>
  <c r="BH235" i="1"/>
  <c r="BH250" i="1"/>
  <c r="AZ109" i="1"/>
  <c r="BL250" i="1"/>
  <c r="BL235" i="1"/>
  <c r="BL209" i="1"/>
  <c r="BL185" i="1"/>
  <c r="BM185" i="1"/>
  <c r="BM209" i="1"/>
  <c r="BM235" i="1"/>
  <c r="BM250" i="1"/>
  <c r="BA109" i="1"/>
  <c r="BQ109" i="1"/>
  <c r="BM109" i="1"/>
  <c r="BI109" i="1"/>
  <c r="BE109" i="1"/>
  <c r="BM10" i="1"/>
  <c r="BM21" i="1"/>
  <c r="BM30" i="1"/>
  <c r="BM37" i="1"/>
  <c r="BM41" i="1"/>
  <c r="BM45" i="1"/>
  <c r="BM89" i="1"/>
  <c r="BM94" i="1"/>
  <c r="BM169" i="1"/>
  <c r="BM129" i="1"/>
  <c r="BL302" i="1"/>
  <c r="BL271" i="1"/>
  <c r="BI250" i="1"/>
  <c r="BI235" i="1"/>
  <c r="BI209" i="1"/>
  <c r="BI185" i="1"/>
  <c r="BM302" i="1"/>
  <c r="BM271" i="1"/>
  <c r="BQ185" i="1"/>
  <c r="BQ209" i="1"/>
  <c r="BQ235" i="1"/>
  <c r="BQ302" i="1"/>
  <c r="BQ271" i="1"/>
  <c r="BQ250" i="1"/>
  <c r="BE185" i="1"/>
  <c r="BE209" i="1"/>
  <c r="BE235" i="1"/>
  <c r="BE250" i="1"/>
  <c r="AZ185" i="1"/>
  <c r="AZ209" i="1"/>
  <c r="AZ235" i="1"/>
  <c r="AZ302" i="1"/>
  <c r="AZ271" i="1"/>
  <c r="AZ250" i="1"/>
  <c r="BA250" i="1"/>
  <c r="BA235" i="1"/>
  <c r="BA209" i="1"/>
  <c r="BA185" i="1"/>
  <c r="BD109" i="1"/>
  <c r="BB109" i="1"/>
  <c r="BN10" i="1"/>
  <c r="BN21" i="1"/>
  <c r="BN30" i="1"/>
  <c r="BN37" i="1"/>
  <c r="BN41" i="1"/>
  <c r="BN45" i="1"/>
  <c r="BN89" i="1"/>
  <c r="BN94" i="1"/>
  <c r="BN109" i="1"/>
  <c r="BN169" i="1"/>
  <c r="BN129" i="1"/>
  <c r="BH94" i="1"/>
  <c r="BH89" i="1"/>
  <c r="BH45" i="1"/>
  <c r="BH41" i="1"/>
  <c r="BH37" i="1"/>
  <c r="BH30" i="1"/>
  <c r="BH21" i="1"/>
  <c r="BH10" i="1"/>
  <c r="AZ169" i="1"/>
  <c r="AZ129" i="1"/>
  <c r="AZ94" i="1"/>
  <c r="AZ89" i="1"/>
  <c r="AZ45" i="1"/>
  <c r="AZ41" i="1"/>
  <c r="AZ37" i="1"/>
  <c r="AZ30" i="1"/>
  <c r="AZ21" i="1"/>
  <c r="AZ10" i="1"/>
  <c r="BA302" i="1"/>
  <c r="BA271" i="1"/>
  <c r="BD250" i="1"/>
  <c r="BD235" i="1"/>
  <c r="BD209" i="1"/>
  <c r="BD185" i="1"/>
  <c r="BN185" i="1"/>
  <c r="BN209" i="1"/>
  <c r="BN235" i="1"/>
  <c r="BN250" i="1"/>
  <c r="BN302" i="1"/>
  <c r="BN271" i="1"/>
  <c r="BL109" i="1"/>
  <c r="BE94" i="1"/>
  <c r="BE89" i="1"/>
  <c r="BE45" i="1"/>
  <c r="BE41" i="1"/>
  <c r="BE37" i="1"/>
  <c r="BE30" i="1"/>
  <c r="BE21" i="1"/>
  <c r="BE10" i="1"/>
  <c r="BA129" i="1"/>
  <c r="BA94" i="1"/>
  <c r="BA89" i="1"/>
  <c r="BA45" i="1"/>
  <c r="BA41" i="1"/>
  <c r="BA37" i="1"/>
  <c r="BA30" i="1"/>
  <c r="BA21" i="1"/>
  <c r="BA10" i="1"/>
  <c r="BQ129" i="1"/>
  <c r="BQ94" i="1"/>
  <c r="BQ89" i="1"/>
  <c r="BQ45" i="1"/>
  <c r="BQ41" i="1"/>
  <c r="BQ37" i="1"/>
  <c r="BQ30" i="1"/>
  <c r="BQ21" i="1"/>
  <c r="BQ10" i="1"/>
  <c r="BJ302" i="1"/>
  <c r="BJ271" i="1"/>
  <c r="BJ250" i="1"/>
  <c r="BJ235" i="1"/>
  <c r="BJ209" i="1"/>
  <c r="BJ185" i="1"/>
  <c r="BH302" i="1"/>
  <c r="BH271" i="1"/>
  <c r="BB302" i="1"/>
  <c r="BB271" i="1"/>
  <c r="BB250" i="1"/>
  <c r="BB235" i="1"/>
  <c r="BB209" i="1"/>
  <c r="BB185" i="1"/>
  <c r="BH169" i="1"/>
  <c r="BH129" i="1"/>
  <c r="BH109" i="1"/>
  <c r="BI129" i="1"/>
  <c r="BI94" i="1"/>
  <c r="BI89" i="1"/>
  <c r="BI45" i="1"/>
  <c r="BI41" i="1"/>
  <c r="BI37" i="1"/>
  <c r="BI30" i="1"/>
  <c r="BI21" i="1"/>
  <c r="BI10" i="1"/>
  <c r="BJ109" i="1"/>
  <c r="BE129" i="1"/>
  <c r="BL10" i="1"/>
  <c r="BL21" i="1"/>
  <c r="BL30" i="1"/>
  <c r="BL37" i="1"/>
  <c r="BL41" i="1"/>
  <c r="BL45" i="1"/>
  <c r="BL89" i="1"/>
  <c r="BL94" i="1"/>
  <c r="BL169" i="1"/>
  <c r="BL129" i="1"/>
  <c r="BF109" i="1"/>
  <c r="BB94" i="1"/>
  <c r="BB89" i="1"/>
  <c r="BB45" i="1"/>
  <c r="BB41" i="1"/>
  <c r="BB37" i="1"/>
  <c r="BB30" i="1"/>
  <c r="BB21" i="1"/>
  <c r="BB10" i="1"/>
  <c r="BF302" i="1"/>
  <c r="BF271" i="1"/>
  <c r="BF250" i="1"/>
  <c r="BF235" i="1"/>
  <c r="BF209" i="1"/>
  <c r="BF185" i="1"/>
  <c r="BE302" i="1"/>
  <c r="BE271" i="1"/>
  <c r="BD302" i="1"/>
  <c r="BD271" i="1"/>
  <c r="BF94" i="1"/>
  <c r="BF89" i="1"/>
  <c r="BF45" i="1"/>
  <c r="BF41" i="1"/>
  <c r="BF37" i="1"/>
  <c r="BF30" i="1"/>
  <c r="BF21" i="1"/>
  <c r="BF10" i="1"/>
  <c r="BJ94" i="1"/>
  <c r="BJ89" i="1"/>
  <c r="BJ45" i="1"/>
  <c r="BJ41" i="1"/>
  <c r="BJ37" i="1"/>
  <c r="BJ30" i="1"/>
  <c r="BJ21" i="1"/>
  <c r="BJ10" i="1"/>
  <c r="BF129" i="1"/>
  <c r="BI302" i="1"/>
  <c r="BI271" i="1"/>
  <c r="BD169" i="1"/>
  <c r="BD129" i="1"/>
  <c r="BD94" i="1"/>
  <c r="BD89" i="1"/>
  <c r="BD45" i="1"/>
  <c r="BD41" i="1"/>
  <c r="BD37" i="1"/>
  <c r="BD30" i="1"/>
  <c r="BD21" i="1"/>
  <c r="BD10" i="1"/>
  <c r="BJ129" i="1"/>
  <c r="BB129" i="1"/>
  <c r="AW111" i="1"/>
  <c r="AR185" i="1"/>
  <c r="AR209" i="1"/>
  <c r="AR235" i="1"/>
  <c r="AR250" i="1"/>
  <c r="Z185" i="1"/>
  <c r="Z209" i="1"/>
  <c r="Z235" i="1"/>
  <c r="Z250" i="1"/>
  <c r="AL185" i="1"/>
  <c r="AL209" i="1"/>
  <c r="AL235" i="1"/>
  <c r="AL250" i="1"/>
  <c r="AK185" i="1"/>
  <c r="AK209" i="1"/>
  <c r="AK235" i="1"/>
  <c r="AK250" i="1"/>
  <c r="AC185" i="1"/>
  <c r="AC209" i="1"/>
  <c r="AC235" i="1"/>
  <c r="AJ185" i="1"/>
  <c r="AJ209" i="1"/>
  <c r="AJ235" i="1"/>
  <c r="AJ250" i="1"/>
  <c r="AB235" i="1"/>
  <c r="AB209" i="1"/>
  <c r="AB185" i="1"/>
  <c r="AA250" i="1"/>
  <c r="AA235" i="1"/>
  <c r="AA209" i="1"/>
  <c r="AA185" i="1"/>
  <c r="AE235" i="1"/>
  <c r="AG185" i="1"/>
  <c r="AG209" i="1"/>
  <c r="AG235" i="1"/>
  <c r="AG250" i="1"/>
  <c r="AF185" i="1"/>
  <c r="AF209" i="1"/>
  <c r="AF235" i="1"/>
  <c r="AF250" i="1"/>
  <c r="AH250" i="1"/>
  <c r="AH235" i="1"/>
  <c r="AH209" i="1"/>
  <c r="AH185" i="1"/>
  <c r="AB109" i="1"/>
  <c r="AW94" i="1"/>
  <c r="AW45" i="1"/>
  <c r="AW41" i="1"/>
  <c r="AW37" i="1"/>
  <c r="AW21" i="1"/>
  <c r="AW10" i="1"/>
  <c r="Z302" i="1"/>
  <c r="Z271" i="1"/>
  <c r="Z109" i="1"/>
  <c r="AR302" i="1"/>
  <c r="AR271" i="1"/>
  <c r="AK302" i="1"/>
  <c r="AK271" i="1"/>
  <c r="AA302" i="1"/>
  <c r="AA271" i="1"/>
  <c r="AC109" i="1"/>
  <c r="AB94" i="1"/>
  <c r="AB45" i="1"/>
  <c r="AB41" i="1"/>
  <c r="AB37" i="1"/>
  <c r="AB30" i="1"/>
  <c r="AB21" i="1"/>
  <c r="AB10" i="1"/>
  <c r="AJ10" i="1"/>
  <c r="AJ21" i="1"/>
  <c r="AJ30" i="1"/>
  <c r="AJ37" i="1"/>
  <c r="AJ41" i="1"/>
  <c r="AJ45" i="1"/>
  <c r="AJ89" i="1"/>
  <c r="AJ94" i="1"/>
  <c r="AK94" i="1"/>
  <c r="AK89" i="1"/>
  <c r="AK45" i="1"/>
  <c r="AK41" i="1"/>
  <c r="AK37" i="1"/>
  <c r="AK30" i="1"/>
  <c r="AK21" i="1"/>
  <c r="AK10" i="1"/>
  <c r="AC129" i="1"/>
  <c r="AC94" i="1"/>
  <c r="AC45" i="1"/>
  <c r="AC41" i="1"/>
  <c r="AC37" i="1"/>
  <c r="AC30" i="1"/>
  <c r="AC21" i="1"/>
  <c r="AC10" i="1"/>
  <c r="AL109" i="1"/>
  <c r="AG109" i="1"/>
  <c r="AA109" i="1"/>
  <c r="AB129" i="1"/>
  <c r="AF94" i="1"/>
  <c r="AF89" i="1"/>
  <c r="AF45" i="1"/>
  <c r="AF41" i="1"/>
  <c r="AF37" i="1"/>
  <c r="AF30" i="1"/>
  <c r="AF21" i="1"/>
  <c r="AF10" i="1"/>
  <c r="AR94" i="1"/>
  <c r="AR89" i="1"/>
  <c r="AR45" i="1"/>
  <c r="AR41" i="1"/>
  <c r="AR37" i="1"/>
  <c r="AR30" i="1"/>
  <c r="AR21" i="1"/>
  <c r="AR10" i="1"/>
  <c r="AJ302" i="1"/>
  <c r="AJ271" i="1"/>
  <c r="AT45" i="1"/>
  <c r="AT41" i="1"/>
  <c r="AT37" i="1"/>
  <c r="AT30" i="1"/>
  <c r="AT21" i="1"/>
  <c r="AT10" i="1"/>
  <c r="AA10" i="1"/>
  <c r="AA21" i="1"/>
  <c r="AA30" i="1"/>
  <c r="AA37" i="1"/>
  <c r="AA41" i="1"/>
  <c r="AA45" i="1"/>
  <c r="AA89" i="1"/>
  <c r="AA94" i="1"/>
  <c r="AG129" i="1"/>
  <c r="AG94" i="1"/>
  <c r="AG89" i="1"/>
  <c r="AG45" i="1"/>
  <c r="AG41" i="1"/>
  <c r="AG37" i="1"/>
  <c r="AG30" i="1"/>
  <c r="AG21" i="1"/>
  <c r="AG10" i="1"/>
  <c r="AF129" i="1"/>
  <c r="AF109" i="1"/>
  <c r="AL129" i="1"/>
  <c r="AL94" i="1"/>
  <c r="AL89" i="1"/>
  <c r="AL45" i="1"/>
  <c r="AL41" i="1"/>
  <c r="AL37" i="1"/>
  <c r="AL30" i="1"/>
  <c r="AL21" i="1"/>
  <c r="AL10" i="1"/>
  <c r="AS45" i="1"/>
  <c r="AS41" i="1"/>
  <c r="AS37" i="1"/>
  <c r="AS30" i="1"/>
  <c r="AS21" i="1"/>
  <c r="AS10" i="1"/>
  <c r="Z10" i="1"/>
  <c r="Z21" i="1"/>
  <c r="Z30" i="1"/>
  <c r="Z37" i="1"/>
  <c r="Z41" i="1"/>
  <c r="Z45" i="1"/>
  <c r="Z89" i="1"/>
  <c r="Z94" i="1"/>
  <c r="Z169" i="1"/>
  <c r="Z129" i="1"/>
  <c r="AA129" i="1"/>
  <c r="AF302" i="1"/>
  <c r="AF271" i="1"/>
  <c r="AG302" i="1"/>
  <c r="AG271" i="1"/>
  <c r="AK129" i="1"/>
  <c r="AK109" i="1"/>
  <c r="AJ169" i="1"/>
  <c r="AJ129" i="1"/>
  <c r="AJ109" i="1"/>
  <c r="AR169" i="1"/>
  <c r="AR129" i="1"/>
  <c r="AR109" i="1"/>
  <c r="AH109" i="1"/>
  <c r="AB302" i="1"/>
  <c r="AB271" i="1"/>
  <c r="AE109" i="1"/>
  <c r="AE129" i="1"/>
  <c r="AE94" i="1"/>
  <c r="AE89" i="1"/>
  <c r="AE45" i="1"/>
  <c r="AE41" i="1"/>
  <c r="AE37" i="1"/>
  <c r="AE30" i="1"/>
  <c r="AE10" i="1"/>
  <c r="AH94" i="1"/>
  <c r="AH89" i="1"/>
  <c r="AH45" i="1"/>
  <c r="AH41" i="1"/>
  <c r="AH37" i="1"/>
  <c r="AH30" i="1"/>
  <c r="AH21" i="1"/>
  <c r="AH10" i="1"/>
  <c r="AH129" i="1"/>
  <c r="AN45" i="1"/>
  <c r="AN41" i="1"/>
  <c r="AN37" i="1"/>
  <c r="AN30" i="1"/>
  <c r="AN21" i="1"/>
  <c r="AN10" i="1"/>
  <c r="J185" i="1"/>
  <c r="J209" i="1"/>
  <c r="J235" i="1"/>
  <c r="J250" i="1"/>
  <c r="K185" i="1"/>
  <c r="K209" i="1"/>
  <c r="K235" i="1"/>
  <c r="I250" i="1"/>
  <c r="I235" i="1"/>
  <c r="I185" i="1"/>
  <c r="AW185" i="1"/>
  <c r="AW209" i="1"/>
  <c r="AW235" i="1"/>
  <c r="J302" i="1"/>
  <c r="J271" i="1"/>
  <c r="J109" i="1"/>
  <c r="K94" i="1"/>
  <c r="I271" i="1"/>
  <c r="I169" i="1"/>
  <c r="I129" i="1"/>
  <c r="I109" i="1"/>
  <c r="J94" i="1"/>
  <c r="J89" i="1"/>
  <c r="I94" i="1"/>
  <c r="I89" i="1"/>
  <c r="O185" i="1"/>
  <c r="O209" i="1"/>
  <c r="O235" i="1"/>
  <c r="O250" i="1"/>
  <c r="O10" i="1"/>
  <c r="P89" i="1"/>
  <c r="P94" i="1"/>
  <c r="P109" i="1"/>
  <c r="K109" i="1"/>
  <c r="J129" i="1"/>
  <c r="K67" i="1"/>
  <c r="K63" i="1"/>
  <c r="K41" i="1"/>
  <c r="K37" i="1"/>
  <c r="K30" i="1"/>
  <c r="K21" i="1"/>
  <c r="K10" i="1"/>
  <c r="J67" i="1"/>
  <c r="J63" i="1"/>
  <c r="J45" i="1"/>
  <c r="J41" i="1"/>
  <c r="J37" i="1"/>
  <c r="J30" i="1"/>
  <c r="J21" i="1"/>
  <c r="J10" i="1"/>
  <c r="I67" i="1"/>
  <c r="I63" i="1"/>
  <c r="I45" i="1"/>
  <c r="I41" i="1"/>
  <c r="I37" i="1"/>
  <c r="I30" i="1"/>
  <c r="I21" i="1"/>
  <c r="I10" i="1"/>
  <c r="O67" i="1"/>
  <c r="O63" i="1"/>
  <c r="O45" i="1"/>
  <c r="O41" i="1"/>
  <c r="O37" i="1"/>
  <c r="O30" i="1"/>
  <c r="O21" i="1"/>
  <c r="O94" i="1"/>
  <c r="O89" i="1"/>
  <c r="P67" i="1"/>
  <c r="P63" i="1"/>
  <c r="P45" i="1"/>
  <c r="P41" i="1"/>
  <c r="P37" i="1"/>
  <c r="P30" i="1"/>
  <c r="P20" i="1" s="1"/>
  <c r="P10" i="1"/>
  <c r="P250" i="1"/>
  <c r="P235" i="1"/>
  <c r="P209" i="1"/>
  <c r="P185" i="1"/>
  <c r="O302" i="1"/>
  <c r="O271" i="1"/>
  <c r="P302" i="1"/>
  <c r="O109" i="1"/>
  <c r="O129" i="1"/>
  <c r="P129" i="1"/>
  <c r="AL302" i="1"/>
  <c r="AL271" i="1"/>
  <c r="AW110" i="1"/>
  <c r="AW302" i="1"/>
  <c r="AW271" i="1"/>
  <c r="Q250" i="1"/>
  <c r="Q235" i="1"/>
  <c r="Q209" i="1"/>
  <c r="Q185" i="1"/>
  <c r="N250" i="1"/>
  <c r="N235" i="1"/>
  <c r="N209" i="1"/>
  <c r="N185" i="1"/>
  <c r="N109" i="1"/>
  <c r="N89" i="1"/>
  <c r="N94" i="1"/>
  <c r="N169" i="1"/>
  <c r="N129" i="1"/>
  <c r="N302" i="1"/>
  <c r="Q94" i="1"/>
  <c r="Q89" i="1"/>
  <c r="L94" i="1"/>
  <c r="BR250" i="1"/>
  <c r="BR235" i="1"/>
  <c r="BR209" i="1"/>
  <c r="BR185" i="1"/>
  <c r="BP250" i="1"/>
  <c r="BP235" i="1"/>
  <c r="BP209" i="1"/>
  <c r="L235" i="1"/>
  <c r="L209" i="1"/>
  <c r="L185" i="1"/>
  <c r="BP302" i="1"/>
  <c r="Q67" i="1"/>
  <c r="Q63" i="1"/>
  <c r="Q45" i="1"/>
  <c r="Q41" i="1"/>
  <c r="Q37" i="1"/>
  <c r="Q30" i="1"/>
  <c r="Q21" i="1"/>
  <c r="Q10" i="1"/>
  <c r="Q129" i="1"/>
  <c r="Q109" i="1"/>
  <c r="L109" i="1"/>
  <c r="BP109" i="1"/>
  <c r="Q302" i="1"/>
  <c r="Q271" i="1"/>
  <c r="N67" i="1"/>
  <c r="N63" i="1"/>
  <c r="N45" i="1"/>
  <c r="N41" i="1"/>
  <c r="N37" i="1"/>
  <c r="N30" i="1"/>
  <c r="N21" i="1"/>
  <c r="N10" i="1"/>
  <c r="BP129" i="1"/>
  <c r="BP94" i="1"/>
  <c r="BP89" i="1"/>
  <c r="BP45" i="1"/>
  <c r="BP41" i="1"/>
  <c r="BP37" i="1"/>
  <c r="BP30" i="1"/>
  <c r="BP21" i="1"/>
  <c r="BP10" i="1"/>
  <c r="BR109" i="1"/>
  <c r="BR129" i="1"/>
  <c r="BR94" i="1"/>
  <c r="BR89" i="1"/>
  <c r="BR45" i="1"/>
  <c r="BR41" i="1"/>
  <c r="BR37" i="1"/>
  <c r="BR30" i="1"/>
  <c r="BR21" i="1"/>
  <c r="BR10" i="1"/>
  <c r="L67" i="1"/>
  <c r="L63" i="1"/>
  <c r="L41" i="1"/>
  <c r="L37" i="1"/>
  <c r="L30" i="1"/>
  <c r="L21" i="1"/>
  <c r="L10" i="1"/>
  <c r="BR302" i="1"/>
  <c r="K302" i="1"/>
  <c r="K271" i="1"/>
  <c r="L302" i="1"/>
  <c r="AC302" i="1"/>
  <c r="AC271" i="1"/>
  <c r="AH302" i="1"/>
  <c r="AH271" i="1"/>
  <c r="BQ73" i="1" l="1"/>
  <c r="BP73" i="1"/>
  <c r="AE358" i="1"/>
  <c r="AE360" i="1" s="1"/>
  <c r="Q73" i="1"/>
  <c r="P358" i="1"/>
  <c r="BL104" i="1"/>
  <c r="BL179" i="1" s="1"/>
  <c r="O104" i="1"/>
  <c r="O20" i="1"/>
  <c r="AC104" i="1"/>
  <c r="O73" i="1"/>
  <c r="S209" i="1"/>
  <c r="T209" i="1" s="1"/>
  <c r="S271" i="1"/>
  <c r="T271" i="1" s="1"/>
  <c r="BN73" i="1"/>
  <c r="BD104" i="1"/>
  <c r="BD179" i="1" s="1"/>
  <c r="BM73" i="1"/>
  <c r="BE104" i="1"/>
  <c r="N104" i="1"/>
  <c r="N179" i="1" s="1"/>
  <c r="I73" i="1"/>
  <c r="AE73" i="1"/>
  <c r="AR104" i="1"/>
  <c r="AR179" i="1" s="1"/>
  <c r="AR73" i="1"/>
  <c r="AJ73" i="1"/>
  <c r="BB104" i="1"/>
  <c r="AB104" i="1"/>
  <c r="AE9" i="1"/>
  <c r="AZ104" i="1"/>
  <c r="AZ179" i="1" s="1"/>
  <c r="S185" i="1"/>
  <c r="T185" i="1" s="1"/>
  <c r="BR73" i="1"/>
  <c r="S109" i="1"/>
  <c r="T109" i="1" s="1"/>
  <c r="J104" i="1"/>
  <c r="L20" i="1"/>
  <c r="O9" i="1"/>
  <c r="BM104" i="1"/>
  <c r="BM179" i="1" s="1"/>
  <c r="S37" i="1"/>
  <c r="T37" i="1" s="1"/>
  <c r="AJ358" i="1"/>
  <c r="AJ360" i="1" s="1"/>
  <c r="BF104" i="1"/>
  <c r="BE73" i="1"/>
  <c r="BA104" i="1"/>
  <c r="N20" i="1"/>
  <c r="BP104" i="1"/>
  <c r="BQ9" i="1"/>
  <c r="N9" i="1"/>
  <c r="Q104" i="1"/>
  <c r="Q358" i="1"/>
  <c r="L36" i="7" s="1"/>
  <c r="AH104" i="1"/>
  <c r="AA22" i="31" s="1"/>
  <c r="AA73" i="1"/>
  <c r="AL73" i="1"/>
  <c r="Z104" i="1"/>
  <c r="Z179" i="1" s="1"/>
  <c r="AH358" i="1"/>
  <c r="C40" i="31" s="1"/>
  <c r="C46" i="31" s="1"/>
  <c r="AL358" i="1"/>
  <c r="C115" i="31" s="1"/>
  <c r="C116" i="31" s="1"/>
  <c r="J358" i="1"/>
  <c r="K20" i="1"/>
  <c r="AW109" i="1"/>
  <c r="AW129" i="1"/>
  <c r="Q90" i="6"/>
  <c r="Q87" i="6" s="1"/>
  <c r="Q85" i="6" s="1"/>
  <c r="S63" i="1"/>
  <c r="T63" i="1" s="1"/>
  <c r="N73" i="1"/>
  <c r="S21" i="1"/>
  <c r="T21" i="1" s="1"/>
  <c r="BR104" i="1"/>
  <c r="AJ104" i="1"/>
  <c r="AJ179" i="1" s="1"/>
  <c r="AC9" i="1"/>
  <c r="AR358" i="1"/>
  <c r="AR360" i="1" s="1"/>
  <c r="BF358" i="1"/>
  <c r="BH73" i="1"/>
  <c r="BI104" i="1"/>
  <c r="J9" i="1"/>
  <c r="BL73" i="1"/>
  <c r="BI73" i="1"/>
  <c r="BD358" i="1"/>
  <c r="BD360" i="1" s="1"/>
  <c r="Q10" i="7"/>
  <c r="J73" i="1"/>
  <c r="S302" i="1"/>
  <c r="T302" i="1" s="1"/>
  <c r="S41" i="1"/>
  <c r="T41" i="1" s="1"/>
  <c r="Q20" i="1"/>
  <c r="J20" i="1"/>
  <c r="O358" i="1"/>
  <c r="J36" i="7" s="1"/>
  <c r="I104" i="1"/>
  <c r="I179" i="1" s="1"/>
  <c r="AH73" i="1"/>
  <c r="AF358" i="1"/>
  <c r="AF176" i="1" s="1"/>
  <c r="AA358" i="1"/>
  <c r="AA176" i="1" s="1"/>
  <c r="BJ104" i="1"/>
  <c r="BB358" i="1"/>
  <c r="I358" i="1"/>
  <c r="AA104" i="1"/>
  <c r="BH104" i="1"/>
  <c r="BH179" i="1" s="1"/>
  <c r="AZ73" i="1"/>
  <c r="P9" i="1"/>
  <c r="AL104" i="1"/>
  <c r="BL9" i="1"/>
  <c r="AZ358" i="1"/>
  <c r="AZ360" i="1" s="1"/>
  <c r="BH358" i="1"/>
  <c r="BH360" i="1" s="1"/>
  <c r="BI67" i="1"/>
  <c r="BI63" i="1" s="1"/>
  <c r="BI9" i="1" s="1"/>
  <c r="S10" i="1"/>
  <c r="T10" i="1" s="1"/>
  <c r="S67" i="1"/>
  <c r="T67" i="1" s="1"/>
  <c r="Q9" i="1"/>
  <c r="S235" i="1"/>
  <c r="T235" i="1" s="1"/>
  <c r="N358" i="1"/>
  <c r="N360" i="1" s="1"/>
  <c r="AS67" i="1"/>
  <c r="AS63" i="1" s="1"/>
  <c r="AS9" i="1" s="1"/>
  <c r="BR9" i="1"/>
  <c r="AB9" i="1"/>
  <c r="S94" i="1"/>
  <c r="T94" i="1" s="1"/>
  <c r="BP67" i="1"/>
  <c r="BP63" i="1" s="1"/>
  <c r="BP9" i="1" s="1"/>
  <c r="S30" i="1"/>
  <c r="T30" i="1" s="1"/>
  <c r="I9" i="1"/>
  <c r="Z358" i="1"/>
  <c r="Z360" i="1" s="1"/>
  <c r="BA358" i="1"/>
  <c r="I20" i="1"/>
  <c r="P104" i="1"/>
  <c r="AG104" i="1"/>
  <c r="AG358" i="1"/>
  <c r="AG176" i="1" s="1"/>
  <c r="BI358" i="1"/>
  <c r="BM9" i="1"/>
  <c r="P73" i="1"/>
  <c r="AN9" i="1"/>
  <c r="AE104" i="1"/>
  <c r="AE179" i="1" s="1"/>
  <c r="AK104" i="1"/>
  <c r="AF104" i="1"/>
  <c r="AR67" i="1"/>
  <c r="AR63" i="1" s="1"/>
  <c r="AR9" i="1" s="1"/>
  <c r="BJ358" i="1"/>
  <c r="AZ67" i="1"/>
  <c r="AZ63" i="1" s="1"/>
  <c r="AZ9" i="1" s="1"/>
  <c r="BN104" i="1"/>
  <c r="BN179" i="1" s="1"/>
  <c r="BN9" i="1"/>
  <c r="BM358" i="1"/>
  <c r="BM360" i="1" s="1"/>
  <c r="Q16" i="6"/>
  <c r="AW30" i="1"/>
  <c r="AW9" i="1" s="1"/>
  <c r="BQ358" i="1"/>
  <c r="AL67" i="1"/>
  <c r="AL63" i="1" s="1"/>
  <c r="AL9" i="1" s="1"/>
  <c r="AF73" i="1"/>
  <c r="BN358" i="1"/>
  <c r="BN360" i="1" s="1"/>
  <c r="BL358" i="1"/>
  <c r="BL360" i="1" s="1"/>
  <c r="AH67" i="1"/>
  <c r="AH63" i="1" s="1"/>
  <c r="AH9" i="1" s="1"/>
  <c r="AK73" i="1"/>
  <c r="AK358" i="1"/>
  <c r="BH67" i="1"/>
  <c r="BH63" i="1" s="1"/>
  <c r="BH9" i="1" s="1"/>
  <c r="BE358" i="1"/>
  <c r="BQ104" i="1"/>
  <c r="BE67" i="1"/>
  <c r="BE63" i="1" s="1"/>
  <c r="BE9" i="1" s="1"/>
  <c r="AG73" i="1"/>
  <c r="AA67" i="1"/>
  <c r="AA63" i="1" s="1"/>
  <c r="AA9" i="1" s="1"/>
  <c r="AJ67" i="1"/>
  <c r="AJ63" i="1" s="1"/>
  <c r="AJ9" i="1" s="1"/>
  <c r="BJ73" i="1"/>
  <c r="Z73" i="1"/>
  <c r="BF73" i="1"/>
  <c r="BA73" i="1"/>
  <c r="BD73" i="1"/>
  <c r="BB73" i="1"/>
  <c r="AA360" i="1" l="1"/>
  <c r="D46" i="31"/>
  <c r="D36" i="7"/>
  <c r="I360" i="1"/>
  <c r="N102" i="1"/>
  <c r="N181" i="1" s="1"/>
  <c r="Q102" i="1"/>
  <c r="O647" i="18"/>
  <c r="O657" i="18" s="1"/>
  <c r="AL102" i="1"/>
  <c r="BL102" i="1"/>
  <c r="BL181" i="1" s="1"/>
  <c r="AE102" i="1"/>
  <c r="AE181" i="1" s="1"/>
  <c r="BI102" i="1"/>
  <c r="AW104" i="1"/>
  <c r="O102" i="1"/>
  <c r="AA102" i="1"/>
  <c r="AR102" i="1"/>
  <c r="AR181" i="1" s="1"/>
  <c r="BR102" i="1"/>
  <c r="E36" i="7"/>
  <c r="J176" i="1"/>
  <c r="J360" i="1" s="1"/>
  <c r="BN102" i="1"/>
  <c r="BN181" i="1" s="1"/>
  <c r="BM102" i="1"/>
  <c r="BM181" i="1" s="1"/>
  <c r="AJ102" i="1"/>
  <c r="AJ181" i="1" s="1"/>
  <c r="BH102" i="1"/>
  <c r="BH181" i="1" s="1"/>
  <c r="P102" i="1"/>
  <c r="O360" i="1"/>
  <c r="Q647" i="18"/>
  <c r="Q657" i="18" s="1"/>
  <c r="G703" i="18" s="1"/>
  <c r="G704" i="18" s="1"/>
  <c r="BP102" i="1"/>
  <c r="BE102" i="1"/>
  <c r="S20" i="1"/>
  <c r="T20" i="1" s="1"/>
  <c r="I102" i="1"/>
  <c r="I181" i="1" s="1"/>
  <c r="AH102" i="1"/>
  <c r="AA21" i="31" s="1"/>
  <c r="BQ102" i="1"/>
  <c r="AZ102" i="1"/>
  <c r="AZ181" i="1" s="1"/>
  <c r="J102" i="1"/>
  <c r="Q13" i="6"/>
  <c r="Q7" i="6" s="1"/>
  <c r="AF169" i="1"/>
  <c r="AF179" i="1" s="1"/>
  <c r="P360" i="1"/>
  <c r="K36" i="7"/>
  <c r="AK67" i="1"/>
  <c r="AK63" i="1" s="1"/>
  <c r="AK9" i="1" s="1"/>
  <c r="AK102" i="1" s="1"/>
  <c r="BB67" i="1"/>
  <c r="BB63" i="1" s="1"/>
  <c r="BB9" i="1" s="1"/>
  <c r="BB102" i="1" s="1"/>
  <c r="BE176" i="1"/>
  <c r="BE360" i="1" s="1"/>
  <c r="I36" i="7"/>
  <c r="AT67" i="1"/>
  <c r="AT63" i="1" s="1"/>
  <c r="AT9" i="1" s="1"/>
  <c r="BA176" i="1"/>
  <c r="BA360" i="1" s="1"/>
  <c r="BD67" i="1"/>
  <c r="BD63" i="1" s="1"/>
  <c r="BD9" i="1" s="1"/>
  <c r="BD102" i="1" s="1"/>
  <c r="BD181" i="1" s="1"/>
  <c r="Z67" i="1"/>
  <c r="Z63" i="1" s="1"/>
  <c r="Z9" i="1" s="1"/>
  <c r="Z102" i="1" s="1"/>
  <c r="Z181" i="1" s="1"/>
  <c r="BA67" i="1"/>
  <c r="BA63" i="1" s="1"/>
  <c r="BA9" i="1" s="1"/>
  <c r="BA102" i="1" s="1"/>
  <c r="U36" i="7"/>
  <c r="BF67" i="1"/>
  <c r="BF63" i="1" s="1"/>
  <c r="BF9" i="1" s="1"/>
  <c r="BF102" i="1" s="1"/>
  <c r="AG67" i="1"/>
  <c r="AG63" i="1" s="1"/>
  <c r="AG9" i="1" s="1"/>
  <c r="AG102" i="1" s="1"/>
  <c r="AK176" i="1"/>
  <c r="AK360" i="1" s="1"/>
  <c r="BI176" i="1"/>
  <c r="BI360" i="1" s="1"/>
  <c r="AA169" i="1"/>
  <c r="AA179" i="1" s="1"/>
  <c r="BJ67" i="1"/>
  <c r="BJ63" i="1" s="1"/>
  <c r="BJ9" i="1" s="1"/>
  <c r="BJ102" i="1" s="1"/>
  <c r="AF67" i="1"/>
  <c r="AF63" i="1" s="1"/>
  <c r="AF9" i="1" s="1"/>
  <c r="AF102" i="1" s="1"/>
  <c r="AG169" i="1"/>
  <c r="AG179" i="1" s="1"/>
  <c r="C117" i="31"/>
  <c r="C118" i="31"/>
  <c r="H233" i="22" s="1"/>
  <c r="AF360" i="1"/>
  <c r="G689" i="18" l="1"/>
  <c r="G690" i="18" s="1"/>
  <c r="AA23" i="31"/>
  <c r="C32" i="31" s="1"/>
  <c r="C34" i="31" s="1"/>
  <c r="AG360" i="1"/>
  <c r="J688" i="18"/>
  <c r="J689" i="18" s="1"/>
  <c r="J702" i="18"/>
  <c r="J703" i="18" s="1"/>
  <c r="AA181" i="1"/>
  <c r="O169" i="1"/>
  <c r="O179" i="1" s="1"/>
  <c r="O181" i="1" s="1"/>
  <c r="J135" i="6"/>
  <c r="J133" i="6" s="1"/>
  <c r="J169" i="1"/>
  <c r="J179" i="1" s="1"/>
  <c r="J181" i="1" s="1"/>
  <c r="E135" i="6"/>
  <c r="AG181" i="1"/>
  <c r="U135" i="6"/>
  <c r="U133" i="6" s="1"/>
  <c r="U120" i="6" s="1"/>
  <c r="BQ169" i="1"/>
  <c r="BF176" i="1"/>
  <c r="BE169" i="1"/>
  <c r="BE179" i="1" s="1"/>
  <c r="BE181" i="1" s="1"/>
  <c r="K135" i="6"/>
  <c r="K133" i="6" s="1"/>
  <c r="K120" i="6" s="1"/>
  <c r="P169" i="1"/>
  <c r="P179" i="1" s="1"/>
  <c r="P181" i="1" s="1"/>
  <c r="Q176" i="1"/>
  <c r="L233" i="22"/>
  <c r="I234" i="22"/>
  <c r="L234" i="22" s="1"/>
  <c r="AW356" i="1" s="1"/>
  <c r="AH176" i="1"/>
  <c r="AH360" i="1" s="1"/>
  <c r="BB176" i="1"/>
  <c r="BA169" i="1"/>
  <c r="BA179" i="1" s="1"/>
  <c r="BA181" i="1" s="1"/>
  <c r="J695" i="18"/>
  <c r="J678" i="18"/>
  <c r="AL176" i="1"/>
  <c r="AK169" i="1"/>
  <c r="AK179" i="1" s="1"/>
  <c r="AK181" i="1" s="1"/>
  <c r="BJ176" i="1"/>
  <c r="BI169" i="1"/>
  <c r="BI179" i="1" s="1"/>
  <c r="BI181" i="1" s="1"/>
  <c r="AF181" i="1"/>
  <c r="BQ360" i="1"/>
  <c r="C36" i="31" l="1"/>
  <c r="BQ179" i="1"/>
  <c r="BQ181" i="1" s="1"/>
  <c r="E133" i="6"/>
  <c r="E120" i="6" s="1"/>
  <c r="E143" i="6" s="1"/>
  <c r="E145" i="6" s="1"/>
  <c r="H75" i="22"/>
  <c r="L75" i="22" s="1"/>
  <c r="K143" i="6"/>
  <c r="K145" i="6" s="1"/>
  <c r="K118" i="6"/>
  <c r="L135" i="6"/>
  <c r="J120" i="6"/>
  <c r="L133" i="6"/>
  <c r="BF169" i="1"/>
  <c r="BF179" i="1" s="1"/>
  <c r="BF181" i="1" s="1"/>
  <c r="BF360" i="1"/>
  <c r="BB169" i="1"/>
  <c r="BB179" i="1" s="1"/>
  <c r="BB181" i="1" s="1"/>
  <c r="BB360" i="1"/>
  <c r="BJ169" i="1"/>
  <c r="BJ179" i="1" s="1"/>
  <c r="BJ181" i="1" s="1"/>
  <c r="BJ360" i="1"/>
  <c r="AL169" i="1"/>
  <c r="AL360" i="1"/>
  <c r="AH169" i="1"/>
  <c r="L182" i="1"/>
  <c r="Q169" i="1"/>
  <c r="Q179" i="1" s="1"/>
  <c r="Q181" i="1" s="1"/>
  <c r="Q360" i="1"/>
  <c r="U118" i="6"/>
  <c r="U143" i="6"/>
  <c r="U145" i="6" s="1"/>
  <c r="H93" i="22" l="1"/>
  <c r="H92" i="22" s="1"/>
  <c r="L92" i="22" s="1"/>
  <c r="I416" i="18" s="1"/>
  <c r="L5" i="32"/>
  <c r="L6" i="32" s="1"/>
  <c r="R5" i="32"/>
  <c r="R6" i="32" s="1"/>
  <c r="J5" i="32"/>
  <c r="D5" i="32"/>
  <c r="D6" i="32" s="1"/>
  <c r="AH179" i="1"/>
  <c r="AH181" i="1" s="1"/>
  <c r="E118" i="6"/>
  <c r="I76" i="22"/>
  <c r="L76" i="22" s="1"/>
  <c r="Q32" i="7"/>
  <c r="L120" i="6"/>
  <c r="BR176" i="1"/>
  <c r="T135" i="6"/>
  <c r="T133" i="6" s="1"/>
  <c r="T120" i="6" s="1"/>
  <c r="BP169" i="1"/>
  <c r="BP179" i="1" s="1"/>
  <c r="BP181" i="1" s="1"/>
  <c r="J143" i="6"/>
  <c r="J145" i="6" s="1"/>
  <c r="J118" i="6"/>
  <c r="AK3" i="9"/>
  <c r="AL179" i="1"/>
  <c r="AL181" i="1" s="1"/>
  <c r="AO177" i="1" l="1"/>
  <c r="L93" i="22"/>
  <c r="AP367" i="1" s="1"/>
  <c r="J6" i="32"/>
  <c r="J7" i="32" s="1"/>
  <c r="L7" i="32"/>
  <c r="G280" i="10"/>
  <c r="D7" i="32"/>
  <c r="T143" i="6"/>
  <c r="T145" i="6" s="1"/>
  <c r="T118" i="6"/>
  <c r="BR169" i="1"/>
  <c r="BR179" i="1" s="1"/>
  <c r="BR181" i="1" s="1"/>
  <c r="L118" i="6"/>
  <c r="L143" i="6"/>
  <c r="H416" i="18" l="1"/>
  <c r="H162" i="22"/>
  <c r="K163" i="22" s="1"/>
  <c r="L145" i="6"/>
  <c r="H280" i="10"/>
  <c r="AI16" i="17" l="1"/>
  <c r="J416" i="18"/>
  <c r="L246" i="22"/>
  <c r="L247" i="22"/>
  <c r="R7" i="32" l="1"/>
  <c r="R17" i="32" s="1"/>
  <c r="R16" i="32" l="1"/>
  <c r="U21" i="32" s="1"/>
  <c r="G642" i="10"/>
  <c r="I113" i="21" l="1"/>
  <c r="H114" i="21" s="1"/>
  <c r="K114" i="21" s="1"/>
  <c r="AS92" i="1" s="1"/>
  <c r="U22" i="32"/>
  <c r="K113" i="21" l="1"/>
  <c r="AS260" i="1" s="1"/>
  <c r="AT260" i="1" s="1"/>
  <c r="AT92" i="1"/>
  <c r="AS89" i="1"/>
  <c r="AT243" i="1"/>
  <c r="AN243" i="1" s="1"/>
  <c r="AT257" i="1"/>
  <c r="AN257" i="1" s="1"/>
  <c r="AT242" i="1"/>
  <c r="AN242" i="1" s="1"/>
  <c r="AT343" i="1"/>
  <c r="AN343" i="1" s="1"/>
  <c r="AT187" i="1"/>
  <c r="AN187" i="1" s="1"/>
  <c r="AT296" i="1"/>
  <c r="AN296" i="1" s="1"/>
  <c r="AT99" i="1"/>
  <c r="AN99" i="1" s="1"/>
  <c r="AT173" i="1"/>
  <c r="AN173" i="1" s="1"/>
  <c r="AT177" i="1"/>
  <c r="AN177" i="1" s="1"/>
  <c r="AS356" i="1"/>
  <c r="AT356" i="1" s="1"/>
  <c r="AN356" i="1" s="1"/>
  <c r="AT305" i="1"/>
  <c r="AN305" i="1" s="1"/>
  <c r="AT319" i="1"/>
  <c r="AN319" i="1" s="1"/>
  <c r="AT333" i="1"/>
  <c r="AN333" i="1" s="1"/>
  <c r="AT348" i="1"/>
  <c r="AN348" i="1" s="1"/>
  <c r="AT285" i="1"/>
  <c r="AN285" i="1" s="1"/>
  <c r="AT300" i="1"/>
  <c r="AN300" i="1" s="1"/>
  <c r="AT265" i="1"/>
  <c r="AN265" i="1" s="1"/>
  <c r="AT247" i="1"/>
  <c r="AN247" i="1" s="1"/>
  <c r="AT222" i="1"/>
  <c r="AN222" i="1" s="1"/>
  <c r="AT190" i="1"/>
  <c r="AN190" i="1" s="1"/>
  <c r="AT204" i="1"/>
  <c r="AN204" i="1" s="1"/>
  <c r="AT134" i="1"/>
  <c r="AN134" i="1" s="1"/>
  <c r="AT148" i="1"/>
  <c r="AN148" i="1" s="1"/>
  <c r="AT100" i="1"/>
  <c r="AN100" i="1" s="1"/>
  <c r="AT189" i="1"/>
  <c r="AN189" i="1" s="1"/>
  <c r="AT306" i="1"/>
  <c r="AN306" i="1" s="1"/>
  <c r="AT320" i="1"/>
  <c r="AN320" i="1" s="1"/>
  <c r="AT334" i="1"/>
  <c r="AN334" i="1" s="1"/>
  <c r="AT286" i="1"/>
  <c r="AN286" i="1" s="1"/>
  <c r="AT266" i="1"/>
  <c r="AN266" i="1" s="1"/>
  <c r="AT248" i="1"/>
  <c r="AN248" i="1" s="1"/>
  <c r="AT223" i="1"/>
  <c r="AN223" i="1" s="1"/>
  <c r="AT191" i="1"/>
  <c r="AN191" i="1" s="1"/>
  <c r="AT205" i="1"/>
  <c r="AN205" i="1" s="1"/>
  <c r="AT135" i="1"/>
  <c r="AN135" i="1" s="1"/>
  <c r="AT149" i="1"/>
  <c r="AN149" i="1" s="1"/>
  <c r="AT264" i="1"/>
  <c r="AN264" i="1" s="1"/>
  <c r="AT307" i="1"/>
  <c r="AN307" i="1" s="1"/>
  <c r="AT321" i="1"/>
  <c r="AN321" i="1" s="1"/>
  <c r="AT335" i="1"/>
  <c r="AN335" i="1" s="1"/>
  <c r="AT273" i="1"/>
  <c r="AN273" i="1" s="1"/>
  <c r="AT287" i="1"/>
  <c r="AN287" i="1" s="1"/>
  <c r="AT252" i="1"/>
  <c r="AN252" i="1" s="1"/>
  <c r="AT267" i="1"/>
  <c r="AN267" i="1" s="1"/>
  <c r="AT224" i="1"/>
  <c r="AN224" i="1" s="1"/>
  <c r="AT192" i="1"/>
  <c r="AN192" i="1" s="1"/>
  <c r="AT206" i="1"/>
  <c r="AN206" i="1" s="1"/>
  <c r="AT136" i="1"/>
  <c r="AN136" i="1" s="1"/>
  <c r="AT150" i="1"/>
  <c r="AN150" i="1" s="1"/>
  <c r="AT111" i="1"/>
  <c r="AN111" i="1" s="1"/>
  <c r="AT304" i="1"/>
  <c r="AN304" i="1" s="1"/>
  <c r="AT308" i="1"/>
  <c r="AN308" i="1" s="1"/>
  <c r="AT322" i="1"/>
  <c r="AN322" i="1" s="1"/>
  <c r="AT336" i="1"/>
  <c r="AN336" i="1" s="1"/>
  <c r="AT274" i="1"/>
  <c r="AN274" i="1" s="1"/>
  <c r="AT288" i="1"/>
  <c r="AN288" i="1" s="1"/>
  <c r="AT253" i="1"/>
  <c r="AN253" i="1" s="1"/>
  <c r="AT268" i="1"/>
  <c r="AN268" i="1" s="1"/>
  <c r="AT211" i="1"/>
  <c r="AN211" i="1" s="1"/>
  <c r="AT225" i="1"/>
  <c r="AN225" i="1" s="1"/>
  <c r="AT193" i="1"/>
  <c r="AN193" i="1" s="1"/>
  <c r="AT207" i="1"/>
  <c r="AN207" i="1" s="1"/>
  <c r="AT137" i="1"/>
  <c r="AN137" i="1" s="1"/>
  <c r="AT151" i="1"/>
  <c r="AN151" i="1" s="1"/>
  <c r="AT112" i="1"/>
  <c r="AN112" i="1" s="1"/>
  <c r="AT332" i="1"/>
  <c r="AN332" i="1" s="1"/>
  <c r="AT309" i="1"/>
  <c r="AN309" i="1" s="1"/>
  <c r="AT323" i="1"/>
  <c r="AN323" i="1" s="1"/>
  <c r="AT337" i="1"/>
  <c r="AN337" i="1" s="1"/>
  <c r="AT275" i="1"/>
  <c r="AN275" i="1" s="1"/>
  <c r="AT289" i="1"/>
  <c r="AN289" i="1" s="1"/>
  <c r="AT254" i="1"/>
  <c r="AN254" i="1" s="1"/>
  <c r="AT269" i="1"/>
  <c r="AN269" i="1" s="1"/>
  <c r="AT212" i="1"/>
  <c r="AN212" i="1" s="1"/>
  <c r="AT226" i="1"/>
  <c r="AN226" i="1" s="1"/>
  <c r="AT194" i="1"/>
  <c r="AN194" i="1" s="1"/>
  <c r="AS170" i="1"/>
  <c r="AT138" i="1"/>
  <c r="AN138" i="1" s="1"/>
  <c r="AT152" i="1"/>
  <c r="AN152" i="1" s="1"/>
  <c r="AT113" i="1"/>
  <c r="AN113" i="1" s="1"/>
  <c r="AT299" i="1"/>
  <c r="AN299" i="1" s="1"/>
  <c r="AT310" i="1"/>
  <c r="AN310" i="1" s="1"/>
  <c r="AT324" i="1"/>
  <c r="AN324" i="1" s="1"/>
  <c r="AT338" i="1"/>
  <c r="AN338" i="1" s="1"/>
  <c r="AT276" i="1"/>
  <c r="AN276" i="1" s="1"/>
  <c r="AT290" i="1"/>
  <c r="AN290" i="1" s="1"/>
  <c r="AT255" i="1"/>
  <c r="AN255" i="1" s="1"/>
  <c r="AT213" i="1"/>
  <c r="AN213" i="1" s="1"/>
  <c r="AT227" i="1"/>
  <c r="AN227" i="1" s="1"/>
  <c r="AT195" i="1"/>
  <c r="AN195" i="1" s="1"/>
  <c r="AT171" i="1"/>
  <c r="AN171" i="1" s="1"/>
  <c r="AT139" i="1"/>
  <c r="AN139" i="1" s="1"/>
  <c r="AT153" i="1"/>
  <c r="AN153" i="1" s="1"/>
  <c r="AT114" i="1"/>
  <c r="AN114" i="1" s="1"/>
  <c r="AT221" i="1"/>
  <c r="AN221" i="1" s="1"/>
  <c r="AT311" i="1"/>
  <c r="AN311" i="1" s="1"/>
  <c r="AT325" i="1"/>
  <c r="AN325" i="1" s="1"/>
  <c r="AT339" i="1"/>
  <c r="AN339" i="1" s="1"/>
  <c r="AT277" i="1"/>
  <c r="AN277" i="1" s="1"/>
  <c r="AT291" i="1"/>
  <c r="AN291" i="1" s="1"/>
  <c r="AT256" i="1"/>
  <c r="AN256" i="1" s="1"/>
  <c r="AT237" i="1"/>
  <c r="AN237" i="1" s="1"/>
  <c r="AT214" i="1"/>
  <c r="AN214" i="1" s="1"/>
  <c r="AT228" i="1"/>
  <c r="AN228" i="1" s="1"/>
  <c r="AT196" i="1"/>
  <c r="AN196" i="1" s="1"/>
  <c r="AT172" i="1"/>
  <c r="AN172" i="1" s="1"/>
  <c r="AT140" i="1"/>
  <c r="AN140" i="1" s="1"/>
  <c r="AT154" i="1"/>
  <c r="AN154" i="1" s="1"/>
  <c r="AT115" i="1"/>
  <c r="AN115" i="1" s="1"/>
  <c r="AT246" i="1"/>
  <c r="AN246" i="1" s="1"/>
  <c r="AT312" i="1"/>
  <c r="AN312" i="1" s="1"/>
  <c r="AT326" i="1"/>
  <c r="AN326" i="1" s="1"/>
  <c r="AT340" i="1"/>
  <c r="AN340" i="1" s="1"/>
  <c r="AT278" i="1"/>
  <c r="AN278" i="1" s="1"/>
  <c r="AT292" i="1"/>
  <c r="AN292" i="1" s="1"/>
  <c r="AT258" i="1"/>
  <c r="AN258" i="1" s="1"/>
  <c r="AT238" i="1"/>
  <c r="AN238" i="1" s="1"/>
  <c r="AT215" i="1"/>
  <c r="AN215" i="1" s="1"/>
  <c r="AT229" i="1"/>
  <c r="AN229" i="1" s="1"/>
  <c r="AT197" i="1"/>
  <c r="AN197" i="1" s="1"/>
  <c r="AT174" i="1"/>
  <c r="AN174" i="1" s="1"/>
  <c r="AT141" i="1"/>
  <c r="AN141" i="1" s="1"/>
  <c r="AT155" i="1"/>
  <c r="AN155" i="1" s="1"/>
  <c r="AT116" i="1"/>
  <c r="AN116" i="1" s="1"/>
  <c r="AT147" i="1"/>
  <c r="AN147" i="1" s="1"/>
  <c r="AT313" i="1"/>
  <c r="AN313" i="1" s="1"/>
  <c r="AT327" i="1"/>
  <c r="AN327" i="1" s="1"/>
  <c r="AT341" i="1"/>
  <c r="AN341" i="1" s="1"/>
  <c r="AT279" i="1"/>
  <c r="AN279" i="1" s="1"/>
  <c r="AT293" i="1"/>
  <c r="AN293" i="1" s="1"/>
  <c r="AT259" i="1"/>
  <c r="AN259" i="1" s="1"/>
  <c r="AT239" i="1"/>
  <c r="AN239" i="1" s="1"/>
  <c r="AT216" i="1"/>
  <c r="AN216" i="1" s="1"/>
  <c r="AT231" i="1"/>
  <c r="AN231" i="1" s="1"/>
  <c r="AT198" i="1"/>
  <c r="AN198" i="1" s="1"/>
  <c r="AT175" i="1"/>
  <c r="AN175" i="1" s="1"/>
  <c r="AT142" i="1"/>
  <c r="AN142" i="1" s="1"/>
  <c r="AT156" i="1"/>
  <c r="AN156" i="1" s="1"/>
  <c r="AT117" i="1"/>
  <c r="AN117" i="1" s="1"/>
  <c r="AT133" i="1"/>
  <c r="AN133" i="1" s="1"/>
  <c r="AS354" i="1"/>
  <c r="AT354" i="1" s="1"/>
  <c r="AN354" i="1" s="1"/>
  <c r="AT314" i="1"/>
  <c r="AN314" i="1" s="1"/>
  <c r="AT328" i="1"/>
  <c r="AN328" i="1" s="1"/>
  <c r="AT342" i="1"/>
  <c r="AN342" i="1" s="1"/>
  <c r="AT280" i="1"/>
  <c r="AN280" i="1" s="1"/>
  <c r="AT294" i="1"/>
  <c r="AN294" i="1" s="1"/>
  <c r="AT240" i="1"/>
  <c r="AN240" i="1" s="1"/>
  <c r="AT217" i="1"/>
  <c r="AN217" i="1" s="1"/>
  <c r="AT232" i="1"/>
  <c r="AN232" i="1" s="1"/>
  <c r="AT199" i="1"/>
  <c r="AN199" i="1" s="1"/>
  <c r="AT143" i="1"/>
  <c r="AN143" i="1" s="1"/>
  <c r="AT157" i="1"/>
  <c r="AN157" i="1" s="1"/>
  <c r="AT118" i="1"/>
  <c r="AN118" i="1" s="1"/>
  <c r="AT284" i="1"/>
  <c r="AN284" i="1" s="1"/>
  <c r="AT97" i="1"/>
  <c r="AN97" i="1" s="1"/>
  <c r="AS351" i="1"/>
  <c r="AT315" i="1"/>
  <c r="AN315" i="1" s="1"/>
  <c r="AT329" i="1"/>
  <c r="AN329" i="1" s="1"/>
  <c r="AT344" i="1"/>
  <c r="AN344" i="1" s="1"/>
  <c r="AT281" i="1"/>
  <c r="AN281" i="1" s="1"/>
  <c r="AT295" i="1"/>
  <c r="AN295" i="1" s="1"/>
  <c r="AT261" i="1"/>
  <c r="AN261" i="1" s="1"/>
  <c r="AT241" i="1"/>
  <c r="AN241" i="1" s="1"/>
  <c r="AT218" i="1"/>
  <c r="AN218" i="1" s="1"/>
  <c r="AT233" i="1"/>
  <c r="AN233" i="1" s="1"/>
  <c r="AT200" i="1"/>
  <c r="AN200" i="1" s="1"/>
  <c r="AT144" i="1"/>
  <c r="AN144" i="1" s="1"/>
  <c r="AT158" i="1"/>
  <c r="AN158" i="1" s="1"/>
  <c r="AT318" i="1"/>
  <c r="AN318" i="1" s="1"/>
  <c r="AT203" i="1"/>
  <c r="AN203" i="1" s="1"/>
  <c r="AS352" i="1"/>
  <c r="AT352" i="1" s="1"/>
  <c r="AN352" i="1" s="1"/>
  <c r="AT316" i="1"/>
  <c r="AN316" i="1" s="1"/>
  <c r="AT330" i="1"/>
  <c r="AN330" i="1" s="1"/>
  <c r="AT345" i="1"/>
  <c r="AN345" i="1" s="1"/>
  <c r="AT282" i="1"/>
  <c r="AN282" i="1" s="1"/>
  <c r="AT297" i="1"/>
  <c r="AN297" i="1" s="1"/>
  <c r="AT262" i="1"/>
  <c r="AN262" i="1" s="1"/>
  <c r="AT244" i="1"/>
  <c r="AN244" i="1" s="1"/>
  <c r="AT219" i="1"/>
  <c r="AN219" i="1" s="1"/>
  <c r="AT201" i="1"/>
  <c r="AN201" i="1" s="1"/>
  <c r="AT131" i="1"/>
  <c r="AN131" i="1" s="1"/>
  <c r="AT145" i="1"/>
  <c r="AN145" i="1" s="1"/>
  <c r="AT159" i="1"/>
  <c r="AN159" i="1" s="1"/>
  <c r="AT317" i="1"/>
  <c r="AN317" i="1" s="1"/>
  <c r="AT331" i="1"/>
  <c r="AN331" i="1" s="1"/>
  <c r="AT346" i="1"/>
  <c r="AN346" i="1" s="1"/>
  <c r="AT283" i="1"/>
  <c r="AN283" i="1" s="1"/>
  <c r="AT298" i="1"/>
  <c r="AN298" i="1" s="1"/>
  <c r="AT263" i="1"/>
  <c r="AN263" i="1" s="1"/>
  <c r="AT245" i="1"/>
  <c r="AN245" i="1" s="1"/>
  <c r="AT220" i="1"/>
  <c r="AN220" i="1" s="1"/>
  <c r="AT188" i="1"/>
  <c r="AN188" i="1" s="1"/>
  <c r="AT202" i="1"/>
  <c r="AN202" i="1" s="1"/>
  <c r="AT132" i="1"/>
  <c r="AN132" i="1" s="1"/>
  <c r="AT146" i="1"/>
  <c r="AN146" i="1" s="1"/>
  <c r="AT96" i="1"/>
  <c r="AN96" i="1" s="1"/>
  <c r="AT347" i="1"/>
  <c r="AN347" i="1" s="1"/>
  <c r="R18" i="32" l="1"/>
  <c r="AT107" i="1"/>
  <c r="AS106" i="1"/>
  <c r="AT351" i="1"/>
  <c r="AS350" i="1"/>
  <c r="AT121" i="1"/>
  <c r="AS120" i="1"/>
  <c r="AT236" i="1"/>
  <c r="AS235" i="1"/>
  <c r="AT186" i="1"/>
  <c r="AS185" i="1"/>
  <c r="AT130" i="1"/>
  <c r="AS129" i="1"/>
  <c r="AT210" i="1"/>
  <c r="AS209" i="1"/>
  <c r="AT251" i="1"/>
  <c r="AS250" i="1"/>
  <c r="F630" i="18"/>
  <c r="T652" i="18" s="1"/>
  <c r="AT163" i="1"/>
  <c r="AS161" i="1"/>
  <c r="AT272" i="1"/>
  <c r="AS271" i="1"/>
  <c r="AT167" i="1"/>
  <c r="AS166" i="1"/>
  <c r="AT95" i="1"/>
  <c r="AS94" i="1"/>
  <c r="AS73" i="1" s="1"/>
  <c r="AS102" i="1" s="1"/>
  <c r="AT124" i="1"/>
  <c r="AS123" i="1"/>
  <c r="AT303" i="1"/>
  <c r="AN303" i="1" s="1"/>
  <c r="AS302" i="1"/>
  <c r="AT127" i="1"/>
  <c r="AS126" i="1"/>
  <c r="AT170" i="1"/>
  <c r="AT110" i="1"/>
  <c r="AS109" i="1"/>
  <c r="AT89" i="1"/>
  <c r="G271" i="10"/>
  <c r="AN170" i="1" l="1"/>
  <c r="AT166" i="1"/>
  <c r="AN167" i="1"/>
  <c r="AN251" i="1"/>
  <c r="AT250" i="1"/>
  <c r="AN130" i="1"/>
  <c r="AT129" i="1"/>
  <c r="AN110" i="1"/>
  <c r="AT109" i="1"/>
  <c r="AN95" i="1"/>
  <c r="AT94" i="1"/>
  <c r="AT73" i="1" s="1"/>
  <c r="AT102" i="1" s="1"/>
  <c r="AN272" i="1"/>
  <c r="AT271" i="1"/>
  <c r="AS358" i="1"/>
  <c r="AS176" i="1" s="1"/>
  <c r="AT120" i="1"/>
  <c r="AN121" i="1"/>
  <c r="AN186" i="1"/>
  <c r="AT185" i="1"/>
  <c r="AN210" i="1"/>
  <c r="AT209" i="1"/>
  <c r="AN351" i="1"/>
  <c r="AT350" i="1"/>
  <c r="AS104" i="1"/>
  <c r="AT162" i="1"/>
  <c r="AT161" i="1" s="1"/>
  <c r="AN163" i="1"/>
  <c r="AN127" i="1"/>
  <c r="AT126" i="1"/>
  <c r="AT106" i="1"/>
  <c r="AN107" i="1"/>
  <c r="AT302" i="1"/>
  <c r="AT123" i="1"/>
  <c r="AN124" i="1"/>
  <c r="AN236" i="1"/>
  <c r="AT235" i="1"/>
  <c r="G35" i="10"/>
  <c r="G253" i="10"/>
  <c r="AN350" i="1" l="1"/>
  <c r="AN109" i="1"/>
  <c r="AN302" i="1"/>
  <c r="AN209" i="1"/>
  <c r="AT358" i="1"/>
  <c r="C89" i="31" s="1"/>
  <c r="AN271" i="1"/>
  <c r="AN166" i="1"/>
  <c r="AN106" i="1"/>
  <c r="AN123" i="1"/>
  <c r="AN94" i="1"/>
  <c r="AT104" i="1"/>
  <c r="AN185" i="1"/>
  <c r="AN129" i="1"/>
  <c r="AN120" i="1"/>
  <c r="AN126" i="1"/>
  <c r="AN235" i="1"/>
  <c r="AN162" i="1"/>
  <c r="AN161" i="1" s="1"/>
  <c r="AS360" i="1"/>
  <c r="AT176" i="1"/>
  <c r="AS169" i="1"/>
  <c r="AS179" i="1" l="1"/>
  <c r="AS181" i="1" s="1"/>
  <c r="AT169" i="1"/>
  <c r="AT179" i="1" s="1"/>
  <c r="AT181" i="1" s="1"/>
  <c r="C101" i="31"/>
  <c r="P647" i="18"/>
  <c r="P657" i="18" s="1"/>
  <c r="G696" i="18" s="1"/>
  <c r="AT360" i="1"/>
  <c r="AN104" i="1"/>
  <c r="K5" i="32" l="1"/>
  <c r="K6" i="32" s="1"/>
  <c r="K7" i="32" s="1"/>
  <c r="J17" i="32" s="1"/>
  <c r="E5" i="32"/>
  <c r="E6" i="32" s="1"/>
  <c r="G697" i="18"/>
  <c r="J696" i="18"/>
  <c r="C103" i="31"/>
  <c r="C95" i="31"/>
  <c r="M653" i="18"/>
  <c r="S653" i="18" s="1"/>
  <c r="F591" i="18"/>
  <c r="F585" i="10"/>
  <c r="J16" i="32" l="1"/>
  <c r="C132" i="31"/>
  <c r="E7" i="32"/>
  <c r="G282" i="10"/>
  <c r="L242" i="22"/>
  <c r="AW175" i="1" s="1"/>
  <c r="I243" i="22"/>
  <c r="L243" i="22" s="1"/>
  <c r="AW177" i="1" s="1"/>
  <c r="F593" i="18"/>
  <c r="I90" i="21" l="1"/>
  <c r="K90" i="21" s="1"/>
  <c r="M21" i="32"/>
  <c r="M22" i="32" s="1"/>
  <c r="E43" i="17"/>
  <c r="I41" i="8" s="1"/>
  <c r="K41" i="8" s="1"/>
  <c r="Q137" i="6"/>
  <c r="Q134" i="6"/>
  <c r="G281" i="10"/>
  <c r="H282" i="10"/>
  <c r="H281" i="10" s="1"/>
  <c r="F631" i="18"/>
  <c r="H91" i="21" l="1"/>
  <c r="K91" i="21" s="1"/>
  <c r="AB92" i="1" s="1"/>
  <c r="AC92" i="1" s="1"/>
  <c r="H70" i="22" s="1"/>
  <c r="AB260" i="1"/>
  <c r="T653" i="18"/>
  <c r="J18" i="32" l="1"/>
  <c r="AN92" i="1"/>
  <c r="AB89" i="1"/>
  <c r="AB73" i="1" s="1"/>
  <c r="AB102" i="1" s="1"/>
  <c r="K5" i="21"/>
  <c r="AC260" i="1"/>
  <c r="AB250" i="1"/>
  <c r="AB358" i="1" s="1"/>
  <c r="AB176" i="1" s="1"/>
  <c r="AC176" i="1" s="1"/>
  <c r="AC89" i="1"/>
  <c r="AC73" i="1" s="1"/>
  <c r="AC102" i="1" s="1"/>
  <c r="H54" i="10"/>
  <c r="AB360" i="1" l="1"/>
  <c r="AB169" i="1"/>
  <c r="AB179" i="1" s="1"/>
  <c r="AB181" i="1" s="1"/>
  <c r="AC250" i="1"/>
  <c r="AC358" i="1" s="1"/>
  <c r="N647" i="18" s="1"/>
  <c r="N657" i="18" s="1"/>
  <c r="G679" i="18" s="1"/>
  <c r="G654" i="18" s="1"/>
  <c r="AN260" i="1"/>
  <c r="AN89" i="1"/>
  <c r="AN73" i="1" s="1"/>
  <c r="AN102" i="1" s="1"/>
  <c r="H666" i="18"/>
  <c r="AC169" i="1" l="1"/>
  <c r="AC179" i="1" s="1"/>
  <c r="AC181" i="1" s="1"/>
  <c r="AN176" i="1"/>
  <c r="AN250" i="1"/>
  <c r="AN358" i="1" s="1"/>
  <c r="AC360" i="1"/>
  <c r="H650" i="18"/>
  <c r="J666" i="18"/>
  <c r="AN169" i="1" l="1"/>
  <c r="AN179" i="1" s="1"/>
  <c r="AN181" i="1" s="1"/>
  <c r="G680" i="18"/>
  <c r="J679" i="18"/>
  <c r="AN360" i="1"/>
  <c r="J650" i="18"/>
  <c r="G655" i="18" l="1"/>
  <c r="G60" i="18"/>
  <c r="H60" i="18" l="1"/>
  <c r="B15" i="33" l="1"/>
  <c r="K145" i="5" l="1"/>
  <c r="K146" i="5"/>
  <c r="BP296" i="1" l="1"/>
  <c r="BR296" i="1" s="1"/>
  <c r="BP272" i="1" l="1"/>
  <c r="BP299" i="1" l="1"/>
  <c r="BR299" i="1" s="1"/>
  <c r="BP292" i="1"/>
  <c r="BR292" i="1" s="1"/>
  <c r="BP288" i="1"/>
  <c r="BR288" i="1" s="1"/>
  <c r="BP274" i="1"/>
  <c r="BR274" i="1" s="1"/>
  <c r="BP294" i="1"/>
  <c r="BR294" i="1" s="1"/>
  <c r="BR272" i="1"/>
  <c r="BP298" i="1"/>
  <c r="BR298" i="1" s="1"/>
  <c r="BP277" i="1"/>
  <c r="BR277" i="1" s="1"/>
  <c r="BP276" i="1"/>
  <c r="BR276" i="1" s="1"/>
  <c r="BP289" i="1"/>
  <c r="BR289" i="1" s="1"/>
  <c r="BP282" i="1"/>
  <c r="BR282" i="1" s="1"/>
  <c r="BP293" i="1"/>
  <c r="BR293" i="1" s="1"/>
  <c r="BP286" i="1"/>
  <c r="BR286" i="1" s="1"/>
  <c r="BP290" i="1"/>
  <c r="BR290" i="1" s="1"/>
  <c r="BP285" i="1"/>
  <c r="BR285" i="1" s="1"/>
  <c r="BP295" i="1"/>
  <c r="BR295" i="1" s="1"/>
  <c r="BP287" i="1"/>
  <c r="BR287" i="1" s="1"/>
  <c r="BP300" i="1"/>
  <c r="BR300" i="1" s="1"/>
  <c r="BP291" i="1"/>
  <c r="BR291" i="1" s="1"/>
  <c r="BP273" i="1"/>
  <c r="BR273" i="1" s="1"/>
  <c r="BP281" i="1"/>
  <c r="BR281" i="1" s="1"/>
  <c r="BP297" i="1"/>
  <c r="BR297" i="1" s="1"/>
  <c r="BP284" i="1"/>
  <c r="BR284" i="1" s="1"/>
  <c r="BP275" i="1"/>
  <c r="BR275" i="1" s="1"/>
  <c r="BP279" i="1" l="1"/>
  <c r="BR279" i="1" s="1"/>
  <c r="BP278" i="1"/>
  <c r="BR278" i="1" s="1"/>
  <c r="BP283" i="1"/>
  <c r="BR283" i="1" s="1"/>
  <c r="BP280" i="1"/>
  <c r="BR280" i="1" s="1"/>
  <c r="BR271" i="1" l="1"/>
  <c r="BR358" i="1" s="1"/>
  <c r="BR360" i="1" s="1"/>
  <c r="BP271" i="1"/>
  <c r="BP358" i="1" s="1"/>
  <c r="T15" i="7"/>
  <c r="T17" i="7" s="1"/>
  <c r="T23" i="7" s="1"/>
  <c r="T28" i="7" s="1"/>
  <c r="T30" i="7" s="1"/>
  <c r="T36" i="7" l="1"/>
  <c r="BP360" i="1"/>
  <c r="F5" i="12" l="1"/>
  <c r="I72" i="22"/>
  <c r="L72" i="22" s="1"/>
  <c r="L70" i="22"/>
  <c r="K130" i="5" l="1"/>
  <c r="H131" i="5"/>
  <c r="K131" i="5" s="1"/>
  <c r="K132" i="1" l="1"/>
  <c r="L132" i="1" l="1"/>
  <c r="F359" i="10" s="1"/>
  <c r="K356" i="10" l="1"/>
  <c r="F394" i="10"/>
  <c r="S132" i="1"/>
  <c r="T132" i="1" s="1"/>
  <c r="F373" i="10"/>
  <c r="K8" i="33"/>
  <c r="D15" i="33" l="1"/>
  <c r="K355" i="10"/>
  <c r="E15" i="33" l="1"/>
  <c r="G59" i="10" l="1"/>
  <c r="G61" i="10" l="1"/>
  <c r="G62" i="18"/>
  <c r="G64" i="18" s="1"/>
  <c r="I177" i="5" l="1"/>
  <c r="G172" i="5"/>
  <c r="J173" i="5" l="1"/>
  <c r="K173" i="5" s="1"/>
  <c r="K351" i="1" s="1"/>
  <c r="K172" i="5"/>
  <c r="H178" i="5"/>
  <c r="K178" i="5" s="1"/>
  <c r="K177" i="5"/>
  <c r="H188" i="5"/>
  <c r="G48" i="10" l="1"/>
  <c r="G49" i="18" s="1"/>
  <c r="I187" i="5"/>
  <c r="K187" i="5" s="1"/>
  <c r="K188" i="5"/>
  <c r="K131" i="1" s="1"/>
  <c r="K352" i="1"/>
  <c r="K48" i="1"/>
  <c r="F19" i="7"/>
  <c r="L351" i="1"/>
  <c r="S351" i="1" l="1"/>
  <c r="T351" i="1" s="1"/>
  <c r="G19" i="7"/>
  <c r="F596" i="10" s="1"/>
  <c r="L48" i="1"/>
  <c r="F24" i="6"/>
  <c r="K45" i="1"/>
  <c r="K9" i="1" s="1"/>
  <c r="B16" i="33"/>
  <c r="G52" i="18"/>
  <c r="G51" i="10"/>
  <c r="G52" i="10" s="1"/>
  <c r="K350" i="1"/>
  <c r="F20" i="7"/>
  <c r="G20" i="7" s="1"/>
  <c r="L352" i="1"/>
  <c r="L350" i="1" s="1"/>
  <c r="L131" i="1"/>
  <c r="F96" i="6"/>
  <c r="K129" i="1"/>
  <c r="K104" i="1" s="1"/>
  <c r="G21" i="7" l="1"/>
  <c r="F21" i="7"/>
  <c r="G96" i="6"/>
  <c r="F87" i="6"/>
  <c r="F85" i="6" s="1"/>
  <c r="K7" i="33"/>
  <c r="F358" i="10"/>
  <c r="F372" i="10"/>
  <c r="K357" i="10"/>
  <c r="F393" i="10"/>
  <c r="F396" i="10" s="1"/>
  <c r="S131" i="1"/>
  <c r="T131" i="1" s="1"/>
  <c r="L129" i="1"/>
  <c r="F588" i="10"/>
  <c r="S352" i="1"/>
  <c r="T352" i="1" s="1"/>
  <c r="H59" i="10"/>
  <c r="F66" i="10"/>
  <c r="B25" i="33"/>
  <c r="G24" i="6"/>
  <c r="F18" i="6"/>
  <c r="F7" i="6" s="1"/>
  <c r="G395" i="10"/>
  <c r="G396" i="10" s="1"/>
  <c r="F141" i="10"/>
  <c r="F162" i="10"/>
  <c r="S48" i="1"/>
  <c r="T48" i="1" s="1"/>
  <c r="L45" i="1"/>
  <c r="S350" i="1"/>
  <c r="T350" i="1" s="1"/>
  <c r="G397" i="10" l="1"/>
  <c r="L9" i="1"/>
  <c r="S45" i="1"/>
  <c r="T45" i="1" s="1"/>
  <c r="G66" i="10"/>
  <c r="H66" i="10" s="1"/>
  <c r="M154" i="10"/>
  <c r="F165" i="10"/>
  <c r="K162" i="10" s="1"/>
  <c r="F174" i="18"/>
  <c r="F145" i="10"/>
  <c r="J141" i="10" s="1"/>
  <c r="G18" i="6"/>
  <c r="G7" i="6" s="1"/>
  <c r="N4" i="9"/>
  <c r="N5" i="9" s="1"/>
  <c r="N24" i="6"/>
  <c r="H61" i="10"/>
  <c r="H62" i="10" s="1"/>
  <c r="H62" i="18"/>
  <c r="H64" i="18" s="1"/>
  <c r="H588" i="10"/>
  <c r="F590" i="10"/>
  <c r="F597" i="10" s="1"/>
  <c r="M650" i="18"/>
  <c r="S650" i="18" s="1"/>
  <c r="F596" i="18"/>
  <c r="F592" i="10"/>
  <c r="F621" i="10" s="1"/>
  <c r="S129" i="1"/>
  <c r="T129" i="1" s="1"/>
  <c r="L104" i="1"/>
  <c r="F370" i="10"/>
  <c r="D16" i="33"/>
  <c r="N96" i="6"/>
  <c r="AE4" i="9"/>
  <c r="AE5" i="9" s="1"/>
  <c r="G87" i="6"/>
  <c r="G70" i="18" l="1"/>
  <c r="F361" i="10"/>
  <c r="F379" i="10"/>
  <c r="H372" i="10" s="1"/>
  <c r="D25" i="33"/>
  <c r="E25" i="33" s="1"/>
  <c r="E16" i="33"/>
  <c r="G85" i="6"/>
  <c r="N85" i="6" s="1"/>
  <c r="N87" i="6"/>
  <c r="AE22" i="9"/>
  <c r="E22" i="9" s="1"/>
  <c r="E19" i="8" s="1"/>
  <c r="G19" i="8" s="1"/>
  <c r="S104" i="1"/>
  <c r="T104" i="1" s="1"/>
  <c r="F594" i="10"/>
  <c r="F600" i="18"/>
  <c r="F602" i="18" s="1"/>
  <c r="F598" i="18"/>
  <c r="M648" i="18"/>
  <c r="N20" i="9"/>
  <c r="N18" i="6"/>
  <c r="J143" i="10"/>
  <c r="J139" i="10"/>
  <c r="J144" i="10"/>
  <c r="F147" i="10"/>
  <c r="J142" i="10"/>
  <c r="J140" i="10"/>
  <c r="F161" i="18"/>
  <c r="K161" i="10"/>
  <c r="K163" i="10"/>
  <c r="M158" i="10"/>
  <c r="M159" i="10" s="1"/>
  <c r="K152" i="10"/>
  <c r="K157" i="10"/>
  <c r="K160" i="10"/>
  <c r="K153" i="10"/>
  <c r="K154" i="10"/>
  <c r="K159" i="10"/>
  <c r="K156" i="10"/>
  <c r="F167" i="10"/>
  <c r="K155" i="10"/>
  <c r="K158" i="10"/>
  <c r="S9" i="1"/>
  <c r="T9" i="1" s="1"/>
  <c r="G73" i="18" l="1"/>
  <c r="AE6" i="9"/>
  <c r="F356" i="10"/>
  <c r="F363" i="10"/>
  <c r="F364" i="10" s="1"/>
  <c r="F629" i="10"/>
  <c r="N7" i="6"/>
  <c r="N6" i="9"/>
  <c r="E20" i="9"/>
  <c r="E17" i="8" s="1"/>
  <c r="G17" i="8" s="1"/>
  <c r="S648" i="18"/>
  <c r="F628" i="18"/>
  <c r="F626" i="18" s="1"/>
  <c r="F599" i="10"/>
  <c r="F598" i="10"/>
  <c r="F387" i="10"/>
  <c r="H371" i="10"/>
  <c r="H376" i="10"/>
  <c r="H375" i="10"/>
  <c r="H374" i="10"/>
  <c r="H373" i="10"/>
  <c r="H377" i="10"/>
  <c r="H378" i="10"/>
  <c r="T650" i="18" l="1"/>
  <c r="T648" i="18"/>
  <c r="S652" i="18" l="1"/>
  <c r="AO60" i="1"/>
  <c r="AP60" i="1" s="1"/>
  <c r="AV60" i="1" s="1"/>
  <c r="AX60" i="1" s="1"/>
  <c r="F176" i="18" s="1"/>
  <c r="AO156" i="1"/>
  <c r="AP156" i="1" s="1"/>
  <c r="AV156" i="1" s="1"/>
  <c r="AX156" i="1" s="1"/>
  <c r="AO51" i="1"/>
  <c r="AP51" i="1" s="1"/>
  <c r="AV51" i="1" s="1"/>
  <c r="AX51" i="1" s="1"/>
  <c r="F172" i="18" s="1"/>
  <c r="AO136" i="1"/>
  <c r="AP136" i="1" s="1"/>
  <c r="AV136" i="1" s="1"/>
  <c r="AX136" i="1" s="1"/>
  <c r="AO131" i="1"/>
  <c r="AP131" i="1" s="1"/>
  <c r="AV131" i="1" s="1"/>
  <c r="AX131" i="1" s="1"/>
  <c r="AO48" i="1"/>
  <c r="AP48" i="1" s="1"/>
  <c r="AV48" i="1" s="1"/>
  <c r="AX48" i="1" s="1"/>
  <c r="AO352" i="1"/>
  <c r="AP352" i="1" s="1"/>
  <c r="AV352" i="1" s="1"/>
  <c r="AO132" i="1"/>
  <c r="AP132" i="1" s="1"/>
  <c r="AV132" i="1" s="1"/>
  <c r="AX132" i="1" s="1"/>
  <c r="AO260" i="1"/>
  <c r="AP260" i="1" s="1"/>
  <c r="AO92" i="1"/>
  <c r="AP92" i="1" s="1"/>
  <c r="AO204" i="1"/>
  <c r="AP204" i="1" s="1"/>
  <c r="AV204" i="1" s="1"/>
  <c r="AX204" i="1" s="1"/>
  <c r="F468" i="18" s="1"/>
  <c r="AO194" i="1"/>
  <c r="AP194" i="1" s="1"/>
  <c r="AV194" i="1" s="1"/>
  <c r="AX194" i="1" s="1"/>
  <c r="F473" i="18" s="1"/>
  <c r="AO188" i="1"/>
  <c r="AP188" i="1" s="1"/>
  <c r="AV188" i="1" s="1"/>
  <c r="AX188" i="1" s="1"/>
  <c r="AO193" i="1"/>
  <c r="AP193" i="1" s="1"/>
  <c r="AV193" i="1" s="1"/>
  <c r="AX193" i="1" s="1"/>
  <c r="F472" i="18" s="1"/>
  <c r="AO197" i="1"/>
  <c r="AP197" i="1" s="1"/>
  <c r="AV197" i="1" s="1"/>
  <c r="AX197" i="1" s="1"/>
  <c r="F471" i="18" s="1"/>
  <c r="AO186" i="1"/>
  <c r="AO191" i="1"/>
  <c r="AP191" i="1" s="1"/>
  <c r="AV191" i="1" s="1"/>
  <c r="AX191" i="1" s="1"/>
  <c r="AO189" i="1"/>
  <c r="AP189" i="1" s="1"/>
  <c r="AV189" i="1" s="1"/>
  <c r="AX189" i="1" s="1"/>
  <c r="AO192" i="1"/>
  <c r="AP192" i="1" s="1"/>
  <c r="AV192" i="1" s="1"/>
  <c r="AX192" i="1" s="1"/>
  <c r="F467" i="18" s="1"/>
  <c r="AO313" i="1"/>
  <c r="AP313" i="1" s="1"/>
  <c r="AV313" i="1" s="1"/>
  <c r="AX313" i="1" s="1"/>
  <c r="F554" i="18" s="1"/>
  <c r="AP177" i="1"/>
  <c r="AV177" i="1" s="1"/>
  <c r="AO231" i="1"/>
  <c r="AP231" i="1" s="1"/>
  <c r="AV231" i="1" s="1"/>
  <c r="AX231" i="1" s="1"/>
  <c r="F513" i="18" s="1"/>
  <c r="AO251" i="1"/>
  <c r="AO107" i="1"/>
  <c r="AP107" i="1" s="1"/>
  <c r="AO335" i="1"/>
  <c r="AP335" i="1" s="1"/>
  <c r="AV335" i="1" s="1"/>
  <c r="AX335" i="1" s="1"/>
  <c r="F562" i="18" s="1"/>
  <c r="AO113" i="1"/>
  <c r="AP113" i="1" s="1"/>
  <c r="AV113" i="1" s="1"/>
  <c r="AX113" i="1" s="1"/>
  <c r="AO356" i="1"/>
  <c r="AP356" i="1" s="1"/>
  <c r="AV356" i="1" s="1"/>
  <c r="AO134" i="1"/>
  <c r="AP134" i="1" s="1"/>
  <c r="AV134" i="1" s="1"/>
  <c r="AX134" i="1" s="1"/>
  <c r="AO281" i="1"/>
  <c r="AP281" i="1" s="1"/>
  <c r="AV281" i="1" s="1"/>
  <c r="AX281" i="1" s="1"/>
  <c r="AO298" i="1"/>
  <c r="AP298" i="1" s="1"/>
  <c r="AV298" i="1" s="1"/>
  <c r="AX298" i="1" s="1"/>
  <c r="AO265" i="1"/>
  <c r="AP265" i="1" s="1"/>
  <c r="AV265" i="1" s="1"/>
  <c r="AX265" i="1" s="1"/>
  <c r="AO314" i="1"/>
  <c r="AP314" i="1" s="1"/>
  <c r="AV314" i="1" s="1"/>
  <c r="AX314" i="1" s="1"/>
  <c r="F567" i="18" s="1"/>
  <c r="AO336" i="1"/>
  <c r="AP336" i="1" s="1"/>
  <c r="AV336" i="1" s="1"/>
  <c r="AX336" i="1" s="1"/>
  <c r="AO248" i="1"/>
  <c r="AP248" i="1" s="1"/>
  <c r="AV248" i="1" s="1"/>
  <c r="AX248" i="1" s="1"/>
  <c r="AO135" i="1"/>
  <c r="AP135" i="1" s="1"/>
  <c r="AV135" i="1" s="1"/>
  <c r="AX135" i="1" s="1"/>
  <c r="AO145" i="1"/>
  <c r="AP145" i="1" s="1"/>
  <c r="AV145" i="1" s="1"/>
  <c r="AX145" i="1" s="1"/>
  <c r="AO307" i="1"/>
  <c r="AP307" i="1" s="1"/>
  <c r="AV307" i="1" s="1"/>
  <c r="AX307" i="1" s="1"/>
  <c r="AO150" i="1"/>
  <c r="AP150" i="1" s="1"/>
  <c r="AV150" i="1" s="1"/>
  <c r="AX150" i="1" s="1"/>
  <c r="AO253" i="1"/>
  <c r="AP253" i="1" s="1"/>
  <c r="AV253" i="1" s="1"/>
  <c r="AX253" i="1" s="1"/>
  <c r="AO224" i="1"/>
  <c r="AP224" i="1" s="1"/>
  <c r="AV224" i="1" s="1"/>
  <c r="AX224" i="1" s="1"/>
  <c r="AO255" i="1"/>
  <c r="AP255" i="1" s="1"/>
  <c r="AV255" i="1" s="1"/>
  <c r="AX255" i="1" s="1"/>
  <c r="AO309" i="1"/>
  <c r="AP309" i="1" s="1"/>
  <c r="AV309" i="1" s="1"/>
  <c r="AX309" i="1" s="1"/>
  <c r="AO328" i="1"/>
  <c r="AP328" i="1" s="1"/>
  <c r="AV328" i="1" s="1"/>
  <c r="AX328" i="1" s="1"/>
  <c r="AO198" i="1"/>
  <c r="AP198" i="1" s="1"/>
  <c r="AV198" i="1" s="1"/>
  <c r="AX198" i="1" s="1"/>
  <c r="AO221" i="1"/>
  <c r="AP221" i="1" s="1"/>
  <c r="AV221" i="1" s="1"/>
  <c r="AX221" i="1" s="1"/>
  <c r="AO308" i="1"/>
  <c r="AP308" i="1" s="1"/>
  <c r="AV308" i="1" s="1"/>
  <c r="AX308" i="1" s="1"/>
  <c r="F558" i="18" s="1"/>
  <c r="AO287" i="1"/>
  <c r="AP287" i="1" s="1"/>
  <c r="AV287" i="1" s="1"/>
  <c r="AX287" i="1" s="1"/>
  <c r="AO247" i="1"/>
  <c r="AP247" i="1" s="1"/>
  <c r="AV247" i="1" s="1"/>
  <c r="AX247" i="1" s="1"/>
  <c r="AO214" i="1"/>
  <c r="AP214" i="1" s="1"/>
  <c r="AV214" i="1" s="1"/>
  <c r="AX214" i="1" s="1"/>
  <c r="AO274" i="1"/>
  <c r="AP274" i="1" s="1"/>
  <c r="AV274" i="1" s="1"/>
  <c r="AX274" i="1" s="1"/>
  <c r="AO333" i="1"/>
  <c r="AP333" i="1" s="1"/>
  <c r="AV333" i="1" s="1"/>
  <c r="AX333" i="1" s="1"/>
  <c r="AO273" i="1"/>
  <c r="AP273" i="1" s="1"/>
  <c r="AV273" i="1" s="1"/>
  <c r="AX273" i="1" s="1"/>
  <c r="AO228" i="1"/>
  <c r="AP228" i="1" s="1"/>
  <c r="AV228" i="1" s="1"/>
  <c r="AX228" i="1" s="1"/>
  <c r="AO261" i="1"/>
  <c r="AP261" i="1" s="1"/>
  <c r="AV261" i="1" s="1"/>
  <c r="AX261" i="1" s="1"/>
  <c r="AO340" i="1"/>
  <c r="AP340" i="1" s="1"/>
  <c r="AV340" i="1" s="1"/>
  <c r="AX340" i="1" s="1"/>
  <c r="AO278" i="1"/>
  <c r="AP278" i="1" s="1"/>
  <c r="AV278" i="1" s="1"/>
  <c r="AX278" i="1" s="1"/>
  <c r="F543" i="18" s="1"/>
  <c r="AO148" i="1"/>
  <c r="AP148" i="1" s="1"/>
  <c r="AV148" i="1" s="1"/>
  <c r="AX148" i="1" s="1"/>
  <c r="AO286" i="1"/>
  <c r="AP286" i="1" s="1"/>
  <c r="AV286" i="1" s="1"/>
  <c r="AX286" i="1" s="1"/>
  <c r="AO295" i="1"/>
  <c r="AP295" i="1" s="1"/>
  <c r="AV295" i="1" s="1"/>
  <c r="AX295" i="1" s="1"/>
  <c r="AO151" i="1"/>
  <c r="AP151" i="1" s="1"/>
  <c r="AV151" i="1" s="1"/>
  <c r="AX151" i="1" s="1"/>
  <c r="AO243" i="1"/>
  <c r="AP243" i="1" s="1"/>
  <c r="AV243" i="1" s="1"/>
  <c r="AX243" i="1" s="1"/>
  <c r="AO99" i="1"/>
  <c r="AP99" i="1" s="1"/>
  <c r="AV99" i="1" s="1"/>
  <c r="AP175" i="1"/>
  <c r="AV175" i="1" s="1"/>
  <c r="AO293" i="1"/>
  <c r="AP293" i="1" s="1"/>
  <c r="AV293" i="1" s="1"/>
  <c r="AX293" i="1" s="1"/>
  <c r="AO143" i="1"/>
  <c r="AP143" i="1" s="1"/>
  <c r="AV143" i="1" s="1"/>
  <c r="AX143" i="1" s="1"/>
  <c r="AO345" i="1"/>
  <c r="AP345" i="1" s="1"/>
  <c r="AV345" i="1" s="1"/>
  <c r="AX345" i="1" s="1"/>
  <c r="AO222" i="1"/>
  <c r="AP222" i="1" s="1"/>
  <c r="AV222" i="1" s="1"/>
  <c r="AX222" i="1" s="1"/>
  <c r="AO144" i="1"/>
  <c r="AP144" i="1" s="1"/>
  <c r="AV144" i="1" s="1"/>
  <c r="AX144" i="1" s="1"/>
  <c r="AO312" i="1"/>
  <c r="AP312" i="1" s="1"/>
  <c r="AV312" i="1" s="1"/>
  <c r="AX312" i="1" s="1"/>
  <c r="AO323" i="1"/>
  <c r="AP323" i="1" s="1"/>
  <c r="AV323" i="1" s="1"/>
  <c r="AX323" i="1" s="1"/>
  <c r="AO141" i="1"/>
  <c r="AP141" i="1" s="1"/>
  <c r="AV141" i="1" s="1"/>
  <c r="AX141" i="1" s="1"/>
  <c r="AO310" i="1"/>
  <c r="AP310" i="1" s="1"/>
  <c r="AV310" i="1" s="1"/>
  <c r="AX310" i="1" s="1"/>
  <c r="AO200" i="1"/>
  <c r="AP200" i="1" s="1"/>
  <c r="AV200" i="1" s="1"/>
  <c r="AX200" i="1" s="1"/>
  <c r="AO199" i="1"/>
  <c r="AP199" i="1" s="1"/>
  <c r="AV199" i="1" s="1"/>
  <c r="AX199" i="1" s="1"/>
  <c r="AO242" i="1"/>
  <c r="AP242" i="1" s="1"/>
  <c r="AV242" i="1" s="1"/>
  <c r="AX242" i="1" s="1"/>
  <c r="AO142" i="1"/>
  <c r="AP142" i="1" s="1"/>
  <c r="AV142" i="1" s="1"/>
  <c r="AX142" i="1" s="1"/>
  <c r="AO152" i="1"/>
  <c r="AP152" i="1" s="1"/>
  <c r="AV152" i="1" s="1"/>
  <c r="AX152" i="1" s="1"/>
  <c r="AO153" i="1"/>
  <c r="AP153" i="1" s="1"/>
  <c r="AV153" i="1" s="1"/>
  <c r="AX153" i="1" s="1"/>
  <c r="AO283" i="1"/>
  <c r="AP283" i="1" s="1"/>
  <c r="AV283" i="1" s="1"/>
  <c r="AX283" i="1" s="1"/>
  <c r="AO321" i="1"/>
  <c r="AP321" i="1" s="1"/>
  <c r="AV321" i="1" s="1"/>
  <c r="AX321" i="1" s="1"/>
  <c r="AO157" i="1"/>
  <c r="AP157" i="1" s="1"/>
  <c r="AV157" i="1" s="1"/>
  <c r="AX157" i="1" s="1"/>
  <c r="AO154" i="1"/>
  <c r="AP154" i="1" s="1"/>
  <c r="AV154" i="1" s="1"/>
  <c r="AX154" i="1" s="1"/>
  <c r="AO232" i="1"/>
  <c r="AP232" i="1" s="1"/>
  <c r="AV232" i="1" s="1"/>
  <c r="AX232" i="1" s="1"/>
  <c r="F514" i="18" s="1"/>
  <c r="I514" i="18" s="1"/>
  <c r="AO245" i="1"/>
  <c r="AP245" i="1" s="1"/>
  <c r="AV245" i="1" s="1"/>
  <c r="AX245" i="1" s="1"/>
  <c r="F494" i="18" s="1"/>
  <c r="AO277" i="1"/>
  <c r="AP277" i="1" s="1"/>
  <c r="AV277" i="1" s="1"/>
  <c r="AX277" i="1" s="1"/>
  <c r="AO196" i="1"/>
  <c r="AP196" i="1" s="1"/>
  <c r="AV196" i="1" s="1"/>
  <c r="AX196" i="1" s="1"/>
  <c r="AO327" i="1"/>
  <c r="AP327" i="1" s="1"/>
  <c r="AV327" i="1" s="1"/>
  <c r="AX327" i="1" s="1"/>
  <c r="AO291" i="1"/>
  <c r="AP291" i="1" s="1"/>
  <c r="AV291" i="1" s="1"/>
  <c r="AX291" i="1" s="1"/>
  <c r="AO294" i="1"/>
  <c r="AP294" i="1" s="1"/>
  <c r="AV294" i="1" s="1"/>
  <c r="AX294" i="1" s="1"/>
  <c r="AO269" i="1"/>
  <c r="AP269" i="1" s="1"/>
  <c r="AV269" i="1" s="1"/>
  <c r="AX269" i="1" s="1"/>
  <c r="AO268" i="1"/>
  <c r="AP268" i="1" s="1"/>
  <c r="AV268" i="1" s="1"/>
  <c r="AX268" i="1" s="1"/>
  <c r="AO324" i="1"/>
  <c r="AP324" i="1" s="1"/>
  <c r="AV324" i="1" s="1"/>
  <c r="AX324" i="1" s="1"/>
  <c r="AO207" i="1"/>
  <c r="AP207" i="1" s="1"/>
  <c r="AV207" i="1" s="1"/>
  <c r="AX207" i="1" s="1"/>
  <c r="F480" i="18" s="1"/>
  <c r="AO203" i="1"/>
  <c r="AP203" i="1" s="1"/>
  <c r="AV203" i="1" s="1"/>
  <c r="AX203" i="1" s="1"/>
  <c r="AO257" i="1"/>
  <c r="AP257" i="1" s="1"/>
  <c r="AV257" i="1" s="1"/>
  <c r="AX257" i="1" s="1"/>
  <c r="AO254" i="1"/>
  <c r="AP254" i="1" s="1"/>
  <c r="AV254" i="1" s="1"/>
  <c r="AX254" i="1" s="1"/>
  <c r="AO263" i="1"/>
  <c r="AP263" i="1" s="1"/>
  <c r="AV263" i="1" s="1"/>
  <c r="AX263" i="1" s="1"/>
  <c r="AO237" i="1"/>
  <c r="AP237" i="1" s="1"/>
  <c r="AV237" i="1" s="1"/>
  <c r="AX237" i="1" s="1"/>
  <c r="AO213" i="1"/>
  <c r="AP213" i="1" s="1"/>
  <c r="AV213" i="1" s="1"/>
  <c r="AX213" i="1" s="1"/>
  <c r="AO155" i="1"/>
  <c r="AP155" i="1" s="1"/>
  <c r="AO233" i="1"/>
  <c r="AP233" i="1" s="1"/>
  <c r="AV233" i="1" s="1"/>
  <c r="AX233" i="1" s="1"/>
  <c r="F515" i="18" s="1"/>
  <c r="I515" i="18" s="1"/>
  <c r="AO326" i="1"/>
  <c r="AP326" i="1" s="1"/>
  <c r="AV326" i="1" s="1"/>
  <c r="AX326" i="1" s="1"/>
  <c r="AO174" i="1"/>
  <c r="AP174" i="1" s="1"/>
  <c r="AV174" i="1" s="1"/>
  <c r="AX174" i="1" s="1"/>
  <c r="AO329" i="1"/>
  <c r="AP329" i="1" s="1"/>
  <c r="AV329" i="1" s="1"/>
  <c r="AX329" i="1" s="1"/>
  <c r="AO202" i="1"/>
  <c r="AP202" i="1" s="1"/>
  <c r="AV202" i="1" s="1"/>
  <c r="AX202" i="1" s="1"/>
  <c r="AO158" i="1"/>
  <c r="AP158" i="1" s="1"/>
  <c r="AV158" i="1" s="1"/>
  <c r="AX158" i="1" s="1"/>
  <c r="AO238" i="1"/>
  <c r="AP238" i="1" s="1"/>
  <c r="AV238" i="1" s="1"/>
  <c r="AX238" i="1" s="1"/>
  <c r="AO241" i="1"/>
  <c r="AP241" i="1" s="1"/>
  <c r="AV241" i="1" s="1"/>
  <c r="AX241" i="1" s="1"/>
  <c r="AO279" i="1"/>
  <c r="AP279" i="1" s="1"/>
  <c r="AV279" i="1" s="1"/>
  <c r="AX279" i="1" s="1"/>
  <c r="F545" i="18" s="1"/>
  <c r="AO217" i="1"/>
  <c r="AP217" i="1" s="1"/>
  <c r="AV217" i="1" s="1"/>
  <c r="AX217" i="1" s="1"/>
  <c r="AO149" i="1"/>
  <c r="AP149" i="1" s="1"/>
  <c r="AV149" i="1" s="1"/>
  <c r="AX149" i="1" s="1"/>
  <c r="AO117" i="1"/>
  <c r="AP117" i="1" s="1"/>
  <c r="AV117" i="1" s="1"/>
  <c r="AX117" i="1" s="1"/>
  <c r="I319" i="18" s="1"/>
  <c r="G319" i="18" s="1"/>
  <c r="AO112" i="1"/>
  <c r="AP112" i="1" s="1"/>
  <c r="AV112" i="1" s="1"/>
  <c r="AX112" i="1" s="1"/>
  <c r="AO297" i="1"/>
  <c r="AP297" i="1" s="1"/>
  <c r="AV297" i="1" s="1"/>
  <c r="AX297" i="1" s="1"/>
  <c r="AO296" i="1"/>
  <c r="AP296" i="1" s="1"/>
  <c r="AV296" i="1" s="1"/>
  <c r="AX296" i="1" s="1"/>
  <c r="AO300" i="1"/>
  <c r="AP300" i="1" s="1"/>
  <c r="AV300" i="1" s="1"/>
  <c r="AX300" i="1" s="1"/>
  <c r="AO111" i="1"/>
  <c r="AP111" i="1" s="1"/>
  <c r="AV111" i="1" s="1"/>
  <c r="AX111" i="1" s="1"/>
  <c r="I321" i="18" s="1"/>
  <c r="AO317" i="1"/>
  <c r="AP317" i="1" s="1"/>
  <c r="AV317" i="1" s="1"/>
  <c r="AX317" i="1" s="1"/>
  <c r="AO262" i="1"/>
  <c r="AP262" i="1" s="1"/>
  <c r="AV262" i="1" s="1"/>
  <c r="AO114" i="1"/>
  <c r="AP114" i="1" s="1"/>
  <c r="AV114" i="1" s="1"/>
  <c r="AX114" i="1" s="1"/>
  <c r="AO325" i="1"/>
  <c r="AP325" i="1" s="1"/>
  <c r="AV325" i="1" s="1"/>
  <c r="AX325" i="1" s="1"/>
  <c r="AO337" i="1"/>
  <c r="AP337" i="1" s="1"/>
  <c r="AV337" i="1" s="1"/>
  <c r="AX337" i="1" s="1"/>
  <c r="AO215" i="1"/>
  <c r="AP215" i="1" s="1"/>
  <c r="AV215" i="1" s="1"/>
  <c r="AX215" i="1" s="1"/>
  <c r="AO223" i="1"/>
  <c r="AP223" i="1" s="1"/>
  <c r="AV223" i="1" s="1"/>
  <c r="AX223" i="1" s="1"/>
  <c r="AO97" i="1"/>
  <c r="AP97" i="1" s="1"/>
  <c r="AV97" i="1" s="1"/>
  <c r="AX97" i="1" s="1"/>
  <c r="AO331" i="1"/>
  <c r="AP331" i="1" s="1"/>
  <c r="AV331" i="1" s="1"/>
  <c r="AX331" i="1" s="1"/>
  <c r="AO96" i="1"/>
  <c r="AP96" i="1" s="1"/>
  <c r="AV96" i="1" s="1"/>
  <c r="AX96" i="1" s="1"/>
  <c r="AO246" i="1"/>
  <c r="AP246" i="1" s="1"/>
  <c r="AV246" i="1" s="1"/>
  <c r="AX246" i="1" s="1"/>
  <c r="F493" i="18" s="1"/>
  <c r="AO147" i="1"/>
  <c r="AP147" i="1" s="1"/>
  <c r="AV147" i="1" s="1"/>
  <c r="AX147" i="1" s="1"/>
  <c r="AO320" i="1"/>
  <c r="AP320" i="1" s="1"/>
  <c r="AV320" i="1" s="1"/>
  <c r="AX320" i="1" s="1"/>
  <c r="AO252" i="1"/>
  <c r="AP252" i="1" s="1"/>
  <c r="AV252" i="1" s="1"/>
  <c r="AX252" i="1" s="1"/>
  <c r="AO332" i="1"/>
  <c r="AP332" i="1" s="1"/>
  <c r="AV332" i="1" s="1"/>
  <c r="AX332" i="1" s="1"/>
  <c r="AO206" i="1"/>
  <c r="AP206" i="1" s="1"/>
  <c r="AV206" i="1" s="1"/>
  <c r="AX206" i="1" s="1"/>
  <c r="F479" i="18" s="1"/>
  <c r="AO159" i="1"/>
  <c r="AP159" i="1" s="1"/>
  <c r="AV159" i="1" s="1"/>
  <c r="AX159" i="1" s="1"/>
  <c r="AO290" i="1"/>
  <c r="AP290" i="1" s="1"/>
  <c r="AV290" i="1" s="1"/>
  <c r="AX290" i="1" s="1"/>
  <c r="AO187" i="1"/>
  <c r="AP187" i="1" s="1"/>
  <c r="AV187" i="1" s="1"/>
  <c r="AX187" i="1" s="1"/>
  <c r="AO212" i="1"/>
  <c r="AP212" i="1" s="1"/>
  <c r="AV212" i="1" s="1"/>
  <c r="AX212" i="1" s="1"/>
  <c r="AO343" i="1"/>
  <c r="AP343" i="1" s="1"/>
  <c r="AV343" i="1" s="1"/>
  <c r="AX343" i="1" s="1"/>
  <c r="AO288" i="1"/>
  <c r="AP288" i="1" s="1"/>
  <c r="AV288" i="1" s="1"/>
  <c r="AX288" i="1" s="1"/>
  <c r="AO205" i="1"/>
  <c r="AP205" i="1" s="1"/>
  <c r="AV205" i="1" s="1"/>
  <c r="AX205" i="1" s="1"/>
  <c r="AO330" i="1"/>
  <c r="AP330" i="1" s="1"/>
  <c r="AV330" i="1" s="1"/>
  <c r="AX330" i="1" s="1"/>
  <c r="AO339" i="1"/>
  <c r="AP339" i="1" s="1"/>
  <c r="AV339" i="1" s="1"/>
  <c r="AX339" i="1" s="1"/>
  <c r="AO347" i="1"/>
  <c r="AP347" i="1" s="1"/>
  <c r="AV347" i="1" s="1"/>
  <c r="AX347" i="1" s="1"/>
  <c r="AO137" i="1"/>
  <c r="AP137" i="1" s="1"/>
  <c r="AV137" i="1" s="1"/>
  <c r="AX137" i="1" s="1"/>
  <c r="AO259" i="1"/>
  <c r="AP259" i="1" s="1"/>
  <c r="AV259" i="1" s="1"/>
  <c r="AX259" i="1" s="1"/>
  <c r="AO227" i="1"/>
  <c r="AP227" i="1" s="1"/>
  <c r="AV227" i="1" s="1"/>
  <c r="AX227" i="1" s="1"/>
  <c r="AO342" i="1"/>
  <c r="AP342" i="1" s="1"/>
  <c r="AV342" i="1" s="1"/>
  <c r="AX342" i="1" s="1"/>
  <c r="AO201" i="1"/>
  <c r="AP201" i="1" s="1"/>
  <c r="AV201" i="1" s="1"/>
  <c r="AX201" i="1" s="1"/>
  <c r="AO171" i="1"/>
  <c r="AP171" i="1" s="1"/>
  <c r="AV171" i="1" s="1"/>
  <c r="AX171" i="1" s="1"/>
  <c r="AO219" i="1"/>
  <c r="AP219" i="1" s="1"/>
  <c r="AV219" i="1" s="1"/>
  <c r="AX219" i="1" s="1"/>
  <c r="AO354" i="1"/>
  <c r="AP354" i="1" s="1"/>
  <c r="AV354" i="1" s="1"/>
  <c r="AO348" i="1"/>
  <c r="AP348" i="1" s="1"/>
  <c r="AV348" i="1" s="1"/>
  <c r="AX348" i="1" s="1"/>
  <c r="AO341" i="1"/>
  <c r="AP341" i="1" s="1"/>
  <c r="AV341" i="1" s="1"/>
  <c r="AX341" i="1" s="1"/>
  <c r="AO190" i="1"/>
  <c r="AP190" i="1" s="1"/>
  <c r="AV190" i="1" s="1"/>
  <c r="AX190" i="1" s="1"/>
  <c r="AO306" i="1"/>
  <c r="AP306" i="1" s="1"/>
  <c r="AV306" i="1" s="1"/>
  <c r="AX306" i="1" s="1"/>
  <c r="AO220" i="1"/>
  <c r="AP220" i="1" s="1"/>
  <c r="AV220" i="1" s="1"/>
  <c r="AX220" i="1" s="1"/>
  <c r="AO146" i="1"/>
  <c r="AP146" i="1" s="1"/>
  <c r="AV146" i="1" s="1"/>
  <c r="AX146" i="1" s="1"/>
  <c r="AO334" i="1"/>
  <c r="AP334" i="1" s="1"/>
  <c r="AV334" i="1" s="1"/>
  <c r="AX334" i="1" s="1"/>
  <c r="AO195" i="1"/>
  <c r="AP195" i="1" s="1"/>
  <c r="AV195" i="1" s="1"/>
  <c r="AX195" i="1" s="1"/>
  <c r="AO305" i="1"/>
  <c r="AP305" i="1" s="1"/>
  <c r="AV305" i="1" s="1"/>
  <c r="AX305" i="1" s="1"/>
  <c r="AO275" i="1"/>
  <c r="AP275" i="1" s="1"/>
  <c r="AV275" i="1" s="1"/>
  <c r="AX275" i="1" s="1"/>
  <c r="AO211" i="1"/>
  <c r="AP211" i="1" s="1"/>
  <c r="AV211" i="1" s="1"/>
  <c r="AX211" i="1" s="1"/>
  <c r="AO346" i="1"/>
  <c r="AP346" i="1" s="1"/>
  <c r="AV346" i="1" s="1"/>
  <c r="AX346" i="1" s="1"/>
  <c r="AO315" i="1"/>
  <c r="AP315" i="1" s="1"/>
  <c r="AV315" i="1" s="1"/>
  <c r="AX315" i="1" s="1"/>
  <c r="AO216" i="1"/>
  <c r="AP216" i="1" s="1"/>
  <c r="AV216" i="1" s="1"/>
  <c r="AX216" i="1" s="1"/>
  <c r="AO256" i="1"/>
  <c r="AP256" i="1" s="1"/>
  <c r="AV256" i="1" s="1"/>
  <c r="AX256" i="1" s="1"/>
  <c r="AO280" i="1"/>
  <c r="AP280" i="1" s="1"/>
  <c r="AV280" i="1" s="1"/>
  <c r="AX280" i="1" s="1"/>
  <c r="F544" i="18" s="1"/>
  <c r="AO285" i="1"/>
  <c r="AP285" i="1" s="1"/>
  <c r="AV285" i="1" s="1"/>
  <c r="AX285" i="1" s="1"/>
  <c r="AO229" i="1"/>
  <c r="AP229" i="1" s="1"/>
  <c r="AV229" i="1" s="1"/>
  <c r="AX229" i="1" s="1"/>
  <c r="AO218" i="1"/>
  <c r="AP218" i="1" s="1"/>
  <c r="AV218" i="1" s="1"/>
  <c r="AX218" i="1" s="1"/>
  <c r="AO139" i="1"/>
  <c r="AP139" i="1" s="1"/>
  <c r="AV139" i="1" s="1"/>
  <c r="AX139" i="1" s="1"/>
  <c r="AO319" i="1"/>
  <c r="AP319" i="1" s="1"/>
  <c r="AV319" i="1" s="1"/>
  <c r="AX319" i="1" s="1"/>
  <c r="AO173" i="1"/>
  <c r="AP173" i="1" s="1"/>
  <c r="AV173" i="1" s="1"/>
  <c r="AO266" i="1"/>
  <c r="AP266" i="1" s="1"/>
  <c r="AV266" i="1" s="1"/>
  <c r="AX266" i="1" s="1"/>
  <c r="F582" i="18" s="1"/>
  <c r="AO344" i="1"/>
  <c r="AP344" i="1" s="1"/>
  <c r="AV344" i="1" s="1"/>
  <c r="AX344" i="1" s="1"/>
  <c r="AO338" i="1"/>
  <c r="AP338" i="1" s="1"/>
  <c r="AV338" i="1" s="1"/>
  <c r="AX338" i="1" s="1"/>
  <c r="AO118" i="1"/>
  <c r="AP118" i="1" s="1"/>
  <c r="AV118" i="1" s="1"/>
  <c r="AX118" i="1" s="1"/>
  <c r="AO322" i="1"/>
  <c r="AP322" i="1" s="1"/>
  <c r="AV322" i="1" s="1"/>
  <c r="AX322" i="1" s="1"/>
  <c r="AO133" i="1"/>
  <c r="AP133" i="1" s="1"/>
  <c r="AV133" i="1" s="1"/>
  <c r="AX133" i="1" s="1"/>
  <c r="AO292" i="1"/>
  <c r="AP292" i="1" s="1"/>
  <c r="AV292" i="1" s="1"/>
  <c r="AX292" i="1" s="1"/>
  <c r="AO318" i="1"/>
  <c r="AP318" i="1" s="1"/>
  <c r="AV318" i="1" s="1"/>
  <c r="AX318" i="1" s="1"/>
  <c r="AO116" i="1"/>
  <c r="AP116" i="1" s="1"/>
  <c r="AV116" i="1" s="1"/>
  <c r="AX116" i="1" s="1"/>
  <c r="I318" i="18" s="1"/>
  <c r="G318" i="18" s="1"/>
  <c r="AO284" i="1"/>
  <c r="AP284" i="1" s="1"/>
  <c r="AV284" i="1" s="1"/>
  <c r="AX284" i="1" s="1"/>
  <c r="AO225" i="1"/>
  <c r="AP225" i="1" s="1"/>
  <c r="AV225" i="1" s="1"/>
  <c r="AX225" i="1" s="1"/>
  <c r="AO311" i="1"/>
  <c r="AP311" i="1" s="1"/>
  <c r="AV311" i="1" s="1"/>
  <c r="AX311" i="1" s="1"/>
  <c r="AO138" i="1"/>
  <c r="AP138" i="1" s="1"/>
  <c r="AV138" i="1" s="1"/>
  <c r="AX138" i="1" s="1"/>
  <c r="AO240" i="1"/>
  <c r="AP240" i="1" s="1"/>
  <c r="AV240" i="1" s="1"/>
  <c r="AX240" i="1" s="1"/>
  <c r="AO264" i="1"/>
  <c r="AP264" i="1" s="1"/>
  <c r="AV264" i="1" s="1"/>
  <c r="AX264" i="1" s="1"/>
  <c r="AO239" i="1"/>
  <c r="AP239" i="1" s="1"/>
  <c r="AV239" i="1" s="1"/>
  <c r="AX239" i="1" s="1"/>
  <c r="AO172" i="1"/>
  <c r="AP172" i="1" s="1"/>
  <c r="AV172" i="1" s="1"/>
  <c r="P124" i="6" s="1"/>
  <c r="R124" i="6" s="1"/>
  <c r="AO304" i="1"/>
  <c r="AP304" i="1" s="1"/>
  <c r="AV304" i="1" s="1"/>
  <c r="AX304" i="1" s="1"/>
  <c r="AO100" i="1"/>
  <c r="AP100" i="1" s="1"/>
  <c r="AV100" i="1" s="1"/>
  <c r="AO282" i="1"/>
  <c r="AP282" i="1" s="1"/>
  <c r="AV282" i="1" s="1"/>
  <c r="AX282" i="1" s="1"/>
  <c r="AO258" i="1"/>
  <c r="AP258" i="1" s="1"/>
  <c r="AV258" i="1" s="1"/>
  <c r="AX258" i="1" s="1"/>
  <c r="F580" i="18" s="1"/>
  <c r="AO140" i="1"/>
  <c r="AP140" i="1" s="1"/>
  <c r="AV140" i="1" s="1"/>
  <c r="AX140" i="1" s="1"/>
  <c r="AO299" i="1"/>
  <c r="AP299" i="1" s="1"/>
  <c r="AV299" i="1" s="1"/>
  <c r="AX299" i="1" s="1"/>
  <c r="AO276" i="1"/>
  <c r="AP276" i="1" s="1"/>
  <c r="AV276" i="1" s="1"/>
  <c r="AX276" i="1" s="1"/>
  <c r="AO244" i="1"/>
  <c r="AP244" i="1" s="1"/>
  <c r="AV244" i="1" s="1"/>
  <c r="AX244" i="1" s="1"/>
  <c r="F495" i="18" s="1"/>
  <c r="AO226" i="1"/>
  <c r="AP226" i="1" s="1"/>
  <c r="AV226" i="1" s="1"/>
  <c r="AX226" i="1" s="1"/>
  <c r="AO316" i="1"/>
  <c r="AP316" i="1" s="1"/>
  <c r="AV316" i="1" s="1"/>
  <c r="AX316" i="1" s="1"/>
  <c r="AO289" i="1"/>
  <c r="AP289" i="1" s="1"/>
  <c r="AV289" i="1" s="1"/>
  <c r="AX289" i="1" s="1"/>
  <c r="AO267" i="1"/>
  <c r="AP267" i="1" s="1"/>
  <c r="AV267" i="1" s="1"/>
  <c r="AX267" i="1" s="1"/>
  <c r="AO115" i="1"/>
  <c r="AP115" i="1" s="1"/>
  <c r="AV115" i="1" s="1"/>
  <c r="AX115" i="1" s="1"/>
  <c r="AO35" i="1"/>
  <c r="AP35" i="1" s="1"/>
  <c r="AV35" i="1" s="1"/>
  <c r="AX35" i="1" s="1"/>
  <c r="E85" i="17" s="1"/>
  <c r="E86" i="17" s="1"/>
  <c r="K33" i="17" s="1"/>
  <c r="E33" i="17" s="1"/>
  <c r="I31" i="8" s="1"/>
  <c r="K31" i="8" s="1"/>
  <c r="AO110" i="1"/>
  <c r="AP110" i="1" s="1"/>
  <c r="AO272" i="1"/>
  <c r="AP272" i="1" s="1"/>
  <c r="AO303" i="1"/>
  <c r="AP303" i="1" s="1"/>
  <c r="AO95" i="1"/>
  <c r="AP95" i="1" s="1"/>
  <c r="AO130" i="1"/>
  <c r="AP130" i="1" s="1"/>
  <c r="AO210" i="1"/>
  <c r="AP210" i="1" s="1"/>
  <c r="AO236" i="1"/>
  <c r="AP236" i="1" s="1"/>
  <c r="AO14" i="1"/>
  <c r="AP14" i="1" s="1"/>
  <c r="AV14" i="1" s="1"/>
  <c r="AX14" i="1" s="1"/>
  <c r="AO15" i="1"/>
  <c r="AP15" i="1" s="1"/>
  <c r="AV15" i="1" s="1"/>
  <c r="AX15" i="1" s="1"/>
  <c r="AO25" i="1"/>
  <c r="AP25" i="1" s="1"/>
  <c r="AV25" i="1" s="1"/>
  <c r="P15" i="6" s="1"/>
  <c r="R15" i="6" s="1"/>
  <c r="AO53" i="1"/>
  <c r="AP53" i="1" s="1"/>
  <c r="AV53" i="1" s="1"/>
  <c r="AX53" i="1" s="1"/>
  <c r="AO70" i="1"/>
  <c r="AP70" i="1" s="1"/>
  <c r="AV70" i="1" s="1"/>
  <c r="AO56" i="1"/>
  <c r="AP56" i="1" s="1"/>
  <c r="AV56" i="1" s="1"/>
  <c r="AX56" i="1" s="1"/>
  <c r="AO57" i="1"/>
  <c r="AP57" i="1" s="1"/>
  <c r="AV57" i="1" s="1"/>
  <c r="AX57" i="1" s="1"/>
  <c r="AO69" i="1"/>
  <c r="AP69" i="1" s="1"/>
  <c r="AV69" i="1" s="1"/>
  <c r="AX69" i="1" s="1"/>
  <c r="F262" i="18" s="1"/>
  <c r="AO65" i="1"/>
  <c r="AP65" i="1" s="1"/>
  <c r="AV65" i="1" s="1"/>
  <c r="AX65" i="1" s="1"/>
  <c r="AO11" i="1"/>
  <c r="AP11" i="1" s="1"/>
  <c r="AV11" i="1" s="1"/>
  <c r="AO76" i="1"/>
  <c r="AP76" i="1" s="1"/>
  <c r="AO32" i="1"/>
  <c r="AP32" i="1" s="1"/>
  <c r="AV32" i="1" s="1"/>
  <c r="AX32" i="1" s="1"/>
  <c r="AO61" i="1"/>
  <c r="AP61" i="1" s="1"/>
  <c r="AV61" i="1" s="1"/>
  <c r="AX61" i="1" s="1"/>
  <c r="AO52" i="1"/>
  <c r="AP52" i="1" s="1"/>
  <c r="AV52" i="1" s="1"/>
  <c r="AX52" i="1" s="1"/>
  <c r="AO34" i="1"/>
  <c r="AP34" i="1" s="1"/>
  <c r="AV34" i="1" s="1"/>
  <c r="AX34" i="1" s="1"/>
  <c r="AO77" i="1"/>
  <c r="AP77" i="1" s="1"/>
  <c r="AV77" i="1" s="1"/>
  <c r="AX77" i="1" s="1"/>
  <c r="H220" i="18" s="1"/>
  <c r="AO12" i="1"/>
  <c r="AP12" i="1" s="1"/>
  <c r="AV12" i="1" s="1"/>
  <c r="AX12" i="1" s="1"/>
  <c r="AO39" i="1"/>
  <c r="AP39" i="1" s="1"/>
  <c r="AV39" i="1" s="1"/>
  <c r="AX39" i="1" s="1"/>
  <c r="AO50" i="1"/>
  <c r="AP50" i="1" s="1"/>
  <c r="AV50" i="1" s="1"/>
  <c r="AX50" i="1" s="1"/>
  <c r="AO47" i="1"/>
  <c r="AP47" i="1" s="1"/>
  <c r="AO24" i="1"/>
  <c r="AP24" i="1" s="1"/>
  <c r="AV24" i="1" s="1"/>
  <c r="AX24" i="1" s="1"/>
  <c r="AO79" i="1"/>
  <c r="AP79" i="1" s="1"/>
  <c r="AV79" i="1" s="1"/>
  <c r="AO78" i="1"/>
  <c r="AP78" i="1" s="1"/>
  <c r="AV78" i="1" s="1"/>
  <c r="AX78" i="1" s="1"/>
  <c r="G220" i="18" s="1"/>
  <c r="AO23" i="1"/>
  <c r="AO43" i="1"/>
  <c r="AP43" i="1" s="1"/>
  <c r="AV43" i="1" s="1"/>
  <c r="AX43" i="1" s="1"/>
  <c r="AO13" i="1"/>
  <c r="AP13" i="1" s="1"/>
  <c r="AV13" i="1" s="1"/>
  <c r="AX13" i="1" s="1"/>
  <c r="AO33" i="1"/>
  <c r="AO91" i="1"/>
  <c r="AP91" i="1" s="1"/>
  <c r="AV91" i="1" s="1"/>
  <c r="AO84" i="1"/>
  <c r="AP84" i="1" s="1"/>
  <c r="AV84" i="1" s="1"/>
  <c r="AO55" i="1"/>
  <c r="AP55" i="1" s="1"/>
  <c r="AV55" i="1" s="1"/>
  <c r="AX55" i="1" s="1"/>
  <c r="AO71" i="1"/>
  <c r="AP71" i="1" s="1"/>
  <c r="AV71" i="1" s="1"/>
  <c r="AX71" i="1" s="1"/>
  <c r="AO49" i="1"/>
  <c r="AO90" i="1"/>
  <c r="AO54" i="1"/>
  <c r="AP54" i="1" s="1"/>
  <c r="AV54" i="1" s="1"/>
  <c r="AX54" i="1" s="1"/>
  <c r="AO59" i="1"/>
  <c r="AP59" i="1" s="1"/>
  <c r="AV59" i="1" s="1"/>
  <c r="AX59" i="1" s="1"/>
  <c r="AO22" i="1"/>
  <c r="AP22" i="1" s="1"/>
  <c r="AV22" i="1" s="1"/>
  <c r="AO46" i="1"/>
  <c r="AP46" i="1" s="1"/>
  <c r="AV46" i="1" s="1"/>
  <c r="AO83" i="1"/>
  <c r="AP83" i="1" s="1"/>
  <c r="AV83" i="1" s="1"/>
  <c r="AX83" i="1" s="1"/>
  <c r="AO68" i="1"/>
  <c r="AP68" i="1" s="1"/>
  <c r="AO28" i="1"/>
  <c r="AP28" i="1" s="1"/>
  <c r="AV28" i="1" s="1"/>
  <c r="AX28" i="1" s="1"/>
  <c r="AO58" i="1"/>
  <c r="AP58" i="1" s="1"/>
  <c r="AV58" i="1" s="1"/>
  <c r="AX58" i="1" s="1"/>
  <c r="AO18" i="1"/>
  <c r="AO17" i="1" s="1"/>
  <c r="AO27" i="1"/>
  <c r="AP27" i="1" s="1"/>
  <c r="AV27" i="1" s="1"/>
  <c r="AX27" i="1" s="1"/>
  <c r="AO82" i="1"/>
  <c r="AO87" i="1"/>
  <c r="AO86" i="1" s="1"/>
  <c r="AO26" i="1"/>
  <c r="AP26" i="1" s="1"/>
  <c r="AV26" i="1" s="1"/>
  <c r="AX26" i="1" s="1"/>
  <c r="AO167" i="1"/>
  <c r="AP167" i="1" s="1"/>
  <c r="AO38" i="1"/>
  <c r="AP38" i="1" s="1"/>
  <c r="AO351" i="1"/>
  <c r="AP351" i="1" s="1"/>
  <c r="AO163" i="1"/>
  <c r="AP163" i="1" s="1"/>
  <c r="AO121" i="1"/>
  <c r="AP121" i="1" s="1"/>
  <c r="AO127" i="1"/>
  <c r="AP127" i="1" s="1"/>
  <c r="AO124" i="1"/>
  <c r="AP124" i="1" s="1"/>
  <c r="AO42" i="1"/>
  <c r="AO64" i="1"/>
  <c r="AO31" i="1"/>
  <c r="AP31" i="1" s="1"/>
  <c r="AO170" i="1"/>
  <c r="AP170" i="1" s="1"/>
  <c r="AO98" i="1"/>
  <c r="AP98" i="1" s="1"/>
  <c r="AV98" i="1" s="1"/>
  <c r="AX98" i="1" s="1"/>
  <c r="AO81" i="1" l="1"/>
  <c r="AO41" i="1"/>
  <c r="F560" i="18"/>
  <c r="F557" i="18"/>
  <c r="AO89" i="1"/>
  <c r="F491" i="18"/>
  <c r="AO162" i="1"/>
  <c r="AO161" i="1" s="1"/>
  <c r="F565" i="18"/>
  <c r="AO126" i="1"/>
  <c r="AP87" i="1"/>
  <c r="AV87" i="1" s="1"/>
  <c r="AX87" i="1" s="1"/>
  <c r="AO63" i="1"/>
  <c r="F373" i="18"/>
  <c r="F359" i="18"/>
  <c r="F31" i="18"/>
  <c r="AO45" i="1"/>
  <c r="AO10" i="1"/>
  <c r="F563" i="18"/>
  <c r="AO37" i="1"/>
  <c r="F576" i="18"/>
  <c r="AO166" i="1"/>
  <c r="AO30" i="1"/>
  <c r="AO106" i="1"/>
  <c r="AO271" i="1"/>
  <c r="AP18" i="1"/>
  <c r="AO21" i="1"/>
  <c r="AP42" i="1"/>
  <c r="AV42" i="1" s="1"/>
  <c r="AV41" i="1" s="1"/>
  <c r="F481" i="18"/>
  <c r="AX99" i="1"/>
  <c r="P81" i="6"/>
  <c r="R81" i="6" s="1"/>
  <c r="P10" i="6"/>
  <c r="AV10" i="1"/>
  <c r="AX11" i="1"/>
  <c r="F377" i="18"/>
  <c r="AV155" i="1"/>
  <c r="AX155" i="1" s="1"/>
  <c r="F32" i="18"/>
  <c r="F579" i="18"/>
  <c r="AV47" i="1"/>
  <c r="AX47" i="1" s="1"/>
  <c r="AX22" i="1"/>
  <c r="AP75" i="1"/>
  <c r="AV76" i="1"/>
  <c r="P72" i="6"/>
  <c r="R72" i="6" s="1"/>
  <c r="X72" i="6" s="1"/>
  <c r="AX91" i="1"/>
  <c r="AP37" i="1"/>
  <c r="AV38" i="1"/>
  <c r="P130" i="6"/>
  <c r="R130" i="6" s="1"/>
  <c r="X130" i="6" s="1"/>
  <c r="AX173" i="1"/>
  <c r="AX354" i="1"/>
  <c r="W9" i="17" s="1"/>
  <c r="P26" i="7"/>
  <c r="R26" i="7" s="1"/>
  <c r="AV170" i="1"/>
  <c r="AY170" i="1"/>
  <c r="AX70" i="1"/>
  <c r="I326" i="18" s="1"/>
  <c r="P34" i="6"/>
  <c r="R34" i="6" s="1"/>
  <c r="P80" i="6"/>
  <c r="R80" i="6" s="1"/>
  <c r="AX100" i="1"/>
  <c r="F466" i="18"/>
  <c r="P14" i="7"/>
  <c r="R14" i="7" s="1"/>
  <c r="AX262" i="1"/>
  <c r="F269" i="18"/>
  <c r="AP67" i="1"/>
  <c r="AV68" i="1"/>
  <c r="P59" i="6"/>
  <c r="R59" i="6" s="1"/>
  <c r="AX84" i="1"/>
  <c r="AV31" i="1"/>
  <c r="F566" i="18"/>
  <c r="P53" i="6"/>
  <c r="R53" i="6" s="1"/>
  <c r="AX79" i="1"/>
  <c r="X15" i="6"/>
  <c r="F82" i="18"/>
  <c r="H67" i="18"/>
  <c r="J4" i="17"/>
  <c r="J5" i="17" s="1"/>
  <c r="H54" i="18"/>
  <c r="AP166" i="1"/>
  <c r="AV167" i="1"/>
  <c r="AV210" i="1"/>
  <c r="AP209" i="1"/>
  <c r="AP10" i="1"/>
  <c r="F581" i="18"/>
  <c r="F358" i="18"/>
  <c r="F372" i="18"/>
  <c r="F470" i="18"/>
  <c r="P20" i="7"/>
  <c r="R20" i="7" s="1"/>
  <c r="F605" i="18" s="1"/>
  <c r="AX352" i="1"/>
  <c r="AX46" i="1"/>
  <c r="AO123" i="1"/>
  <c r="AP23" i="1"/>
  <c r="AV23" i="1" s="1"/>
  <c r="AX23" i="1" s="1"/>
  <c r="F50" i="18" s="1"/>
  <c r="AP82" i="1"/>
  <c r="AX25" i="1"/>
  <c r="AO109" i="1"/>
  <c r="F542" i="18"/>
  <c r="AO129" i="1"/>
  <c r="AP109" i="1"/>
  <c r="AV110" i="1"/>
  <c r="F559" i="18"/>
  <c r="F378" i="18"/>
  <c r="F357" i="18"/>
  <c r="F371" i="18"/>
  <c r="AP33" i="1"/>
  <c r="AV33" i="1" s="1"/>
  <c r="AX33" i="1" s="1"/>
  <c r="AP64" i="1"/>
  <c r="AX356" i="1"/>
  <c r="C133" i="31" s="1"/>
  <c r="C134" i="31" s="1"/>
  <c r="P32" i="7"/>
  <c r="R32" i="7" s="1"/>
  <c r="I417" i="18" s="1"/>
  <c r="I418" i="18" s="1"/>
  <c r="F356" i="18"/>
  <c r="F370" i="18"/>
  <c r="AO209" i="1"/>
  <c r="AP123" i="1"/>
  <c r="AV124" i="1"/>
  <c r="AV130" i="1"/>
  <c r="AP129" i="1"/>
  <c r="AP126" i="1"/>
  <c r="AV127" i="1"/>
  <c r="AO94" i="1"/>
  <c r="F546" i="18"/>
  <c r="I317" i="18"/>
  <c r="F159" i="18"/>
  <c r="AO120" i="1"/>
  <c r="AP90" i="1"/>
  <c r="AP94" i="1"/>
  <c r="AV95" i="1"/>
  <c r="AO185" i="1"/>
  <c r="AP120" i="1"/>
  <c r="AV121" i="1"/>
  <c r="AO67" i="1"/>
  <c r="AX172" i="1"/>
  <c r="F375" i="18"/>
  <c r="X124" i="6"/>
  <c r="G421" i="18"/>
  <c r="AG4" i="17"/>
  <c r="AG5" i="17" s="1"/>
  <c r="AG6" i="17" s="1"/>
  <c r="F575" i="18"/>
  <c r="AP106" i="1"/>
  <c r="AV107" i="1"/>
  <c r="F163" i="18"/>
  <c r="AP49" i="1"/>
  <c r="AV49" i="1" s="1"/>
  <c r="AX49" i="1" s="1"/>
  <c r="AO302" i="1"/>
  <c r="AP4" i="1"/>
  <c r="AO250" i="1"/>
  <c r="AP162" i="1"/>
  <c r="AP161" i="1" s="1"/>
  <c r="AV163" i="1"/>
  <c r="AO75" i="1"/>
  <c r="AV303" i="1"/>
  <c r="AP302" i="1"/>
  <c r="F469" i="18"/>
  <c r="AO350" i="1"/>
  <c r="F516" i="18"/>
  <c r="AP271" i="1"/>
  <c r="AV272" i="1"/>
  <c r="P137" i="6"/>
  <c r="R137" i="6" s="1"/>
  <c r="AX177" i="1"/>
  <c r="AP350" i="1"/>
  <c r="AV351" i="1"/>
  <c r="AO235" i="1"/>
  <c r="AV236" i="1"/>
  <c r="AP235" i="1"/>
  <c r="AP186" i="1"/>
  <c r="AP251" i="1"/>
  <c r="F561" i="18" l="1"/>
  <c r="AO9" i="1"/>
  <c r="AP86" i="1"/>
  <c r="AV86" i="1"/>
  <c r="P67" i="6"/>
  <c r="R67" i="6" s="1"/>
  <c r="P20" i="6"/>
  <c r="R20" i="6" s="1"/>
  <c r="X20" i="6" s="1"/>
  <c r="P134" i="6"/>
  <c r="R134" i="6" s="1"/>
  <c r="AX175" i="1"/>
  <c r="AP41" i="1"/>
  <c r="AX42" i="1"/>
  <c r="AX41" i="1" s="1"/>
  <c r="AV18" i="1"/>
  <c r="AP17" i="1"/>
  <c r="AO73" i="1"/>
  <c r="AO102" i="1" s="1"/>
  <c r="AP21" i="1"/>
  <c r="P14" i="6"/>
  <c r="AD15" i="17"/>
  <c r="P16" i="6"/>
  <c r="R16" i="6" s="1"/>
  <c r="AX31" i="1"/>
  <c r="AV30" i="1"/>
  <c r="P122" i="6"/>
  <c r="AX170" i="1"/>
  <c r="AV21" i="1"/>
  <c r="AV82" i="1"/>
  <c r="AP81" i="1"/>
  <c r="AV106" i="1"/>
  <c r="P88" i="6"/>
  <c r="AX107" i="1"/>
  <c r="AX106" i="1" s="1"/>
  <c r="AP89" i="1"/>
  <c r="AV90" i="1"/>
  <c r="P97" i="6"/>
  <c r="R97" i="6" s="1"/>
  <c r="AX167" i="1"/>
  <c r="AX166" i="1" s="1"/>
  <c r="AV166" i="1"/>
  <c r="AX236" i="1"/>
  <c r="P12" i="7"/>
  <c r="R12" i="7" s="1"/>
  <c r="AV235" i="1"/>
  <c r="AV64" i="1"/>
  <c r="AP63" i="1"/>
  <c r="AX45" i="1"/>
  <c r="AP30" i="1"/>
  <c r="AV45" i="1"/>
  <c r="AX21" i="1"/>
  <c r="F48" i="18"/>
  <c r="F52" i="18" s="1"/>
  <c r="AV120" i="1"/>
  <c r="P91" i="6"/>
  <c r="R91" i="6" s="1"/>
  <c r="AX121" i="1"/>
  <c r="AX120" i="1" s="1"/>
  <c r="AX130" i="1"/>
  <c r="P96" i="6"/>
  <c r="R96" i="6" s="1"/>
  <c r="AV129" i="1"/>
  <c r="AX95" i="1"/>
  <c r="AV94" i="1"/>
  <c r="P77" i="6"/>
  <c r="AV251" i="1"/>
  <c r="AP250" i="1"/>
  <c r="AP185" i="1"/>
  <c r="AV186" i="1"/>
  <c r="AP104" i="1"/>
  <c r="P16" i="7"/>
  <c r="R16" i="7" s="1"/>
  <c r="AV302" i="1"/>
  <c r="AX303" i="1"/>
  <c r="P24" i="6"/>
  <c r="R24" i="6" s="1"/>
  <c r="AP45" i="1"/>
  <c r="P65" i="6"/>
  <c r="X59" i="6"/>
  <c r="U4" i="17"/>
  <c r="U5" i="17" s="1"/>
  <c r="I248" i="18"/>
  <c r="AX86" i="1"/>
  <c r="F278" i="18"/>
  <c r="F279" i="18" s="1"/>
  <c r="AX68" i="1"/>
  <c r="AV67" i="1"/>
  <c r="P33" i="6"/>
  <c r="AX351" i="1"/>
  <c r="AX350" i="1" s="1"/>
  <c r="P19" i="7"/>
  <c r="AV350" i="1"/>
  <c r="W16" i="17"/>
  <c r="E16" i="17" s="1"/>
  <c r="I14" i="8" s="1"/>
  <c r="K14" i="8" s="1"/>
  <c r="F361" i="18"/>
  <c r="P95" i="6"/>
  <c r="R95" i="6" s="1"/>
  <c r="X95" i="6" s="1"/>
  <c r="AX127" i="1"/>
  <c r="AX126" i="1" s="1"/>
  <c r="AV126" i="1"/>
  <c r="G317" i="18"/>
  <c r="G316" i="18" s="1"/>
  <c r="I316" i="18"/>
  <c r="AX163" i="1"/>
  <c r="AX162" i="1" s="1"/>
  <c r="AX161" i="1" s="1"/>
  <c r="P109" i="6"/>
  <c r="AV162" i="1"/>
  <c r="AV161" i="1" s="1"/>
  <c r="AV37" i="1"/>
  <c r="P19" i="6"/>
  <c r="AX38" i="1"/>
  <c r="AX37" i="1" s="1"/>
  <c r="AX10" i="1"/>
  <c r="F30" i="18"/>
  <c r="J12" i="17"/>
  <c r="E12" i="17" s="1"/>
  <c r="I10" i="8" s="1"/>
  <c r="K10" i="8" s="1"/>
  <c r="F613" i="18"/>
  <c r="AX110" i="1"/>
  <c r="P90" i="6"/>
  <c r="R90" i="6" s="1"/>
  <c r="AV109" i="1"/>
  <c r="AO358" i="1"/>
  <c r="AO176" i="1" s="1"/>
  <c r="P92" i="6"/>
  <c r="R92" i="6" s="1"/>
  <c r="AV123" i="1"/>
  <c r="AX124" i="1"/>
  <c r="AX123" i="1" s="1"/>
  <c r="AO104" i="1"/>
  <c r="K225" i="18"/>
  <c r="S4" i="17"/>
  <c r="S5" i="17" s="1"/>
  <c r="X53" i="6"/>
  <c r="X80" i="6"/>
  <c r="X4" i="17"/>
  <c r="X5" i="17" s="1"/>
  <c r="R10" i="6"/>
  <c r="I421" i="18"/>
  <c r="AJ4" i="17"/>
  <c r="AJ5" i="17" s="1"/>
  <c r="X137" i="6"/>
  <c r="AX272" i="1"/>
  <c r="AV271" i="1"/>
  <c r="P15" i="7"/>
  <c r="R15" i="7" s="1"/>
  <c r="AV209" i="1"/>
  <c r="AX210" i="1"/>
  <c r="P9" i="7"/>
  <c r="R9" i="7" s="1"/>
  <c r="F520" i="18" s="1"/>
  <c r="Q4" i="17"/>
  <c r="Q5" i="17" s="1"/>
  <c r="X34" i="6"/>
  <c r="X81" i="6"/>
  <c r="Y4" i="17"/>
  <c r="Y5" i="17" s="1"/>
  <c r="F823" i="18"/>
  <c r="I327" i="18"/>
  <c r="I330" i="18" s="1"/>
  <c r="G326" i="18"/>
  <c r="P52" i="6"/>
  <c r="AX76" i="1"/>
  <c r="AV75" i="1"/>
  <c r="M4" i="17" l="1"/>
  <c r="M5" i="17" s="1"/>
  <c r="M19" i="17" s="1"/>
  <c r="M6" i="17" s="1"/>
  <c r="AP73" i="1"/>
  <c r="F139" i="18"/>
  <c r="AP9" i="1"/>
  <c r="AP102" i="1" s="1"/>
  <c r="AX18" i="1"/>
  <c r="P11" i="6"/>
  <c r="AV17" i="1"/>
  <c r="AJ9" i="17"/>
  <c r="AJ19" i="17" s="1"/>
  <c r="AX209" i="1"/>
  <c r="F518" i="18"/>
  <c r="R65" i="6"/>
  <c r="X65" i="6" s="1"/>
  <c r="V4" i="17"/>
  <c r="V5" i="17" s="1"/>
  <c r="X67" i="6"/>
  <c r="P76" i="6"/>
  <c r="R77" i="6"/>
  <c r="AX64" i="1"/>
  <c r="AX63" i="1" s="1"/>
  <c r="P29" i="6"/>
  <c r="AV63" i="1"/>
  <c r="R19" i="6"/>
  <c r="P18" i="6"/>
  <c r="R52" i="6"/>
  <c r="P51" i="6"/>
  <c r="AX94" i="1"/>
  <c r="F268" i="18"/>
  <c r="F270" i="18" s="1"/>
  <c r="F272" i="18" s="1"/>
  <c r="F540" i="18"/>
  <c r="AX271" i="1"/>
  <c r="AX235" i="1"/>
  <c r="F489" i="18"/>
  <c r="P121" i="6"/>
  <c r="R122" i="6"/>
  <c r="F349" i="18"/>
  <c r="X92" i="6"/>
  <c r="AC4" i="17"/>
  <c r="AC5" i="17" s="1"/>
  <c r="P21" i="7"/>
  <c r="R19" i="7"/>
  <c r="AX75" i="1"/>
  <c r="F220" i="18"/>
  <c r="AA4" i="17"/>
  <c r="AA5" i="17" s="1"/>
  <c r="X90" i="6"/>
  <c r="X96" i="6"/>
  <c r="AD4" i="17"/>
  <c r="AD5" i="17" s="1"/>
  <c r="F88" i="18"/>
  <c r="AX30" i="1"/>
  <c r="J397" i="18"/>
  <c r="AE4" i="17"/>
  <c r="AE5" i="17" s="1"/>
  <c r="AE6" i="17" s="1"/>
  <c r="J398" i="18"/>
  <c r="X97" i="6"/>
  <c r="K4" i="17"/>
  <c r="K5" i="17" s="1"/>
  <c r="K6" i="17" s="1"/>
  <c r="X16" i="6"/>
  <c r="X24" i="6"/>
  <c r="F183" i="18"/>
  <c r="N4" i="17"/>
  <c r="N5" i="17" s="1"/>
  <c r="AX129" i="1"/>
  <c r="F360" i="18"/>
  <c r="F374" i="18"/>
  <c r="R109" i="6"/>
  <c r="P103" i="6"/>
  <c r="F556" i="18"/>
  <c r="F555" i="18" s="1"/>
  <c r="F568" i="18" s="1"/>
  <c r="AX302" i="1"/>
  <c r="AX90" i="1"/>
  <c r="P70" i="6"/>
  <c r="AD24" i="17"/>
  <c r="E24" i="17" s="1"/>
  <c r="I22" i="8" s="1"/>
  <c r="K22" i="8" s="1"/>
  <c r="E15" i="17"/>
  <c r="I13" i="8" s="1"/>
  <c r="K13" i="8" s="1"/>
  <c r="R33" i="6"/>
  <c r="P32" i="6"/>
  <c r="X91" i="6"/>
  <c r="AB4" i="17"/>
  <c r="AB5" i="17" s="1"/>
  <c r="X10" i="6"/>
  <c r="G4" i="17"/>
  <c r="P13" i="6"/>
  <c r="R14" i="6"/>
  <c r="X19" i="17"/>
  <c r="X6" i="17" s="1"/>
  <c r="F70" i="18"/>
  <c r="F73" i="18" s="1"/>
  <c r="H73" i="18" s="1"/>
  <c r="P87" i="6"/>
  <c r="R88" i="6"/>
  <c r="F289" i="18"/>
  <c r="F290" i="18"/>
  <c r="AV104" i="1"/>
  <c r="H315" i="18"/>
  <c r="H324" i="18" s="1"/>
  <c r="G327" i="18"/>
  <c r="I315" i="18"/>
  <c r="AX109" i="1"/>
  <c r="AX104" i="1" s="1"/>
  <c r="AX67" i="1"/>
  <c r="F261" i="18"/>
  <c r="F263" i="18" s="1"/>
  <c r="F265" i="18" s="1"/>
  <c r="P6" i="7"/>
  <c r="AV185" i="1"/>
  <c r="AX186" i="1"/>
  <c r="Y11" i="17"/>
  <c r="Y6" i="17" s="1"/>
  <c r="Q19" i="17"/>
  <c r="Q6" i="17" s="1"/>
  <c r="S11" i="17"/>
  <c r="S6" i="17" s="1"/>
  <c r="J6" i="17"/>
  <c r="AP358" i="1"/>
  <c r="AX82" i="1"/>
  <c r="AX81" i="1" s="1"/>
  <c r="P58" i="6"/>
  <c r="AV81" i="1"/>
  <c r="U11" i="17"/>
  <c r="U6" i="17" s="1"/>
  <c r="AX251" i="1"/>
  <c r="AV9" i="1" l="1"/>
  <c r="R11" i="6"/>
  <c r="P9" i="6"/>
  <c r="F33" i="18"/>
  <c r="F34" i="18" s="1"/>
  <c r="AX17" i="1"/>
  <c r="AX9" i="1" s="1"/>
  <c r="R58" i="6"/>
  <c r="P57" i="6"/>
  <c r="P50" i="6" s="1"/>
  <c r="R18" i="6"/>
  <c r="X18" i="6" s="1"/>
  <c r="X19" i="6"/>
  <c r="F121" i="18"/>
  <c r="L4" i="17"/>
  <c r="L5" i="17" s="1"/>
  <c r="F369" i="18"/>
  <c r="F379" i="18" s="1"/>
  <c r="X14" i="6"/>
  <c r="I4" i="17"/>
  <c r="I5" i="17" s="1"/>
  <c r="R13" i="6"/>
  <c r="X13" i="6" s="1"/>
  <c r="R121" i="6"/>
  <c r="X121" i="6" s="1"/>
  <c r="F421" i="18"/>
  <c r="AF4" i="17"/>
  <c r="AF5" i="17" s="1"/>
  <c r="X122" i="6"/>
  <c r="B9" i="46"/>
  <c r="D9" i="46" s="1"/>
  <c r="C9" i="46" s="1"/>
  <c r="H9" i="46" s="1"/>
  <c r="F570" i="18"/>
  <c r="G88" i="18"/>
  <c r="G91" i="18" s="1"/>
  <c r="F91" i="18"/>
  <c r="F92" i="18" s="1"/>
  <c r="F496" i="18"/>
  <c r="F498" i="18" s="1"/>
  <c r="N14" i="17"/>
  <c r="E14" i="17" s="1"/>
  <c r="I12" i="8" s="1"/>
  <c r="K12" i="8" s="1"/>
  <c r="P28" i="6"/>
  <c r="P7" i="6" s="1"/>
  <c r="R29" i="6"/>
  <c r="I324" i="18"/>
  <c r="I329" i="18" s="1"/>
  <c r="G315" i="18"/>
  <c r="G324" i="18" s="1"/>
  <c r="AD21" i="17"/>
  <c r="AD6" i="17" s="1"/>
  <c r="E11" i="17"/>
  <c r="I9" i="8" s="1"/>
  <c r="K9" i="8" s="1"/>
  <c r="R103" i="6"/>
  <c r="X103" i="6" s="1"/>
  <c r="X109" i="6"/>
  <c r="AP176" i="1"/>
  <c r="AP360" i="1" s="1"/>
  <c r="AP368" i="1" s="1"/>
  <c r="AO169" i="1"/>
  <c r="AO179" i="1" s="1"/>
  <c r="AO181" i="1" s="1"/>
  <c r="W4" i="17"/>
  <c r="W5" i="17" s="1"/>
  <c r="X77" i="6"/>
  <c r="R76" i="6"/>
  <c r="X76" i="6" s="1"/>
  <c r="F355" i="18"/>
  <c r="F362" i="18"/>
  <c r="AO360" i="1"/>
  <c r="G54" i="17"/>
  <c r="G5" i="17"/>
  <c r="F547" i="18"/>
  <c r="F549" i="18" s="1"/>
  <c r="F611" i="18"/>
  <c r="V31" i="17"/>
  <c r="V6" i="17" s="1"/>
  <c r="AA21" i="17"/>
  <c r="AA6" i="17" s="1"/>
  <c r="F184" i="18"/>
  <c r="P85" i="6"/>
  <c r="AB21" i="17"/>
  <c r="AB6" i="17" s="1"/>
  <c r="Z4" i="17"/>
  <c r="Z5" i="17" s="1"/>
  <c r="R87" i="6"/>
  <c r="X88" i="6"/>
  <c r="F308" i="18"/>
  <c r="R6" i="7"/>
  <c r="R8" i="7" s="1"/>
  <c r="R10" i="7" s="1"/>
  <c r="P8" i="7"/>
  <c r="P10" i="7" s="1"/>
  <c r="AC21" i="17"/>
  <c r="AC6" i="17" s="1"/>
  <c r="F477" i="18"/>
  <c r="AX185" i="1"/>
  <c r="X33" i="6"/>
  <c r="R32" i="6"/>
  <c r="X32" i="6" s="1"/>
  <c r="P4" i="17"/>
  <c r="P5" i="17" s="1"/>
  <c r="R21" i="7"/>
  <c r="F606" i="18" s="1"/>
  <c r="F604" i="18"/>
  <c r="F68" i="18"/>
  <c r="F54" i="18"/>
  <c r="X134" i="6"/>
  <c r="AH4" i="17"/>
  <c r="AH5" i="17" s="1"/>
  <c r="R70" i="6"/>
  <c r="X52" i="6"/>
  <c r="K219" i="18"/>
  <c r="R4" i="17"/>
  <c r="R5" i="17" s="1"/>
  <c r="R51" i="6"/>
  <c r="AJ6" i="17"/>
  <c r="F615" i="18" l="1"/>
  <c r="F614" i="18" s="1"/>
  <c r="H4" i="17"/>
  <c r="X11" i="6"/>
  <c r="R9" i="6"/>
  <c r="X9" i="6" s="1"/>
  <c r="N19" i="17"/>
  <c r="N6" i="17" s="1"/>
  <c r="G6" i="17"/>
  <c r="I23" i="17"/>
  <c r="E23" i="17" s="1"/>
  <c r="I21" i="8" s="1"/>
  <c r="K21" i="8" s="1"/>
  <c r="J175" i="18"/>
  <c r="J178" i="18"/>
  <c r="J179" i="18"/>
  <c r="J174" i="18"/>
  <c r="J177" i="18"/>
  <c r="J182" i="18"/>
  <c r="F165" i="18"/>
  <c r="J180" i="18"/>
  <c r="J173" i="18"/>
  <c r="F186" i="18"/>
  <c r="J176" i="18"/>
  <c r="J172" i="18"/>
  <c r="R28" i="6"/>
  <c r="O4" i="17"/>
  <c r="O5" i="17" s="1"/>
  <c r="X29" i="6"/>
  <c r="F209" i="18"/>
  <c r="F387" i="18"/>
  <c r="H376" i="18"/>
  <c r="H373" i="18"/>
  <c r="H378" i="18"/>
  <c r="H370" i="18"/>
  <c r="H372" i="18"/>
  <c r="H375" i="18"/>
  <c r="H371" i="18"/>
  <c r="F482" i="18"/>
  <c r="I477" i="18" s="1"/>
  <c r="H374" i="18"/>
  <c r="R31" i="17"/>
  <c r="K731" i="18"/>
  <c r="F363" i="18"/>
  <c r="L19" i="17"/>
  <c r="AH9" i="17"/>
  <c r="AH6" i="17" s="1"/>
  <c r="W22" i="17"/>
  <c r="W6" i="17" s="1"/>
  <c r="J183" i="18"/>
  <c r="X51" i="6"/>
  <c r="K229" i="18"/>
  <c r="AP169" i="1"/>
  <c r="P22" i="17"/>
  <c r="X58" i="6"/>
  <c r="T4" i="17"/>
  <c r="T5" i="17" s="1"/>
  <c r="I243" i="18"/>
  <c r="R57" i="6"/>
  <c r="X70" i="6"/>
  <c r="R85" i="6"/>
  <c r="X85" i="6" s="1"/>
  <c r="X87" i="6"/>
  <c r="AF41" i="17"/>
  <c r="E41" i="17" s="1"/>
  <c r="Z21" i="17"/>
  <c r="E21" i="17" s="1"/>
  <c r="I19" i="8" s="1"/>
  <c r="K19" i="8" s="1"/>
  <c r="E19" i="17" l="1"/>
  <c r="I17" i="8" s="1"/>
  <c r="K17" i="8" s="1"/>
  <c r="F618" i="18"/>
  <c r="L6" i="17"/>
  <c r="AF6" i="17"/>
  <c r="H5" i="17"/>
  <c r="H54" i="17"/>
  <c r="E54" i="17" s="1"/>
  <c r="I52" i="8" s="1"/>
  <c r="K52" i="8" s="1"/>
  <c r="E22" i="17"/>
  <c r="I20" i="8" s="1"/>
  <c r="K20" i="8" s="1"/>
  <c r="F36" i="18"/>
  <c r="X57" i="6"/>
  <c r="I252" i="18"/>
  <c r="F164" i="18"/>
  <c r="F167" i="18"/>
  <c r="T31" i="17"/>
  <c r="E31" i="17" s="1"/>
  <c r="I476" i="18"/>
  <c r="I478" i="18"/>
  <c r="F484" i="18"/>
  <c r="I474" i="18"/>
  <c r="J474" i="18" s="1"/>
  <c r="I473" i="18"/>
  <c r="J473" i="18" s="1"/>
  <c r="I467" i="18"/>
  <c r="J467" i="18" s="1"/>
  <c r="I471" i="18"/>
  <c r="J471" i="18" s="1"/>
  <c r="I468" i="18"/>
  <c r="J468" i="18" s="1"/>
  <c r="I472" i="18"/>
  <c r="J472" i="18" s="1"/>
  <c r="I469" i="18"/>
  <c r="J469" i="18" s="1"/>
  <c r="I470" i="18"/>
  <c r="J470" i="18" s="1"/>
  <c r="I466" i="18"/>
  <c r="J466" i="18" s="1"/>
  <c r="P6" i="17"/>
  <c r="Z6" i="17"/>
  <c r="I6" i="17"/>
  <c r="O20" i="17"/>
  <c r="E20" i="17" s="1"/>
  <c r="I18" i="8" s="1"/>
  <c r="K18" i="8" s="1"/>
  <c r="C5" i="32"/>
  <c r="C6" i="32" s="1"/>
  <c r="C7" i="32" s="1"/>
  <c r="AP179" i="1"/>
  <c r="AP181" i="1" s="1"/>
  <c r="E47" i="17"/>
  <c r="I39" i="8"/>
  <c r="R50" i="6"/>
  <c r="R6" i="17"/>
  <c r="X28" i="6"/>
  <c r="R7" i="6"/>
  <c r="X7" i="6" s="1"/>
  <c r="H6" i="17" l="1"/>
  <c r="I29" i="8"/>
  <c r="E38" i="17"/>
  <c r="K39" i="8"/>
  <c r="I45" i="8"/>
  <c r="K45" i="8" s="1"/>
  <c r="X50" i="6"/>
  <c r="G279" i="10"/>
  <c r="C17" i="32"/>
  <c r="O6" i="17"/>
  <c r="T6" i="17"/>
  <c r="C16" i="32" l="1"/>
  <c r="F21" i="32" s="1"/>
  <c r="H157" i="22"/>
  <c r="G278" i="10"/>
  <c r="G283" i="10" s="1"/>
  <c r="H279" i="10"/>
  <c r="H278" i="10" s="1"/>
  <c r="H283" i="10" s="1"/>
  <c r="I36" i="8"/>
  <c r="K36" i="8" s="1"/>
  <c r="K29" i="8"/>
  <c r="L157" i="22" l="1"/>
  <c r="I158" i="22"/>
  <c r="L158" i="22" s="1"/>
  <c r="I207" i="5"/>
  <c r="F22" i="32"/>
  <c r="AW92" i="1" l="1"/>
  <c r="Q73" i="6" s="1"/>
  <c r="Q69" i="6" s="1"/>
  <c r="Q39" i="6" s="1"/>
  <c r="Q83" i="6" s="1"/>
  <c r="L5" i="22"/>
  <c r="H208" i="5"/>
  <c r="K208" i="5" s="1"/>
  <c r="K92" i="1" s="1"/>
  <c r="K207" i="5"/>
  <c r="AW260" i="1"/>
  <c r="AW89" i="1" l="1"/>
  <c r="AW73" i="1" s="1"/>
  <c r="AW102" i="1" s="1"/>
  <c r="Q13" i="7"/>
  <c r="Q17" i="7" s="1"/>
  <c r="Q23" i="7" s="1"/>
  <c r="Q28" i="7" s="1"/>
  <c r="AW250" i="1"/>
  <c r="AW358" i="1" s="1"/>
  <c r="K5" i="5"/>
  <c r="K260" i="1"/>
  <c r="L92" i="1"/>
  <c r="K89" i="1"/>
  <c r="K73" i="1" s="1"/>
  <c r="K102" i="1" s="1"/>
  <c r="F73" i="6"/>
  <c r="F69" i="6" l="1"/>
  <c r="F39" i="6" s="1"/>
  <c r="F83" i="6" s="1"/>
  <c r="G73" i="6"/>
  <c r="S92" i="1"/>
  <c r="T92" i="1" s="1"/>
  <c r="C18" i="32"/>
  <c r="L89" i="1"/>
  <c r="AV92" i="1"/>
  <c r="L260" i="1"/>
  <c r="F13" i="7"/>
  <c r="K250" i="1"/>
  <c r="K358" i="1" s="1"/>
  <c r="AW176" i="1"/>
  <c r="Q30" i="7"/>
  <c r="Q36" i="7"/>
  <c r="S260" i="1" l="1"/>
  <c r="T260" i="1" s="1"/>
  <c r="F569" i="10"/>
  <c r="F575" i="10" s="1"/>
  <c r="F577" i="10" s="1"/>
  <c r="L250" i="1"/>
  <c r="AV260" i="1"/>
  <c r="F17" i="7"/>
  <c r="F23" i="7" s="1"/>
  <c r="F28" i="7" s="1"/>
  <c r="F36" i="7" s="1"/>
  <c r="G13" i="7"/>
  <c r="G17" i="7" s="1"/>
  <c r="G23" i="7" s="1"/>
  <c r="G69" i="6"/>
  <c r="N73" i="6"/>
  <c r="Y4" i="9"/>
  <c r="Y5" i="9" s="1"/>
  <c r="G285" i="10"/>
  <c r="AW169" i="1"/>
  <c r="AW179" i="1" s="1"/>
  <c r="AW181" i="1" s="1"/>
  <c r="Q135" i="6"/>
  <c r="Q133" i="6" s="1"/>
  <c r="Q120" i="6" s="1"/>
  <c r="AW360" i="1"/>
  <c r="K176" i="1"/>
  <c r="P73" i="6"/>
  <c r="AX92" i="1"/>
  <c r="AX89" i="1" s="1"/>
  <c r="AX73" i="1" s="1"/>
  <c r="AX102" i="1" s="1"/>
  <c r="AV89" i="1"/>
  <c r="AV73" i="1" s="1"/>
  <c r="AV102" i="1" s="1"/>
  <c r="L73" i="1"/>
  <c r="S89" i="1"/>
  <c r="T89" i="1" s="1"/>
  <c r="R73" i="6" l="1"/>
  <c r="P69" i="6"/>
  <c r="P39" i="6" s="1"/>
  <c r="P83" i="6" s="1"/>
  <c r="Y13" i="9"/>
  <c r="E13" i="9" s="1"/>
  <c r="E10" i="8" s="1"/>
  <c r="G10" i="8" s="1"/>
  <c r="Q143" i="6"/>
  <c r="Q145" i="6" s="1"/>
  <c r="Q118" i="6"/>
  <c r="F617" i="10"/>
  <c r="G28" i="7"/>
  <c r="M647" i="18"/>
  <c r="S73" i="1"/>
  <c r="T73" i="1" s="1"/>
  <c r="L102" i="1"/>
  <c r="S102" i="1" s="1"/>
  <c r="T102" i="1" s="1"/>
  <c r="F135" i="6"/>
  <c r="L176" i="1"/>
  <c r="K169" i="1"/>
  <c r="K179" i="1" s="1"/>
  <c r="K181" i="1" s="1"/>
  <c r="K360" i="1"/>
  <c r="N69" i="6"/>
  <c r="G39" i="6"/>
  <c r="AX260" i="1"/>
  <c r="P13" i="7"/>
  <c r="AV250" i="1"/>
  <c r="AV358" i="1" s="1"/>
  <c r="L358" i="1"/>
  <c r="S250" i="1"/>
  <c r="T250" i="1" s="1"/>
  <c r="Y6" i="9" l="1"/>
  <c r="G135" i="6"/>
  <c r="F133" i="6"/>
  <c r="F120" i="6" s="1"/>
  <c r="S176" i="1"/>
  <c r="T176" i="1" s="1"/>
  <c r="L169" i="1"/>
  <c r="AV176" i="1"/>
  <c r="AV360" i="1" s="1"/>
  <c r="H437" i="10"/>
  <c r="G36" i="7"/>
  <c r="F628" i="10"/>
  <c r="H638" i="10"/>
  <c r="L360" i="1"/>
  <c r="S358" i="1"/>
  <c r="R13" i="7"/>
  <c r="R17" i="7" s="1"/>
  <c r="R23" i="7" s="1"/>
  <c r="P17" i="7"/>
  <c r="P23" i="7" s="1"/>
  <c r="P28" i="7" s="1"/>
  <c r="AX250" i="1"/>
  <c r="AX358" i="1" s="1"/>
  <c r="F578" i="18"/>
  <c r="F583" i="18" s="1"/>
  <c r="F585" i="18" s="1"/>
  <c r="G83" i="6"/>
  <c r="N83" i="6" s="1"/>
  <c r="N39" i="6"/>
  <c r="X73" i="6"/>
  <c r="R69" i="6"/>
  <c r="S360" i="1" l="1"/>
  <c r="T358" i="1"/>
  <c r="S169" i="1"/>
  <c r="T169" i="1" s="1"/>
  <c r="L179" i="1"/>
  <c r="R28" i="7"/>
  <c r="R36" i="7" s="1"/>
  <c r="F625" i="18"/>
  <c r="S647" i="18"/>
  <c r="R647" i="18" s="1"/>
  <c r="R656" i="18" s="1"/>
  <c r="J638" i="10"/>
  <c r="H667" i="18"/>
  <c r="H642" i="10"/>
  <c r="F620" i="10" s="1"/>
  <c r="AX176" i="1"/>
  <c r="AX169" i="1" s="1"/>
  <c r="AX179" i="1" s="1"/>
  <c r="AX181" i="1" s="1"/>
  <c r="P135" i="6"/>
  <c r="AV169" i="1"/>
  <c r="AV179" i="1" s="1"/>
  <c r="AV181" i="1" s="1"/>
  <c r="P36" i="7"/>
  <c r="P30" i="7"/>
  <c r="R30" i="7" s="1"/>
  <c r="H438" i="10"/>
  <c r="I437" i="10"/>
  <c r="I438" i="10" s="1"/>
  <c r="X69" i="6"/>
  <c r="R39" i="6"/>
  <c r="F143" i="6"/>
  <c r="F145" i="6" s="1"/>
  <c r="F118" i="6"/>
  <c r="N135" i="6"/>
  <c r="G133" i="6"/>
  <c r="AK4" i="9"/>
  <c r="AK5" i="9" s="1"/>
  <c r="H651" i="18" l="1"/>
  <c r="H671" i="18"/>
  <c r="R135" i="6"/>
  <c r="P133" i="6"/>
  <c r="P120" i="6" s="1"/>
  <c r="M654" i="18"/>
  <c r="F622" i="10"/>
  <c r="G120" i="6"/>
  <c r="I441" i="10" s="1"/>
  <c r="N133" i="6"/>
  <c r="F641" i="18"/>
  <c r="S179" i="1"/>
  <c r="T179" i="1" s="1"/>
  <c r="L181" i="1"/>
  <c r="AK10" i="9"/>
  <c r="E10" i="9" s="1"/>
  <c r="E5" i="9"/>
  <c r="T647" i="18"/>
  <c r="R83" i="6"/>
  <c r="X83" i="6" s="1"/>
  <c r="X39" i="6"/>
  <c r="F785" i="18"/>
  <c r="F787" i="18" s="1"/>
  <c r="R34" i="7" s="1"/>
  <c r="H417" i="18"/>
  <c r="J667" i="18"/>
  <c r="J639" i="10"/>
  <c r="H441" i="10"/>
  <c r="AX360" i="1"/>
  <c r="E19" i="9" l="1"/>
  <c r="E29" i="9" s="1"/>
  <c r="E50" i="9" s="1"/>
  <c r="E58" i="9" s="1"/>
  <c r="E7" i="8"/>
  <c r="AK6" i="9"/>
  <c r="J640" i="10"/>
  <c r="J668" i="18"/>
  <c r="H418" i="18"/>
  <c r="J417" i="18"/>
  <c r="J418" i="18" s="1"/>
  <c r="G143" i="6"/>
  <c r="G118" i="6"/>
  <c r="N118" i="6" s="1"/>
  <c r="N120" i="6"/>
  <c r="F624" i="10"/>
  <c r="F625" i="10" s="1"/>
  <c r="F627" i="10" s="1"/>
  <c r="G645" i="10"/>
  <c r="S654" i="18"/>
  <c r="M651" i="18"/>
  <c r="P118" i="6"/>
  <c r="P143" i="6"/>
  <c r="P145" i="6" s="1"/>
  <c r="AI4" i="17"/>
  <c r="AI5" i="17" s="1"/>
  <c r="X135" i="6"/>
  <c r="R133" i="6"/>
  <c r="H655" i="18"/>
  <c r="J651" i="18"/>
  <c r="J652" i="18" s="1"/>
  <c r="J653" i="18" s="1"/>
  <c r="J654" i="18" s="1"/>
  <c r="J657" i="18" s="1"/>
  <c r="H421" i="18" l="1"/>
  <c r="AI9" i="17"/>
  <c r="E9" i="17" s="1"/>
  <c r="E5" i="17"/>
  <c r="E16" i="8"/>
  <c r="G7" i="8"/>
  <c r="F632" i="18"/>
  <c r="G145" i="6"/>
  <c r="N143" i="6"/>
  <c r="R651" i="18"/>
  <c r="R657" i="18" s="1"/>
  <c r="S656" i="18"/>
  <c r="X133" i="6"/>
  <c r="R120" i="6"/>
  <c r="J641" i="10"/>
  <c r="J669" i="18"/>
  <c r="AI6" i="17" l="1"/>
  <c r="F634" i="18"/>
  <c r="T656" i="18" s="1"/>
  <c r="S651" i="18"/>
  <c r="X120" i="6"/>
  <c r="R143" i="6"/>
  <c r="R118" i="6"/>
  <c r="X118" i="6" s="1"/>
  <c r="J421" i="18"/>
  <c r="T654" i="18"/>
  <c r="G16" i="8"/>
  <c r="E26" i="8"/>
  <c r="J670" i="18"/>
  <c r="J644" i="10"/>
  <c r="E18" i="17"/>
  <c r="E28" i="17" s="1"/>
  <c r="E49" i="17" s="1"/>
  <c r="E57" i="17" s="1"/>
  <c r="I7" i="8"/>
  <c r="E6" i="17"/>
  <c r="F629" i="18" l="1"/>
  <c r="F635" i="18" s="1"/>
  <c r="K7" i="8"/>
  <c r="I16" i="8"/>
  <c r="E47" i="8"/>
  <c r="G26" i="8"/>
  <c r="X143" i="6"/>
  <c r="R145" i="6"/>
  <c r="T651" i="18"/>
  <c r="S657" i="18"/>
  <c r="T657" i="18" s="1"/>
  <c r="G658" i="18"/>
  <c r="F642" i="18"/>
  <c r="G47" i="8" l="1"/>
  <c r="E54" i="8"/>
  <c r="I26" i="8"/>
  <c r="K16" i="8"/>
  <c r="I47" i="8" l="1"/>
  <c r="K26" i="8"/>
  <c r="K47" i="8" l="1"/>
  <c r="I54" i="8"/>
  <c r="AC38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tc={74F7D1FE-128D-48D9-8E0D-8AC4516108E9}</author>
  </authors>
  <commentList>
    <comment ref="AA21" authorId="0" shapeId="0" xr:uid="{74F7D1FE-128D-48D9-8E0D-8AC4516108E9}">
      <text>
        <t>[Threaded comment]
Your version of Excel allows you to read this threaded comment; however, any edits to it will get removed if the file is opened in a newer version of Excel. Learn more: https://go.microsoft.com/fwlink/?linkid=870924
Comment:
    VNSC có thêm bút chi phí thuế TNDN hoãn lại -&gt; Tổng tài sản 339.734.388.099
Reply:
    Updated VNSC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tc={141C24AA-2323-4F84-8D21-3B66403B74AC}</author>
    <author>tc={E50313CA-FD17-48BA-9322-F50D82D24810}</author>
    <author>tc={AD22F58E-7B0E-45F5-8BA7-5EA81B321104}</author>
    <author>tc={E1FADF39-8EA8-4758-AAFA-323CC1278BCB}</author>
    <author>tc={41C07465-7D68-4813-AA39-DE2E7F12C13D}</author>
    <author>tc={F883E145-F63C-461A-B88D-07E91BB89639}</author>
  </authors>
  <commentList>
    <comment ref="AX26" authorId="0" shapeId="0" xr:uid="{141C24AA-2323-4F84-8D21-3B66403B74AC}">
      <text>
        <t>[Threaded comment]
Your version of Excel allows you to read this threaded comment; however, any edits to it will get removed if the file is opened in a newer version of Excel. Learn more: https://go.microsoft.com/fwlink/?linkid=870924
Comment:
    revert sai tk 1211 và 1212
Reply:
    Revised</t>
      </text>
    </comment>
    <comment ref="B31" authorId="1" shapeId="0" xr:uid="{E50313CA-FD17-48BA-9322-F50D82D24810}">
      <text>
        <t>[Threaded comment]
Your version of Excel allows you to read this threaded comment; however, any edits to it will get removed if the file is opened in a newer version of Excel. Learn more: https://go.microsoft.com/fwlink/?linkid=870924
Comment:
    Phân loại vào tiền và các khoản tương đương tiền 112</t>
      </text>
    </comment>
    <comment ref="AX46" authorId="2" shapeId="0" xr:uid="{AD22F58E-7B0E-45F5-8BA7-5EA81B321104}">
      <text>
        <t>[Threaded comment]
Your version of Excel allows you to read this threaded comment; however, any edits to it will get removed if the file is opened in a newer version of Excel. Learn more: https://go.microsoft.com/fwlink/?linkid=870924
Comment:
    Số đúng: 1.199.509.281
Reply:
    Đã bổ sung bút toán 13A ở dưới.
Nguyên tắc của bút toán này là revert hết số dư của Dự thu Trái phiếu &amp; Dự thu CCTG trên 1321 ra.
Năm ngoái đã vợt 1 tỷ 796 ---&gt; vào 4211.
Năm nay vợt thêm 242 triệu
Kết quả là dư trên 1321 chỉ còn lãi dự thu Margin của VNSC. (1 tỷ  186). 1 tỷ 199 vẫn bao gồm 12 triệu dự thu CCTG nhé.
Reply:
    Số đúng là 1,186,654,488 + 7,101,369 (Lãi hợp đồng tiền gửi ở TCB)
Reply:
    1 tỷ 186 + 7 triệu 101 = 1 tỷ 193 nhé. Revised</t>
      </text>
    </comment>
    <comment ref="AX90" authorId="3" shapeId="0" xr:uid="{E1FADF39-8EA8-4758-AAFA-323CC1278BCB}">
      <text>
        <t>[Threaded comment]
Your version of Excel allows you to read this threaded comment; however, any edits to it will get removed if the file is opened in a newer version of Excel. Learn more: https://go.microsoft.com/fwlink/?linkid=870924
Comment:
    Sao lại có số dư đầu tư vào công ty con trên Consol ạ
Reply:
    REvised</t>
      </text>
    </comment>
    <comment ref="AH102" authorId="4" shapeId="0" xr:uid="{41C07465-7D68-4813-AA39-DE2E7F12C13D}">
      <text>
        <t>[Threaded comment]
Your version of Excel allows you to read this threaded comment; however, any edits to it will get removed if the file is opened in a newer version of Excel. Learn more: https://go.microsoft.com/fwlink/?linkid=870924
Comment:
    VNSC có thêm bút chi phí thuế TNDN hoãn lại -&gt; Tổng tài sản 339.734.388.099
Reply:
    Revised</t>
      </text>
    </comment>
    <comment ref="AX175" authorId="5" shapeId="0" xr:uid="{F883E145-F63C-461A-B88D-07E91BB89639}">
      <text>
        <t>[Threaded comment]
Your version of Excel allows you to read this threaded comment; however, any edits to it will get removed if the file is opened in a newer version of Excel. Learn more: https://go.microsoft.com/fwlink/?linkid=870924
Comment:
    Lệch 5đ so vs báo cáo 2023</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tc={9ADB6036-22C3-41B1-8F78-B72A6E27BF61}</author>
    <author>Hai Quang Le</author>
    <author>tc={51DEB765-29C1-4F68-8400-C607D9F7EE7D}</author>
    <author>tc={36C8297E-B4E5-4F78-A895-47A55EB26AF9}</author>
    <author>tc={BFB850C6-14F9-44DD-935F-9347BAD466FF}</author>
    <author>tc={3921D0D2-8E06-4BEF-A912-1C155C6C84AD}</author>
    <author>tc={A8DD71DF-6CF6-4882-9DD1-914DF98FCD3A}</author>
  </authors>
  <commentList>
    <comment ref="H62" authorId="0" shapeId="0" xr:uid="{9ADB6036-22C3-41B1-8F78-B72A6E27BF61}">
      <text>
        <t>[Threaded comment]
Your version of Excel allows you to read this threaded comment; however, any edits to it will get removed if the file is opened in a newer version of Excel. Learn more: https://go.microsoft.com/fwlink/?linkid=870924
Comment:
    revert trên số dư ko cần rebook vì sổ VNSC đã revert
Reply:
    Số dư 1321 trên LS = Lãi hợp đồng tiền gửi + Lãi phải thu vay Margin
Reply:
    Đã bổ sung bút toán 13A ở dưới.
Nguyên tắc của bút toán này là revert hết số dư của Dự thu Trái phiếu &amp; Dự thu CCTG trên 1321 ra.
Năm ngoái đã vợt 1 tỷ 796 ---&gt; vào 4211.
Năm nay vợt thêm 242 triệu
Kết quả là dư trên 1321 chỉ còn lãi dự thu Margin của VNSC. (1 tỷ  186
Reply:
    Đã thêm 7 triệu thu lãi tiền gửi tại TCB.</t>
      </text>
    </comment>
    <comment ref="J179" authorId="1" shapeId="0" xr:uid="{0EBCFCFB-ACB1-4867-A25E-1E4A5EAB0805}">
      <text>
        <r>
          <rPr>
            <b/>
            <sz val="9"/>
            <color indexed="81"/>
            <rFont val="Tahoma"/>
            <family val="2"/>
          </rPr>
          <t>Hai Quang Le:</t>
        </r>
        <r>
          <rPr>
            <sz val="9"/>
            <color indexed="81"/>
            <rFont val="Tahoma"/>
            <family val="2"/>
          </rPr>
          <t xml:space="preserve">
Lấy từ báo cáo VNSC, note Nghiệp vụ với các bên liên quan:
Tăng phải thu dịch vụ môi giới 164.566 tr+ tăng phải thu phí lưu ký 10.949 trieu</t>
        </r>
      </text>
    </comment>
    <comment ref="K180" authorId="2" shapeId="0" xr:uid="{51DEB765-29C1-4F68-8400-C607D9F7EE7D}">
      <text>
        <t>[Threaded comment]
Your version of Excel allows you to read this threaded comment; however, any edits to it will get removed if the file is opened in a newer version of Excel. Learn more: https://go.microsoft.com/fwlink/?linkid=870924
Comment:
    Số đúng: 541.757.342đ
Reply:
    Cái này lấy theo số báo cáo của VNSC đi. Ref to Note 33.1 Nghiệp vụ với bên liên quan
Reply:
    Anh ơi, vụ này lấy theo số đúng đi ạ :(((
Reply:
    Revised. Lấy số 541.757.342</t>
      </text>
    </comment>
    <comment ref="J187" authorId="1" shapeId="0" xr:uid="{91592329-9BEF-4C7D-8101-2BD3C2913FCE}">
      <text>
        <r>
          <rPr>
            <b/>
            <sz val="9"/>
            <color indexed="81"/>
            <rFont val="Tahoma"/>
            <family val="2"/>
          </rPr>
          <t>Hai Quang Le:</t>
        </r>
        <r>
          <rPr>
            <sz val="9"/>
            <color indexed="81"/>
            <rFont val="Tahoma"/>
            <family val="2"/>
          </rPr>
          <t xml:space="preserve">
Lấy từ báo cáo VNSC, note Nghiệp vụ với các bên liên quan:
Tăng phải thu dịch vụ môi giới 164.566 tr+ tăng phải thu phí lưu ký 10.949 trieu</t>
        </r>
      </text>
    </comment>
    <comment ref="K188" authorId="3" shapeId="0" xr:uid="{36C8297E-B4E5-4F78-A895-47A55EB26AF9}">
      <text>
        <t>[Threaded comment]
Your version of Excel allows you to read this threaded comment; however, any edits to it will get removed if the file is opened in a newer version of Excel. Learn more: https://go.microsoft.com/fwlink/?linkid=870924
Comment:
    Số đúng: 19.756.505đ
Reply:
    Cái này lấy theo số báo cáo của VNSC đi. Ref to Note 33.1 Nghiệp vụ với bên liên quan
Reply:
    Anh ơi, vụ này lấy theo số đúng đi ạ :(((
Reply:
    Revised. Lấy số 19.756.505</t>
      </text>
    </comment>
    <comment ref="F191" authorId="4" shapeId="0" xr:uid="{BFB850C6-14F9-44DD-935F-9347BAD466FF}">
      <text>
        <t>[Threaded comment]
Your version of Excel allows you to read this threaded comment; however, any edits to it will get removed if the file is opened in a newer version of Excel. Learn more: https://go.microsoft.com/fwlink/?linkid=870924
Comment:
    bút này thừa, trùng trong số bút toán 12
Reply:
    Bỏ posted với bút này là ko lên leadsheet nữa.</t>
      </text>
    </comment>
    <comment ref="F213" authorId="5" shapeId="0" xr:uid="{3921D0D2-8E06-4BEF-A912-1C155C6C84AD}">
      <text>
        <t>[Threaded comment]
Your version of Excel allows you to read this threaded comment; however, any edits to it will get removed if the file is opened in a newer version of Excel. Learn more: https://go.microsoft.com/fwlink/?linkid=870924
Comment:
    1218
Reply:
    Revised 1218</t>
      </text>
    </comment>
    <comment ref="E220" authorId="6" shapeId="0" xr:uid="{A8DD71DF-6CF6-4882-9DD1-914DF98FCD3A}">
      <text>
        <t>[Threaded comment]
Your version of Excel allows you to read this threaded comment; however, any edits to it will get removed if the file is opened in a newer version of Excel. Learn more: https://go.microsoft.com/fwlink/?linkid=870924
Comment:
    Cr
Reply:
    Revised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tc={02CB031A-BB21-4D28-B6C6-A992B51585CE}</author>
  </authors>
  <commentList>
    <comment ref="B7" authorId="0" shapeId="0" xr:uid="{02CB031A-BB21-4D28-B6C6-A992B51585CE}">
      <text>
        <t>[Threaded comment]
Your version of Excel allows you to read this threaded comment; however, any edits to it will get removed if the file is opened in a newer version of Excel. Learn more: https://go.microsoft.com/fwlink/?linkid=870924
Comment:
    Lấy lại danh sách bút toán điều chỉnh của VNSC
Reply:
    Done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Huyen Ngoc Nguyen</author>
  </authors>
  <commentList>
    <comment ref="C5" authorId="0" shapeId="0" xr:uid="{935C4860-B118-491B-8C69-FE9BA155B91F}">
      <text>
        <r>
          <rPr>
            <b/>
            <sz val="9"/>
            <color indexed="81"/>
            <rFont val="Tahoma"/>
            <family val="2"/>
          </rPr>
          <t>Huyen Ngoc Nguyen:</t>
        </r>
        <r>
          <rPr>
            <sz val="9"/>
            <color indexed="81"/>
            <rFont val="Tahoma"/>
            <family val="2"/>
          </rPr>
          <t xml:space="preserve">
To check</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 Phuc Cao</author>
    <author>tc={E441209F-FA9B-4573-B8C7-807258A03181}</author>
    <author>tc={55052B6D-CEF7-4F28-9D7F-7FCB7E0221F6}</author>
    <author>tc={C4C97360-83E9-447A-88AC-D71AD4BE6D81}</author>
    <author>tc={9BAAD8CB-9C83-4ACB-B1EB-BB3C9E97B8FC}</author>
    <author>tc={A9004F50-4222-4105-BF20-DB3C0D2FA0B6}</author>
    <author>tc={EBF5D875-2360-428D-A944-14CAB1D10D07}</author>
    <author>tc={FB938893-6966-432B-8609-04D9D9CC1E58}</author>
    <author>tc={1B100281-9EE5-4888-89A0-2B40C55DE46C}</author>
    <author>tc={32E216E2-0049-431D-828B-288143C2A99A}</author>
    <author>tc={B23398D8-75D0-4255-A2BA-ADFBBD34D938}</author>
  </authors>
  <commentList>
    <comment ref="M298" authorId="0" shapeId="0" xr:uid="{57480277-228B-419C-A6D2-2A576AEA3F22}">
      <text>
        <r>
          <rPr>
            <b/>
            <sz val="9"/>
            <color indexed="81"/>
            <rFont val="Tahoma"/>
            <family val="2"/>
          </rPr>
          <t>An Phuc Cao:</t>
        </r>
        <r>
          <rPr>
            <sz val="9"/>
            <color indexed="81"/>
            <rFont val="Tahoma"/>
            <family val="2"/>
          </rPr>
          <t xml:space="preserve">
Thêm 42tr phí DV từ 
Bloomberg </t>
        </r>
      </text>
    </comment>
    <comment ref="H719" authorId="1" shapeId="0" xr:uid="{E441209F-FA9B-4573-B8C7-807258A03181}">
      <text>
        <t>[Threaded comment]
Your version of Excel allows you to read this threaded comment; however, any edits to it will get removed if the file is opened in a newer version of Excel. Learn more: https://go.microsoft.com/fwlink/?linkid=870924
Comment:
    Cuối năm vẫn còn 380k phải thu
Reply:
    Revised</t>
      </text>
    </comment>
    <comment ref="J720" authorId="2" shapeId="0" xr:uid="{55052B6D-CEF7-4F28-9D7F-7FCB7E0221F6}">
      <text>
        <t>[Threaded comment]
Your version of Excel allows you to read this threaded comment; however, any edits to it will get removed if the file is opened in a newer version of Excel. Learn more: https://go.microsoft.com/fwlink/?linkid=870924
Comment:
    Phí lưu ký 34.106đ
Reply:
    Revised</t>
      </text>
    </comment>
    <comment ref="H722" authorId="3" shapeId="0" xr:uid="{C4C97360-83E9-447A-88AC-D71AD4BE6D81}">
      <text>
        <t>[Threaded comment]
Your version of Excel allows you to read this threaded comment; however, any edits to it will get removed if the file is opened in a newer version of Excel. Learn more: https://go.microsoft.com/fwlink/?linkid=870924
Comment:
    4.923.970.017 Phí quản lý danh mục trên thư xác nhận của TVAM
Reply:
    Revised</t>
      </text>
    </comment>
    <comment ref="H723" authorId="4" shapeId="0" xr:uid="{9BAAD8CB-9C83-4ACB-B1EB-BB3C9E97B8FC}">
      <text>
        <t>[Threaded comment]
Your version of Excel allows you to read this threaded comment; however, any edits to it will get removed if the file is opened in a newer version of Excel. Learn more: https://go.microsoft.com/fwlink/?linkid=870924
Comment:
    723.632.306đ phần bán chờ về trên thư xác nhận của TVAM
Reply:
    Revised</t>
      </text>
    </comment>
    <comment ref="J724" authorId="5" shapeId="0" xr:uid="{A9004F50-4222-4105-BF20-DB3C0D2FA0B6}">
      <text>
        <t>[Threaded comment]
Your version of Excel allows you to read this threaded comment; however, any edits to it will get removed if the file is opened in a newer version of Excel. Learn more: https://go.microsoft.com/fwlink/?linkid=870924
Comment:
    6277.13 đối ứng 331.01 Thiên Việt: 5.478.358.624
Reply:
    Revised</t>
      </text>
    </comment>
    <comment ref="J725" authorId="6" shapeId="0" xr:uid="{EBF5D875-2360-428D-A944-14CAB1D10D07}">
      <text>
        <t>[Threaded comment]
Your version of Excel allows you to read this threaded comment; however, any edits to it will get removed if the file is opened in a newer version of Excel. Learn more: https://go.microsoft.com/fwlink/?linkid=870924
Comment:
    6277.03 Phí lưu ký: 417.280.341
Reply:
    Revised</t>
      </text>
    </comment>
    <comment ref="J726" authorId="7" shapeId="0" xr:uid="{FB938893-6966-432B-8609-04D9D9CC1E58}">
      <text>
        <t>[Threaded comment]
Your version of Excel allows you to read this threaded comment; however, any edits to it will get removed if the file is opened in a newer version of Excel. Learn more: https://go.microsoft.com/fwlink/?linkid=870924
Comment:
    6278/811: 22.297.509
Reply:
    Revised</t>
      </text>
    </comment>
    <comment ref="J728" authorId="8" shapeId="0" xr:uid="{1B100281-9EE5-4888-89A0-2B40C55DE46C}">
      <text>
        <t>[Threaded comment]
Your version of Excel allows you to read this threaded comment; however, any edits to it will get removed if the file is opened in a newer version of Excel. Learn more: https://go.microsoft.com/fwlink/?linkid=870924
Comment:
    6277.01: 293.245.222
Reply:
    Revised</t>
      </text>
    </comment>
    <comment ref="H755" authorId="9" shapeId="0" xr:uid="{32E216E2-0049-431D-828B-288143C2A99A}">
      <text>
        <t>[Threaded comment]
Your version of Excel allows you to read this threaded comment; however, any edits to it will get removed if the file is opened in a newer version of Excel. Learn more: https://go.microsoft.com/fwlink/?linkid=870924
Comment:
    15.691.677 Phải trả khác Nghiêm Xuân Huy
Reply:
    Revised</t>
      </text>
    </comment>
    <comment ref="K764" authorId="10" shapeId="0" xr:uid="{B23398D8-75D0-4255-A2BA-ADFBBD34D938}">
      <text>
        <t>[Threaded comment]
Your version of Excel allows you to read this threaded comment; however, any edits to it will get removed if the file is opened in a newer version of Excel. Learn more: https://go.microsoft.com/fwlink/?linkid=870924
Comment:
    Số theo single đã phát hành đây em nhé
Reply:
    Revised</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Hai Quang Le</author>
    <author>tc={C060F322-7E70-4F5B-AF65-F67FD243F354}</author>
    <author>tc={502068C4-8130-4CEE-AE32-96DB48552FDE}</author>
    <author>Mai Ngoc Ngo</author>
  </authors>
  <commentList>
    <comment ref="E48" authorId="0" shapeId="0" xr:uid="{4CC82719-B6EA-481C-828D-4FE6E208095A}">
      <text>
        <r>
          <rPr>
            <b/>
            <sz val="9"/>
            <color indexed="81"/>
            <rFont val="Tahoma"/>
            <family val="2"/>
          </rPr>
          <t>Hai Quang Le:</t>
        </r>
        <r>
          <rPr>
            <sz val="9"/>
            <color indexed="81"/>
            <rFont val="Tahoma"/>
            <family val="2"/>
          </rPr>
          <t xml:space="preserve">
Chứng chỉ quỹ</t>
        </r>
      </text>
    </comment>
    <comment ref="E50" authorId="0" shapeId="0" xr:uid="{A9E244FE-2FBE-4AFE-B88C-D2E04C808ED9}">
      <text>
        <r>
          <rPr>
            <b/>
            <sz val="9"/>
            <color indexed="81"/>
            <rFont val="Tahoma"/>
            <family val="2"/>
          </rPr>
          <t>Hai Quang Le:</t>
        </r>
        <r>
          <rPr>
            <sz val="9"/>
            <color indexed="81"/>
            <rFont val="Tahoma"/>
            <family val="2"/>
          </rPr>
          <t xml:space="preserve">
CC tiền gửi</t>
        </r>
      </text>
    </comment>
    <comment ref="F57" authorId="0" shapeId="0" xr:uid="{0BFBF061-B549-497C-B276-868FA1A2D58A}">
      <text>
        <r>
          <rPr>
            <b/>
            <sz val="9"/>
            <color indexed="81"/>
            <rFont val="Tahoma"/>
            <family val="2"/>
          </rPr>
          <t>Hai Quang Le:</t>
        </r>
        <r>
          <rPr>
            <sz val="9"/>
            <color indexed="81"/>
            <rFont val="Tahoma"/>
            <family val="2"/>
          </rPr>
          <t xml:space="preserve">
Book value  do user nắm giữ trên 3388.</t>
        </r>
      </text>
    </comment>
    <comment ref="G57" authorId="1" shapeId="0" xr:uid="{C060F322-7E70-4F5B-AF65-F67FD243F354}">
      <text>
        <t>[Threaded comment]
Your version of Excel allows you to read this threaded comment; however, any edits to it will get removed if the file is opened in a newer version of Excel. Learn more: https://go.microsoft.com/fwlink/?linkid=870924
Comment:
     40,864,322,043 
Reply:
    Revised. Số supposed to be</t>
      </text>
    </comment>
    <comment ref="F59" authorId="2" shapeId="0" xr:uid="{502068C4-8130-4CEE-AE32-96DB48552FDE}">
      <text>
        <t>[Threaded comment]
Your version of Excel allows you to read this threaded comment; however, any edits to it will get removed if the file is opened in a newer version of Excel. Learn more: https://go.microsoft.com/fwlink/?linkid=870924
Comment:
    Note này sửa lại theo số em đưa anh ơi</t>
      </text>
    </comment>
    <comment ref="F142" authorId="0" shapeId="0" xr:uid="{95E9F655-E828-49BC-8F7E-5B3B400CBE2B}">
      <text>
        <r>
          <rPr>
            <b/>
            <sz val="9"/>
            <color indexed="81"/>
            <rFont val="Tahoma"/>
            <family val="2"/>
          </rPr>
          <t>Hai Quang Le:</t>
        </r>
        <r>
          <rPr>
            <sz val="9"/>
            <color indexed="81"/>
            <rFont val="Tahoma"/>
            <family val="2"/>
          </rPr>
          <t xml:space="preserve">
Bao gồm 2 khoản phải thu trên 1388.Khac của VNSC (tiền coupon LPBank) &amp; phải thu Nghiem Xuan Huy &amp; 380k cua Thien Việt</t>
        </r>
      </text>
    </comment>
    <comment ref="F144" authorId="0" shapeId="0" xr:uid="{3598125C-3C7C-4316-A873-E227822ED6B6}">
      <text>
        <r>
          <rPr>
            <b/>
            <sz val="9"/>
            <color indexed="81"/>
            <rFont val="Tahoma"/>
            <family val="2"/>
          </rPr>
          <t>Hai Quang Le:</t>
        </r>
        <r>
          <rPr>
            <sz val="9"/>
            <color indexed="81"/>
            <rFont val="Tahoma"/>
            <family val="2"/>
          </rPr>
          <t xml:space="preserve">
Hầu hết là tiền bán CK, trái phiếu chờ về, chưa khớp</t>
        </r>
      </text>
    </comment>
    <comment ref="F161" authorId="0" shapeId="0" xr:uid="{A86BD127-944A-4DDC-8730-DEFE8C08AEC8}">
      <text>
        <r>
          <rPr>
            <b/>
            <sz val="9"/>
            <color indexed="81"/>
            <rFont val="Tahoma"/>
            <family val="2"/>
          </rPr>
          <t>Hai Quang Le:</t>
        </r>
        <r>
          <rPr>
            <sz val="9"/>
            <color indexed="81"/>
            <rFont val="Tahoma"/>
            <family val="2"/>
          </rPr>
          <t xml:space="preserve">
Vendor Code: TP.Ban.Pending tren TK 1388.Khac</t>
        </r>
      </text>
    </comment>
    <comment ref="K324" authorId="3" shapeId="0" xr:uid="{231C669C-1660-442C-8A55-ED0F7AE63710}">
      <text>
        <r>
          <rPr>
            <b/>
            <sz val="9"/>
            <color indexed="81"/>
            <rFont val="Tahoma"/>
            <family val="2"/>
          </rPr>
          <t>Mai Ngoc Ngo:</t>
        </r>
        <r>
          <rPr>
            <sz val="9"/>
            <color indexed="81"/>
            <rFont val="Tahoma"/>
            <family val="2"/>
          </rPr>
          <t xml:space="preserve">
Năm 2023: Thuế môn bài là TK 3339, Thuế phí khác là TK 33382
Năm 2024: Gộp tất cả vào TK 33382
Có thế này thôi mà cũng phải note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Nguyen Thuy Hanh</author>
  </authors>
  <commentList>
    <comment ref="F65" authorId="0" shapeId="0" xr:uid="{A7F58E5B-8992-402E-889B-72168C494F29}">
      <text>
        <r>
          <rPr>
            <b/>
            <sz val="9"/>
            <color indexed="81"/>
            <rFont val="Tahoma"/>
            <family val="2"/>
          </rPr>
          <t>Nguyen Thuy Hanh:</t>
        </r>
        <r>
          <rPr>
            <sz val="9"/>
            <color indexed="81"/>
            <rFont val="Tahoma"/>
            <family val="2"/>
          </rPr>
          <t xml:space="preserve">
458 ngày
</t>
        </r>
      </text>
    </comment>
    <comment ref="F66" authorId="0" shapeId="0" xr:uid="{7F597E2A-1334-4067-A6F9-3F3F43592989}">
      <text>
        <r>
          <rPr>
            <b/>
            <sz val="9"/>
            <color indexed="81"/>
            <rFont val="Tahoma"/>
            <family val="2"/>
          </rPr>
          <t>Nguyen Thuy Hanh:</t>
        </r>
        <r>
          <rPr>
            <sz val="9"/>
            <color indexed="81"/>
            <rFont val="Tahoma"/>
            <family val="2"/>
          </rPr>
          <t xml:space="preserve">
451 ngày
</t>
        </r>
      </text>
    </comment>
    <comment ref="F69" authorId="0" shapeId="0" xr:uid="{2960F69A-8D4E-4783-8252-F5AD4B8B63FA}">
      <text>
        <r>
          <rPr>
            <b/>
            <sz val="9"/>
            <color indexed="81"/>
            <rFont val="Tahoma"/>
            <family val="2"/>
          </rPr>
          <t>Nguyen Thuy Hanh:</t>
        </r>
        <r>
          <rPr>
            <sz val="9"/>
            <color indexed="81"/>
            <rFont val="Tahoma"/>
            <family val="2"/>
          </rPr>
          <t xml:space="preserve">
390 ngày
</t>
        </r>
      </text>
    </comment>
    <comment ref="D109" authorId="0" shapeId="0" xr:uid="{14C92B0D-54E1-45F0-ABD6-65EED968AF82}">
      <text>
        <r>
          <rPr>
            <b/>
            <sz val="9"/>
            <color indexed="81"/>
            <rFont val="Tahoma"/>
            <family val="2"/>
          </rPr>
          <t>Thực tế mua lại ngày 26/04/2024, nhưng tính lãi từ 08/04/2024 vì TCPH vẫn trả lãi cho FH từ 08/04/2024, trước ngày 08/04/2024 đã ghi nhận lãi vào GD bán.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 authorId="0" shapeId="0" xr:uid="{BC7EEE95-A55D-443D-A123-F655BE77F54A}">
      <text>
        <r>
          <rPr>
            <b/>
            <sz val="9"/>
            <color indexed="81"/>
            <rFont val="Tahoma"/>
            <family val="2"/>
          </rPr>
          <t>Author:</t>
        </r>
        <r>
          <rPr>
            <sz val="9"/>
            <color indexed="81"/>
            <rFont val="Tahoma"/>
            <family val="2"/>
          </rPr>
          <t xml:space="preserve">
Xe nâng</t>
        </r>
      </text>
    </comment>
    <comment ref="L8" authorId="0" shapeId="0" xr:uid="{8DDF1046-2ECE-46C5-8990-9E669229449D}">
      <text>
        <r>
          <rPr>
            <b/>
            <sz val="9"/>
            <color indexed="81"/>
            <rFont val="Tahoma"/>
            <family val="2"/>
          </rPr>
          <t>Author:</t>
        </r>
        <r>
          <rPr>
            <sz val="9"/>
            <color indexed="81"/>
            <rFont val="Tahoma"/>
            <family val="2"/>
          </rPr>
          <t xml:space="preserve">
Cho thuê xe nang - TAG ghi 511</t>
        </r>
      </text>
    </comment>
    <comment ref="B28" authorId="0" shapeId="0" xr:uid="{64C4FFD9-C3CE-4D02-B5EA-80D97CF82003}">
      <text>
        <r>
          <rPr>
            <b/>
            <sz val="9"/>
            <color indexed="81"/>
            <rFont val="Tahoma"/>
            <family val="2"/>
          </rPr>
          <t>Author:</t>
        </r>
        <r>
          <rPr>
            <sz val="9"/>
            <color indexed="81"/>
            <rFont val="Tahoma"/>
            <family val="2"/>
          </rPr>
          <t xml:space="preserve">
Xe nâng</t>
        </r>
      </text>
    </comment>
    <comment ref="B29" authorId="0" shapeId="0" xr:uid="{9349DCED-C553-4959-8F88-D408C7ABD8AE}">
      <text>
        <r>
          <rPr>
            <b/>
            <sz val="9"/>
            <color indexed="81"/>
            <rFont val="Tahoma"/>
            <family val="2"/>
          </rPr>
          <t>Author:</t>
        </r>
        <r>
          <rPr>
            <sz val="9"/>
            <color indexed="81"/>
            <rFont val="Tahoma"/>
            <family val="2"/>
          </rPr>
          <t xml:space="preserve">
Cho thuê xe nang - TAG ghi 511</t>
        </r>
      </text>
    </comment>
  </commentList>
</comments>
</file>

<file path=xl/sharedStrings.xml><?xml version="1.0" encoding="utf-8"?>
<sst xmlns="http://schemas.openxmlformats.org/spreadsheetml/2006/main" count="37692" uniqueCount="5040">
  <si>
    <t>Client:</t>
  </si>
  <si>
    <t>Finhay Vietnam Joint Stock Company</t>
  </si>
  <si>
    <t>Audit period:</t>
  </si>
  <si>
    <t>Trial Balance for the year ended 31 December 2023</t>
  </si>
  <si>
    <t>Số hiệu tài khoản</t>
  </si>
  <si>
    <t>Tên tài khoản</t>
  </si>
  <si>
    <t>Đầu kỳ</t>
  </si>
  <si>
    <t>Phát sinh</t>
  </si>
  <si>
    <t>Cuối kỳ</t>
  </si>
  <si>
    <t>a</t>
  </si>
  <si>
    <t>b</t>
  </si>
  <si>
    <t>Nợ</t>
  </si>
  <si>
    <t>Có</t>
  </si>
  <si>
    <t>111</t>
  </si>
  <si>
    <t>Tiền mặt</t>
  </si>
  <si>
    <t>1111</t>
  </si>
  <si>
    <t>Tiền Việt Nam</t>
  </si>
  <si>
    <t>112</t>
  </si>
  <si>
    <t>Tiền gửi Ngân hàng</t>
  </si>
  <si>
    <t>1121</t>
  </si>
  <si>
    <t>113</t>
  </si>
  <si>
    <t>Tiền đang chuyển</t>
  </si>
  <si>
    <t>1131</t>
  </si>
  <si>
    <t>11312</t>
  </si>
  <si>
    <t>Tiền đang chuyển: Người dùng nạp tiền đã khớp nhưng ngân hàng chưa ghi có tài khoản</t>
  </si>
  <si>
    <t>121</t>
  </si>
  <si>
    <t>Chứng khoán kinh doanh</t>
  </si>
  <si>
    <t>1211</t>
  </si>
  <si>
    <t>Cổ phiếu</t>
  </si>
  <si>
    <t>1212</t>
  </si>
  <si>
    <t>Trái phiếu</t>
  </si>
  <si>
    <t>1218</t>
  </si>
  <si>
    <t>Chứng khoán và công cụ tài chính khác</t>
  </si>
  <si>
    <t>128</t>
  </si>
  <si>
    <t>Đầu tư nắm giữ đến ngày đáo hạn</t>
  </si>
  <si>
    <t>1281</t>
  </si>
  <si>
    <t>Tiền gửi có kỳ hạn</t>
  </si>
  <si>
    <t>1281.01</t>
  </si>
  <si>
    <t>Tiền gửi có kỳ hạn &lt; 3 tháng (Finhay)</t>
  </si>
  <si>
    <t>1281.02</t>
  </si>
  <si>
    <t>Tiền gửi có kỳ hạn &gt; 3 tháng (Users)</t>
  </si>
  <si>
    <t>1281.03</t>
  </si>
  <si>
    <t>Tiền gửi có kỳ hạn &gt; 3 tháng (Finhay)</t>
  </si>
  <si>
    <t>1281.04</t>
  </si>
  <si>
    <t>Tiền gửi có kỳ hạn &lt; 3 tháng (Users)</t>
  </si>
  <si>
    <t>1283</t>
  </si>
  <si>
    <t>Cho vay</t>
  </si>
  <si>
    <t>131</t>
  </si>
  <si>
    <t>Phải thu của khách hàng</t>
  </si>
  <si>
    <t>133</t>
  </si>
  <si>
    <t>Thuế GTGT được khấu trừ</t>
  </si>
  <si>
    <t>1331</t>
  </si>
  <si>
    <t>Thuế GTGT được khấu trừ của hàng hóa, dịch vụ</t>
  </si>
  <si>
    <t>1332</t>
  </si>
  <si>
    <t>Thuế GTGT được khấu trừ của TSCĐ</t>
  </si>
  <si>
    <t>138</t>
  </si>
  <si>
    <t>Phải thu khác</t>
  </si>
  <si>
    <t>1388</t>
  </si>
  <si>
    <t>1388.Bank</t>
  </si>
  <si>
    <t>Phải thu lãi từ các công cụ tài chính: HĐTG, CCTG, TP, ...</t>
  </si>
  <si>
    <t>1388.CT</t>
  </si>
  <si>
    <t>Phải thu cổ tức bằng tiền</t>
  </si>
  <si>
    <t>1388.Khac</t>
  </si>
  <si>
    <t>Phải thu khác: Khác</t>
  </si>
  <si>
    <t>1388.NAV</t>
  </si>
  <si>
    <t>1388.User</t>
  </si>
  <si>
    <t>Phải thu của user (Chứng khoán)</t>
  </si>
  <si>
    <t>1388.Vi</t>
  </si>
  <si>
    <t>Phải thu khác: Phải thu từ đối tác trung gian thanh toán</t>
  </si>
  <si>
    <t>141</t>
  </si>
  <si>
    <t>Tạm ứng</t>
  </si>
  <si>
    <t>154</t>
  </si>
  <si>
    <t>Chi phí sản xuất, kinh doanh dở dang</t>
  </si>
  <si>
    <t>156</t>
  </si>
  <si>
    <t>Hàng hóa</t>
  </si>
  <si>
    <t>1561</t>
  </si>
  <si>
    <t>Giá mua hàng hóa</t>
  </si>
  <si>
    <t>211</t>
  </si>
  <si>
    <t>Tài sản cố định hữu hình</t>
  </si>
  <si>
    <t>2112</t>
  </si>
  <si>
    <t>Máy móc, thiết bị</t>
  </si>
  <si>
    <t>2113</t>
  </si>
  <si>
    <t>Phương tiện vận tải, truyền dẫn</t>
  </si>
  <si>
    <t>2114</t>
  </si>
  <si>
    <t>Thiết bị, dụng cụ quản lý</t>
  </si>
  <si>
    <t>213</t>
  </si>
  <si>
    <t>Tài sản cố định vô hình</t>
  </si>
  <si>
    <t>2135</t>
  </si>
  <si>
    <t>Chương trình phần mềm</t>
  </si>
  <si>
    <t>214</t>
  </si>
  <si>
    <t>Hao mòn tài sản cố định</t>
  </si>
  <si>
    <t>2141</t>
  </si>
  <si>
    <t>Hao mòn TSCĐ hữu hình</t>
  </si>
  <si>
    <t>2143</t>
  </si>
  <si>
    <t>Hao mòn TSCĐ vô hình</t>
  </si>
  <si>
    <t>221</t>
  </si>
  <si>
    <t>Đầu tư vào công ty con</t>
  </si>
  <si>
    <t>228</t>
  </si>
  <si>
    <t>Đầu tư khác</t>
  </si>
  <si>
    <t>2288</t>
  </si>
  <si>
    <t>229</t>
  </si>
  <si>
    <t>Dự phòng tổn thất tài sản</t>
  </si>
  <si>
    <t>2291</t>
  </si>
  <si>
    <t>Dự phòng giảm giá chứng khoán kinh doanh</t>
  </si>
  <si>
    <t>2292</t>
  </si>
  <si>
    <t>Dự phòng tổn thất đầu tư vào đơn vị khác</t>
  </si>
  <si>
    <t>241</t>
  </si>
  <si>
    <t>Xây dựng cơ bản dở dang</t>
  </si>
  <si>
    <t>2412</t>
  </si>
  <si>
    <t>Xây dựng cơ bản</t>
  </si>
  <si>
    <t>2413</t>
  </si>
  <si>
    <t>Sửa chữa lớn TSCĐ</t>
  </si>
  <si>
    <t>242</t>
  </si>
  <si>
    <t>Chi phí trả trước</t>
  </si>
  <si>
    <t>2421.01</t>
  </si>
  <si>
    <t>Công cụ dụng cụ</t>
  </si>
  <si>
    <t>2422</t>
  </si>
  <si>
    <t>2422.01</t>
  </si>
  <si>
    <t>Chi phí trả trước - Ngắn hạn</t>
  </si>
  <si>
    <t>2422.02</t>
  </si>
  <si>
    <t>Chi phí trả trước - Dài hạn</t>
  </si>
  <si>
    <t>244</t>
  </si>
  <si>
    <t>Cầm cố, thế chấp, ký quỹ, ký cược</t>
  </si>
  <si>
    <t>331</t>
  </si>
  <si>
    <t>Phải trả cho người bán</t>
  </si>
  <si>
    <t>331.01</t>
  </si>
  <si>
    <t>331.02</t>
  </si>
  <si>
    <t>Ứng trước cho người bán</t>
  </si>
  <si>
    <t>333</t>
  </si>
  <si>
    <t>Thuế và các khoản phải nộp Nhà nước</t>
  </si>
  <si>
    <t>3331</t>
  </si>
  <si>
    <t>Thuế giá trị gia tăng phải nộp</t>
  </si>
  <si>
    <t>33311</t>
  </si>
  <si>
    <t>Thuế GTGT đầu ra</t>
  </si>
  <si>
    <t>3335</t>
  </si>
  <si>
    <t>Thuế thu nhập cá nhân</t>
  </si>
  <si>
    <t>3335.FH</t>
  </si>
  <si>
    <t>Thuế thu nhập cá nhân lao động Finhay</t>
  </si>
  <si>
    <t>3335.TN</t>
  </si>
  <si>
    <t>Thuế thu nhập cá nhân từ dịch vụ thuê ngoài</t>
  </si>
  <si>
    <t>3335.User</t>
  </si>
  <si>
    <t>Thuế thu nhập cá nhân của người dùng</t>
  </si>
  <si>
    <t>3338</t>
  </si>
  <si>
    <t>Thuế bảo vệ môi trường và các loại thuế khác</t>
  </si>
  <si>
    <t>33382</t>
  </si>
  <si>
    <t>Các loại thuế khác</t>
  </si>
  <si>
    <t>3339</t>
  </si>
  <si>
    <t>Phí, lệ phí và các khoản phải nộp khác</t>
  </si>
  <si>
    <t>334</t>
  </si>
  <si>
    <t>Phải trả người lao động</t>
  </si>
  <si>
    <t>3341</t>
  </si>
  <si>
    <t>Phải trả công nhân viên</t>
  </si>
  <si>
    <t>3348</t>
  </si>
  <si>
    <t>Phải trả người lao động khác</t>
  </si>
  <si>
    <t>335</t>
  </si>
  <si>
    <t>Chi phí phải trả</t>
  </si>
  <si>
    <t>338</t>
  </si>
  <si>
    <t>Phải trả, phải nộp khác</t>
  </si>
  <si>
    <t>3382</t>
  </si>
  <si>
    <t>Kinh phí công đoàn</t>
  </si>
  <si>
    <t>3383</t>
  </si>
  <si>
    <t>Bảo hiểm xã hội</t>
  </si>
  <si>
    <t>3384</t>
  </si>
  <si>
    <t>Bảo hiểm y tế</t>
  </si>
  <si>
    <t>3386</t>
  </si>
  <si>
    <t>Bảo hiểm thất nghiệp</t>
  </si>
  <si>
    <t>3387</t>
  </si>
  <si>
    <t>Doanh thu chưa thực hiện</t>
  </si>
  <si>
    <t>3388</t>
  </si>
  <si>
    <t>3388.Bank</t>
  </si>
  <si>
    <t>Phải trả, phải nộp - Ngân hàng</t>
  </si>
  <si>
    <t>3388.Cash</t>
  </si>
  <si>
    <t>Phải trả, phải nộp - TK tiền của User (Cash to be tranferred)</t>
  </si>
  <si>
    <t>3388.CCQ</t>
  </si>
  <si>
    <t>Phải trả người dùng: Chứng chỉ quỹ</t>
  </si>
  <si>
    <t>3388.CCTG</t>
  </si>
  <si>
    <t>Phải trả người dùng: COD</t>
  </si>
  <si>
    <t>3388.CK</t>
  </si>
  <si>
    <t>Phải trả người dùng: Chứng khoán</t>
  </si>
  <si>
    <t>3388.CT</t>
  </si>
  <si>
    <t>Phải trả người dùng: Cổ tức bằng tiền</t>
  </si>
  <si>
    <t>3388.FHB</t>
  </si>
  <si>
    <t>Phải trả người dùng: Túi Finhay</t>
  </si>
  <si>
    <t>3388.Gold</t>
  </si>
  <si>
    <t>Phải trả, phải nộp - Vàng</t>
  </si>
  <si>
    <t>3388.Khac</t>
  </si>
  <si>
    <t>Phải trả, phải nộp - Khác</t>
  </si>
  <si>
    <t>3388.Lai CCTG</t>
  </si>
  <si>
    <t>Phải trả người dùng: Lãi tích lũy phải trả người dùng</t>
  </si>
  <si>
    <t>3388.NSav</t>
  </si>
  <si>
    <t>Phải trả người dùng: New Saving (Non-term)</t>
  </si>
  <si>
    <t>3388.Pending</t>
  </si>
  <si>
    <t>Phải trả người dùng: Tài sản chưa khớp</t>
  </si>
  <si>
    <t>3388.Saving</t>
  </si>
  <si>
    <t>Phải trả người dùng: New Saving (Term)</t>
  </si>
  <si>
    <t>3388.TD</t>
  </si>
  <si>
    <t>Phải trả người dùng: Sản phẩm tích lũy có kỳ hạn</t>
  </si>
  <si>
    <t>3388.TLKH</t>
  </si>
  <si>
    <t>Phải trả người dùng: Sản phẩm tích lũy có kỳ hạn mới</t>
  </si>
  <si>
    <t>341</t>
  </si>
  <si>
    <t>Vay và nợ thuê tài chính</t>
  </si>
  <si>
    <t>3411</t>
  </si>
  <si>
    <t>Các khoản đi vay</t>
  </si>
  <si>
    <t>411</t>
  </si>
  <si>
    <t>Vốn đầu tư của chủ sở hữu</t>
  </si>
  <si>
    <t>4111</t>
  </si>
  <si>
    <t>Vốn góp của chủ sở hữu</t>
  </si>
  <si>
    <t>41111</t>
  </si>
  <si>
    <t>Cổ phiếu phổ thông có quyền biểu quyết</t>
  </si>
  <si>
    <t>41112</t>
  </si>
  <si>
    <t>Cổ phiếu ưu đãi</t>
  </si>
  <si>
    <t>4112</t>
  </si>
  <si>
    <t>Thặng dư vốn cổ phần</t>
  </si>
  <si>
    <t>421</t>
  </si>
  <si>
    <t>Lợi nhuận sau thuế chưa phân phối</t>
  </si>
  <si>
    <t>4211</t>
  </si>
  <si>
    <t>Lợi nhuận sau thuế chưa phân phối năm trước</t>
  </si>
  <si>
    <t>4212</t>
  </si>
  <si>
    <t>Lợi nhuận sau thuế chưa phân phối năm nay</t>
  </si>
  <si>
    <t>511</t>
  </si>
  <si>
    <t>Doanh thu bán hàng và cung cấp dịch vụ</t>
  </si>
  <si>
    <t>5113</t>
  </si>
  <si>
    <t>Doanh thu cung cấp dịch vụ</t>
  </si>
  <si>
    <t>5113.01</t>
  </si>
  <si>
    <t>Doanh thu từ HĐ người dùng rút tiền đầu tư</t>
  </si>
  <si>
    <t>5113.02</t>
  </si>
  <si>
    <t>Doanh thu từ HĐ người dùng rút tiền nhanh - Đầu tư</t>
  </si>
  <si>
    <t>5113.03</t>
  </si>
  <si>
    <t>Doanh thu từ HĐ người dùng rút tiền nhanh - Tích lũy</t>
  </si>
  <si>
    <t>5113.05</t>
  </si>
  <si>
    <t>Doanh thu từ phí bảo trì tài khoản</t>
  </si>
  <si>
    <t>5113.08</t>
  </si>
  <si>
    <t>Doanh thu từ hợp tác kinh doanh với đối tác</t>
  </si>
  <si>
    <t>5113.10</t>
  </si>
  <si>
    <t>Doanh thu từ giao dịch mua, bán vàng</t>
  </si>
  <si>
    <t>5113.12</t>
  </si>
  <si>
    <t>Doanh thu từ hợp tác kinh doanh với đối tác - Phí phân phối CCQ</t>
  </si>
  <si>
    <t>5113.13</t>
  </si>
  <si>
    <t>Doanh thu từ hợp tác kinh doanh với đối tác - CIMB</t>
  </si>
  <si>
    <t>5113.15</t>
  </si>
  <si>
    <t>Doanh thu từ hợp tác kinh doanh với đối tác - Khác</t>
  </si>
  <si>
    <t>5113.16</t>
  </si>
  <si>
    <t>Doanh thu từ HĐ người dùng giao dịch chứng khoán</t>
  </si>
  <si>
    <t>5113.17</t>
  </si>
  <si>
    <t>Doanh thu cung cấp và sử dụng dịch vụ phần mềm</t>
  </si>
  <si>
    <t>5118</t>
  </si>
  <si>
    <t>Doanh thu khác</t>
  </si>
  <si>
    <t>515</t>
  </si>
  <si>
    <t>Doanh thu hoạt động tài chính</t>
  </si>
  <si>
    <t>5151</t>
  </si>
  <si>
    <t>Doanh thu hoạt động tài chính: Lãi đã nhận</t>
  </si>
  <si>
    <t>5152</t>
  </si>
  <si>
    <t>Doanh thu hoạt động tài chính: Lãi dự thu</t>
  </si>
  <si>
    <t>5153</t>
  </si>
  <si>
    <t>Lãi từ việc mua bán tài sản</t>
  </si>
  <si>
    <t>5153.01</t>
  </si>
  <si>
    <t>Lãi từ việc mua bán tài sản - CCQ</t>
  </si>
  <si>
    <t>5153.02</t>
  </si>
  <si>
    <t>Lãi từ việc mua bán tài sản - FI</t>
  </si>
  <si>
    <t>5153.03</t>
  </si>
  <si>
    <t>Lãi từ việc mua bán tài sản - CK</t>
  </si>
  <si>
    <t>5156</t>
  </si>
  <si>
    <t>Lãi cho vay</t>
  </si>
  <si>
    <t>5158</t>
  </si>
  <si>
    <t>Doanh thu hoạt động tài chính: Chênh lệch tỷ giá</t>
  </si>
  <si>
    <t>627</t>
  </si>
  <si>
    <t>Chi phí sản xuất chung</t>
  </si>
  <si>
    <t>6273</t>
  </si>
  <si>
    <t>Chi phí dụng cụ sản xuất</t>
  </si>
  <si>
    <t>6274</t>
  </si>
  <si>
    <t>Chi phí khấu hao TSCĐ</t>
  </si>
  <si>
    <t>6277</t>
  </si>
  <si>
    <t>Chi phí dịch vụ mua ngoài</t>
  </si>
  <si>
    <t>6277.01</t>
  </si>
  <si>
    <t>Phí mua bán CCQ</t>
  </si>
  <si>
    <t>6277.02</t>
  </si>
  <si>
    <t>Phí chuyển nhượng CK</t>
  </si>
  <si>
    <t>6277.03</t>
  </si>
  <si>
    <t>Phí lưu ký</t>
  </si>
  <si>
    <t>6277.05</t>
  </si>
  <si>
    <t>Phí tên miền</t>
  </si>
  <si>
    <t>6277.06</t>
  </si>
  <si>
    <t>Phí ứng dụng thiết kế</t>
  </si>
  <si>
    <t>6277.07</t>
  </si>
  <si>
    <t>Phí dữ liệu</t>
  </si>
  <si>
    <t>6277.09</t>
  </si>
  <si>
    <t>Chi phí internet</t>
  </si>
  <si>
    <t>6277.10</t>
  </si>
  <si>
    <t>Chi phí thuê văn phòng</t>
  </si>
  <si>
    <t>6277.11</t>
  </si>
  <si>
    <t>Chi phí nâng cấp văn phòng</t>
  </si>
  <si>
    <t>6277.13</t>
  </si>
  <si>
    <t>Chi phí quản lý danh mục đầu tư</t>
  </si>
  <si>
    <t>6277.14</t>
  </si>
  <si>
    <t>Chi phí thu hộ qua Ví điện tử và trung gian thanh toán</t>
  </si>
  <si>
    <t>6277.15</t>
  </si>
  <si>
    <t>Chi phí chi hộ</t>
  </si>
  <si>
    <t>6277.16</t>
  </si>
  <si>
    <t>Chi phí hỗ trợ phát hành thẻ CIMB-Finhay</t>
  </si>
  <si>
    <t>6277.17</t>
  </si>
  <si>
    <t>Chi phí cho hệ thống dữ liệu</t>
  </si>
  <si>
    <t>6278</t>
  </si>
  <si>
    <t>Chi phí bằng tiền khác</t>
  </si>
  <si>
    <t>632</t>
  </si>
  <si>
    <t>Giá vốn hàng bán</t>
  </si>
  <si>
    <t>635</t>
  </si>
  <si>
    <t>Chi phí tài chính</t>
  </si>
  <si>
    <t>6351</t>
  </si>
  <si>
    <t>Chi phí tài chính: trả lãi cho người dùng</t>
  </si>
  <si>
    <t>6352</t>
  </si>
  <si>
    <t>Chi phí tài chính: dự trả lãi cho người dùng</t>
  </si>
  <si>
    <t>6353</t>
  </si>
  <si>
    <t>Lỗ từ việc mua bán tài sản</t>
  </si>
  <si>
    <t>6353.01</t>
  </si>
  <si>
    <t>Lỗ từ việc mua bán tài sản - CCQ</t>
  </si>
  <si>
    <t>6353.02</t>
  </si>
  <si>
    <t>Lỗ từ việc mua bán tài sản - FI</t>
  </si>
  <si>
    <t>6353.03</t>
  </si>
  <si>
    <t>Lỗ từ việc mua bán tài sản - CK</t>
  </si>
  <si>
    <t>6354</t>
  </si>
  <si>
    <t>Lỗ từ việc đánh giá tài sản/nợ phải trả</t>
  </si>
  <si>
    <t>6355</t>
  </si>
  <si>
    <t>Lỗ từ dự phòng giảm giá các khoản đầu tư vào công ty con/công ty liên doanh</t>
  </si>
  <si>
    <t>6356</t>
  </si>
  <si>
    <t>Lãi vay</t>
  </si>
  <si>
    <t>6356.01</t>
  </si>
  <si>
    <t>Lãi vay công ty</t>
  </si>
  <si>
    <t>6356.02</t>
  </si>
  <si>
    <t>Lãi vay trả cho người dùng Saving</t>
  </si>
  <si>
    <t>6356.03</t>
  </si>
  <si>
    <t>Lãi vay dự  trả cho người dùng Saving</t>
  </si>
  <si>
    <t>6358</t>
  </si>
  <si>
    <t>Chi phí tài chính: Chênh lệch tỷ giá</t>
  </si>
  <si>
    <t>641</t>
  </si>
  <si>
    <t>Chi phí bán hàng</t>
  </si>
  <si>
    <t>6411</t>
  </si>
  <si>
    <t>Chi phí nhân viên</t>
  </si>
  <si>
    <t>64111</t>
  </si>
  <si>
    <t>Lương thưởng</t>
  </si>
  <si>
    <t>64112</t>
  </si>
  <si>
    <t>Các khoản trích lập theo quy định</t>
  </si>
  <si>
    <t>64113</t>
  </si>
  <si>
    <t>Các khoản phúc lợi khác</t>
  </si>
  <si>
    <t>6413</t>
  </si>
  <si>
    <t>Chi phí dụng cụ, đồ dùng</t>
  </si>
  <si>
    <t>6414</t>
  </si>
  <si>
    <t>6417</t>
  </si>
  <si>
    <t>6417.01</t>
  </si>
  <si>
    <t>6417.02</t>
  </si>
  <si>
    <t>Phí quảng cáo</t>
  </si>
  <si>
    <t>6417.03</t>
  </si>
  <si>
    <t>Chi phí branding</t>
  </si>
  <si>
    <t>6417.04</t>
  </si>
  <si>
    <t>Phí internet</t>
  </si>
  <si>
    <t>6417.05</t>
  </si>
  <si>
    <t>Điện thoại &amp; Fax</t>
  </si>
  <si>
    <t>6417.06</t>
  </si>
  <si>
    <t>6417.07</t>
  </si>
  <si>
    <t>Thông tin liên lạc khác</t>
  </si>
  <si>
    <t>6417.09</t>
  </si>
  <si>
    <t>Chi phí sự kiện bên ngoài</t>
  </si>
  <si>
    <t>6417.11</t>
  </si>
  <si>
    <t>Cải tạo và nâng cấp văn phòng</t>
  </si>
  <si>
    <t>6417.12</t>
  </si>
  <si>
    <t>Chi phí dịch vụ mua ngoài khác</t>
  </si>
  <si>
    <t>6417.14</t>
  </si>
  <si>
    <t>Công tác_Tiền lưu trú</t>
  </si>
  <si>
    <t>6417.16</t>
  </si>
  <si>
    <t>Công tác_Tiền đi lại</t>
  </si>
  <si>
    <t>6418</t>
  </si>
  <si>
    <t>6418.01</t>
  </si>
  <si>
    <t>Thưởng người dùng</t>
  </si>
  <si>
    <t>6418.02</t>
  </si>
  <si>
    <t>Quà tặng khách hàng</t>
  </si>
  <si>
    <t>642</t>
  </si>
  <si>
    <t>Chi phí quản lý doanh nghiệp</t>
  </si>
  <si>
    <t>6421</t>
  </si>
  <si>
    <t>Chi phí nhân viên quản lý</t>
  </si>
  <si>
    <t>64211</t>
  </si>
  <si>
    <t>64212</t>
  </si>
  <si>
    <t>64213</t>
  </si>
  <si>
    <t>6423</t>
  </si>
  <si>
    <t>Chi phí đồ dùng văn phòng</t>
  </si>
  <si>
    <t>6424</t>
  </si>
  <si>
    <t>6425</t>
  </si>
  <si>
    <t>Thuế, phí và lệ phí</t>
  </si>
  <si>
    <t>6427</t>
  </si>
  <si>
    <t>6427.01</t>
  </si>
  <si>
    <t>Phí dịch vụ dữ liệu và ứng dụng cho văn phòng</t>
  </si>
  <si>
    <t>6427.02</t>
  </si>
  <si>
    <t>Phí đi lại</t>
  </si>
  <si>
    <t>6427.03</t>
  </si>
  <si>
    <t>Phí chuyển phát</t>
  </si>
  <si>
    <t>6427.04</t>
  </si>
  <si>
    <t>Phí ngân hàng</t>
  </si>
  <si>
    <t>6427.05</t>
  </si>
  <si>
    <t>Công tác_Vé máy bay</t>
  </si>
  <si>
    <t>6427.06</t>
  </si>
  <si>
    <t>6427.07</t>
  </si>
  <si>
    <t>Công tác_Ăn uống</t>
  </si>
  <si>
    <t>6427.08</t>
  </si>
  <si>
    <t>6427.09</t>
  </si>
  <si>
    <t>Công tác_Chi phí khác</t>
  </si>
  <si>
    <t>6427.10</t>
  </si>
  <si>
    <t>Phí tư vấn kế toán</t>
  </si>
  <si>
    <t>6427.11</t>
  </si>
  <si>
    <t>Phí kiểm soát giao dịch bank</t>
  </si>
  <si>
    <t>6427.12</t>
  </si>
  <si>
    <t>Phí kiểm toán</t>
  </si>
  <si>
    <t>6427.13</t>
  </si>
  <si>
    <t>Phí chuyển nhượng chứng khoán</t>
  </si>
  <si>
    <t>6427.14</t>
  </si>
  <si>
    <t>Văn phòng phẩm</t>
  </si>
  <si>
    <t>6427.15</t>
  </si>
  <si>
    <t>Chi phí điện nước</t>
  </si>
  <si>
    <t>6427.16</t>
  </si>
  <si>
    <t>Chi phí gửi xe</t>
  </si>
  <si>
    <t>6427.17</t>
  </si>
  <si>
    <t>Phí công chứng dịch thuật</t>
  </si>
  <si>
    <t>6427.18</t>
  </si>
  <si>
    <t>Phí dọn vệ sinh</t>
  </si>
  <si>
    <t>6427.19</t>
  </si>
  <si>
    <t>6427.20</t>
  </si>
  <si>
    <t>Chi phí đào tạo</t>
  </si>
  <si>
    <t>6427.21</t>
  </si>
  <si>
    <t>6427.22</t>
  </si>
  <si>
    <t>Chi phí cải tạo và nâng cấp văn phòng</t>
  </si>
  <si>
    <t>6427.23</t>
  </si>
  <si>
    <t>Chi phí bảo hiểm cho nhân viên</t>
  </si>
  <si>
    <t>6427.24</t>
  </si>
  <si>
    <t>Chi phí tuyển dụng</t>
  </si>
  <si>
    <t>6427.26</t>
  </si>
  <si>
    <t>6427.28</t>
  </si>
  <si>
    <t>Dịch vụ tư vấn (pháp lý,..)</t>
  </si>
  <si>
    <t>6428</t>
  </si>
  <si>
    <t>6428.01</t>
  </si>
  <si>
    <t>Ăn uống, tiếp khách</t>
  </si>
  <si>
    <t>6428.02</t>
  </si>
  <si>
    <t>6428.03</t>
  </si>
  <si>
    <t>Chia sẻ chi phí tin nhắn CIMB</t>
  </si>
  <si>
    <t>6429</t>
  </si>
  <si>
    <t>Chi phí quản lý doanh nghiệp: Chi phí bằng tiền chưa có HĐ</t>
  </si>
  <si>
    <t>711</t>
  </si>
  <si>
    <t>Thu nhập khác</t>
  </si>
  <si>
    <t>811</t>
  </si>
  <si>
    <t>Chi phí khác</t>
  </si>
  <si>
    <t>911</t>
  </si>
  <si>
    <t>Xác định kết quả kinh doanh</t>
  </si>
  <si>
    <t>Cộng</t>
  </si>
  <si>
    <t>Ngày hạch toán</t>
  </si>
  <si>
    <t>Ngày chứng từ</t>
  </si>
  <si>
    <t>Số chứng từ</t>
  </si>
  <si>
    <t>Ngày hóa đơn</t>
  </si>
  <si>
    <t>Số hóa đơn</t>
  </si>
  <si>
    <t>Diễn giải chung</t>
  </si>
  <si>
    <t>Diễn giải</t>
  </si>
  <si>
    <t>Tài khoản</t>
  </si>
  <si>
    <t>TK đối ứng</t>
  </si>
  <si>
    <t>3 so</t>
  </si>
  <si>
    <t>Phát sinh Nợ</t>
  </si>
  <si>
    <t>Phát sinh Có</t>
  </si>
  <si>
    <t>Mã đối tượng</t>
  </si>
  <si>
    <t>Tên đối tượng</t>
  </si>
  <si>
    <t>Mã khoản mục CP</t>
  </si>
  <si>
    <t>Mã thống kê</t>
  </si>
  <si>
    <t>Tên thống kê</t>
  </si>
  <si>
    <t>CP hợp lý/không hợp lý</t>
  </si>
  <si>
    <t>KC202301</t>
  </si>
  <si>
    <t>Kết chuyển doanh thu bán hàng và cung cấp dịch vụ</t>
  </si>
  <si>
    <t>Row Labels</t>
  </si>
  <si>
    <t>Sum of Phát sinh Nợ</t>
  </si>
  <si>
    <t>Sum of Phát sinh Có</t>
  </si>
  <si>
    <t>Kết chuyển doanh thu hoạt động tài chính</t>
  </si>
  <si>
    <t>Kết chuyển giá vốn hàng bán</t>
  </si>
  <si>
    <t>Kết chuyển chi phí hoạt động tài chính</t>
  </si>
  <si>
    <t>Kết chuyển chi phí bán hàng</t>
  </si>
  <si>
    <t>Kết chuyển chi phí quản lý doanh nghiệp</t>
  </si>
  <si>
    <t>Kết chuyển thu nhập khác phát sinh trong kỳ</t>
  </si>
  <si>
    <t>Kết chuyển chi phí khác phát sinh trong kỳ</t>
  </si>
  <si>
    <t>Kết chuyển kết quả hoạt động kinh doanh trong kỳ</t>
  </si>
  <si>
    <t>KC202302</t>
  </si>
  <si>
    <t>Grand Total</t>
  </si>
  <si>
    <t>KC202303</t>
  </si>
  <si>
    <t>KC202304</t>
  </si>
  <si>
    <t>KC202305</t>
  </si>
  <si>
    <t>KC202307</t>
  </si>
  <si>
    <t>Kết chuyển lãi lỗ đến ngày 31/01/2023</t>
  </si>
  <si>
    <t>Kết chuyển chi phí sản xuất</t>
  </si>
  <si>
    <t>Chi phí hợp lý</t>
  </si>
  <si>
    <t>Kết chuyển lãi lỗ đến ngày 28/02/2023</t>
  </si>
  <si>
    <t>Kết chuyển lãi lỗ đến ngày 31/03/2023</t>
  </si>
  <si>
    <t>Kết chuyển lãi lỗ đến ngày 30/04/2023</t>
  </si>
  <si>
    <t>Kết chuyển lãi lỗ đến ngày 31/05/2023</t>
  </si>
  <si>
    <t>Kết chuyển lãi lỗ đến ngày 30/06/2023</t>
  </si>
  <si>
    <t>KCG</t>
  </si>
  <si>
    <t>Trial Balance KCG For the year ended 30 June 2024</t>
  </si>
  <si>
    <t>Dr - Cr</t>
  </si>
  <si>
    <t>LS account</t>
  </si>
  <si>
    <t>Income summary of KCG For the year ended 30 June 2024</t>
  </si>
  <si>
    <t>Dr-Cr</t>
  </si>
  <si>
    <t>Sum of Dr-Cr</t>
  </si>
  <si>
    <t>Amount</t>
  </si>
  <si>
    <t>LS Mapping</t>
  </si>
  <si>
    <t>KC2024.01</t>
  </si>
  <si>
    <t>KC2024.02</t>
  </si>
  <si>
    <t>6422</t>
  </si>
  <si>
    <t>Phân bổ công cụ dụng cụ 242</t>
  </si>
  <si>
    <t>KC2024.03</t>
  </si>
  <si>
    <t>KC2024.04</t>
  </si>
  <si>
    <t>KC2024.05</t>
  </si>
  <si>
    <t>KC2024.06</t>
  </si>
  <si>
    <t>KC2024.07</t>
  </si>
  <si>
    <t>KC2024.08</t>
  </si>
  <si>
    <t>KC2024.09</t>
  </si>
  <si>
    <t>KC2024.10</t>
  </si>
  <si>
    <t>KC2024.11</t>
  </si>
  <si>
    <t>KC2024.12</t>
  </si>
  <si>
    <t>XH company</t>
  </si>
  <si>
    <t>Trial Balance of XH 31 Dec 2024</t>
  </si>
  <si>
    <t>Account LS</t>
  </si>
  <si>
    <t>Level</t>
  </si>
  <si>
    <t>1123</t>
  </si>
  <si>
    <t>2421.02</t>
  </si>
  <si>
    <t>2421</t>
  </si>
  <si>
    <t>Công cụ dụng cụ dài hạn</t>
  </si>
  <si>
    <t>Chi phí trả trước ngắn hạn</t>
  </si>
  <si>
    <t>3335.NLD</t>
  </si>
  <si>
    <t>income summary of Dec 2024</t>
  </si>
  <si>
    <t>Mapping LS</t>
  </si>
  <si>
    <t>Group working</t>
  </si>
  <si>
    <t>VNSC</t>
  </si>
  <si>
    <t>1. Tình hình vốn góp đầu tư của các cổ đông tại VNSC</t>
  </si>
  <si>
    <t>Tại 31/12/2023</t>
  </si>
  <si>
    <t>Tại 09/12/2021</t>
  </si>
  <si>
    <t>Tại ngày 05/01/2022</t>
  </si>
  <si>
    <t>Tại ngày 28/09/2022</t>
  </si>
  <si>
    <t>Tại ngày 09/12/2022</t>
  </si>
  <si>
    <t>Giảm giá vốn đầu tư thu tiền từ ngày 21/04-10/11/2024</t>
  </si>
  <si>
    <t>Tại ngày 14/12/2023</t>
  </si>
  <si>
    <t>Tại ngày 31/10/2024</t>
  </si>
  <si>
    <t>Tại VNSC</t>
  </si>
  <si>
    <t>Tại 31/12/2021</t>
  </si>
  <si>
    <t>Tăng lần 1 - 85 tỷ - 8,5tr cổ phần</t>
  </si>
  <si>
    <t>Tăng lần 2 - 200 tỷ - 20tr cổ phần</t>
  </si>
  <si>
    <t>Mua lại cổ phần của Ms Vân.Đổi 7 tỷ CP - giá trị 7 tỷ 7</t>
  </si>
  <si>
    <t>Tổng giá trị</t>
  </si>
  <si>
    <t>Mua lại cổ phần của Ms. Vân với 230.000 CP giá trị 3,450,000,000</t>
  </si>
  <si>
    <t>Mua nốt cổ phần của chị Vân</t>
  </si>
  <si>
    <t>Cổ đông góp vốn</t>
  </si>
  <si>
    <t>Giá trị vốn góp thực tế</t>
  </si>
  <si>
    <t>Giá trị cổ phần</t>
  </si>
  <si>
    <t>Tỷ lệ sở hữu</t>
  </si>
  <si>
    <t>Mr Nghiêm Xuân Huy</t>
  </si>
  <si>
    <t>Ms Vũ Thanh Vân</t>
  </si>
  <si>
    <t>Cty con Finhay</t>
  </si>
  <si>
    <t>XH</t>
  </si>
  <si>
    <t>2. NAV tại các thời điểm</t>
  </si>
  <si>
    <t>Tại 31/12/2022</t>
  </si>
  <si>
    <t>Tại 31/12/2024</t>
  </si>
  <si>
    <t>Tổng tài sản</t>
  </si>
  <si>
    <t>Tổng nợ phải trả</t>
  </si>
  <si>
    <t>Net asset value</t>
  </si>
  <si>
    <t>3. Tính toán công ty mẹ mua thêm quyền sở hữu trong Cty con</t>
  </si>
  <si>
    <t>Trước khi chuyển nhượng</t>
  </si>
  <si>
    <t>Sau khi chuyển nhượng</t>
  </si>
  <si>
    <t>Bên</t>
  </si>
  <si>
    <t>Vốn góp</t>
  </si>
  <si>
    <t>Tỷ lệ</t>
  </si>
  <si>
    <t>NCI</t>
  </si>
  <si>
    <t>Parent</t>
  </si>
  <si>
    <t>Tại ngày giao dịch</t>
  </si>
  <si>
    <t>NAV</t>
  </si>
  <si>
    <t>%NCI</t>
  </si>
  <si>
    <t>CV of NCI</t>
  </si>
  <si>
    <t>Số tiền mua</t>
  </si>
  <si>
    <t>(Lỗ) từ việc mua thêm</t>
  </si>
  <si>
    <t>4. Phân bổ lãi cho NCI</t>
  </si>
  <si>
    <t>Lãi trong năm của VNSC</t>
  </si>
  <si>
    <t>Tỷ trọng Parent</t>
  </si>
  <si>
    <t>Tỷ trọng NCI</t>
  </si>
  <si>
    <t>Từ ngày</t>
  </si>
  <si>
    <t>Đến ngày</t>
  </si>
  <si>
    <t>Số ngày</t>
  </si>
  <si>
    <t>Lãi phân bổ NCI</t>
  </si>
  <si>
    <t>XH Company</t>
  </si>
  <si>
    <t>Tại ngày 21/10/2022</t>
  </si>
  <si>
    <t>Tại ngày 13/01/2023</t>
  </si>
  <si>
    <t>Tại ngày 08/02/2023</t>
  </si>
  <si>
    <t>Tại ngày 06/03/2023</t>
  </si>
  <si>
    <t>Tại ngày 06/04/2023</t>
  </si>
  <si>
    <t>Tại ngày 08/05/2023</t>
  </si>
  <si>
    <t>Tại ngày 07/06/2023</t>
  </si>
  <si>
    <t>Tại ngày 06/07/2023</t>
  </si>
  <si>
    <t>Tại ngày 07/09/2023</t>
  </si>
  <si>
    <t>Tại ngày 05/10/2023</t>
  </si>
  <si>
    <t>Tại ngày 05/11/2023</t>
  </si>
  <si>
    <t>Tại ngày 05/12/2023</t>
  </si>
  <si>
    <t>Tại ngày 28/12/2023</t>
  </si>
  <si>
    <t>Tại ngày 30/06/2024</t>
  </si>
  <si>
    <t>Đăng ký góp vốn thành lập</t>
  </si>
  <si>
    <t>Tăng vốn lần 1</t>
  </si>
  <si>
    <t>Chuyển nhượng lần 1</t>
  </si>
  <si>
    <t>Chuyển nhượng lần 2</t>
  </si>
  <si>
    <t>Chuyển nhượng lần 3</t>
  </si>
  <si>
    <t>Chuyển nhượng lần 4</t>
  </si>
  <si>
    <t>Chuyển nhượng lần 5</t>
  </si>
  <si>
    <t>Chuyển nhượng lần 6</t>
  </si>
  <si>
    <t>Chuyển nhượng lần 7</t>
  </si>
  <si>
    <t>Chuyển nhượng lần 8</t>
  </si>
  <si>
    <t>Chuyển nhượng lần 9</t>
  </si>
  <si>
    <t>Chuyển nhượng lần 10</t>
  </si>
  <si>
    <t>Chuyển nhượng lần 11</t>
  </si>
  <si>
    <t>Chuyển nhượng lần 12</t>
  </si>
  <si>
    <t>Phát hành thêm cổ phiếu</t>
  </si>
  <si>
    <t>Chuyển nhượng lần 13</t>
  </si>
  <si>
    <t>Tại XH</t>
  </si>
  <si>
    <t>Số lượng cổ phần</t>
  </si>
  <si>
    <t>Thay đổi số lượng CP</t>
  </si>
  <si>
    <t>Giá chuyển nhượng</t>
  </si>
  <si>
    <t>Thặng dư</t>
  </si>
  <si>
    <t>Công ty TNHH dịch vụ và phân phối Finhay Việt Nam</t>
  </si>
  <si>
    <t>Công ty cổ phần Finhay Việt Nam</t>
  </si>
  <si>
    <t>Nghiêm Xuân Huy</t>
  </si>
  <si>
    <t>Vũ Thanh Vân</t>
  </si>
  <si>
    <t/>
  </si>
  <si>
    <t>Vũ Quỳnh Hương</t>
  </si>
  <si>
    <t>Hoàng Minh Châu</t>
  </si>
  <si>
    <t>Nguyễn Minh Hương</t>
  </si>
  <si>
    <t>Tổng cộng</t>
  </si>
  <si>
    <t>1. NAV tại các thời điểm</t>
  </si>
  <si>
    <t>Tong TS</t>
  </si>
  <si>
    <t>Tong No Phai tra</t>
  </si>
  <si>
    <t>Net Asset</t>
  </si>
  <si>
    <t>2. Tính toán cho Phát hành thêm 2400 cổ phiếu cho NCI của XH (ngày 12/1/2024)</t>
  </si>
  <si>
    <t>Net Asset as of</t>
  </si>
  <si>
    <t>Carrying Value of NCI per proportion of ownership</t>
  </si>
  <si>
    <t>Increase of Carrying Value after ownership changes</t>
  </si>
  <si>
    <t>Số vốn thực góp</t>
  </si>
  <si>
    <t>Lỗ của NCI sau khi góp vốn</t>
  </si>
  <si>
    <t>2. Finhay JSC mua lại cổ phần của NIC tại XH (tháng 6/2024)</t>
  </si>
  <si>
    <t>Giá mua</t>
  </si>
  <si>
    <t>Net Asset tại ngày mua</t>
  </si>
  <si>
    <t>Tỷ trọng NCI giảm bớt (parent tăng lên)</t>
  </si>
  <si>
    <t>Carrying Value mua thêm</t>
  </si>
  <si>
    <t>% lỗ do mua thêm</t>
  </si>
  <si>
    <t>2. Phân bổ lãi cho NCI</t>
  </si>
  <si>
    <t>Lãi trong năm của XH</t>
  </si>
  <si>
    <t>2. Số tiền Baggain Purchase do việc chuyển nhượng</t>
  </si>
  <si>
    <t>=&gt; Ghi nhận thành chi phí vào PL với Finhay LTD do bị mua đắt (Sheet "A5 CTC YE23")</t>
  </si>
  <si>
    <t>3. Bổ lại lãi cho Finhay Công ty mẹ do book mẹ là NCI ở conso công ty con</t>
  </si>
  <si>
    <t>Lỗ trong năm</t>
  </si>
  <si>
    <t>Finhay CTM</t>
  </si>
  <si>
    <t>Chuyển lỗ NCI về lại 4212</t>
  </si>
  <si>
    <t>KCG Company</t>
  </si>
  <si>
    <t>Tại KCG</t>
  </si>
  <si>
    <t>Lỗ chưa phân phối</t>
  </si>
  <si>
    <t>Finhay Ltd</t>
  </si>
  <si>
    <t>Finhay Việt Nam</t>
  </si>
  <si>
    <t>Test lại lãi NCI</t>
  </si>
  <si>
    <t>Tự cộng ở working</t>
  </si>
  <si>
    <t>NCI-PL ở PL</t>
  </si>
  <si>
    <t>Dif</t>
  </si>
  <si>
    <t>Basis</t>
  </si>
  <si>
    <t>Total Revenue &amp; Financial Income</t>
  </si>
  <si>
    <t>( VND)</t>
  </si>
  <si>
    <t>Planning</t>
  </si>
  <si>
    <t>Overall Materiality</t>
  </si>
  <si>
    <t>PM</t>
  </si>
  <si>
    <t>TE</t>
  </si>
  <si>
    <t>SAD</t>
  </si>
  <si>
    <t>GAM</t>
  </si>
  <si>
    <t>Tên section</t>
  </si>
  <si>
    <t>Hoàng</t>
  </si>
  <si>
    <t>Minh</t>
  </si>
  <si>
    <t>Bình</t>
  </si>
  <si>
    <t>Mai</t>
  </si>
  <si>
    <t>Huyền</t>
  </si>
  <si>
    <t>Thảo</t>
  </si>
  <si>
    <t>Single</t>
  </si>
  <si>
    <t>Section C</t>
  </si>
  <si>
    <t>Tiền và các khoản tương đương tiền</t>
  </si>
  <si>
    <t>x</t>
  </si>
  <si>
    <t>Section D</t>
  </si>
  <si>
    <t>Đầu tư</t>
  </si>
  <si>
    <t>Section E</t>
  </si>
  <si>
    <t>Phải thu</t>
  </si>
  <si>
    <t>Section F</t>
  </si>
  <si>
    <t>Hàng tồn kho</t>
  </si>
  <si>
    <t>Section G</t>
  </si>
  <si>
    <t>Tài sản khác</t>
  </si>
  <si>
    <t>Section K</t>
  </si>
  <si>
    <t>Tài sản cố định</t>
  </si>
  <si>
    <t>Minh support vụ vốn hóa</t>
  </si>
  <si>
    <t>Section O</t>
  </si>
  <si>
    <t>Thuế phải thu/phải nộp</t>
  </si>
  <si>
    <t>Section VB</t>
  </si>
  <si>
    <t>Lương và các khoản trích theo lương</t>
  </si>
  <si>
    <t>Section P</t>
  </si>
  <si>
    <t>Các khoản phải trả</t>
  </si>
  <si>
    <t>Section N</t>
  </si>
  <si>
    <t>Vay và các khoản phải trả có tính chất vay</t>
  </si>
  <si>
    <t>Section T</t>
  </si>
  <si>
    <t>Vốn chủ sở hữu</t>
  </si>
  <si>
    <t>Section UA</t>
  </si>
  <si>
    <t>Section VA</t>
  </si>
  <si>
    <t>Section UC</t>
  </si>
  <si>
    <t>Section UC-N</t>
  </si>
  <si>
    <t>Chi phí hoạt động tài chính (Huy động)</t>
  </si>
  <si>
    <t>Section UC-D</t>
  </si>
  <si>
    <t>Chi phí hoạt động tài chính (Đầu tư)</t>
  </si>
  <si>
    <t>Section VC</t>
  </si>
  <si>
    <t>Section VD</t>
  </si>
  <si>
    <t>Section UB</t>
  </si>
  <si>
    <t>Thu nhập chi phí khác (đánh giá lại)</t>
  </si>
  <si>
    <t>Confirmation</t>
  </si>
  <si>
    <t>Đầu tư - TVAM</t>
  </si>
  <si>
    <t>Phải thu/phải trả/vay doanh nghiệp</t>
  </si>
  <si>
    <t>TXN bank</t>
  </si>
  <si>
    <t>Account mapping</t>
  </si>
  <si>
    <t>Kết chuyển lãi lỗ đến ngày 31/01/2024</t>
  </si>
  <si>
    <t>5111</t>
  </si>
  <si>
    <t>6421.01</t>
  </si>
  <si>
    <t>6421.02</t>
  </si>
  <si>
    <t>6418.03</t>
  </si>
  <si>
    <t>6421.03</t>
  </si>
  <si>
    <t>Kết chuyển lãi lỗ đến ngày 29/02/2024</t>
  </si>
  <si>
    <t>(blank)</t>
  </si>
  <si>
    <t>Kết chuyển lãi lỗ đến ngày 31/03/2024</t>
  </si>
  <si>
    <t>Kết chuyển lãi lỗ đến ngày 30/04/2024</t>
  </si>
  <si>
    <t>Kết chuyển lãi lỗ đến ngày 31/05/2024</t>
  </si>
  <si>
    <t>Kết chuyển lãi lỗ đến ngày 30/06/2024</t>
  </si>
  <si>
    <t>Kết chuyển lãi lỗ đến ngày 31/07/2024</t>
  </si>
  <si>
    <t>Kết chuyển lãi lỗ đến ngày 31/08/2024</t>
  </si>
  <si>
    <t>Kết chuyển lãi lỗ đến ngày 30/09/2024</t>
  </si>
  <si>
    <t>Kết chuyển lãi lỗ đến ngày 31/10/2024</t>
  </si>
  <si>
    <t>Kết chuyển lãi lỗ đến ngày 30/11/2024</t>
  </si>
  <si>
    <t>Kết chuyển lãi lỗ đến ngày 31/12/2024</t>
  </si>
  <si>
    <t>Finhay Vietnam Joint Stock Company - Cty mẹ</t>
  </si>
  <si>
    <t>Trial Balance for the year ended 31 Dec 2024</t>
  </si>
  <si>
    <t>1212.01</t>
  </si>
  <si>
    <t>Trái phiếu_BCC</t>
  </si>
  <si>
    <t>1212.01a</t>
  </si>
  <si>
    <t>Trái phiếu_Public Bond</t>
  </si>
  <si>
    <t>Công cụ dụng cụ
 - Dài hạn</t>
  </si>
  <si>
    <t>Doanh thu bán hàng hóa</t>
  </si>
  <si>
    <t>5153.04</t>
  </si>
  <si>
    <t>Lãi từ việc mua bán tài sản - Haybond</t>
  </si>
  <si>
    <t>6353.04</t>
  </si>
  <si>
    <t>Lỗ từ việc mua bán tài sản - Haybond</t>
  </si>
  <si>
    <t>Doi ung 3 so</t>
  </si>
  <si>
    <t>Mã nhân viên</t>
  </si>
  <si>
    <t>Tên nhân viên</t>
  </si>
  <si>
    <t>Mã đơn vị</t>
  </si>
  <si>
    <t>6417.15</t>
  </si>
  <si>
    <t>5153.05</t>
  </si>
  <si>
    <t>Chứng từ</t>
  </si>
  <si>
    <t>Đối tượng chi tiết</t>
  </si>
  <si>
    <t>Tiền</t>
  </si>
  <si>
    <t>Tỷ giá</t>
  </si>
  <si>
    <t>Tiền
nguyên tệ</t>
  </si>
  <si>
    <t>TransType</t>
  </si>
  <si>
    <t>Ngày</t>
  </si>
  <si>
    <t>Số</t>
  </si>
  <si>
    <t>Mã ĐT</t>
  </si>
  <si>
    <t>Đầu số</t>
  </si>
  <si>
    <t>Account đối ứng với 911</t>
  </si>
  <si>
    <t>Net</t>
  </si>
  <si>
    <t>KC202401</t>
  </si>
  <si>
    <t>Kết chuyển cuối kỳ 63311 --&gt; 9111</t>
  </si>
  <si>
    <t>9111</t>
  </si>
  <si>
    <t>63311</t>
  </si>
  <si>
    <t>Sum of 14</t>
  </si>
  <si>
    <t>Mapping LS 2022</t>
  </si>
  <si>
    <t>Account 2022</t>
  </si>
  <si>
    <t>Account 2023</t>
  </si>
  <si>
    <t>Account name</t>
  </si>
  <si>
    <t>Mapping LS 2023</t>
  </si>
  <si>
    <t>Note</t>
  </si>
  <si>
    <t>Account FY24</t>
  </si>
  <si>
    <t>Mapping LS FY24</t>
  </si>
  <si>
    <t>Kết chuyển cuối kỳ 63312 --&gt; 9111</t>
  </si>
  <si>
    <t>63312</t>
  </si>
  <si>
    <t>51101030201</t>
  </si>
  <si>
    <t>Doanh thu lãi tiền gửi ngân hàng không cố định</t>
  </si>
  <si>
    <t>Lãi đầu tư</t>
  </si>
  <si>
    <t xml:space="preserve">        Tiền lãi phát sinh từ tài sản tài chính FVTPL - Trái phiếu niêm yết</t>
  </si>
  <si>
    <t>Kết chuyển cuối kỳ 63313 --&gt; 9111</t>
  </si>
  <si>
    <t>63313</t>
  </si>
  <si>
    <t xml:space="preserve">    Phí giao dịch chứng khoán môi giới</t>
  </si>
  <si>
    <t>6331</t>
  </si>
  <si>
    <t>Kết chuyển cuối kỳ 6331711 --&gt; 9111</t>
  </si>
  <si>
    <t>6331711</t>
  </si>
  <si>
    <t>Chi phí vật tư, văn phòng phẩm</t>
  </si>
  <si>
    <t xml:space="preserve">    Phí quản lý thành viên và phí định kỳ hàng năm phân bổ cho hoạt động môi giới</t>
  </si>
  <si>
    <t>Kết chuyển cuối kỳ 6331712 --&gt; 9111</t>
  </si>
  <si>
    <t>6331712</t>
  </si>
  <si>
    <t>Chi phí công cụ, dụng cụ, phân bổ chi phí trả trước</t>
  </si>
  <si>
    <t xml:space="preserve">    Phí thiết bị đầu cuối phân bố cho hoạt động môi giới</t>
  </si>
  <si>
    <t>Kết chuyển cuối kỳ 63345 --&gt; 9111</t>
  </si>
  <si>
    <t>63345</t>
  </si>
  <si>
    <t>Chi phí khấu hao TSCĐ, BĐSĐT</t>
  </si>
  <si>
    <t xml:space="preserve">        Chi phí tiền lương</t>
  </si>
  <si>
    <t>Kết chuyển cuối kỳ 64111 --&gt; 9111</t>
  </si>
  <si>
    <t>Chi phí thuế, phí và lệ phí</t>
  </si>
  <si>
    <t xml:space="preserve">        Chi phí các khoản trích theo lương</t>
  </si>
  <si>
    <t>Kết chuyển cuối kỳ 51101030201 --&gt; 9111</t>
  </si>
  <si>
    <t>633173</t>
  </si>
  <si>
    <t>Chi phí khác bằng tiền</t>
  </si>
  <si>
    <t xml:space="preserve">      Công cụ, dụng cụ, phân bổ chi phí trả trước cho hoạt động môi giới</t>
  </si>
  <si>
    <t>Kết chuyển cuối kỳ 642708 --&gt; 9111</t>
  </si>
  <si>
    <t>642708</t>
  </si>
  <si>
    <t>633174</t>
  </si>
  <si>
    <t xml:space="preserve">      Khấu hao tài sản cố định, BĐSĐT</t>
  </si>
  <si>
    <t>Kết chuyển cuối kỳ 642709 --&gt; 9111</t>
  </si>
  <si>
    <t>642709</t>
  </si>
  <si>
    <t>633175</t>
  </si>
  <si>
    <t>Lợi nhuận đã thực hiện năm nay</t>
  </si>
  <si>
    <t xml:space="preserve">      Dịch vụ mua ngoài</t>
  </si>
  <si>
    <t>Kết chuyển cuối kỳ 642710 --&gt; 9111</t>
  </si>
  <si>
    <t>642710</t>
  </si>
  <si>
    <t>63341</t>
  </si>
  <si>
    <t>Lợi nhuận chưa thực hiện - Đánh giá lại các tài sản tài chính</t>
  </si>
  <si>
    <t xml:space="preserve">    Phí lưu ký chứng khoán cho khách hàng</t>
  </si>
  <si>
    <t>6332</t>
  </si>
  <si>
    <t>Kết chuyển cuối kỳ 642711 --&gt; 9111</t>
  </si>
  <si>
    <t>642711</t>
  </si>
  <si>
    <t xml:space="preserve">    Chi phí dịch vụ chuyển khoản</t>
  </si>
  <si>
    <t>Kết chuyển cuối kỳ 642712 --&gt; 9111</t>
  </si>
  <si>
    <t>642712</t>
  </si>
  <si>
    <t>Phí giao dịch bán tài sản tài chính tự doanh</t>
  </si>
  <si>
    <t xml:space="preserve">    Chi phí lương nhân viên hoạt động bán hàng</t>
  </si>
  <si>
    <t>6411.01</t>
  </si>
  <si>
    <t>Kết chuyển cuối kỳ 642799 --&gt; 9111</t>
  </si>
  <si>
    <t>642799</t>
  </si>
  <si>
    <t>Phí giao dịch chứng khoán môi giới</t>
  </si>
  <si>
    <t>Môi giới</t>
  </si>
  <si>
    <t xml:space="preserve">    BHXH, BHYT, KPCĐ, BHTN nhân viên bán hàng</t>
  </si>
  <si>
    <t>6411.02</t>
  </si>
  <si>
    <t>Kết chuyển cuối kỳ 642701 --&gt; 9111</t>
  </si>
  <si>
    <t>642701</t>
  </si>
  <si>
    <t>Phí quản lý thành viên và phí định kỳ hàng năm phân bổ cho hoạt động môi giới</t>
  </si>
  <si>
    <t xml:space="preserve">  Chi phí khấu hao TSCĐ</t>
  </si>
  <si>
    <t>Kết chuyển cuối kỳ 642702 --&gt; 9111</t>
  </si>
  <si>
    <t>642702</t>
  </si>
  <si>
    <t>641702</t>
  </si>
  <si>
    <t>Phí thiết bị đầu cuối phân bố cho hoạt động môi giới</t>
  </si>
  <si>
    <t xml:space="preserve">    Chi phí dịch vụ mua ngoài - Chi phí giới thiệu khách hàng</t>
  </si>
  <si>
    <t>Kết chuyển cuối kỳ 642703 --&gt; 9111</t>
  </si>
  <si>
    <t>642703</t>
  </si>
  <si>
    <t>641704</t>
  </si>
  <si>
    <t>Phí lưu ký chứng khoán cho khách hàng</t>
  </si>
  <si>
    <t>Lưu ký</t>
  </si>
  <si>
    <t xml:space="preserve">    Chi phí dịch vụ mua ngoài - Chi phí xây dựng thương hiệu</t>
  </si>
  <si>
    <t>Kết chuyển cuối kỳ 642704 --&gt; 9111</t>
  </si>
  <si>
    <t>642704</t>
  </si>
  <si>
    <t>641802</t>
  </si>
  <si>
    <t>Chi phí dịch vụ chuyển khoản</t>
  </si>
  <si>
    <t xml:space="preserve">    Chi phí khác - Chi phí tổ chức minigame</t>
  </si>
  <si>
    <t>Kết chuyển cuối kỳ 642706 --&gt; 9111</t>
  </si>
  <si>
    <t>642706</t>
  </si>
  <si>
    <t>641809</t>
  </si>
  <si>
    <t>Các khoản phúc lợi khác cho nhân viên bán hàng</t>
  </si>
  <si>
    <t xml:space="preserve">    Chi phí khác - Chi phí khác bằng tiền</t>
  </si>
  <si>
    <t>Kết chuyển cuối kỳ 642707 --&gt; 9111</t>
  </si>
  <si>
    <t>642707</t>
  </si>
  <si>
    <t>Lương và các khoản phúc lợi</t>
  </si>
  <si>
    <t xml:space="preserve">    Lương và các khoản phúc lợi</t>
  </si>
  <si>
    <t>Kết chuyển cuối kỳ 64211 --&gt; 9111</t>
  </si>
  <si>
    <t>Bảo hiểm xã hội, bảo hiểm y tế, kinhphícôngđoàn,bảohiểm thất nghiệp</t>
  </si>
  <si>
    <t xml:space="preserve">    Bảo hiểm xã hội, bảo hiểm y tế, kinh  phí  công  đoàn,  bảo  hiểm thất nghiệp</t>
  </si>
  <si>
    <t>Kết chuyển cuối kỳ 64212 --&gt; 9111</t>
  </si>
  <si>
    <t>Chi phí thuế TNDN hoãn lại - Đánh giá lại TSTC</t>
  </si>
  <si>
    <t>8212</t>
  </si>
  <si>
    <t xml:space="preserve">  Chi phí vật tư, văn phòng phẩm</t>
  </si>
  <si>
    <t>Kết chuyển cuối kỳ 6422 --&gt; 9111</t>
  </si>
  <si>
    <t>Công cụ, dụng cụ, phân bổ chi phí trả trước cho hoạt động môi giới</t>
  </si>
  <si>
    <t xml:space="preserve">  Chi phí công cụ, dụng cụ, phân bổ chi phí trả trước</t>
  </si>
  <si>
    <t>Kết chuyển cuối kỳ 6423 --&gt; 9111</t>
  </si>
  <si>
    <t>Khấu hao tài sản cố định, BĐSĐT</t>
  </si>
  <si>
    <t xml:space="preserve">  Chi phí khấu hao TSCĐ, BĐSĐT</t>
  </si>
  <si>
    <t>Kết chuyển cuối kỳ 6424 --&gt; 9111</t>
  </si>
  <si>
    <t>Dịch vụ mua ngoài</t>
  </si>
  <si>
    <t xml:space="preserve">  Chi phí thuế, phí và lệ phí</t>
  </si>
  <si>
    <t>Kết chuyển cuối kỳ 6425 --&gt; 9111</t>
  </si>
  <si>
    <t xml:space="preserve">    Chi phí dịch vụ mua ngoài - Tiền thuê văn phòng</t>
  </si>
  <si>
    <t>Kết chuyển cuối kỳ 64112 --&gt; 9111</t>
  </si>
  <si>
    <t>Chi phí dịch vụ mua ngoài - Chi phí giới thiệu khách hàng</t>
  </si>
  <si>
    <t xml:space="preserve">    Chi phí dịch vụ mua ngoài - Tiền điện, nước, internet</t>
  </si>
  <si>
    <t>Kết chuyển cuối kỳ 6414 --&gt; 9111</t>
  </si>
  <si>
    <t>Chi phí dịch vụ mua ngoài - Chi phí xây dựng thương hiệu</t>
  </si>
  <si>
    <t xml:space="preserve">    Chi phí dịch vụ mua ngoài - Cước điện thoại, chuyển phát nhanh</t>
  </si>
  <si>
    <t>Kết chuyển cuối kỳ 641702 --&gt; 9111</t>
  </si>
  <si>
    <t>Chi phí khác - Chi phí nghiên cứu trải nghiệm khách hàng</t>
  </si>
  <si>
    <t xml:space="preserve">    Chi phí dịch vụ mua ngoài - Chi phí gửi xe, dọn vệ sinh</t>
  </si>
  <si>
    <t>Kết chuyển cuối kỳ 641704 --&gt; 9111</t>
  </si>
  <si>
    <t>Chi phí khác - Chi phí tổ chức minigame</t>
  </si>
  <si>
    <t xml:space="preserve">    Chi phí dịch vụ mua ngoài - Chi phí công tác: đi lại, khách sạn</t>
  </si>
  <si>
    <t>Kết chuyển cuối kỳ 641802 --&gt; 9111</t>
  </si>
  <si>
    <t>Chi phí dịch vụ mua ngoài - Tiền thuê văn phòng</t>
  </si>
  <si>
    <t xml:space="preserve">    Chi phí dịch vụ mua ngoài - Chi phí BP nhân sự: Tuyển dụng, đào tạo, khám SK</t>
  </si>
  <si>
    <t>Kết chuyển cuối kỳ 641809 --&gt; 9111</t>
  </si>
  <si>
    <t>Chi phí dịch vụ mua ngoài - Tiền điện, nước, internet</t>
  </si>
  <si>
    <t xml:space="preserve">    Chi phí dịch vụ mua ngoài - Chi phí thuê ngoài của team Tech</t>
  </si>
  <si>
    <t>Kết chuyển cuối kỳ 633173 --&gt; 9111</t>
  </si>
  <si>
    <t>Chi phí dịch vụ mua ngoài - Cước điện thoại, chuyển phát nhanh</t>
  </si>
  <si>
    <t xml:space="preserve">    Chi phí dịch vụ mua ngoài - Chi phí tiếp khách của BOM</t>
  </si>
  <si>
    <t>Kết chuyển cuối kỳ 633174 --&gt; 9111</t>
  </si>
  <si>
    <t>Chi phí dịch vụ mua ngoài - Chi phí gửi xe, dọn vệ sinh</t>
  </si>
  <si>
    <t xml:space="preserve">    Chi phí dịch vụ mua ngoài - Chi phí bảo dưỡng đồ dùng văn phòng</t>
  </si>
  <si>
    <t>Kết chuyển cuối kỳ 633175 --&gt; 9111</t>
  </si>
  <si>
    <t>Chi phí dịch vụ mua ngoài - Kiểm toán, tư vấn thuế</t>
  </si>
  <si>
    <t xml:space="preserve">    Chi phí dịch vụ mua ngoài - Chi phí xăng xe, sửa chữa và bảo dưỡng</t>
  </si>
  <si>
    <t>Kết chuyển cuối kỳ 63341 --&gt; 9111</t>
  </si>
  <si>
    <t>Chi phí dịch vụ mua ngoài - Chi phí công tác: đi lại, khách sạn</t>
  </si>
  <si>
    <t xml:space="preserve">    Chi phí dịch vụ mua ngoài - Phí ngân hàng</t>
  </si>
  <si>
    <t>KC202402</t>
  </si>
  <si>
    <t>Chi phí dịch vụ mua ngoài - Chi phí BP nhân sự: Tuyển dụng, đào tạo, khám SK</t>
  </si>
  <si>
    <t xml:space="preserve">    Chi phí dịch vụ mua ngoài - Dịch vụ khác</t>
  </si>
  <si>
    <t>51101030203</t>
  </si>
  <si>
    <t>Chi phí dịch vụ mua ngoài - Chi phí thuê ngoài của team Tech</t>
  </si>
  <si>
    <t xml:space="preserve">        Tiền lãi phát sinh từ tài sản tài chính FVTPL - Chứng chỉ tiền gửi</t>
  </si>
  <si>
    <t>63314</t>
  </si>
  <si>
    <t>Chi phí dịch vụ mua ngoài - Chi phí tiếp khách của BOM</t>
  </si>
  <si>
    <t xml:space="preserve">    Chi phí sửa lỗi giao dịch, lỗi khác hoạt động môi giới</t>
  </si>
  <si>
    <t>64131</t>
  </si>
  <si>
    <t>Chi phí dịch vụ mua ngoài - Chi phí bảo dưỡng đồ dùng văn phòng</t>
  </si>
  <si>
    <t xml:space="preserve">    Chi phí công cụ dụng cụ dùng cho hoạt động Marketing</t>
  </si>
  <si>
    <t>641701</t>
  </si>
  <si>
    <t>Chi phí dịch vụ mua ngoài - Chi phí xăng xe, sửa chữa và bảo dưỡng</t>
  </si>
  <si>
    <t xml:space="preserve">    Chi phí dịch vụ mua ngoài - Chi phí quảng cáo Google, Facebook, Zalo....</t>
  </si>
  <si>
    <t>8114</t>
  </si>
  <si>
    <t>Chi phí dịch vụ mua ngoài - Phí ngân hàng</t>
  </si>
  <si>
    <t xml:space="preserve">  Chi phí khác</t>
  </si>
  <si>
    <t>641801</t>
  </si>
  <si>
    <t>Chi phí dịch vụ mua ngoài - Dịch vụ khác</t>
  </si>
  <si>
    <t xml:space="preserve">    Chi phí khác - Chi phí nghiên cứu trải nghiệm khách hàng</t>
  </si>
  <si>
    <t>63201010301</t>
  </si>
  <si>
    <t>Lãi khác - HTM</t>
  </si>
  <si>
    <t>Lãi hợp đồng tiền gửi</t>
  </si>
  <si>
    <t xml:space="preserve">        Lỗ bán - FVTPL - Trái phiếu Chính phủ</t>
  </si>
  <si>
    <t>63201010505</t>
  </si>
  <si>
    <t>Doanh thu phí giao dịch chứng khoán môi giới</t>
  </si>
  <si>
    <t>5118.01</t>
  </si>
  <si>
    <t xml:space="preserve">        Lỗ bán - FVTPL - Tiền gửi có kỳ hạn cố định</t>
  </si>
  <si>
    <t>63201020301</t>
  </si>
  <si>
    <t>Doanh thu môi giới chứng khoán khác</t>
  </si>
  <si>
    <t xml:space="preserve">        Chi phí giao dịch mua - FVTPL - Trái phiếu Chính phủ</t>
  </si>
  <si>
    <t>63208</t>
  </si>
  <si>
    <t>5118.02</t>
  </si>
  <si>
    <t xml:space="preserve">  Phí giao dịch bán tài sản tài chính tự doanh</t>
  </si>
  <si>
    <t>Kết chuyển cuối kỳ 51101030203 --&gt; 9111</t>
  </si>
  <si>
    <t>6333311</t>
  </si>
  <si>
    <t>Phí chuyển khoản chứng khoán</t>
  </si>
  <si>
    <t xml:space="preserve">        Chi phí tiền lương hoạt động tư vấn đầu tư chứng khoán</t>
  </si>
  <si>
    <t>6333312</t>
  </si>
  <si>
    <t>Chi phí tiền lương</t>
  </si>
  <si>
    <t xml:space="preserve">        Chi phí các khoản trích theo lương hoạt động tư vấn đầu tư chứng khoán</t>
  </si>
  <si>
    <t>64132</t>
  </si>
  <si>
    <t>Chi phí các khoản trích theo lương</t>
  </si>
  <si>
    <t xml:space="preserve">    Chi phí phân bổ chi phí trả trước</t>
  </si>
  <si>
    <t>641703</t>
  </si>
  <si>
    <t>Tiền lãi gốc cho vay hoạt động Margin</t>
  </si>
  <si>
    <t xml:space="preserve">    Chi phí dịch vụ mua ngoài - Book bài PR</t>
  </si>
  <si>
    <t>641705</t>
  </si>
  <si>
    <t>Tiền lãi gốc cho vay hoạt động ứng trước tiền bán của khách hàng</t>
  </si>
  <si>
    <t xml:space="preserve">    Chi phí dịch vụ mua ngoài - Chi phí cập nhật tin tức truyền thông</t>
  </si>
  <si>
    <t>Kết chuyển cuối kỳ 6428 --&gt; 9111</t>
  </si>
  <si>
    <t>642899</t>
  </si>
  <si>
    <t>641706</t>
  </si>
  <si>
    <t>Trái phiếu doanh nghiệp Nhà nước</t>
  </si>
  <si>
    <t>Lãi bán Trái phiếu</t>
  </si>
  <si>
    <t xml:space="preserve">    Chi phí dịch vụ mua ngoài - Thuê CTV phát triển cộng đồng</t>
  </si>
  <si>
    <t>Kết chuyển cuối kỳ 8114 --&gt; 9111</t>
  </si>
  <si>
    <t>6322105</t>
  </si>
  <si>
    <t>Lãi bán - Tiền gửi có kỳ hạn cố định</t>
  </si>
  <si>
    <t xml:space="preserve">    Chi phí dịch vụ mua ngoài</t>
  </si>
  <si>
    <t>51101010306</t>
  </si>
  <si>
    <t>Chênh lệch tăng về đánh giá lại - Trái phiếu doanh nghiệp</t>
  </si>
  <si>
    <t>5154.02</t>
  </si>
  <si>
    <t xml:space="preserve">        Lãi bán - Trái phiếu doanh nghiệp</t>
  </si>
  <si>
    <t>51101030202</t>
  </si>
  <si>
    <t>Chênh lệch tăng về đánh giá lại - Trái phiếu doanh nghiệp Nhà nước</t>
  </si>
  <si>
    <t xml:space="preserve">        Tiền lãi phát sinh từ tài sản tài chính FVTPL - Trái phiếu chưa niêm yết</t>
  </si>
  <si>
    <t>Kết chuyển cuối kỳ 64131 --&gt; 9111</t>
  </si>
  <si>
    <t>511030101</t>
  </si>
  <si>
    <t xml:space="preserve">      Tiền lãi gốc cho vay hoạt động Margin</t>
  </si>
  <si>
    <t>511030201</t>
  </si>
  <si>
    <t>Chênh lệch tăng về đánh giá lại - Tiền gửi có kỳ hạn cố định</t>
  </si>
  <si>
    <t xml:space="preserve">      Tiền lãi gốc cho vay hoạt động ứng trước tiền bán của khách hàng</t>
  </si>
  <si>
    <t>Kết chuyển cuối kỳ 641701 --&gt; 9111</t>
  </si>
  <si>
    <t>5110501</t>
  </si>
  <si>
    <t>Lỗ bán - FVTPL - Cổ phiếu phổ thông</t>
  </si>
  <si>
    <t xml:space="preserve">    Doanh thu phí giao dịch chứng khoán môi giới</t>
  </si>
  <si>
    <t>5110508</t>
  </si>
  <si>
    <t xml:space="preserve">    Doanh thu môi giới chứng khoán khác</t>
  </si>
  <si>
    <t>5110801</t>
  </si>
  <si>
    <t>5110802</t>
  </si>
  <si>
    <t xml:space="preserve">    Phí chuyển khoản chứng khoán</t>
  </si>
  <si>
    <t>51118</t>
  </si>
  <si>
    <t xml:space="preserve">  Doanh thu khác</t>
  </si>
  <si>
    <t xml:space="preserve">  Doanh thu lãi tiền gửi ngân hàng không cố định</t>
  </si>
  <si>
    <t>7114</t>
  </si>
  <si>
    <t xml:space="preserve">  Thu nhập khác</t>
  </si>
  <si>
    <t>42112</t>
  </si>
  <si>
    <t xml:space="preserve">    Lợi nhuận đã thực hiện năm nay</t>
  </si>
  <si>
    <t>42122</t>
  </si>
  <si>
    <t xml:space="preserve">    Lợi nhuận chưa thực hiện - Đánh giá lại các tài sản tài chính</t>
  </si>
  <si>
    <t>51101010505</t>
  </si>
  <si>
    <t xml:space="preserve">        Lãi bán - Tiền gửi có kỳ hạn cố định</t>
  </si>
  <si>
    <t>5110701</t>
  </si>
  <si>
    <t xml:space="preserve">    Doanh thu nghiệp vụ tư vấn đầu tư chứng khoán</t>
  </si>
  <si>
    <t>5110208</t>
  </si>
  <si>
    <t xml:space="preserve">    Lãi khác - HTM</t>
  </si>
  <si>
    <t>Kết chuyển cuối kỳ 63314 --&gt; 9111</t>
  </si>
  <si>
    <t>51101010301</t>
  </si>
  <si>
    <t xml:space="preserve">        Lãi bán - Trái phiếu Chính phủ</t>
  </si>
  <si>
    <t>51101020306</t>
  </si>
  <si>
    <t xml:space="preserve">        Chênh lệch tăng về đánh giá lại - Trái phiếu doanh nghiệp</t>
  </si>
  <si>
    <t xml:space="preserve">    Chi phí khác bằng tiền cho HĐ quản lý chung</t>
  </si>
  <si>
    <t xml:space="preserve">  Chi phí lãi vay</t>
  </si>
  <si>
    <t>KC202403</t>
  </si>
  <si>
    <t>Kết chuyển cuối kỳ 641801 --&gt; 9111</t>
  </si>
  <si>
    <t>63201030306</t>
  </si>
  <si>
    <t xml:space="preserve">        Chênh lệch giảm về đánh giá lại - FVTPL - Trái phiếu doanh nghiệp</t>
  </si>
  <si>
    <t>6358.02</t>
  </si>
  <si>
    <t>63201030301</t>
  </si>
  <si>
    <t xml:space="preserve">        Chênh lệch giảm về đánh giá lại - FVTPL - Trái phiếu Chính phủ</t>
  </si>
  <si>
    <t>642801</t>
  </si>
  <si>
    <t xml:space="preserve">    Chi phí khác bằng tiền - MKT - Chi phí nghiên cứu trải nghiệm khách hàng</t>
  </si>
  <si>
    <t>642803</t>
  </si>
  <si>
    <t xml:space="preserve">    Chi phí khác bằng tiền - MKT - Chi phí tổ chức hội thảo khách hàng</t>
  </si>
  <si>
    <t>642716</t>
  </si>
  <si>
    <t xml:space="preserve">    Chi phí dịch vụ mua ngoài - MKT - Xây dựng thương hiệu</t>
  </si>
  <si>
    <t>642802</t>
  </si>
  <si>
    <t xml:space="preserve">    Chi phí khác bằng tiền - MKT - Chi phí tổ chức minigame</t>
  </si>
  <si>
    <t>642805</t>
  </si>
  <si>
    <t xml:space="preserve">    Chi phí khác bằng tiền - MKT - Chi phí bằng tiền khác</t>
  </si>
  <si>
    <t>642717</t>
  </si>
  <si>
    <t xml:space="preserve">    Chi phí dịch vụ mua ngoài - MKT - Cập nhật tin tức truyền thông</t>
  </si>
  <si>
    <t>642713</t>
  </si>
  <si>
    <t xml:space="preserve">    Chi phí dịch vụ mua ngoài - MKT - Chi phí quảng cáo Google, Facebook, Zalo, KOL......</t>
  </si>
  <si>
    <t>642715</t>
  </si>
  <si>
    <t xml:space="preserve">    Chi phí dịch vụ mua ngoài - MKT - Book bài PR qua báo chí</t>
  </si>
  <si>
    <t>642714</t>
  </si>
  <si>
    <t xml:space="preserve">    Chi phí dịch vụ mua ngoài - MKT - Chi phí giới thiệu khách hàng</t>
  </si>
  <si>
    <t>642718</t>
  </si>
  <si>
    <t xml:space="preserve">    Chi phí dịch vụ mua ngoài - MKT - Thuê CTV phát triển cộng đồng</t>
  </si>
  <si>
    <t>642804</t>
  </si>
  <si>
    <t xml:space="preserve">    Chi phí khác bằng tiền - MKT - Chi phí quà tặng Khách hàng, đối tác</t>
  </si>
  <si>
    <t>51101010305</t>
  </si>
  <si>
    <t xml:space="preserve">        Lãi bán - Trái phiếu doanh nghiệp Nhà nước</t>
  </si>
  <si>
    <t>51101010406</t>
  </si>
  <si>
    <t xml:space="preserve">        Trái phiếu doanh nghiệp</t>
  </si>
  <si>
    <t>51101020104</t>
  </si>
  <si>
    <t xml:space="preserve">        Chênh lệch tăng về đánh giá lại - Chứng chỉ lưu ký</t>
  </si>
  <si>
    <t>51101020301</t>
  </si>
  <si>
    <t xml:space="preserve">        Chênh lệch tăng về đánh giá lại - Trái phiếu Chính phủ</t>
  </si>
  <si>
    <t>51101020305</t>
  </si>
  <si>
    <t xml:space="preserve">        Chênh lệch tăng về đánh giá lại - Trái phiếu doanh nghiệp Nhà nước</t>
  </si>
  <si>
    <t>51102010101</t>
  </si>
  <si>
    <t xml:space="preserve">        Tiền lãi - HTM - Trái phiếu niêm yết - Trái phiếu Chính phủ</t>
  </si>
  <si>
    <t>63201010406</t>
  </si>
  <si>
    <t xml:space="preserve">        Lỗ bán - FVTPL - Trái phiếu doanh nghiệp</t>
  </si>
  <si>
    <t>633448</t>
  </si>
  <si>
    <t xml:space="preserve">      Chi phí khác</t>
  </si>
  <si>
    <t>63201030305</t>
  </si>
  <si>
    <t xml:space="preserve">        Chênh lệch giảm về đánh giá lại - FVTPL - Trái phiếu doanh nghiệp Nhà nước</t>
  </si>
  <si>
    <t>633178</t>
  </si>
  <si>
    <t>KC202404</t>
  </si>
  <si>
    <t>Kết chuyển cuối kỳ 63201010505 --&gt; 9111</t>
  </si>
  <si>
    <t>Kết chuyển cuối kỳ 63201010301 --&gt; 9111</t>
  </si>
  <si>
    <t>Kết chuyển cuối kỳ 63201020301 --&gt; 9111</t>
  </si>
  <si>
    <t>Kết chuyển cuối kỳ 63208 --&gt; 9111</t>
  </si>
  <si>
    <t>Kết chuyển cuối kỳ 6333312 --&gt; 9111</t>
  </si>
  <si>
    <t>Kết chuyển cuối kỳ 641705 --&gt; 9111</t>
  </si>
  <si>
    <t>Kết chuyển cuối kỳ 641703 --&gt; 9111</t>
  </si>
  <si>
    <t>Kết chuyển cuối kỳ 64132 --&gt; 9111</t>
  </si>
  <si>
    <t>Kết chuyển cuối kỳ 6352 --&gt; 9111</t>
  </si>
  <si>
    <t>Kết chuyển cuối kỳ 6333311 --&gt; 9111</t>
  </si>
  <si>
    <t>KC202405</t>
  </si>
  <si>
    <t>Kết chuyển cuối kỳ 641706 --&gt; 9111</t>
  </si>
  <si>
    <t>KC202406</t>
  </si>
  <si>
    <t>Kết chuyển cuối kỳ 642718 --&gt; 9111</t>
  </si>
  <si>
    <t>Kết chuyển cuối kỳ 642804 --&gt; 9111</t>
  </si>
  <si>
    <t>Kết chuyển cuối kỳ 642715 --&gt; 9111</t>
  </si>
  <si>
    <t>Kết chuyển cuối kỳ 642714 --&gt; 9111</t>
  </si>
  <si>
    <t>Kết chuyển cuối kỳ 642805 --&gt; 9111</t>
  </si>
  <si>
    <t>Kết chuyển cuối kỳ 642717 --&gt; 9111</t>
  </si>
  <si>
    <t>Kết chuyển cuối kỳ 642713 --&gt; 9111</t>
  </si>
  <si>
    <t>Kết chuyển cuối kỳ 642802 --&gt; 9111</t>
  </si>
  <si>
    <t>Kết chuyển cuối kỳ 642899 --&gt; 9111</t>
  </si>
  <si>
    <t>Kết chuyển cuối kỳ 642801 --&gt; 9111</t>
  </si>
  <si>
    <t>Kết chuyển cuối kỳ 642803 --&gt; 9111</t>
  </si>
  <si>
    <t>Kết chuyển cuối kỳ 642716 --&gt; 9111</t>
  </si>
  <si>
    <t>Kết chuyển cuối kỳ 6322105 --&gt; 9111</t>
  </si>
  <si>
    <t>KC202407</t>
  </si>
  <si>
    <t>KC202408</t>
  </si>
  <si>
    <t>Kết chuyển cuối kỳ 63201010406 --&gt; 9111</t>
  </si>
  <si>
    <t>KC202409</t>
  </si>
  <si>
    <t>KC202410</t>
  </si>
  <si>
    <t>KC202411</t>
  </si>
  <si>
    <t>Kết chuyển cuối kỳ 633448 --&gt; 9111</t>
  </si>
  <si>
    <t>KC202412</t>
  </si>
  <si>
    <t>Kết chuyển cuối kỳ 633178 --&gt; 9111</t>
  </si>
  <si>
    <t>Kết chuyển cuối kỳ 51101030202 --&gt; 9111</t>
  </si>
  <si>
    <t>Kết chuyển cuối kỳ 51101020306 --&gt; 91122</t>
  </si>
  <si>
    <t>Kết chuyển cuối kỳ 63201030306 --&gt; 91122</t>
  </si>
  <si>
    <t>Kết chuyển cuối kỳ 63201030301 --&gt; 91122</t>
  </si>
  <si>
    <t>Kết chuyển cuối kỳ 91122 --&gt; 42122</t>
  </si>
  <si>
    <t>Kết chuyển cuối kỳ 63201030305 --&gt; 91122</t>
  </si>
  <si>
    <t>Kết chuyển cuối kỳ 511030101 --&gt; 9111</t>
  </si>
  <si>
    <t>Kết chuyển cuối kỳ 7114 --&gt; 9111</t>
  </si>
  <si>
    <t>Kết chuyển cuối kỳ 9111 --&gt; 42112</t>
  </si>
  <si>
    <t>Kết chuyển cuối kỳ 51101010306 --&gt; 9111</t>
  </si>
  <si>
    <t>Kết chuyển cuối kỳ 5152 --&gt; 9111</t>
  </si>
  <si>
    <t>Kết chuyển cuối kỳ 511030201 --&gt; 9111</t>
  </si>
  <si>
    <t>Kết chuyển cuối kỳ 5110501 --&gt; 9111</t>
  </si>
  <si>
    <t>Kết chuyển cuối kỳ 5110508 --&gt; 9111</t>
  </si>
  <si>
    <t>Kết chuyển cuối kỳ 5110801 --&gt; 9111</t>
  </si>
  <si>
    <t>Kết chuyển cuối kỳ 5110802 --&gt; 9111</t>
  </si>
  <si>
    <t>Kết chuyển cuối kỳ 51118 --&gt; 9111</t>
  </si>
  <si>
    <t>Kết chuyển cuối kỳ 5110701 --&gt; 9111</t>
  </si>
  <si>
    <t>Kết chuyển cuối kỳ 51101010505 --&gt; 9111</t>
  </si>
  <si>
    <t>Kết chuyển cuối kỳ 5110208 --&gt; 9111</t>
  </si>
  <si>
    <t>Kết chuyển cuối kỳ 51101010301 --&gt; 9111</t>
  </si>
  <si>
    <t>Kết chuyển cuối kỳ 51101010305 --&gt; 9111</t>
  </si>
  <si>
    <t>91122</t>
  </si>
  <si>
    <t>Kết chuyển cuối kỳ 51102010101 --&gt; 9111</t>
  </si>
  <si>
    <t>Kết chuyển cuối kỳ 51101010406 --&gt; 9111</t>
  </si>
  <si>
    <t>Kết chuyển cuối kỳ 51101020104 --&gt; 91122</t>
  </si>
  <si>
    <t>Kết chuyển cuối kỳ 51101020301 --&gt; 91122</t>
  </si>
  <si>
    <t>Kết chuyển cuối kỳ 51101020305 --&gt; 91122</t>
  </si>
  <si>
    <t>Trial Balance for the year ended 30 Jun 2024</t>
  </si>
  <si>
    <t>Gross</t>
  </si>
  <si>
    <t>CPFH</t>
  </si>
  <si>
    <t>Tên nhân sự</t>
  </si>
  <si>
    <t>Mã nhân sự</t>
  </si>
  <si>
    <t>Total</t>
  </si>
  <si>
    <t>Trần Gia Bình</t>
  </si>
  <si>
    <t>FH242</t>
  </si>
  <si>
    <t>FH229</t>
  </si>
  <si>
    <t>FH215</t>
  </si>
  <si>
    <t>FH077</t>
  </si>
  <si>
    <t>FH019</t>
  </si>
  <si>
    <t>FH001</t>
  </si>
  <si>
    <t>Họ tên</t>
  </si>
  <si>
    <t>Vị trí</t>
  </si>
  <si>
    <t>T1</t>
  </si>
  <si>
    <t>T2</t>
  </si>
  <si>
    <t>T3</t>
  </si>
  <si>
    <t>T4</t>
  </si>
  <si>
    <t>T5</t>
  </si>
  <si>
    <t>T6</t>
  </si>
  <si>
    <t>T7</t>
  </si>
  <si>
    <t>T8</t>
  </si>
  <si>
    <t>T9</t>
  </si>
  <si>
    <t>T10</t>
  </si>
  <si>
    <t>T11</t>
  </si>
  <si>
    <t>T12</t>
  </si>
  <si>
    <t>Tổng</t>
  </si>
  <si>
    <t>Chủ tịch HDQT</t>
  </si>
  <si>
    <t>Thành viên HDQT kiêm Giám đốc vận hành</t>
  </si>
  <si>
    <t>Vũ Thị Thanh Vân</t>
  </si>
  <si>
    <t>Giám đốc Marketing</t>
  </si>
  <si>
    <t>Giám đốc Công nghệ</t>
  </si>
  <si>
    <t>Giám đốc sản phẩm</t>
  </si>
  <si>
    <t>Phó TGD phát triển kinh doanh</t>
  </si>
  <si>
    <t>Nguyễn Phương Thảo</t>
  </si>
  <si>
    <t>Quyền TGĐ</t>
  </si>
  <si>
    <t>Consol</t>
  </si>
  <si>
    <t>Finhay JSC (Cty mẹ)</t>
  </si>
  <si>
    <t>Finhay LTD (Cty mẹ)</t>
  </si>
  <si>
    <t>As at 30 Jun 2024</t>
  </si>
  <si>
    <t>Adjustment consol list of FY2024</t>
  </si>
  <si>
    <t>Unaudited</t>
  </si>
  <si>
    <t>Audited</t>
  </si>
  <si>
    <t>Unreviewed</t>
  </si>
  <si>
    <t>Percentage</t>
  </si>
  <si>
    <t>BS Impact</t>
  </si>
  <si>
    <t>PL impact</t>
  </si>
  <si>
    <t>Công ty</t>
  </si>
  <si>
    <t>STT</t>
  </si>
  <si>
    <t>Desc</t>
  </si>
  <si>
    <t>Dr/Cr</t>
  </si>
  <si>
    <t>Account</t>
  </si>
  <si>
    <t>Dr</t>
  </si>
  <si>
    <t>Cr</t>
  </si>
  <si>
    <t>Tổng điều chỉnh
VND</t>
  </si>
  <si>
    <t>Team</t>
  </si>
  <si>
    <t>Proposed/Posted</t>
  </si>
  <si>
    <t>Year</t>
  </si>
  <si>
    <t>Wps ref.</t>
  </si>
  <si>
    <t>Feedback Finhay</t>
  </si>
  <si>
    <t>A. Các bút toán của Finhay LTD Consol (Cty con - sở hữu trực tiếp VNSC &amp; XH)</t>
  </si>
  <si>
    <t>A1. Cấn trừ với VNSC</t>
  </si>
  <si>
    <t>Consol Finhay Ltd</t>
  </si>
  <si>
    <t>Net-off đầu tư vào VNSC - Rebook bút toán từ ngày mua</t>
  </si>
  <si>
    <t>GW</t>
  </si>
  <si>
    <t>EY</t>
  </si>
  <si>
    <t>Posted</t>
  </si>
  <si>
    <t>ok</t>
  </si>
  <si>
    <t>4151</t>
  </si>
  <si>
    <t>Ghi nhận lợi ích của cổ đông không kiểm soát - Rebook bút toán từ ngày mua</t>
  </si>
  <si>
    <t>NCI-BS</t>
  </si>
  <si>
    <t>Rebook Phân chia lợi nhuận cho NCI (2021)</t>
  </si>
  <si>
    <t>Rebook Phân chia lợi nhuận cho NCI (2022)</t>
  </si>
  <si>
    <t>Thiếu bút toán cho 2023</t>
  </si>
  <si>
    <t>Là bút toán #11 Rebook Chia lợi nhuận của VNSC cho NCI</t>
  </si>
  <si>
    <t>Rebook Phân bổ lợi thế thương mại (2021 -&gt; 2023)</t>
  </si>
  <si>
    <t>6424-GW</t>
  </si>
  <si>
    <t>Thiếu của 24</t>
  </si>
  <si>
    <t>Là bút toán #18 Phân bổ lợi thế thương mại (cả năm 2024)</t>
  </si>
  <si>
    <t>Rebook Net-off đầu tư tăng vốn tại VNSC</t>
  </si>
  <si>
    <t>Rebook Phân bổ lại lợi nhuận chưa phân phối do thay đổi tỷ lệ kiểm soát (Mua lại của chị Vân 7 triệu cổ phần mệnh giá VNSC)</t>
  </si>
  <si>
    <t>Rebook Net-off đầu tư vào VNSC (sau khi mua lại của chị Vân 7 triệu cổ phần)</t>
  </si>
  <si>
    <t>Rebook Phân bổ lại lợi nhuận chưa phân phối do thay đổi tỷ lệ kiểm soát (Mua lại của chị Vân 230.000 cổ phần VNSC)</t>
  </si>
  <si>
    <t>Rebook Chia lợi nhuận của VNSC cho NCI</t>
  </si>
  <si>
    <t>NCI-PL</t>
  </si>
  <si>
    <t>Rebook Revert đánh giá lại (do là FVTPL nên phải book theo CSKT của CTM)</t>
  </si>
  <si>
    <t>1212.02</t>
  </si>
  <si>
    <t>Rebook Revert lãi dự thu trái phiếu, chứng chỉ tiền gửi cuối kỳ của VNSC (do là FVTPL nên phải book theo CSKT của CTM)</t>
  </si>
  <si>
    <t>1321</t>
  </si>
  <si>
    <t>13A</t>
  </si>
  <si>
    <t>Revert lãi dự thu trái phiếu, chứng chỉ tiền gửi cuối kỳ của VNSC (do là FVTPL nên phải book theo CSKT của CTM)</t>
  </si>
  <si>
    <t>FY24</t>
  </si>
  <si>
    <t>Net-off dự phòng của Finhay Ltd vào các công ty con</t>
  </si>
  <si>
    <t>check lại- đi theo lãi của CTC</t>
  </si>
  <si>
    <t>Ref to previous year's 2292 balance</t>
  </si>
  <si>
    <t>Chia lỗ của VNSC cho NCI</t>
  </si>
  <si>
    <t>Revert đánh giá lại (do là FVTPL nên phải book theo chính sách kế toán theo Thông tư 200 của Finhay Cty mẹ - không cho phép đánh giá lại tài sản - trái phiếu)</t>
  </si>
  <si>
    <t>1211.02</t>
  </si>
  <si>
    <t>Phân bổ lợi thế thương mại (Cả năm 2024)</t>
  </si>
  <si>
    <t>Phân bổ lại lợi nhuận chưa phân phối do thay đổi tỷ lệ kiểm soát (Mua lại nốt cổ phần của chị Vân)</t>
  </si>
  <si>
    <t>Điều chỉnh GW và đầu tư của Parent</t>
  </si>
  <si>
    <t>Reclassify chứng chỉ quỹ FUEKIVFS đang đặt trên 1211</t>
  </si>
  <si>
    <t>A2. Cấn trừ với XH</t>
  </si>
  <si>
    <t>Rebook Net-off đầu tư vào XH</t>
  </si>
  <si>
    <t>Rebook</t>
  </si>
  <si>
    <t>Rebook Ghi nhận lại lợi ích đã chia của XH</t>
  </si>
  <si>
    <t>Ghi tăng vốn chủ sở hữu ngày 12/1/2024 do phát hành thêm cổ phiếu cho NCI</t>
  </si>
  <si>
    <t>Điều chỉnh giảm giá trị NCI tương ứng với Net Asset sau khi phát hành thêm cổ phiếu ngày 12/1/2024</t>
  </si>
  <si>
    <t>check lại sau khi chỉnh sheet group</t>
  </si>
  <si>
    <t>Điều chỉnh giảm giá trị NCI tương ứng với Net Asset sau khi Parent mua lại cổ phiếu vào tháng 6/2024</t>
  </si>
  <si>
    <t>Phân loại lại 2 tỷ 754 tiền gửi &lt;3 tháng của Xuân Huy về tương đương tiền</t>
  </si>
  <si>
    <t>Revert bút toán ghi nhận chi phí từ giao dịch mua lại cổ phiếu của XH</t>
  </si>
  <si>
    <t>6358.01</t>
  </si>
  <si>
    <t>B. Các bút toán của Finhay CTM</t>
  </si>
  <si>
    <t xml:space="preserve"> </t>
  </si>
  <si>
    <t>B1. Cấn trừ với Finhay CTC</t>
  </si>
  <si>
    <t>Phải thu - phải trả</t>
  </si>
  <si>
    <t>1388.Gold</t>
  </si>
  <si>
    <t>Chi phí lãi vay</t>
  </si>
  <si>
    <t>Cấn trừ khoản Công ty con cho công ty mẹ vay</t>
  </si>
  <si>
    <t>Doanh thu kinh doanh hộ vàng</t>
  </si>
  <si>
    <t>Cấn trừ vốn điều lệ của Finhay Công ty con</t>
  </si>
  <si>
    <t>Net-off dự phòng với Finhay Ltd</t>
  </si>
  <si>
    <t>Net-off dự phòng với XH</t>
  </si>
  <si>
    <t>HY24</t>
  </si>
  <si>
    <t>B2. Cấn trừ với VNSC</t>
  </si>
  <si>
    <t>Doanh thu cho thuê phần mềm VNSC</t>
  </si>
  <si>
    <t>Doanh thu chưa thực hiện cho thuê phần mềm VNSC</t>
  </si>
  <si>
    <t>3387.02</t>
  </si>
  <si>
    <t>2423</t>
  </si>
  <si>
    <t>Cấn trừ Phải thu - phải trả phí môi giới chứng khoán</t>
  </si>
  <si>
    <t>số should be</t>
  </si>
  <si>
    <t>đã sửa</t>
  </si>
  <si>
    <t>1388.NghiepvuCK</t>
  </si>
  <si>
    <t>Cấn trừ doanh thu Phí giao dịch</t>
  </si>
  <si>
    <t>Doanh thu môi giới chứng khoán</t>
  </si>
  <si>
    <t>Cấn trừ Phải thu - phải trả phí lưu ký chứng khoán</t>
  </si>
  <si>
    <t>Cấn trừ doanh thu Phí lưu ký chứng khoán</t>
  </si>
  <si>
    <t>Chuyển nhượng 30 chứng chỉ tiền gửi mã EVNFC_RL_KHCL_07.24_011 cho TVAM (Finhay ủy thác) theo HĐ số 08112024/HĐMB/VNSC-TVAM</t>
  </si>
  <si>
    <t>Cấn trừ giao dịch bán 07_SHBF_202301_071223 từ VNSC bán sang Finhay</t>
  </si>
  <si>
    <t>Ref to client</t>
  </si>
  <si>
    <t>Cấn trừ giao dịch bán MSN123008 từ VNSC bán sang Finhay</t>
  </si>
  <si>
    <t>Cấn trừ giao dịch bán LPB123015 từ VNSC bán sang Finhay</t>
  </si>
  <si>
    <t>Cấn trừ giao dịch bán VBA123036 từ VNSC bán sang Finhay</t>
  </si>
  <si>
    <t>Cấn trừ giao dịch bán 07_EVNFC_RL_KHCL_07.24_1 từ VNSC bán sang Finhay</t>
  </si>
  <si>
    <t>B3. Cấn trừ với KCG và phân chia lợi nhuận cổ đông không kiểm soát</t>
  </si>
  <si>
    <t>Rebook Cấn trừ vốn điều lệ của KCG</t>
  </si>
  <si>
    <t>Rebook Ghi nhận lại lợi ích đã chia của KCG (2022)</t>
  </si>
  <si>
    <t>Rebook Ghi nhận lại lợi ích đã chia của KCG (2023)</t>
  </si>
  <si>
    <t>Phân bổ lỗ KCG cho NCI</t>
  </si>
  <si>
    <t>B4. Cấn trừ XH tại Finhay</t>
  </si>
  <si>
    <t>Cấn trừ vốn điều lệ của XH (hạch toán vào đây vì đã nằm trong bút toán cấn trừ tại công ty con)</t>
  </si>
  <si>
    <t>Chuyển lại lợi ích của cổ đông không kiểm soát của Finhay JSC tại conso Finhay Ltd</t>
  </si>
  <si>
    <t>Net off dự phòng của XH</t>
  </si>
  <si>
    <t>C. Các điều chỉnh khác lên Consol</t>
  </si>
  <si>
    <t>Điều chỉnh Cân sổ</t>
  </si>
  <si>
    <t>Điều chỉnh giá vốn của các dịch vụ cung cấp cho VNSC và Finhay Ltd sang 642 coi như chi phí nội bộ</t>
  </si>
  <si>
    <t>6427.TDNB</t>
  </si>
  <si>
    <t>632.TDNB</t>
  </si>
  <si>
    <t>BY EY</t>
  </si>
  <si>
    <t>SỐ HIỆU TÀI KHOẢN</t>
  </si>
  <si>
    <t>TÊN TÀI KHOẢN KẾ TOÁN</t>
  </si>
  <si>
    <t>SỐ DƯ ĐẦU KỲ</t>
  </si>
  <si>
    <t>SỐ PHÁT SINH TRONG KỲ</t>
  </si>
  <si>
    <t>SỐ DƯ CUỐI KỲ</t>
  </si>
  <si>
    <t>To balance</t>
  </si>
  <si>
    <t>Mapping 2024</t>
  </si>
  <si>
    <t>A</t>
  </si>
  <si>
    <t>B</t>
  </si>
  <si>
    <t>Tiền gửi ngân hàng</t>
  </si>
  <si>
    <t xml:space="preserve">  Tiền Việt Nam</t>
  </si>
  <si>
    <t>112101</t>
  </si>
  <si>
    <t xml:space="preserve">    Tiền gửi ngân hàng BIDV</t>
  </si>
  <si>
    <t>11210101</t>
  </si>
  <si>
    <t xml:space="preserve">      BIDV Hà Thành - 1222443335</t>
  </si>
  <si>
    <t>11210103</t>
  </si>
  <si>
    <t xml:space="preserve">      BIDV Hà Thành - 1220003790</t>
  </si>
  <si>
    <t>11210104</t>
  </si>
  <si>
    <t xml:space="preserve">      BIDV Hà Thành - 1222443317</t>
  </si>
  <si>
    <t>11210105</t>
  </si>
  <si>
    <t xml:space="preserve">      BIDV Hà Thành - 8660018000 - sửa lỗi GD</t>
  </si>
  <si>
    <t>11210106</t>
  </si>
  <si>
    <t xml:space="preserve">      BIDV Hà Thành - 8670025645 - TKTT - Đặt mua TP BIDV</t>
  </si>
  <si>
    <t>11210107</t>
  </si>
  <si>
    <t xml:space="preserve">      BIDV Hà Thành - 8600026608 - TKTT - Nhận và TT khoản vay thấu chi</t>
  </si>
  <si>
    <t>112102</t>
  </si>
  <si>
    <t xml:space="preserve">    Tiền gửi ngân hàng Techcombank</t>
  </si>
  <si>
    <t>11210201</t>
  </si>
  <si>
    <t xml:space="preserve">      Techcombank - 19020356508868</t>
  </si>
  <si>
    <t>11210202</t>
  </si>
  <si>
    <t xml:space="preserve">      Techcombank - 19020356508681</t>
  </si>
  <si>
    <t>112103</t>
  </si>
  <si>
    <t xml:space="preserve">    Tiền gửi ngân hàng ACB</t>
  </si>
  <si>
    <t>11210301</t>
  </si>
  <si>
    <t xml:space="preserve">      ACB - CN HCM - 688 699 6988</t>
  </si>
  <si>
    <t>112105</t>
  </si>
  <si>
    <t xml:space="preserve">    Tiền gửi ngân hàng MB</t>
  </si>
  <si>
    <t>11210501</t>
  </si>
  <si>
    <t xml:space="preserve">      Mbank 259 Trần Hưng Đạo Q1 - 0861100969004</t>
  </si>
  <si>
    <t>112106</t>
  </si>
  <si>
    <t xml:space="preserve">    Tiền gửi ngân hàng VP Bank</t>
  </si>
  <si>
    <t>11210601</t>
  </si>
  <si>
    <t xml:space="preserve">      VPBank - 264861958</t>
  </si>
  <si>
    <t>112107</t>
  </si>
  <si>
    <t xml:space="preserve">    Tiền gửi ngân hàng Vietcombank</t>
  </si>
  <si>
    <t>11210701</t>
  </si>
  <si>
    <t xml:space="preserve">      Vietcombank - CN HCM - 0071000988810</t>
  </si>
  <si>
    <t>11210702</t>
  </si>
  <si>
    <t xml:space="preserve">      Vietcombank - CN Tây Hồ - 3488686868 - TK nhận giải ngân khoản vay</t>
  </si>
  <si>
    <t>11210703</t>
  </si>
  <si>
    <t xml:space="preserve">      Vietcombank - Hội sở chính - 1040897108 - TK nạp/rút tiền tự doanh Trái phiếu riêng lẻ</t>
  </si>
  <si>
    <t>112108</t>
  </si>
  <si>
    <t xml:space="preserve">    Tiền gửi ngân hàng SHB</t>
  </si>
  <si>
    <t>11210801</t>
  </si>
  <si>
    <t xml:space="preserve">      SHB - SG HN- 1020932500</t>
  </si>
  <si>
    <t>112109</t>
  </si>
  <si>
    <t xml:space="preserve">    Tiền gửi ngân hàng Nam Á</t>
  </si>
  <si>
    <t>11210901</t>
  </si>
  <si>
    <t xml:space="preserve">      Nam Á Bank - CN Hà Nội - PGD Cầu Giấy - 883355</t>
  </si>
  <si>
    <t>112110</t>
  </si>
  <si>
    <t xml:space="preserve">    Tiền gửi ngân hàng Vietinbank</t>
  </si>
  <si>
    <t>11211001</t>
  </si>
  <si>
    <t xml:space="preserve">      Vietinbank - CN 11 - 128000110752</t>
  </si>
  <si>
    <t>11211002</t>
  </si>
  <si>
    <t xml:space="preserve">      Vietinbank - CN Ba Đình - 110807266666</t>
  </si>
  <si>
    <t>112111</t>
  </si>
  <si>
    <t xml:space="preserve">    Tiền gửi ngân hàng Eximbank</t>
  </si>
  <si>
    <t>11211101</t>
  </si>
  <si>
    <t xml:space="preserve">      Tiền gửi ngân hàng Eximbank - 100862686</t>
  </si>
  <si>
    <t>114</t>
  </si>
  <si>
    <t>Tiền gửi của Nhà đầu tư về giao dịch chứng khoán theo phương thức CTCK quản lý</t>
  </si>
  <si>
    <t>OBS</t>
  </si>
  <si>
    <t>1141</t>
  </si>
  <si>
    <t xml:space="preserve">  Tiền gửi của Nhà đầu tư trong nước về giao dịch chứng khoán theo phương thức CTCK quản lý</t>
  </si>
  <si>
    <t>11411</t>
  </si>
  <si>
    <t xml:space="preserve">    Tiền gửi của Nhà đầu tư trong nước về giao dịch chứng khoán theo phương thức CTCK quản lý - VND</t>
  </si>
  <si>
    <t>1141101</t>
  </si>
  <si>
    <t xml:space="preserve">      Tiền gửi VND ngân hàng BIDV</t>
  </si>
  <si>
    <t>114110101</t>
  </si>
  <si>
    <t xml:space="preserve">        BIDV Nam Kỳ Khởi Nghĩa - 1190164353</t>
  </si>
  <si>
    <t>114110102</t>
  </si>
  <si>
    <t xml:space="preserve">        BIDV Hà Thành - 1222443326 - Thanh toán GDCK - DV BIDV @</t>
  </si>
  <si>
    <t>1141102</t>
  </si>
  <si>
    <t xml:space="preserve">      Tiền gửi VND ngân hàng Đông Á</t>
  </si>
  <si>
    <t>114110201</t>
  </si>
  <si>
    <t xml:space="preserve">        Dong A Bank - CN Quận 1 - 007986440001</t>
  </si>
  <si>
    <t>1141103</t>
  </si>
  <si>
    <t xml:space="preserve">      Tiền gửi VND ngân hàng VP Bank</t>
  </si>
  <si>
    <t>114110301</t>
  </si>
  <si>
    <t xml:space="preserve">        VPBank - 268307729 - Thu hộ</t>
  </si>
  <si>
    <t>114110302</t>
  </si>
  <si>
    <t xml:space="preserve">        VPBank - 292205279 - Chi hộ</t>
  </si>
  <si>
    <t>1141104</t>
  </si>
  <si>
    <t xml:space="preserve">      Tiền gửi VND ngân hàng Nam Á</t>
  </si>
  <si>
    <t>114110401</t>
  </si>
  <si>
    <t xml:space="preserve">        Nam Á Bank - 886889996</t>
  </si>
  <si>
    <t>1141105</t>
  </si>
  <si>
    <t xml:space="preserve">      Tiền gửi VND ngân hàng Vietcombank</t>
  </si>
  <si>
    <t>114110501</t>
  </si>
  <si>
    <t xml:space="preserve">        Vietcombank - CN Tây Hồ - 2554686688 - TK nạp/rút tiền CK cơ sở</t>
  </si>
  <si>
    <t>114110502</t>
  </si>
  <si>
    <t xml:space="preserve">        Vietcombank - Hội Sở Chính - 1040897334 - TK nạp/rút tiền trái phiếu riêng lẻ</t>
  </si>
  <si>
    <t>1141106</t>
  </si>
  <si>
    <t xml:space="preserve">      Tiền gửi VND ngân hàng Việt Á</t>
  </si>
  <si>
    <t>114110601</t>
  </si>
  <si>
    <t xml:space="preserve">        Tiền gửi VND ngân hàng Việt Á - 36666868</t>
  </si>
  <si>
    <t>1141107</t>
  </si>
  <si>
    <t xml:space="preserve">      Tiền gửi VND ngân hàng Techcombank</t>
  </si>
  <si>
    <t>114110701</t>
  </si>
  <si>
    <t xml:space="preserve">        Tiền gửi VND ngân hàng Techcombank - 19120356508668 - Thu hộ</t>
  </si>
  <si>
    <t>114110702</t>
  </si>
  <si>
    <t xml:space="preserve">        Tiền gửi VND ngân hàng Techcombank - 19120356508986 - Chi hộ</t>
  </si>
  <si>
    <t>1141108</t>
  </si>
  <si>
    <t xml:space="preserve">      Tiền gửi VND ngân hàng Eximbank</t>
  </si>
  <si>
    <t>114110801</t>
  </si>
  <si>
    <t xml:space="preserve">        Tiền gửi VND ngân hàng Eximbank - 100862688</t>
  </si>
  <si>
    <t>117</t>
  </si>
  <si>
    <t>Tiền gửi của tổ chức phát hành</t>
  </si>
  <si>
    <t>1172</t>
  </si>
  <si>
    <t xml:space="preserve">  Tiền gửi thanh toán gốc, tiền lãi và cổ tức của Tổ chức phát hành</t>
  </si>
  <si>
    <t>11721</t>
  </si>
  <si>
    <t xml:space="preserve">    Tiền gửi thanh toán gốc, tiền lãi và cổ tức của Tổ chức phát hành - Tiền Việt Nam - 1222392701</t>
  </si>
  <si>
    <t>118</t>
  </si>
  <si>
    <t>Tiền gửi bù trừ và thanh toán giao dịch chứng khoán</t>
  </si>
  <si>
    <t>1181</t>
  </si>
  <si>
    <t xml:space="preserve">  Tiền gửi bù trừ và thanh toán giao dịch chứng khoán của CTCK</t>
  </si>
  <si>
    <t>11811</t>
  </si>
  <si>
    <t xml:space="preserve">    BIDV Hà Thành - 1222392677 - TTBT chứng khoán cơ sở</t>
  </si>
  <si>
    <t>11813</t>
  </si>
  <si>
    <t xml:space="preserve">    BIDV Hà Thành - 8600021791 - TTBT trái phiếu chính phủ</t>
  </si>
  <si>
    <t>1182</t>
  </si>
  <si>
    <t xml:space="preserve">  Tiền gửi bù trừ và thanh toán giao dịch chứng khoán của Nhà đầu tư trong nước</t>
  </si>
  <si>
    <t>11821</t>
  </si>
  <si>
    <t xml:space="preserve">    BIDV Hà Thành - 1222392686</t>
  </si>
  <si>
    <t>1183</t>
  </si>
  <si>
    <t xml:space="preserve">  Tiền gửi bù trừ và thanh toán giao dịch chứng khoán của Nhà đầu tư nước ngoài</t>
  </si>
  <si>
    <t>11831</t>
  </si>
  <si>
    <t xml:space="preserve">    BIDV Hà Thành - 1222392695</t>
  </si>
  <si>
    <t>Tài sản tài chính ghi nhận thông qua lãi/lỗ</t>
  </si>
  <si>
    <t xml:space="preserve">  Giá mua</t>
  </si>
  <si>
    <t>121101</t>
  </si>
  <si>
    <t xml:space="preserve">    Giá mua - Cổ phiếu niêm yết</t>
  </si>
  <si>
    <t>12110101</t>
  </si>
  <si>
    <t xml:space="preserve">      Giá mua - Cổ phiếu niêm yết - Cổ phiếu phổ thông</t>
  </si>
  <si>
    <t>12110104</t>
  </si>
  <si>
    <t xml:space="preserve">      Giá mua - Cổ phiếu niêm yết - Chứng chỉ lưu ký</t>
  </si>
  <si>
    <t>121103</t>
  </si>
  <si>
    <t xml:space="preserve">    Giá mua - Trái phiếu niêm yết</t>
  </si>
  <si>
    <t>12110301</t>
  </si>
  <si>
    <t xml:space="preserve">      Giá mua - Trái phiếu niêm yết - Trái phiếu Chính phủ</t>
  </si>
  <si>
    <t>12110305</t>
  </si>
  <si>
    <t xml:space="preserve">      Giá mua - Trái phiếu niêm yết - Trái phiếu doanh nghiệp Nhà nước</t>
  </si>
  <si>
    <t>12110306</t>
  </si>
  <si>
    <t xml:space="preserve">      Giá mua - Trái phiếu niêm yết - Trái phiếu doanh nghiệp</t>
  </si>
  <si>
    <t>121104</t>
  </si>
  <si>
    <t xml:space="preserve">    Giá mua - Trái phiếu chưa niêm yết</t>
  </si>
  <si>
    <t>12110405</t>
  </si>
  <si>
    <t xml:space="preserve">      Giá mua - Trái phiếu chưa niêm yết - Trái phiếu doanh nghiệp Nhà nước</t>
  </si>
  <si>
    <t>12110406</t>
  </si>
  <si>
    <t xml:space="preserve">      Giá mua - Trái phiếu chưa niêm yết - Trái phiếu doanh nghiệp</t>
  </si>
  <si>
    <t>121105</t>
  </si>
  <si>
    <t xml:space="preserve">    Công cụ thị trường tiền tệ</t>
  </si>
  <si>
    <t>CCTG</t>
  </si>
  <si>
    <t>12110504</t>
  </si>
  <si>
    <t xml:space="preserve">      Giá mua - Công cụ thị trường tiền tệ - Giấy tờ có giá</t>
  </si>
  <si>
    <t>12110505</t>
  </si>
  <si>
    <t xml:space="preserve">      Giá mua - Công cụ thị trường tiền tệ - Tiền gửi có kỳ hạn cố định</t>
  </si>
  <si>
    <t xml:space="preserve">  Chênh lệch đánh giá lại các tài sản tài chính ghi nhận thông qua lãi/lỗ</t>
  </si>
  <si>
    <t>121201</t>
  </si>
  <si>
    <t xml:space="preserve">    Chênh lệch đánh giá lại - Cổ phiếu niêm yết</t>
  </si>
  <si>
    <t>ĐGL Cổ phiếu</t>
  </si>
  <si>
    <t>12120104</t>
  </si>
  <si>
    <t xml:space="preserve">      Chênh lệch đánh giá lại - Chứng chỉ lưu ký</t>
  </si>
  <si>
    <t>121203</t>
  </si>
  <si>
    <t xml:space="preserve">    Chênh lệch đánh giá lại - Trái phiếu niêm yết</t>
  </si>
  <si>
    <t>ĐGL Trái phiếu</t>
  </si>
  <si>
    <t>12120301</t>
  </si>
  <si>
    <t xml:space="preserve">      Chênh lệch đánh giá lại - Trái phiếu Chính phủ</t>
  </si>
  <si>
    <t>12120305</t>
  </si>
  <si>
    <t xml:space="preserve">      Chênh lệch đánh giá lại - Trái phiếu doanh nghiệp Nhà nước</t>
  </si>
  <si>
    <t>12120306</t>
  </si>
  <si>
    <t xml:space="preserve">      Chênh lệch đánh giá lại - Trái phiếu doanh nghiệp</t>
  </si>
  <si>
    <t>122</t>
  </si>
  <si>
    <t>Các khoản đầu tư nắm giữ đến ngày đáo hạn</t>
  </si>
  <si>
    <t>1221</t>
  </si>
  <si>
    <t xml:space="preserve">  Giá mua các khoản đầu tư nắm giữ đến ngày đáo hạn</t>
  </si>
  <si>
    <t>122105</t>
  </si>
  <si>
    <t xml:space="preserve">    Giá mua - Công cụ thị trường tiền tệ</t>
  </si>
  <si>
    <t>Tiền gửi &lt;= 3 tháng</t>
  </si>
  <si>
    <t>12210505</t>
  </si>
  <si>
    <t xml:space="preserve">      Giá mua - Công cụ thị trường tiền tệ - Tiền gưi có kỳ hạn cố định</t>
  </si>
  <si>
    <t>122105051</t>
  </si>
  <si>
    <t xml:space="preserve">        Giá mua - Công cụ thị trường tiền tệ - Tiền gưi có kỳ hạn cố định: &amp;lt;= 3 tháng</t>
  </si>
  <si>
    <t>123</t>
  </si>
  <si>
    <t>Các khoản cho vay</t>
  </si>
  <si>
    <t>1231</t>
  </si>
  <si>
    <t xml:space="preserve">  Cho vay hoạt động Margin</t>
  </si>
  <si>
    <t>12311</t>
  </si>
  <si>
    <t xml:space="preserve">    Gốc cho vay hoạt động Margin</t>
  </si>
  <si>
    <t>123111</t>
  </si>
  <si>
    <t xml:space="preserve">      Gốc cho vay hoạt động Margin - NĐT trong nước</t>
  </si>
  <si>
    <t>1232</t>
  </si>
  <si>
    <t xml:space="preserve">  Cho vay hoạt động ứng trước tiền bán của khách hàng</t>
  </si>
  <si>
    <t>12321</t>
  </si>
  <si>
    <t xml:space="preserve">    Gốc cho vay hoạt động ứng trước tiền bán của khách hàng</t>
  </si>
  <si>
    <t>123211</t>
  </si>
  <si>
    <t xml:space="preserve">      Gốc cho vay hoạt động ứng trước tiền bán của khách hàng - NĐT trong nước</t>
  </si>
  <si>
    <t>1311</t>
  </si>
  <si>
    <t xml:space="preserve">  Phải thu bán các tài sản tài chính</t>
  </si>
  <si>
    <t>13112</t>
  </si>
  <si>
    <t xml:space="preserve">    Phải thu bán trái phiếu</t>
  </si>
  <si>
    <t>1311201</t>
  </si>
  <si>
    <t xml:space="preserve">      Phải thu bán trái phiếu</t>
  </si>
  <si>
    <t>13112011</t>
  </si>
  <si>
    <t xml:space="preserve">        Phải thu bán trái phiếu: ngắn hạn</t>
  </si>
  <si>
    <t>13113</t>
  </si>
  <si>
    <t xml:space="preserve">    Phải thu bán công cụ thị trường tiền tệ</t>
  </si>
  <si>
    <t>1311301</t>
  </si>
  <si>
    <t xml:space="preserve">      Phải thu bán công cụ thị trường tiền tệ</t>
  </si>
  <si>
    <t>13113011</t>
  </si>
  <si>
    <t xml:space="preserve">        Phải thu bán công cụ thị trường tiền tệ: ngắn hạn</t>
  </si>
  <si>
    <t>132</t>
  </si>
  <si>
    <t>Phải thu và dự thu cổ tức, tiền lãi các tài sản tài chính</t>
  </si>
  <si>
    <t>1322</t>
  </si>
  <si>
    <t xml:space="preserve">  Dự thu cổ tức, tiền lãi phát sinh trong kỳ chưa đến ngày thu trong kỳ</t>
  </si>
  <si>
    <t>13223</t>
  </si>
  <si>
    <t xml:space="preserve">    Dự thu tiền lãi - Trái phiếu niêm yết phát sinh trong kỳ</t>
  </si>
  <si>
    <t>1322301</t>
  </si>
  <si>
    <t xml:space="preserve">      Dự  thu  tiền  lãi  -  Trái  phiếu Chính phủ</t>
  </si>
  <si>
    <t>13223011</t>
  </si>
  <si>
    <t xml:space="preserve">        Dự thu tiền lãi - Trái phiếu Chính phủ: ngắn hạn</t>
  </si>
  <si>
    <t>1322305</t>
  </si>
  <si>
    <t xml:space="preserve">      Dự  thu  tiền  lãi  -  Trái  phiếu doanh nghiệp Nhà nước</t>
  </si>
  <si>
    <t>13223051</t>
  </si>
  <si>
    <t xml:space="preserve">        Dự thu tiền lãi - Trái phiếu doanh nghiệp Nhà nước: ngắn hạn</t>
  </si>
  <si>
    <t>1322306</t>
  </si>
  <si>
    <t xml:space="preserve">      Dự  thu  tiền  lãi  -  Trái  phiếu doanh nghiệp</t>
  </si>
  <si>
    <t>13223061</t>
  </si>
  <si>
    <t xml:space="preserve">        Dự thu tiền lãi - Trái phiếu doanh nghiệp: ngắn hạn</t>
  </si>
  <si>
    <t>13224</t>
  </si>
  <si>
    <t xml:space="preserve">    Dự thu tiền lãi - Trái phiếu chưa niêm yết phát sinh trong kỳ</t>
  </si>
  <si>
    <t>1322405</t>
  </si>
  <si>
    <t xml:space="preserve">      Dự thu tiền lãi - Trái phiếu doanh nghiệp Nhà nước</t>
  </si>
  <si>
    <t>13224051</t>
  </si>
  <si>
    <t>1322406</t>
  </si>
  <si>
    <t xml:space="preserve">      Dự thu tiền lãi - Trái phiếu doanh nghiệp</t>
  </si>
  <si>
    <t>13224061</t>
  </si>
  <si>
    <t>13225</t>
  </si>
  <si>
    <t xml:space="preserve">    Dự thu tiền lãi - Công cụ thị trường tiền tệ phát sinh trong kỳ</t>
  </si>
  <si>
    <t>1322505</t>
  </si>
  <si>
    <t xml:space="preserve">      Dự thu tiền lãi - Tiền gửi có kỳ hạn cố định</t>
  </si>
  <si>
    <t>13225051</t>
  </si>
  <si>
    <t xml:space="preserve">        Dự thu tiền lãi - Tiền gửi có kỳ hạn cố định: ngắn hạn</t>
  </si>
  <si>
    <t>13226</t>
  </si>
  <si>
    <t xml:space="preserve">    Dự thu tiền lãi - Nghiệp vụ Margin</t>
  </si>
  <si>
    <t>132261</t>
  </si>
  <si>
    <t xml:space="preserve">      Dự thu tiền lãi - Nghiệp vụ Margin: ngắn hạn</t>
  </si>
  <si>
    <t>13227</t>
  </si>
  <si>
    <t xml:space="preserve">    Dự thu tiền lãi  - Nghiệp vụ ứng trước tiền bán chứng khoán cho Nhà đầu tư</t>
  </si>
  <si>
    <t>132271</t>
  </si>
  <si>
    <t xml:space="preserve">      Dự thu tiền lãi - Nghiệp vụ ứng trước tiền bán chứng khoán cho Nhà đầu tư: ngắn hạn</t>
  </si>
  <si>
    <t xml:space="preserve">  Thuế GTGT được khấu trừ của hàng hóa dịch vụ</t>
  </si>
  <si>
    <t>13311</t>
  </si>
  <si>
    <t xml:space="preserve">    Thuế GTGT được khấu trừ của hàng hóa, dịch vụ thông thường</t>
  </si>
  <si>
    <t>135</t>
  </si>
  <si>
    <t>Phải thu các dịch vụ CTCK cung cấp</t>
  </si>
  <si>
    <t>13501</t>
  </si>
  <si>
    <t xml:space="preserve">  Phải thu hoạt động môi giới chứng khoán</t>
  </si>
  <si>
    <t>1350101</t>
  </si>
  <si>
    <t xml:space="preserve">    Phải thu dịch vụ - Phí Môi giới chứng khoán TK KHÔNG Lưu ký tại Công ty (không VAT)</t>
  </si>
  <si>
    <t>1350102</t>
  </si>
  <si>
    <t xml:space="preserve">    Phải thu dịch vụ - Phí Môi giới chứng khoán TK Lưu ký tại Công ty (không VAT)</t>
  </si>
  <si>
    <t>13503</t>
  </si>
  <si>
    <t xml:space="preserve">  Phải thu hoạt động tư vấn</t>
  </si>
  <si>
    <t>1350301</t>
  </si>
  <si>
    <t xml:space="preserve">    Phải thu hoạt động tư vấn đầu tư chứng khoán</t>
  </si>
  <si>
    <t>135030101</t>
  </si>
  <si>
    <t xml:space="preserve">      Phải thu hoạt động tư vấn đầu tư chứng khoán: ngắn hạn</t>
  </si>
  <si>
    <t>13504</t>
  </si>
  <si>
    <t xml:space="preserve">  Phải thu hoạt động lưu ký chứng khoán</t>
  </si>
  <si>
    <t>1350401</t>
  </si>
  <si>
    <t xml:space="preserve">    Phải thu phí lưu ký của Nhà đầu tư</t>
  </si>
  <si>
    <t>135040101</t>
  </si>
  <si>
    <t xml:space="preserve">      Phải thu phí lưu ký của Nhà đầu tư: ngắn hạn</t>
  </si>
  <si>
    <t>13510</t>
  </si>
  <si>
    <t xml:space="preserve">  Phải thu dịch vụ khác</t>
  </si>
  <si>
    <t>1351001</t>
  </si>
  <si>
    <t xml:space="preserve">    Phải thu dịch vụ khác: ngắn hạn</t>
  </si>
  <si>
    <t xml:space="preserve">  Phải thu khác</t>
  </si>
  <si>
    <t>13881</t>
  </si>
  <si>
    <t xml:space="preserve">    Phải thu khác</t>
  </si>
  <si>
    <t>138811</t>
  </si>
  <si>
    <t xml:space="preserve">      Phải thu khác: ngắn hạn</t>
  </si>
  <si>
    <t xml:space="preserve">  Máy móc, thiết bị</t>
  </si>
  <si>
    <t xml:space="preserve">  Phương tiện vận tải, truyền dẫn</t>
  </si>
  <si>
    <t xml:space="preserve">  Thiết bị, dụng cụ quản lý</t>
  </si>
  <si>
    <t>2133</t>
  </si>
  <si>
    <t xml:space="preserve">  Bản quyền, bằng sáng chế</t>
  </si>
  <si>
    <t xml:space="preserve">  Chương trình phần mềm</t>
  </si>
  <si>
    <t>Hao mòn TSCĐ</t>
  </si>
  <si>
    <t xml:space="preserve">  Hao mòn TSCĐ hữu hình</t>
  </si>
  <si>
    <t>21412</t>
  </si>
  <si>
    <t xml:space="preserve">    Hao mòn TSCĐ hữu hình: Máy móc, thiết bị</t>
  </si>
  <si>
    <t>21413</t>
  </si>
  <si>
    <t xml:space="preserve">    Hao mòn TSCĐ hữu hình: Phương tiện vận tải, truyền dẫn</t>
  </si>
  <si>
    <t>21414</t>
  </si>
  <si>
    <t xml:space="preserve">    Hao mòn TSCĐ hữu hình: Thiết bị, dụng cụ quản lý</t>
  </si>
  <si>
    <t xml:space="preserve">  Hao mòn TSCĐ vô hình</t>
  </si>
  <si>
    <t>21433</t>
  </si>
  <si>
    <t xml:space="preserve">    Hao mòn TSCĐ vô hình: Bản quyền, bằng sáng chế</t>
  </si>
  <si>
    <t>21435</t>
  </si>
  <si>
    <t xml:space="preserve">    Hao mòn TSCĐ vô hình: Chương trình phần mềm</t>
  </si>
  <si>
    <t xml:space="preserve">  Chi phí trả trước: ngắn hạn</t>
  </si>
  <si>
    <t>24211</t>
  </si>
  <si>
    <t xml:space="preserve">    Chi phí trả trước ngắn hạn về CCDC</t>
  </si>
  <si>
    <t>24212</t>
  </si>
  <si>
    <t xml:space="preserve">    Chi phí trả trước ngắn hạn thuê kênh</t>
  </si>
  <si>
    <t>24213</t>
  </si>
  <si>
    <t xml:space="preserve">    Chi phí trả trước ngắn hạn khác</t>
  </si>
  <si>
    <t xml:space="preserve">  Chi phí trả trước: dài hạn</t>
  </si>
  <si>
    <t>24221</t>
  </si>
  <si>
    <t xml:space="preserve">    Chi phí trả trước dài hạn về CCDC</t>
  </si>
  <si>
    <t>24222</t>
  </si>
  <si>
    <t xml:space="preserve">    Chi phí trả trước dài hạn thuê kênh</t>
  </si>
  <si>
    <t>24223</t>
  </si>
  <si>
    <t xml:space="preserve">    Chi phí trả trước dài hạn khác</t>
  </si>
  <si>
    <t>2441</t>
  </si>
  <si>
    <t xml:space="preserve">  Cầm cố, thế chấp, ký quỹ, ký cược: ngắn hạn</t>
  </si>
  <si>
    <t>2442</t>
  </si>
  <si>
    <t xml:space="preserve">  Cầm cố, thế chấp, ký quỹ, ký cược: dài hạn</t>
  </si>
  <si>
    <t>245</t>
  </si>
  <si>
    <t>Tiền nộp Quỹ Hỗ trợ thanh toán</t>
  </si>
  <si>
    <t>2451</t>
  </si>
  <si>
    <t xml:space="preserve">  Tiền nộp ban đầu</t>
  </si>
  <si>
    <t>2452</t>
  </si>
  <si>
    <t xml:space="preserve">  Tiền nộp bổ sung hàng năm</t>
  </si>
  <si>
    <t>2453</t>
  </si>
  <si>
    <t xml:space="preserve">  Tiền lãi phân bổ hàng năm</t>
  </si>
  <si>
    <t>311</t>
  </si>
  <si>
    <t>Vay</t>
  </si>
  <si>
    <t>3111</t>
  </si>
  <si>
    <t xml:space="preserve">  Vay ngân hàng, tổ chức tài chính</t>
  </si>
  <si>
    <t>31111</t>
  </si>
  <si>
    <t xml:space="preserve">    Vay ngân hàng, tổ chức tài chính: ngắn hạn</t>
  </si>
  <si>
    <t>321</t>
  </si>
  <si>
    <t>Bù trừ và thanh toán giao dịch chứng khoán</t>
  </si>
  <si>
    <t>3211</t>
  </si>
  <si>
    <t xml:space="preserve">  Bù trừ và thanh toán giao dịch chứng khoán tự doanh của CTCK</t>
  </si>
  <si>
    <t>3212</t>
  </si>
  <si>
    <t xml:space="preserve">  Bù trừ và thanh toán giao dịch chứng khoán của Nhà đầu tư trong nước</t>
  </si>
  <si>
    <t>322</t>
  </si>
  <si>
    <t>Phải trả cổ tức, gốc và lãi trái phiếu</t>
  </si>
  <si>
    <t>3221</t>
  </si>
  <si>
    <t xml:space="preserve">  Phải trả hộ gốc, lãi trái phiếu và cổ tức cho Tổ chức phát hành</t>
  </si>
  <si>
    <t>324</t>
  </si>
  <si>
    <t>Phải trả Nhà đầu tư về tiền gửi giao dịch chứng khoán theo phương thức CTCK quản lý</t>
  </si>
  <si>
    <t>3241</t>
  </si>
  <si>
    <t xml:space="preserve">  Phải trả Nhà đầu tư trong nước về tiền gửi giao dịch chứng khoán theo phương thức CTCK quản lý</t>
  </si>
  <si>
    <t>32411</t>
  </si>
  <si>
    <t xml:space="preserve">    Phải trả Nhà đầu tư trong nước về tiền gửi giao dịch chứng khoán theo phương thức CTCK quản lý</t>
  </si>
  <si>
    <t>3242</t>
  </si>
  <si>
    <t xml:space="preserve">  Phải trả Nhà đầu tư nước ngoài về tiền gửi giao dịch chứng khoán theo phương thức CTCK quản lý</t>
  </si>
  <si>
    <t>32421</t>
  </si>
  <si>
    <t xml:space="preserve">    Phải trả Nhà đầu tư nước ngoài về tiền gửi giao dịch chứng khoán theo phương thức CTCK quản lý</t>
  </si>
  <si>
    <t>326</t>
  </si>
  <si>
    <t>Phải trả hoạt động giao dịch chứng khoán</t>
  </si>
  <si>
    <t>3388.NghiepvuCK</t>
  </si>
  <si>
    <t>3261</t>
  </si>
  <si>
    <t xml:space="preserve">  Phải trả Sở Giao dịch chứng khoán</t>
  </si>
  <si>
    <t>32611</t>
  </si>
  <si>
    <t xml:space="preserve">    Phải trả phí giao dịch chứng khoán</t>
  </si>
  <si>
    <t>326111</t>
  </si>
  <si>
    <t xml:space="preserve">      Phải trả phí giao dịch chứng khoán - Sở HSX</t>
  </si>
  <si>
    <t>326112</t>
  </si>
  <si>
    <t xml:space="preserve">      Phải trả phí giao dịch chứng khoán - Sở HNX</t>
  </si>
  <si>
    <t>326113</t>
  </si>
  <si>
    <t xml:space="preserve">      Phải trả phí giao dịch chứng khoán - Sở VNX</t>
  </si>
  <si>
    <t>3262</t>
  </si>
  <si>
    <t xml:space="preserve">  Phải trả Trung tâm Lưu ký chứng khoán Việt Nam (VSD)</t>
  </si>
  <si>
    <t>Dư nợ ???</t>
  </si>
  <si>
    <t>3311</t>
  </si>
  <si>
    <t xml:space="preserve">  Phải trả mua các tài sản tài chính</t>
  </si>
  <si>
    <t>33111</t>
  </si>
  <si>
    <t xml:space="preserve">    Phải trả mua các tài sản tài chính: ngắn hạn</t>
  </si>
  <si>
    <t>3312</t>
  </si>
  <si>
    <t xml:space="preserve">  Phải trả cho người bán khác</t>
  </si>
  <si>
    <t>33121</t>
  </si>
  <si>
    <t xml:space="preserve">    Phải trả cho người bán khác - Mua hàng hóa dịch vụ thông thường</t>
  </si>
  <si>
    <t>331211</t>
  </si>
  <si>
    <t xml:space="preserve">      Phải trả cho người bán khác - Mua hàng hóa dịch vụ thông thường: ngắn hạn</t>
  </si>
  <si>
    <t>332</t>
  </si>
  <si>
    <t>Các khoản trích nộp phúc lợi nhân viên</t>
  </si>
  <si>
    <t>3322</t>
  </si>
  <si>
    <t xml:space="preserve">  Bảo hiểm xã hội</t>
  </si>
  <si>
    <t>3323</t>
  </si>
  <si>
    <t xml:space="preserve">  Bảo hiểm y tế</t>
  </si>
  <si>
    <t>3324</t>
  </si>
  <si>
    <t xml:space="preserve">  Bảo hiểm thất nghiệp</t>
  </si>
  <si>
    <t>3329</t>
  </si>
  <si>
    <t xml:space="preserve">  Các khoản trích nộp khác</t>
  </si>
  <si>
    <t xml:space="preserve">  Thuế GTGT phải nộp</t>
  </si>
  <si>
    <t xml:space="preserve">    Thuế GTGT đầu ra</t>
  </si>
  <si>
    <t xml:space="preserve">  Thuế Thu nhập cá nhân</t>
  </si>
  <si>
    <t>33351</t>
  </si>
  <si>
    <t xml:space="preserve">    Thuế TNCN từ tiền lương tiền công</t>
  </si>
  <si>
    <t>333511</t>
  </si>
  <si>
    <t xml:space="preserve">      Thuế Thu nhập cá nhân từ tiền lương tiền công - CBNV</t>
  </si>
  <si>
    <t>333512</t>
  </si>
  <si>
    <t xml:space="preserve">      Thuế Thu nhập cá nhân từ tiền lương tiền công - Thu nhập vãng lai</t>
  </si>
  <si>
    <t>33352</t>
  </si>
  <si>
    <t xml:space="preserve">    Thuế TNCN nhà đầu tư</t>
  </si>
  <si>
    <t>333521</t>
  </si>
  <si>
    <t xml:space="preserve">      Thuế chuyển nhượng chứng khoán</t>
  </si>
  <si>
    <t>333522</t>
  </si>
  <si>
    <t xml:space="preserve">      Thuế Thu nhập cá nhân từ đầu tư vốn</t>
  </si>
  <si>
    <t xml:space="preserve">  Phải trả công nhân viên</t>
  </si>
  <si>
    <t>3343</t>
  </si>
  <si>
    <t xml:space="preserve">  Phải trả thù lao HĐQT và BKS</t>
  </si>
  <si>
    <t>3351</t>
  </si>
  <si>
    <t xml:space="preserve">  Trích trước chi phí lãi vay</t>
  </si>
  <si>
    <t>33511</t>
  </si>
  <si>
    <t xml:space="preserve">    Trích trước lãi vay tổ chức tín dụng</t>
  </si>
  <si>
    <t>335111</t>
  </si>
  <si>
    <t xml:space="preserve">      Trích trước lãi vay tổ chức tài chính</t>
  </si>
  <si>
    <t>3351111</t>
  </si>
  <si>
    <t xml:space="preserve">        Trích trước lãi vay tổ chức tài chính: ngắn hạn</t>
  </si>
  <si>
    <t>3354</t>
  </si>
  <si>
    <t xml:space="preserve">  Trích trước - Chi phí quản lý CTCK</t>
  </si>
  <si>
    <t>33541</t>
  </si>
  <si>
    <t xml:space="preserve">    Trích trước - Chi phí dịch vụ mua ngoài</t>
  </si>
  <si>
    <t>335411</t>
  </si>
  <si>
    <t xml:space="preserve">      Trích trước - Chi phí dịch vụ mua ngoài: ngắn hạn</t>
  </si>
  <si>
    <t>33549</t>
  </si>
  <si>
    <t xml:space="preserve">    Trích trước - Phí dịch vụ quản lý khác</t>
  </si>
  <si>
    <t>335491</t>
  </si>
  <si>
    <t xml:space="preserve">      Trích trước - Phí dịch vụ quản lý khác: ngắn hạn</t>
  </si>
  <si>
    <t>3388.Other</t>
  </si>
  <si>
    <t xml:space="preserve">  Phải trả, phải nộp khác</t>
  </si>
  <si>
    <t>33881</t>
  </si>
  <si>
    <t xml:space="preserve">    Phải trả, phải nộp khác: ngắn hạn</t>
  </si>
  <si>
    <t>33884</t>
  </si>
  <si>
    <t xml:space="preserve">    Phải trả, phải nộp khác: Cộng tác viên</t>
  </si>
  <si>
    <t xml:space="preserve">  Vốn góp của chủ sở hữu</t>
  </si>
  <si>
    <t xml:space="preserve">    Cổ phiếu phổ thông có quyền biểu quyết</t>
  </si>
  <si>
    <t>411111</t>
  </si>
  <si>
    <t xml:space="preserve">      Cổ phiếu phổ thông có quyền biểu quyết - Vốn góp ban đầu</t>
  </si>
  <si>
    <t>415</t>
  </si>
  <si>
    <t>Quỹ dự phòng tài chính và rủi ro nghiệp vụ</t>
  </si>
  <si>
    <t xml:space="preserve">  Dự trữ pháp định</t>
  </si>
  <si>
    <t>Lợi nhuận chưa phân phối</t>
  </si>
  <si>
    <t xml:space="preserve">  Lợi nhuận sau thuế đã thực hiện</t>
  </si>
  <si>
    <t xml:space="preserve">  Lợi nhuận chưa thực hiện</t>
  </si>
  <si>
    <t>Nhớ tách lợi nhuận chưa thực hiện và đánh giá lại ra</t>
  </si>
  <si>
    <t>Thu nhập</t>
  </si>
  <si>
    <t>51101</t>
  </si>
  <si>
    <t xml:space="preserve">  Thu nhập từ các tài sản tài chính ghi nhận thông qua lãi/lỗ (FVTPL)</t>
  </si>
  <si>
    <t>5110101</t>
  </si>
  <si>
    <t xml:space="preserve">    Lãi bán tài sản tài chính FVTPL</t>
  </si>
  <si>
    <t>511010103</t>
  </si>
  <si>
    <t xml:space="preserve">      Lãi bán - Trái phiếu niêm yết</t>
  </si>
  <si>
    <t>511010104</t>
  </si>
  <si>
    <t xml:space="preserve">      Lãi bán - Trái phiếu chưa niêm yết</t>
  </si>
  <si>
    <t>511010105</t>
  </si>
  <si>
    <t xml:space="preserve">      Lãi bán - Công cụ thị trường tiền tệ</t>
  </si>
  <si>
    <t>5110102</t>
  </si>
  <si>
    <t xml:space="preserve">    Chênh lệch tăng về đánh giá lại các tài sản tài chính ghi nhận thông qua lãi/lỗ (FVTPL)</t>
  </si>
  <si>
    <t>511010201</t>
  </si>
  <si>
    <t xml:space="preserve">      Chênh lệch tăng về đánh giá lại - Cổ phiếu niêm yết</t>
  </si>
  <si>
    <t>511010203</t>
  </si>
  <si>
    <t xml:space="preserve">      Chênh lệch tăng về đánh giá lại - Trái phiếu niêm yết</t>
  </si>
  <si>
    <t>5110103</t>
  </si>
  <si>
    <t xml:space="preserve">    Cổ tức, tiền lãi phát sinh từ tài sản tài chính FVTPL</t>
  </si>
  <si>
    <t>511010302</t>
  </si>
  <si>
    <t xml:space="preserve">      Tiền lãi phát sinh từ tài sản tài chính FVTPL</t>
  </si>
  <si>
    <t>51102</t>
  </si>
  <si>
    <t xml:space="preserve">  Thu nhập từ các khoản đầu tư nắm giữ đến ngày đáo hạn (HTM)</t>
  </si>
  <si>
    <t>5110201</t>
  </si>
  <si>
    <t xml:space="preserve">    Tiền lãi - Các khoản đầu tư nắm giữ đến ngày đáo hạn (HTM)</t>
  </si>
  <si>
    <t>511020101</t>
  </si>
  <si>
    <t xml:space="preserve">      Tiền lãi - HTM - Trái phiếu niêm yết</t>
  </si>
  <si>
    <t>51103</t>
  </si>
  <si>
    <t xml:space="preserve">  Thu nhập tiền lãi từ các khoản cho vay</t>
  </si>
  <si>
    <t>5110301</t>
  </si>
  <si>
    <t xml:space="preserve">    Tiền lãi cho vay hoạt động Margin</t>
  </si>
  <si>
    <t>5110302</t>
  </si>
  <si>
    <t xml:space="preserve">    Tiền lãi cho vay hoạt động ứng trước tiền bán của khách hàng</t>
  </si>
  <si>
    <t>51105</t>
  </si>
  <si>
    <t xml:space="preserve">  Doanh thu nghiệp vụ môi giới chứng khoán</t>
  </si>
  <si>
    <t>51107</t>
  </si>
  <si>
    <t xml:space="preserve">  Doanh thu nghiệp vụ tư vấn đầu tư chứng khoán</t>
  </si>
  <si>
    <t>51108</t>
  </si>
  <si>
    <t xml:space="preserve">  Doanh thu nghiệp vụ lưu ký chứng khoán</t>
  </si>
  <si>
    <t>Lỗ và chi phí giao dịch mua các tài sản tài chính, hoạt động tự doanh</t>
  </si>
  <si>
    <t>63201</t>
  </si>
  <si>
    <t xml:space="preserve">  Lỗ bán, chênh lệch đánh giá lại và chi phí giao dịch mua các tài sản tài chính ghi nhận thông qua lãi/lỗ (FVTPL)</t>
  </si>
  <si>
    <t>6320101</t>
  </si>
  <si>
    <t xml:space="preserve">    Lỗ bán các tài sản tài chính ghi nhận thông qua lãi/lỗ (FVTPL)</t>
  </si>
  <si>
    <t>632010103</t>
  </si>
  <si>
    <t xml:space="preserve">      Lỗ bán - FVTPL - Trái phiếu niêm yết</t>
  </si>
  <si>
    <t>632010104</t>
  </si>
  <si>
    <t xml:space="preserve">      Lỗ bán - FVTPL - Trái phiếu chưa niêm yết</t>
  </si>
  <si>
    <t>632010105</t>
  </si>
  <si>
    <t xml:space="preserve">      Lỗ bán - FVTPL - Công cụ thị trường tiền tệ</t>
  </si>
  <si>
    <t>6320102</t>
  </si>
  <si>
    <t xml:space="preserve">    Chi phí giao dịch mua các tài sản tài  chính  ghi  nhận  thông  qua lãi/lỗ (FVTPL)</t>
  </si>
  <si>
    <t>632010203</t>
  </si>
  <si>
    <t xml:space="preserve">      Chi phí giao dịch mua - FVTPL - Trái phiếu niêm yết</t>
  </si>
  <si>
    <t>6320103</t>
  </si>
  <si>
    <t xml:space="preserve">    Chênh lệch giảm về đánh giá lại các tài sản tài chính ghi nhận thông qua lãi/lỗ (FVTPL)</t>
  </si>
  <si>
    <t>632010303</t>
  </si>
  <si>
    <t xml:space="preserve">      Chênh lệch giảm về đánh giá lại - FVTPL - Trái phiếu niêm yết</t>
  </si>
  <si>
    <t>63221</t>
  </si>
  <si>
    <t xml:space="preserve">  Chi phí quản lý hoạt động tự doanh</t>
  </si>
  <si>
    <t>633</t>
  </si>
  <si>
    <t>Chi phí hoạt động cung cấp dịch vụ</t>
  </si>
  <si>
    <t xml:space="preserve">  Chi phí nghiệp vụ môi giới chứng khoán</t>
  </si>
  <si>
    <t>63317</t>
  </si>
  <si>
    <t xml:space="preserve">    Chi phí quản lý hoạt động môi giới</t>
  </si>
  <si>
    <t>633171</t>
  </si>
  <si>
    <t xml:space="preserve">      Chi phí nhân viên</t>
  </si>
  <si>
    <t>6333</t>
  </si>
  <si>
    <t xml:space="preserve">  Chi phí nghiệp vụ tư vấn đầu tư chứng khoán</t>
  </si>
  <si>
    <t>63333</t>
  </si>
  <si>
    <t xml:space="preserve">    Chi phí quản lý hoạt động tư vấn đầu tư chứng khoán</t>
  </si>
  <si>
    <t>633331</t>
  </si>
  <si>
    <t xml:space="preserve">      Chi phí nhân viên hoạt động tư vấn đầu tư chứng khoán</t>
  </si>
  <si>
    <t>6334</t>
  </si>
  <si>
    <t xml:space="preserve">  Chi phí nghiệp vụ lưu ký chứng khoán</t>
  </si>
  <si>
    <t>63344</t>
  </si>
  <si>
    <t xml:space="preserve">    Chi phí quản lý nghiệp vụ lưu ký</t>
  </si>
  <si>
    <t xml:space="preserve">  Chi phí nhân viên hoạt động bán hàng</t>
  </si>
  <si>
    <t xml:space="preserve">  Chi phí vật tư văn phòng, công cụ, dụng cụ</t>
  </si>
  <si>
    <t xml:space="preserve">  Chi phí dịch vụ mua ngoài</t>
  </si>
  <si>
    <t>641803</t>
  </si>
  <si>
    <t>641804</t>
  </si>
  <si>
    <t>Chi phí quản lý Công ty chứng khoán</t>
  </si>
  <si>
    <t xml:space="preserve">  Chi phí nhân viên quản lý</t>
  </si>
  <si>
    <t xml:space="preserve">  Chi phí khác bằng tiền</t>
  </si>
  <si>
    <t xml:space="preserve">  Xác định kết quả kinh doanh đã thực hiện</t>
  </si>
  <si>
    <t>9112</t>
  </si>
  <si>
    <t xml:space="preserve">  Xác định kết quả kinh doanh chưa thực hiện</t>
  </si>
  <si>
    <t xml:space="preserve">    Xác định kết quả kinh doanh chưa thực hiện - Đánh giá lại TSTC</t>
  </si>
  <si>
    <t xml:space="preserve">Tổng cộng: </t>
  </si>
  <si>
    <t>Dán báo cáo Single</t>
  </si>
  <si>
    <t>Dán báo cáo Consol</t>
  </si>
  <si>
    <t>Balance sheet</t>
  </si>
  <si>
    <t>È</t>
  </si>
  <si>
    <t>MÃ SỐ</t>
  </si>
  <si>
    <t>CHỈ TIÊU</t>
  </si>
  <si>
    <t>31/12/2024
Unaudited
VND</t>
  </si>
  <si>
    <t>Late ADJ
VND</t>
  </si>
  <si>
    <t>Audit ADJ
VND</t>
  </si>
  <si>
    <t>31/12/2024
Audited
VND</t>
  </si>
  <si>
    <t>31/12/2023
Unaudited
VND</t>
  </si>
  <si>
    <t>Late ADJ</t>
  </si>
  <si>
    <t>Audit ADJ</t>
  </si>
  <si>
    <t>31/12/2023
Audited
VND</t>
  </si>
  <si>
    <t>Show/hide Single</t>
  </si>
  <si>
    <t>Consol ADJ
VND</t>
  </si>
  <si>
    <t>31/12/2022
Unaudited
VND</t>
  </si>
  <si>
    <t>Show/hide Consol</t>
  </si>
  <si>
    <t>A.    TÀI SẢN NGẮN HẠN</t>
  </si>
  <si>
    <t>I. Tiền và các khoản tương đương tiền</t>
  </si>
  <si>
    <t>1. Tiền</t>
  </si>
  <si>
    <t>2. Các khoản tương đương tiền</t>
  </si>
  <si>
    <t>II. Đầu tư tài chính ngắn hạn</t>
  </si>
  <si>
    <t>1. Chứng khoán kinh doanh</t>
  </si>
  <si>
    <t>2. Dự phòng giảm giá chứng khoán kinh doanh</t>
  </si>
  <si>
    <t>3. Đầu tư nắm giữ đến ngày đáo hạn</t>
  </si>
  <si>
    <t xml:space="preserve">III. Các khoản phải thu ngắn hạn </t>
  </si>
  <si>
    <t>1. Phải thu ngắn hạn của khách hàng</t>
  </si>
  <si>
    <t>2. Trả trước cho người bán ngắn hạn</t>
  </si>
  <si>
    <t>3. Phải thu nội bộ ngắn hạn</t>
  </si>
  <si>
    <t>4. Phải thu theo tiến độ kế hoạch hợp đồng xây dựng</t>
  </si>
  <si>
    <t>5. Phải thu về cho vay ngắn hạn</t>
  </si>
  <si>
    <t>6. Phải thu ngắn hạn khác</t>
  </si>
  <si>
    <t>7. Dự phòng phải thu ngắn hạn khó đòi</t>
  </si>
  <si>
    <t>8. Tài sản thiếu chờ xử lý</t>
  </si>
  <si>
    <t>IV. Hàng tồn kho</t>
  </si>
  <si>
    <t>1. Hàng tồn kho</t>
  </si>
  <si>
    <t>2. Dự phòng giảm giá hàng tồn kho (*)</t>
  </si>
  <si>
    <t>V. Tài sản ngắn hạn khác</t>
  </si>
  <si>
    <t>1. Chi phí trả trước ngắn hạn</t>
  </si>
  <si>
    <t>2. Thuế GTGT được khấu trừ</t>
  </si>
  <si>
    <t xml:space="preserve">3. Thuế và các khoản khác phải thu Nhà nước  </t>
  </si>
  <si>
    <t xml:space="preserve">4. Giao dịch mua bán lại trái phiếu chính phủ  </t>
  </si>
  <si>
    <t>5. Tài sản ngắn hạn khác</t>
  </si>
  <si>
    <t>B. TÀI SẢN DÀI HẠN</t>
  </si>
  <si>
    <t>I. Các khoản phải thu dài hạn</t>
  </si>
  <si>
    <t>1. Phải thu dài hạn của khách hàng</t>
  </si>
  <si>
    <t>2. Trả trước cho người bán dài hạn</t>
  </si>
  <si>
    <t xml:space="preserve">3. Vốn kinh doanh ở đơn vị trực thuộc  </t>
  </si>
  <si>
    <t xml:space="preserve">4. Phải thu nội bộ dài hạn </t>
  </si>
  <si>
    <t xml:space="preserve">5. Phải thu về cho vay dài hạn </t>
  </si>
  <si>
    <t>6. Phải thu dài hạn khác</t>
  </si>
  <si>
    <t>7. Dự phòng phải thu dài hạn khó đòi (*)</t>
  </si>
  <si>
    <t>II.  Tài sản cố định</t>
  </si>
  <si>
    <t>1. Tài sản cố định hữu hình</t>
  </si>
  <si>
    <t>Nguyên giá</t>
  </si>
  <si>
    <t>Giá trị hao mòn lũy kế (*)</t>
  </si>
  <si>
    <t>2. Tài sản cố định thuê tài chính</t>
  </si>
  <si>
    <t>3. Tài sản cố định vô hình</t>
  </si>
  <si>
    <t>III. Bất động sản đầu tư</t>
  </si>
  <si>
    <t>1. Nguyên giá</t>
  </si>
  <si>
    <t>2. Giá trị hao mòn lũy kế (*)</t>
  </si>
  <si>
    <t>IV. Tài sản dở dang dài hạn</t>
  </si>
  <si>
    <t>1. Chi phí sản xuất, kinh doanh dở dang dài hạn</t>
  </si>
  <si>
    <t>2. Chi phí xây dựng cơ bản dở dang</t>
  </si>
  <si>
    <t>V. Đầu tư tài chính dài hạn</t>
  </si>
  <si>
    <t>1. Đầu tư vào công ty con</t>
  </si>
  <si>
    <t>2. Đầu tư vào công ty liên kết, liên doanh</t>
  </si>
  <si>
    <t>3. Đầu tư góp vốn vào đơn vị khác</t>
  </si>
  <si>
    <t>4. Dự phòng đầu tư tài chính dài hạn (*)</t>
  </si>
  <si>
    <t xml:space="preserve">5. Đầu tư nắm giữ đến ngày đáo hạn </t>
  </si>
  <si>
    <t>VI. Tài sản dài hạn khác</t>
  </si>
  <si>
    <t>1. Chi phí trả trước dài hạn</t>
  </si>
  <si>
    <t>2. Tài sản thuế thu nhập hoãn lại</t>
  </si>
  <si>
    <t>3. Thiết bị vật tư, phụ tùng thay thế dài hạn</t>
  </si>
  <si>
    <t>4. Tài sản dài hạn khác</t>
  </si>
  <si>
    <t>5. Lợi thế thương mại</t>
  </si>
  <si>
    <t>TỔNG CỘNG TÀI SẢN</t>
  </si>
  <si>
    <t>C. NỢ PHẢI TRẢ</t>
  </si>
  <si>
    <t>I. Nợ ngắn hạn</t>
  </si>
  <si>
    <t>1. Phải trả người bán ngắn hạn</t>
  </si>
  <si>
    <t>2. Người mua trả tiền trước ngắn hạn</t>
  </si>
  <si>
    <t>3. Thuế và các khoản phải nộp Nhà nước</t>
  </si>
  <si>
    <t>4. Phải trả người lao động</t>
  </si>
  <si>
    <t>5. Chi phí phải trả ngắn hạn</t>
  </si>
  <si>
    <t>6. Phải trả nội bộ ngắn hạn</t>
  </si>
  <si>
    <t xml:space="preserve">7. Phải trả theo tiến độ kế hoạch hợp đồng xây dựng </t>
  </si>
  <si>
    <t>8  Doanh thu chưa thực hiện ngắn hạn</t>
  </si>
  <si>
    <t>9. Phải trả ngắn hạn khác</t>
  </si>
  <si>
    <t>10. Vay và nợ thuê tài chính ngắn hạn</t>
  </si>
  <si>
    <t>11. Dự phòng phải trả ngắn hạn</t>
  </si>
  <si>
    <t>12. Quỹ khen thưởng, phúc lợi</t>
  </si>
  <si>
    <t>13. Quỹ bình ổn giá</t>
  </si>
  <si>
    <t>14. Giao dịch mua bán lại trái phiếu Chính phủ</t>
  </si>
  <si>
    <t>II. Nợ dài hạn</t>
  </si>
  <si>
    <t>1. Phải trả người bán dài hạn</t>
  </si>
  <si>
    <t>1. Người mua trả tiền trước dài hạn</t>
  </si>
  <si>
    <t>2. Chi phí phải trả dài hạn</t>
  </si>
  <si>
    <t>3. Phải trả nội bộ về vốn kinh doanh</t>
  </si>
  <si>
    <t xml:space="preserve">4. Phải trả nội bộ dài hạn </t>
  </si>
  <si>
    <t>5. Doanh thu chưa thực hiện dài hạn</t>
  </si>
  <si>
    <t>7. Phải trả dài hạn khác</t>
  </si>
  <si>
    <t>8. Vay và nợ thuê tài chính dài hạn</t>
  </si>
  <si>
    <t>9. Trái phiếu chuyển đổi</t>
  </si>
  <si>
    <t>10. Cổ phiếu ưu đãi</t>
  </si>
  <si>
    <t>11. Thuế thu nhập hoãn lại phải trả</t>
  </si>
  <si>
    <t>12. Dự phòng phải trả dài hạn</t>
  </si>
  <si>
    <t>13. Quỹ phát triển khoa học và công nghệ</t>
  </si>
  <si>
    <t>D. VỐN CHỦ SỞ HỮU</t>
  </si>
  <si>
    <t>I. Vốn chủ sở hữu</t>
  </si>
  <si>
    <t>1. Vốn góp của chủ sở hữu [Vốn cổ phần]</t>
  </si>
  <si>
    <t>- Cổ phiếu cổ đông có quyền biểu quyết</t>
  </si>
  <si>
    <t>411b</t>
  </si>
  <si>
    <t>- Cổ phiếu ưu đãi</t>
  </si>
  <si>
    <t>2. Thặng dư vốn cổ phần</t>
  </si>
  <si>
    <t>3. Quyền chọn chuyển đổi trái phiếu</t>
  </si>
  <si>
    <t xml:space="preserve">4. Vốn khác của chủ sở hữu </t>
  </si>
  <si>
    <t>5. Cổ phiếu quỹ (*)</t>
  </si>
  <si>
    <t>6. Chênh lệnh đánh giá lại tài sản</t>
  </si>
  <si>
    <t>7. Chênh lệch tỷ giá hối đoái</t>
  </si>
  <si>
    <t>8. Quỹ đầu tư phát triển</t>
  </si>
  <si>
    <t>9. Quỹ hỗ trợ sắp xếp doanh nghiệp</t>
  </si>
  <si>
    <t>10. Quỹ khác thuộc vốn chủ sở hữu</t>
  </si>
  <si>
    <t>11. [Lợi nhuận sau thuế chưa phân phối/ Lỗ lũy kế]</t>
  </si>
  <si>
    <t>421a</t>
  </si>
  <si>
    <t>- Lợi nhuận sau thuế chưa phân phối lũy kế/ lỗ lũy kế đến cuối kỳ trước</t>
  </si>
  <si>
    <t>421b</t>
  </si>
  <si>
    <t>- Lợi nhuận sau thuế chưa phân phối/ lỗ kỳ này</t>
  </si>
  <si>
    <t>12. Nguồn vốn đầu tư XDCB</t>
  </si>
  <si>
    <t>13.  Lợi ích cổ đông không kiểm soát</t>
  </si>
  <si>
    <t>II. Nguồn kính phí và quỹ  khác</t>
  </si>
  <si>
    <t xml:space="preserve">1. Nguồn kinh phí  </t>
  </si>
  <si>
    <t>2. Nguồn kinh phí đã hình thành TSCĐ</t>
  </si>
  <si>
    <t>TỔNG CỘNG NGUỒN VỐN</t>
  </si>
  <si>
    <t>CHECK</t>
  </si>
  <si>
    <t>Statement of profit or loss</t>
  </si>
  <si>
    <t>1. Doanh thu bán hàng và cung cấp dịch vụ</t>
  </si>
  <si>
    <t>2. Các khoản giảm trừ doanh thu</t>
  </si>
  <si>
    <t>3. Doanh thu thuần về bán hàng và cung cấp dịch vụ</t>
  </si>
  <si>
    <t>4. Giá vốn hàng bán và dịch vụ cung cấp</t>
  </si>
  <si>
    <t>5. Lợi nhuận/(lỗ) gộp về bán hàng và cung cấp dịch vụ</t>
  </si>
  <si>
    <t>6. Doanh thu hoạt động tài chính</t>
  </si>
  <si>
    <t>7. Chi phí tài chính</t>
  </si>
  <si>
    <t>- Trong đó:  Chi phí lãi vay</t>
  </si>
  <si>
    <t>8. Chi phí bán hàng</t>
  </si>
  <si>
    <t>9. Chi phí quản lý doanh nghiệp</t>
  </si>
  <si>
    <t xml:space="preserve">10. Lợi nhuận/(lỗ) thuần từ hoạt động kinh doanh </t>
  </si>
  <si>
    <t>11. Thu nhập khác</t>
  </si>
  <si>
    <t>12. Chi phí khác</t>
  </si>
  <si>
    <t>13. Lợi nhuận/(lỗ) khác</t>
  </si>
  <si>
    <t>14. Tổng lợi nhuận/(lỗ) trước thuế</t>
  </si>
  <si>
    <t>15. Chi phí thuế TNDN hiện hành</t>
  </si>
  <si>
    <t xml:space="preserve">16. (Chi phí)/thu nhập thuế TNDN hoãn lại </t>
  </si>
  <si>
    <t>17. Lợi nhuận sau thuế TNDN</t>
  </si>
  <si>
    <t>18.  Lợi nhuận sau thuế của công ty mẹ</t>
  </si>
  <si>
    <t xml:space="preserve">19.  Lợi nhuận sau thuế của cổ đông không kiểm soát </t>
  </si>
  <si>
    <t>20. Lỗ cơ bản trên cổ phiếu</t>
  </si>
  <si>
    <t>Pretax income</t>
  </si>
  <si>
    <t>EBIT</t>
  </si>
  <si>
    <t>EBITDA</t>
  </si>
  <si>
    <t>Revenues</t>
  </si>
  <si>
    <t>Code BS</t>
  </si>
  <si>
    <t>Cashflow working FY24</t>
  </si>
  <si>
    <t>OB (31/12/23)</t>
  </si>
  <si>
    <t>CB (31/12/24)</t>
  </si>
  <si>
    <t>Mvt</t>
  </si>
  <si>
    <t>Check</t>
  </si>
  <si>
    <t>Code CF</t>
  </si>
  <si>
    <t>Mã số</t>
  </si>
  <si>
    <t>Chỉ tiêu</t>
  </si>
  <si>
    <t>Cho năm tài chính kết thúc ngày 31 tháng 12 năm 2024
VND</t>
  </si>
  <si>
    <t>Adjustment
Consol</t>
  </si>
  <si>
    <t>I. Lưu chuyển tiền từ hoạt động kinh doanh</t>
  </si>
  <si>
    <t>CF01</t>
  </si>
  <si>
    <t>01</t>
  </si>
  <si>
    <t>1. Lợi nhuận trước thuế</t>
  </si>
  <si>
    <t>2. Điều chỉnh cho các khoản</t>
  </si>
  <si>
    <t>CF02</t>
  </si>
  <si>
    <t>02</t>
  </si>
  <si>
    <t>- Khấu hao TSCĐ</t>
  </si>
  <si>
    <t>CF04</t>
  </si>
  <si>
    <t>03</t>
  </si>
  <si>
    <t>- Các khoản dự phòng</t>
  </si>
  <si>
    <t>CF05</t>
  </si>
  <si>
    <t>04</t>
  </si>
  <si>
    <t>- Lãi, lỗ chênh lệch tỷ giá hối đoái do đánh giá lại các khoản mục tiền tệ có gốc ngoại tệ</t>
  </si>
  <si>
    <t>CF06</t>
  </si>
  <si>
    <t>05</t>
  </si>
  <si>
    <t>- Lãi, lỗ từ hoạt động đầu tư</t>
  </si>
  <si>
    <t>CF07</t>
  </si>
  <si>
    <t>06</t>
  </si>
  <si>
    <t>- Chi phí lãi vay</t>
  </si>
  <si>
    <t>CF08</t>
  </si>
  <si>
    <t>07</t>
  </si>
  <si>
    <t>- Các khoản điều chỉnh khác</t>
  </si>
  <si>
    <t>08</t>
  </si>
  <si>
    <t>3. Lợi nhuận từ hoạt động kinh doanh trước thay đổi vốn lưu động</t>
  </si>
  <si>
    <t>CF09</t>
  </si>
  <si>
    <t>09</t>
  </si>
  <si>
    <t>- (Tăng)/giảm các khoản phải thu</t>
  </si>
  <si>
    <t>CF10</t>
  </si>
  <si>
    <t>10</t>
  </si>
  <si>
    <t>- (Tăng)/giảm hàng tồn kho</t>
  </si>
  <si>
    <t>CF11</t>
  </si>
  <si>
    <t>11</t>
  </si>
  <si>
    <t>- (Tăng)/giảm các khoản phải trả (Không kể lãi vay phải trả, thuế thu nhập doanh nghiệp phải nộp)</t>
  </si>
  <si>
    <t>CF12</t>
  </si>
  <si>
    <t>12</t>
  </si>
  <si>
    <t>- (Tăng)/giảm chi phí trả trước</t>
  </si>
  <si>
    <t>CF13</t>
  </si>
  <si>
    <t>13</t>
  </si>
  <si>
    <t>- (Tăng)/giảm chứng khoán kinh doanh</t>
  </si>
  <si>
    <t>CF14</t>
  </si>
  <si>
    <t>14</t>
  </si>
  <si>
    <t>- Tiền lãi vay đã trả</t>
  </si>
  <si>
    <t>CF15</t>
  </si>
  <si>
    <t>15</t>
  </si>
  <si>
    <t>- Thuế thu nhập doanh nghiệp đã nộp</t>
  </si>
  <si>
    <t>CF16</t>
  </si>
  <si>
    <t>16</t>
  </si>
  <si>
    <t>- Tiền thu khác từ hoạt động kinh doanh</t>
  </si>
  <si>
    <t>CF17</t>
  </si>
  <si>
    <t>17</t>
  </si>
  <si>
    <t>- Tiền chi khác cho hoạt động kinh doanh</t>
  </si>
  <si>
    <t>20</t>
  </si>
  <si>
    <t>Lưu chuyển tiền thuần từ hoạt động kinh doanh</t>
  </si>
  <si>
    <t>II. Lưu chuyển tiền từ hoạt động đầu tư</t>
  </si>
  <si>
    <t>CF21</t>
  </si>
  <si>
    <t>21</t>
  </si>
  <si>
    <t>1. Tiền chi để mua sắm, xây dựng TSCĐ và các tài sản dài hạn khác</t>
  </si>
  <si>
    <t>CF22</t>
  </si>
  <si>
    <t>22</t>
  </si>
  <si>
    <t>2. Tiền thu từ thanh lý, nhượng bán TSCĐ và các tài sản dài hạn khác</t>
  </si>
  <si>
    <t>CF23</t>
  </si>
  <si>
    <t>23</t>
  </si>
  <si>
    <t>3. Tiền chi cho vay, mua các công cụ nợ của đơn vị khác</t>
  </si>
  <si>
    <t>CF24</t>
  </si>
  <si>
    <t>24</t>
  </si>
  <si>
    <t>4. Tiền thu hồi cho vay, bán lại các công cụ nợ của đơn vị khác</t>
  </si>
  <si>
    <t>CF25</t>
  </si>
  <si>
    <t>25</t>
  </si>
  <si>
    <t>5. Tiền chi đầu tư góp vốn vào đơn vị khác</t>
  </si>
  <si>
    <t>CF26</t>
  </si>
  <si>
    <t>26</t>
  </si>
  <si>
    <t>6. Tiền thu hồi đầu tư góp vốn vào đơn vị khác</t>
  </si>
  <si>
    <t>CF27</t>
  </si>
  <si>
    <t>27</t>
  </si>
  <si>
    <t>7. Tiền thu lãi cho vay, cổ tức và lợi nhuận được chia</t>
  </si>
  <si>
    <t>30</t>
  </si>
  <si>
    <t>Lưu chuyển tiền thuần từ hoạt động đầu tư</t>
  </si>
  <si>
    <t>III. Lưu chuyển tiền từ hoạt động tài chính</t>
  </si>
  <si>
    <t>CF31</t>
  </si>
  <si>
    <t>31</t>
  </si>
  <si>
    <t>1. Tiền thu từ phát hành cổ phiếu, nhận vốn góp của chủ sở hữu</t>
  </si>
  <si>
    <t>CF32</t>
  </si>
  <si>
    <t>32</t>
  </si>
  <si>
    <t>2. Tiền trả lại vốn góp cho các chủ sở hữu, mua lại cổ phiếu của doanh nghiệp đã phát hành</t>
  </si>
  <si>
    <t>CF33</t>
  </si>
  <si>
    <t>33</t>
  </si>
  <si>
    <t>3. Tiền thu từ đi vay</t>
  </si>
  <si>
    <t>CF34</t>
  </si>
  <si>
    <t>34</t>
  </si>
  <si>
    <t>4. Tiền trả nợ gốc vay</t>
  </si>
  <si>
    <t>CF35</t>
  </si>
  <si>
    <t>35</t>
  </si>
  <si>
    <t>5. Tiền trả nợ gốc thuê tài chính</t>
  </si>
  <si>
    <t>CF36</t>
  </si>
  <si>
    <t>36</t>
  </si>
  <si>
    <t>6. Cổ tức, lợi nhuận đã trả cho chủ sở hữu</t>
  </si>
  <si>
    <t>40</t>
  </si>
  <si>
    <t>Lưu chuyển tiền thuần từ hoạt động tài chính</t>
  </si>
  <si>
    <t>50</t>
  </si>
  <si>
    <t>Lưu chuyển tiền thuần trong kỳ (50 = 20+30+40)</t>
  </si>
  <si>
    <t>CF60</t>
  </si>
  <si>
    <t>60</t>
  </si>
  <si>
    <t>Tiền và tương đương tiền đầu kỳ</t>
  </si>
  <si>
    <t>CF61</t>
  </si>
  <si>
    <t>61</t>
  </si>
  <si>
    <t>Ảnh hưởng của thay đổi tỷ giá hối đoái quy đổi ngoại tệ</t>
  </si>
  <si>
    <t>CF70</t>
  </si>
  <si>
    <t>70</t>
  </si>
  <si>
    <t>Tiền và tương đương tiền cuối kỳ (70 = 50+60+61)</t>
  </si>
  <si>
    <t>Tiền thu từ hoạt động đầu tư</t>
  </si>
  <si>
    <t>Finhay JSC</t>
  </si>
  <si>
    <t>Finhay LTD</t>
  </si>
  <si>
    <t>Lọc 515/1121</t>
  </si>
  <si>
    <t>Lọc nợ 112*/có 5152 (5152)</t>
  </si>
  <si>
    <t>Lọc nợ 112*/có 5110208 (5151)</t>
  </si>
  <si>
    <t>Lọc nợ 112/có 515</t>
  </si>
  <si>
    <t>Working tách tiền đầu tư nắm giữ đến ngày đáo hạn</t>
  </si>
  <si>
    <t>Bao gồm 2 khoản</t>
  </si>
  <si>
    <t>1. Tiền gửi tiết kiệm lấy lãi của Finhay Cty mẹ</t>
  </si>
  <si>
    <t>1281; 2288</t>
  </si>
  <si>
    <t>OB (end of 2023)</t>
  </si>
  <si>
    <t>CB (end of 30Jun24)</t>
  </si>
  <si>
    <t>trong đó</t>
  </si>
  <si>
    <t>CF inflow do giảm tiền gửi</t>
  </si>
  <si>
    <t>Quyết toán lãi lỗ bán CCTG</t>
  </si>
  <si>
    <t>Điều chỉnh do tính lãi sai</t>
  </si>
  <si>
    <t>2. Tiền cho vay Margin &amp; ứng trước tiền cho khách của VNSC</t>
  </si>
  <si>
    <t>CB (end of 31Dec24)</t>
  </si>
  <si>
    <t>Mvt - CF outflow do tăng tiền cho vay Margin</t>
  </si>
  <si>
    <t>Leadsheet summary by item</t>
  </si>
  <si>
    <t>A5.FY24</t>
  </si>
  <si>
    <t>A5 CTC HY24</t>
  </si>
  <si>
    <t>A5 CTC FY24</t>
  </si>
  <si>
    <t>A5 Consol FY24</t>
  </si>
  <si>
    <t>WTB Consol v5.3</t>
  </si>
  <si>
    <t>KCG Vietnam</t>
  </si>
  <si>
    <t>FS Code</t>
  </si>
  <si>
    <t>N2FS code Consol</t>
  </si>
  <si>
    <t>N2FS code
Single</t>
  </si>
  <si>
    <t>LS Account</t>
  </si>
  <si>
    <t>Section</t>
  </si>
  <si>
    <t>Allocation</t>
  </si>
  <si>
    <t>Finhay JSC
31/12/2024
Unaudited
VND</t>
  </si>
  <si>
    <t>Finhay JSC
31/12/2024
Audited
VND</t>
  </si>
  <si>
    <t>Finhay JSC
FY23
Unaudited
VND</t>
  </si>
  <si>
    <t>Finhay JSC
FY23
Audited
VND</t>
  </si>
  <si>
    <t>+/-</t>
  </si>
  <si>
    <t>%</t>
  </si>
  <si>
    <t>IFRS N2FS code</t>
  </si>
  <si>
    <t>Allocate Finhay LTD</t>
  </si>
  <si>
    <t>Finhay Ltd
31/12/2024
Unaudited
VND</t>
  </si>
  <si>
    <t>Finhay Ltd
31/12/2024
Audited
VND</t>
  </si>
  <si>
    <t>VNSC
31/12/2024
Unaudited
VND</t>
  </si>
  <si>
    <t>VNSC
31/12/2024
Audited
VND</t>
  </si>
  <si>
    <t>KCG Vietnam
31/12/2024
Unaudited
VND</t>
  </si>
  <si>
    <t>KCG Vietnam
31/12/2024
Audited
VND</t>
  </si>
  <si>
    <t>Consol Finhay Ltd
Unaudited
31/12/2024
VND</t>
  </si>
  <si>
    <t>Consol Finhay Ltd
Audit ADJ
VND</t>
  </si>
  <si>
    <t>Consol Finhay Ltd
Audited
VND</t>
  </si>
  <si>
    <t>XH
31/12/2024
Unaudited
VND</t>
  </si>
  <si>
    <t>XH
31/12/2024
Audited
VND</t>
  </si>
  <si>
    <t>Consol Finhay
31/12/2024
Unaudited
VND</t>
  </si>
  <si>
    <t>Consol Finhay
31/12/2024
Audited
VND</t>
  </si>
  <si>
    <t>Finhay Ltd
31/12/2023
Unaudited
VND</t>
  </si>
  <si>
    <t>ADJ</t>
  </si>
  <si>
    <t>Finhay Ltd
31/12/2023
Audited
VND</t>
  </si>
  <si>
    <t>VNSC
30/06/2023
Unaudited
VND</t>
  </si>
  <si>
    <t>VNSC
30/06/2023
Audited
VND</t>
  </si>
  <si>
    <t>XH
30/06/2023
Unaudited
VND</t>
  </si>
  <si>
    <t>XH
30/06/2023
Audited
VND</t>
  </si>
  <si>
    <t>KCG Vietnam
30/06/2023
Unaudited
VND</t>
  </si>
  <si>
    <t>KCG Vietnam
30/06/2023
Audited
VND</t>
  </si>
  <si>
    <t>Consol Finhay
31/12/2023
Unaudited
VND</t>
  </si>
  <si>
    <t>Consol Finhay
31/12/2023
Audited
VND</t>
  </si>
  <si>
    <t>BẢNG CÂN ĐỐI KẾ TOÁN</t>
  </si>
  <si>
    <t>TÀI SẢN NGẮN HẠN</t>
  </si>
  <si>
    <t>TIỀN MẶT</t>
  </si>
  <si>
    <t>4.1</t>
  </si>
  <si>
    <t>C</t>
  </si>
  <si>
    <t xml:space="preserve">Giang </t>
  </si>
  <si>
    <t>BS12.1</t>
  </si>
  <si>
    <t>Giang</t>
  </si>
  <si>
    <t>4.2</t>
  </si>
  <si>
    <t>Tiền gửi tại ngân hàng</t>
  </si>
  <si>
    <t>BS12.2</t>
  </si>
  <si>
    <t>1122</t>
  </si>
  <si>
    <t>Tiền Ngoại tệ</t>
  </si>
  <si>
    <t>4.3</t>
  </si>
  <si>
    <t>11311</t>
  </si>
  <si>
    <t>Tiền đang chuyển: Từ chuyển tiền nội bộ</t>
  </si>
  <si>
    <t>CÁC KHOẢN TƯƠNG ĐƯƠNG TIỀN</t>
  </si>
  <si>
    <t>4.4</t>
  </si>
  <si>
    <t>Các khoản tương đương tiền</t>
  </si>
  <si>
    <t>Cần phân loại lại tương đương tiền từ 1281</t>
  </si>
  <si>
    <t>ĐẦU TƯ TÀI SẢN TÀI CHÍNH NGẮN HẠN</t>
  </si>
  <si>
    <t>CHỨNG KHOÁN KINH DOANH</t>
  </si>
  <si>
    <t>5.1.1</t>
  </si>
  <si>
    <t>D</t>
  </si>
  <si>
    <t>BS14.2</t>
  </si>
  <si>
    <t>5.1.2</t>
  </si>
  <si>
    <t>BS16.1</t>
  </si>
  <si>
    <t>5.1.3</t>
  </si>
  <si>
    <t>Chứng chỉ quỹ + Chứng khoán kinh doanh khác</t>
  </si>
  <si>
    <t>BS14.1</t>
  </si>
  <si>
    <t>Dự phòng tổn thất chứng khoán kinh doanh</t>
  </si>
  <si>
    <t>Đánh giá lại cổ phiếu (của VNSC revert nếu có số dư)</t>
  </si>
  <si>
    <t>Đánh giá lại trái phiếu (của VNSC revert nếu có số dư)</t>
  </si>
  <si>
    <t>1218.02</t>
  </si>
  <si>
    <t>Đánh giá lại chứng khoán kinh doanh khác (của VNSC revert nếu có số dư)</t>
  </si>
  <si>
    <t>ĐẦU TƯ NẮM GIỮ ĐẾN NGÀY ĐÁO HẠN</t>
  </si>
  <si>
    <t>5.3.1</t>
  </si>
  <si>
    <t>7.6</t>
  </si>
  <si>
    <t>E</t>
  </si>
  <si>
    <t>Dung</t>
  </si>
  <si>
    <t>BS17.0</t>
  </si>
  <si>
    <t>CÁC KHOẢN PHẢI THU NGẮN HẠN</t>
  </si>
  <si>
    <t>BS17.2</t>
  </si>
  <si>
    <t>131.01</t>
  </si>
  <si>
    <t>An</t>
  </si>
  <si>
    <t>TRẢ TRƯỚC CHO NGƯỜI BÁN NGẮN HẠN</t>
  </si>
  <si>
    <t>331N</t>
  </si>
  <si>
    <t>Trả trước cho người bán</t>
  </si>
  <si>
    <t>BS17.6</t>
  </si>
  <si>
    <t>PHẢI THU NGẮN HẠN KHÁC</t>
  </si>
  <si>
    <t>7.2</t>
  </si>
  <si>
    <t>Lãi dự thu margin và UTTB của VNSC (có cả lãi CCTG, Trái phiếu nếu chưa vert)</t>
  </si>
  <si>
    <t>BS17.9</t>
  </si>
  <si>
    <t>Còn lại lãi dự thu của Margin</t>
  </si>
  <si>
    <t>VNSC còn lại toàn lãi dự thu của cho vay margin và ứng trước tiền bán</t>
  </si>
  <si>
    <t>1388.Quy</t>
  </si>
  <si>
    <t>7.5</t>
  </si>
  <si>
    <t>Chênh lệch NAV CCQ</t>
  </si>
  <si>
    <t>BS17.10</t>
  </si>
  <si>
    <t>7.4</t>
  </si>
  <si>
    <t>1388.CK</t>
  </si>
  <si>
    <t>Phải thu khác: Phải thu từ các công cụ tài chính (Chứng khoán)</t>
  </si>
  <si>
    <t>7.1</t>
  </si>
  <si>
    <t>Phải thu lãi từ HD tiền gửi</t>
  </si>
  <si>
    <t>BS17.3</t>
  </si>
  <si>
    <t>1388.Other</t>
  </si>
  <si>
    <t>1388.Pool</t>
  </si>
  <si>
    <t>Phải thu khác: Liquidity Pool (chưa thu/trả)</t>
  </si>
  <si>
    <t>BS17.8</t>
  </si>
  <si>
    <t>Phải thu khác - Sản phẩm vàng</t>
  </si>
  <si>
    <t>Phải thu hoạt động nghiệp vụ chứng khoán</t>
  </si>
  <si>
    <t>G</t>
  </si>
  <si>
    <t>BS17.1</t>
  </si>
  <si>
    <t>7.3</t>
  </si>
  <si>
    <t>Cầm cố, thế chấp, ký quỹ, ký cược ngắn hạn</t>
  </si>
  <si>
    <t>1398</t>
  </si>
  <si>
    <t>Dự phòng suy giảm giá trị phải thu khác</t>
  </si>
  <si>
    <t>HÀNG TỒN KHO</t>
  </si>
  <si>
    <t>8.2</t>
  </si>
  <si>
    <t>1531</t>
  </si>
  <si>
    <t>Công cụ, dụng cụ</t>
  </si>
  <si>
    <t>F</t>
  </si>
  <si>
    <t>Linh</t>
  </si>
  <si>
    <t>BS17.4</t>
  </si>
  <si>
    <t>8.1</t>
  </si>
  <si>
    <t>Gói Galaxy Play Cao Cấp 1 tháng theo hợp đồng số: 15112023_HDDV01_GP_FH ký ngày 15/11/2023</t>
  </si>
  <si>
    <t>BS17.7</t>
  </si>
  <si>
    <t>TÀI SẢN NGẮN HẠN KHÁC</t>
  </si>
  <si>
    <t>11.1</t>
  </si>
  <si>
    <t>Công cụ dụng cụ ngắn hạn</t>
  </si>
  <si>
    <t>To check lại CCDC hay chi phí trả trước của VNSC</t>
  </si>
  <si>
    <t>11.2</t>
  </si>
  <si>
    <t>Chi phí trả trước - ngắn hạn</t>
  </si>
  <si>
    <t>15.6</t>
  </si>
  <si>
    <t>O</t>
  </si>
  <si>
    <t>TÀI SẢN DÀI HẠN</t>
  </si>
  <si>
    <t>TÀI SẢN CỐ ĐỊNH HỮU HÌNH</t>
  </si>
  <si>
    <t>K</t>
  </si>
  <si>
    <t>BS18.1</t>
  </si>
  <si>
    <t>TÀI SẢN CỐ ĐỊNH VÔ HÌNH</t>
  </si>
  <si>
    <t>BS19.1</t>
  </si>
  <si>
    <t>Bản quyền phần mềm, bằng sáng chế</t>
  </si>
  <si>
    <t>CHI PHÍ XÂY DỰNG CƠ BẢN DỞ DANG</t>
  </si>
  <si>
    <t>12.1</t>
  </si>
  <si>
    <t>BS18.3</t>
  </si>
  <si>
    <t>ĐẦU TƯ TÀI CHÍNH DÀI HẠN</t>
  </si>
  <si>
    <t>BS13.3</t>
  </si>
  <si>
    <t>TÀI SẢN DÀI HẠN KHÁC</t>
  </si>
  <si>
    <t>11.3</t>
  </si>
  <si>
    <t>11.4</t>
  </si>
  <si>
    <t>Chi phí trả trước dài hạn chờ phân bổ</t>
  </si>
  <si>
    <t>Chi phí trả trước - dài hạn</t>
  </si>
  <si>
    <t>2431</t>
  </si>
  <si>
    <t>Tài sản thuế thu nhập hoãn lại</t>
  </si>
  <si>
    <t>Lợi thế thương mại</t>
  </si>
  <si>
    <t>11.5</t>
  </si>
  <si>
    <t>Cầm cố, thế chấp, ký quỹ, ký cược dài hạn</t>
  </si>
  <si>
    <t>TỔNG TÀI SẢN</t>
  </si>
  <si>
    <t>NỢ PHẢI TRẢ</t>
  </si>
  <si>
    <t>NỢ NGẮN HẠN</t>
  </si>
  <si>
    <t>N</t>
  </si>
  <si>
    <t>BS23.4</t>
  </si>
  <si>
    <t>THUẾ VÀ CÁC KHOẢN PHẢI NỘP NHÀ NƯỚC</t>
  </si>
  <si>
    <t>15.1</t>
  </si>
  <si>
    <t>BS24.1</t>
  </si>
  <si>
    <t>15.5</t>
  </si>
  <si>
    <t>BS24.3</t>
  </si>
  <si>
    <t>15.2</t>
  </si>
  <si>
    <t>Thuế thu nhập cá nhân lao động TNHH Finhay Việt Nam</t>
  </si>
  <si>
    <t>VB</t>
  </si>
  <si>
    <t>BS24.2</t>
  </si>
  <si>
    <t>3335.LV</t>
  </si>
  <si>
    <t>Thuế thu nhập cá nhân từ lãi vay</t>
  </si>
  <si>
    <t>15.3</t>
  </si>
  <si>
    <t>Thuế thu nhập cá nhân dịch vụ thuê ngoài</t>
  </si>
  <si>
    <t>15.4</t>
  </si>
  <si>
    <t>3335-NLD</t>
  </si>
  <si>
    <t>Thuế thu nhập cá nhân của người lao động</t>
  </si>
  <si>
    <t>PHẢI TRẢ NGƯỜI LAO ĐỘNG</t>
  </si>
  <si>
    <t>BS23.2</t>
  </si>
  <si>
    <t>CHI PHÍ PHẢI TRẢ NGẮN HẠN</t>
  </si>
  <si>
    <t>P</t>
  </si>
  <si>
    <t>BS23.5</t>
  </si>
  <si>
    <t>DOANH THU CHƯA THỰC HIỆN NGẮN HẠN</t>
  </si>
  <si>
    <t>18.1</t>
  </si>
  <si>
    <t>Doanh thu chưa thực hiện ngắn hạn</t>
  </si>
  <si>
    <t>PHẢI TRẢ NGẮN HẠN KHÁC</t>
  </si>
  <si>
    <t>17.5</t>
  </si>
  <si>
    <t>Tài khoản tiền của user (Chứng khoán)</t>
  </si>
  <si>
    <t>BS23.3</t>
  </si>
  <si>
    <t>17.2</t>
  </si>
  <si>
    <t>BS21.1</t>
  </si>
  <si>
    <t>17.3</t>
  </si>
  <si>
    <t>17.7</t>
  </si>
  <si>
    <t>Phải trả, phải nộp khác - Vàng</t>
  </si>
  <si>
    <t>Phải trả, phải nộp khác: Khác</t>
  </si>
  <si>
    <t>17.1</t>
  </si>
  <si>
    <t>BS22.1</t>
  </si>
  <si>
    <t>3388.Quy</t>
  </si>
  <si>
    <t>Phải trả, phải nộp quỹ</t>
  </si>
  <si>
    <t>3388.TD3</t>
  </si>
  <si>
    <t>3388.Pool</t>
  </si>
  <si>
    <t>Phải trả, phải nộp - Vàng (Liquidity Pool)</t>
  </si>
  <si>
    <t>3388.SS</t>
  </si>
  <si>
    <t>Phải trả người dùng: Super Saving</t>
  </si>
  <si>
    <t>Phải trả, phải nộp ngân hàng</t>
  </si>
  <si>
    <t>3388.BH</t>
  </si>
  <si>
    <t>Phải trả, phải nộp khác - Bảo hiểm</t>
  </si>
  <si>
    <t>Phải trả người dùng-Chứng chỉ tiền gửi</t>
  </si>
  <si>
    <t>3388.CL9</t>
  </si>
  <si>
    <t>Phải trả người dùng-CỬU LONG 9</t>
  </si>
  <si>
    <t>3388.Nsav</t>
  </si>
  <si>
    <t>Phải trả người dùng-Tiền nạp chưa khớp</t>
  </si>
  <si>
    <t>3388-Gốc-Lãi lỗ</t>
  </si>
  <si>
    <t>Phải trả người dùng-Chứng chỉ quỹ</t>
  </si>
  <si>
    <t>3388-Khác</t>
  </si>
  <si>
    <t>17.4</t>
  </si>
  <si>
    <t>3388.NAV</t>
  </si>
  <si>
    <t>Phải trả, phải nộp khác - 1388.NAV dư có</t>
  </si>
  <si>
    <t>Phải trả hoạt động nghiệp vụ chứng khoán</t>
  </si>
  <si>
    <t>17.6</t>
  </si>
  <si>
    <t>NỢ PHẢI TRẢ DÀI HẠN</t>
  </si>
  <si>
    <t>DOANH THU CHƯA THỰC HIỆN DÀI HẠN</t>
  </si>
  <si>
    <t>18.2</t>
  </si>
  <si>
    <t>Doanh thu chưa thực hiện dài hạn</t>
  </si>
  <si>
    <t>VAY NGẮN HẠN</t>
  </si>
  <si>
    <t>BS20.1</t>
  </si>
  <si>
    <t>VỐN CHỦ SỞ HỮU</t>
  </si>
  <si>
    <t>T</t>
  </si>
  <si>
    <t>418</t>
  </si>
  <si>
    <t>Dự trữ pháp định</t>
  </si>
  <si>
    <t>Quỹ khác thuộc vốn chủ sở hữu</t>
  </si>
  <si>
    <t>Lợi ích cổ đông không kiểm soát-BS</t>
  </si>
  <si>
    <t>TỔNG NỢ PHẢI TRẢ VÀ VỐN CHỦ SỞ HỮU</t>
  </si>
  <si>
    <t>BÁO CÁO KẾT QUẢ HOẠT ĐỘNG KINH DOANH</t>
  </si>
  <si>
    <t>DOANH THU BÁN HÀNG VÀ CUNG CẤP DỊCH VỤ</t>
  </si>
  <si>
    <t>20.1.12</t>
  </si>
  <si>
    <t>20.1.9</t>
  </si>
  <si>
    <t>Doanh thu bán vàng (CTC)</t>
  </si>
  <si>
    <t>UA</t>
  </si>
  <si>
    <t>PL7.3.1</t>
  </si>
  <si>
    <t>20.1.13</t>
  </si>
  <si>
    <t>20.1.2</t>
  </si>
  <si>
    <t>PL6.1</t>
  </si>
  <si>
    <t>20.1.4</t>
  </si>
  <si>
    <t>PL6.2</t>
  </si>
  <si>
    <t>20.1.1</t>
  </si>
  <si>
    <t>5113.04</t>
  </si>
  <si>
    <t>Doanh thu từ giao dịch thu hộ bảo hiểm</t>
  </si>
  <si>
    <t>PL6.6</t>
  </si>
  <si>
    <t>20.1.3</t>
  </si>
  <si>
    <t>PL6.3</t>
  </si>
  <si>
    <t>20.1.5</t>
  </si>
  <si>
    <t>5113.06</t>
  </si>
  <si>
    <t>Doanh thu từ HĐ người dùng nạp tiền qua ví điện tử</t>
  </si>
  <si>
    <t>PL6.4</t>
  </si>
  <si>
    <t>20.1.6</t>
  </si>
  <si>
    <t>5113.07</t>
  </si>
  <si>
    <t>Doanh thu từ phí xác thực số dư tài khoản</t>
  </si>
  <si>
    <t>PL6.5</t>
  </si>
  <si>
    <t>5113.09</t>
  </si>
  <si>
    <t>Doanh thu từ HĐ người dùng rút tiền nhanh - TD3</t>
  </si>
  <si>
    <t>20.1.7</t>
  </si>
  <si>
    <t>PL6.7</t>
  </si>
  <si>
    <t>5113.11</t>
  </si>
  <si>
    <t>Doanh thu từ hợp tác kinh doanh với đối tác - GD bảo hiểm</t>
  </si>
  <si>
    <t>5113.14</t>
  </si>
  <si>
    <t>Doanh thu từ hợp tác kinh doanh với đối tác - Dịch vụ tài chính khác (cross-sell partner)</t>
  </si>
  <si>
    <t>20.1.8</t>
  </si>
  <si>
    <t>20.1.10</t>
  </si>
  <si>
    <t>20.1.11</t>
  </si>
  <si>
    <t>Doanh thu lưu ký chứng khoán</t>
  </si>
  <si>
    <t>GIÁ VỐN HÀNG BÁN</t>
  </si>
  <si>
    <t>21.8</t>
  </si>
  <si>
    <t>VA</t>
  </si>
  <si>
    <t>Phân bổ hết công cụ dụng cụ</t>
  </si>
  <si>
    <t>PL10.2</t>
  </si>
  <si>
    <t>Hao mòn tăng, in line vs K section</t>
  </si>
  <si>
    <t>21.2</t>
  </si>
  <si>
    <t>Phí giao dịch CCQ FH phải trả cho TVS và TVAM, nhưng đến 2024 ko còn thông qua 2 bên này mà chuyển hết cho VNSC</t>
  </si>
  <si>
    <t>PL6.8</t>
  </si>
  <si>
    <t>Finhay mua trái phiếu MBB</t>
  </si>
  <si>
    <t>21.4</t>
  </si>
  <si>
    <t>6277.04</t>
  </si>
  <si>
    <t>Phí xác thực số dư</t>
  </si>
  <si>
    <t>PL6.12</t>
  </si>
  <si>
    <t>Ko phát sinh phí đăng ký, phí duy trì, dịch vụ tài khoản quản lý tên miền của vinasecurities.vn và vinasecurities.com.vn</t>
  </si>
  <si>
    <t>PL10.4</t>
  </si>
  <si>
    <t>Trả tiền app desgin</t>
  </si>
  <si>
    <t>PL10.3</t>
  </si>
  <si>
    <t>Chưa phát sinh phí nhà mạng với VNPT</t>
  </si>
  <si>
    <t>Hết phân bổ dịch vụ Cung cấp và lắp đặt nội thất văn phòng mới theo HD từ 20221 vào tháng 1/2024</t>
  </si>
  <si>
    <t>PL10.7</t>
  </si>
  <si>
    <t>6277.12</t>
  </si>
  <si>
    <t>Chi phí thông tin liên lạc khác</t>
  </si>
  <si>
    <t>21.1</t>
  </si>
  <si>
    <t>Không còn phát sinh phí quản lý danh mục đầu tư với BIDV, chỉ còn với TVAM</t>
  </si>
  <si>
    <t>PL6.10</t>
  </si>
  <si>
    <t>21.5</t>
  </si>
  <si>
    <t>Chi phí thu hộ qua ví điện tử &amp; trung gian thanh toán</t>
  </si>
  <si>
    <t>PL6.11</t>
  </si>
  <si>
    <t>21.3</t>
  </si>
  <si>
    <t>PL6.9</t>
  </si>
  <si>
    <t>21.6</t>
  </si>
  <si>
    <t>Năm 2024, số lượng người dùng không tăng đáng kể =&gt; không thể phát hành nhiều thẻ =&gt; chi phí giảm mạnh so với năm 2023. Phí chia sẻ tin nhắn không còn trong năm 2024"</t>
  </si>
  <si>
    <t>PL6.13</t>
  </si>
  <si>
    <t>Năm 2024, số lượng người dùng không tăng nên ko nhiều chi phí phát sinh ban đầu như năm 2023. Nhưng ổn định hơn và ko biến động mạnh như năm 2023</t>
  </si>
  <si>
    <t>PL10.6</t>
  </si>
  <si>
    <t>6277.18</t>
  </si>
  <si>
    <t>Chi phí tư vấn đầu tư</t>
  </si>
  <si>
    <t>Finhay giảm lượng chứng chỉ quỹ giao dịch với TVAM</t>
  </si>
  <si>
    <t>Chi phí tiêu dùng nội bộ</t>
  </si>
  <si>
    <t>21.11</t>
  </si>
  <si>
    <t>PL7.3.2</t>
  </si>
  <si>
    <t>21.9</t>
  </si>
  <si>
    <t>Chi phí môi giới chứng khoán</t>
  </si>
  <si>
    <t>21.12</t>
  </si>
  <si>
    <t>Chi phí lưu ký chứng khoán</t>
  </si>
  <si>
    <t>DOANH THU HOẠT ĐỘNG TÀI CHÍNH</t>
  </si>
  <si>
    <t>20.2.1</t>
  </si>
  <si>
    <t>Doanh thu tài chính: Lãi đã nhận</t>
  </si>
  <si>
    <t>UC</t>
  </si>
  <si>
    <t>PL5.1</t>
  </si>
  <si>
    <t>Doanh thu tài chính: Lãi dự thu</t>
  </si>
  <si>
    <t>5155</t>
  </si>
  <si>
    <t>Chênh lệch lãi tỷ giá hối đoái đã thực hiện</t>
  </si>
  <si>
    <t>PL7.3.5</t>
  </si>
  <si>
    <t>20.2.3</t>
  </si>
  <si>
    <t>PL7.1.1</t>
  </si>
  <si>
    <t>PL8.2</t>
  </si>
  <si>
    <t>Lãi từ việc mua bán tài sản - quyết toán từ VNSC</t>
  </si>
  <si>
    <t>20.2.7</t>
  </si>
  <si>
    <t>20.2.6</t>
  </si>
  <si>
    <t>5154</t>
  </si>
  <si>
    <t>Lãi từ việc đánh giá tài sản/nợ phải trả</t>
  </si>
  <si>
    <t>PL7.1.2</t>
  </si>
  <si>
    <t>20.2.5</t>
  </si>
  <si>
    <t>20.2.2</t>
  </si>
  <si>
    <t>5157</t>
  </si>
  <si>
    <t>Doanh thu tài chính: Lãi cổ tức</t>
  </si>
  <si>
    <t>Chênh lệch đánh giá tăng FVTPL của VNSC (Revert đầu gốc nếu có phát sinh)</t>
  </si>
  <si>
    <t>CHI PHÍ HOẠT ĐỘNG TÀI CHÍNH</t>
  </si>
  <si>
    <t>24.8</t>
  </si>
  <si>
    <t>24.3</t>
  </si>
  <si>
    <t>UC-N</t>
  </si>
  <si>
    <t>24.4</t>
  </si>
  <si>
    <t>PL5.4</t>
  </si>
  <si>
    <t>24.2</t>
  </si>
  <si>
    <t>Lỗ từ việc mua bán tài sản-CCQ,CK</t>
  </si>
  <si>
    <t>UC-D</t>
  </si>
  <si>
    <t>PL7.1.3</t>
  </si>
  <si>
    <t>Lỗ từ việc mua bán tài sản-FI</t>
  </si>
  <si>
    <t>PL8.3</t>
  </si>
  <si>
    <t>Lỗ từ việc mua bán tài sản-CK</t>
  </si>
  <si>
    <t>Lỗ từ việc mua bán tài sản-Haybond</t>
  </si>
  <si>
    <t>24.7</t>
  </si>
  <si>
    <t>6354.04</t>
  </si>
  <si>
    <t>Chi phí môi giới và tư vấn đầu tư chứng khoán (VNSC)</t>
  </si>
  <si>
    <t>Chi phí dự phòng tổn thất chứng khoán kinh doanh</t>
  </si>
  <si>
    <t>PL7.1.4</t>
  </si>
  <si>
    <t>24.1</t>
  </si>
  <si>
    <t>PL5.5</t>
  </si>
  <si>
    <t>24.5</t>
  </si>
  <si>
    <t>6357</t>
  </si>
  <si>
    <t>Chi phí tài chính: Phí ứng tiền</t>
  </si>
  <si>
    <t>24.6</t>
  </si>
  <si>
    <t>PL5.6</t>
  </si>
  <si>
    <t>Chi phí tài chính khác</t>
  </si>
  <si>
    <t>6355.01</t>
  </si>
  <si>
    <t>Chênh lệch đánh giá giảm FVTPL của VNSC (Revert đầu gốc nếu có phát sinh)</t>
  </si>
  <si>
    <t>CHI PHÍ BÁN HÀNG</t>
  </si>
  <si>
    <t>22.1</t>
  </si>
  <si>
    <t>Chi phí lương thưởng</t>
  </si>
  <si>
    <t>VC</t>
  </si>
  <si>
    <t>PL9.1</t>
  </si>
  <si>
    <t>Các khoản trích nộp bảo hiểm</t>
  </si>
  <si>
    <t>PL9.2</t>
  </si>
  <si>
    <t>6411.03</t>
  </si>
  <si>
    <t>Chi phí phúc lợi khác</t>
  </si>
  <si>
    <t>PL9.3</t>
  </si>
  <si>
    <t>22.4</t>
  </si>
  <si>
    <t>22.7</t>
  </si>
  <si>
    <t>22.5</t>
  </si>
  <si>
    <t>22.3</t>
  </si>
  <si>
    <t>Đầu năm 2023, Finhay có phát sinh 476tr chi phí nghiên cứu thị trường và launch dự án VNSC by Finhay. Chi phí này chỉ phát sinh 1 lần theo nature của dự án</t>
  </si>
  <si>
    <t>22.6</t>
  </si>
  <si>
    <t>6417.08</t>
  </si>
  <si>
    <t>Chuyển phát nhanh</t>
  </si>
  <si>
    <t>Cải tạo &amp; nâng cấp văn phòng</t>
  </si>
  <si>
    <t>6417.13</t>
  </si>
  <si>
    <t>PL10.5</t>
  </si>
  <si>
    <t>6417.17</t>
  </si>
  <si>
    <t>Chi phì bằng tiền khác</t>
  </si>
  <si>
    <t>Chi phí này Finhay discount cho users, phụ thuộc vào số lượng giao dịch của users trên các sàn thương mại điện tử. Năm nay 2024 Finhay chuyển phần lớn hoạt động kinh doanh sang VNSC nên số lượng users giảm, chi phí này cũng giảm theo.</t>
  </si>
  <si>
    <t>6418.04</t>
  </si>
  <si>
    <t>CHI PHÍ QUẢN LÝ DOANH NGHIỆP</t>
  </si>
  <si>
    <t>23.2</t>
  </si>
  <si>
    <t>VD</t>
  </si>
  <si>
    <t>23.3</t>
  </si>
  <si>
    <t>Phúc lợi khác</t>
  </si>
  <si>
    <t>23.13</t>
  </si>
  <si>
    <t>23.4</t>
  </si>
  <si>
    <t>Chi phí vật liệu quản lý</t>
  </si>
  <si>
    <t>23.5</t>
  </si>
  <si>
    <t>Chi phí phân bổ lợi thế thương mại</t>
  </si>
  <si>
    <t>23.1</t>
  </si>
  <si>
    <t>PL10.1</t>
  </si>
  <si>
    <t>6426</t>
  </si>
  <si>
    <t>Trích lập dự phòng</t>
  </si>
  <si>
    <t>23.7</t>
  </si>
  <si>
    <t>23.9</t>
  </si>
  <si>
    <t>Công tác_Tiền vé máy bay</t>
  </si>
  <si>
    <t>23.11</t>
  </si>
  <si>
    <t>Phí hỗ trợ kiểm soát gd bank</t>
  </si>
  <si>
    <t>23.6</t>
  </si>
  <si>
    <t>Chi phí cải tạo &amp; nâng cấp văn phòng</t>
  </si>
  <si>
    <t>6427.25</t>
  </si>
  <si>
    <t>Chi phí test COVID</t>
  </si>
  <si>
    <t>6427.27</t>
  </si>
  <si>
    <t>Phí bảo hiểm tài sản cố định</t>
  </si>
  <si>
    <t>Dịch vụ tư vấn pháp lý</t>
  </si>
  <si>
    <t>Chi phí tiêu dùng nội bộ từ vàng và dịch vụ phần mềm</t>
  </si>
  <si>
    <t>Chi phí bằng tiền chưa có hóa đơn</t>
  </si>
  <si>
    <t>THU NHẬP KHÁC VÀ CHI PHÍ KHÁC</t>
  </si>
  <si>
    <t>UB</t>
  </si>
  <si>
    <t>PL8.7</t>
  </si>
  <si>
    <t>Lợi ích cổ đông không kiểm soát-PL</t>
  </si>
  <si>
    <t>TỔNG LỢI NHUẬN KẾ TOÁN TRƯỚC THUẾ</t>
  </si>
  <si>
    <t>Chênh do các bút toán NCI-BS và 4212 khi phát hành thêm cổ phiếu XH</t>
  </si>
  <si>
    <t>Tiền gửi</t>
  </si>
  <si>
    <t>Revenue</t>
  </si>
  <si>
    <t>Cost</t>
  </si>
  <si>
    <t>Margin</t>
  </si>
  <si>
    <t>FI</t>
  </si>
  <si>
    <t>Haybond</t>
  </si>
  <si>
    <t>Chứng khoán</t>
  </si>
  <si>
    <t>Note to FSs - Consolidated</t>
  </si>
  <si>
    <t>Type</t>
  </si>
  <si>
    <t>PIC</t>
  </si>
  <si>
    <t>Status</t>
  </si>
  <si>
    <t>Code</t>
  </si>
  <si>
    <t>1. Thông tin về Công ty</t>
  </si>
  <si>
    <t>Manual</t>
  </si>
  <si>
    <t>Done</t>
  </si>
  <si>
    <t>31/12/2024
VND</t>
  </si>
  <si>
    <t>31/12/2023
VND</t>
  </si>
  <si>
    <t>Nhà đầu tư trong nước</t>
  </si>
  <si>
    <t>Nhà đầu tư nước ngoài</t>
  </si>
  <si>
    <t>Vốn điều lệ đăng ký ban đầu của Công ty</t>
  </si>
  <si>
    <t>Vốn điều lệ của Công ty</t>
  </si>
  <si>
    <t>Tổng số nhân viên (người)</t>
  </si>
  <si>
    <t>%sở hữu</t>
  </si>
  <si>
    <t>Công ty con sở hữu trực tiếp</t>
  </si>
  <si>
    <t>Công ty TNHH Dịch vụ và Phân phối Finhay</t>
  </si>
  <si>
    <t>Công ty Cổ phần Đầu tư KCG Việt Nam</t>
  </si>
  <si>
    <t>Công ty con sở hữu gián tiếp</t>
  </si>
  <si>
    <t>Công ty Cổ phần Chứng khoán Vina</t>
  </si>
  <si>
    <t>Công ty Cổ phần Đầu tư và Dịch vụ XH</t>
  </si>
  <si>
    <t>4. TIỀN VÀ CÁC KHOẢN TƯƠNG ĐƯƠNG TIỀN</t>
  </si>
  <si>
    <t>Auto</t>
  </si>
  <si>
    <t>Tiền mặt tại quỹ</t>
  </si>
  <si>
    <t>Tiền gửi ngân hàng không kỳ hạn</t>
  </si>
  <si>
    <t>Kỳ hạn</t>
  </si>
  <si>
    <t>Lãi suất</t>
  </si>
  <si>
    <t>Kỳ hạn gốc 1 tháng</t>
  </si>
  <si>
    <t>Kỳ hạn gốc dưới 01 tháng</t>
  </si>
  <si>
    <t>5. CÁC KHOẢN ĐẦU TƯ TÀI CHÍNH DÀI HẠN</t>
  </si>
  <si>
    <t>5.1. Chứng khoán kinh doanh</t>
  </si>
  <si>
    <t>Manual/Auto</t>
  </si>
  <si>
    <t>Giá gốc
VND</t>
  </si>
  <si>
    <t>Giá trị hợp lý
VND</t>
  </si>
  <si>
    <t>Dự phòng
VND</t>
  </si>
  <si>
    <t>Ngày 30 tháng 6 năm 2024</t>
  </si>
  <si>
    <t>Giá gốc</t>
  </si>
  <si>
    <t>Giá trị hợp lý</t>
  </si>
  <si>
    <t>Chứng chỉ quỹ</t>
  </si>
  <si>
    <t>Trái phiếu niêm yết</t>
  </si>
  <si>
    <t>Các khoản đầu tư khác (*)</t>
  </si>
  <si>
    <t>Tập đoàn Vingroup - CTCP</t>
  </si>
  <si>
    <t>CTCP Chứng khoán VNDirect</t>
  </si>
  <si>
    <t>Ngân hàng Nông nghiệp và Phát triển nông thôn Việt Nam</t>
  </si>
  <si>
    <t>Chính phủ Việt Nam</t>
  </si>
  <si>
    <t>Trái phiếu chưa niêm yết</t>
  </si>
  <si>
    <t>Danh mục của user nắm giữ bởi Finhay theo hợp đồng hợp tác kinh doanh:</t>
  </si>
  <si>
    <t>Tổng Công ty Đầu tư và Phát triển công nghiệp - CTCP</t>
  </si>
  <si>
    <t>Ngân hàng TMCP Đầu tư và Phát Triển Việt Nam</t>
  </si>
  <si>
    <t>Chênh lệch tăng/(giảm)</t>
  </si>
  <si>
    <t>Chứng chỉ tiền gửi</t>
  </si>
  <si>
    <t>Singles</t>
  </si>
  <si>
    <t>GTHL - Giá vốc</t>
  </si>
  <si>
    <t>1388.NAV singles</t>
  </si>
  <si>
    <t>VNSC cổ phiếu</t>
  </si>
  <si>
    <t>VNSC trái phiếu</t>
  </si>
  <si>
    <t>5.2. Biến động của các khoản dự phòng chứng khoán kinh doanh</t>
  </si>
  <si>
    <t>Note không bắt buộc</t>
  </si>
  <si>
    <t>30/06/2024
VND</t>
  </si>
  <si>
    <t>Số đầu năm</t>
  </si>
  <si>
    <t>Phát sinh tăng</t>
  </si>
  <si>
    <t>Phát sinh giảm</t>
  </si>
  <si>
    <t>Số cuối năm</t>
  </si>
  <si>
    <t>5.3. Đầu tư nắm giữ đến ngày đáo hạn</t>
  </si>
  <si>
    <t>Giá trị ghi sổ</t>
  </si>
  <si>
    <t>Tiền gửi có kỳ hạn còn lại &lt; 1 năm</t>
  </si>
  <si>
    <t>Có chứng chỉ tiền gửi trong này không, nếu có thì phải thuyết minh ra line riêng - Đức Minh to check</t>
  </si>
  <si>
    <t>Cho vay hoạt động ký quỹ</t>
  </si>
  <si>
    <t>Cho vay hoạt động ký quỹ và cho vay hoạt động ứng trước tiền bán của khách hàng</t>
  </si>
  <si>
    <t>Ứng trước tiền bán</t>
  </si>
  <si>
    <t>Năm sau đặt code trên LS tách 2 cái này ra</t>
  </si>
  <si>
    <t>Lãi suất (%/năm)</t>
  </si>
  <si>
    <t>Kỳ hạn còn lại từ 01 - 09 tháng</t>
  </si>
  <si>
    <t>7.00% - 11.20%</t>
  </si>
  <si>
    <t>Kỳ hạn còn lại 05 tháng</t>
  </si>
  <si>
    <t>Cho vay ký quỹ (i)</t>
  </si>
  <si>
    <t>Không áp dụng kỳ hạn</t>
  </si>
  <si>
    <t>10.50% - 13.90%</t>
  </si>
  <si>
    <t>Không áp dụng</t>
  </si>
  <si>
    <t>Ứng trước tiền bán (ii)</t>
  </si>
  <si>
    <t>(i)</t>
  </si>
  <si>
    <t>Chứng khoán của Nhà đầu tư tham gia vào giao dịch vay ký quỹ được Công ty giữ như tài sản cầm cố cho khoản vay của Nhà đầu tư với Công ty. Tại ngày 31 tháng 12 năm 2024, giá trị mệnh giá của chứng khoán làm tài sản cầm cố cho các khoản cho vay giao dịch ký quỹ là xxx VND (giá trị thị trường của chứng khoán làm tài sản cầm cố cho các khoản cho vay giao dịch ký quỹ là xxx VND).</t>
  </si>
  <si>
    <t>(ii)</t>
  </si>
  <si>
    <t>Phản ánh khoản phải thu liên quan đến hoạt động ứng trước tiền bán chứng khoán cho Nhà đầu tư trong thời gian chờ nhận tiền bán chứng khoán.</t>
  </si>
  <si>
    <t xml:space="preserve">Giá trị tài sản bảo đảm tại thời điểm </t>
  </si>
  <si>
    <t>Mệnh giá
VND</t>
  </si>
  <si>
    <t>6. PHẢI THU KHÁCH HÀNG VÀ TRẢ TRƯỚC CHO NGƯỜI BÁN</t>
  </si>
  <si>
    <t>6.1. Phải thu khách hàng</t>
  </si>
  <si>
    <t>Ngắn hạn</t>
  </si>
  <si>
    <t>Phải thu từ khách hàng</t>
  </si>
  <si>
    <t>Nhớ break 10% cho cả 2 năm</t>
  </si>
  <si>
    <t>- Công ty CP Công nghệ Tài chính UNIKGATE</t>
  </si>
  <si>
    <t>- Công ty CP Gác-măng-giê</t>
  </si>
  <si>
    <t>- Phải thu các bên liên quan</t>
  </si>
  <si>
    <t>- Các khoản phải thu khách hàng khác</t>
  </si>
  <si>
    <t>Phải thu khách hàng với các bên liên quan</t>
  </si>
  <si>
    <t>6.2. Trả trước cho người bán</t>
  </si>
  <si>
    <t>- Công ty Cổ phần Gác-Măng-Giê</t>
  </si>
  <si>
    <t>- Công ty TNHH MTV LT Hà Nội</t>
  </si>
  <si>
    <t>- Công ty TNHH Dự án Hồ Tràm</t>
  </si>
  <si>
    <t>- Trả trước cho các bên liên quan</t>
  </si>
  <si>
    <t>- Các khoản trả trước cho người bán khác</t>
  </si>
  <si>
    <t>Trả trước các bên liên quan</t>
  </si>
  <si>
    <t>Không dán lên</t>
  </si>
  <si>
    <t>- Công ty Finhay 1</t>
  </si>
  <si>
    <t>- Công ty Finhay 2</t>
  </si>
  <si>
    <t>Trả trước cho người bán các bên liên quan</t>
  </si>
  <si>
    <t>7. PHẢI THU KHÁC</t>
  </si>
  <si>
    <t>Giá trị
VND</t>
  </si>
  <si>
    <t>Lãi dự thu hợp đồng tiền gửi</t>
  </si>
  <si>
    <t>Công ty Cổ phần Thương mại và Dịch vụ trực tuyến Onepay</t>
  </si>
  <si>
    <t>Chênh lệch đánh giá tăng của danh mục liên quan đến khoản phải trả của hợp đồng hợp tác kinh doanh</t>
  </si>
  <si>
    <t>Phải thu ngắn hạn từ các bên liên quan</t>
  </si>
  <si>
    <t>Cầm cố, ký quỹ, ký cược</t>
  </si>
  <si>
    <t>Phải thu ngắn hạn khác</t>
  </si>
  <si>
    <t>To Paste</t>
  </si>
  <si>
    <t>Phải thu ngắn hạn khác từ các bên liên quan</t>
  </si>
  <si>
    <t xml:space="preserve">Cầm cố, Ký quỹ, ký cược </t>
  </si>
  <si>
    <t>Phải thu hoạt động bảo lãnh, đại lý phát hành chứng khoán</t>
  </si>
  <si>
    <t>Tiền bán chờ về</t>
  </si>
  <si>
    <t>- Công ty Cổ phần Chứng khoán Thiên Việt</t>
  </si>
  <si>
    <t>- Ông Nghiêm Xuân Huy</t>
  </si>
  <si>
    <t>- Công ty Cổ phần Quản lý Quỹ Thiên Việt</t>
  </si>
  <si>
    <t>8. HÀNG TỒN KHO</t>
  </si>
  <si>
    <t>Vàng nhẫn (*)</t>
  </si>
  <si>
    <t>Gói dịch vụ Galaxy Play</t>
  </si>
  <si>
    <t>9. TÀI SẢN CỐ ĐỊNH HỮU HÌNH</t>
  </si>
  <si>
    <t>VNSC 31 Dec 2024</t>
  </si>
  <si>
    <t>Máy móc, thiết bị
VND</t>
  </si>
  <si>
    <t>Thiết bị, dụng cụ quản lý
VND</t>
  </si>
  <si>
    <t>Phương tiện vận tải, truyền dẫn
VND</t>
  </si>
  <si>
    <t>Tổng cộng
VND</t>
  </si>
  <si>
    <t>Ngày 1 tháng 1 năm 2024</t>
  </si>
  <si>
    <t>- Mua trong năm</t>
  </si>
  <si>
    <t>Tăng trong kỳ</t>
  </si>
  <si>
    <t>- Bán thanh lý trong năm</t>
  </si>
  <si>
    <t>Ngày 31 tháng 12 năm 2024</t>
  </si>
  <si>
    <t>Giá trị hao mòn lũy kế</t>
  </si>
  <si>
    <t>- Khấu hao trong năm</t>
  </si>
  <si>
    <t>Khấu hao trong kỳ</t>
  </si>
  <si>
    <t>Ngày 31 tháng 12 năm 2023</t>
  </si>
  <si>
    <t>Giá trị còn lại</t>
  </si>
  <si>
    <t>Số dư đầu năm</t>
  </si>
  <si>
    <t>Số dư cuối năm</t>
  </si>
  <si>
    <t>Ngày 30 tháng 06 năm 2024</t>
  </si>
  <si>
    <t>Nguyên giá tài sản cố định hữu hình đã khấu hao hết nhưng vẫn còn sử dụng</t>
  </si>
  <si>
    <t>Nguyên giá TSCĐ hữu hình đã hao mòn hết nhưng vẫn còn sử dụng</t>
  </si>
  <si>
    <t>10. TÀI SẢN CỐ ĐỊNH VÔ HÌNH</t>
  </si>
  <si>
    <t>VNSC 31/12/2024</t>
  </si>
  <si>
    <t>Phần mềm máy tính
VND</t>
  </si>
  <si>
    <t>Bản quyền, bằng sáng chế
VND</t>
  </si>
  <si>
    <t>Bản quyền, bằng sáng chế</t>
  </si>
  <si>
    <t>- Đầu tư xây dựng cơ bản hoàn thành</t>
  </si>
  <si>
    <t xml:space="preserve">- Mua mới trong năm </t>
  </si>
  <si>
    <t>Nguyên giá tài sản cố định vô hình đã khấu hao hết nhưng vẫn còn sử dụng</t>
  </si>
  <si>
    <t>Nguyên giá TSCĐ vô hình đã hao mòn hết nhưng vẫn còn sử dụng</t>
  </si>
  <si>
    <t>11. CHI PHÍ TRẢ TRƯỚC</t>
  </si>
  <si>
    <t>Công cụ, dụng cụ xuất dùng</t>
  </si>
  <si>
    <t>Chi phí trả trước dịch vụ ngắn hạn</t>
  </si>
  <si>
    <t>Dài hạn</t>
  </si>
  <si>
    <t>Chi phí trả trước dịch vụ dài hạn</t>
  </si>
  <si>
    <t>12. TÀI SẢN DỞ DANG DÀI HẠN</t>
  </si>
  <si>
    <t>Chi phí xây dựng cơ bản dở dang</t>
  </si>
  <si>
    <t>- Phần mềm máy tính (*)</t>
  </si>
  <si>
    <t>(*) Chi tiết biến động trong năm</t>
  </si>
  <si>
    <t>Phần mềm máy tính</t>
  </si>
  <si>
    <t>Tăng trong năm</t>
  </si>
  <si>
    <t>Chuyển sang tài sản cố định vô hình</t>
  </si>
  <si>
    <t>13. PHẢI TRẢ NGƯỜI BÁN</t>
  </si>
  <si>
    <t>Số có khả năng
trả nợ
VND</t>
  </si>
  <si>
    <t>Ngày 31 tháng 12 năm 2024</t>
  </si>
  <si>
    <t>Ngày 31 tháng 12 năm 2023</t>
  </si>
  <si>
    <t>Công ty Cổ phần FIG Capital</t>
  </si>
  <si>
    <t>- Phải trả các bên liên quan</t>
  </si>
  <si>
    <t xml:space="preserve">Phải thu người bán khác </t>
  </si>
  <si>
    <t>- Phải trả đối tượng khác</t>
  </si>
  <si>
    <t>Phải trả các bên liên quan</t>
  </si>
  <si>
    <t>- Công ty CP Quản lý Quỹ Thiên Việt</t>
  </si>
  <si>
    <t>14. THUẾ VÀ CÁC KHOẢN PHẢI NỘP NHÀ NƯỚC</t>
  </si>
  <si>
    <t>Nhặt số đã trả (Đối ứng tiền)</t>
  </si>
  <si>
    <t>Số đầu kỳ
VND</t>
  </si>
  <si>
    <t>Số phải nộp trong kỳ
VND</t>
  </si>
  <si>
    <t>Số đã nộp trong kỳ
VND</t>
  </si>
  <si>
    <t>Số cuối kỳ
VND</t>
  </si>
  <si>
    <t>Phải nộp</t>
  </si>
  <si>
    <t>Consolidated</t>
  </si>
  <si>
    <t>Thuế giá trị gia tăng</t>
  </si>
  <si>
    <t>- Thuế thu nhập cá nhân của nhân viên</t>
  </si>
  <si>
    <t>3335.FH và 3335.NLD</t>
  </si>
  <si>
    <t>- Thuế thu nhập cá nhân từ thuê ngoài</t>
  </si>
  <si>
    <t>- Thuế thu nhập cá nhân của người dùng</t>
  </si>
  <si>
    <t>- Thuế thu nhập cá nhân chuyển nhượng vốn</t>
  </si>
  <si>
    <t>3335.CNV</t>
  </si>
  <si>
    <t>- Thuế môn bài</t>
  </si>
  <si>
    <t>Thuế môn bài</t>
  </si>
  <si>
    <t>- Thuế, phí khác</t>
  </si>
  <si>
    <t>33382 và 3339</t>
  </si>
  <si>
    <t>1331 và 1332 đối ứng tiền</t>
  </si>
  <si>
    <t>Nhặt số phát sinh Dr</t>
  </si>
  <si>
    <t>15. CHI PHÍ PHẢI TRẢ</t>
  </si>
  <si>
    <t>- Công ty Ernst &amp; Young Việt Nam - Chi nhánh Hà Nội</t>
  </si>
  <si>
    <t>- Công ty Cổ phần Hạ tầng viễn thông CMC</t>
  </si>
  <si>
    <t>Chí phí lãi vay tổ chức tín dụng</t>
  </si>
  <si>
    <t>- Ông Na Sung Soo</t>
  </si>
  <si>
    <t>Chi phí trích trước phí quản lý CTCK</t>
  </si>
  <si>
    <t>- Chi phí phải trả ngắn hạn khác</t>
  </si>
  <si>
    <t>Chi phí phải trả khác</t>
  </si>
  <si>
    <t>Các bên liên quan</t>
  </si>
  <si>
    <t>- CÔNG TY CỔ PHẦN QUẢN LÝ QUỸ THIÊN VIỆT</t>
  </si>
  <si>
    <t>- Na Sung Soo</t>
  </si>
  <si>
    <t>16. PHẢI TRẢ KHÁC</t>
  </si>
  <si>
    <t>To paste</t>
  </si>
  <si>
    <t>Phải trả người dùng theo hợp đồng hợp tác kinh doanh</t>
  </si>
  <si>
    <t>- Phải trả danh mục tích lũy Finhay</t>
  </si>
  <si>
    <t>- Phải trả danh mục đầu tư CCQ Finhay</t>
  </si>
  <si>
    <t>- Phải trả danh mục đầu tư chứng khoán Finhay</t>
  </si>
  <si>
    <t>- Chênh lệch đánh giá giảm danh mục liên quan đến khoản phải trả của hợp đồng hợp tác kinh doanh (*)</t>
  </si>
  <si>
    <t>- Phải trả khác theo hợp đồng hợp tác kinh doanh</t>
  </si>
  <si>
    <t>Các khoản phải trả, phải nộp khác</t>
  </si>
  <si>
    <t>- Phải trả khác</t>
  </si>
  <si>
    <t>Bảo hiểm xã hội, bảo hiểm y tế, bảo hiểm thất nghiệp, kinh phí công đoàn</t>
  </si>
  <si>
    <t>Phải trả ngắn hạn khác cho các bên liên quan</t>
  </si>
  <si>
    <t>17. VAY VÀ NỢ THUÊ TÀI CHÍNH</t>
  </si>
  <si>
    <t>Số phát sinh trong kỳ</t>
  </si>
  <si>
    <t>Số có khả năng trả nợ
VND</t>
  </si>
  <si>
    <t>Tăng
VND</t>
  </si>
  <si>
    <t>Giảm
VND</t>
  </si>
  <si>
    <t>Vay ngắn hạn</t>
  </si>
  <si>
    <t xml:space="preserve">Ngân hàng TMCP Đầu tư và Phát triển Việt Nam </t>
  </si>
  <si>
    <t>Ngân hàng TMCP Ngoại Thương Việt Nam</t>
  </si>
  <si>
    <t>Ngân hàng TMCP Xuất Nhập khẩu Việt Nam</t>
  </si>
  <si>
    <t>Trong năm, chi tiết các khoản vay ngắn hạn từ các bên cho vay được trình bày như sau:</t>
  </si>
  <si>
    <t>Bên cho vay</t>
  </si>
  <si>
    <t>Kỳ hạn trả gốc và lãi</t>
  </si>
  <si>
    <t>Lãi suất
(%/năm)</t>
  </si>
  <si>
    <t>Hình thức đảm bảo</t>
  </si>
  <si>
    <t>Mục đích vay</t>
  </si>
  <si>
    <t>Bbên liên quan</t>
  </si>
  <si>
    <t>18.1. Tình hình tăng giảm nguồn vốn chủ sở hữu</t>
  </si>
  <si>
    <t>Vốn cổ phần
VND</t>
  </si>
  <si>
    <t>Thặng dư vốn cổ phần
VND</t>
  </si>
  <si>
    <t>Lợi nhuận sau thuế chưa phân phối
VND</t>
  </si>
  <si>
    <t>Lợi ích của cổ đông không kiểm soát</t>
  </si>
  <si>
    <t>Vào ngày 31 tháng 12 năm 2022</t>
  </si>
  <si>
    <t>- Tăng vốn</t>
  </si>
  <si>
    <t>- Mua thêm lợi ích từ cổ đông không kiểm soát</t>
  </si>
  <si>
    <t>- Lỗ thuần trong năm</t>
  </si>
  <si>
    <t>Vào ngày 31 tháng 12 năm 2023</t>
  </si>
  <si>
    <t>Tại ngày 31 tháng 12 năm 2024</t>
  </si>
  <si>
    <t>17.2. Chi tiết vốn đầu tư của chủ sở hữu</t>
  </si>
  <si>
    <t>Theo Giấy Chứng nhận Đăng ký Kinh doanh</t>
  </si>
  <si>
    <t>%Sở hữu</t>
  </si>
  <si>
    <t>Vốn cổ phần đã góp
VND</t>
  </si>
  <si>
    <t>Vốn cổ phần chưa góp
VND</t>
  </si>
  <si>
    <t>Phía Việt Nam</t>
  </si>
  <si>
    <t>Phía nước ngoài</t>
  </si>
  <si>
    <t>Không dán</t>
  </si>
  <si>
    <t>Sổ cổ đông</t>
  </si>
  <si>
    <t>Số lượng cổ phần
Cổ phần</t>
  </si>
  <si>
    <t>Giá trị cổ phần
VND</t>
  </si>
  <si>
    <t>Tỷ lệ
%</t>
  </si>
  <si>
    <t>Thay đổi cổ phần</t>
  </si>
  <si>
    <t>Thay đổi giá trị</t>
  </si>
  <si>
    <t>Đinh Nho Tâm</t>
  </si>
  <si>
    <t>TVS</t>
  </si>
  <si>
    <t>Finhay Úc</t>
  </si>
  <si>
    <t>Trần Tuấn Dũng</t>
  </si>
  <si>
    <t>Trần Vinh Quang</t>
  </si>
  <si>
    <t>Phạm Hải Anh</t>
  </si>
  <si>
    <t>Hoàng Cẩm Vân</t>
  </si>
  <si>
    <t>Đinh Thị Thanh Hường</t>
  </si>
  <si>
    <t>Nguyễn Thanh Thảo</t>
  </si>
  <si>
    <t>Nguyễn Việt Tiến</t>
  </si>
  <si>
    <t>VALENCE PRIVATE INVESTMENT LIMITED</t>
  </si>
  <si>
    <t>Trần Lưu Vân Ngọc</t>
  </si>
  <si>
    <t>Công ty Cổ phần Quản lý quỹ Thiên Việt</t>
  </si>
  <si>
    <t>Công ty cổ phần VI VENTURES</t>
  </si>
  <si>
    <t>Công ty cổ phần Finsight</t>
  </si>
  <si>
    <t>TVS bán cho Finsight</t>
  </si>
  <si>
    <t>Lê Ngọc Long</t>
  </si>
  <si>
    <t>Nguyễn Diệu Hoa</t>
  </si>
  <si>
    <t xml:space="preserve">Đinh Thị Hoa </t>
  </si>
  <si>
    <t>Nguyễn Khắc Nguyện</t>
  </si>
  <si>
    <t>Công ty Cổ phần Camellia Wealth</t>
  </si>
  <si>
    <t>TVAM bán cho Camelia Wealth</t>
  </si>
  <si>
    <t>19. DOANH THU</t>
  </si>
  <si>
    <t>18.1. Doanh thu bán hàng và cung cấp dịch vụ</t>
  </si>
  <si>
    <t>2024
VND</t>
  </si>
  <si>
    <t>2023
VND</t>
  </si>
  <si>
    <t>Doanh thu hợp nhất từ Công ty mẹ</t>
  </si>
  <si>
    <t>Doanh thu từ hoạt động hợp tác kinh doanh với đối tác trên phần mềm Finhay</t>
  </si>
  <si>
    <t>Doanh thu từ hoạt động hỗ trợ người dùng quản lý tài khoản trên phần mềm Finhay</t>
  </si>
  <si>
    <t>Doanh thu từ dịch vụ cung cấp và sử dụng dịch vụ phần mềm</t>
  </si>
  <si>
    <t>Doanh thu từ hoạt động hỗ trợ người dùng nạp/rút tiền đầu tư</t>
  </si>
  <si>
    <t>Doanh thu từ hoạt động hỗ trợ người dùng nạp/rút tiền nhanh</t>
  </si>
  <si>
    <t>Doanh thu từ dịch vụ hỗ trợ kinh doanh sản phẩm vàng trang sức trên phần mềm Finhay</t>
  </si>
  <si>
    <t xml:space="preserve">-   </t>
  </si>
  <si>
    <t>Doanh thu từ hoạt động hỗ trợ người dùng nạp tiền qua ví điện tử</t>
  </si>
  <si>
    <t>Doanh thu từ hoạt động hỗ trợ người dùng xác thực số dư tài khoản trên phần mềm Finhay</t>
  </si>
  <si>
    <t>Doanh thu hợp nhất từ các Công ty con</t>
  </si>
  <si>
    <t xml:space="preserve">Doanh thu từ giao dịch mua bán vàng </t>
  </si>
  <si>
    <t>Doanh thu hoa hồng đại lý bảo hiểm</t>
  </si>
  <si>
    <t>20.1.14</t>
  </si>
  <si>
    <t>18.2. Doanh thu hoạt động tài chính</t>
  </si>
  <si>
    <t>Lãi tiền gửi, trái tức</t>
  </si>
  <si>
    <t>Cổ tức nhận được</t>
  </si>
  <si>
    <t>Lọc 5151 lấy đối tượng "Công ty cổ phần finhay việt nam", năm 2022 không có phần thu nhập của finhay liên quan tới cổ tức</t>
  </si>
  <si>
    <t>Lãi bán các khoản đầu tư tài chính</t>
  </si>
  <si>
    <t>20.2.4</t>
  </si>
  <si>
    <t>Thu nhập từ mua bán ngoại tệ</t>
  </si>
  <si>
    <t>Doanh thu lãi phải thu sản phẩm chứng khoán</t>
  </si>
  <si>
    <t>Doanh thu từ hoạt động tài chính: chênh lệch tỷ giá</t>
  </si>
  <si>
    <t>Lãi đã thực hiện do thanh toán hợp đồng google ads</t>
  </si>
  <si>
    <t>19. GIÁ VỐN DỊCH VỤ CUNG CẤP</t>
  </si>
  <si>
    <t>Dán lại</t>
  </si>
  <si>
    <t>Giá vốn hợp nhất từ Công ty mẹ</t>
  </si>
  <si>
    <t>Giá vốn hoạt động hợp tác kinh doanh với đối tác khác trên phần mềm Finhay.</t>
  </si>
  <si>
    <t>Giá vốn hoạt động hỗ trợ người dùng quản lý tài khoản trên phần mềm Finhay</t>
  </si>
  <si>
    <t>Giá vốn hoạt động hỗ trợ người dùng nạp/rút tiền đầu tư</t>
  </si>
  <si>
    <t>Giá vốn hoạt động hỗ trợ người dùng nạp/rút tiền nhanh</t>
  </si>
  <si>
    <t>21.7</t>
  </si>
  <si>
    <t>Giá vốn dịch vụ hỗ trợ kinh doanh sản phẩm vàng trang sức trên phần mềm Finhay</t>
  </si>
  <si>
    <t>Giá vốn hoạt động hỗ trợ người dùng nạp tiền qua ví điện tử</t>
  </si>
  <si>
    <t>Giá vốn hoạt động hỗ trợ người dùng xác thực số dư tài khoản trên phần mềm Finhay</t>
  </si>
  <si>
    <t>Giá vốn hợp nhất từ các Công ty con</t>
  </si>
  <si>
    <t>Giá vốn giao dịch mua, bán vàng</t>
  </si>
  <si>
    <t>Chi phí chung phân bổ theo doanh thu</t>
  </si>
  <si>
    <t>Adj</t>
  </si>
  <si>
    <t>Giá vốn từ dịch vụ cung cấp và sử dụng dịch vụ phần mềm</t>
  </si>
  <si>
    <t>20. CHI PHÍ BÁN HÀNG</t>
  </si>
  <si>
    <t xml:space="preserve">Chi phí nhân công </t>
  </si>
  <si>
    <t>22.2</t>
  </si>
  <si>
    <t xml:space="preserve">Thuế, phí </t>
  </si>
  <si>
    <t>Lọc tk 6417.02 và đối ứng với 33382, lấy số net</t>
  </si>
  <si>
    <t>Chi phí tiếp thị, quảng bá và truyền thông</t>
  </si>
  <si>
    <t>Chi phí công cụ dụng cụ</t>
  </si>
  <si>
    <t>Chi thuê văn phòng</t>
  </si>
  <si>
    <t>21. CHI PHÍ QUẢN LÝ DOANH NGHIỆP</t>
  </si>
  <si>
    <t>Thuế, phí</t>
  </si>
  <si>
    <t>Lương và các khoản trợ cấp</t>
  </si>
  <si>
    <t>Các chi phí liên quan đến lương</t>
  </si>
  <si>
    <t>Chi khác cho nhân viên</t>
  </si>
  <si>
    <t>Chi phí công cụ, dụng cụ</t>
  </si>
  <si>
    <t>Chi khấu hao TSCĐ</t>
  </si>
  <si>
    <t>Chi phí quản lý khác</t>
  </si>
  <si>
    <t>Chi phí hoạt động văn phòng</t>
  </si>
  <si>
    <t>23.8</t>
  </si>
  <si>
    <t>Chi phí công tác</t>
  </si>
  <si>
    <t>23.12</t>
  </si>
  <si>
    <t>Trích lập dự phòng khoản phải thu khó đòi</t>
  </si>
  <si>
    <t>22. CHI PHÍ TÀI CHÍNH</t>
  </si>
  <si>
    <t>Auto/Manual</t>
  </si>
  <si>
    <t>Lãi tiền vay</t>
  </si>
  <si>
    <t>Lỗ do bán các khoản đầu tư tài chính</t>
  </si>
  <si>
    <t>Chi phí dự phòng đầu tư vào công ty con</t>
  </si>
  <si>
    <t>Chi phí dự phòng chứng khoán kinh doanh</t>
  </si>
  <si>
    <t>Chi phí lãi trả cho người dùng</t>
  </si>
  <si>
    <t>Chi phí môi giới và tư vấn đầu tư chứng khoán</t>
  </si>
  <si>
    <t>Chênh lệch tỷ giá</t>
  </si>
  <si>
    <t>23. THU NHẬP VÀ CHI PHÍ KHÁC</t>
  </si>
  <si>
    <t>Lãi từ tài sản/nợ phải trả khách hàng (*)</t>
  </si>
  <si>
    <t>Các khoản khác</t>
  </si>
  <si>
    <t>Lỗ từ tài sản/nợ phải trả khách hàng (*)</t>
  </si>
  <si>
    <t>Lãi/(lỗ) thuần từ tài sản/nợ phải trả khách hàng khác</t>
  </si>
  <si>
    <t>Lãi/(lỗ) thuần từ các khoản khác</t>
  </si>
  <si>
    <t>LÃI/(LỖ) KHÁC THUẦN</t>
  </si>
  <si>
    <t>24. CHI PHÍ SẢN XUẤT, KINH DOANH THEO YẾU TỐ</t>
  </si>
  <si>
    <t>To check chi phí khấu hao</t>
  </si>
  <si>
    <t>Chi phí nhân công</t>
  </si>
  <si>
    <t>Chi phí khấu hao và hao mòn tài sản cố định và phân bổ lợi thế thương mại (Thuyết minh số 9 và Thuyết minh số 10)</t>
  </si>
  <si>
    <t>25. THUẾ THU NHẬP DOANH NGHIỆP</t>
  </si>
  <si>
    <t>25.1. Chi phí thuế thu nhập doanh nghiệp</t>
  </si>
  <si>
    <t>Tổng lỗ kế toán trước thuế</t>
  </si>
  <si>
    <t>Các khoản điều chỉnh tăng</t>
  </si>
  <si>
    <t>- Chi phí không được trừ</t>
  </si>
  <si>
    <t>Chi phí ko được trừ</t>
  </si>
  <si>
    <t>- Lỗ do đánh giá lại tài sản/Nợ phải trả</t>
  </si>
  <si>
    <t>Các khoản điều chỉnh giảm</t>
  </si>
  <si>
    <t>- Thu nhập từ cổ tức</t>
  </si>
  <si>
    <t>- Lỗ/(Lãi) do đánh giá lại tài sản/Nợ phải trả</t>
  </si>
  <si>
    <t>- Lỗ năm trước chuyển sang</t>
  </si>
  <si>
    <t>Khoản thưởng chưa thực hiện thanh toán</t>
  </si>
  <si>
    <t>- Khoản thưởng chưa thực hiện thanh toán</t>
  </si>
  <si>
    <t>Lỗ năm trước chuyển sang</t>
  </si>
  <si>
    <t>- Điều chỉnh cho mục đích hợp nhất</t>
  </si>
  <si>
    <t>Lỗ tính thuế TNDN</t>
  </si>
  <si>
    <t>Thuế suất</t>
  </si>
  <si>
    <t>Chi phí thuế TNDN dự tính</t>
  </si>
  <si>
    <t>Chi phí thuế TNDN</t>
  </si>
  <si>
    <t>25.2. Lỗ thuế chuyển sang từ năm trước</t>
  </si>
  <si>
    <t>FHLTD</t>
  </si>
  <si>
    <t>Netoff</t>
  </si>
  <si>
    <t>Năm phát sinh</t>
  </si>
  <si>
    <t xml:space="preserve">Có thể chuyển lỗ đến năm </t>
  </si>
  <si>
    <t xml:space="preserve">Lỗ tính thuế  </t>
  </si>
  <si>
    <t>Đã chuyển lỗ đến cuối năm</t>
  </si>
  <si>
    <t xml:space="preserve">Không được chuyển lỗ </t>
  </si>
  <si>
    <t>Chưa chuyển lỗ đến cuối năm</t>
  </si>
  <si>
    <t>Tổng lợi nhuận/(lỗ) kế toán trước thuế</t>
  </si>
  <si>
    <t>Từ ngày 01 tháng 01 năm 2019 đến ngày 19 tháng 11 năm 2019</t>
  </si>
  <si>
    <t>Từ ngày 20 tháng 11 năm 2019 đến ngày 31 tháng 12 năm 2019</t>
  </si>
  <si>
    <t>Chi phí không được trừ</t>
  </si>
  <si>
    <t>Lỗ do đánh giá lại tài sản/Nợ phải trả</t>
  </si>
  <si>
    <t>Thu nhập từ cổ tức</t>
  </si>
  <si>
    <t>Lãi do đánh giá lại tài sản/Nợ phải trả</t>
  </si>
  <si>
    <t>TỔNG CỘNG</t>
  </si>
  <si>
    <t>Điều chỉnh cho mục đích hợp nhất</t>
  </si>
  <si>
    <t>DTA</t>
  </si>
  <si>
    <t>Lỗ kế toán được kết chuyển 2023</t>
  </si>
  <si>
    <t>-</t>
  </si>
  <si>
    <t>Lưu ý VNSC không lấy các khoản lãi/lỗ đánh giá lại tài sản để loại chi phí thuế vì khi hợp nhất sẽ theo Thông tư 200</t>
  </si>
  <si>
    <t>SINGLE</t>
  </si>
  <si>
    <t>FY2024</t>
  </si>
  <si>
    <t>2021</t>
  </si>
  <si>
    <t>2022</t>
  </si>
  <si>
    <t>2019</t>
  </si>
  <si>
    <t>2020</t>
  </si>
  <si>
    <t>Lưu ý VNSC lấy lỗ tính thuế ko bao gồm các khoản loại do đánh giá tăng/giảm giá trị tài sản</t>
  </si>
  <si>
    <t>Mai An Huyền</t>
  </si>
  <si>
    <t>26. NGHIỆP VỤ VỚI CÁC BÊN LIÊN QUAN</t>
  </si>
  <si>
    <t>Pending</t>
  </si>
  <si>
    <t>Nội dung</t>
  </si>
  <si>
    <t>Lưu ý</t>
  </si>
  <si>
    <t>Sở hữu cổ phần (mệnh giá)</t>
  </si>
  <si>
    <t>Năm nay chỉ nhặt những người, bên có thay đổi cụ thể</t>
  </si>
  <si>
    <t>Mỗi đối tượng</t>
  </si>
  <si>
    <t>Đặt check với các thuyết minh ở trên bao gồm phải thu/phải trả - Bình to check việc này</t>
  </si>
  <si>
    <t>Khớp phải thu, phải trả các bên liên quan ở note với thuyết minh ở trên</t>
  </si>
  <si>
    <t>Phải thu/(Phải trả)</t>
  </si>
  <si>
    <t>Bên liên quan</t>
  </si>
  <si>
    <t>Mối quan hệ</t>
  </si>
  <si>
    <t>Nội dung nghiệp vụ</t>
  </si>
  <si>
    <t>Doanh thu/Chi phí</t>
  </si>
  <si>
    <t>Công ty Cổ phần Chứng khoán Thiên Việt</t>
  </si>
  <si>
    <t>Cổ đông</t>
  </si>
  <si>
    <t>Phải thu về hoạt động ủy thác</t>
  </si>
  <si>
    <t>Không show</t>
  </si>
  <si>
    <t>Không thuyết minh</t>
  </si>
  <si>
    <t>Phải thu tiền bán CK chờ về</t>
  </si>
  <si>
    <t>Công ty Cổ phần Quản lý Quỹ Thiên Việt</t>
  </si>
  <si>
    <t>Phải trả</t>
  </si>
  <si>
    <t>Phải thu tiền bán CK, CCQ chờ về</t>
  </si>
  <si>
    <t>Thuyết minh</t>
  </si>
  <si>
    <t>Chi phí lưu ký</t>
  </si>
  <si>
    <t>Đối ứng 331.01</t>
  </si>
  <si>
    <t xml:space="preserve">Chi phí chuyển tiền, gửi thư </t>
  </si>
  <si>
    <t>Chi phí xác thực số dư</t>
  </si>
  <si>
    <t>Phải thu về phí dịch vụ</t>
  </si>
  <si>
    <t>Phải thu về thu hộ công nợ vàng với khách hàng</t>
  </si>
  <si>
    <t>Phải trả về thu hộ công nợ vàng với khách hàng</t>
  </si>
  <si>
    <t>6278, 811</t>
  </si>
  <si>
    <t>Phải trả khách hàng</t>
  </si>
  <si>
    <t>Đối ứng 335</t>
  </si>
  <si>
    <t>Chi phí lãi vay(*)</t>
  </si>
  <si>
    <t>Phải trả về chi phí tư vấn và đầu tư chứng khoán</t>
  </si>
  <si>
    <t>Phải trả về phí lưu ký</t>
  </si>
  <si>
    <t>Phải thu tiền bán CK,CCQ chờ về</t>
  </si>
  <si>
    <t>Doanh thu cho thuê phần mềm</t>
  </si>
  <si>
    <t>Công ty Cổ phần Finsight</t>
  </si>
  <si>
    <t>Nhận vốn góp</t>
  </si>
  <si>
    <t>Bà Nguyễn Thanh Thảo</t>
  </si>
  <si>
    <t xml:space="preserve"> VI VENTURES JSC</t>
  </si>
  <si>
    <t>Bà Đinh Thị Hoa</t>
  </si>
  <si>
    <t>Ông Nguyễn Khắc Nguyện</t>
  </si>
  <si>
    <t>Ông Nghiêm Xuân Huy</t>
  </si>
  <si>
    <t>Ông Đinh Nho Tâm</t>
  </si>
  <si>
    <t>Bà Vũ Thanh Vân</t>
  </si>
  <si>
    <t>Ông Hoàng Minh Châu</t>
  </si>
  <si>
    <t>Thu nhập của các thành viên của Hội đồng Quản trị và Ban Điều hành --&gt; 1 là nhặt ở bảng lương, 2 là hỏi nhờ Finhay tổng hợp</t>
  </si>
  <si>
    <t>|---------------------- Đã nhặt theo payroll ----------------------|</t>
  </si>
  <si>
    <t>Họ và tên</t>
  </si>
  <si>
    <t>Chức vụ</t>
  </si>
  <si>
    <t>Chủ tịch HĐQT kiêm Tổng Giám đốc</t>
  </si>
  <si>
    <t>Thành viên HĐQT kiêm Giám đốc Vận hành</t>
  </si>
  <si>
    <t>Thành viên HĐQT kiêm Giám đốc Công nghệ Thông tin</t>
  </si>
  <si>
    <t>Bà Vũ Quỳnh Hương</t>
  </si>
  <si>
    <t>Thành viên HĐQT kiêm Giám đốc Marketing</t>
  </si>
  <si>
    <t>Bà Vũ Thị Thanh Vân</t>
  </si>
  <si>
    <t>Thành viên HĐQT</t>
  </si>
  <si>
    <t>Bỏ</t>
  </si>
  <si>
    <t>Bà Nguyễn Minh Hương</t>
  </si>
  <si>
    <t>Bà Trần Gia Bình</t>
  </si>
  <si>
    <t>Phó Tổng Giám đốc Kinh doanh</t>
  </si>
  <si>
    <t xml:space="preserve">27. LỖ CƠ BẢN TRÊN CỔ PHIẾU </t>
  </si>
  <si>
    <t>Lỗ sau thuế phân bổ cho cổ đông sở hữu cổ phiếu phổ thông  - VND</t>
  </si>
  <si>
    <t>Bình quân gia quyền của số cổ phiếu phổ thông (không bao gồm cổ phiếu quỹ) để tính lãi cơ bản trên cổ phiếu (*)</t>
  </si>
  <si>
    <t>Lỗ cơ bản trên cổ phiếu - VND</t>
  </si>
  <si>
    <t>28. CÁC KHOẢN MỤC NGOÀI BẢNG CÂN ĐỐI KẾ TOÁN HỢP NHẤT</t>
  </si>
  <si>
    <t>Vàng trên ứng dụng của Nhà đầu tư</t>
  </si>
  <si>
    <t>Số lượng (*)</t>
  </si>
  <si>
    <t>Giá trị hợp lý (**)</t>
  </si>
  <si>
    <t>31/12/2023</t>
  </si>
  <si>
    <t>31/12/2024</t>
  </si>
  <si>
    <t>Chiếc</t>
  </si>
  <si>
    <t>VND</t>
  </si>
  <si>
    <t>Giá 1 chỉ vàng nhẫn PNJ 24k</t>
  </si>
  <si>
    <t>Nhẫn vàng 0.5 chỉ</t>
  </si>
  <si>
    <t>Nhẫn vàng 1 chỉ</t>
  </si>
  <si>
    <t>29. CÁC CAM KẾT VÀ CÁC KHOẢN NỢ TIỀM TÀNG</t>
  </si>
  <si>
    <t>Theo file cam kết thuê hoạt động của Finhay</t>
  </si>
  <si>
    <t>Ngày 30 tháng 06 năm 2024</t>
  </si>
  <si>
    <t>Đến 1 năm</t>
  </si>
  <si>
    <t>Dưới 1 năm</t>
  </si>
  <si>
    <t>Trên 1 - 5 năm</t>
  </si>
  <si>
    <t>Từ 5 năm trở lên</t>
  </si>
  <si>
    <t>30. LỢI THẾ THƯƠNG MẠI</t>
  </si>
  <si>
    <t>Tổng giá trị lợi thế thương mại đầu năm</t>
  </si>
  <si>
    <t>Điều chỉnh giảm số tiền thu hồi từ cổ đông cũ theo phụ lục gắn liền với hợp đồng mua cổ phiếu VNSC ngày 08/12/2021</t>
  </si>
  <si>
    <t>Tổng giá trị lợi thế thương mại cuối năm</t>
  </si>
  <si>
    <t>Thời gian phân bổ</t>
  </si>
  <si>
    <t>10 năm</t>
  </si>
  <si>
    <t>Giá trị LTTM chưa phân bổ lũy kế đầu năm</t>
  </si>
  <si>
    <t>Giá trị LTTM phân bổ trong năm</t>
  </si>
  <si>
    <t>Tổng giá trị LTTM chưa phân bổ cuối năm</t>
  </si>
  <si>
    <t>Note to FSs - Single</t>
  </si>
  <si>
    <t>To check với Finhay xem có thuyết minh cái này không vì thông tư 200 không bắt buộc</t>
  </si>
  <si>
    <t>Kỳ hạn còn lại từ 01 - 04 tháng</t>
  </si>
  <si>
    <t>7.30% - 9.60%</t>
  </si>
  <si>
    <t>- Công ty TNHH Quản lý quỹ SSI</t>
  </si>
  <si>
    <t>&gt;10%</t>
  </si>
  <si>
    <t>- Ngân hàng TNHH MTV CIMB Việt Nam</t>
  </si>
  <si>
    <t>&lt;10%</t>
  </si>
  <si>
    <t>Phải thu các bên liên quan</t>
  </si>
  <si>
    <t>Nghiên xuân huy</t>
  </si>
  <si>
    <t>- Công ty TNHH Thương mại  Dịch vụ Linh Hải</t>
  </si>
  <si>
    <t>- Trả trước các bên liên quan</t>
  </si>
  <si>
    <t>- Các khoản trả trước người bán khác</t>
  </si>
  <si>
    <t>- Công ty Cổ phần Thương mại và Dịch vụ trực tuyến Onepay</t>
  </si>
  <si>
    <t>- Công ty Cổ phần Dịch vụ Di động Trực tuyến</t>
  </si>
  <si>
    <t>- Công ty Cổ phần True Money Việt Nam</t>
  </si>
  <si>
    <t>- Công ty Cổ phần Thanh toán Điện Tử VNPT</t>
  </si>
  <si>
    <t>Tiền nạp khớp của NĐT nhưng chưa về tài khoản</t>
  </si>
  <si>
    <t>Tiền bán CP, CCQ chờ về</t>
  </si>
  <si>
    <t>Phải thu tiền đặt mua trái phiếu, chứng chỉ quỹ chưa khớp</t>
  </si>
  <si>
    <t>Chuyển sang phải thu bên liên quan</t>
  </si>
  <si>
    <t>- Công ty TNHH Dịch vụ và Phân phối Finhay Việt Nam</t>
  </si>
  <si>
    <t>- Công ty CP Chứng khoán Vina</t>
  </si>
  <si>
    <t>Phải thu tiền bán CCQ chờ về</t>
  </si>
  <si>
    <t>BC single 2022: lộn wording Thiết bị, dụng cụ quản lý vs Phương tiện vận tải, truyền dẫn</t>
  </si>
  <si>
    <t>- Phân loại lại</t>
  </si>
  <si>
    <t>13. CÁC KHOẢN ĐẦU TƯ TÀI CHÍNH DÀI HẠN</t>
  </si>
  <si>
    <t>- Công ty Cổ phần Đầu tư KCG Việt Nam</t>
  </si>
  <si>
    <t>- Công ty Cổ phần Đầu tư và Dịch vụ XH</t>
  </si>
  <si>
    <t>Lệch đầu kỳ</t>
  </si>
  <si>
    <t>Tỷ lệ vốn nắm giữ (%)</t>
  </si>
  <si>
    <t>Tỷ lệ quyền biểu quyết (%)</t>
  </si>
  <si>
    <t>Công ty TNHH Dịch vụ và Phân phối Finhay Việt Nam</t>
  </si>
  <si>
    <t>14. PHẢI TRẢ NGƯỜI BÁN</t>
  </si>
  <si>
    <t>- Công ty A</t>
  </si>
  <si>
    <t>- Công ty B</t>
  </si>
  <si>
    <t>15. THUẾ VÀ CÁC KHOẢN PHẢI NỘP NHÀ NƯỚC</t>
  </si>
  <si>
    <t>Nhặt số phát sinh Dr 133*</t>
  </si>
  <si>
    <t>16. CHI PHÍ PHẢI TRẢ</t>
  </si>
  <si>
    <t>gom vào phải trả khác do dự chi phần chi phí mà ko được UBCK cho phép</t>
  </si>
  <si>
    <t>Linh, Mai</t>
  </si>
  <si>
    <t>17. PHẢI TRẢ KHÁC</t>
  </si>
  <si>
    <t>17.6, 17.7</t>
  </si>
  <si>
    <t>Bảng Reconcile Tài sản tài chính &amp; Công nợ phải trả nhà đầu tư</t>
  </si>
  <si>
    <t xml:space="preserve">TS tương ứng của FH </t>
  </si>
  <si>
    <t>Nguồn</t>
  </si>
  <si>
    <t>31/12/2024
Công nợ phải trả user</t>
  </si>
  <si>
    <t>31/12/2024
Tài sản đầu tư tương ứng</t>
  </si>
  <si>
    <t>Công nợ Ngắn hạn</t>
  </si>
  <si>
    <t>Tài sản ngắn hạn</t>
  </si>
  <si>
    <t>Tiền &amp; tương đương tiền</t>
  </si>
  <si>
    <t>Tài sản đầu 121</t>
  </si>
  <si>
    <t>Phải thu ví + Dự thu tiền gửi, dividend cổ phiếu</t>
  </si>
  <si>
    <t>Đánh giá lại</t>
  </si>
  <si>
    <t>Cover thừa/(thiếu)</t>
  </si>
  <si>
    <t>Chênh lệch chưa tính dự thu CCTG và bond</t>
  </si>
  <si>
    <t>18. DOANH THU CHƯA THỰC HIỆN</t>
  </si>
  <si>
    <t>30/06/2023
VND</t>
  </si>
  <si>
    <t>Doanh thu chưa thực hiện các bên liên quan</t>
  </si>
  <si>
    <t>Công ty Chứng khoán Vina</t>
  </si>
  <si>
    <t>Phải thu phí cho thuê phần mềm</t>
  </si>
  <si>
    <t>19. VAY VÀ NỢ THUÊ TÀI CHÍNH</t>
  </si>
  <si>
    <t>Vay các bên liên quan</t>
  </si>
  <si>
    <t>Không</t>
  </si>
  <si>
    <t>Bổ sung vốn lưu động</t>
  </si>
  <si>
    <t>Kỳ hạn cho vay: 8 ngày, gốc và lãi trả cuối kỳ</t>
  </si>
  <si>
    <t>Kỳ hạn cho vay: 13 ngày, gốc và lãi trả cuối kỳ</t>
  </si>
  <si>
    <t>19.1. Tình hình tăng giảm nguồn vốn chủ sở hữu</t>
  </si>
  <si>
    <t>Tại ngày 01 tháng 01 năm 2023</t>
  </si>
  <si>
    <t>Tại ngày 31 tháng 12 năm 2023</t>
  </si>
  <si>
    <t>Tại ngày 01 tháng 01 năm 2024</t>
  </si>
  <si>
    <t>19.2. Chi tiết vốn đầu tư của chủ sở hữu</t>
  </si>
  <si>
    <t>Đinh Thị Hoa</t>
  </si>
  <si>
    <t>Camellia (Việt Nam)</t>
  </si>
  <si>
    <t>An + Huyền</t>
  </si>
  <si>
    <t>20. DOANH THU</t>
  </si>
  <si>
    <t>20.1. Doanh thu bán hàng và cung cấp dịch vụ</t>
  </si>
  <si>
    <t>Doanh thu từ dịch vụ nghiên cứu định lượng trực tuyến</t>
  </si>
  <si>
    <t>20.2. Doanh thu hoạt động tài chính</t>
  </si>
  <si>
    <t>21. GIÁ VỐN DỊCH VỤ CUNG CẤP</t>
  </si>
  <si>
    <t>Giá vốn dịch vụ nghiên cứu định lượng trực tuyến</t>
  </si>
  <si>
    <t>22. CHI PHÍ BÁN HÀNG</t>
  </si>
  <si>
    <t>23. CHI PHÍ QUẢN LÝ DOANH NGHIỆP</t>
  </si>
  <si>
    <t>24. CHI PHÍ TÀI CHÍNH</t>
  </si>
  <si>
    <t>(Hoàn nhập)/Chi phí dự phòng chứng khoán kinh doanh</t>
  </si>
  <si>
    <t>25. THU NHẬP VÀ CHI PHÍ KHÁC</t>
  </si>
  <si>
    <t>Lỗ từ tài sản/nợ phải trả khách hàng</t>
  </si>
  <si>
    <t>26. CHI PHÍ SẢN XUẤT, KINH DOANH THEO YẾU TỐ</t>
  </si>
  <si>
    <t>To check</t>
  </si>
  <si>
    <t>Chi phí khấu hao và hao mòn tài sản cố định (Thuyết minh số 9 và Thuyết minh số 10)</t>
  </si>
  <si>
    <t>27. THUẾ THU NHẬP DOANH NGHIỆP</t>
  </si>
  <si>
    <t>27.1. Chi phí thuế thu nhập doanh nghiệp</t>
  </si>
  <si>
    <t>FY2024
VND</t>
  </si>
  <si>
    <t>FY2023
VND</t>
  </si>
  <si>
    <t>Điều chỉnh do đánh giá lại tài sản</t>
  </si>
  <si>
    <t>Lãi/(Lỗ) tính thuế TNDN</t>
  </si>
  <si>
    <t>27.2. Lỗ thuế chuyển sang từ năm trước</t>
  </si>
  <si>
    <t>28. NGHIỆP VỤ VỚI CÁC BÊN LIÊN QUAN</t>
  </si>
  <si>
    <t>done</t>
  </si>
  <si>
    <t>|---------------------- Nhặt theo payroll ----------------------|</t>
  </si>
  <si>
    <t>31/12/2022
VND</t>
  </si>
  <si>
    <t>Thành viên HĐQT kiêm Tổng Giám đốc</t>
  </si>
  <si>
    <t>Bà Nguyễn Phương Thảo</t>
  </si>
  <si>
    <t>Quyền Tổng Giám đốc</t>
  </si>
  <si>
    <t>Tầng 8 Kim Mã</t>
  </si>
  <si>
    <t>Tầng 1 Kim Mã</t>
  </si>
  <si>
    <t>VP HCM</t>
  </si>
  <si>
    <t>Lọc</t>
  </si>
  <si>
    <t>Statement of cash flow</t>
  </si>
  <si>
    <t>Cho năm tài chính kết thúc ngày 30 tháng 06 năm 2023
VND</t>
  </si>
  <si>
    <t>2. Điều chỉnh cho các khoản:</t>
  </si>
  <si>
    <t>Công cụ dụng cụ
 - Ngắn hạn</t>
  </si>
  <si>
    <t>CÔNG TY CỔ PHẦN FINHAY VIỆT NAM</t>
  </si>
  <si>
    <t>Tầng 8, Tòa nhà Capital Building, Số 58 Phố Kim Mã, Phường Kim Mã, Quận Ba Đình, Thành phố Hà Nội, Việt Nam</t>
  </si>
  <si>
    <t>Người lập biểu</t>
  </si>
  <si>
    <t>(Ký, họ tên)</t>
  </si>
  <si>
    <t>Lọc 5151, lọc theo đối tượng là tên công ty con</t>
  </si>
  <si>
    <t>JV2401.035</t>
  </si>
  <si>
    <t>Ghi nhận Doanh thu cổ tức bằng tiền của Finhay tháng 01.2024</t>
  </si>
  <si>
    <t>0107748373</t>
  </si>
  <si>
    <t>JV2402.033</t>
  </si>
  <si>
    <t>Ghi nhận Doanh thu cổ tức bằng tiền của Finhay tháng 02.2024</t>
  </si>
  <si>
    <t>JV2403.031</t>
  </si>
  <si>
    <t>Ghi nhận Doanh thu cổ tức bằng tiền của Finhay tháng 03.2024</t>
  </si>
  <si>
    <t>JV2404.035</t>
  </si>
  <si>
    <t>Ghi nhận Doanh thu cổ tức bằng tiền của Finhay tháng 04.2024</t>
  </si>
  <si>
    <t>JV2405.037</t>
  </si>
  <si>
    <t>Ghi nhận Doanh thu cổ tức bằng tiền của Finhay tháng 05.2024</t>
  </si>
  <si>
    <t>JV2406.018</t>
  </si>
  <si>
    <t>Ghi nhận Doanh thu cổ tức bằng tiền của Finhay tháng 06.2024</t>
  </si>
  <si>
    <t>JV2407.012</t>
  </si>
  <si>
    <t>Ghi nhận Doanh thu cổ tức bằng tiền của Finhay tháng 07.2024</t>
  </si>
  <si>
    <t>JV2408.026</t>
  </si>
  <si>
    <t>Ghi nhận Doanh thu cổ tức bằng tiền của Finhay tháng 08.2024</t>
  </si>
  <si>
    <t>JV2410.005</t>
  </si>
  <si>
    <t>Ghi nhận Doanh thu cổ tức bằng tiền của Finhay tháng 09.2024</t>
  </si>
  <si>
    <t>JV2410.027</t>
  </si>
  <si>
    <t>Ghi nhận Doanh thu cổ tức bằng tiền của Finhay tháng 10.2024</t>
  </si>
  <si>
    <t>JV2411.029</t>
  </si>
  <si>
    <t>Ghi nhận Doanh thu cổ tức bằng tiền của Finhay tháng 11.2024</t>
  </si>
  <si>
    <t>JV2412.010</t>
  </si>
  <si>
    <t>Ghi nhận Doanh thu cổ tức bằng tiền của Finhay tháng 12.2024</t>
  </si>
  <si>
    <t>c</t>
  </si>
  <si>
    <t>Adjustment list of Single reports in FY2024</t>
  </si>
  <si>
    <t>Late Adjustment by Finhay</t>
  </si>
  <si>
    <t>Sửa lại bút toán lãi tiền gửi tháng 12/2023</t>
  </si>
  <si>
    <t>Finhay</t>
  </si>
  <si>
    <t>Doanh thu chia sẻ theo hợp đồng hợp tác kinh doanh từ người dùng tháng 12/2024 số hợp đồng 00000225</t>
  </si>
  <si>
    <t>Thuế GTGT - Doanh thu chia sẻ theo hợp đồng hợp tác kinh doanh thu từ người dùng tháng 12/2024 số hợp đồng 0000225</t>
  </si>
  <si>
    <t>Lãi đến ngày swap số CDxM</t>
  </si>
  <si>
    <t>Ok</t>
  </si>
  <si>
    <t>Người dùng chuyển tài sản từ tài khoản tiền sang CDxM mới tháng 12/2024</t>
  </si>
  <si>
    <t>Netoff công nợ MXV &amp; Nghiêm Xuân Huy</t>
  </si>
  <si>
    <t>Chi phí hội viên VietFintech 2024</t>
  </si>
  <si>
    <t>Book ngược,xem lại</t>
  </si>
  <si>
    <t>Thưởng Tết Dương 2024</t>
  </si>
  <si>
    <t>Điều chỉnh thuế GTGT - Phí hỗ trợ tiếp cận quỹ ETF IPAAM VN100 theo PL04 hợp đồng số 101/2021/HDHTKD/Finhay-IPAAM</t>
  </si>
  <si>
    <t>Điều chỉnh khoản Dư Có phải thu do người mua không lấy hóa đơn -&gt; Dư có 331</t>
  </si>
  <si>
    <t>Chuyển Dư có 1388.Khac sang phải trả khác</t>
  </si>
  <si>
    <t>Bổ sung VAT đầu vào cho các loại chi phí</t>
  </si>
  <si>
    <t>Bổ sung VAT đầu vào cho chi phí Google Gsuite</t>
  </si>
  <si>
    <t>Chuyển 242 ngắn hạn/dài hạn. Thanh toán gia hạn hợp đồng đường truyền mạng Viettel</t>
  </si>
  <si>
    <t>Singles Adjustment by EY</t>
  </si>
  <si>
    <t>Một số bút toán phân loại lại</t>
  </si>
  <si>
    <t>Phân loại nạp khớp nhưng ngân hàng chưa báo có (Trên app đã báo có nhưng tiền gửi ngân hàng chưa có tại số dư cuối kỳ)</t>
  </si>
  <si>
    <t>Bút toán thường xuyên, tại thời điểm cuối kỳ luôn có lượng tiền treo trên 11312 nhưng ngân hàng chưa báo có</t>
  </si>
  <si>
    <t>Chuyển line nhằm thuyết minh riêng bán chứng khoán/trái phiếu/chứng chỉ quỹ tiền chưa về</t>
  </si>
  <si>
    <t>Reclassify lại về phải thu khác với các khoản đã bán nhưng tiền chưa về</t>
  </si>
  <si>
    <t>Số dư CK Pending trên 1388.Khac</t>
  </si>
  <si>
    <t>Số dư Trai phieu Pending trên 1388.Khac</t>
  </si>
  <si>
    <t>Số dư CCQ Pending trên 1218</t>
  </si>
  <si>
    <t>Phân loại lại phải thu phải trả</t>
  </si>
  <si>
    <t>Phân loại lại Dư nợ 3388.NSAV sang đầu phải thu</t>
  </si>
  <si>
    <t>Các bút toán đánh giá lại Cổ phiếu. Đồng thời tăng tài sản (1388.NAV) &amp; tăng công nợ phải trả cho user (3388.CK)</t>
  </si>
  <si>
    <t xml:space="preserve">Tài sản FH - Cổ phiếu niêm yêt - Reverse bút toán tăng giảm kỳ HY24 </t>
  </si>
  <si>
    <t>1388 CK Revert tăng kỳ HY24</t>
  </si>
  <si>
    <t>Refer to Previous year GL</t>
  </si>
  <si>
    <t>Tài sản FH - Cổ phiếu niêm yêt - Reverse bút toán tăng giảm kỳ HY24</t>
  </si>
  <si>
    <t>1388 CK Revert giảm kỳ HY24</t>
  </si>
  <si>
    <t>Tài sản FH - Cổ phiếu niêm yêt - Book chênh lệch tăng CP kỳ FY24</t>
  </si>
  <si>
    <t xml:space="preserve">Đánh giá tăng chứng khoán của User nắm giữ, tăng 1388.NAV trên đầu Tài sản của BCTC. Lưu ý khác với Finhay tự tính do các cổ phiếu bị hủy niêm yết ROS lấy giá 2510, CEE lấy giá 10700. </t>
  </si>
  <si>
    <t>Tài sản FH - Cổ phiếu niêm yêt - Book chênh lệch giảm CP kỳ FY24</t>
  </si>
  <si>
    <t xml:space="preserve">Đánh giá giảm chứng khoán của User nắm giữ, tăng 1388.NAV trên đầu Tài sản của BCTC. Lưu ý khác với Finhay tự tính do các cổ phiếu bị hủy niêm yết ROS lấy giá 2510, CEE lấy giá 10700. </t>
  </si>
  <si>
    <t>Tăng nợ phải trả nhà đầu tư - Cổ phiếu niêm yết - Reverse bút toán tăng giảm kỳ HY24</t>
  </si>
  <si>
    <t>3388.CK Reverse bút toán giảm FY 23</t>
  </si>
  <si>
    <t>3388.CK Reverse bút toán tăng FY 23</t>
  </si>
  <si>
    <t>Giảm nợ phải trả nhà đầu tư - Cổ phiếu niêm yết -Book tăng/giảm bút toán kỳ FY24</t>
  </si>
  <si>
    <t xml:space="preserve">Đánh giá tăng chứng khoán của User nắm giữ, tăng Phải trả cho User 3388.CK. Lưu ý khác với Finhay tự tính do các cổ phiếu bị hủy niêm yết ROS lấy giá 2510, CEE lấy giá 10700. </t>
  </si>
  <si>
    <t>LS</t>
  </si>
  <si>
    <t>Should be</t>
  </si>
  <si>
    <t>Diff</t>
  </si>
  <si>
    <t>check lại số dư should be và số dư trên leadsheet=&gt; cần điều chỉnh số phải trả về số này</t>
  </si>
  <si>
    <t>Tăng nợ phải trả nhà đầu tư - Cổ phiếu niêm yết -Book tăng/giảm bút toán kỳ FY24</t>
  </si>
  <si>
    <t xml:space="preserve">Đánh giá giảm chứng khoán của User nắm giữ, tăng Phải trả cho User 3388.CK. Lưu ý khác với Finhay tự tính do các cổ phiếu bị hủy niêm yết ROS lấy giá 2510, CEE lấy giá 10700. </t>
  </si>
  <si>
    <t>Các bút toán đánh giá lại Chứng chỉ Quỹ. Đồng thời tăng tài sản (1388.NAV) &amp; tăng công nợ phải trả cho user (3388.CCQ)</t>
  </si>
  <si>
    <t>Revert bút toán chênh lệch tăng/giảm đánh giá CCQ kỳ FY23</t>
  </si>
  <si>
    <t>Revert bút toán CCQ FY23</t>
  </si>
  <si>
    <t>Revert bút toán Balancing 1388.NAV khớp với movement giá trị hợp lý</t>
  </si>
  <si>
    <t>Tài sản FH - Chứng chỉ quỹ - Reverse bút toán tăng giảm kỳ HY24</t>
  </si>
  <si>
    <t>1388 CCQ revert tăng HY24</t>
  </si>
  <si>
    <t>1388 CCQ revert giảm HY24</t>
  </si>
  <si>
    <t>Tài sản FH - Chứng chỉ quỹ - Book chênh lệch tăng CCQ - FH</t>
  </si>
  <si>
    <t>1388 CCQ Đánh giá tăng</t>
  </si>
  <si>
    <t>Tài sản FH - Chứng chỉ quỹ - Book chênh lệch giảm CCQ - FH</t>
  </si>
  <si>
    <t>1388 CCQ Đánh giá giảm</t>
  </si>
  <si>
    <t>Nợ phải trả nhà đầu tư - Chứng chỉ quỹ - Reverse bút toán kỳ HY24</t>
  </si>
  <si>
    <t>3388. CCQ revert bút toán HY24</t>
  </si>
  <si>
    <t xml:space="preserve">Nợ phải trả nhà đầu tư - Chứng chỉ quỹ - Book chênh lệch tăng tài sản của user </t>
  </si>
  <si>
    <t>3388 CCQ Đánh giá tăng</t>
  </si>
  <si>
    <t>Revert bút toán chờ chuyển 3388.Pending năm 31.12.2023</t>
  </si>
  <si>
    <t>Đánh giá lại đầu 3388.Pending tại 31.12.2024</t>
  </si>
  <si>
    <t>Các bút toán trick lập dự phòng 229 với: cổ phiếu, trái phiếu, đầu tư vào công ty con</t>
  </si>
  <si>
    <t>Bổ sung dự phòng trái phiếu niêm yết bị lỗ so với giá gốc</t>
  </si>
  <si>
    <t>Cần book</t>
  </si>
  <si>
    <t>Em vẫn giữ lại, để cân nhắc thêm vì ko có quy định cho phép nếu đã định giá lại thì bỏ ko cần trích dự phòng 229</t>
  </si>
  <si>
    <t>OB of 2291</t>
  </si>
  <si>
    <t>Bỏ phần cổ phiếu đi:so sánh giá tại ngày hủy với giá vốn đang ghi nhận=&gt; chênh lệch đã book vào 1388.nav rồi =&gt; không dự phòng nữa</t>
  </si>
  <si>
    <t>CB of 2291</t>
  </si>
  <si>
    <t>Trích thêm dự phòng đầu tư vào công ty con - do FY2024 phải trích nhiều hơn</t>
  </si>
  <si>
    <t>Sheet "Dự phòng Finhay JSC"</t>
  </si>
  <si>
    <t>Các bút toán liên quan dến tiền gửi Ngân hàng</t>
  </si>
  <si>
    <t>Book thêm lãi dự thu tiền gửi</t>
  </si>
  <si>
    <t>Tính bổ sung lãi tiền gửi?</t>
  </si>
  <si>
    <t>Điều chỉnh hợp đồng tiền gửi về các khoản tương đương tiền (Không ảnh hưởng tới sổ sách của Finhay)</t>
  </si>
  <si>
    <t>Chuyển khoản gửi 30 tỷ gửi ở Nam Á Bank (thời hạn 1 tháng) về tương đương tiền</t>
  </si>
  <si>
    <t>Điều chỉnh đầu tư dài hạn về hợp đồng tiền gửi theo kỳ hạn còn lại &lt;1 năm</t>
  </si>
  <si>
    <t>Bao gồm tiền gửi có thời hạn &gt; 12 tháng: 65 tỷ tại VPBank. Còn 1 triệu dư trên 2288 là đầu tư vào Cty con XH</t>
  </si>
  <si>
    <t>Điều chỉnh doanh thu phần mềm với VNSC</t>
  </si>
  <si>
    <t>Điều chỉnh phân loại sang doanh thu chưa thực hiện dài hạn</t>
  </si>
  <si>
    <t>Finhay cung cấp Dịch vụ phần mềm gói lisence đối với phần mềm VNSC by Finhay từ 2023 - 2028</t>
  </si>
  <si>
    <t>N P section</t>
  </si>
  <si>
    <t>số dư reclass chưa bao gồm điều chỉnh phần trích thừa từ tháng 3-4/2024 chưa điều chỉnh: 34.162.164</t>
  </si>
  <si>
    <t>Đã có bút toán trên rồi mà</t>
  </si>
  <si>
    <t>Book net bổ sung 711 và 811 liên quan đến đánh giá lại</t>
  </si>
  <si>
    <t>Bút toán điều chỉnh tăng tài sản cố định. Chuyển từ Xây dựng dở dang sang TSCĐ vô hình</t>
  </si>
  <si>
    <t>Tăng TSCĐ do nghiệm thu dự án</t>
  </si>
  <si>
    <t>Xây dưng bổ sung tính năng cho phần mềm VNSC giai đoạn 10/2023 - 3/2024</t>
  </si>
  <si>
    <t>Phân bổ hao mòn TSCĐ vô hình</t>
  </si>
  <si>
    <t>Tổng phân bổ tháng 4,5,6 của TSCĐ vô hình là dự án nghiệm thu tháng 3/2024</t>
  </si>
  <si>
    <t>VNSC.CCQ</t>
  </si>
  <si>
    <t>Bù trừ thuế GTGT</t>
  </si>
  <si>
    <t>VNSC.CK</t>
  </si>
  <si>
    <t>Kết chuyển thuế GTGT Quý 3.2023</t>
  </si>
  <si>
    <t>Kết chuyển thuế GTGT Quý 4.2023</t>
  </si>
  <si>
    <t>Phân loại lại nhằm thuyết minh chi tiết cổ tức của Finhay</t>
  </si>
  <si>
    <t>Lọc 5151 đối ứng 3388.CT</t>
  </si>
  <si>
    <t>Net off đánh giá lại của Finhay theo giá trị thuần</t>
  </si>
  <si>
    <t>Tăng chênh lệch tăng/giảm đánh giá cổ phiếu</t>
  </si>
  <si>
    <t>File "Check note chứng khoán kinh doanh"</t>
  </si>
  <si>
    <t>Balancing 1388.NAV khớp với movement giá trị hợp lý</t>
  </si>
  <si>
    <t>Điều chỉnh net 711-811</t>
  </si>
  <si>
    <t>Adjustment single list of subsidiaries 2024</t>
  </si>
  <si>
    <t>Điều chỉnh lợi nhuận chưa thực hiện năm nay</t>
  </si>
  <si>
    <t>Hiện tại</t>
  </si>
  <si>
    <t>Check lại A0.LS của VNSC toàn bộ phần PL, không khớp báo cáo đã kiểm toán của VNSC tại link</t>
  </si>
  <si>
    <t>Do Finhay hợp nhất theo TT202, CTCK VNSC theo TT210 cho CTCK nên mẫu biểu khác nhau. Em chỉ map lên sao cho đảm bảo đúng dòng doanh thu, chi phí &amp; LN trước thuế chính xác là đc ah.</t>
  </si>
  <si>
    <t>Ref to VNSC Adjustment List</t>
  </si>
  <si>
    <t>Phát sinh thêm chi phí dịch vụ mua ngoài cho VNSC</t>
  </si>
  <si>
    <t>Phân bổ chi phí trả trước ngắn hạn</t>
  </si>
  <si>
    <t>Phân loại lại chi phí khác -&gt; Chi phí nghiệp vụ môi giới chứng khoán</t>
  </si>
  <si>
    <t>Phân loại lại phải thu dịch vụ chứng</t>
  </si>
  <si>
    <t>Cần revert hết lãi dự thu FVTPL của VNSC</t>
  </si>
  <si>
    <t>Reclassify doanh thu nghiệp vụ bảo lãnh, đại lý phát hành chứng khoán</t>
  </si>
  <si>
    <t>Reclassify chi phí khấu hao TSCĐ của bộ phận marketing</t>
  </si>
  <si>
    <t>Tiền lãi - HTM - Trái phiếu niêm yết - Trái phiếu Chính phủ</t>
  </si>
  <si>
    <t>Dự thu cổ tức, tiền lãi phát sinh trong kỳ chưa đến ngày thu trong kỳ - Trái phiếu niêm yết</t>
  </si>
  <si>
    <t>Giảm doanh thu ừu chênh lệch đánh giá lại - Trái phiếu niêm yết</t>
  </si>
  <si>
    <t>Đánh giá chênh lệch đánh giá lại đối với TSTC FVPTL</t>
  </si>
  <si>
    <t>Bổ sung trích trước chi phí kiểm toán</t>
  </si>
  <si>
    <t>Phân loại lại Doanh thu</t>
  </si>
  <si>
    <t>Bút toán ghi tăng thuế TNDN hoãn lại</t>
  </si>
  <si>
    <t>Chuyển phải thu thành phải trả vàng ở 1388.Khac</t>
  </si>
  <si>
    <t>Consol phải off ở 3388.Gold</t>
  </si>
  <si>
    <t>Hạch toán chi phí giao dịch Baggain Purchase do việc chuyển nhượng giữa các cổ đông với nhau</t>
  </si>
  <si>
    <t>Thiếu bút toán này cho H124, phần góp vốn của XH sheet group bị sai</t>
  </si>
  <si>
    <t>update cho 2024 như sau</t>
  </si>
  <si>
    <t>Tại ngày</t>
  </si>
  <si>
    <t>Phân loại KCG là đầu tư khác</t>
  </si>
  <si>
    <t>Tăng vốn lần 2</t>
  </si>
  <si>
    <t>Chuyển nhượng lần 14</t>
  </si>
  <si>
    <t>Chuyển nhượng lần 15</t>
  </si>
  <si>
    <t>Chuyển nhượng lần 16</t>
  </si>
  <si>
    <t>Finhay Cty con</t>
  </si>
  <si>
    <t xml:space="preserve">Trích lập dự phòng </t>
  </si>
  <si>
    <t>Bổ sung trích lập dự phòng FY23 để khớp số đầu kỳ (late adj của Finhay, chưa được đưa lên báo cáo FY23)</t>
  </si>
  <si>
    <t>Thưởng Tết Dương 2025</t>
  </si>
  <si>
    <t>TT/FHTNHH/0407 - Thanh toán Phí Công bố nội dung đăng ký doanh nghiệp theo HĐ 0323639 ngày 02/12/2024</t>
  </si>
  <si>
    <t>Hạch toán chi phí giao dịch Baggain Purchase do việc chuyển nhượng giữa các cổ đông với nhau (năm 2024</t>
  </si>
  <si>
    <t>Trích thêm lập dự phòng của 0.26% sở hữu của XH mua của VNSC</t>
  </si>
  <si>
    <t>OB</t>
  </si>
  <si>
    <t>CB</t>
  </si>
  <si>
    <t>Show/hide</t>
  </si>
  <si>
    <t>Cho năm tài chính kết thúc ngày 31 tháng 12 năm 2023
VND</t>
  </si>
  <si>
    <t>Adjustment
Single</t>
  </si>
  <si>
    <t>Lọc tk 5151 đối ứng 112</t>
  </si>
  <si>
    <t>TỔNG HỢP CÔNG NỢ THEO ĐỐI TƯỢNG</t>
  </si>
  <si>
    <t>Tài khoản: 1218; Loại tiền: VND; Loại đối tượng: &lt;&lt;Tất cả&gt;&gt;; Năm 2024</t>
  </si>
  <si>
    <t>TK công nợ</t>
  </si>
  <si>
    <t>Số dư đầu kỳ</t>
  </si>
  <si>
    <t>Lũy kế phát sinh</t>
  </si>
  <si>
    <t>Số dư cuối kỳ</t>
  </si>
  <si>
    <t>Mã đối tượng : BVBF (1 )</t>
  </si>
  <si>
    <t>BVBF</t>
  </si>
  <si>
    <t>Quy dau tu trai phieu Bao Viet (BVBF)</t>
  </si>
  <si>
    <t>Mã đối tượng : BVPF (1 )</t>
  </si>
  <si>
    <t>BVPF</t>
  </si>
  <si>
    <t>Quy dau tu co phieu trien vong Bao Viet (BVPF)</t>
  </si>
  <si>
    <t>Mã đối tượng : CCQ.Ban.pending (1 )</t>
  </si>
  <si>
    <t>CCQ.Ban.pending</t>
  </si>
  <si>
    <t>Giao dịch bán chứng chỉ quỹ chưa khớp/tiền chưa về</t>
  </si>
  <si>
    <t>Mã đối tượng : CCQ.Mua.pending (1 )</t>
  </si>
  <si>
    <t>CCQ.Mua.pending</t>
  </si>
  <si>
    <t>Chứng chỉ quỹ mua chờ khớp</t>
  </si>
  <si>
    <t>Mã đối tượng : CCTG_EVNFC (1 )</t>
  </si>
  <si>
    <t>CCTG_EVNFC</t>
  </si>
  <si>
    <t>Chứng chỉ tiền gửi EVNFC</t>
  </si>
  <si>
    <t>Mã đối tượng : CCTG_Fe Credit (1 )</t>
  </si>
  <si>
    <t>CCTG_Fe Credit</t>
  </si>
  <si>
    <t>Chứng chỉ tiền gửi Fe Credit (Công ty Tài chính TNHH Ngân hàng Việt Nam Thịnh Vượng SMBC)</t>
  </si>
  <si>
    <t>Mã đối tượng : CCTG_HD SAIGON (1 )</t>
  </si>
  <si>
    <t>CCTG_HD SAIGON</t>
  </si>
  <si>
    <t>Chứng chỉ tiền gửi HD SAIGON</t>
  </si>
  <si>
    <t>Mã đối tượng : CCTG_HomeCredit (1 )</t>
  </si>
  <si>
    <t>CCTG_HomeCredit</t>
  </si>
  <si>
    <t>Chứng chỉ tiền gửi Home Credit</t>
  </si>
  <si>
    <t>Mã đối tượng : CCTG_MB (1 )</t>
  </si>
  <si>
    <t>CCTG_MB</t>
  </si>
  <si>
    <t>Chứng chỉ tiền gửi ngân hàng Quân đội</t>
  </si>
  <si>
    <t>Mã đối tượng : CCTG_MB Shinsei (1 )</t>
  </si>
  <si>
    <t>CCTG_MB Shinsei</t>
  </si>
  <si>
    <t>MB Shinsei_Công ty Tài chính TNHH MB Shinsei</t>
  </si>
  <si>
    <t>Mã đối tượng : CCTG_Mirae (1 )</t>
  </si>
  <si>
    <t>CCTG_Mirae</t>
  </si>
  <si>
    <t>Chứng chỉ tiền gửi Mirae Asset</t>
  </si>
  <si>
    <t>Mã đối tượng : CCTG_NamABank (1 )</t>
  </si>
  <si>
    <t>CCTG_NamABank</t>
  </si>
  <si>
    <t>Chứng chỉ tiền gửi Nam Á Bank</t>
  </si>
  <si>
    <t>Mã đối tượng : CCTG_SHB (1 )</t>
  </si>
  <si>
    <t>CCTG_SHB</t>
  </si>
  <si>
    <t>Chứng chỉ tiền gửi Công ty Tài chính TNHH Ngân hàng TMCP Sài Gòn - Hà Nội (SHBF)</t>
  </si>
  <si>
    <t>Mã đối tượng : CCTG_Trường An (1 )</t>
  </si>
  <si>
    <t>CCTG_Trường An</t>
  </si>
  <si>
    <t>Trường An_Công ty Tài chính TNHH MB Shinsei</t>
  </si>
  <si>
    <t>Mã đối tượng : CCTG_VietCredit (1 )</t>
  </si>
  <si>
    <t>CCTG_VietCredit</t>
  </si>
  <si>
    <t>Chứng chỉ tiền gửi Vietcredit</t>
  </si>
  <si>
    <t>Mã đối tượng : DIAMOND (1 )</t>
  </si>
  <si>
    <t>DIAMOND</t>
  </si>
  <si>
    <t>Quỹ ETF VFMVN DIAMOND</t>
  </si>
  <si>
    <t>Mã đối tượng : E1VFVN30 (1 )</t>
  </si>
  <si>
    <t>E1VFVN30</t>
  </si>
  <si>
    <t>Quỹ hoán đổi danh mục VnDirect - E1VFVN30</t>
  </si>
  <si>
    <t>Mã đối tượng : ETFVN50 (1 )</t>
  </si>
  <si>
    <t>ETFVN50</t>
  </si>
  <si>
    <t>QUỸ ETF SSIAM VNX50</t>
  </si>
  <si>
    <t>Mã đối tượng : FUEIP100 (1 )</t>
  </si>
  <si>
    <t>FUEIP100</t>
  </si>
  <si>
    <t>Chứng chỉ Quỹ FUEIP100</t>
  </si>
  <si>
    <t>Mã đối tượng : FUEMAV30 (1 )</t>
  </si>
  <si>
    <t>FUEMAV30</t>
  </si>
  <si>
    <t>Chứng chỉ Quỹ ETF MAFM VN30</t>
  </si>
  <si>
    <t>Mã đối tượng : FUESSVFL (1 )</t>
  </si>
  <si>
    <t>FUESSVFL</t>
  </si>
  <si>
    <t>QUỸ ETF SSIAM VNFIN LEAD</t>
  </si>
  <si>
    <t>Mã đối tượng : MAGEFN001 (1 )</t>
  </si>
  <si>
    <t>MAGEFN001</t>
  </si>
  <si>
    <t>Mã đối tượng : PVBF (1 )</t>
  </si>
  <si>
    <t>PVBF</t>
  </si>
  <si>
    <t>Công ty Cổ phần Quản lý Quỹ Ngân hàng TMCP Đại chúng Việt Nam</t>
  </si>
  <si>
    <t>Mã đối tượng : SCA (1 )</t>
  </si>
  <si>
    <t>SCA</t>
  </si>
  <si>
    <t>Quy dau tu SSI-SCA</t>
  </si>
  <si>
    <t>Mã đối tượng : SSIAMVN30 (1 )</t>
  </si>
  <si>
    <t>SSIAMVN30</t>
  </si>
  <si>
    <t>Quỹ ETF SSIAM VN30</t>
  </si>
  <si>
    <t>Mã đối tượng : SSIBF (1 )</t>
  </si>
  <si>
    <t>SSIBF</t>
  </si>
  <si>
    <t>Quy dau tu trai phieu SSI (SSIBF)</t>
  </si>
  <si>
    <t>Mã đối tượng : TCBF (1 )</t>
  </si>
  <si>
    <t>TCBF</t>
  </si>
  <si>
    <t>Quỹ đầu tư trái phiếu Techcombank (TCBF)</t>
  </si>
  <si>
    <t>Mã đối tượng : TCFF (1 )</t>
  </si>
  <si>
    <t>TCFF</t>
  </si>
  <si>
    <t>Quỹ trái phiếu tự do Techcombank (TCFF)</t>
  </si>
  <si>
    <t>Mã đối tượng : TVGF3 (1 )</t>
  </si>
  <si>
    <t>TVGF3</t>
  </si>
  <si>
    <t>Mã đối tượng : TVGF4 (1 )</t>
  </si>
  <si>
    <t>TVGF4</t>
  </si>
  <si>
    <t>Mã đối tượng : VCB-BCF (1 )</t>
  </si>
  <si>
    <t>VCB-BCF</t>
  </si>
  <si>
    <t>Quỹ đầu tư Vietcombank</t>
  </si>
  <si>
    <t>Mã đối tượng : VF1 (1 )</t>
  </si>
  <si>
    <t>VF1</t>
  </si>
  <si>
    <t>Quy dau tu trai phieu Viet Nam - VFMVF1</t>
  </si>
  <si>
    <t>Mã đối tượng : VF4 (1 )</t>
  </si>
  <si>
    <t>VF4</t>
  </si>
  <si>
    <t>Quỹ đầu tư doanh nghiệp hàng đầu Việt Nam – VFMVF4</t>
  </si>
  <si>
    <t>Mã đối tượng : VFB (1 )</t>
  </si>
  <si>
    <t>VFB</t>
  </si>
  <si>
    <t>Quy dau tu trai phieu Viet Nam-VFMVFB</t>
  </si>
  <si>
    <t>Mã đối tượng : VLGF (1 )</t>
  </si>
  <si>
    <t>VLGF</t>
  </si>
  <si>
    <t>Chứng chỉ Quỹ VLGF</t>
  </si>
  <si>
    <t>Mã đối tượng : VN100 (1 )</t>
  </si>
  <si>
    <t>VN100</t>
  </si>
  <si>
    <t>QUỸ ETF VINACAPITAL VN100</t>
  </si>
  <si>
    <t>Mã đối tượng : VNDAF (1 )</t>
  </si>
  <si>
    <t>VNDAF</t>
  </si>
  <si>
    <t>Quy dau tu chu dong VNDAF</t>
  </si>
  <si>
    <t>Mã đối tượng : VNDBF (1 )</t>
  </si>
  <si>
    <t>VNDBF</t>
  </si>
  <si>
    <t>Quỹ mở trái phiếu VNDBF</t>
  </si>
  <si>
    <t>Số dòng = 38</t>
  </si>
  <si>
    <t>Tài khoản: 1388.Khac; Loại tiền: VND; Loại đối tượng: &lt;&lt;Tất cả&gt;&gt;; Năm 2024</t>
  </si>
  <si>
    <t>Mã đối tượng : 0102114648 (1 )</t>
  </si>
  <si>
    <t>0102114648</t>
  </si>
  <si>
    <t>CÔNG TY CỔ PHẦN  CHỨNG KHOÁN THIÊN VIỆT</t>
  </si>
  <si>
    <t>Mã đối tượng : 0302991607 (1 )</t>
  </si>
  <si>
    <t>0302991607</t>
  </si>
  <si>
    <t>CÔNG TY CỔ PHẦN QUẢN LÝ QUỸ ĐẦU TƯ DRAGON CAPITAL VIỆT NAM</t>
  </si>
  <si>
    <t>Mã đối tượng : 2700343750 (1 )</t>
  </si>
  <si>
    <t>2700343750</t>
  </si>
  <si>
    <t>CÔNG TY CỔ PHẦN MINH PHỐ</t>
  </si>
  <si>
    <t>Mã đối tượng : 8567-5498-0566 (1 )</t>
  </si>
  <si>
    <t>8567-5498-0566</t>
  </si>
  <si>
    <t>Google cloud - Phí dữ liệu</t>
  </si>
  <si>
    <t>Mã đối tượng : BCHCĐ (1 )</t>
  </si>
  <si>
    <t>BCHCĐ</t>
  </si>
  <si>
    <t>Ban chấp hành công đoàn Quận Nam Từ Liêm</t>
  </si>
  <si>
    <t>Mã đối tượng : BOM (1 )</t>
  </si>
  <si>
    <t>BOM</t>
  </si>
  <si>
    <t>Mã đối tượng : CK.Ban.pending (1 )</t>
  </si>
  <si>
    <t>CK.Ban.pending</t>
  </si>
  <si>
    <t>Giao dịch bán CK tiền chưa về</t>
  </si>
  <si>
    <t>Mã đối tượng : FH056-NgocPH (1 )</t>
  </si>
  <si>
    <t>FH056-NgocPH</t>
  </si>
  <si>
    <t>Phan Huyền Ngọc</t>
  </si>
  <si>
    <t>Mã đối tượng : KREA (1 )</t>
  </si>
  <si>
    <t>KREA</t>
  </si>
  <si>
    <t>Mã đối tượng : TKLK_TVAM (1 )</t>
  </si>
  <si>
    <t>TKLK_TVAM</t>
  </si>
  <si>
    <t>Tài khoản tiền TVAM lưu ký tại BIDV</t>
  </si>
  <si>
    <t>Mã đối tượng : TNGH2428001 (1 )</t>
  </si>
  <si>
    <t>TNGH2428001</t>
  </si>
  <si>
    <t>CTCP Đầu tư và Thương mại TNG</t>
  </si>
  <si>
    <t>Mã đối tượng : TP.Ban.pending (1 )</t>
  </si>
  <si>
    <t>TP.Ban.pending</t>
  </si>
  <si>
    <t>Giao dịch bán trái phiếu chưa khớp/tiền chưa về</t>
  </si>
  <si>
    <t>Mã đối tượng : VNSC-VPB729 (1 )</t>
  </si>
  <si>
    <t>VNSC-VPB729</t>
  </si>
  <si>
    <t>Tài khoản tiền ở VNSC</t>
  </si>
  <si>
    <t>Số dòng = 13</t>
  </si>
  <si>
    <t>SP</t>
  </si>
  <si>
    <t>Issuer</t>
  </si>
  <si>
    <t>Product ID</t>
  </si>
  <si>
    <t>Interest</t>
  </si>
  <si>
    <t>Month</t>
  </si>
  <si>
    <t>Amount (VND - Par value)</t>
  </si>
  <si>
    <t>Purchase date</t>
  </si>
  <si>
    <t>Value at purchasing date</t>
  </si>
  <si>
    <t>Date started</t>
  </si>
  <si>
    <t>Expiry date</t>
  </si>
  <si>
    <t>Book sổ</t>
  </si>
  <si>
    <t>NamABank</t>
  </si>
  <si>
    <t>Term deposit - NAB15122022</t>
  </si>
  <si>
    <t>Đã tất toán 15.06.2023</t>
  </si>
  <si>
    <t>Term depoit - NAB09012023</t>
  </si>
  <si>
    <t>Đã tất toán 10.07.2023</t>
  </si>
  <si>
    <t>Term depoit - NAB11012023</t>
  </si>
  <si>
    <t>Techcombank</t>
  </si>
  <si>
    <t>Term deposit - TCB12012022</t>
  </si>
  <si>
    <t>Đã tất toán 12.07.2023</t>
  </si>
  <si>
    <t>VPBank</t>
  </si>
  <si>
    <t>Term deposit - VPB13012022</t>
  </si>
  <si>
    <t>Đã tất toán 13.07.2023</t>
  </si>
  <si>
    <t>Vietbank</t>
  </si>
  <si>
    <t>VBB2261711</t>
  </si>
  <si>
    <t>Đã tất toán</t>
  </si>
  <si>
    <t>VBB2261714</t>
  </si>
  <si>
    <t>VBB2261719</t>
  </si>
  <si>
    <t>Term deposit - VPB16012023</t>
  </si>
  <si>
    <t>Term depoit - NAB18012023</t>
  </si>
  <si>
    <t>Term deposit - VPB18012023</t>
  </si>
  <si>
    <t>Term deposit - VPB30012023</t>
  </si>
  <si>
    <t>Term deposit- 23-HĐTG/2023/T.ĐINH</t>
  </si>
  <si>
    <t>Term deposit- 21-HĐTG/2023/T.ĐINH</t>
  </si>
  <si>
    <t>Term deposit - VBB31012023</t>
  </si>
  <si>
    <t>Term deposit - 000002309442</t>
  </si>
  <si>
    <t>Term deposit - 000002309541</t>
  </si>
  <si>
    <t>Term deposit - 000002309551</t>
  </si>
  <si>
    <t>Seabank</t>
  </si>
  <si>
    <t>Đã tất toán 12.06.2023</t>
  </si>
  <si>
    <t>Term deposit - SEAB20122022.6M</t>
  </si>
  <si>
    <t>Đã tất toán 20.06.2023</t>
  </si>
  <si>
    <t>Term deposit - SEAB21122022.6M</t>
  </si>
  <si>
    <t>Đã tất toán 21.06.2023</t>
  </si>
  <si>
    <t>Term deposit - SEAB22122022.6M</t>
  </si>
  <si>
    <t>Đã tất toán 22.06.2023</t>
  </si>
  <si>
    <t>Term deposit - SEAB23122022.6M</t>
  </si>
  <si>
    <t>Đã tất toán 23.06.2023</t>
  </si>
  <si>
    <t>Term deposit - SEAB20221215/101/01</t>
  </si>
  <si>
    <t>Term deposit - SEAB20221215/101/02</t>
  </si>
  <si>
    <t>Term deposit - SEAB20221215/101/03</t>
  </si>
  <si>
    <t>Term deposit - VBB01022023</t>
  </si>
  <si>
    <t>Term deposit - VBB02022023</t>
  </si>
  <si>
    <t>Term deposit - NAB03022023</t>
  </si>
  <si>
    <t>Term deposit - NAB21022023</t>
  </si>
  <si>
    <t>Term deposit - NAB22022023</t>
  </si>
  <si>
    <t>Eximbank</t>
  </si>
  <si>
    <t>EIB02032023</t>
  </si>
  <si>
    <t>EIB03032023</t>
  </si>
  <si>
    <t>Term deposit - SEAB06032023</t>
  </si>
  <si>
    <t>Đã tất toán ngày 16.08</t>
  </si>
  <si>
    <t>EIB31032023</t>
  </si>
  <si>
    <t>EIB06042023</t>
  </si>
  <si>
    <t>SEAB06042023</t>
  </si>
  <si>
    <t>EIB07042023</t>
  </si>
  <si>
    <t>EIB17042023</t>
  </si>
  <si>
    <t>Term deposit - VPB17042023</t>
  </si>
  <si>
    <t>Sacombank</t>
  </si>
  <si>
    <t>STB04052023</t>
  </si>
  <si>
    <t>Đáo hạn 06.11.203</t>
  </si>
  <si>
    <t>STB08052023</t>
  </si>
  <si>
    <t>Đáo hạn 08.11.203</t>
  </si>
  <si>
    <t>STB26052023</t>
  </si>
  <si>
    <t>Đã tất toán 26.06.2024</t>
  </si>
  <si>
    <t>STB30052023</t>
  </si>
  <si>
    <t>Đã tất toán 09.06.2023</t>
  </si>
  <si>
    <t>STB31052023</t>
  </si>
  <si>
    <t>STB01062023</t>
  </si>
  <si>
    <t>STB02062023</t>
  </si>
  <si>
    <t>060303921071</t>
  </si>
  <si>
    <t>060303921128</t>
  </si>
  <si>
    <t>Đã tất toán ngày 12.08.2024</t>
  </si>
  <si>
    <t>STB03072023.12M</t>
  </si>
  <si>
    <t>Đã tất toán ngày 03.07.2024</t>
  </si>
  <si>
    <t>STB03072023.15M</t>
  </si>
  <si>
    <t>NAB05072023</t>
  </si>
  <si>
    <t>CCTG -&gt; Chuyển sang HMV từ 28.12.2023</t>
  </si>
  <si>
    <t>Viet Capital Bank</t>
  </si>
  <si>
    <t>BVB11072023</t>
  </si>
  <si>
    <t>CCTG -&gt; Chuyển sang HMV từ T11.2023</t>
  </si>
  <si>
    <t>BVB12072023_01</t>
  </si>
  <si>
    <t>CCTG -&gt; chuyển sang HMV từ 12.03.2024</t>
  </si>
  <si>
    <t>BVB12072023_02</t>
  </si>
  <si>
    <t>BVB17072023</t>
  </si>
  <si>
    <t>VPB17072023</t>
  </si>
  <si>
    <t>Đã tất toán ngày 17.07.24</t>
  </si>
  <si>
    <t>CCTG -&gt; Chuyển sang HMV từ 26.01.2024</t>
  </si>
  <si>
    <t>VPB18072023_01</t>
  </si>
  <si>
    <t>VPB18072023_02</t>
  </si>
  <si>
    <t>VPB18072023_03</t>
  </si>
  <si>
    <t>VPB20072023</t>
  </si>
  <si>
    <t>Term deposit - NAB0809023</t>
  </si>
  <si>
    <t>Đã tất toán ngày 11.03.2024</t>
  </si>
  <si>
    <t>HMV</t>
  </si>
  <si>
    <t>806198392300005</t>
  </si>
  <si>
    <t>806198392300007</t>
  </si>
  <si>
    <t>806198392300006</t>
  </si>
  <si>
    <t>806198392300008</t>
  </si>
  <si>
    <t>806198392300009</t>
  </si>
  <si>
    <t>806198392300011</t>
  </si>
  <si>
    <t>806198392300010</t>
  </si>
  <si>
    <t>NamABank-TD28Aug2024-01</t>
  </si>
  <si>
    <t>NamABank-TD28Aug2024-02</t>
  </si>
  <si>
    <t>294/HDTG/2023/C.GIAY</t>
  </si>
  <si>
    <t>295/HDTG/2023/C.GIAY</t>
  </si>
  <si>
    <t>296/HDTG/2023/C.GIAY</t>
  </si>
  <si>
    <t>297/HDTG/2023/C.GIAY</t>
  </si>
  <si>
    <t>298/HDTG/2023/C.GIAY</t>
  </si>
  <si>
    <t>299/HDTG/2023/C.GIAY</t>
  </si>
  <si>
    <t>300/HDTG/2023/C.GIAY</t>
  </si>
  <si>
    <t>301/HDTG/2023/C.GIAY</t>
  </si>
  <si>
    <t>SacombankBinhTay-19Aug2024</t>
  </si>
  <si>
    <t>NamABank-TD29Jan2024-01</t>
  </si>
  <si>
    <t>NamABank-TD29Jan2024-02</t>
  </si>
  <si>
    <t>NamABank-TD29Jan2024-03</t>
  </si>
  <si>
    <t>VPB-TD05Jun2024</t>
  </si>
  <si>
    <t>Đã tất toán ngày 08.04.2024</t>
  </si>
  <si>
    <t>SeabankTD-06Mar2024</t>
  </si>
  <si>
    <t>Seabank-TD18Mar2024</t>
  </si>
  <si>
    <t>Đã tất toán ngày 18.03.2024</t>
  </si>
  <si>
    <t>SHBBank</t>
  </si>
  <si>
    <t>SHBFCD-06May2024</t>
  </si>
  <si>
    <t>SHBFCD-26April2024</t>
  </si>
  <si>
    <t>LPBank</t>
  </si>
  <si>
    <t>LPBank-TD06May2024</t>
  </si>
  <si>
    <t>Đã tất toán ngày 06.06.2024</t>
  </si>
  <si>
    <t>LPBank-TD17Jun2024</t>
  </si>
  <si>
    <t>Đã tất toán 17.06.2024</t>
  </si>
  <si>
    <t>HĐTG</t>
  </si>
  <si>
    <t>OCB</t>
  </si>
  <si>
    <t>01/2024/HDTG/TVAM-OCB</t>
  </si>
  <si>
    <t>BVB15082024-01</t>
  </si>
  <si>
    <t>BVB15082024-02</t>
  </si>
  <si>
    <t>BVB19082024</t>
  </si>
  <si>
    <t>BVBnonterm</t>
  </si>
  <si>
    <t>VPB22082024</t>
  </si>
  <si>
    <t>VPB18082025-01</t>
  </si>
  <si>
    <t>Đã tất toán 09.12.2024</t>
  </si>
  <si>
    <t>VPB18082025-02</t>
  </si>
  <si>
    <t>VPB26082025-01</t>
  </si>
  <si>
    <t>Đã tất toán 07.11.2024</t>
  </si>
  <si>
    <t>VPB26082025-02</t>
  </si>
  <si>
    <t>Fe Credit</t>
  </si>
  <si>
    <t>VPBFC/TGCKH-4361/2024</t>
  </si>
  <si>
    <t>VPBFC/TGCKH-4362/2024</t>
  </si>
  <si>
    <t>VPB22102025</t>
  </si>
  <si>
    <t>Đã tất toán 24.10.2024</t>
  </si>
  <si>
    <t>Đã tất toán 13.11.2024</t>
  </si>
  <si>
    <t>VPB23102025-1</t>
  </si>
  <si>
    <t>VPB23102025-2</t>
  </si>
  <si>
    <t>NamABank-TD13Jan2025</t>
  </si>
  <si>
    <t>1281.02 và 1281.04</t>
  </si>
  <si>
    <t>15 tỷ ở 1281.04</t>
  </si>
  <si>
    <t>Agribank</t>
  </si>
  <si>
    <t xml:space="preserve">Dòng màu xanh book Nợ 3387/Có 5151 theo tháng </t>
  </si>
  <si>
    <t>CÔNG TY TNHH DỊCH VỤ VÀ PHÂN PHỐI FINHAY VIỆT NAM</t>
  </si>
  <si>
    <t>Finhay Vietnam Distribution and Service Company Limited</t>
  </si>
  <si>
    <t>Phải thu khác-Sản phẩm vàng</t>
  </si>
  <si>
    <t>Thuế thu nhập cá nhân - Chuyển nhượng vốn</t>
  </si>
  <si>
    <t>Per EY (closing FY23)</t>
  </si>
  <si>
    <t>Per sổ Finhay Ltd (Opening FY24)</t>
  </si>
  <si>
    <t>Số bút toán</t>
  </si>
  <si>
    <t>TK nợ</t>
  </si>
  <si>
    <t>Số tiền</t>
  </si>
  <si>
    <t>Đối tượng Nợ</t>
  </si>
  <si>
    <t>Đối tượng Có</t>
  </si>
  <si>
    <t>Filter</t>
  </si>
  <si>
    <t>mới</t>
  </si>
  <si>
    <t>TNHH Finhay</t>
  </si>
  <si>
    <t>Thưởng Tết dương 2025</t>
  </si>
  <si>
    <t>cũ</t>
  </si>
  <si>
    <t>19/12/2024</t>
  </si>
  <si>
    <t>0105797456</t>
  </si>
  <si>
    <t>TCB stk 19135705470018</t>
  </si>
  <si>
    <t>Sum of Số tiền</t>
  </si>
  <si>
    <t>CTCP Finhay</t>
  </si>
  <si>
    <t>Ghi nhận Chi phí phần thuế hoá đơn Search Ads tháng 02.2024</t>
  </si>
  <si>
    <t>IE9700053D</t>
  </si>
  <si>
    <t>bỏ</t>
  </si>
  <si>
    <t>Ghi nhận Chi phí phần thuế hoá đơn Search Ads tháng 03.2024</t>
  </si>
  <si>
    <t>Ghi nhận Chi phí phần thuế hoá đơn Search Ads tháng 04.2024</t>
  </si>
  <si>
    <t>Ghi nhận Chi phí phần thuế hoá đơn Google Gsuit tháng 02.2024</t>
  </si>
  <si>
    <t>0775-6205-5386</t>
  </si>
  <si>
    <t>Ghi nhận Chi phí phần thuế hoá đơn Google Gsuit tháng 03.2024</t>
  </si>
  <si>
    <t>Ghi nhận Chi phí phần thuế hoá đơn Google Gsuit tháng 04.2024</t>
  </si>
  <si>
    <t>Ghi nhận Chi phí phần thuế hoá đơn Google Ads tháng 04.2024</t>
  </si>
  <si>
    <t>DVQC</t>
  </si>
  <si>
    <t>Ghi nhận Chi phí phần thuế hoá đơn Google Ads tháng 06.2024</t>
  </si>
  <si>
    <t>Ghi nhận thêm phần phí dịch vụ vệ sinh văn phòng HCM trước thuế tháng 12/2023</t>
  </si>
  <si>
    <t>HTMT_HCM</t>
  </si>
  <si>
    <t>Phân bổ thuế GTGT doanh thu không chịu thuế tháng 9.2024</t>
  </si>
  <si>
    <t>Phân bổ thuế GTGT doanh thu không chịu thuế tháng 11.2024</t>
  </si>
  <si>
    <t>Phân bổ thuế GTGT doanh thu không chịu thuế tháng 12.2024</t>
  </si>
  <si>
    <t>Phân bổ thuế GTGT doanh thu không chịu thuế tháng 10.2024</t>
  </si>
  <si>
    <t>Phí giao dịch tháng 12.2024 của Hợp đồng kỳ hạn, Hợp đồng quyền chọn theo HD 926 ngày 31/12/2024</t>
  </si>
  <si>
    <t>Adjustment list of 2022</t>
  </si>
  <si>
    <t>Phân loại lại JV2207.124 do book sai lãi tiền gửi</t>
  </si>
  <si>
    <t>Ghi nhận doanh thu tài chính FH nhận Cổ tức bằng tiền (Phần CK chênh lệch giữa FH và User)</t>
  </si>
  <si>
    <t>Thưởng tháng lương thứ 13.2022 cho quản lý</t>
  </si>
  <si>
    <t>Thưởng tháng lương thứ 13.2022 cho đội ngũ bán hàng</t>
  </si>
  <si>
    <t>Thưởng tháng lương thứ 13.2022 cho đội ngũ IT vốn hóa</t>
  </si>
  <si>
    <t>Finhay thưởng BLĐ CTCP Finhay Việt Nam</t>
  </si>
  <si>
    <t>Chi phí Year end party (King, Queen, hỗ trợ MC)</t>
  </si>
  <si>
    <t>Chi phí phúc lợi khác cho 5 nhân viên xuất sắc năm 2022</t>
  </si>
  <si>
    <t>Chi phí phúc lợi khác cho 5 nhân viên xuất sắc năm 2022 và nhân viên hỗ trợ YEP (King,Queen, hỗ trợ MC)</t>
  </si>
  <si>
    <t>Phí dịch vụ nghiên cứu định tính cho Nielsen đợt 1 - Tháng 12/2022 - Growth theo HD 876 ngày 28/12/2022</t>
  </si>
  <si>
    <t>Thuế GTGT đầu vào của Phí dịch vụ nghiên cứu định tính cho Nielsen đợt 1 - Tháng 12/2022 - Growth theo HD 876 ngày 28/12/2022</t>
  </si>
  <si>
    <t>Phí dịch vụ MVV SnP từ 15/11- 14/12/2022 _ Growth theo HD 00000241 ngày 27/12/2022</t>
  </si>
  <si>
    <t>Thuế GTGT đầu vào của Phí dịch vụ MVV SnP từ 15/11- 14/12/2022 _ Growth theo HD 00000241 ngày 27/12/2022</t>
  </si>
  <si>
    <t>Phí SDHA KOC Cao Hoàng Mẫn lần 2 - Growth theo HD 00000482 ngày 30/12/2022</t>
  </si>
  <si>
    <t>Thuế GTGT đầu vào của Phí SDHA KOC Cao Hoàng Mẫn lần 2 - Growth theo HD 00000482 ngày 30/12/2022</t>
  </si>
  <si>
    <t>Revert bút toán tạm tính chi phí tiền gửi xe tháng 12/2022</t>
  </si>
  <si>
    <t>Revert bút toán tạm tính chi phí eKYC năm 2022</t>
  </si>
  <si>
    <t>Cước chuyển phát nhanh tháng 12/2022</t>
  </si>
  <si>
    <t>Điều chỉnh chênh lệch giảm từ đánh giá lại chứng khoán kinh doanh - Finhay</t>
  </si>
  <si>
    <t>Điều chỉnh chênh lệch tăng từ đánh giá lại chứng khoán kinh doanh - User</t>
  </si>
  <si>
    <t>Điều chỉnh chênh lệch giảm từ đánh giá lại chứng khoán kinh doanh - User</t>
  </si>
  <si>
    <t>Đánh giá dự phòng khoản đầu tư khác - các chứng khoán bị hủy niêm yết</t>
  </si>
  <si>
    <t>Chuyển 1388.NAV sang 3388.NAV tránh âm đầu gốc</t>
  </si>
  <si>
    <t>Phân loại lại phải thu phải trả vàng</t>
  </si>
  <si>
    <t>Phân loại lại chi phí lãi vay</t>
  </si>
  <si>
    <t>GL</t>
  </si>
  <si>
    <t>Điều chỉnh net đánh giá lại cho 2 đầu đánh giá tại 711, 811 do đánh giá lại/revert TSTC</t>
  </si>
  <si>
    <t>Phân loại nạp khớp nhưng ngân hàng chưa báo có</t>
  </si>
  <si>
    <t>Phân loại tương đương tiền (sổ finhay ko cần chỉnh)</t>
  </si>
  <si>
    <t>Chuyển line nhằm thuyết minh riêng bán chứng khoán, chứng chỉ quỹ chưa thu tiền</t>
  </si>
  <si>
    <t>Điều chỉnh bút toán Onepay book sai JV2210.162 và JV2209.122</t>
  </si>
  <si>
    <t>Điều chỉnh hoàn nhập dự phòng vào công ty con</t>
  </si>
  <si>
    <t>Điều chỉnh của Finhay Ltd YE22</t>
  </si>
  <si>
    <t>Điều chỉnh lương tháng 13</t>
  </si>
  <si>
    <t>Điều chỉnh tương đương tiền</t>
  </si>
  <si>
    <t>Dự thu tiền gửi ngân hàng của CTC ở 1388</t>
  </si>
  <si>
    <t>Điều chỉnh của VNSC YE22 của EY</t>
  </si>
  <si>
    <t>Chuyển dư nợ 3383 sang 1388 tại VNSC</t>
  </si>
  <si>
    <t>Chuyển dự thu lãi FVTPL và lãi tiền gửi của VNSC lên note dự thu - to check địa chỉ công thức</t>
  </si>
  <si>
    <t>Điều chỉnh của Conso YE22 của EY</t>
  </si>
  <si>
    <t>Cấn trừ cổ phiếu phổ thông có quyền biểu quyết vào Finhay Ltd</t>
  </si>
  <si>
    <t>Cấn trừ khoản công nợ nội bộ Inter Co Balance trên 1388.NghiepvuCK - 331</t>
  </si>
  <si>
    <t>Không cần rebook</t>
  </si>
  <si>
    <t>Cấn trừ giao dịch mua bán vàng làm quà tặng khách hàng</t>
  </si>
  <si>
    <t>Cấn trừ phí dịch vụ vàng</t>
  </si>
  <si>
    <t>Cấn trừ chi phí lãi vay</t>
  </si>
  <si>
    <t>Book bút toán netoff dự phòng cho đầu tư</t>
  </si>
  <si>
    <t>Hạch toán cấn trừ đầu tư vào công ty con và GW - Rebook bút toán từ ngày mua</t>
  </si>
  <si>
    <t>Phân bổ lợi thế thương mại</t>
  </si>
  <si>
    <t>Phân bổ lãi của VNSC cho NCI</t>
  </si>
  <si>
    <t>Loại bỏ dự phòng của Cty Con với VNSC</t>
  </si>
  <si>
    <t>Netoff phần đầu tư tăng vốn</t>
  </si>
  <si>
    <t>Bút toán Ghi nhận lại ảnh hưởng do thay đổi tỷ lệ kiểm soát &amp; giá trị vốn góp tăng thêm</t>
  </si>
  <si>
    <t>Bút toán Loại trừ do mua bổ sung quyền sở hữu Cty con</t>
  </si>
  <si>
    <t>Cấn trừ giao dịch 10 tỷ 6 phí tư vấn CK giữa CTM &amp; VNSC</t>
  </si>
  <si>
    <t>Cấn trừ 68 triệu phí hỗ trợ kinh doanh vàng</t>
  </si>
  <si>
    <t>Chuyển 4121 -&gt; 4212 với 1 tỷ 6 chi phí hồi tố do quyết toán Thuế VNSC</t>
  </si>
  <si>
    <t>Hạch toán cấn trừ đầu tư vào công ty con (XH, KCG)</t>
  </si>
  <si>
    <t>Phân bổ lỗ của KCG&amp;XH cho NCI</t>
  </si>
  <si>
    <t>Điều chỉnh XH thành đầu tư khác</t>
  </si>
  <si>
    <t>Thực hiện matching tài sản của user và nợ phải trả user tại ngày 30/06/2024</t>
  </si>
  <si>
    <t>Account code</t>
  </si>
  <si>
    <t>Tài sản Users nắm giữ</t>
  </si>
  <si>
    <t>30 tháng 06 năm 2024</t>
  </si>
  <si>
    <t>Nguồn tiền của Users tương ứng</t>
  </si>
  <si>
    <t>Tổng chênh lệch</t>
  </si>
  <si>
    <t>Sản phẩm tích lũy không kỳ hạn (3388.Nsav)</t>
  </si>
  <si>
    <t>Tiền đang chuyển của KH tại 30.06</t>
  </si>
  <si>
    <t>Chứng chỉ tiền gửi (3388.CCTG, 3388.Lai CCTG)</t>
  </si>
  <si>
    <t>Tương đương tiền</t>
  </si>
  <si>
    <t>Dự thu lãi từ HĐTG</t>
  </si>
  <si>
    <t>II. Đầu tư tài sản tài chính</t>
  </si>
  <si>
    <t>Chứng khoán (3388.CK)</t>
  </si>
  <si>
    <t>Chứng chỉ quỹ (3388.CCQ)</t>
  </si>
  <si>
    <t>Sản phẩm tích lũy có kỳ hạn (3388.TLKH, 3388.Saving, 3388.TD)</t>
  </si>
  <si>
    <t>Khác (3388.Cash, 3388.CT, 3388.Bank, 3388.FHB, 3388.Pendin)</t>
  </si>
  <si>
    <t>Dự thu cổ tức từ Cổ phiếu</t>
  </si>
  <si>
    <t>Dự thu trái phiếu (không dự thu cho VAS)</t>
  </si>
  <si>
    <t>Dự thu lãi từ CCTG (không dự thu cho VAS)</t>
  </si>
  <si>
    <t>III. Phải thu</t>
  </si>
  <si>
    <t>Khách hàng nạp tiền qua Onepay</t>
  </si>
  <si>
    <t>CÔNG TY CỔ PHẦN CHỨNG KHOÁN VINA</t>
  </si>
  <si>
    <t>Từ ngày 01/01/2022 đến ngày 31/12/2022</t>
  </si>
  <si>
    <t>Dư nợ đầu kỳ</t>
  </si>
  <si>
    <t>Dư có đầu kỳ</t>
  </si>
  <si>
    <t>Phát sinh nợ</t>
  </si>
  <si>
    <t>Phát sinh có</t>
  </si>
  <si>
    <t>Dư nợ cuối kỳ</t>
  </si>
  <si>
    <t>Dư có cuối kỳ</t>
  </si>
  <si>
    <t>Per TB</t>
  </si>
  <si>
    <t>Per UHY</t>
  </si>
  <si>
    <t>- 111</t>
  </si>
  <si>
    <t>111112</t>
  </si>
  <si>
    <t>Tiền mặt Việt Nam của công ty tại HCM</t>
  </si>
  <si>
    <t>- 112</t>
  </si>
  <si>
    <t>Tiền VND gửi ngân hàng</t>
  </si>
  <si>
    <t>- 112111</t>
  </si>
  <si>
    <t>Tiền VND gửi ngân hàng MB</t>
  </si>
  <si>
    <t>1121111</t>
  </si>
  <si>
    <t>Tiền VND gửi ngân hàng (MB - 0861100969004)</t>
  </si>
  <si>
    <t>- 112113</t>
  </si>
  <si>
    <t>Tiền VND gửi ngân hàng Shinhanbank Vietnam</t>
  </si>
  <si>
    <t>1121131</t>
  </si>
  <si>
    <t>TGNH VND - Shinhan - 700-013-949453 (TK thanh toán)</t>
  </si>
  <si>
    <t>1121132</t>
  </si>
  <si>
    <t>TGNH VND - Shinhan - 700-014-092134 (TK Vốn)</t>
  </si>
  <si>
    <t>1121133</t>
  </si>
  <si>
    <t>TGNH VND - Shinhan - 703-004-088011 (TK tiền gởi ký quỹ thẻ tín dụng)</t>
  </si>
  <si>
    <t>- 112120</t>
  </si>
  <si>
    <t>Tien VND gui Ngan hang VPB</t>
  </si>
  <si>
    <t>5151.01</t>
  </si>
  <si>
    <t>1121201</t>
  </si>
  <si>
    <t>Tien VND gui Ngan hang VPB ( 184238292)</t>
  </si>
  <si>
    <t>5151.02</t>
  </si>
  <si>
    <t>1121203</t>
  </si>
  <si>
    <t>Tiền VND gửi Ngân hàng VPB (TK ký quỹ 264952678)</t>
  </si>
  <si>
    <t>1121204</t>
  </si>
  <si>
    <t>Tien VND gui Ngan hang VPB ( 264861958)</t>
  </si>
  <si>
    <t>1121211</t>
  </si>
  <si>
    <t>Tien VND gui Ngan hang VietinBank (128000110752)</t>
  </si>
  <si>
    <t>112128</t>
  </si>
  <si>
    <t>Tiền VND gửi ngân hàng (TCB_TK tổng_19020356508868)</t>
  </si>
  <si>
    <t>112129</t>
  </si>
  <si>
    <t>Tiền VND gửi ngân hàng (TCB_TK lương_19020356508681)</t>
  </si>
  <si>
    <t>- 112130</t>
  </si>
  <si>
    <t>Tien VND gui Ngan hang VCB</t>
  </si>
  <si>
    <t>1121301</t>
  </si>
  <si>
    <t>Tien VND gui Ngan hang VCB (0071000988810)</t>
  </si>
  <si>
    <t>11214001</t>
  </si>
  <si>
    <t>Tien VND gui Ngan hang ACB (688.699.6988)</t>
  </si>
  <si>
    <t>- 1122</t>
  </si>
  <si>
    <t>Tiền ngoại tệ gửi ngân hàng</t>
  </si>
  <si>
    <t>12811</t>
  </si>
  <si>
    <t>11221</t>
  </si>
  <si>
    <t>Tiền USD gửi ngân hàng Shinhan LTT ( 700-013-949478) TK Hoạt động</t>
  </si>
  <si>
    <t>11222</t>
  </si>
  <si>
    <t>Tiền USD gửi ngân hàng Shinhan LTT (700-014-087048) TK Vốn</t>
  </si>
  <si>
    <t>- 114</t>
  </si>
  <si>
    <t>114101</t>
  </si>
  <si>
    <t>Tiền gửi của NDTTN về GDCK theo phương thức CTCK quản lý tại ngân hàng Đông Á (007.986.440.001)</t>
  </si>
  <si>
    <t>114102</t>
  </si>
  <si>
    <t>Tiền gửi TTBTGDCK của người đầu tư trong nước (BIDV - 119.100.001.64.353)</t>
  </si>
  <si>
    <t>- 121</t>
  </si>
  <si>
    <t>- 1211</t>
  </si>
  <si>
    <t>- 121105</t>
  </si>
  <si>
    <t>Công cụ thị trường tiền tệ</t>
  </si>
  <si>
    <t>12110598</t>
  </si>
  <si>
    <t>Giá mua - Công cụ thị trường tiền tệ - Các công cụ thị trường tiền tệ khác</t>
  </si>
  <si>
    <t>- 122</t>
  </si>
  <si>
    <t>Các khoản đầu tư giữ đến ngày đáo hạn</t>
  </si>
  <si>
    <t>- 1221</t>
  </si>
  <si>
    <t>Giá mua các khoản đầu tư giữ đến ngày đáo hạn</t>
  </si>
  <si>
    <t>- 12210501</t>
  </si>
  <si>
    <t>Giá mua - Công cụ thị trường tiền tệ ( tiền gửi có kỳ hạn dưới 3 tháng)</t>
  </si>
  <si>
    <t>1221050102</t>
  </si>
  <si>
    <t>Giá mua - Công cụ thị trường tiền tệ ( tiền gửi có kỳ hạn dưới 3 tháng tại SHB)</t>
  </si>
  <si>
    <t>1221050205</t>
  </si>
  <si>
    <t>Giá mua - Công cụ thị trường tiền tệ (tiền gửi kỳ hạn 3 tháng trở lên tại ACB)</t>
  </si>
  <si>
    <t>- 132</t>
  </si>
  <si>
    <t>- 1321</t>
  </si>
  <si>
    <t>Phải thu cổ tức, tiền lãi phát sinh trong kỳ</t>
  </si>
  <si>
    <t>- 13214</t>
  </si>
  <si>
    <t>Phải thu tiền lãi - Trái phiếu chưa niêm yết</t>
  </si>
  <si>
    <t>1321406</t>
  </si>
  <si>
    <t>Phải thu tiền lãi - Trái phiếu doanh nghiệp</t>
  </si>
  <si>
    <t>- 13215</t>
  </si>
  <si>
    <t>Phải thu tiền lãi - Công cụ thị trường tiền tệ</t>
  </si>
  <si>
    <t>1321503</t>
  </si>
  <si>
    <t>Phải thu tiền lãi - Hợp đồng repo</t>
  </si>
  <si>
    <t>1321505</t>
  </si>
  <si>
    <t>Phải thu tiền lãi - Tiền gửi có kỳ hạn cố định</t>
  </si>
  <si>
    <t>1321598</t>
  </si>
  <si>
    <t>Phải thu tiền lãi - Các công cụ thị trường tiền tệ khác</t>
  </si>
  <si>
    <t>- 13216</t>
  </si>
  <si>
    <t>Phải thu tiền lãi - Công cụ thị trường tiền tệ phát sinh trong kỳ</t>
  </si>
  <si>
    <t>1321604</t>
  </si>
  <si>
    <t>- 133</t>
  </si>
  <si>
    <t>Thuế GTGT được khấu trừ của vật tư, dịch vụ</t>
  </si>
  <si>
    <t>- 135</t>
  </si>
  <si>
    <t>1351</t>
  </si>
  <si>
    <t>Phải thu hoạt động môi giới chứng khoán</t>
  </si>
  <si>
    <t>- 1353</t>
  </si>
  <si>
    <t>Phải thu hoạt động tư vấn</t>
  </si>
  <si>
    <t>13539</t>
  </si>
  <si>
    <t>Phải thu hoạt động tư vấn khác</t>
  </si>
  <si>
    <t>- 138</t>
  </si>
  <si>
    <t>Các khoản phải thu khác</t>
  </si>
  <si>
    <t>- 139</t>
  </si>
  <si>
    <t>Dự phòng suy giảm giá trị các khoản phải thu</t>
  </si>
  <si>
    <t>152</t>
  </si>
  <si>
    <t>Vật tư văn phòng</t>
  </si>
  <si>
    <t>- 211</t>
  </si>
  <si>
    <t>- 213</t>
  </si>
  <si>
    <t>- 214</t>
  </si>
  <si>
    <t>- 2141</t>
  </si>
  <si>
    <t>Hao mòn TSCĐ hữu hình - Phương tiện vận tải, vật truyền dẫn</t>
  </si>
  <si>
    <t>Hao mòn TSCĐHH: Thiết bị,dụng cụ quản lý</t>
  </si>
  <si>
    <t>- 2143</t>
  </si>
  <si>
    <t>Hao mòn TSCĐVH: Phần mềm máy tính</t>
  </si>
  <si>
    <t>- 242</t>
  </si>
  <si>
    <t>Chi phí trả trước ngắn hạn chờ phân bổ</t>
  </si>
  <si>
    <t>- 2422</t>
  </si>
  <si>
    <t>Chi phí trả trước dài hạn</t>
  </si>
  <si>
    <t>Chi phí trả trước dài hạn chờ phân bổ CCDC</t>
  </si>
  <si>
    <t>- 245</t>
  </si>
  <si>
    <t>Tiền nộp ban đầu</t>
  </si>
  <si>
    <t>- 311</t>
  </si>
  <si>
    <t>3112</t>
  </si>
  <si>
    <t>Vay các đối tượng khác</t>
  </si>
  <si>
    <t>Off BS</t>
  </si>
  <si>
    <t>- 324</t>
  </si>
  <si>
    <t>Phải trả Nhà đầu tư trong nước về tiền gửi giao dịch chứng khoán theo phương thức CTCK quản lý</t>
  </si>
  <si>
    <t>- 331</t>
  </si>
  <si>
    <t>Phải trả mua các tài sản tài chính</t>
  </si>
  <si>
    <t>Phải trả cho người bán khác</t>
  </si>
  <si>
    <t>- 332</t>
  </si>
  <si>
    <t>- 333</t>
  </si>
  <si>
    <t>- 3331</t>
  </si>
  <si>
    <t>Thuế GTGT phải nộp</t>
  </si>
  <si>
    <t>- 3335</t>
  </si>
  <si>
    <t>- 33351</t>
  </si>
  <si>
    <t>Thuế TNCN của CBNV</t>
  </si>
  <si>
    <t>Thuế TNCN của CTV</t>
  </si>
  <si>
    <t>- 33352</t>
  </si>
  <si>
    <t>Thuế TNCN của NĐT</t>
  </si>
  <si>
    <t>- 333521</t>
  </si>
  <si>
    <t>Thuế TNCN từ chuyển nhượng chứng khoán</t>
  </si>
  <si>
    <t>333521.02</t>
  </si>
  <si>
    <t>Thuế TNCN từ CNTP/VHM</t>
  </si>
  <si>
    <t>33353</t>
  </si>
  <si>
    <t>Thuế TNCN từ thù lao HĐQT và BKS</t>
  </si>
  <si>
    <t>- 334</t>
  </si>
  <si>
    <t>- 3341</t>
  </si>
  <si>
    <t>33411</t>
  </si>
  <si>
    <t>Phải trả công nhân viên (Lương và phụ cấp hàng tháng)</t>
  </si>
  <si>
    <t>33412</t>
  </si>
  <si>
    <t>Phải trả công nhân viên (Lương tháng 13)</t>
  </si>
  <si>
    <t>3342</t>
  </si>
  <si>
    <t>Phải trả thù lao HĐQT và BKS</t>
  </si>
  <si>
    <t>- 338</t>
  </si>
  <si>
    <t>- 411</t>
  </si>
  <si>
    <t>- 4111</t>
  </si>
  <si>
    <t>- 415</t>
  </si>
  <si>
    <t>- 421</t>
  </si>
  <si>
    <t>Lợi nhuận sau thuế đã thực hiện</t>
  </si>
  <si>
    <t>- 4212</t>
  </si>
  <si>
    <t>Lợi nhuận chưa thực hiện</t>
  </si>
  <si>
    <t>42121</t>
  </si>
  <si>
    <t>Lợi nhuận chưa thực hiện - Chênh lệch tỷ giá hối đoái đánh giá lại</t>
  </si>
  <si>
    <t>- 511</t>
  </si>
  <si>
    <t>- 5111</t>
  </si>
  <si>
    <t>Thu nhập từ các tài sản tài chính ghi nhận thông qua lãi/lỗ (FVTPL)</t>
  </si>
  <si>
    <t>- 51111</t>
  </si>
  <si>
    <t>Lãi bán tài sản tài chính FVTPL</t>
  </si>
  <si>
    <t>- 511115</t>
  </si>
  <si>
    <t>Lãi bán  - Công cụ thị trường tiền tệ</t>
  </si>
  <si>
    <t>51111503</t>
  </si>
  <si>
    <t>Lãi bán - Hợp đồng Repo</t>
  </si>
  <si>
    <t>51111505</t>
  </si>
  <si>
    <t>51111598</t>
  </si>
  <si>
    <t>Lãi bán - Các công cụ thị trường tiền tệ  khác</t>
  </si>
  <si>
    <t>- 5115</t>
  </si>
  <si>
    <t>Doanh thu hoạt động môi giới chứng khoán</t>
  </si>
  <si>
    <t>51158</t>
  </si>
  <si>
    <t>5117</t>
  </si>
  <si>
    <t>Doanh thu hoạt động tư vấn đầu tư chứng khoán</t>
  </si>
  <si>
    <t>- 515</t>
  </si>
  <si>
    <t>- 5151</t>
  </si>
  <si>
    <t>Chênh lệch lãi tỷ giá hối đoái</t>
  </si>
  <si>
    <t>51511</t>
  </si>
  <si>
    <t>- 632</t>
  </si>
  <si>
    <t>- 6321</t>
  </si>
  <si>
    <t>Lỗ bán, chênh lệch đánh giá và chi phí giao dịch mua các tài sản tài chính ghi nhận thông qua lãi/lỗ (FVTPL)</t>
  </si>
  <si>
    <t>- 632110</t>
  </si>
  <si>
    <t>Lỗ bán các tài sản tài chính ghi nhận thông qua lãi/lỗ (FVTPL)</t>
  </si>
  <si>
    <t>- 6321105</t>
  </si>
  <si>
    <t>Lỗ bán - FVTPL - Công cụ thị trường tiền tệ</t>
  </si>
  <si>
    <t>632110598</t>
  </si>
  <si>
    <t>Lỗ bán - FVTPL - Các công cụ thị trường tiền tệ  khác</t>
  </si>
  <si>
    <t>6328</t>
  </si>
  <si>
    <t>- 633</t>
  </si>
  <si>
    <t>- 6333</t>
  </si>
  <si>
    <t>Chi phí nghiệp vụ tư vấn đầu tư chứng khoán</t>
  </si>
  <si>
    <t>- 63333</t>
  </si>
  <si>
    <t>Chi phí quản lý hoạt động tư vấn đầu tư chứng khoán</t>
  </si>
  <si>
    <t>6333342</t>
  </si>
  <si>
    <t>Khấu hao tài sản cố định vô hình</t>
  </si>
  <si>
    <t>- 642</t>
  </si>
  <si>
    <t>- 6421</t>
  </si>
  <si>
    <t>BHXH, BHYT, KPCĐ, BHTN</t>
  </si>
  <si>
    <t>64214</t>
  </si>
  <si>
    <t>642411</t>
  </si>
  <si>
    <t>Chi phí khấu hao TSCĐ Hữu hình</t>
  </si>
  <si>
    <t>642412</t>
  </si>
  <si>
    <t>Chi phí khấu hao TSCĐ Vô hình</t>
  </si>
  <si>
    <t>- 6427</t>
  </si>
  <si>
    <t>64271</t>
  </si>
  <si>
    <t>Chi phí Điện thoại, Internet, điện sáng, nước, CPN...</t>
  </si>
  <si>
    <t>64272</t>
  </si>
  <si>
    <t>Chi phí thuê Tru sở,  VP làm việc</t>
  </si>
  <si>
    <t>64273</t>
  </si>
  <si>
    <t>Chi phí dịch vụ kiểm toán, tư vấn chuyên môn, ...</t>
  </si>
  <si>
    <t>64276</t>
  </si>
  <si>
    <t>Chi phí xăng dầu, đường bộ, taxi, grab</t>
  </si>
  <si>
    <t>64278</t>
  </si>
  <si>
    <t>64281</t>
  </si>
  <si>
    <t>Chi phí tiếp khách</t>
  </si>
  <si>
    <t>64282</t>
  </si>
  <si>
    <t>Chi phí vé máy bay</t>
  </si>
  <si>
    <t>64283</t>
  </si>
  <si>
    <t>Chi phí công tác phí</t>
  </si>
  <si>
    <t>64284</t>
  </si>
  <si>
    <t>Chi phí quản lý  TK, Phí chuyển tiền</t>
  </si>
  <si>
    <t>64288</t>
  </si>
  <si>
    <t>Chi phí thù lao HĐQT và BKS</t>
  </si>
  <si>
    <t>- 711</t>
  </si>
  <si>
    <t>7111</t>
  </si>
  <si>
    <t>Chênh lệch lãi nhượng bán, thanh lý TSCĐ</t>
  </si>
  <si>
    <t>- 811</t>
  </si>
  <si>
    <t>8111</t>
  </si>
  <si>
    <t>Chênh lệch lỗ nhượng bán, thanh lý TSCĐ</t>
  </si>
  <si>
    <t>8113</t>
  </si>
  <si>
    <t>- 911</t>
  </si>
  <si>
    <t>Xác định kết quả kinh doanh đã thực hiện</t>
  </si>
  <si>
    <t>Tổng cộng ngoài bảng</t>
  </si>
  <si>
    <t xml:space="preserve">...., Ngày ..... tháng ..... năm ..... </t>
  </si>
  <si>
    <t>NGƯỜI LẬP BIỂU</t>
  </si>
  <si>
    <t>NGUYỄN KHÁNH LY</t>
  </si>
  <si>
    <t>Earnings per share</t>
  </si>
  <si>
    <t>As at</t>
  </si>
  <si>
    <t>Số tiền
VND</t>
  </si>
  <si>
    <t>Số cổ phiếu tăng/giảm</t>
  </si>
  <si>
    <t>Số cổ phiếu lưu hành</t>
  </si>
  <si>
    <t>From</t>
  </si>
  <si>
    <t>End</t>
  </si>
  <si>
    <t>No of day effective</t>
  </si>
  <si>
    <t>WASO</t>
  </si>
  <si>
    <t>911_CTC</t>
  </si>
  <si>
    <t>KC202201</t>
  </si>
  <si>
    <t>Kết chuyển lãi lỗ đến ngày 31/01/2022</t>
  </si>
  <si>
    <t>KC202202</t>
  </si>
  <si>
    <t>Kết chuyển lãi lỗ đến ngày 28/02/2022</t>
  </si>
  <si>
    <t>KC202203</t>
  </si>
  <si>
    <t>Kết chuyển lãi lỗ đến ngày 31/03/2022</t>
  </si>
  <si>
    <t>KC202204</t>
  </si>
  <si>
    <t>Kết chuyển lãi lỗ đến ngày 30/04/2022</t>
  </si>
  <si>
    <t>KC202205</t>
  </si>
  <si>
    <t>Kết chuyển lãi lỗ đến ngày 31/05/2022</t>
  </si>
  <si>
    <t>JV2206.012</t>
  </si>
  <si>
    <t>Kết chuyển lãi lỗ đến ngày 30/06/2022</t>
  </si>
  <si>
    <t>JV2207.018</t>
  </si>
  <si>
    <t>Kết chuyển lãi lỗ đến ngày 31/07/2022</t>
  </si>
  <si>
    <t>JV2208.16</t>
  </si>
  <si>
    <t>Kết chuyển lãi lỗ đến ngày 31/08/2022</t>
  </si>
  <si>
    <t>JV2209.16</t>
  </si>
  <si>
    <t>Kết chuyển lãi lỗ đến ngày 30/09/2022</t>
  </si>
  <si>
    <t>JV2210.14</t>
  </si>
  <si>
    <t>Kết chuyển lãi lỗ đến ngày 31/10/2022</t>
  </si>
  <si>
    <t>JV2211.013</t>
  </si>
  <si>
    <t>Kết chuyển lãi lỗ đến ngày 30/11/2022</t>
  </si>
  <si>
    <t>JV2212.011</t>
  </si>
  <si>
    <t>Kết chuyển lãi lỗ đến ngày 31/12/2022</t>
  </si>
  <si>
    <t>Tầng 1, Tòa nhà Capital Building, Số 58 Phố Kim Mã, Phường Kim Mã, Quận Ba Đình, Thành phố Hà Nội, Việt Nam</t>
  </si>
  <si>
    <t>BẢNG CÂN ĐỐI TÀI KHOẢN</t>
  </si>
  <si>
    <t>Năm 2022</t>
  </si>
  <si>
    <t>Đơn vị tính: VND</t>
  </si>
  <si>
    <t>Tiền gửi có kỳ hạn &lt; 3 tháng</t>
  </si>
  <si>
    <t>Phải thu khác-Phải thu từ các công cụ tài chính</t>
  </si>
  <si>
    <t>1/4</t>
  </si>
  <si>
    <t>Thuế thu nhập cá nhân-Thuê ngoài</t>
  </si>
  <si>
    <t>2/4</t>
  </si>
  <si>
    <t>3/4</t>
  </si>
  <si>
    <t>Lập, Ngày ..... tháng ..... năm .........</t>
  </si>
  <si>
    <t>Kế toán trưởng</t>
  </si>
  <si>
    <t>Giám đốc</t>
  </si>
  <si>
    <t>(Ký, họ tên, đóng dấu)</t>
  </si>
  <si>
    <t>4/4</t>
  </si>
  <si>
    <t>Goodwill</t>
  </si>
  <si>
    <t>Giá trị vốn góp</t>
  </si>
  <si>
    <t>Số cổ phần</t>
  </si>
  <si>
    <t>Tính lại NAV tại ngày mua</t>
  </si>
  <si>
    <t>Lợi thế thương mại tại ngày mua</t>
  </si>
  <si>
    <t>Tổng tài sản tại 09/12/2021</t>
  </si>
  <si>
    <t>Tổng nợ tại 09/12/2021</t>
  </si>
  <si>
    <t>NAV của NCI</t>
  </si>
  <si>
    <t>NAV tại ngày mua</t>
  </si>
  <si>
    <t>NAV của FHLTD</t>
  </si>
  <si>
    <t>Cổ phần sở hữu</t>
  </si>
  <si>
    <t>Tổng vốn điều lệ</t>
  </si>
  <si>
    <t>Quỹ khác của vốn chủ sở hữu tại ngày mua</t>
  </si>
  <si>
    <t>Lợi nhuận sau thuế chưa phân phối năm trước tại ngày mua</t>
  </si>
  <si>
    <t>Lợi nhuận sau thuế chưa phân phối năm nay tại ngày mua</t>
  </si>
  <si>
    <t>2. Bảng tính phân bổ goodwill</t>
  </si>
  <si>
    <t>Năm</t>
  </si>
  <si>
    <t>Giá trị tính phân bổ</t>
  </si>
  <si>
    <t>Ngày bắt đầu</t>
  </si>
  <si>
    <t>Ngày kết thúc</t>
  </si>
  <si>
    <t>Số ngày phân bổ</t>
  </si>
  <si>
    <t>Số ngày trong năm</t>
  </si>
  <si>
    <t>Số năm phân bổ/Số ngày phân bổ</t>
  </si>
  <si>
    <t>Giá trị phân bổ trong năm</t>
  </si>
  <si>
    <t>Good will</t>
  </si>
  <si>
    <t>Giảm 221</t>
  </si>
  <si>
    <t>CN2303.TCB6018.068</t>
  </si>
  <si>
    <t>Nhận tiền từ chủ sở hữu cũ của Công ty chứng khoán Vina theo SPA</t>
  </si>
  <si>
    <t>CN2306.TCB118.006</t>
  </si>
  <si>
    <t>NA SUNGSOO chuyển tiền của nhà đầu tư</t>
  </si>
  <si>
    <t>CN2307.TCB986.001</t>
  </si>
  <si>
    <t>Nhận tiền của nhà đầu tư Abpro Bio Co., Ltd.</t>
  </si>
  <si>
    <t>CN2307.TCB986.002</t>
  </si>
  <si>
    <t>Nhận tiền của nhà đầu tư Aprogen Medicines Inc.</t>
  </si>
  <si>
    <t>CN2308.TCB986.001</t>
  </si>
  <si>
    <t>Nhận tiền của KIM HYE WON WIRYESONGPA- RO SONGPA-GU SEOUL SOU TH KOREA</t>
  </si>
  <si>
    <t>Nhận tiền của KIM HYE WON WIRYESONGPA- RO SONGPA-GU SEOUL SOU TH KOREA (USD 2,812 @ 23,825)</t>
  </si>
  <si>
    <t>CN2311.TCB986.001</t>
  </si>
  <si>
    <t xml:space="preserve">Nhận tiền của KIM TAEHYUNG 14.441, BAEK SANGJUN 3.438, LEE CHANGHO 762 </t>
  </si>
  <si>
    <t>CN2311.TCB986.002</t>
  </si>
  <si>
    <t>Nhận tiền của LEE HO JOON</t>
  </si>
  <si>
    <t>Từ 2024 dùng giá trị còn lại phân bổ cho thời gian còn lại theo ngày</t>
  </si>
  <si>
    <t>CN2311.TCB018.010</t>
  </si>
  <si>
    <t>Nhận tiền của nhà đầu tư Yang Seunggeun, Kim Kye Suk, Rha Jin Chul, Rha Young Chang</t>
  </si>
  <si>
    <t>CN2311.TCB986.003</t>
  </si>
  <si>
    <t>Nhận tiền của KIM NA YOUNG</t>
  </si>
  <si>
    <t>CN2311.TCB986.004</t>
  </si>
  <si>
    <t>Nhận tiền của LEE SANG YUP</t>
  </si>
  <si>
    <t>EY Vietnam</t>
  </si>
  <si>
    <t>Finhay (Consol)</t>
  </si>
  <si>
    <t>YE:</t>
  </si>
  <si>
    <t>Curreny:</t>
  </si>
  <si>
    <t>Eliminate balance</t>
  </si>
  <si>
    <t>Entity</t>
  </si>
  <si>
    <t>To entity</t>
  </si>
  <si>
    <t>N131</t>
  </si>
  <si>
    <t>C131</t>
  </si>
  <si>
    <t>N331</t>
  </si>
  <si>
    <t>C331</t>
  </si>
  <si>
    <t>N1388.Gold</t>
  </si>
  <si>
    <t>N1388.Khac</t>
  </si>
  <si>
    <t>N1388.CT</t>
  </si>
  <si>
    <t>N1388.NghiepvuCK</t>
  </si>
  <si>
    <t>C3388.Gold</t>
  </si>
  <si>
    <t>C3387.02</t>
  </si>
  <si>
    <t>N2423</t>
  </si>
  <si>
    <t>Net-off</t>
  </si>
  <si>
    <t>Control</t>
  </si>
  <si>
    <t>CTM</t>
  </si>
  <si>
    <t>CTC</t>
  </si>
  <si>
    <t>Adj #1:</t>
  </si>
  <si>
    <t>Adjustment to eliminate balance</t>
  </si>
  <si>
    <t>Cr 131</t>
  </si>
  <si>
    <t>Dr 131</t>
  </si>
  <si>
    <t>Cr 311</t>
  </si>
  <si>
    <t>Dr 311</t>
  </si>
  <si>
    <t>Dr 136</t>
  </si>
  <si>
    <t>Dr 135</t>
  </si>
  <si>
    <t>Dr 215</t>
  </si>
  <si>
    <t>Dr 319</t>
  </si>
  <si>
    <t>Eliminate Transaction</t>
  </si>
  <si>
    <t>To Entity</t>
  </si>
  <si>
    <t>511-Sale of goods</t>
  </si>
  <si>
    <t>511-Sale of services</t>
  </si>
  <si>
    <t>632-Purchase of goods/services</t>
  </si>
  <si>
    <t>515-Interest income</t>
  </si>
  <si>
    <t>635-Interest expenses</t>
  </si>
  <si>
    <t>Prepaid expenses -&gt; G&amp;A</t>
  </si>
  <si>
    <t>642-G&amp;A</t>
  </si>
  <si>
    <t>641-Selling expenses</t>
  </si>
  <si>
    <t>Other income</t>
  </si>
  <si>
    <t>Adjustment to eliminate transaction</t>
  </si>
  <si>
    <t>TỔNG HỢP CÔNG NỢ PHẢI THU</t>
  </si>
  <si>
    <t>Mã khách hàng</t>
  </si>
  <si>
    <t>Tên khách hàng</t>
  </si>
  <si>
    <t>Số phát sinh</t>
  </si>
  <si>
    <t>Phân loại</t>
  </si>
  <si>
    <t>Giá trị</t>
  </si>
  <si>
    <t>Mã</t>
  </si>
  <si>
    <t>ccq</t>
  </si>
  <si>
    <t>cctg</t>
  </si>
  <si>
    <t>tp</t>
  </si>
  <si>
    <t>CÔNG TY CỔ PHẦN ĐẦU TƯ KCG VIỆT NAM</t>
  </si>
  <si>
    <t>Phòng 802, Tầng 8, Tòa nhà Capital Building, Số 58 Phố Kim Mã, Phường Kim Mã, Quận Ba Đình, Thành phố Hà Nội, Việt Nam</t>
  </si>
  <si>
    <t>911_KCG</t>
  </si>
  <si>
    <t>3 số</t>
  </si>
  <si>
    <t>JV2210.001</t>
  </si>
  <si>
    <t>JV2211.001</t>
  </si>
  <si>
    <t>JV2212.001</t>
  </si>
  <si>
    <t>CÔNG TY CỔ PHẦN ĐẦU TƯ VÀ DỊCH VỤ XH</t>
  </si>
  <si>
    <t>Số nhà 17 Hàng Vải, Phường Hàng Bồ, Quận Hoàn Kiếm, Thành phố Hà Nội, Việt Nam</t>
  </si>
  <si>
    <t>1/2</t>
  </si>
  <si>
    <t>911_VNSC</t>
  </si>
  <si>
    <t>Doanh thu</t>
  </si>
  <si>
    <t>TK có</t>
  </si>
  <si>
    <t>Ma_Ct0</t>
  </si>
  <si>
    <t>Vụ việc</t>
  </si>
  <si>
    <t>PK1</t>
  </si>
  <si>
    <t>K/C-2201-20</t>
  </si>
  <si>
    <t>Bút toán K/c tháng( 1/2022)</t>
  </si>
  <si>
    <t>PK3</t>
  </si>
  <si>
    <t>Code to LS</t>
  </si>
  <si>
    <t>Sum of Phát sinh</t>
  </si>
  <si>
    <t>K/C-2201-4</t>
  </si>
  <si>
    <t>K/C-2201-9</t>
  </si>
  <si>
    <t>Chi phí</t>
  </si>
  <si>
    <t>K/C-2202-20</t>
  </si>
  <si>
    <t>Bút toán K/c tháng( 2/2022)</t>
  </si>
  <si>
    <t>K/C-2202-4</t>
  </si>
  <si>
    <t>K/C-2202-9</t>
  </si>
  <si>
    <t>K/C-2203-20</t>
  </si>
  <si>
    <t>Bút toán K/c tháng( 3/2022)</t>
  </si>
  <si>
    <t>K/C-2203-4</t>
  </si>
  <si>
    <t>K/C-2203-6</t>
  </si>
  <si>
    <t>K/C-2203-9</t>
  </si>
  <si>
    <t>K/C-2204-20</t>
  </si>
  <si>
    <t>Bút toán K/c tháng( 4/2022)</t>
  </si>
  <si>
    <t>K/C-2204-6</t>
  </si>
  <si>
    <t>K/C-2204-9</t>
  </si>
  <si>
    <t>K/C-2205-20</t>
  </si>
  <si>
    <t>Bút toán K/c tháng( 5/2022)</t>
  </si>
  <si>
    <t>Chênh lệch</t>
  </si>
  <si>
    <t>K/C-2205-4</t>
  </si>
  <si>
    <t>K/C-2205-9</t>
  </si>
  <si>
    <t>K/C-2206-20</t>
  </si>
  <si>
    <t>Bút toán K/c tháng( 6/2022)</t>
  </si>
  <si>
    <t>K/C-2206-9</t>
  </si>
  <si>
    <t>K/C-2207-20</t>
  </si>
  <si>
    <t>Bút toán K/c tháng( 7/2022)</t>
  </si>
  <si>
    <t>K/C-2207-4</t>
  </si>
  <si>
    <t>K/C-2207-9</t>
  </si>
  <si>
    <t>K/C-2208-20</t>
  </si>
  <si>
    <t>Bút toán K/c tháng( 8/2022)</t>
  </si>
  <si>
    <t>K/C-2208-4</t>
  </si>
  <si>
    <t>K/C-2208-9</t>
  </si>
  <si>
    <t>K/C-2209-20</t>
  </si>
  <si>
    <t>Bút toán K/c tháng( 9/2022)</t>
  </si>
  <si>
    <t>K/C-2209-4</t>
  </si>
  <si>
    <t>K/C-2209-9</t>
  </si>
  <si>
    <t>K/C-2210-20</t>
  </si>
  <si>
    <t>Bút toán K/c tháng(10/2022)</t>
  </si>
  <si>
    <t>K/C-2210-4</t>
  </si>
  <si>
    <t>K/C-2210-9</t>
  </si>
  <si>
    <t>K/C-2211-20</t>
  </si>
  <si>
    <t>Bút toán K/c tháng(11/2022)</t>
  </si>
  <si>
    <t>K/C-2211-21</t>
  </si>
  <si>
    <t>K/C-2211-22</t>
  </si>
  <si>
    <t>K/C-2211-4</t>
  </si>
  <si>
    <t>K/C-2211-9</t>
  </si>
  <si>
    <t>K/C-2212-20</t>
  </si>
  <si>
    <t>Bút toán K/c tháng(12/2022)</t>
  </si>
  <si>
    <t>K/C-2212-4</t>
  </si>
  <si>
    <t>K/C-2212-6</t>
  </si>
  <si>
    <t>K/C-2212-9</t>
  </si>
  <si>
    <t>K/C-2201-15</t>
  </si>
  <si>
    <t>K/C-2201-16</t>
  </si>
  <si>
    <t>K/C-2202-15</t>
  </si>
  <si>
    <t>K/C-2202-16</t>
  </si>
  <si>
    <t>K/C-2203-15</t>
  </si>
  <si>
    <t>K/C-2203-16</t>
  </si>
  <si>
    <t>K/C-2203-17</t>
  </si>
  <si>
    <t>K/C-2204-15</t>
  </si>
  <si>
    <t>K/C-2204-16</t>
  </si>
  <si>
    <t>K/C-2204-4</t>
  </si>
  <si>
    <t>K/C-2205-15</t>
  </si>
  <si>
    <t>K/C-2205-16</t>
  </si>
  <si>
    <t>K/C-2206-15</t>
  </si>
  <si>
    <t>K/C-2206-16</t>
  </si>
  <si>
    <t>K/C-2206-4</t>
  </si>
  <si>
    <t>K/C-2207-15</t>
  </si>
  <si>
    <t>K/C-2207-16</t>
  </si>
  <si>
    <t>K/C-2208-15</t>
  </si>
  <si>
    <t>K/C-2208-16</t>
  </si>
  <si>
    <t>K/C-2209-15</t>
  </si>
  <si>
    <t>K/C-2209-16</t>
  </si>
  <si>
    <t>K/C-2210-15</t>
  </si>
  <si>
    <t>K/C-2210-16</t>
  </si>
  <si>
    <t>K/C-2211-15</t>
  </si>
  <si>
    <t>K/C-2211-16</t>
  </si>
  <si>
    <t>K/C-2212-15</t>
  </si>
  <si>
    <t>K/C-2212-16</t>
  </si>
  <si>
    <t>[1]</t>
  </si>
  <si>
    <t>Per FHLTD</t>
  </si>
  <si>
    <t>Per KCG</t>
  </si>
  <si>
    <t>Per XH</t>
  </si>
  <si>
    <t>[2]</t>
  </si>
  <si>
    <t>Per VNSC</t>
  </si>
  <si>
    <t>[3]</t>
  </si>
  <si>
    <t>Subsidiary of FH Cty mẹ</t>
  </si>
  <si>
    <t>Subsidiary of FH Cty con</t>
  </si>
  <si>
    <t>Subsidiary of XH</t>
  </si>
  <si>
    <t>Shares proportion</t>
  </si>
  <si>
    <t>Share Capital (411 &amp; 412)</t>
  </si>
  <si>
    <t>Equity (410)</t>
  </si>
  <si>
    <t>Expected provision</t>
  </si>
  <si>
    <t xml:space="preserve">Provision to be booked </t>
  </si>
  <si>
    <t>Movement of investment provision:</t>
  </si>
  <si>
    <t>Provision for subsidiaries</t>
  </si>
  <si>
    <t>As of 31 Dec 2024</t>
  </si>
  <si>
    <t>Opening balance from 1/7/2024</t>
  </si>
  <si>
    <t>Opening balance</t>
  </si>
  <si>
    <t>Provision charged during the year</t>
  </si>
  <si>
    <t>Closing balance</t>
  </si>
  <si>
    <t>Description</t>
  </si>
  <si>
    <t>Book investment provision for the period</t>
  </si>
  <si>
    <t>Conclusion</t>
  </si>
  <si>
    <t>The accounts are fairly stated</t>
  </si>
  <si>
    <t>SỔ NHẬT KÝ CHUNG</t>
  </si>
  <si>
    <t>Từ ngày 01/01/2024 đến ngày 31/12/2024</t>
  </si>
  <si>
    <t>JV2401.044</t>
  </si>
  <si>
    <t>Điều chỉnh thuế GTGT được khấu trừ do mua hàng tại doanh nghiệp có rủi ro cao về thuế HĐ 00000146 ngày 17/03/2022 (đã điều chỉnh tờ khai Q1.2022)</t>
  </si>
  <si>
    <t>0107850930</t>
  </si>
  <si>
    <t>CÔNG TY TNHH TỔNG HỢP THƯƠNG MẠI VÀ DỊCH VỤ NAM PHÁT</t>
  </si>
  <si>
    <t>Chi phí không hợp lý</t>
  </si>
  <si>
    <t>DN2401.TCB553.004</t>
  </si>
  <si>
    <t>Thanh toán chi phí dữ liệu văn phòng Google GSUITEvnsc.vn</t>
  </si>
  <si>
    <t>COO</t>
  </si>
  <si>
    <t>Cashburn for other operating expenses</t>
  </si>
  <si>
    <t>DN2401.TCB553.005</t>
  </si>
  <si>
    <t>GD THE QUA POS SO THE 402156...0390 NGAY 01/01/2024 TAI Google GSUITEfinhay.v SG SG APPCODE 445207 TID 99999999 (chưa có hóa đơn)</t>
  </si>
  <si>
    <t>Google Cloud - G Suite (finhay.com.vn)</t>
  </si>
  <si>
    <t>DN2401.TCB553.006</t>
  </si>
  <si>
    <t>GD THE QUA POS SO THE 402156...0390 NGAY 01/01/2024 TAI Google GSUITEfinhay.c SG SG APPCODE 460293 TID 99999999</t>
  </si>
  <si>
    <t>DN2401.TCB553.008</t>
  </si>
  <si>
    <t>GD THE QUA POS SO THE 402156...0390 NGAY 01/01/2024 TAI Google CLOUD wFK5XL SG SG APPCODE 647616 TID 99999999</t>
  </si>
  <si>
    <t>DN2401.TCB553.009</t>
  </si>
  <si>
    <t>GD THE QUA POS SO THE 402156...0390 NGAY 01/01/2024 TAI GOOGLE*CLOUD 49FMXT CC GOOGLE.COM SG APPCODE 650350 TID WPGTID01</t>
  </si>
  <si>
    <t>DN2401.TCB553.010</t>
  </si>
  <si>
    <t>GD THE QUA POS SO THE 402156...0390 NGAY 02/01/2024 TAI DATACRUNCH.IO +358451278799 FI APPCODE 906126 TID OENILHKE theo HD 4741531963 ngày 02/01/2024</t>
  </si>
  <si>
    <t>DN2401.TCB553.011</t>
  </si>
  <si>
    <t>GD THE QUA POS SO THE 402156...0390 NGAY 02/01/2024 TAI MONGODBCLOUD FINHAY... 18446664632 IE APPCODE 910530 TID VUTUIRY3 theo HD 6569420abb3ffd18dcf6c49a ngày 01/01/2024</t>
  </si>
  <si>
    <t>DN2401.TCB553.014</t>
  </si>
  <si>
    <t>GD THE QUA POS SO THE 402156...0390 NGAY 04/01/2024 TAI DATACRUNCH.IO +358451278799 FI APPCODE 264065 TID OENILHKE theo HD 2140984531 ngày 04/01/2024</t>
  </si>
  <si>
    <t>DN2401.TCB553.026</t>
  </si>
  <si>
    <t>GD THE QUA POS SO THE 402156...0390 NGAY 05/01/2024 TAI NRI*NEW RELIC 888-643-8776 US APPCODE 991282 TID 99999999 theo HD INV00967062 ngày 31/12/2023</t>
  </si>
  <si>
    <t>DN2401.TCB553.030</t>
  </si>
  <si>
    <t>GD THE QUA POS SO THE 402156...0390 NGAY 06/01/2024 TAI DATACRUNCH.IO +358451278799 FI APPCODE 328067 TID OENILHKE theo HD 7199126535 ngày 06/01/2024</t>
  </si>
  <si>
    <t>C24MAB|59</t>
  </si>
  <si>
    <t>734</t>
  </si>
  <si>
    <t>Mua đồ ăn văn phòng theo HĐ 734 ngày 08/01/2024</t>
  </si>
  <si>
    <t>DN2401.TCB553.034</t>
  </si>
  <si>
    <t>GD THE QUA POS SO THE 402156...0390 NGAY 08/01/2024 TAI TWILIO SENDGRID +18778894546 US APPCODE 826676 TID 3UFT1HQK theo HD INV13094781 ngày 01/01/2024</t>
  </si>
  <si>
    <t>DN2401.TCB553.035</t>
  </si>
  <si>
    <t>GD THE QUA POS SO THE 402156...0390 NGAY 08/01/2024 TAI ADOBE CREATIVE CLOUD Saggart, Dubl IE APPCODE 852841 TID 99999999 theo 2650362431 ngày 08/01/2024</t>
  </si>
  <si>
    <t>DN2401.TCB553.036</t>
  </si>
  <si>
    <t>GD THE QUA POS SO THE 402156...0390 NGAY 08/01/2024 TAI ADOBE CREATIVE CLOUD Saggart, Dubl IE APPCODE 879517 TID 99999999 theo HD 2650369728 ngày 08/01/2024</t>
  </si>
  <si>
    <t>DN2401.TCB553.037</t>
  </si>
  <si>
    <t>GD THE QUA POS SO THE 402156...0390 NGAY 08/01/2024 TAI ADOBE CREATIVE CLOUD Saggart, Dubl IE APPCODE 892041 TID 99999999 theo HD 2650353306 ngày 08/01/2024</t>
  </si>
  <si>
    <t>DN2401.TCB553.038</t>
  </si>
  <si>
    <t>GD THE QUA POS SO THE 402156...0390 NGAY 09/01/2024 TAI GITHUB, INC. +18774484820 US APPCODE 111380 TID AAIZQCVQ theo HD ch_3OWNOZJFr6CCHwIi1mP619mh ngày 08/01/2023</t>
  </si>
  <si>
    <t>DN2401.TCB553.039</t>
  </si>
  <si>
    <t>GD THE QUA POS SO THE 402156...0390 NGAY 09/01/2024 TAI CLAUDE.AI SUBSCRIPTION +14152360599 US APPCODE 189769 TID G0A3LMSE theo HD 365BEBCF-0004 ngày 08/01/2024</t>
  </si>
  <si>
    <t>DN2401.TCB553.041</t>
  </si>
  <si>
    <t>GD THE QUA POS SO THE 402156...0390 NGAY 09/01/2024 TAI OPENAI +14158799686 US APPCODE 377245 TID 7N3QWJUF theo HD 90C953D3-0009 ngày 08/01/2024</t>
  </si>
  <si>
    <t>DN2401.TCB553.042</t>
  </si>
  <si>
    <t>Thanh toán dịch vụ ăn uống theo HĐ 57464 ngày 09/01/2024</t>
  </si>
  <si>
    <t>DN2401.TCB553.062</t>
  </si>
  <si>
    <t>GD THE QUA POS SO THE 402156...0390 NGAY 14/01/2024 TAI DATACRUNCH.IO +358451278799 FI APPCODE 766466 TID OENILHKE theo HD 4976890790 ngày 14/01/2024</t>
  </si>
  <si>
    <t>DN2401.TCB553.065</t>
  </si>
  <si>
    <t>GD THE QUA POS SO THE 402156...0390 NGAY 15/01/2024 TAI DATACRUNCH.IO +358451278799 FI APPCODE 871009 TID OENILHKE theo HD 8196941587 ngày 16/01/2024</t>
  </si>
  <si>
    <t>DN2401.TCB553.075</t>
  </si>
  <si>
    <t>GD THE QUA POS SO THE 402156...0390 NGAY 17/01/2024 TAI DATACRUNCH.IO +358451278799 FI APPCODE 707157 TID OENILHKE theo HD 7340156370 ngày 17/01/2024</t>
  </si>
  <si>
    <t>DN2401.TCB553.077</t>
  </si>
  <si>
    <t>GD THE QUA POS SO THE 402156...0390 NGAY 18/01/2024 TAI DATACRUNCH.IO +358451278799 FI APPCODE 494034 TID OENILHKE theo HD 9201524968 ngày 18/01/2024</t>
  </si>
  <si>
    <t>DN2401.TCB553.082</t>
  </si>
  <si>
    <t>Thanh toán dịch vụ ăn uống theo HĐ 1320 ngày 18/01/2024</t>
  </si>
  <si>
    <t>DN2401.TCB553.087</t>
  </si>
  <si>
    <t>GD THE QUA POS SO THE 402156...0390 NGAY 19/01/2024 TAI DATACRUNCH.IO +358451278799 FI APPCODE 263284 TID OENILHKE theo HD 7952285282 ngày 19/01/2024</t>
  </si>
  <si>
    <t>DN2401.TCB553.088</t>
  </si>
  <si>
    <t>GD THE QUA POS SO THE 402156...0390 NGAY 19/01/2024 TAI MOBBIN.COM +6596515701 SG APPCODE 488100 TID ZVN6BMDO theo HD B43B96B8-0001 ngày 19/01/2024</t>
  </si>
  <si>
    <t>DN2401.TCB553.090</t>
  </si>
  <si>
    <t>GD THE QUA POS SO THE 402156...0390 NGAY 20/01/2024 TAI DATACRUNCH.IO +358451278799 FI APPCODE 66939 TID OENILHKE theo HD 9754782214 ngày 20/01/2024</t>
  </si>
  <si>
    <t>DN2401.TCB553.096</t>
  </si>
  <si>
    <t>GD THE QUA POS SO THE 402156...0390 NGAY 21/01/2024 TAI DATACRUNCH.IO +358451278799 FI APPCODE 862310 TID OENILHKE theo HD 4183075503 ngày 22/01/2024</t>
  </si>
  <si>
    <t>DN2401.TCB553.100</t>
  </si>
  <si>
    <t>GD THE QUA POS SO THE 402156...0390 NGAY 23/01/2024 TAI DATACRUNCH.IO +358451278799 FI APPCODE 392799 TID OENILHKE theo HD 8986248654 ngày 23/01/2024</t>
  </si>
  <si>
    <t>DN2401.TCB553.120</t>
  </si>
  <si>
    <t>GD THE QUA POS SO THE 402156...0390 NGAY 26/01/2024 TAI FIGMA MONTHLY RENEWAL +14158905404 US APPCODE 8554 TID 2AZKKVLN theo HD in_1OchE7IvcqWR3dFDm5PQzEnM ngày 25/01/2024</t>
  </si>
  <si>
    <t>DN2401.TCB553.121</t>
  </si>
  <si>
    <t>GD THE QUA POS SO THE 402156...0390 NGAY 26/01/2024 TAI SLACK T45QUU91C +35315137661 IE APPCODE 169942 TID OSNRX4CL theo HD SBIE-5454014 ngày 26/01/2024</t>
  </si>
  <si>
    <t>DN2401.TCB553.122</t>
  </si>
  <si>
    <t>Thanh toán phí Google Storage (Google Play) theo bill SOP.3346-8278-3797-35392..32 ngày 28/01/2024</t>
  </si>
  <si>
    <t>Google Play</t>
  </si>
  <si>
    <t>Google Storage (Google Play)</t>
  </si>
  <si>
    <t>TECH</t>
  </si>
  <si>
    <t>DN2401.TCB553.123</t>
  </si>
  <si>
    <t>GD THE QUA POS SO THE 402156...0390 NGAY 27/01/2024 TAI DATACRUNCH.IO +358451278799 FI APPCODE 864713 TID OENILHKE theo HD 6937637795 ngày 27/01/2024</t>
  </si>
  <si>
    <t>DN2401.TCB553.124</t>
  </si>
  <si>
    <t>GD THE QUA POS SO THE 402156...0390 NGAY 28/01/2024 TAI GITHUB, INC. +18774484820 US APPCODE 346099 TID AAIZQCVQ theo bill ch_3OdG6tJFr6CCHwIi026yMn3K ngày 27/01/2024</t>
  </si>
  <si>
    <t>DN2401.TCB553.126</t>
  </si>
  <si>
    <t>GD THE QUA POS SO THE 402156...0390 NGAY 28/01/2024 TAI DATACRUNCH.IO +358451278799 FI APPCODE 682139 TID OENILHKE theo HD 5731349828 ngày 29/01/2024</t>
  </si>
  <si>
    <t>DN2401.TCB553.132</t>
  </si>
  <si>
    <t>GD THE QUA POS SO THE 402156...0390 NGAY 29/01/2024 TAI DATACRUNCH.IO +358451278799 FI APPCODE 505270 TID OENILHKE theo HD 3049976867 ngày 28/01/2024</t>
  </si>
  <si>
    <t>DN2401.TCB553.134</t>
  </si>
  <si>
    <t>GD THE QUA POS SO THE 402156...0390 NGAY 30/01/2024 TAI DATACRUNCH.IO +358451278799 FI APPCODE 341585 TID OENILHKE theo HD 4502462806 ngày 30/01/2024</t>
  </si>
  <si>
    <t>DN2401.TCB553.139</t>
  </si>
  <si>
    <t>GD THE QUA POS SO THE 402156...0390 NGAY 31/01/2024 TAI DATACRUNCH.IO +358451278799 FI APPCODE 228513 TID OENILHKE theo HD 2842599985 ngày 31/01/2024</t>
  </si>
  <si>
    <t>JV2401.033</t>
  </si>
  <si>
    <t>Hạch toán VAT đầu ra hóa đơn quà tặng tính đến 31/01/2024 theo HD 00000021 ngày 31/01/2024</t>
  </si>
  <si>
    <t>025</t>
  </si>
  <si>
    <t>Cashburn for other operating expenses (các khoản chi khác)</t>
  </si>
  <si>
    <t>DN2402.TCB553.006</t>
  </si>
  <si>
    <t>GD THE QUA POS SO THE 402156...0390 NGAY 01/02/2024 TAI Google GSUITEvnsc.vn SG SG APPCODE 76349 TID 99999999 theo HD 4897862149 ngày 31/01/2024 (USD 75.79)</t>
  </si>
  <si>
    <t>DN2402.TCB553.007</t>
  </si>
  <si>
    <t>GD THE QUA POS SO THE 402156...0390 NGAY 01/02/2024 TAI Google GSUITEfinhay.c SG SG APPCODE 140997 TID 99999999 chưa có hoá đơn</t>
  </si>
  <si>
    <t>DN2402.TCB553.009</t>
  </si>
  <si>
    <t>GD THE QUA POS SO THE 402156...0390 NGAY 01/02/2024 TAI Google GSUITEfinhay.v SG SG APPCODE 180578 TID 99999999 theo HD 4897882474 ngày 31/01/2024 (USD 11.37)</t>
  </si>
  <si>
    <t>DN2402.TCB553.010</t>
  </si>
  <si>
    <t>GD THE QUA POS SO THE 402156...0390 NGAY 01/02/2024 TAI DATACRUNCH.IO +358451278799 FI APPCODE 173196 TID OENILHKE theo HD 1468747032 ngày 01/02/2024</t>
  </si>
  <si>
    <t>DN2402.TCB553.011</t>
  </si>
  <si>
    <t>GD THE QUA POS SO THE 402156...0390 NGAY 02/02/2024 TAI GOOGLE*CLOUD T97HZN CC GOOGLE.COM SG APPCODE 392837 TID WPGTID01 theo bill reference CLOUD T97HZN on Visa  • • • • 0390 ngày 01/02/2024</t>
  </si>
  <si>
    <t>DN2402.TCB553.012</t>
  </si>
  <si>
    <t>GD THE QUA POS SO THE 402156...0390 NGAY 02/02/2024 TAI Google CLOUD 32HMQv SG SG APPCODE 394115 TID 99999999 theo bill reference CLOUD 32HMQv on Visa  • • • • 0390 ngày 01/02/2024</t>
  </si>
  <si>
    <t>DN2402.TCB553.013</t>
  </si>
  <si>
    <t>GD THE QUA POS SO THE 402156...0390 NGAY 02/02/2024 TAI DATACRUNCH.IO +358451278799 FI APPCODE 190599 TID OENILHKE theo HD 3525949128 ngày 02/02/2024</t>
  </si>
  <si>
    <t>DN2402.TCB553.014</t>
  </si>
  <si>
    <t>GD THE QUA POS SO THE 402156...0390 NGAY 03/02/2024 TAI MONGODBCLOUD FINHAY... 18446664632 IE APPCODE 457132 TID VUTUIRY3 theo HD 65921f19b03bba277854dea2 ngày 01/02/2024</t>
  </si>
  <si>
    <t>DN2402.TCB553.017</t>
  </si>
  <si>
    <t>GD THE QUA POS SO THE 402156...0390 NGAY 02/02/2024 TAI DATACRUNCH.IO +358451278799 FI APPCODE 190599 TID OENILHKE theo HD 4657317298 ngày 03/02/2024</t>
  </si>
  <si>
    <t>DN2402.TCB553.018</t>
  </si>
  <si>
    <t>GD THE QUA POS SO THE 402156...0390 NGAY 03/02/2024 TAI NRI*NEW RELIC 888-643-8776 US APPCODE 123356 TID 99999999 theo HD INV00976650 ngày 31/01/2024</t>
  </si>
  <si>
    <t>DN2402.TCB553.021</t>
  </si>
  <si>
    <t>GD THE QUA POS SO THE 402156...0390 NGAY 04/02/2024 TAI DATACRUNCH.IO +358451278799 FI APPCODE 847408 TID OENILHKE theo HD 1076378371 ngày 04/02/2024</t>
  </si>
  <si>
    <t>DN2402.TCB553.025</t>
  </si>
  <si>
    <t>GD THE QUA POS SO THE 402156...0390 NGAY 06/02/2024 TAI DATACRUNCH.IO +358451278799 FI APPCODE 726718 TID OENILHKE theo HD 8183847276 ngày 05/02/2024</t>
  </si>
  <si>
    <t>DN2402.TCB553.026</t>
  </si>
  <si>
    <t>GD THE QUA POS SO THE 402156...0390 NGAY 06/02/2024 TAI TWILIO SENDGRID +18778894546 US APPCODE 319877 TID 3UFT1HQK theo HD INV13261427 ngày 01/02/2024</t>
  </si>
  <si>
    <t>DN2402.TCB553.040</t>
  </si>
  <si>
    <t>GD THE QUA POS SO THE 402156...0390 NGAY 08/02/2024 TAI OPENAI +14158799686 US APPCODE 598291 TID 7N3QWJUF theo HD 90C953D3-0010 ngày 07/02/2024</t>
  </si>
  <si>
    <t>DN2402.TCB553.041</t>
  </si>
  <si>
    <t>Thanh toán phần mềm Adobe theo HD 2676996292 ngày 08/02/2024</t>
  </si>
  <si>
    <t>IE6364992H</t>
  </si>
  <si>
    <t>Adobe Systems Software Ireland Ltd</t>
  </si>
  <si>
    <t>DN2402.TCB553.042</t>
  </si>
  <si>
    <t>Thanh toán phần mềm Adobe theo HD 2677001397 ngày 08/02/2024</t>
  </si>
  <si>
    <t>DN2402.TCB553.043</t>
  </si>
  <si>
    <t>Thanh toán phần mềm Adobe theo HD 2677001440 ngày 08/02/2024</t>
  </si>
  <si>
    <t>DN2402.TCB553.045</t>
  </si>
  <si>
    <t>GD THE QUA POS SO THE 402156...0390 NGAY 09/02/2024 TAI GITHUB, INC. +18774484820 US APPCODE 64712 TID AAIZQCVQ theo HD ch_3Ohc3BJFr6CCHwIi0hAKYP0j ngày 08/02/2024</t>
  </si>
  <si>
    <t>DN2402.TCB553.046</t>
  </si>
  <si>
    <t>GD THE QUA POS SO THE 402156...0390 NGAY 09/02/2024 TAI CLAUDE.AI SUBSCRIPTION +14152360599 US APPCODE 124522 TID G0A3LMSE theo HD 365BEBCF-0005 ngày 08/02/2024</t>
  </si>
  <si>
    <t>DN2402.TCB553.049</t>
  </si>
  <si>
    <t>GD THE TREN INTERNET SO THE 402156...0390 NGAY 12/02/2024 TAI AIRBNB * HMRBW42CMK London GB APPCODE 654658 theo Receipt RCCNDDMQXA ngày 13/02/2024</t>
  </si>
  <si>
    <t>DN2402.TCB553.053</t>
  </si>
  <si>
    <t>GD THE QUA POS SO THE 402156...0390 NGAY 17/02/2024 TAI Apify *web automation Prague 1 CZ APPCODE 755051 TID 32621668 theo HD #20240217106 ngày 17/02/2024</t>
  </si>
  <si>
    <t>DN2402.TCB553.068</t>
  </si>
  <si>
    <t>Thanh toán chi phí lưu dữ liệu cloud Runpod.io theo bill #1245-1303 ngày 21/02/2024</t>
  </si>
  <si>
    <t>DN2402.TCB553.078</t>
  </si>
  <si>
    <t>Thanh toán chi phí lưu dữ liệu cloud Runpod.io theo bill #1677-2641 ngày 23/02/2024</t>
  </si>
  <si>
    <t>DN2402.TCB553.080</t>
  </si>
  <si>
    <t>Thanh toán chi phí chatGPT theo HD 2F673623-0012 ngày 24/02/2024</t>
  </si>
  <si>
    <t>DN2402.TCB553.083</t>
  </si>
  <si>
    <t>Thanh toán chi phí lưu dữ liệu cloud Runpod.io theo bill #1238-4565 ngày 25/02/2024</t>
  </si>
  <si>
    <t>DN2402.TCB553.084</t>
  </si>
  <si>
    <t>Thanh toán phí ứng dụng thiết kế Figma theo bill in_1Onw0XIvcqWR3dFDdd7fhnst ngày 25/02/2024</t>
  </si>
  <si>
    <t>020BF87F</t>
  </si>
  <si>
    <t>Figma, Inc.</t>
  </si>
  <si>
    <t>DN2402.TCB553.085</t>
  </si>
  <si>
    <t>Thanh toán phí ứng dụng và dữ liệu Slack theo HD SBIE-5631714 ngày 26/02/2024</t>
  </si>
  <si>
    <t>DN2402.TCB553.087</t>
  </si>
  <si>
    <t>DN2402.TCB553.088</t>
  </si>
  <si>
    <t>TT-FHCTCP/1249 - thanh toán chi phí đào tạo và nghiệp vụ Admin tháng 2/2024</t>
  </si>
  <si>
    <t>DN2402.TCB553.097</t>
  </si>
  <si>
    <t>Thanh toán Chi phí dữ liệu tại GitHub theo bill ch_3OoVM1JFr6CCHwIi0MIwRSuE ngày 27/02/2024</t>
  </si>
  <si>
    <t>Github</t>
  </si>
  <si>
    <t>GitHub, Inc.</t>
  </si>
  <si>
    <t>DN2402.TCB553.098</t>
  </si>
  <si>
    <t>Thanh toán chi phí lưu dữ liệu cloud Runpod.io theo bill #1071-0295 ngày 28/02/2024</t>
  </si>
  <si>
    <t>JV2402.027</t>
  </si>
  <si>
    <t>TTKHAC/FHCTCP/0109. Hạch toán hóa đơn chi tiêu, tiếp khách, vé máy bay BOM tháng 02/2024</t>
  </si>
  <si>
    <t>Chi phí vé máy bay theo hđ 229741 ngày 05/02/2024</t>
  </si>
  <si>
    <t>0100107518</t>
  </si>
  <si>
    <t>TỔNG CÔNG TY HÀNG KHÔNG VIỆT NAM  - CTCP</t>
  </si>
  <si>
    <t>Chi phí ăn uống theo HD 379083 ngày 24/02/2024 (tiền tip)</t>
  </si>
  <si>
    <t>DN2403.TCB553.003</t>
  </si>
  <si>
    <t>Thanh toán chi phí dữ liệu văn phòng Google GSUITE</t>
  </si>
  <si>
    <t>DN2403.TCB553.004</t>
  </si>
  <si>
    <t>Thanh toán chi phí lưu dữ liệu cloud Runpod.io theo bill #1734-6274 ngày 01/03/2024</t>
  </si>
  <si>
    <t>DN2403.TCB553.005</t>
  </si>
  <si>
    <t>Thanh toán chi phí dữ liệu văn phòng Google GSUITE theo HD 4920327864 ngày 29/02/2024 (USD 11.37)</t>
  </si>
  <si>
    <t>DN2403.TCB553.007</t>
  </si>
  <si>
    <t>Thanh toán chi phí dữ liệu văn phòng Google GSUITEvnsc.vn theo HD 4925253930 ngày 29/02/2024 (USD 75.79)</t>
  </si>
  <si>
    <t>DN2403.TCB553.008</t>
  </si>
  <si>
    <t>Thanh toán chi phí Google Cloud theo bill reference CLOUD 99S7Jw on Visa  • • • • 0390 ngày 01/03/2024</t>
  </si>
  <si>
    <t>DN2403.TCB553.009</t>
  </si>
  <si>
    <t>Thanh toán chi phí Google Cloud theo bill reference CLOUD 4FJ6NX on Visa  • • • • 0390 ngày 01/03/2024</t>
  </si>
  <si>
    <t>DN2403.TCB553.015</t>
  </si>
  <si>
    <t>Thanh toán chi phí lưu dữ liệu cloud Runpod.io theo bill #1372-3342 ngày 04/03/2024 (USD 99.00 @ 24.649.97)</t>
  </si>
  <si>
    <t>DN2403.TCB553.010</t>
  </si>
  <si>
    <t>Thanh toán phí dữ liệu MongoDB theo HD 65bb111a3d73741233d4f3c6 ngày 01/03/2024</t>
  </si>
  <si>
    <t>DN2403.TCB553.018</t>
  </si>
  <si>
    <t>Thanh toán phí dữ liệu New Relic theo HD INV00996296 ngày 29/02/2024 (USD 213.60 @ 24,690.02)</t>
  </si>
  <si>
    <t>DN2403.TCB553.023</t>
  </si>
  <si>
    <t>Thanh toán chi phí dữ liệu Sendgrid theo HD INV13444540 ngày 01/03/2024 (USD 34.95 @ 24,713.02)</t>
  </si>
  <si>
    <t>DN2403.TCB553.024</t>
  </si>
  <si>
    <t>Thanh toán chi phí ứng dụng OpenAI theo HD 90C953D3-0011 ngày 06/03/2024 (USD 183.82 @ 24,713.02)</t>
  </si>
  <si>
    <t>DN2403.TCB553.032</t>
  </si>
  <si>
    <t>Thanh toán phần mềm Adobe theo HD 2704159353 ngày 08/03/2024</t>
  </si>
  <si>
    <t>DN2403.TCB553.033</t>
  </si>
  <si>
    <t>Thanh toán phần mềm Adobe theo HD 2704126940 ngày 08/03/2024</t>
  </si>
  <si>
    <t>DN2403.TCB553.034</t>
  </si>
  <si>
    <t>Thanh toán phần mềm Adobe theo HD 2704127342 ngày 08/03/2024</t>
  </si>
  <si>
    <t>DN2403.TCB553.035</t>
  </si>
  <si>
    <t>Thanh toán chi phí lưu dữ liệu cloud Runpod.io theo bill #1485-7844 ngày 08/03/2024</t>
  </si>
  <si>
    <t>DN2403.TCB553.036</t>
  </si>
  <si>
    <t>Thanh toán Chi phí dữ liệu tại GitHub theo bill ch_3Os8CMJFr6CCHwIi1VVNxGAS ngày 08/03/2024</t>
  </si>
  <si>
    <t>DN2403.TCB553.041</t>
  </si>
  <si>
    <t>Thanh toán chi phí ứng dụng X prenium theo HD 75295818-0001 ngày 10/032024</t>
  </si>
  <si>
    <t>246527049321296</t>
  </si>
  <si>
    <t xml:space="preserve">Facebook - Phí quảng cáo </t>
  </si>
  <si>
    <t>DN2403.TCB553.066</t>
  </si>
  <si>
    <t>GD THE QUA POS SO THE 402156...0390 NGAY 18/03/2024 TAI POSTMAN PROFESSIONAL +14157966470 US APPCODE 640063 TID I3WISW7I theo HD #S4JT5Y6EBD8T-0011 ngày 27/03/2024</t>
  </si>
  <si>
    <t>DN2403.TCB553.091</t>
  </si>
  <si>
    <t>Thanh toán phí ứng dụng thiết kế Figma theo bill in_1OyRohIvcqWR3dFDZXOCbDUN ngày 25/03/2024</t>
  </si>
  <si>
    <t>DN2403.TCB553.092</t>
  </si>
  <si>
    <t>Thanh toán phí ứng dụng và dữ liệu Slack theo HD SBIE-5813585 ngày 26/03/2024</t>
  </si>
  <si>
    <t>DN2403.TCB553.100</t>
  </si>
  <si>
    <t>Thanh toán phí Google Storage (Google Play) theo bill SOP.3346-8278-3797-35392..34 ngày 28/03/2024</t>
  </si>
  <si>
    <t>DN2403.TCB553.101</t>
  </si>
  <si>
    <t>Thanh toán Chi phí dữ liệu tại GitHub theo bill ch_3Oz06TJFr6CCHwIi1fPQmd5o ngày 27/03/2024</t>
  </si>
  <si>
    <t>JV2403.006</t>
  </si>
  <si>
    <t>Hạch toán VAT đầu ra hóa đơn quà tặng tính đến 29/03/2024 theo HD 00000052 ngày 29/03/2024</t>
  </si>
  <si>
    <t>JV2403.034</t>
  </si>
  <si>
    <t>TTKHAC/FHCTCP/0117. Hạch toán hóa đơn chi tiêu, tiếp khách, vé máy bay BOM tháng 03/2024</t>
  </si>
  <si>
    <t>Chi phí công tác khác theo HD 30 ngày 23/03/2024</t>
  </si>
  <si>
    <t>DN2404.TCB553.008</t>
  </si>
  <si>
    <t>Thanh toán chi phí dữ liệu văn phòng Google GSUITE theo HD 4940059028 ngày 31/03/2024 (USD 11.37)</t>
  </si>
  <si>
    <t>DN2404.TCB553.009</t>
  </si>
  <si>
    <t>Thanh toán chi phí dữ liệu văn phòng Google GSUITEvnsc.vn theo HD 4941373582 ngày 31/03/2024 (USD 75.79)</t>
  </si>
  <si>
    <t>DN2404.TCB553.010</t>
  </si>
  <si>
    <t>Thanh toán chi phí dữ liệu văn phòng Google GSUITE theo chưa có hoá đơn</t>
  </si>
  <si>
    <t>DN2404.TCB553.012</t>
  </si>
  <si>
    <t>Thanh toán chi phí Google Cloud theo bill reference CLOUD NMWHMZ on Visa  • • • • 0390 ngày 01/04/2024</t>
  </si>
  <si>
    <t>DN2404.TCB553.013</t>
  </si>
  <si>
    <t>Thanh toán chi phí Google Cloud theo bill reference CLOUD WPDMvF on Visa  • • • • 0390 ngày 01/04/2024</t>
  </si>
  <si>
    <t>DN2404.TCB553.015</t>
  </si>
  <si>
    <t>Thanh toán phí dữ liệu MongoDB theo HD 65e1445064331d145a6a89ab ngày 01/04/2024</t>
  </si>
  <si>
    <t>DN2404.TCB553.034</t>
  </si>
  <si>
    <t>Thanh toán chi phí ứng dụng OpenAI theo HD 90C953D3-0012 ngày 04/04/2024 (USD 237.42)</t>
  </si>
  <si>
    <t>DN2404.TCB553.038</t>
  </si>
  <si>
    <t>Thanh toán phí dữ liệu New Relic theo HD INV01016279 ngày 31/03/2024 (USD 237.9)</t>
  </si>
  <si>
    <t>DN2404.TCB553.039</t>
  </si>
  <si>
    <t>Thanh toán chi phí dữ liệu Sendgrid theo HD INV13770752 ngày 01/04/2024 (USD 34.95)</t>
  </si>
  <si>
    <t>DN2404.TCB553.118</t>
  </si>
  <si>
    <t>Thanh toán phần mềm Adobe theo HD 2730979806 ngày 08/04/2024</t>
  </si>
  <si>
    <t>DN2404.TCB553.119</t>
  </si>
  <si>
    <t>Thanh toán phần mềm Adobe theo HD 2730957109 ngày 08/04/2024</t>
  </si>
  <si>
    <t>DN2404.TCB553.121</t>
  </si>
  <si>
    <t>Thanh toán phần mềm Adobe theo HD 2730986570 ngày 08/04/2024</t>
  </si>
  <si>
    <t>DN2404.TCB553.122</t>
  </si>
  <si>
    <t>Thanh toán Chi phí dữ liệu tại GitHub theo bill ch_3P3LuWJFr6CCHwIi1ikV6Zeg ngày 08/04/2024</t>
  </si>
  <si>
    <t>DN2404.TCB553.177</t>
  </si>
  <si>
    <t>TT-FHCTCP/1297 - Ủng hộ quỹ phẫu thuật nụ cười</t>
  </si>
  <si>
    <t>0102025959</t>
  </si>
  <si>
    <t>OPERATION SMILE</t>
  </si>
  <si>
    <t>DN2404.TCB553.193</t>
  </si>
  <si>
    <t>Thanh toán chi phí chat GPT theo HD 2F673623-0014 ngày 24/04/2024</t>
  </si>
  <si>
    <t>DN2404.TCB553.202</t>
  </si>
  <si>
    <t>Thanh toán phí ứng dụng thiết kế Figma theo bill in_1P9gaxIvcqWR3dFDfJqojjO0 ngày 25/04/2024</t>
  </si>
  <si>
    <t>DN2404.TCB553.203</t>
  </si>
  <si>
    <t>Thanh toán phí ứng dụng và dữ liệu Slack theo HD SBIE-6000829 ngày 26/04/2024</t>
  </si>
  <si>
    <t>DN2404.TCB553.204</t>
  </si>
  <si>
    <t>Thanh toán phí Google Storage (Google Play) theo bill SOP.3346-8278-3797-35392..35 ngày 28/04/2024</t>
  </si>
  <si>
    <t>JV2404.026</t>
  </si>
  <si>
    <t>Hạch toán VAT đầu ra hóa đơn quà tặng tính đến 30/04/2024 theo HD 00000070 ngày 26/04/2024</t>
  </si>
  <si>
    <t>JV2405.041</t>
  </si>
  <si>
    <t>Ghi nhận tiền phạt nộp chậm thuế TNCN</t>
  </si>
  <si>
    <t>DN2405.TCB553.001</t>
  </si>
  <si>
    <t>Thanh toán Chi phí dữ liệu tại GitHub theo bill ch_3PAEaqJFr6CCHwIi0wiHCdnL ngày 27/04/2024</t>
  </si>
  <si>
    <t>DN2405.TCB553.009</t>
  </si>
  <si>
    <t>Thanh toán chi phí dữ liệu văn phòng Google GSUITE theo HD 4965420693 ngày 30/04/2024 (USD 11.37)</t>
  </si>
  <si>
    <t>DN2405.TCB553.011</t>
  </si>
  <si>
    <t>DN2405.TCB553.012</t>
  </si>
  <si>
    <t>Thanh toán chi phí dữ liệu văn phòng Google GSUITEvnsc.vn theo HD 4967805519 ngày 30/04/2024 (USD 87.58)</t>
  </si>
  <si>
    <t>DN2405.TCB553.015</t>
  </si>
  <si>
    <t>Thanh toán chi phí Google Cloud theo bill reference CLOUD XLzw5V on Visa  • • • • 0390 ngày 01/05/2024</t>
  </si>
  <si>
    <t>DN2405.TCB553.016</t>
  </si>
  <si>
    <t>Thanh toán chi phí Google Cloud theo bill reference CLOUD 2V3TBT on Visa  • • • • 0390 ngày 01/05/2024</t>
  </si>
  <si>
    <t>DN2405.TCB553.017</t>
  </si>
  <si>
    <t>Thanh toán phí dữ liệu MongoDB theo HD 660a22a7cb04935ef01f3ad4 ngày 01/05/2024</t>
  </si>
  <si>
    <t>DN2405.TCB553.025</t>
  </si>
  <si>
    <t>Thanh toán phí dữ liệu New Relic theo HD INV01035356 ngày 30/04/2024 (USD 228.3)</t>
  </si>
  <si>
    <t>DN2405.TCB553.027</t>
  </si>
  <si>
    <t>Thanh toán chi phí dữ liệu Sendgrid theo HD INV13951377 ngày 01/05/2024 (USD 34.95)</t>
  </si>
  <si>
    <t>DN2405.TCB553.028</t>
  </si>
  <si>
    <t>Thanh toán chi phí ứng dụng OpenAI theo HD 90C953D3-0013 ngày 03/05/2024 (USD 145.13)</t>
  </si>
  <si>
    <t>DN2405.TCB553.042</t>
  </si>
  <si>
    <t>Thanh toán phần mềm Adobe theo HD 2758098848 ngày 08/05/2024</t>
  </si>
  <si>
    <t>DN2405.TCB553.043</t>
  </si>
  <si>
    <t>Thanh toán phần mềm Adobe theo HD 2758083830 ngày 08/05/2024</t>
  </si>
  <si>
    <t>DN2405.TCB553.044</t>
  </si>
  <si>
    <t>Thanh toán phần mềm Adobe theo HD 2758075361 ngày 08/05/2024</t>
  </si>
  <si>
    <t>DN2405.TCB553.045</t>
  </si>
  <si>
    <t>Thanh toán Chi phí dữ liệu tại GitHub theo bill ch_3PEE4cJFr6CCHwIi080BDhU6 ngày 08/05/2024</t>
  </si>
  <si>
    <t>DN2405.TCB553.091</t>
  </si>
  <si>
    <t>Phí gia hạn tên miền 5 năm (nghiem.foudation)</t>
  </si>
  <si>
    <t>DN2405.TCB553.096</t>
  </si>
  <si>
    <t>Thanh toán phí ứng dụng thiết kế Figma theo bill in_1PKYtvIvcqWR3dFD4p3IZVl9 ngày 25/04/2024</t>
  </si>
  <si>
    <t>DN2405.TCB553.097</t>
  </si>
  <si>
    <t>Thanh toán phí ứng dụng và dữ liệu Slack theo HD SBIE-6183856 ngày 26/05/2024</t>
  </si>
  <si>
    <t>DN2405.TCB553.104</t>
  </si>
  <si>
    <t>Thanh toán Chi phí dữ liệu tại GitHub theo bill ch_3PL70gJFr6CCHwIi0wvO0k35 ngày 27/05/2024</t>
  </si>
  <si>
    <t>DN2406.TCB553.002</t>
  </si>
  <si>
    <t>GD THE QUA POS SO THE 402156...0390 NGAY 01/06/2024 TAI BLOOMBERG.COM +18338504950 US APPCODE 636320 TID 1UWNOWT5 theo HD INV14745490 ngày 01/06/2024</t>
  </si>
  <si>
    <t>DN2406.TCB553.003</t>
  </si>
  <si>
    <t>Thanh toán chi phí dữ liệu văn phòng Google GSUITE chưa có hoá đơn</t>
  </si>
  <si>
    <t>DN2406.TCB553.004</t>
  </si>
  <si>
    <t>Thanh toán chi phí dữ liệu văn phòng Google GSUITEvnsc.vn theo HD 4988414459 ngày 01/06/2024</t>
  </si>
  <si>
    <t>DN2406.TCB553.005</t>
  </si>
  <si>
    <t>Thanh toán chi phí dữ liệu văn phòng Google GSUITE theo HĐ 4985498620 ngày 01/06/2024 (USD 11.37)</t>
  </si>
  <si>
    <t>DN2406.TCB553.007</t>
  </si>
  <si>
    <t>Thanh toán chi phí Google Cloud theo bill reference CLOUD zVSxSP on Visa  • • • • 0390 ngày 01/06/2024</t>
  </si>
  <si>
    <t>DN2406.TCB553.008</t>
  </si>
  <si>
    <t>Thanh toán chi phí Google Cloud theo bill reference CLOUD QVRQR9 on Visa  • • • • 0390 ngày 01/06/2024</t>
  </si>
  <si>
    <t>DN2406.TCB553.009</t>
  </si>
  <si>
    <t>Thanh toán phí dữ liệu MongoDB theo HĐ 6631ad59fcc44b522d2c297e ngày 01/06/2024</t>
  </si>
  <si>
    <t>DN2406.TCB553.025</t>
  </si>
  <si>
    <t>Thanh toán phí dữ liệu New Relic theo HĐ INV01054068 ngày 31/05/2024 (USD 233.10)</t>
  </si>
  <si>
    <t>DN2406.TCB553.026</t>
  </si>
  <si>
    <t>Thanh toán chi phí dữ liệu Sendgrid theo HD INV14184624 ngày 01/06/2024 (USD 34.95)</t>
  </si>
  <si>
    <t>DN2406.TCB553.027</t>
  </si>
  <si>
    <t>Thanh toán chi phí ứng dụng OpenAI theo HD 90C953D3-0014 ngày 06/0+/2024 (USD 124.81)</t>
  </si>
  <si>
    <t>DN2406.TCB553.035</t>
  </si>
  <si>
    <t>GD THE QUA POS SO THE 402156...0390 NGAY 07/06/2024 TAI OPENAI *CHATGPT SUBSCR +14158799686 US APPCODE 872293 TID 7N3QWJUF theo HD FC31ACB0-0001 ngày 07/06/2024</t>
  </si>
  <si>
    <t>DN2406.TCB553.076</t>
  </si>
  <si>
    <t>Thanh toán chi phí ứng dụng OpenAI theo HĐ 90C953D3՞0014 ngày 05/06/2024 (USD 124.81)</t>
  </si>
  <si>
    <t>DN2406.TCB553.037</t>
  </si>
  <si>
    <t>Thanh toán Chi phí dữ liệu tại GitHub theo bill ch_3PPTBkJFr6CCHwIi1SHBUE2x ngày 08/06/2024</t>
  </si>
  <si>
    <t>DN2406.TCB553.038</t>
  </si>
  <si>
    <t>Thanh toán phần mềm Adobe theo HD 2785457270 ngày 08/06/2024</t>
  </si>
  <si>
    <t>DN2406.TCB553.039</t>
  </si>
  <si>
    <t>Thanh toán phần mềm Adobe theo HD 2785482848 ngày 08/06/2024</t>
  </si>
  <si>
    <t>DN2406.TCB553.040</t>
  </si>
  <si>
    <t>Thanh toán phần mềm Adobe theo HD 2785505459 ngày 08/06/2024</t>
  </si>
  <si>
    <t>DN2406.TCB553.166</t>
  </si>
  <si>
    <t>GD THE QUA POS SO THE 402156...0390 NGAY 18/06/2024 TAI POSTMAN PROFESSIONAL +14157966470 US APPCODE 672890 TID I3WISW7I theo HD #S4JT5Y6EBD8T-0012 ngày 18/06/2024</t>
  </si>
  <si>
    <t>DN2406.TCB553.174</t>
  </si>
  <si>
    <t>GD THE TREN INTERNET SO THE 402156...0390 NGAY 21/06/2024 TAI CLAUDE.AI SUBSCRIPTION +14152360599 US APPCODE 642941 theo HD 365BEBCF-0008 ngày 20/06/2024</t>
  </si>
  <si>
    <t>DN2406.TCB022.181</t>
  </si>
  <si>
    <t>GD THE QUA POS SO THE 402156...0390 NGAY 24/06/2024 TAI OPENAI *CHATGPT SUBSCR +14158799686 US APPCODE 106286 TID 7N3QWJUF</t>
  </si>
  <si>
    <t>DN2406.TC553.068</t>
  </si>
  <si>
    <t>Thanh toán phí ứng dụng và dữ liệu Slack theo HD SBIE-6374169 ngày 26/06/2024</t>
  </si>
  <si>
    <t>DN2406.TCB044.067</t>
  </si>
  <si>
    <t>Thanh toán phí ứng dụng thiết kế Figma theo bill in_1PVnf4IvcqWR3dFDnTlszyya ngày 25/06/2024</t>
  </si>
  <si>
    <t>DN2406.TC553.070</t>
  </si>
  <si>
    <t>Thanh toán Chi phí dữ liệu tại GitHub theo bill ch_3PWLpeJFr6CCHwIi1Vv36G7T ngày 27/06/2024</t>
  </si>
  <si>
    <t>JV2406.005</t>
  </si>
  <si>
    <t>Hạch toán VAT đầu ra hóa đơn quà tặng tính đến 30/06/2024 theo HD 00000108 ngày 28/06/2024</t>
  </si>
  <si>
    <t>JV236.Phí1</t>
  </si>
  <si>
    <t>Phí quản lý tài khoản, chuyển tiền...TVAM và TVS tháng 6.2024</t>
  </si>
  <si>
    <t>Chi phí khác mua bán CCQ</t>
  </si>
  <si>
    <t>DN2407.TCB553.007</t>
  </si>
  <si>
    <t>DN2407.TCB553.009</t>
  </si>
  <si>
    <t>Thanh toán chi phí dữ liệu văn phòng Google GSUITE theo HĐ 5009803045 ngày 30/06/2024 (USD 11.37)</t>
  </si>
  <si>
    <t>DN2407.TCB553.010</t>
  </si>
  <si>
    <t>Thanh toán chi phí dữ liệu văn phòng Google GSUITEvnsc.vn theo HD 5011618293 ngày 30/06/2024</t>
  </si>
  <si>
    <t>DN2407.TCB553.011</t>
  </si>
  <si>
    <t>Thanh toán chi phí Google Cloud theo bill reference CLOUD vG2566 on Visa  • • • • 0390 ngày 01/07/2024</t>
  </si>
  <si>
    <t>DN2407.TCB553.012</t>
  </si>
  <si>
    <t>Thanh toán chi phí Google Cloud theo bill reference CLOUD ZKwZQ9 on Visa  • • • • 0390 ngày 01/07/2024</t>
  </si>
  <si>
    <t>DN2407.TCB553.013</t>
  </si>
  <si>
    <t>Thanh toán phí dữ liệu MongoDB theo HĐ 665a9844907b3f170f3790ce ngày 01/07/2024</t>
  </si>
  <si>
    <t>DN2407.TCB553.019</t>
  </si>
  <si>
    <t>Thanh toán chi phí ứng dụng OpenAI theo HĐ 90C953D3-0015 ngày 02/07/2024 (USD 132.95)</t>
  </si>
  <si>
    <t>DN2407.TCB553.021</t>
  </si>
  <si>
    <t>Thanh toán phí dữ liệu New Relic theo HĐ INV01074922 ngày 30/06/2024 (USD 225.6)</t>
  </si>
  <si>
    <t>DN2407.TCB553.022</t>
  </si>
  <si>
    <t>Thanh toán chi phí dữ liệu Sendgrid theo HD INV14357556 ngày 01/07/2024 (USD 34.95)</t>
  </si>
  <si>
    <t>DN2407.TCB553.028</t>
  </si>
  <si>
    <t>GD THE QUA POS SO THE 402156...0390 NGAY 07/07/2024 TAI OPENAI *CHATGPT SUBSCR +14158799686 US APPCODE 502739 TID 7N3QWJUF theo HD FC31ACB0-0002 ngày 07/07/2024</t>
  </si>
  <si>
    <t>DN2407.TCB553.030</t>
  </si>
  <si>
    <t>Thanh toán phần mềm Adobe theo HĐ 2812752178 ngày 08/07/2024</t>
  </si>
  <si>
    <t>DN2407.TCB553.031</t>
  </si>
  <si>
    <t>Thanh toán phần mềm Adobe theo HĐ 2812779011 ngày 08/07/2024</t>
  </si>
  <si>
    <t>DN2407.TCB553.032</t>
  </si>
  <si>
    <t>Thanh toán phần mềm Adobe theo HĐ 2812764842 ngày 08/07/2024</t>
  </si>
  <si>
    <t>DN2407.TCB553.033</t>
  </si>
  <si>
    <t>GD THE QUA POS SO THE 402156...0390 NGAY 08/07/2024 TAI COINMARKETCAPPROAPISUB +19179094911 US APPCODE 746341 TID WLOUI9CZ</t>
  </si>
  <si>
    <t>DN2407.TCB553.034</t>
  </si>
  <si>
    <t>Thanh toán Chi phí dữ liệu tại GitHub theo bill ch_3PaLgyJFr6CCHwIi0eAdijLJ ngày 08/07/2024</t>
  </si>
  <si>
    <t>DN2407.TCB553.053</t>
  </si>
  <si>
    <t>GD THE TREN INTERNET SO THE 402156...0390 NGAY 21/06/2024 TAI CLAUDE.AI SUBSCRIPTION +14152360599 US APPCODE 642941 theo HD 69894D14-0001 ngày 18/07/2024</t>
  </si>
  <si>
    <t>DN2407.TCB553.061</t>
  </si>
  <si>
    <t>GD THE QUA POS SO THE 402156...0390 NGAY 21/07/2024 TAI UZR*obdev.at Wien AT APPCODE 496205 TID 99999999 theo HD 914482301 ngày 21/07/2024</t>
  </si>
  <si>
    <t>DN2407.TCB553.062</t>
  </si>
  <si>
    <t>GD THE QUA POS SO THE 402156...0390 NGAY 21/07/2024 TAI CLAUDE.AI SUBSCRIPTION +14152360599 US APPCODE 524721 TID G0A3LMSE theo HD 365BEBCF-0009 ngày 20/07/2024</t>
  </si>
  <si>
    <t>DN2407.TCB553.069</t>
  </si>
  <si>
    <t>GD THE QUA POS SO THE 402156...0390 NGAY 24/07/2024 TAI OPENAI *CHATGPT SUBSCR +14158799686 US APPCODE 978569 TID 7N3QWJUF theo HD 2F673623-0017 ngày 24/07/2024</t>
  </si>
  <si>
    <t>DN2407.TCB553.072</t>
  </si>
  <si>
    <t>Thanh toán phí ứng dụng thiết kế Figma theo bill in_1PgfxbIvcqWR3dFDI7WZmkyI ngày 25/07/2024</t>
  </si>
  <si>
    <t>DN2407.TCB553.074</t>
  </si>
  <si>
    <t>Thanh toán phí ứng dụng và dữ liệu Slack theo HD SBIE-6575692 ngày 26/07/2024</t>
  </si>
  <si>
    <t>DN2407.TCB553.075</t>
  </si>
  <si>
    <t>Thanh toán Chi phí dữ liệu tại GitHub theo ch_3PhEH7JFr6CCHwIi1mH0q5Cp ngày 27/08/2024</t>
  </si>
  <si>
    <t>DN2408.TCB553.002</t>
  </si>
  <si>
    <t>Thanh toán chi phí dữ liệu văn phòng Google GSUITEvnsc.vn theo HD 5033872614 ngày 31/07/2024</t>
  </si>
  <si>
    <t>DN2408.TCB553.004</t>
  </si>
  <si>
    <t>DN2408.TCB553.005</t>
  </si>
  <si>
    <t>Thanh toán chi phí dữ liệu văn phòng Google GSUITE theo HĐ 5034288614 ngày 31/07/2024</t>
  </si>
  <si>
    <t>DN2408.TCB553.006</t>
  </si>
  <si>
    <t>Thanh toán chi phí Google Cloud theo bill reference CLOUD wX62HT on Visa  • • • • 0390 ngày 01/08/2024</t>
  </si>
  <si>
    <t>DN2408.TCB553.007</t>
  </si>
  <si>
    <t>Thanh toán chi phí Google Cloud theo bill reference CLOUD 4SSPKM on Visa  • • • • 0390 ngày 01/08/2024</t>
  </si>
  <si>
    <t>DN2408.TCB553.010</t>
  </si>
  <si>
    <t>Thanh toán phí dữ liệu MongoDB theo HĐ 6682194de775bf7ef95fddc9 ngày 01/08/2024</t>
  </si>
  <si>
    <t>DN2408.TCB553.014</t>
  </si>
  <si>
    <t>Thanh toán phí dữ liệu New Relic theo HĐ INV01094305 ngày 31/07/2024</t>
  </si>
  <si>
    <t>DN2408.TCB553.020</t>
  </si>
  <si>
    <t>Thanh toán chi phí dữ liệu Sendgrid theo HD INV14502114 ngày 01/08/2024</t>
  </si>
  <si>
    <t>DN2408.TCB553.024</t>
  </si>
  <si>
    <t>Thanh toán chi phí ứng dụng OpenAI theo HĐ 90C953D3-0016 ngày 06/08/2024</t>
  </si>
  <si>
    <t>DN2408.TCB553.032</t>
  </si>
  <si>
    <t>Thanh toán phần mềm Adobe theo HD 2840352820 ngày 08/08/2024</t>
  </si>
  <si>
    <t>DN2408.TCB553.033</t>
  </si>
  <si>
    <t>Thanh toán phần mềm Adobe theo HD 2840326543 ngày 08/08/2024</t>
  </si>
  <si>
    <t>DN2408.TCB553.034</t>
  </si>
  <si>
    <t>Thanh toán phần mềm Adobe theo HD 2840341312 ngày 08/08/2024</t>
  </si>
  <si>
    <t>DN2408.TCB553.041</t>
  </si>
  <si>
    <t>GD THE QUA POS SO THE 402156...0390 NGAY 08/08/2024 TAI COINMARKETCAPPROAPISUB +19179094911 US APPCODE 58570 TID WLOUI9CZ theo HD EBB7EC74-0003 ngày 08/08/2024</t>
  </si>
  <si>
    <t>DN2408.TCB553.042</t>
  </si>
  <si>
    <t>Thanh toán Chi phí dữ liệu tại GitHub theo ch_3Pla27JFr6CCHwIi1gSzePaR ngày 08/08/2024</t>
  </si>
  <si>
    <t>DN2408.TCB553.055</t>
  </si>
  <si>
    <t>GD THE QUA POS SO THE 402156...0390 NGAY 16/08/2024 TAI FS *rankmath fsprg.nl NL APPCODE 165919 TID 99999999 theo HD RANKMATH240816-4403-98205 ngày 16/08/2024</t>
  </si>
  <si>
    <t>DN2408.TCB553.068</t>
  </si>
  <si>
    <t>GD THE QUA POS SO THE 402156...0390 NGAY 21/08/2024 TAI CLAUDE.AI SUBSCRIPTION +14152360599 US APPCODE 681008 TID G0A3LMSE theo HD 365BEBCF-0010 ngafy 20/08/2024</t>
  </si>
  <si>
    <t>DN2408.TCB553.080</t>
  </si>
  <si>
    <t>Thanh toán phí ứng dụng thiết kế Figma theo bill in_1PrukkIvcqWR3dFDpHLHGiYs ngày 25/08/2024</t>
  </si>
  <si>
    <t>DN2408.TCB553.082</t>
  </si>
  <si>
    <t>Thanh toán phí ứng dụng và dữ liệu Slack theo HD SBIE-6780483 ngày 26/08/2024</t>
  </si>
  <si>
    <t>DN2408.TCB553.084</t>
  </si>
  <si>
    <t>Thanh toán Chi phí dữ liệu tại GitHub theo bill ch_3PsSjJJFr6CCHwIi1Z4u2yjV ngày 27/08/2024</t>
  </si>
  <si>
    <t>JV2409.002</t>
  </si>
  <si>
    <t>TTKHAC/FHCTCP/0148. Hạch toán hóa đơn chi tiêu, tiếp khách, vé máy bay BOM tháng 08/2024 (bổ sung)</t>
  </si>
  <si>
    <t xml:space="preserve">GD THE QUA POS SO THE 402156...0390 NGAY 07/08/2024 TAI OPENAI *CHATGPT SUBSCR +14158799686 US APPCODE 678771 TID 7N3QWJUF theo HD FC31ACB0-0003 ngày 07/08/2024 </t>
  </si>
  <si>
    <t>GD THE QUA POS SO THE 402156...0390 NGAY 24/08/2024 TAI OPENAI *CHATGPT SUBSCR +14158799686 US APPCODE 238650 TID 7N3QWJUF theo HD 2F673623-0018 ngày 24/08/2024</t>
  </si>
  <si>
    <t>GD THE QUA POS SO THE 402156...0390 NGAY 31/08/2024 TAI FS *rankmath fsprg.nl NL APPCODE 591112 TID 99999999 theo HD RANKMATH240831-6953-15507B ngày 31/08/2024</t>
  </si>
  <si>
    <t xml:space="preserve">GD THE QUA POS SO THE 402156...0390 NGAY 18/08/2024 TAI CLAUDE.AI SUBSCRIPTION +14152360599 US APPCODE 649568 TID G0A3LMSE theo HD 69894D14-0002 ngày 18/08/2024 </t>
  </si>
  <si>
    <t>Chi phí ăn uống tiếp khách theo HD 00002809 ngày 26/08/2024</t>
  </si>
  <si>
    <t>0200578327-006</t>
  </si>
  <si>
    <t>CHI NHÁNH CÔNG TY TNHH NHẬT HẠ - KHÁCH SẠN PULLMAN HẢI PHÒNG GRAND</t>
  </si>
  <si>
    <t>DN2409.TCB553.003</t>
  </si>
  <si>
    <t>Thanh toán chi phí dữ liệu văn phòng Google GSUITEvnsc.vn theo HD 5051728071 ngày 31/08/2024</t>
  </si>
  <si>
    <t>DN2409.TCB553.005</t>
  </si>
  <si>
    <t>Thanh toán chi phí dữ liệu văn phòng Google GSUITE theo HĐ 5051196279 ngày 31/08/2024</t>
  </si>
  <si>
    <t>DN2409.TCB553.006</t>
  </si>
  <si>
    <t>DN2409.TCB553.007</t>
  </si>
  <si>
    <t>Thanh toán chi phí Google Cloud theo bill reference CLOUD 6LDwZJ on Visa  • • • • 0390 ngày 01/09/2024</t>
  </si>
  <si>
    <t>DN2409.TCB553.008</t>
  </si>
  <si>
    <t>Thanh toán chi phí Google Cloud theo bill reference CLOUD HNVvB9 on Visa  • • • • 0390 ngày 01/09/2024</t>
  </si>
  <si>
    <t>DN2409.TCB553.009</t>
  </si>
  <si>
    <t>Thanh toán phí dữ liệu MongoDB theo HĐ 66aaf5e3d64f6858868d925e ngày 01/09/2024</t>
  </si>
  <si>
    <t>DN2409.TCB553.013</t>
  </si>
  <si>
    <t>GD THE QUA POS SO THE 402156...0390 NGAY 05/09/2024 TAI OPENAI +14158799686 US APPCODE 908938 TID 7N3QWJUF theo HD 1B6C8CE6-0003 ngày 04/09/2024</t>
  </si>
  <si>
    <t>DN2409.TCB553.014</t>
  </si>
  <si>
    <t>Thanh toán chi phí dữ liệu Sendgrid theo HD INV14669580 ngày 01/09/2024</t>
  </si>
  <si>
    <t>DN2409.TCB553.015</t>
  </si>
  <si>
    <t>Thanh toán chi phí ứng dụng OpenAI theo HĐ 90C953D3-0017 ngày 04/09/2024</t>
  </si>
  <si>
    <t>DN2409.TCB553.016</t>
  </si>
  <si>
    <t>Thanh toán phí dữ liệu New Relic theo HĐ INV01113240 ngày 31/08/2024</t>
  </si>
  <si>
    <t>DN2409.TCB553.017</t>
  </si>
  <si>
    <t>Thanh toán phần mềm nghiên cứu USEBERRY theo INV2C-19072 ngày 05/09/2024</t>
  </si>
  <si>
    <t>USEBERRY</t>
  </si>
  <si>
    <t>DN2409.TCB553.025</t>
  </si>
  <si>
    <t>GD THE QUA POS SO THE 402156...0390 NGAY 07/09/2024 TAI OPENAI *CHATGPT SUBSCR +14158799686 US APPCODE 961931 TID 7N3QWJUF theo HD FC31ACB0-0004 ngày 07/09/2024</t>
  </si>
  <si>
    <t>DN2409.TCB553.026</t>
  </si>
  <si>
    <t>Thanh toán phần mềm Adobe theo HD 2867996320 ngày 08/09/2024</t>
  </si>
  <si>
    <t>DN2409.TCB553.027</t>
  </si>
  <si>
    <t>Thanh toán phần mềm Adobe theo HD 2868004700 ngày 08/09/2024</t>
  </si>
  <si>
    <t>DN2409.TCB553.028</t>
  </si>
  <si>
    <t>Thanh toán phần mềm Adobe theo HD 2867993874 ngày 08/09/2024</t>
  </si>
  <si>
    <t>DN2409.TCB553.030</t>
  </si>
  <si>
    <t>GD THE QUA POS SO THE 402156...0390 NGAY 08/08/2024 TAI COINMARKETCAPPROAPISUB +19179094911 US APPCODE 58570 TID WLOUI9CZ theo HD EBB7EC74-0004 ngày 08/08/2024</t>
  </si>
  <si>
    <t>DN2409.TCB553.031</t>
  </si>
  <si>
    <t>Thanh toán Chi phí dữ liệu tại GitHub theo bill ch_3PwoPpJFr6CCHwIi1I92Q8lv ngày 08/09/2024</t>
  </si>
  <si>
    <t>DN2409.TCB553.033</t>
  </si>
  <si>
    <t>GD THE QUA POS SO THE 402156...0390 NGAY 09/09/2024 TAI REPLIT, INC. +16282002281 US APPCODE 759817 TID TC9IR2PV theo HD 8726DD0F-0001 ngày 09/09/2024</t>
  </si>
  <si>
    <t>DN2409.TCB553.044</t>
  </si>
  <si>
    <t>GD THE QUA POS SO THE 402156...0390 NGAY 11/09/2024 TAI RIVE PRO PLAN +14152540388 US APPCODE 237467 TID DGZT89NF</t>
  </si>
  <si>
    <t>DN2409.TCB553.065</t>
  </si>
  <si>
    <t>GD THE QUA POS SO THE 402156...0390 NGAY 18/09/2024 TAI CLAUDE.AI SUBSCRIPTION +14152360599 US APPCODE 790367 TID G0A3LMSE theo HD 69894D14-0003 ngày 18/09/2024</t>
  </si>
  <si>
    <t>DN2409.TCB553.066</t>
  </si>
  <si>
    <t>GD THE QUA POS SO THE 402156...0390 NGAY 18/09/2024 TAI POSTMAN PROFESSIONAL +14157966470 US APPCODE 861000 TID I3WISW7I theo HD #S4JT5Y6EBD8T-0013 ngày 18/09/2024</t>
  </si>
  <si>
    <t>DN2409.TCB553.090</t>
  </si>
  <si>
    <t>GD THE QUA POS SO THE 402156...0390 NGAY 21/09/2024 TAI CLAUDE.AI SUBSCRIPTION +14152360599 US APPCODE 866694 TID G0A3LMSE theo HD 365BEBCF-0011 ngày 20/09/2024</t>
  </si>
  <si>
    <t>DN2409.TCB553.104</t>
  </si>
  <si>
    <t>GD THE QUA POS SO THE 402156...0390 NGAY 25/09/2024 TAI MeisterLabs Vaterstetten DE APPCODE 35133 TID 32621583 theo HD 116764419 - 4883448 ngày 25/09/2024</t>
  </si>
  <si>
    <t>DN2409.TCB553.107</t>
  </si>
  <si>
    <t>Thanh toán phí ứng dụng thiết kế Figma theo bill in_1Q39W4IvcqWR3dFDkVBbWnzo ngày 25/08/2024</t>
  </si>
  <si>
    <t>DN2409.TCB553.109</t>
  </si>
  <si>
    <t>Thanh toán phí ứng dụng và dữ liệu Slack theo HD SBIE-6989211 ngày 26/09/2024</t>
  </si>
  <si>
    <t>DN2409.TCB553.120</t>
  </si>
  <si>
    <t>Thanh toán Chi phí dữ liệu tại GitHub theo bill ch_3Q3iFnJFr6CCHwIi13Mj2FKJ ngày 27/09/2024</t>
  </si>
  <si>
    <t>DN2409.TCB553.127</t>
  </si>
  <si>
    <t>GD THE QUA POS SO THE 402156...0390 NGAY 30/09/2024 TAI Norton *NP2102825530 - SG APPCODE 717972 TID 99999999 theo HD NP2102825530 ngày 30/09/2024</t>
  </si>
  <si>
    <t>DN2410.TCB553.002</t>
  </si>
  <si>
    <t>Thanh toán Chi phí dữ liệu tại GitHub theo bill ch_3Q4zrdJFr6CCHwIi1xZ9FOcp ngày 30/09/2024</t>
  </si>
  <si>
    <t>DN2410.TCB553.004</t>
  </si>
  <si>
    <t>GD THE QUA POS SO THE 402156...0390 NGAY 01/10/2024 TAI OPENAI +14158799686 US APPCODE 855912 TID 7N3QWJUF theo HD 1B6C8CE6-0004 ngày 01/10/2024</t>
  </si>
  <si>
    <t>DN2410.TCB553.006</t>
  </si>
  <si>
    <t>Thanh toán chi phí dữ liệu văn phòng Google GSUITEvnsc.vn theo HD 5075712648 ngày 30/09/2024</t>
  </si>
  <si>
    <t>DN2410.TCB553.007</t>
  </si>
  <si>
    <t>Thanh toán chi phí dữ liệu văn phòng Google GSUITE theo HĐ 5073663619 ngày 30/09/2024</t>
  </si>
  <si>
    <t>DN2410.TCB553.009</t>
  </si>
  <si>
    <t>DN2410.TCB553.010</t>
  </si>
  <si>
    <t>Thanh toán chi phí Google Cloud theo bill reference CLOUD PzSRDL on Visa  • • • • 0390 ngày 01/10/2024</t>
  </si>
  <si>
    <t>DN2410.TCB553.011</t>
  </si>
  <si>
    <t>DN2410.TCB553.013</t>
  </si>
  <si>
    <t>Thanh toán phí dữ liệu MongoDB theo HĐ 66d3da7dd0283542c975e8ee ngày 01/10/2024</t>
  </si>
  <si>
    <t>DN2410.TCB553.022</t>
  </si>
  <si>
    <t>Thanh toán chi phí dữ liệu Sendgrid theo HD INV14850804 ngày 01/10/2024</t>
  </si>
  <si>
    <t>DN2410.TCB553.028</t>
  </si>
  <si>
    <t>Thanh toán phần mềm nghiên cứu USEBERRY theo INV2C-19634 ngày 05/10/2024</t>
  </si>
  <si>
    <t>DN2410.TCB553.029</t>
  </si>
  <si>
    <t>GD THE TREN INTERNET SO THE 402156...0390 NGAY 05/10/2024 TAI GlobalE /Ledger Tokyo JP APPCODE 138783 theo bill #LDG2863113. ngày 07/10/2024</t>
  </si>
  <si>
    <t>DN2410.TCB553.031</t>
  </si>
  <si>
    <t>GD THE QUA POS SO THE 402156...0390 NGAY 06/10/2024 TAI Norton *NP2102975287 - SG APPCODE 674098 TID 99999999 theo HD NP2102975287 ngày 06/10/2024</t>
  </si>
  <si>
    <t>DN2410.TCB553.034</t>
  </si>
  <si>
    <t>GD THE QUA POS SO THE 402156...0390 NGAY 07/10/2024 TAI OPENAI *CHATGPT SUBSCR +14158799686 US APPCODE 424100 TID 7N3QWJUF theo HD FC31ACB0-0006 ngày 07/11/2024</t>
  </si>
  <si>
    <t>DN2410.TCB553.035</t>
  </si>
  <si>
    <t>Thanh toán phần mềm Adobe theo HD 2895932789 ngày 08/10/2024</t>
  </si>
  <si>
    <t>DN2410.TCB553.036</t>
  </si>
  <si>
    <t>Thanh toán phần mềm Adobe theo HD 2895933445 ngày 08/10/2024</t>
  </si>
  <si>
    <t>DN2410.TCB553.037</t>
  </si>
  <si>
    <t>Thanh toán phần mềm Adobe theo HD 2895902843 ngày 08/10/2024</t>
  </si>
  <si>
    <t>DN2410.TCB553.042</t>
  </si>
  <si>
    <t>GD THE QUA POS SO THE 402156...0390 NGAY 08/10/2024 TAI COINMARKETCAPPROAPISUB +19179094911 US APPCODE 511740 TID WLOUI9CZ theo HD EBB7EC74-0005 ngày 08/10/2024</t>
  </si>
  <si>
    <t>DN2410.TCB553.043</t>
  </si>
  <si>
    <t>Thanh toán Chi phí dữ liệu tại GitHub theo bill ch_3Q7hQVJFr6CCHwIi1j0VNr32 ngày 08/10/2024</t>
  </si>
  <si>
    <t>DN2410.TCB553.045</t>
  </si>
  <si>
    <t>Thanh toán phí dữ liệu New Relic theo HĐ INV01135001 ngày 30/09/2024</t>
  </si>
  <si>
    <t>DN2410.TCB553.049</t>
  </si>
  <si>
    <t>Thanh toán chi phí ứng dụng OpenAI theo HĐ 90C953D3-0018 ngày 10/10/2024</t>
  </si>
  <si>
    <t>DN2410.TCB553.070</t>
  </si>
  <si>
    <t>TT-FHCTCP/1496 - Thanh toán chi phí mua phụ kiện Hacom theo HĐ 00005112 ngày 19/09/2024</t>
  </si>
  <si>
    <t>0101161194</t>
  </si>
  <si>
    <t>CÔNG TY CỔ PHẦN ĐẦU TƯ CÔNG NGHỆ HACOM</t>
  </si>
  <si>
    <t>DN2410.TCB553.073</t>
  </si>
  <si>
    <t>GD THE QUA POS SO THE 402156...0390 NGAY 18/10/2024 TAI CLAUDE.AI SUBSCRIPTION +14152360599 US APPCODE 379837 TID G0A3LMSE theo HD 69894D14-0004 ngày 18/10/2024</t>
  </si>
  <si>
    <t>DN2410.TCB553.187</t>
  </si>
  <si>
    <t>GD THE QUA POS SO THE 402156...0390 NGAY 20/10/2024 TAI Google One 650-2530000 US APPCODE 598945 TID 99999999 theo bill SOP.3342-3284-3848-66750 ngày 20/10/2024</t>
  </si>
  <si>
    <t>DN2410.TCB553.191</t>
  </si>
  <si>
    <t>GD THE QUA POS SO THE 402156...0390 NGAY 21/10/2024 TAI 1PASSWORD* TRIAL OVER +18668127277 CA APPCODE 446867 TID O02GSVES theo HD SOP.3342-3284-3848-66750 ngày 21/10/2024</t>
  </si>
  <si>
    <t>DN2410.TCB553.192</t>
  </si>
  <si>
    <t>GD THE QUA POS SO THE 402156...0390 NGAY 21/10/2024 TAI CLAUDE.AI SUBSCRIPTION +14152360599 US APPCODE 484933 TID G0A3LMSE theo HD 365BEBCF-0012 ngày 20/10/2024</t>
  </si>
  <si>
    <t>DN2410.TCB553.208</t>
  </si>
  <si>
    <t>Thanh toán phí ứng dụng thiết kế Figma theo bill in_1QE1oUIvcqWR3dFDDEa3hPoG ngày 25/10/2024</t>
  </si>
  <si>
    <t>DN2410.TCB553.209</t>
  </si>
  <si>
    <t>Thanh toán phí ứng dụng và dữ liệu Slack theo HD SBIE-7199236 ngày 26/10/2024</t>
  </si>
  <si>
    <t>DN2410.TCB553.214</t>
  </si>
  <si>
    <t>Thanh toán Chi phí dữ liệu tại GitHub theo bill ch_3QEZhQJFr6CCHwIi1Qd0nODh ngày 27/10/2024</t>
  </si>
  <si>
    <t>JV2410.017</t>
  </si>
  <si>
    <t>Hạch toán VAT đầu ra hóa đơn quà tặng tính đến 31/10/2024 theo HD 00000181 ngày 31/10/2024</t>
  </si>
  <si>
    <t>DN2411.TCB553.004</t>
  </si>
  <si>
    <t>DN2411.TCB553.005</t>
  </si>
  <si>
    <t>Thanh toán chi phí dữ liệu văn phòng Google GSUITEvnsc.vn theo HD 5099706957 ngày 31/10/2024</t>
  </si>
  <si>
    <t>DN2411.TCB553.007</t>
  </si>
  <si>
    <t>Thanh toán chi phí dữ liệu văn phòng Google GSUITE theo HĐ 5098184307 ngày 31/10/2024</t>
  </si>
  <si>
    <t>DN2411.TCB553.008</t>
  </si>
  <si>
    <t>Thanh toán chi phí Google Cloud theo bill reference CLOUD CzQBG6 on Visa  • • • • 0390 ngày 01/11/2024</t>
  </si>
  <si>
    <t>DN2411.TCB553.009</t>
  </si>
  <si>
    <t>DN2411.TCB553.010</t>
  </si>
  <si>
    <t>Thanh toán phí dữ liệu MongoDB theo HĐ 66fb59e079b56205f92159ea ngày 01/10/2024</t>
  </si>
  <si>
    <t>DN2411.TCB553.018</t>
  </si>
  <si>
    <t>Thanh toán phí dữ liệu New Relic theo HĐ INV01156207 ngày 31/10/2024</t>
  </si>
  <si>
    <t>DN2411.TCB553.020</t>
  </si>
  <si>
    <t>Thanh toán phần mềm nghiên cứu USEBERRY theo INV2C-20182 ngày 05/11/2024</t>
  </si>
  <si>
    <t>DN2411.TCB553.024</t>
  </si>
  <si>
    <t>Thanh toán chi phí dữ liệu Sendgrid theo HD INV15026563 ngày 01/11/2024</t>
  </si>
  <si>
    <t>DN2411.TCB553.025</t>
  </si>
  <si>
    <t>Thanh toán chi phí ứng dụng OpenAI theo HĐ 90C953D3-0019 ngày 05/11/2024</t>
  </si>
  <si>
    <t>DN2411.TCB553.027</t>
  </si>
  <si>
    <t>Thanh toán chi phí ứng dụng OpenAI theo HĐ FC31ACB0-0006 ngày 07/11/2024</t>
  </si>
  <si>
    <t>DN2411.TCB553.030</t>
  </si>
  <si>
    <t>Thanh toán phần mềm Adobe theo HĐ 2924014625 ngày 08/11/2024</t>
  </si>
  <si>
    <t>DN2411.TCB553.031</t>
  </si>
  <si>
    <t>Thanh toán phần mềm Adobe theo HĐ 2924035476 ngày 08/11/2024</t>
  </si>
  <si>
    <t>DN2411.TCB553.103</t>
  </si>
  <si>
    <t>Thanh toán chi phí ứng dụng OpenAI theo HĐ 1B6C8CE6-0005 ngày 07/11/2024</t>
  </si>
  <si>
    <t>DN2411.TCB553.032</t>
  </si>
  <si>
    <t>Thanh toán phần mềm Adobe theo HĐ 2924015699 ngày 08/11/2024</t>
  </si>
  <si>
    <t>DN2411.TCB553.033</t>
  </si>
  <si>
    <t>Thanh toán phần mềm Coinmarket theo HD EBB7EC74-0006 ngày 08/11/2024</t>
  </si>
  <si>
    <t>DN2411.TCB553.034</t>
  </si>
  <si>
    <t>Thanh toán Chi phí dữ liệu tại GitHub theo bill ch_3QIwNqJFr6CCHwIi1R48Y2hE ngày 08/11/2024</t>
  </si>
  <si>
    <t>DN2411.TCB553.049</t>
  </si>
  <si>
    <t>GD THE TREN INTERNET SO THE 402156...0390 NGAY 12/11/2024 TAI APPLE.COM/US 800-676-2775 US APPCODE 72537 theo HĐ MB33800890 ngày 12/11/2024</t>
  </si>
  <si>
    <t>DN2411.TCB553.060</t>
  </si>
  <si>
    <t>Thanh toán chi phí ứng dụng OpenAI theo HĐ 90C953D3-0021 ngày 17/11/2024</t>
  </si>
  <si>
    <t>DN2411.TCB553.061</t>
  </si>
  <si>
    <t>Thanh toán phí ứng dụng Claude AI theo HĐ 365BEBCF-0012 ngày 20/10/2024</t>
  </si>
  <si>
    <t>DN2411.TCB553.072</t>
  </si>
  <si>
    <t>Thanh toán phí ứng dụng Claude AI theo HĐ 365BEBCF-0013 ngày 20/11/2024</t>
  </si>
  <si>
    <t>DN2411.TCB553.073</t>
  </si>
  <si>
    <t>TT-FHCTCP/1532 - Thanh toán kinh phí khóa học CPIA của CBNV Vũ Phi Long theo HĐ 00000093 ngày 18/11/2024</t>
  </si>
  <si>
    <t>0103824898</t>
  </si>
  <si>
    <t>CÔNG TY TNHH TƯ VẤN AFA RESEARCH &amp; EDUCATION</t>
  </si>
  <si>
    <t>DN2411.TCB553.074</t>
  </si>
  <si>
    <t>TT-FHCTCP/1535 - Thanh toán chi phí tập huấn nghiệp vụ khóa 41 của Sở giao dịch hàng hóa cho Vũ Thị Thanh Vân và Nguyễn Phương Thảo theo HĐ 825 ngày 21/11/2024</t>
  </si>
  <si>
    <t>0310140180</t>
  </si>
  <si>
    <t>CÔNG TY CỔ PHẦN GIAO DỊCH HÀNG HÓA VIỆT NAM</t>
  </si>
  <si>
    <t>DN2411.TCB553.082</t>
  </si>
  <si>
    <t>Thanh toán phí ứng dụng thiết kế Figma theo bill in_1QPGasIvcqWR3dFD8ts6Gjn4 ngày 25/11/2024</t>
  </si>
  <si>
    <t>DN2411.TCB553.083</t>
  </si>
  <si>
    <t>Thanh toán phí ứng dụng và dữ liệu Slack theo HD SBIE7403660 ngày 26/11/2024</t>
  </si>
  <si>
    <t>DN2411.TCB553.085</t>
  </si>
  <si>
    <t>Thanh toán Chi phí dữ liệu tại GitHub theo bill ch_3QPpFtJFr6CCHwIi0TlrrRtY ngày 27/11/2024</t>
  </si>
  <si>
    <t>DN2411.TCB553.099</t>
  </si>
  <si>
    <t>Thanh toán gói KREA Pro từ 29/11/2024 đến 29/11/2025</t>
  </si>
  <si>
    <t>DN2412.TCB553.002</t>
  </si>
  <si>
    <t>DN2412.TCB553.004</t>
  </si>
  <si>
    <t>Thanh toán chi phí dữ liệu văn phòng Google GSUITE vnsc.vn theo HĐ 5123200748 ngày 30/11/2024</t>
  </si>
  <si>
    <t>DN2412.TCB553.006</t>
  </si>
  <si>
    <t>Thanh toán chi phí Google Cloud theo bill reference CLOUD CZ537T on Visa  • • • • 0390 ngày 01/12/2024 (USD 851.75)</t>
  </si>
  <si>
    <t>DN2412.TCB553.007</t>
  </si>
  <si>
    <t>Thanh toán chi phí Google Cloud theo bill reference CLOUD ZPSWJX on Visa  • • • • 0390 ngày 01/12/2024</t>
  </si>
  <si>
    <t>DN2412.TCB553.009</t>
  </si>
  <si>
    <t>Thanh toán phí dữ liệu MongoDB theo HĐ 67243659d553240f0f0812cb ngày 01/12/2024</t>
  </si>
  <si>
    <t>IE9793087U</t>
  </si>
  <si>
    <t>MongoDB Cloud - Phí dữ liệu</t>
  </si>
  <si>
    <t>DN2412.TCB553.010</t>
  </si>
  <si>
    <t>Thanh toán phí dữ liệu MongoDB theo HĐ 672450cbd553240f0f1d9f58 ngày 01/12/2024</t>
  </si>
  <si>
    <t>DN2412.TCB553.014</t>
  </si>
  <si>
    <t>Thanh toán phí dữ liệu New Relic theo HĐ INV01174521 ngày 30/11/2024 (USD 58.45)</t>
  </si>
  <si>
    <t>DN2412.TCB553.024</t>
  </si>
  <si>
    <t>Thanh toán chi phí dữ liệu Sendgrid theo HĐ INV15193380 ngày 01/12/2024 (USD 34.95)</t>
  </si>
  <si>
    <t xml:space="preserve"> SENDGRID</t>
  </si>
  <si>
    <t xml:space="preserve">Phần mền quảng cáo SENDGRID TWILIO </t>
  </si>
  <si>
    <t>DN2412.TCB553.048</t>
  </si>
  <si>
    <t>Thanh toán dịch vụ ChatGPT từ 06/12/2024 đến 06/01/2025 theo HĐ FC31ACB0-0007 ngày 07/12/2024</t>
  </si>
  <si>
    <t>OpenAI-US</t>
  </si>
  <si>
    <t>OpenAI, LLC</t>
  </si>
  <si>
    <t>DN2412.TCB553.051</t>
  </si>
  <si>
    <t>Thanh toán phần mềm Adobe theo HĐ 2952292926 ngày 08/12/2024</t>
  </si>
  <si>
    <t>DN2412.TCB553.052</t>
  </si>
  <si>
    <t>Thanh toán phần mềm Adobe theo HĐ 2952263712 ngày 08/12/2024</t>
  </si>
  <si>
    <t>DN2412.TCB553.053</t>
  </si>
  <si>
    <t>Thanh toán phần mềm Adobe theo HĐ 2952272700 ngày 08/12/2024</t>
  </si>
  <si>
    <t>DN2412.TCB553.054</t>
  </si>
  <si>
    <t>Thanh toán phần mềm Coinmarket theo HD EBB7EC74-0007 ngày 08/12/2024</t>
  </si>
  <si>
    <t>CoinMarket</t>
  </si>
  <si>
    <t>CoinMarketCap</t>
  </si>
  <si>
    <t>DN2412.TCB553.055</t>
  </si>
  <si>
    <t>Thanh toán Chi phí dữ liệu tại GitHub theo bill ch_3QTopPJFr6CCHwIi1b0pFTBm ngày 08/12/2024</t>
  </si>
  <si>
    <t>DN2412.TCB553.085</t>
  </si>
  <si>
    <t>Thanh toán phí ứng dụng Claude AI từ 17/12/2024 đến 17/01/2024 theo HĐ số 69894D14-006 ngày 18/12/2024</t>
  </si>
  <si>
    <t>Anthropic (Claude Pro)</t>
  </si>
  <si>
    <t>DN2412.TCB553.094</t>
  </si>
  <si>
    <t>Thanh toán phí ứng dụng Claude AI theo HĐ 365BEBCF-0014 ngày 20/12/2024</t>
  </si>
  <si>
    <t>DN2412.TCB553.164</t>
  </si>
  <si>
    <t>Thanh toán phí ứng dụng thiết kế Figma theo HĐ 020BF87F-0050 ngày 26/12/2024</t>
  </si>
  <si>
    <t>DN2412.TCB553.169</t>
  </si>
  <si>
    <t>Thanh toán phí ứng dụng và dữ liệu Slack theo HD SBIE-7615824 ngày 26/12/2024</t>
  </si>
  <si>
    <t>DN2412.TCB553.171</t>
  </si>
  <si>
    <t>Thanh toán Chi phí dữ liệu tại GitHub theo bill ch_3QahTuJFr6CCHwIi1D0Fs2wa ngày 27/12/2024</t>
  </si>
  <si>
    <t>JV2412.012</t>
  </si>
  <si>
    <t>Điều chỉnh công nợ cuối kỳ</t>
  </si>
  <si>
    <t>0110615567</t>
  </si>
  <si>
    <t>CÔNG TY TNHH OK FOODS</t>
  </si>
  <si>
    <t>JV2412.042</t>
  </si>
  <si>
    <t>Hạch toán hóa đơn chi tiêu, tiếp khách, vé máy bay BOM tháng 12/2024 (collect lần 2)</t>
  </si>
  <si>
    <t>Khám sức khỏe tổng quát theo HĐ 7056 ngày 17/12/2024</t>
  </si>
  <si>
    <t>JV2412.027</t>
  </si>
  <si>
    <t>Hạch toán hóa đơn chi tiêu, tiếp khách, vé máy bay BOM tháng 12/2024</t>
  </si>
  <si>
    <t>Chi phí công tác theo theo HĐ 22458826670563616 ngày 02/12/2024 (AUD 694.53)</t>
  </si>
  <si>
    <t>Chi phí công tác theo HĐ 48416980992045528 ngày 03/12/2024 (AUD 380.33)</t>
  </si>
  <si>
    <t>Chi phí ăn uống tiếp khách theo HĐ 84724680314914128 ngày 04/12/2024 (AUD 385.90)</t>
  </si>
  <si>
    <t>Chi phí công tác theo HĐ 2191260270 ngày 05/12/2024 (AUD 891.30)</t>
  </si>
  <si>
    <t>Q06V8H603YCWH29ZW5ASP7KE552KHA57RJM517AX7G725ANTXE1G</t>
  </si>
  <si>
    <t>Hai Quang Le</t>
  </si>
  <si>
    <t>PGACCAP81S8P2Z9XJAE3J3PVJEV6VWDCE9JR718D6QKVKCPFHRXG</t>
  </si>
  <si>
    <t>Vu Long Nguyen</t>
  </si>
  <si>
    <t>ZNQQVC53YS6AKPJP96RM7Z59HV7GB8ABJTHTA0CTDZCRMQGQPBGG</t>
  </si>
  <si>
    <t>Dung T Nguyen</t>
  </si>
  <si>
    <t>Q82R9J8CNT28SY2P8Q0SV0D2DXKCJBSQKB146J9DBKV15FB1D0TG</t>
  </si>
  <si>
    <t>Mai Ngoc Ngo</t>
  </si>
  <si>
    <t>Create</t>
  </si>
  <si>
    <t>31a731b5-5203-4bb1-bbce-140e8ec6e95a</t>
  </si>
  <si>
    <t>{"id":"31a731b5-5203-4bb1-bbce-140e8ec6e95a","type":1,"name":"workbookId","value":"ad94d6c3-4f02-4ea6-8029-3e61633248bb"}</t>
  </si>
  <si>
    <t>dc1768da-c963-465c-8fbb-dd35778ea9e6</t>
  </si>
  <si>
    <t>{"id":"dc1768da-c963-465c-8fbb-dd35778ea9e6","type":0,"name":"dataSnipperSheetDeleted","value":"false"}</t>
  </si>
  <si>
    <t>7c7fc4d0-5cc4-47ac-bcec-51bcea24b7b2</t>
  </si>
  <si>
    <t>{"id":"7c7fc4d0-5cc4-47ac-bcec-51bcea24b7b2","type":0,"name":"embed-documents","value":"false"}</t>
  </si>
  <si>
    <t>844b2611-4bbd-4ac3-ae38-162c456e5ea4</t>
  </si>
  <si>
    <t>{"id":"844b2611-4bbd-4ac3-ae38-162c456e5ea4","type":0,"name":"table-snip-suggestions","value":"true"}</t>
  </si>
  <si>
    <t>37850d78-4433-4a8c-b12d-29f50dcfab6c</t>
  </si>
  <si>
    <t>{"id":"37850d78-4433-4a8c-b12d-29f50dcfab6c","type":1,"name":"migratedFssProjectId","value":""}</t>
  </si>
  <si>
    <t>Update</t>
  </si>
  <si>
    <t>{"id":"31a731b5-5203-4bb1-bbce-140e8ec6e95a","type":1,"name":"workbookId","value":"eb7afcae-913b-48f8-a383-2b0c64564d97"}</t>
  </si>
  <si>
    <t>{"id":"7c7fc4d0-5cc4-47ac-bcec-51bcea24b7b2","type":0,"name":"embed-documents","value":"true"}</t>
  </si>
  <si>
    <t>BB21VV4F95YSTKXEFSVHBMNXE1E0RX3907XF2JSW510DRPWFP48G</t>
  </si>
  <si>
    <t>Nguyen K 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</si>
</sst>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4">
    <numFmt numFmtId="5" formatCode="&quot;$&quot;#,##0_);\(&quot;$&quot;#,##0\)"/>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quot;£&quot;* #,##0.00_-;\-&quot;£&quot;* #,##0.00_-;_-&quot;£&quot;* &quot;-&quot;??_-;_-@_-"/>
    <numFmt numFmtId="166" formatCode="_-* #,##0.00_-;\-* #,##0.00_-;_-* &quot;-&quot;??_-;_-@_-"/>
    <numFmt numFmtId="167" formatCode="&quot;$&quot;#,##0;[Red]\-&quot;$&quot;#,##0"/>
    <numFmt numFmtId="168" formatCode="_-&quot;$&quot;* #,##0_-;\-&quot;$&quot;* #,##0_-;_-&quot;$&quot;* &quot;-&quot;_-;_-@_-"/>
    <numFmt numFmtId="169" formatCode="_-&quot;$&quot;* #,##0.00_-;\-&quot;$&quot;* #,##0.00_-;_-&quot;$&quot;* &quot;-&quot;??_-;_-@_-"/>
    <numFmt numFmtId="170" formatCode="dd\ mmm\ yyyy"/>
    <numFmt numFmtId="171" formatCode="#,##0;\(#,##0\);"/>
    <numFmt numFmtId="172" formatCode="_(* #,##0_);_(* \(#,##0\);_(* &quot;-&quot;??_);_(@_)"/>
    <numFmt numFmtId="173" formatCode="_(* #,##0.0_);_(* \(#,##0.0\);_(* &quot;-&quot;??_);_(@_)"/>
    <numFmt numFmtId="174" formatCode="_(* #,##0.0_);_(* \(#,##0.0\);_(* &quot;-&quot;?_);_(@_)"/>
    <numFmt numFmtId="175" formatCode="_-* #,##0.00\ _₫_-;\-* #,##0.00\ _₫_-;_-* &quot;-&quot;??\ _₫_-;_-@_-"/>
    <numFmt numFmtId="176" formatCode="dd\/mm\/yy"/>
    <numFmt numFmtId="177" formatCode="_-* #,##0.00\ _դ_ր_._-;\-* #,##0.00\ _դ_ր_._-;_-* &quot;-&quot;??\ _դ_ր_._-;_-@_-"/>
    <numFmt numFmtId="178" formatCode="_-* #,##0.00\ _?_?_._-;\-* #,##0.00\ _?_?_._-;_-* &quot;-&quot;??\ _?_?_._-;_-@_-"/>
    <numFmt numFmtId="179" formatCode="[$SGD]\ #,##0.00_);[Red]\([$SGD]\ #,##0.00\)"/>
    <numFmt numFmtId="180" formatCode="#,##0.0###"/>
    <numFmt numFmtId="181" formatCode="_-* #,##0_-;\-* #,##0_-;_-* &quot;-&quot;??_-;_-@"/>
    <numFmt numFmtId="182" formatCode="_-* #,##0_-;\-* #,##0_-;_-* &quot;-&quot;??_-;_-@_-"/>
    <numFmt numFmtId="183" formatCode="[$-409]d\-mmm\-yy;@"/>
    <numFmt numFmtId="184" formatCode="\(\ \ \)"/>
    <numFmt numFmtId="185" formatCode="\(\1\ \)"/>
    <numFmt numFmtId="186" formatCode="00.000"/>
    <numFmt numFmtId="187" formatCode="&quot;?&quot;#,##0;&quot;?&quot;\-#,##0"/>
    <numFmt numFmtId="188" formatCode="_ &quot;\&quot;* #,##0_ ;_ &quot;\&quot;* \-#,##0_ ;_ &quot;\&quot;* &quot;-&quot;_ ;_ @_ "/>
    <numFmt numFmtId="189" formatCode="_ &quot;\&quot;* #,##0.00_ ;_ &quot;\&quot;* \-#,##0.00_ ;_ &quot;\&quot;* &quot;-&quot;??_ ;_ @_ "/>
    <numFmt numFmtId="190" formatCode="_ * #,##0_ ;_ * \-#,##0_ ;_ * &quot;-&quot;_ ;_ @_ "/>
    <numFmt numFmtId="191" formatCode="_ * #,##0.00_ ;_ * \-#,##0.00_ ;_ * &quot;-&quot;??_ ;_ @_ "/>
    <numFmt numFmtId="192" formatCode="#,##0.0_);\(#,##0.0\)"/>
    <numFmt numFmtId="193" formatCode="_(* #,##0.0000_);_(* \(#,##0.0000\);_(* &quot;-&quot;??_);_(@_)"/>
    <numFmt numFmtId="194" formatCode="0.0%;[Red]\(0.0%\)"/>
    <numFmt numFmtId="195" formatCode="_ * #,##0.00_)&quot;£&quot;_ ;_ * \(#,##0.00\)&quot;£&quot;_ ;_ * &quot;-&quot;??_)&quot;£&quot;_ ;_ @_ "/>
    <numFmt numFmtId="196" formatCode="0.0%;\(0.0%\)"/>
    <numFmt numFmtId="197" formatCode="#,##0_)_%;\(#,##0\)_%;"/>
    <numFmt numFmtId="198" formatCode="_._.* #,##0.0_)_%;_._.* \(#,##0.0\)_%"/>
    <numFmt numFmtId="199" formatCode="#,##0.0_)_%;\(#,##0.0\)_%;\ \ .0_)_%"/>
    <numFmt numFmtId="200" formatCode="_._.* #,##0.00_)_%;_._.* \(#,##0.00\)_%"/>
    <numFmt numFmtId="201" formatCode="#,##0.00_)_%;\(#,##0.00\)_%;\ \ .00_)_%"/>
    <numFmt numFmtId="202" formatCode="_._.* #,##0.000_)_%;_._.* \(#,##0.000\)_%"/>
    <numFmt numFmtId="203" formatCode="#,##0.000_)_%;\(#,##0.000\)_%;\ \ .000_)_%"/>
    <numFmt numFmtId="204" formatCode="#,##0;\(#,##0\)"/>
    <numFmt numFmtId="205" formatCode="_._.* \(#,##0\)_%;_._.* #,##0_)_%;_._.* 0_)_%;_._.@_)_%"/>
    <numFmt numFmtId="206" formatCode="_._.&quot;$&quot;* \(#,##0\)_%;_._.&quot;$&quot;* #,##0_)_%;_._.&quot;$&quot;* 0_)_%;_._.@_)_%"/>
    <numFmt numFmtId="207" formatCode="* \(#,##0\);* #,##0_);&quot;-&quot;??_);@"/>
    <numFmt numFmtId="208" formatCode="&quot;$&quot;* #,##0_)_%;&quot;$&quot;* \(#,##0\)_%;&quot;$&quot;* &quot;-&quot;??_)_%;@_)_%"/>
    <numFmt numFmtId="209" formatCode="_._.&quot;$&quot;* #,##0.0_)_%;_._.&quot;$&quot;* \(#,##0.0\)_%"/>
    <numFmt numFmtId="210" formatCode="&quot;$&quot;* #,##0.0_)_%;&quot;$&quot;* \(#,##0.0\)_%;&quot;$&quot;* \ .0_)_%"/>
    <numFmt numFmtId="211" formatCode="_._.&quot;$&quot;* #,##0.00_)_%;_._.&quot;$&quot;* \(#,##0.00\)_%"/>
    <numFmt numFmtId="212" formatCode="&quot;$&quot;* #,##0.00_)_%;&quot;$&quot;* \(#,##0.00\)_%;&quot;$&quot;* \ .00_)_%"/>
    <numFmt numFmtId="213" formatCode="_._.&quot;$&quot;* #,##0.000_)_%;_._.&quot;$&quot;* \(#,##0.000\)_%"/>
    <numFmt numFmtId="214" formatCode="&quot;$&quot;* #,##0.000_)_%;&quot;$&quot;* \(#,##0.000\)_%;&quot;$&quot;* \ .000_)_%"/>
    <numFmt numFmtId="215" formatCode="&quot;US$&quot;#,##0.00_);[Red]\(&quot;US$&quot;#,##0.00\)"/>
    <numFmt numFmtId="216" formatCode="\t0.00%"/>
    <numFmt numFmtId="217" formatCode="mmmm\ d\,\ yyyy"/>
    <numFmt numFmtId="218" formatCode="* #,##0_);* \(#,##0\);&quot;-&quot;??_);@"/>
    <numFmt numFmtId="219" formatCode="\U\S\$#,##0.00;\(\U\S\$#,##0.00\)"/>
    <numFmt numFmtId="220" formatCode="_-* #,##0\ _D_M_-;\-* #,##0\ _D_M_-;_-* &quot;-&quot;\ _D_M_-;_-@_-"/>
    <numFmt numFmtId="221" formatCode="_-* #,##0.00\ _D_M_-;\-* #,##0.00\ _D_M_-;_-* &quot;-&quot;??\ _D_M_-;_-@_-"/>
    <numFmt numFmtId="222" formatCode="\t#\ ??/??"/>
    <numFmt numFmtId="223" formatCode="_-[$€]* #,##0.00_-;\-[$€]* #,##0.00_-;_-[$€]* &quot;-&quot;??_-;_-@_-"/>
    <numFmt numFmtId="224" formatCode="&quot;NT$&quot;#,##0;\-&quot;NT$&quot;#,##0"/>
    <numFmt numFmtId="225" formatCode="&quot;NT$&quot;#,##0;[Red]\-&quot;NT$&quot;#,##0"/>
    <numFmt numFmtId="226" formatCode="m/d"/>
    <numFmt numFmtId="227" formatCode="&quot;ß&quot;#,##0;\-&quot;&quot;&quot;ß&quot;&quot;&quot;#,##0"/>
    <numFmt numFmtId="228" formatCode="0.00_)"/>
    <numFmt numFmtId="229" formatCode="0_)%;\(0\)%"/>
    <numFmt numFmtId="230" formatCode="_._._(* 0_)%;_._.* \(0\)%"/>
    <numFmt numFmtId="231" formatCode="_(0_)%;\(0\)%"/>
    <numFmt numFmtId="232" formatCode="0%_);\(0%\)"/>
    <numFmt numFmtId="233" formatCode="#,##0.000_);\(#,##0.000\)"/>
    <numFmt numFmtId="234" formatCode="_(0.0_)%;\(0.0\)%"/>
    <numFmt numFmtId="235" formatCode="_._._(* 0.0_)%;_._.* \(0.0\)%"/>
    <numFmt numFmtId="236" formatCode="_(0.00_)%;\(0.00\)%"/>
    <numFmt numFmtId="237" formatCode="_._._(* 0.00_)%;_._.* \(0.00\)%"/>
    <numFmt numFmtId="238" formatCode="_(0.000_)%;\(0.000\)%"/>
    <numFmt numFmtId="239" formatCode="_._._(* 0.000_)%;_._.* \(0.000\)%"/>
    <numFmt numFmtId="240" formatCode="&quot;\&quot;#,##0;[Red]\-&quot;\&quot;#,##0"/>
    <numFmt numFmtId="241" formatCode="#,##0.00\ &quot;F&quot;;[Red]\-#,##0.00\ &quot;F&quot;"/>
    <numFmt numFmtId="242" formatCode="#,##0\ &quot;F&quot;;\-#,##0\ &quot;F&quot;"/>
    <numFmt numFmtId="243" formatCode="#,##0\ &quot;F&quot;;[Red]\-#,##0\ &quot;F&quot;"/>
    <numFmt numFmtId="244" formatCode="&quot;\&quot;#,##0.00;\-&quot;\&quot;#,##0.00"/>
    <numFmt numFmtId="245" formatCode="_(* #,##0.000_);_(* \(#,##0.000\);_(* &quot;-&quot;???_);_(@_)"/>
    <numFmt numFmtId="246" formatCode="&quot;\&quot;#,##0;\-&quot;\&quot;#,##0"/>
    <numFmt numFmtId="247" formatCode="_-* #,##0\ &quot;DM&quot;_-;\-* #,##0\ &quot;DM&quot;_-;_-* &quot;-&quot;\ &quot;DM&quot;_-;_-@_-"/>
    <numFmt numFmtId="248" formatCode="_-* #,##0.00\ &quot;DM&quot;_-;\-* #,##0.00\ &quot;DM&quot;_-;_-* &quot;-&quot;??\ &quot;DM&quot;_-;_-@_-"/>
    <numFmt numFmtId="249" formatCode="&quot;US$&quot;#,##0.00_);\(&quot;US$&quot;#,##0.00\)"/>
    <numFmt numFmtId="250" formatCode="&quot;US$&quot;#,##0_);[Red]\(&quot;US$&quot;#,##0\)"/>
    <numFmt numFmtId="251" formatCode="[$-409]d/mmm/yy;@"/>
  </numFmts>
  <fonts count="279">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1"/>
      <color theme="1"/>
      <name val="Calibri"/>
      <family val="2"/>
      <charset val="163"/>
      <scheme val="minor"/>
    </font>
    <font>
      <sz val="11"/>
      <color theme="1"/>
      <name val="Calibri"/>
      <family val="2"/>
      <scheme val="minor"/>
    </font>
    <font>
      <b/>
      <sz val="10"/>
      <color theme="1"/>
      <name val="Arial"/>
      <family val="2"/>
    </font>
    <font>
      <sz val="10"/>
      <color theme="1"/>
      <name val="Arial"/>
      <family val="2"/>
    </font>
    <font>
      <b/>
      <sz val="10"/>
      <color rgb="FFFF0000"/>
      <name val="Arial"/>
      <family val="2"/>
    </font>
    <font>
      <sz val="10"/>
      <name val="Arial"/>
      <family val="2"/>
    </font>
    <font>
      <b/>
      <sz val="11"/>
      <color indexed="8"/>
      <name val="Times New Roman"/>
      <family val="1"/>
    </font>
    <font>
      <b/>
      <sz val="10"/>
      <color indexed="10"/>
      <name val="Times New Roman"/>
      <family val="1"/>
    </font>
    <font>
      <b/>
      <sz val="10"/>
      <color indexed="8"/>
      <name val="Times New Roman"/>
      <family val="1"/>
    </font>
    <font>
      <b/>
      <sz val="9"/>
      <color indexed="8"/>
      <name val="Arial Narrow"/>
      <family val="2"/>
    </font>
    <font>
      <sz val="10"/>
      <color indexed="10"/>
      <name val="Times New Roman"/>
      <family val="1"/>
    </font>
    <font>
      <sz val="10"/>
      <color indexed="8"/>
      <name val="Times New Roman"/>
      <family val="1"/>
    </font>
    <font>
      <sz val="9"/>
      <color indexed="8"/>
      <name val="Arial Narrow"/>
      <family val="2"/>
    </font>
    <font>
      <b/>
      <sz val="10"/>
      <color theme="0"/>
      <name val="Arial"/>
      <family val="2"/>
    </font>
    <font>
      <b/>
      <sz val="10"/>
      <name val="Arial"/>
      <family val="2"/>
    </font>
    <font>
      <sz val="8"/>
      <color rgb="FF000000"/>
      <name val="Microsoft Sans Serif"/>
      <family val="2"/>
    </font>
    <font>
      <sz val="8"/>
      <name val="Microsoft Sans Serif"/>
      <family val="2"/>
    </font>
    <font>
      <sz val="10"/>
      <color rgb="FFFF0000"/>
      <name val="Arial"/>
      <family val="2"/>
    </font>
    <font>
      <sz val="16"/>
      <color rgb="FFFF0000"/>
      <name val="Wingdings 3"/>
      <family val="1"/>
      <charset val="2"/>
    </font>
    <font>
      <i/>
      <sz val="10"/>
      <color theme="1"/>
      <name val="Arial"/>
      <family val="2"/>
    </font>
    <font>
      <b/>
      <i/>
      <sz val="10"/>
      <color theme="1"/>
      <name val="Arial"/>
      <family val="2"/>
    </font>
    <font>
      <b/>
      <sz val="11"/>
      <color rgb="FF000000"/>
      <name val="Times New Roman"/>
      <family val="1"/>
    </font>
    <font>
      <b/>
      <sz val="10"/>
      <color rgb="FF0000FF"/>
      <name val="Times New Roman"/>
      <family val="1"/>
    </font>
    <font>
      <b/>
      <sz val="10"/>
      <color rgb="FF000000"/>
      <name val="Times New Roman"/>
      <family val="1"/>
    </font>
    <font>
      <b/>
      <sz val="9"/>
      <color rgb="FF000000"/>
      <name val="Arial Narrow"/>
      <family val="2"/>
    </font>
    <font>
      <sz val="10"/>
      <color rgb="FF0000FF"/>
      <name val="Times New Roman"/>
      <family val="1"/>
    </font>
    <font>
      <sz val="10"/>
      <color rgb="FF000000"/>
      <name val="Times New Roman"/>
      <family val="1"/>
    </font>
    <font>
      <sz val="9"/>
      <color rgb="FF000000"/>
      <name val="Arial Narrow"/>
      <family val="2"/>
    </font>
    <font>
      <sz val="8"/>
      <color rgb="FF000000"/>
      <name val="Helvetica Neue"/>
    </font>
    <font>
      <sz val="8"/>
      <color theme="1"/>
      <name val="Helvetica Neue"/>
    </font>
    <font>
      <b/>
      <sz val="8"/>
      <color rgb="FF000000"/>
      <name val="Helvetica Neue"/>
    </font>
    <font>
      <sz val="8"/>
      <name val="Calibri"/>
      <family val="2"/>
      <scheme val="minor"/>
    </font>
    <font>
      <sz val="9"/>
      <color theme="1"/>
      <name val="Arial"/>
      <family val="2"/>
    </font>
    <font>
      <sz val="10"/>
      <color theme="0"/>
      <name val="Arial"/>
      <family val="2"/>
    </font>
    <font>
      <b/>
      <i/>
      <sz val="10"/>
      <color theme="0"/>
      <name val="Arial"/>
      <family val="2"/>
    </font>
    <font>
      <sz val="11"/>
      <name val="Times New Roman"/>
      <family val="1"/>
    </font>
    <font>
      <sz val="11"/>
      <color indexed="8"/>
      <name val="Calibri"/>
      <family val="2"/>
    </font>
    <font>
      <b/>
      <sz val="11"/>
      <color theme="1"/>
      <name val="Calibri"/>
      <family val="2"/>
      <scheme val="minor"/>
    </font>
    <font>
      <sz val="11"/>
      <color indexed="8"/>
      <name val="Calibri"/>
      <family val="2"/>
      <scheme val="minor"/>
    </font>
    <font>
      <b/>
      <sz val="14.25"/>
      <color indexed="8"/>
      <name val="Times New Roman"/>
      <family val="1"/>
    </font>
    <font>
      <b/>
      <i/>
      <sz val="10"/>
      <color indexed="8"/>
      <name val="Times New Roman"/>
      <family val="1"/>
    </font>
    <font>
      <b/>
      <sz val="10"/>
      <color rgb="FF000000"/>
      <name val="Times New Roman"/>
      <family val="2"/>
    </font>
    <font>
      <sz val="10"/>
      <color rgb="FF000000"/>
      <name val="Times New Roman"/>
      <family val="2"/>
    </font>
    <font>
      <b/>
      <sz val="10"/>
      <color rgb="FFFFFFFF"/>
      <name val="Arial"/>
      <family val="2"/>
    </font>
    <font>
      <b/>
      <sz val="10"/>
      <color rgb="FF002060"/>
      <name val="Arial"/>
      <family val="2"/>
    </font>
    <font>
      <sz val="8"/>
      <color indexed="8"/>
      <name val="Arial"/>
      <family val="2"/>
    </font>
    <font>
      <sz val="11"/>
      <color theme="1"/>
      <name val="Calibri"/>
      <family val="2"/>
      <charset val="1"/>
      <scheme val="minor"/>
    </font>
    <font>
      <b/>
      <sz val="18"/>
      <color theme="3"/>
      <name val="Calibri Light"/>
      <family val="2"/>
      <charset val="1"/>
      <scheme val="major"/>
    </font>
    <font>
      <b/>
      <sz val="15"/>
      <color theme="3"/>
      <name val="Calibri"/>
      <family val="2"/>
      <charset val="1"/>
      <scheme val="minor"/>
    </font>
    <font>
      <sz val="12"/>
      <name val=".VnTime"/>
      <family val="2"/>
    </font>
    <font>
      <sz val="11"/>
      <color theme="1"/>
      <name val="Times New Roman"/>
      <family val="1"/>
    </font>
    <font>
      <sz val="9"/>
      <name val="Arial"/>
      <family val="2"/>
    </font>
    <font>
      <sz val="11"/>
      <color rgb="FF3F3F76"/>
      <name val="Calibri"/>
      <family val="2"/>
      <scheme val="minor"/>
    </font>
    <font>
      <sz val="10"/>
      <color indexed="8"/>
      <name val="Arial"/>
      <family val="2"/>
    </font>
    <font>
      <sz val="11"/>
      <color indexed="8"/>
      <name val="Calibri"/>
      <family val="2"/>
      <charset val="163"/>
    </font>
    <font>
      <sz val="11"/>
      <color indexed="8"/>
      <name val="Calibri"/>
      <family val="2"/>
      <charset val="1"/>
    </font>
    <font>
      <sz val="10"/>
      <color theme="1"/>
      <name val="Calibri"/>
      <family val="2"/>
      <scheme val="minor"/>
    </font>
    <font>
      <sz val="11"/>
      <color rgb="FF000000"/>
      <name val="Calibri"/>
      <family val="2"/>
    </font>
    <font>
      <sz val="10"/>
      <color rgb="FF000000"/>
      <name val="Calibri"/>
      <family val="2"/>
      <scheme val="minor"/>
    </font>
    <font>
      <sz val="10"/>
      <color theme="1"/>
      <name val="EYInterstate Light"/>
      <family val="2"/>
    </font>
    <font>
      <sz val="12"/>
      <color theme="1"/>
      <name val="Times New Roman"/>
      <family val="2"/>
    </font>
    <font>
      <sz val="8"/>
      <name val="EYInterstate Light"/>
    </font>
    <font>
      <u/>
      <sz val="10"/>
      <color theme="10"/>
      <name val="EYInterstate Light"/>
      <family val="2"/>
    </font>
    <font>
      <sz val="11"/>
      <color rgb="FFFF0000"/>
      <name val="Calibri"/>
      <family val="2"/>
      <scheme val="minor"/>
    </font>
    <font>
      <b/>
      <sz val="11"/>
      <color theme="1"/>
      <name val="Calibri"/>
      <family val="2"/>
    </font>
    <font>
      <b/>
      <sz val="10"/>
      <color rgb="FF000000"/>
      <name val="Arial"/>
      <family val="2"/>
    </font>
    <font>
      <sz val="10"/>
      <color rgb="FF000000"/>
      <name val="Arial"/>
      <family val="2"/>
    </font>
    <font>
      <sz val="8"/>
      <color theme="1"/>
      <name val="Arial"/>
      <family val="2"/>
    </font>
    <font>
      <b/>
      <sz val="11"/>
      <color rgb="FFFF0000"/>
      <name val="Calibri"/>
      <family val="2"/>
      <scheme val="minor"/>
    </font>
    <font>
      <sz val="11"/>
      <color indexed="8"/>
      <name val="Times New Roman"/>
      <family val="1"/>
    </font>
    <font>
      <b/>
      <sz val="16"/>
      <color indexed="8"/>
      <name val="Times New Roman"/>
      <family val="1"/>
    </font>
    <font>
      <b/>
      <i/>
      <sz val="12"/>
      <color indexed="8"/>
      <name val="Times New Roman"/>
      <family val="1"/>
    </font>
    <font>
      <i/>
      <sz val="11"/>
      <color indexed="8"/>
      <name val="Times New Roman"/>
      <family val="1"/>
    </font>
    <font>
      <b/>
      <sz val="12"/>
      <color indexed="8"/>
      <name val="Times New Roman"/>
      <family val="1"/>
    </font>
    <font>
      <b/>
      <sz val="11"/>
      <color theme="1"/>
      <name val="Times New Roman"/>
      <family val="1"/>
    </font>
    <font>
      <b/>
      <i/>
      <sz val="11"/>
      <color theme="1"/>
      <name val="Times New Roman"/>
      <family val="1"/>
    </font>
    <font>
      <i/>
      <sz val="10"/>
      <color rgb="FFFF0000"/>
      <name val="Arial"/>
      <family val="2"/>
    </font>
    <font>
      <sz val="10"/>
      <name val="Times New Roman"/>
      <family val="1"/>
    </font>
    <font>
      <b/>
      <sz val="9"/>
      <color theme="1"/>
      <name val="Arial"/>
      <family val="2"/>
    </font>
    <font>
      <b/>
      <sz val="9"/>
      <color rgb="FFFF0000"/>
      <name val="Arial"/>
      <family val="2"/>
    </font>
    <font>
      <b/>
      <sz val="10"/>
      <color indexed="8"/>
      <name val="Times New Roman"/>
      <family val="2"/>
    </font>
    <font>
      <sz val="10"/>
      <color indexed="8"/>
      <name val="Times New Roman"/>
      <family val="2"/>
    </font>
    <font>
      <sz val="8"/>
      <color rgb="FF000000"/>
      <name val="Calibri"/>
      <family val="2"/>
      <scheme val="minor"/>
    </font>
    <font>
      <b/>
      <sz val="10"/>
      <color theme="1"/>
      <name val="Palatino Linotype"/>
      <family val="1"/>
    </font>
    <font>
      <sz val="9"/>
      <color rgb="FF000000"/>
      <name val="Palatino Linotype"/>
      <family val="1"/>
    </font>
    <font>
      <b/>
      <u/>
      <sz val="10"/>
      <color theme="1"/>
      <name val="Arial"/>
      <family val="2"/>
    </font>
    <font>
      <b/>
      <i/>
      <sz val="9"/>
      <color theme="1"/>
      <name val="Arial"/>
      <family val="2"/>
    </font>
    <font>
      <i/>
      <sz val="9"/>
      <color theme="1"/>
      <name val="Arial"/>
      <family val="2"/>
    </font>
    <font>
      <sz val="11"/>
      <color theme="1"/>
      <name val="Arial"/>
      <family val="2"/>
    </font>
    <font>
      <b/>
      <sz val="9"/>
      <color indexed="81"/>
      <name val="Tahoma"/>
      <family val="2"/>
    </font>
    <font>
      <sz val="9"/>
      <color indexed="81"/>
      <name val="Tahoma"/>
      <family val="2"/>
    </font>
    <font>
      <sz val="9"/>
      <color rgb="FF000000"/>
      <name val="Calibri"/>
      <family val="2"/>
    </font>
    <font>
      <b/>
      <sz val="11"/>
      <color rgb="FFFF0000"/>
      <name val="Arial"/>
      <family val="2"/>
    </font>
    <font>
      <b/>
      <sz val="9"/>
      <color rgb="FF000000"/>
      <name val="Palatino Linotype"/>
      <family val="1"/>
    </font>
    <font>
      <b/>
      <sz val="9"/>
      <color theme="1"/>
      <name val="Palatino Linotype"/>
      <family val="1"/>
    </font>
    <font>
      <b/>
      <sz val="10"/>
      <color indexed="10"/>
      <name val="Arial"/>
      <family val="2"/>
    </font>
    <font>
      <b/>
      <sz val="14"/>
      <color theme="1"/>
      <name val="Times New Roman"/>
      <family val="1"/>
    </font>
    <font>
      <b/>
      <sz val="9"/>
      <color theme="0"/>
      <name val="Arial"/>
      <family val="2"/>
    </font>
    <font>
      <sz val="9"/>
      <color rgb="FFFF0000"/>
      <name val="Arial"/>
      <family val="2"/>
    </font>
    <font>
      <sz val="11"/>
      <color theme="1"/>
      <name val="Calibri"/>
      <family val="2"/>
    </font>
    <font>
      <u/>
      <sz val="11"/>
      <color theme="10"/>
      <name val="Calibri"/>
      <family val="2"/>
      <scheme val="minor"/>
    </font>
    <font>
      <i/>
      <sz val="10"/>
      <color rgb="FF00000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8.25"/>
      <color theme="10"/>
      <name val="Microsoft Sans Serif"/>
      <family val="2"/>
    </font>
    <font>
      <sz val="8.25"/>
      <name val="Microsoft Sans Serif"/>
      <family val="2"/>
    </font>
    <font>
      <sz val="11"/>
      <color rgb="FFFF0000"/>
      <name val="Arial"/>
      <family val="2"/>
    </font>
    <font>
      <b/>
      <sz val="11"/>
      <color theme="1"/>
      <name val="Arial"/>
      <family val="2"/>
    </font>
    <font>
      <u/>
      <sz val="10"/>
      <color theme="10"/>
      <name val="Arial"/>
      <family val="2"/>
    </font>
    <font>
      <sz val="10"/>
      <color theme="1"/>
      <name val="Times New Roman"/>
      <family val="2"/>
    </font>
    <font>
      <b/>
      <sz val="14"/>
      <color theme="3"/>
      <name val="Arial"/>
      <family val="2"/>
    </font>
    <font>
      <b/>
      <sz val="13"/>
      <color theme="3"/>
      <name val="Arial"/>
      <family val="2"/>
    </font>
    <font>
      <sz val="7"/>
      <name val="Times New Roman"/>
      <family val="1"/>
    </font>
    <font>
      <sz val="8"/>
      <name val="Arial"/>
      <family val="2"/>
    </font>
    <font>
      <sz val="10"/>
      <color theme="0"/>
      <name val="Times New Roman"/>
      <family val="2"/>
    </font>
    <font>
      <sz val="10"/>
      <color rgb="FF9C0006"/>
      <name val="Times New Roman"/>
      <family val="2"/>
    </font>
    <font>
      <b/>
      <sz val="10"/>
      <color rgb="FFFA7D00"/>
      <name val="Times New Roman"/>
      <family val="2"/>
    </font>
    <font>
      <b/>
      <sz val="10"/>
      <color theme="0"/>
      <name val="Times New Roman"/>
      <family val="2"/>
    </font>
    <font>
      <i/>
      <sz val="10"/>
      <color rgb="FF7F7F7F"/>
      <name val="Times New Roman"/>
      <family val="2"/>
    </font>
    <font>
      <sz val="10"/>
      <color rgb="FF006100"/>
      <name val="Times New Roman"/>
      <family val="2"/>
    </font>
    <font>
      <b/>
      <sz val="15"/>
      <color theme="3"/>
      <name val="Times New Roman"/>
      <family val="2"/>
    </font>
    <font>
      <b/>
      <sz val="13"/>
      <color theme="3"/>
      <name val="Times New Roman"/>
      <family val="2"/>
    </font>
    <font>
      <b/>
      <sz val="11"/>
      <color theme="3"/>
      <name val="Times New Roman"/>
      <family val="2"/>
    </font>
    <font>
      <sz val="10"/>
      <color rgb="FF3F3F76"/>
      <name val="Times New Roman"/>
      <family val="2"/>
    </font>
    <font>
      <sz val="10"/>
      <color rgb="FFFA7D00"/>
      <name val="Times New Roman"/>
      <family val="2"/>
    </font>
    <font>
      <sz val="10"/>
      <color rgb="FF9C6500"/>
      <name val="Times New Roman"/>
      <family val="2"/>
    </font>
    <font>
      <b/>
      <sz val="10"/>
      <color rgb="FF3F3F3F"/>
      <name val="Times New Roman"/>
      <family val="2"/>
    </font>
    <font>
      <b/>
      <sz val="18"/>
      <color theme="3"/>
      <name val="Calibri Light"/>
      <family val="2"/>
      <scheme val="major"/>
    </font>
    <font>
      <b/>
      <sz val="10"/>
      <color theme="1"/>
      <name val="Times New Roman"/>
      <family val="2"/>
    </font>
    <font>
      <sz val="10"/>
      <color rgb="FFFF0000"/>
      <name val="Times New Roman"/>
      <family val="2"/>
    </font>
    <font>
      <sz val="11"/>
      <color theme="1"/>
      <name val="Times New Roman"/>
      <family val="2"/>
    </font>
    <font>
      <sz val="11"/>
      <color theme="0"/>
      <name val="Times New Roman"/>
      <family val="2"/>
    </font>
    <font>
      <sz val="11"/>
      <color rgb="FF9C0006"/>
      <name val="Times New Roman"/>
      <family val="2"/>
    </font>
    <font>
      <b/>
      <sz val="11"/>
      <color rgb="FFFA7D00"/>
      <name val="Times New Roman"/>
      <family val="2"/>
    </font>
    <font>
      <b/>
      <sz val="11"/>
      <color theme="0"/>
      <name val="Times New Roman"/>
      <family val="2"/>
    </font>
    <font>
      <i/>
      <sz val="11"/>
      <color rgb="FF7F7F7F"/>
      <name val="Times New Roman"/>
      <family val="2"/>
    </font>
    <font>
      <sz val="11"/>
      <color rgb="FF006100"/>
      <name val="Times New Roman"/>
      <family val="2"/>
    </font>
    <font>
      <sz val="11"/>
      <color rgb="FF3F3F76"/>
      <name val="Times New Roman"/>
      <family val="2"/>
    </font>
    <font>
      <sz val="11"/>
      <color rgb="FFFA7D00"/>
      <name val="Times New Roman"/>
      <family val="2"/>
    </font>
    <font>
      <sz val="11"/>
      <color rgb="FF9C6500"/>
      <name val="Times New Roman"/>
      <family val="2"/>
    </font>
    <font>
      <b/>
      <sz val="11"/>
      <color rgb="FF3F3F3F"/>
      <name val="Times New Roman"/>
      <family val="2"/>
    </font>
    <font>
      <b/>
      <sz val="11"/>
      <color theme="1"/>
      <name val="Times New Roman"/>
      <family val="2"/>
    </font>
    <font>
      <sz val="11"/>
      <color rgb="FFFF0000"/>
      <name val="Times New Roman"/>
      <family val="2"/>
    </font>
    <font>
      <sz val="12"/>
      <name val="VNtimes new roman"/>
      <family val="2"/>
    </font>
    <font>
      <sz val="11"/>
      <name val="??"/>
      <family val="3"/>
    </font>
    <font>
      <sz val="14"/>
      <name val="??"/>
      <family val="3"/>
    </font>
    <font>
      <sz val="12"/>
      <name val="????"/>
      <family val="1"/>
      <charset val="136"/>
    </font>
    <font>
      <sz val="12"/>
      <name val="???"/>
      <family val="3"/>
    </font>
    <font>
      <sz val="10"/>
      <name val="???"/>
      <family val="3"/>
      <charset val="129"/>
    </font>
    <font>
      <sz val="11"/>
      <name val="돋움"/>
      <family val="3"/>
      <charset val="129"/>
    </font>
    <font>
      <b/>
      <u/>
      <sz val="14"/>
      <color indexed="8"/>
      <name val=".VnBook-AntiquaH"/>
      <family val="2"/>
    </font>
    <font>
      <sz val="10"/>
      <name val="VnTimes"/>
      <family val="2"/>
    </font>
    <font>
      <i/>
      <sz val="12"/>
      <color indexed="8"/>
      <name val=".VnBook-AntiquaH"/>
      <family val="2"/>
    </font>
    <font>
      <b/>
      <sz val="12"/>
      <color indexed="8"/>
      <name val=".VnBook-Antiqua"/>
      <family val="2"/>
    </font>
    <font>
      <i/>
      <sz val="12"/>
      <color indexed="8"/>
      <name val=".VnBook-Antiqua"/>
      <family val="2"/>
    </font>
    <font>
      <sz val="12"/>
      <name val="±¼¸²Ã¼"/>
      <family val="3"/>
      <charset val="129"/>
    </font>
    <font>
      <sz val="12"/>
      <name val="¹UAAA¼"/>
      <family val="3"/>
      <charset val="129"/>
    </font>
    <font>
      <sz val="12"/>
      <name val="µ¸¿òÃ¼"/>
      <family val="3"/>
      <charset val="129"/>
    </font>
    <font>
      <sz val="10"/>
      <name val="Helv"/>
    </font>
    <font>
      <b/>
      <sz val="10"/>
      <name val="Helv"/>
      <family val="2"/>
    </font>
    <font>
      <b/>
      <sz val="11"/>
      <name val="Arial"/>
      <family val="2"/>
    </font>
    <font>
      <sz val="10"/>
      <name val="MS Sans Serif"/>
      <family val="2"/>
    </font>
    <font>
      <sz val="10"/>
      <name val="VNI-Aptima"/>
    </font>
    <font>
      <b/>
      <sz val="8"/>
      <name val="Arial"/>
      <family val="2"/>
    </font>
    <font>
      <u val="singleAccounting"/>
      <sz val="11"/>
      <name val="Times New Roman"/>
      <family val="1"/>
    </font>
    <font>
      <b/>
      <sz val="16"/>
      <name val="Times New Roman"/>
      <family val="1"/>
    </font>
    <font>
      <sz val="11"/>
      <color indexed="12"/>
      <name val="Times New Roman"/>
      <family val="1"/>
    </font>
    <font>
      <sz val="10"/>
      <name val="VNI-Times"/>
    </font>
    <font>
      <sz val="12"/>
      <name val="Arial"/>
      <family val="2"/>
    </font>
    <font>
      <sz val="18"/>
      <color indexed="24"/>
      <name val="Times New Roman"/>
      <family val="1"/>
    </font>
    <font>
      <sz val="8"/>
      <color indexed="24"/>
      <name val="Times New Roman"/>
      <family val="1"/>
    </font>
    <font>
      <i/>
      <sz val="12"/>
      <color indexed="24"/>
      <name val="Times New Roman"/>
      <family val="1"/>
    </font>
    <font>
      <sz val="12"/>
      <color indexed="24"/>
      <name val="Arial"/>
      <family val="2"/>
    </font>
    <font>
      <sz val="12"/>
      <color indexed="24"/>
      <name val="Times New Roman"/>
      <family val="1"/>
    </font>
    <font>
      <sz val="8"/>
      <color indexed="24"/>
      <name val="Arial"/>
      <family val="2"/>
    </font>
    <font>
      <i/>
      <sz val="12"/>
      <color indexed="24"/>
      <name val="Arial"/>
      <family val="2"/>
    </font>
    <font>
      <b/>
      <sz val="12"/>
      <name val=".VnBook-AntiquaH"/>
      <family val="2"/>
    </font>
    <font>
      <b/>
      <sz val="12"/>
      <name val="Helv"/>
      <family val="2"/>
    </font>
    <font>
      <b/>
      <sz val="12"/>
      <name val="Arial"/>
      <family val="2"/>
    </font>
    <font>
      <b/>
      <sz val="18"/>
      <name val="Arial"/>
      <family val="2"/>
    </font>
    <font>
      <b/>
      <sz val="10"/>
      <name val=".VnTime"/>
      <family val="2"/>
    </font>
    <font>
      <b/>
      <sz val="14"/>
      <name val=".VnTimeH"/>
      <family val="2"/>
    </font>
    <font>
      <sz val="10"/>
      <name val="Tahoma"/>
      <family val="2"/>
    </font>
    <font>
      <b/>
      <sz val="11"/>
      <name val="Helv"/>
      <family val="2"/>
    </font>
    <font>
      <sz val="7"/>
      <name val="Small Fonts"/>
      <family val="2"/>
    </font>
    <font>
      <b/>
      <sz val="12"/>
      <name val="VN-NTime"/>
      <family val="2"/>
    </font>
    <font>
      <b/>
      <i/>
      <sz val="16"/>
      <name val="Helv"/>
      <family val="2"/>
    </font>
    <font>
      <sz val="12"/>
      <name val="바탕체"/>
      <family val="1"/>
      <charset val="129"/>
    </font>
    <font>
      <sz val="12"/>
      <color indexed="8"/>
      <name val="Times New Roman"/>
      <family val="1"/>
    </font>
    <font>
      <sz val="12"/>
      <name val="Helv"/>
      <family val="2"/>
    </font>
    <font>
      <b/>
      <sz val="10"/>
      <name val="MS Sans Serif"/>
      <family val="2"/>
    </font>
    <font>
      <sz val="10"/>
      <name val=".VnTime"/>
      <family val="2"/>
    </font>
    <font>
      <b/>
      <sz val="10"/>
      <name val="Tahoma"/>
      <family val="2"/>
    </font>
    <font>
      <sz val="13"/>
      <name val=".VnTime"/>
      <family val="2"/>
    </font>
    <font>
      <sz val="12"/>
      <name val="VNTime"/>
      <family val="2"/>
    </font>
    <font>
      <sz val="12"/>
      <name val="VNTime"/>
    </font>
    <font>
      <sz val="10"/>
      <name val="VNtimes new roman"/>
      <family val="2"/>
    </font>
    <font>
      <b/>
      <sz val="8"/>
      <name val="VN Helvetica"/>
    </font>
    <font>
      <b/>
      <sz val="12"/>
      <name val=".VnTime"/>
      <family val="2"/>
    </font>
    <font>
      <b/>
      <sz val="10"/>
      <name val="VN AvantGBook"/>
    </font>
    <font>
      <b/>
      <sz val="16"/>
      <name val=".VnTime"/>
      <family val="2"/>
    </font>
    <font>
      <sz val="9"/>
      <name val=".VnTime"/>
      <family val="2"/>
    </font>
    <font>
      <sz val="14"/>
      <name val=".VnArial"/>
      <family val="2"/>
    </font>
    <font>
      <sz val="16"/>
      <name val="AngsanaUPC"/>
      <family val="3"/>
    </font>
    <font>
      <sz val="10"/>
      <name val=" "/>
      <family val="1"/>
      <charset val="136"/>
    </font>
    <font>
      <sz val="12"/>
      <name val="Times New Roman"/>
      <family val="1"/>
    </font>
    <font>
      <sz val="14"/>
      <name val="뼻뮝"/>
      <family val="3"/>
    </font>
    <font>
      <sz val="12"/>
      <name val="바탕체"/>
      <family val="3"/>
    </font>
    <font>
      <sz val="12"/>
      <name val="뼻뮝"/>
      <family val="1"/>
    </font>
    <font>
      <sz val="10"/>
      <name val="Helv"/>
      <family val="2"/>
    </font>
    <font>
      <sz val="10"/>
      <name val="굴림체"/>
      <family val="3"/>
    </font>
    <font>
      <sz val="10"/>
      <name val=".VnArial"/>
      <family val="1"/>
    </font>
    <font>
      <sz val="11"/>
      <name val="ＭＳ Ｐゴシック"/>
      <charset val="128"/>
    </font>
    <font>
      <sz val="12"/>
      <name val="Courier"/>
      <family val="3"/>
    </font>
    <font>
      <b/>
      <sz val="15"/>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i/>
      <sz val="11"/>
      <color rgb="FF7F7F7F"/>
      <name val="Arial"/>
      <family val="2"/>
    </font>
    <font>
      <sz val="11"/>
      <color theme="0"/>
      <name val="Arial"/>
      <family val="2"/>
    </font>
    <font>
      <sz val="10"/>
      <name val="Microsoft Sans Serif"/>
      <family val="2"/>
    </font>
    <font>
      <sz val="11"/>
      <color rgb="FF9C6500"/>
      <name val="Calibri"/>
      <family val="2"/>
      <scheme val="minor"/>
    </font>
    <font>
      <sz val="10"/>
      <color indexed="8"/>
      <name val="MS Sans Serif"/>
      <family val="2"/>
    </font>
    <font>
      <u/>
      <sz val="11"/>
      <color theme="10"/>
      <name val="Calibri"/>
      <family val="2"/>
    </font>
    <font>
      <sz val="10"/>
      <color indexed="64"/>
      <name val="Arial"/>
      <family val="2"/>
    </font>
    <font>
      <sz val="11"/>
      <color rgb="FFFF0000"/>
      <name val="Calibri"/>
      <family val="2"/>
    </font>
    <font>
      <i/>
      <sz val="10"/>
      <name val="Arial"/>
      <family val="2"/>
    </font>
    <font>
      <b/>
      <sz val="11"/>
      <color rgb="FF000000"/>
      <name val="Calibri"/>
      <family val="2"/>
    </font>
    <font>
      <i/>
      <sz val="11"/>
      <color rgb="FF000000"/>
      <name val="Calibri"/>
      <family val="2"/>
    </font>
    <font>
      <sz val="8"/>
      <color theme="1"/>
      <name val="Times New Roman"/>
      <family val="1"/>
    </font>
    <font>
      <b/>
      <sz val="8"/>
      <name val="Microsoft Sans Serif"/>
      <family val="2"/>
    </font>
    <font>
      <b/>
      <sz val="10"/>
      <color theme="1"/>
      <name val="Calibri"/>
      <family val="2"/>
    </font>
    <font>
      <sz val="10"/>
      <color rgb="FFFF0000"/>
      <name val="Calibri"/>
      <family val="2"/>
    </font>
    <font>
      <sz val="11"/>
      <name val="Calibri"/>
      <family val="2"/>
      <scheme val="minor"/>
    </font>
    <font>
      <sz val="10"/>
      <color theme="1"/>
      <name val="Calibri"/>
      <family val="2"/>
    </font>
    <font>
      <b/>
      <sz val="10"/>
      <color rgb="FFFF0000"/>
      <name val="Calibri"/>
      <family val="2"/>
    </font>
    <font>
      <sz val="10"/>
      <name val="Calibri"/>
      <family val="2"/>
    </font>
    <font>
      <sz val="9"/>
      <color rgb="FFFF0000"/>
      <name val="Calibri"/>
      <family val="2"/>
    </font>
    <font>
      <sz val="8"/>
      <color rgb="FFFF0000"/>
      <name val="Calibri"/>
      <family val="2"/>
    </font>
    <font>
      <sz val="8"/>
      <color rgb="FF000000"/>
      <name val="Calibri"/>
      <family val="2"/>
    </font>
    <font>
      <sz val="10"/>
      <color rgb="FF000000"/>
      <name val="Calibri"/>
      <family val="2"/>
    </font>
    <font>
      <sz val="8"/>
      <name val="Calibri"/>
      <family val="2"/>
    </font>
    <font>
      <sz val="9"/>
      <name val="Calibri"/>
      <family val="2"/>
    </font>
    <font>
      <b/>
      <sz val="8"/>
      <color rgb="FF000000"/>
      <name val="Calibri"/>
      <family val="2"/>
    </font>
    <font>
      <b/>
      <sz val="10"/>
      <color rgb="FF00B050"/>
      <name val="Calibri"/>
      <family val="2"/>
    </font>
    <font>
      <b/>
      <sz val="11"/>
      <color rgb="FF00B050"/>
      <name val="Calibri"/>
      <family val="2"/>
      <scheme val="minor"/>
    </font>
    <font>
      <b/>
      <sz val="10"/>
      <color rgb="FFFF0000"/>
      <name val="Calibri"/>
      <family val="2"/>
      <scheme val="minor"/>
    </font>
    <font>
      <b/>
      <sz val="10"/>
      <color theme="1"/>
      <name val="Calibri"/>
      <family val="2"/>
      <scheme val="minor"/>
    </font>
    <font>
      <sz val="8"/>
      <color theme="1"/>
      <name val="&quot;Microsoft Sans Serif&quot;"/>
    </font>
    <font>
      <b/>
      <sz val="10"/>
      <color rgb="FF000000"/>
      <name val="Calibri"/>
      <family val="2"/>
      <scheme val="minor"/>
    </font>
    <font>
      <sz val="11"/>
      <color rgb="FF000000"/>
      <name val="Times New Roman"/>
      <family val="1"/>
    </font>
    <font>
      <b/>
      <sz val="12"/>
      <color rgb="FF000000"/>
      <name val="Times New Roman"/>
      <family val="1"/>
    </font>
    <font>
      <i/>
      <sz val="11"/>
      <color rgb="FF000000"/>
      <name val="Times New Roman"/>
      <family val="1"/>
    </font>
    <font>
      <b/>
      <sz val="8"/>
      <color rgb="FF000000"/>
      <name val="Arial"/>
      <family val="2"/>
    </font>
    <font>
      <sz val="8"/>
      <color rgb="FF000000"/>
      <name val="Arial"/>
      <family val="2"/>
    </font>
    <font>
      <b/>
      <sz val="10"/>
      <color rgb="FF00B050"/>
      <name val="Arial"/>
      <family val="2"/>
    </font>
  </fonts>
  <fills count="102">
    <fill>
      <patternFill patternType="none"/>
    </fill>
    <fill>
      <patternFill patternType="gray125"/>
    </fill>
    <fill>
      <patternFill patternType="solid">
        <fgColor theme="5" tint="-0.499984740745262"/>
        <bgColor indexed="64"/>
      </patternFill>
    </fill>
    <fill>
      <patternFill patternType="solid">
        <fgColor rgb="FF002060"/>
        <bgColor indexed="64"/>
      </patternFill>
    </fill>
    <fill>
      <patternFill patternType="solid">
        <fgColor theme="0" tint="-0.499984740745262"/>
        <bgColor indexed="64"/>
      </patternFill>
    </fill>
    <fill>
      <patternFill patternType="solid">
        <fgColor rgb="FFFFFF00"/>
        <bgColor indexed="64"/>
      </patternFill>
    </fill>
    <fill>
      <patternFill patternType="solid">
        <fgColor rgb="FFADC7E7"/>
      </patternFill>
    </fill>
    <fill>
      <patternFill patternType="solid">
        <fgColor theme="9" tint="0.79998168889431442"/>
        <bgColor indexed="64"/>
      </patternFill>
    </fill>
    <fill>
      <patternFill patternType="solid">
        <fgColor theme="1" tint="0.499984740745262"/>
        <bgColor indexed="64"/>
      </patternFill>
    </fill>
    <fill>
      <patternFill patternType="solid">
        <fgColor theme="8" tint="0.59999389629810485"/>
        <bgColor indexed="64"/>
      </patternFill>
    </fill>
    <fill>
      <patternFill patternType="solid">
        <fgColor rgb="FFFFFFCC"/>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indexed="22"/>
        <bgColor indexed="64"/>
      </patternFill>
    </fill>
    <fill>
      <patternFill patternType="solid">
        <fgColor rgb="FFC2CFF8"/>
        <bgColor rgb="FFC2CFF8"/>
      </patternFill>
    </fill>
    <fill>
      <patternFill patternType="solid">
        <fgColor rgb="FFFFFF00"/>
        <bgColor rgb="FFC2CFF8"/>
      </patternFill>
    </fill>
    <fill>
      <patternFill patternType="solid">
        <fgColor rgb="FF1F2544"/>
        <bgColor indexed="64"/>
      </patternFill>
    </fill>
    <fill>
      <patternFill patternType="solid">
        <fgColor rgb="FF944E63"/>
        <bgColor indexed="64"/>
      </patternFill>
    </fill>
    <fill>
      <patternFill patternType="solid">
        <fgColor rgb="FFFFE7E7"/>
        <bgColor indexed="64"/>
      </patternFill>
    </fill>
    <fill>
      <patternFill patternType="solid">
        <fgColor rgb="FFF3EEEA"/>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theme="4" tint="-0.499984740745262"/>
        <bgColor indexed="64"/>
      </patternFill>
    </fill>
    <fill>
      <patternFill patternType="solid">
        <fgColor indexed="9"/>
        <bgColor indexed="64"/>
      </patternFill>
    </fill>
    <fill>
      <patternFill patternType="solid">
        <fgColor rgb="FFFFFFF0"/>
        <bgColor indexed="64"/>
      </patternFill>
    </fill>
    <fill>
      <patternFill patternType="solid">
        <fgColor rgb="FFFDF5E6"/>
        <bgColor indexed="64"/>
      </patternFill>
    </fill>
    <fill>
      <patternFill patternType="solid">
        <fgColor rgb="FFFAFAD2"/>
        <bgColor indexed="64"/>
      </patternFill>
    </fill>
    <fill>
      <patternFill patternType="solid">
        <fgColor rgb="FFFFFFFF"/>
        <bgColor indexed="64"/>
      </patternFill>
    </fill>
    <fill>
      <patternFill patternType="solid">
        <fgColor theme="9" tint="-0.499984740745262"/>
        <bgColor indexed="64"/>
      </patternFill>
    </fill>
    <fill>
      <patternFill patternType="solid">
        <fgColor rgb="FF333333"/>
        <bgColor indexed="64"/>
      </patternFill>
    </fill>
    <fill>
      <patternFill patternType="solid">
        <fgColor rgb="FFD9E1F2"/>
        <bgColor indexed="64"/>
      </patternFill>
    </fill>
    <fill>
      <patternFill patternType="solid">
        <fgColor rgb="FFC0FFC0"/>
        <bgColor indexed="64"/>
      </patternFill>
    </fill>
    <fill>
      <patternFill patternType="solid">
        <fgColor rgb="FFC2CFF8"/>
        <bgColor indexed="64"/>
      </patternFill>
    </fill>
    <fill>
      <patternFill patternType="solid">
        <fgColor rgb="FFFFD0EC"/>
        <bgColor indexed="64"/>
      </patternFill>
    </fill>
    <fill>
      <patternFill patternType="solid">
        <fgColor rgb="FFCCCCFF"/>
        <bgColor indexed="64"/>
      </patternFill>
    </fill>
    <fill>
      <patternFill patternType="solid">
        <fgColor rgb="FF92D050"/>
        <bgColor indexed="64"/>
      </patternFill>
    </fill>
    <fill>
      <patternFill patternType="solid">
        <fgColor rgb="FFD6EDBD"/>
        <bgColor indexed="64"/>
      </patternFill>
    </fill>
    <fill>
      <patternFill patternType="solid">
        <fgColor rgb="FF00B0F0"/>
        <bgColor indexed="64"/>
      </patternFill>
    </fill>
    <fill>
      <patternFill patternType="solid">
        <fgColor rgb="FFD1F3FF"/>
        <bgColor indexed="64"/>
      </patternFill>
    </fill>
    <fill>
      <patternFill patternType="solid">
        <fgColor rgb="FFFFFFDD"/>
        <bgColor indexed="64"/>
      </patternFill>
    </fill>
    <fill>
      <patternFill patternType="lightDown"/>
    </fill>
    <fill>
      <patternFill patternType="solid">
        <fgColor theme="2" tint="-9.9978637043366805E-2"/>
        <bgColor indexed="64"/>
      </patternFill>
    </fill>
    <fill>
      <patternFill patternType="mediumGray"/>
    </fill>
    <fill>
      <patternFill patternType="solid">
        <fgColor rgb="FFFFF2CC"/>
        <bgColor indexed="64"/>
      </patternFill>
    </fill>
    <fill>
      <patternFill patternType="solid">
        <fgColor rgb="FFD9D9D9"/>
        <bgColor indexed="64"/>
      </patternFill>
    </fill>
    <fill>
      <patternFill patternType="solid">
        <fgColor rgb="FFC2D69B"/>
        <bgColor rgb="FFC2D69B"/>
      </patternFill>
    </fill>
    <fill>
      <patternFill patternType="solid">
        <fgColor theme="1" tint="0.34998626667073579"/>
        <bgColor indexed="64"/>
      </patternFill>
    </fill>
    <fill>
      <patternFill patternType="solid">
        <fgColor rgb="FFFF0000"/>
        <bgColor indexed="64"/>
      </patternFill>
    </fill>
    <fill>
      <patternFill patternType="solid">
        <fgColor rgb="FFFFF7E1"/>
        <bgColor rgb="FF00000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7"/>
        <bgColor indexed="64"/>
      </patternFill>
    </fill>
    <fill>
      <patternFill patternType="solid">
        <fgColor indexed="40"/>
        <bgColor indexed="64"/>
      </patternFill>
    </fill>
    <fill>
      <patternFill patternType="solid">
        <fgColor indexed="26"/>
        <bgColor indexed="64"/>
      </patternFill>
    </fill>
    <fill>
      <patternFill patternType="solid">
        <fgColor indexed="58"/>
        <bgColor indexed="64"/>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rgb="FFFFC000"/>
        <bgColor indexed="64"/>
      </patternFill>
    </fill>
    <fill>
      <patternFill patternType="lightUp">
        <bgColor rgb="FFF3EEEA"/>
      </patternFill>
    </fill>
    <fill>
      <patternFill patternType="solid">
        <fgColor theme="2"/>
        <bgColor indexed="64"/>
      </patternFill>
    </fill>
    <fill>
      <patternFill patternType="solid">
        <fgColor rgb="FFF0F0F0"/>
        <bgColor indexed="64"/>
      </patternFill>
    </fill>
    <fill>
      <patternFill patternType="solid">
        <fgColor rgb="FFF4CCCC"/>
        <bgColor indexed="64"/>
      </patternFill>
    </fill>
    <fill>
      <patternFill patternType="solid">
        <fgColor theme="8"/>
        <bgColor indexed="64"/>
      </patternFill>
    </fill>
    <fill>
      <patternFill patternType="solid">
        <fgColor theme="5" tint="0.79998168889431442"/>
        <bgColor indexed="64"/>
      </patternFill>
    </fill>
    <fill>
      <patternFill patternType="solid">
        <fgColor rgb="FFC9DAF8"/>
        <bgColor rgb="FFC9DAF8"/>
      </patternFill>
    </fill>
    <fill>
      <patternFill patternType="lightUp"/>
    </fill>
    <fill>
      <patternFill patternType="solid">
        <fgColor rgb="FFFDF5E6"/>
        <bgColor rgb="FFFDF5E6"/>
      </patternFill>
    </fill>
    <fill>
      <patternFill patternType="solid">
        <fgColor rgb="FFFFFFFF"/>
        <bgColor rgb="FFFFFFFF"/>
      </patternFill>
    </fill>
    <fill>
      <patternFill patternType="solid">
        <fgColor rgb="FFFFF7E1"/>
        <bgColor indexed="64"/>
      </patternFill>
    </fill>
    <fill>
      <patternFill patternType="lightUp">
        <bgColor rgb="FFFFFF00"/>
      </patternFill>
    </fill>
  </fills>
  <borders count="252">
    <border>
      <left/>
      <right/>
      <top/>
      <bottom/>
      <diagonal/>
    </border>
    <border>
      <left style="thin">
        <color rgb="FF7DA2CE"/>
      </left>
      <right style="thin">
        <color rgb="FF7DA2CE"/>
      </right>
      <top style="thin">
        <color rgb="FF7DA2CE"/>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theme="1" tint="0.499984740745262"/>
      </right>
      <top style="medium">
        <color indexed="64"/>
      </top>
      <bottom style="thin">
        <color theme="1" tint="0.499984740745262"/>
      </bottom>
      <diagonal/>
    </border>
    <border>
      <left style="thin">
        <color theme="1" tint="0.499984740745262"/>
      </left>
      <right style="thin">
        <color theme="1" tint="0.499984740745262"/>
      </right>
      <top style="medium">
        <color indexed="64"/>
      </top>
      <bottom style="thin">
        <color theme="1" tint="0.499984740745262"/>
      </bottom>
      <diagonal/>
    </border>
    <border>
      <left style="thin">
        <color theme="1" tint="0.499984740745262"/>
      </left>
      <right style="medium">
        <color indexed="64"/>
      </right>
      <top style="medium">
        <color indexed="64"/>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style="medium">
        <color indexed="64"/>
      </left>
      <right style="thin">
        <color theme="1" tint="0.499984740745262"/>
      </right>
      <top style="thin">
        <color theme="1" tint="0.499984740745262"/>
      </top>
      <bottom style="thin">
        <color theme="1" tint="0.499984740745262"/>
      </bottom>
      <diagonal/>
    </border>
    <border>
      <left style="thin">
        <color theme="1" tint="0.499984740745262"/>
      </left>
      <right style="medium">
        <color indexed="64"/>
      </right>
      <top style="thin">
        <color theme="1" tint="0.499984740745262"/>
      </top>
      <bottom style="thin">
        <color theme="1" tint="0.499984740745262"/>
      </bottom>
      <diagonal/>
    </border>
    <border>
      <left style="medium">
        <color indexed="64"/>
      </left>
      <right style="thin">
        <color theme="1" tint="0.499984740745262"/>
      </right>
      <top style="thin">
        <color theme="1" tint="0.499984740745262"/>
      </top>
      <bottom style="medium">
        <color indexed="64"/>
      </bottom>
      <diagonal/>
    </border>
    <border>
      <left style="thin">
        <color theme="1" tint="0.499984740745262"/>
      </left>
      <right style="thin">
        <color theme="1" tint="0.499984740745262"/>
      </right>
      <top style="thin">
        <color theme="1" tint="0.499984740745262"/>
      </top>
      <bottom style="medium">
        <color indexed="64"/>
      </bottom>
      <diagonal/>
    </border>
    <border>
      <left style="thin">
        <color theme="1" tint="0.499984740745262"/>
      </left>
      <right style="medium">
        <color indexed="64"/>
      </right>
      <top style="thin">
        <color theme="1" tint="0.499984740745262"/>
      </top>
      <bottom style="medium">
        <color indexed="64"/>
      </bottom>
      <diagonal/>
    </border>
    <border>
      <left style="thin">
        <color theme="1" tint="0.499984740745262"/>
      </left>
      <right/>
      <top style="medium">
        <color indexed="64"/>
      </top>
      <bottom style="thin">
        <color theme="1" tint="0.499984740745262"/>
      </bottom>
      <diagonal/>
    </border>
    <border>
      <left style="thin">
        <color theme="1" tint="0.499984740745262"/>
      </left>
      <right/>
      <top style="thin">
        <color theme="1" tint="0.499984740745262"/>
      </top>
      <bottom style="medium">
        <color indexed="64"/>
      </bottom>
      <diagonal/>
    </border>
    <border>
      <left/>
      <right style="thin">
        <color theme="1" tint="0.499984740745262"/>
      </right>
      <top style="medium">
        <color indexed="64"/>
      </top>
      <bottom style="thin">
        <color theme="1" tint="0.499984740745262"/>
      </bottom>
      <diagonal/>
    </border>
    <border>
      <left/>
      <right style="thin">
        <color theme="1" tint="0.499984740745262"/>
      </right>
      <top style="thin">
        <color theme="1" tint="0.499984740745262"/>
      </top>
      <bottom style="medium">
        <color indexed="64"/>
      </bottom>
      <diagonal/>
    </border>
    <border>
      <left style="medium">
        <color indexed="64"/>
      </left>
      <right style="thin">
        <color theme="2" tint="-9.9948118533890809E-2"/>
      </right>
      <top style="medium">
        <color indexed="64"/>
      </top>
      <bottom style="thin">
        <color theme="2" tint="-9.9948118533890809E-2"/>
      </bottom>
      <diagonal/>
    </border>
    <border>
      <left style="thin">
        <color theme="2" tint="-9.9948118533890809E-2"/>
      </left>
      <right style="thin">
        <color theme="2" tint="-9.9948118533890809E-2"/>
      </right>
      <top style="medium">
        <color indexed="64"/>
      </top>
      <bottom style="thin">
        <color theme="2" tint="-9.9948118533890809E-2"/>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medium">
        <color indexed="64"/>
      </left>
      <right style="thin">
        <color theme="2" tint="-9.9948118533890809E-2"/>
      </right>
      <top style="thin">
        <color theme="2" tint="-9.9948118533890809E-2"/>
      </top>
      <bottom style="thin">
        <color theme="2" tint="-9.9948118533890809E-2"/>
      </bottom>
      <diagonal/>
    </border>
    <border>
      <left style="medium">
        <color indexed="64"/>
      </left>
      <right style="thin">
        <color theme="2" tint="-9.9948118533890809E-2"/>
      </right>
      <top style="thin">
        <color theme="2" tint="-9.9948118533890809E-2"/>
      </top>
      <bottom style="medium">
        <color indexed="64"/>
      </bottom>
      <diagonal/>
    </border>
    <border>
      <left style="thin">
        <color theme="2" tint="-9.9948118533890809E-2"/>
      </left>
      <right style="thin">
        <color theme="2" tint="-9.9948118533890809E-2"/>
      </right>
      <top style="thin">
        <color theme="2" tint="-9.9948118533890809E-2"/>
      </top>
      <bottom style="medium">
        <color indexed="64"/>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medium">
        <color indexed="64"/>
      </left>
      <right style="thin">
        <color theme="0" tint="-4.9989318521683403E-2"/>
      </right>
      <top style="medium">
        <color indexed="64"/>
      </top>
      <bottom style="thin">
        <color theme="0" tint="-4.9989318521683403E-2"/>
      </bottom>
      <diagonal/>
    </border>
    <border>
      <left style="thin">
        <color theme="0" tint="-4.9989318521683403E-2"/>
      </left>
      <right style="thin">
        <color theme="0" tint="-4.9989318521683403E-2"/>
      </right>
      <top style="medium">
        <color indexed="64"/>
      </top>
      <bottom style="thin">
        <color theme="0" tint="-4.9989318521683403E-2"/>
      </bottom>
      <diagonal/>
    </border>
    <border>
      <left style="medium">
        <color indexed="64"/>
      </left>
      <right style="thin">
        <color theme="0" tint="-4.9989318521683403E-2"/>
      </right>
      <top style="thin">
        <color theme="0" tint="-4.9989318521683403E-2"/>
      </top>
      <bottom style="thin">
        <color theme="0" tint="-4.9989318521683403E-2"/>
      </bottom>
      <diagonal/>
    </border>
    <border>
      <left style="thin">
        <color theme="0" tint="-4.9989318521683403E-2"/>
      </left>
      <right style="medium">
        <color indexed="64"/>
      </right>
      <top style="thin">
        <color theme="0" tint="-4.9989318521683403E-2"/>
      </top>
      <bottom style="thin">
        <color theme="0" tint="-4.9989318521683403E-2"/>
      </bottom>
      <diagonal/>
    </border>
    <border>
      <left style="medium">
        <color indexed="64"/>
      </left>
      <right style="thin">
        <color theme="0" tint="-4.9989318521683403E-2"/>
      </right>
      <top style="thin">
        <color theme="0" tint="-4.9989318521683403E-2"/>
      </top>
      <bottom style="medium">
        <color indexed="64"/>
      </bottom>
      <diagonal/>
    </border>
    <border>
      <left style="thin">
        <color theme="0" tint="-4.9989318521683403E-2"/>
      </left>
      <right style="thin">
        <color theme="0" tint="-4.9989318521683403E-2"/>
      </right>
      <top style="thin">
        <color theme="0" tint="-4.9989318521683403E-2"/>
      </top>
      <bottom style="medium">
        <color indexed="64"/>
      </bottom>
      <diagonal/>
    </border>
    <border>
      <left style="thin">
        <color theme="0" tint="-4.9989318521683403E-2"/>
      </left>
      <right style="medium">
        <color indexed="64"/>
      </right>
      <top style="thin">
        <color theme="0" tint="-4.9989318521683403E-2"/>
      </top>
      <bottom style="medium">
        <color indexed="64"/>
      </bottom>
      <diagonal/>
    </border>
    <border>
      <left/>
      <right/>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thin">
        <color rgb="FF8DA1DE"/>
      </left>
      <right style="thin">
        <color rgb="FF8DA1DE"/>
      </right>
      <top style="thin">
        <color rgb="FF8DA1DE"/>
      </top>
      <bottom/>
      <diagonal/>
    </border>
    <border>
      <left style="thin">
        <color rgb="FFE3E3E3"/>
      </left>
      <right style="thin">
        <color rgb="FFE3E3E3"/>
      </right>
      <top style="thin">
        <color rgb="FFE3E3E3"/>
      </top>
      <bottom style="thin">
        <color rgb="FFE3E3E3"/>
      </bottom>
      <diagonal/>
    </border>
    <border>
      <left style="thin">
        <color rgb="FF8DA1DE"/>
      </left>
      <right style="thin">
        <color rgb="FF8DA1DE"/>
      </right>
      <top/>
      <bottom/>
      <diagonal/>
    </border>
    <border>
      <left style="thin">
        <color theme="2" tint="-9.9948118533890809E-2"/>
      </left>
      <right/>
      <top style="medium">
        <color indexed="64"/>
      </top>
      <bottom style="thin">
        <color theme="2" tint="-9.9948118533890809E-2"/>
      </bottom>
      <diagonal/>
    </border>
    <border>
      <left style="thin">
        <color theme="2" tint="-9.9948118533890809E-2"/>
      </left>
      <right/>
      <top style="thin">
        <color theme="2" tint="-9.9948118533890809E-2"/>
      </top>
      <bottom style="thin">
        <color theme="2" tint="-9.9948118533890809E-2"/>
      </bottom>
      <diagonal/>
    </border>
    <border>
      <left style="thin">
        <color theme="2" tint="-9.9948118533890809E-2"/>
      </left>
      <right/>
      <top style="thin">
        <color theme="2" tint="-9.9948118533890809E-2"/>
      </top>
      <bottom style="medium">
        <color indexed="64"/>
      </bottom>
      <diagonal/>
    </border>
    <border>
      <left/>
      <right style="thin">
        <color theme="2" tint="-9.9948118533890809E-2"/>
      </right>
      <top style="medium">
        <color indexed="64"/>
      </top>
      <bottom style="thin">
        <color theme="2" tint="-9.9948118533890809E-2"/>
      </bottom>
      <diagonal/>
    </border>
    <border>
      <left/>
      <right style="thin">
        <color theme="2" tint="-9.9948118533890809E-2"/>
      </right>
      <top style="thin">
        <color theme="2" tint="-9.9948118533890809E-2"/>
      </top>
      <bottom style="thin">
        <color theme="2" tint="-9.9948118533890809E-2"/>
      </bottom>
      <diagonal/>
    </border>
    <border>
      <left/>
      <right style="thin">
        <color theme="2" tint="-9.9948118533890809E-2"/>
      </right>
      <top style="thin">
        <color theme="2" tint="-9.9948118533890809E-2"/>
      </top>
      <bottom style="medium">
        <color indexed="64"/>
      </bottom>
      <diagonal/>
    </border>
    <border>
      <left style="medium">
        <color rgb="FFFF0000"/>
      </left>
      <right style="medium">
        <color rgb="FFFF0000"/>
      </right>
      <top style="medium">
        <color rgb="FFFF0000"/>
      </top>
      <bottom style="thin">
        <color theme="2" tint="-9.9948118533890809E-2"/>
      </bottom>
      <diagonal/>
    </border>
    <border>
      <left style="medium">
        <color rgb="FFFF0000"/>
      </left>
      <right style="medium">
        <color rgb="FFFF0000"/>
      </right>
      <top style="thin">
        <color theme="2" tint="-9.9948118533890809E-2"/>
      </top>
      <bottom style="thin">
        <color theme="2" tint="-9.9948118533890809E-2"/>
      </bottom>
      <diagonal/>
    </border>
    <border>
      <left style="medium">
        <color rgb="FFFF0000"/>
      </left>
      <right style="medium">
        <color rgb="FFFF0000"/>
      </right>
      <top style="thin">
        <color theme="2" tint="-9.9948118533890809E-2"/>
      </top>
      <bottom style="medium">
        <color rgb="FFFF0000"/>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medium">
        <color indexed="64"/>
      </left>
      <right style="thin">
        <color theme="0" tint="-0.24994659260841701"/>
      </right>
      <top style="medium">
        <color indexed="64"/>
      </top>
      <bottom style="thin">
        <color theme="0" tint="-0.24994659260841701"/>
      </bottom>
      <diagonal/>
    </border>
    <border>
      <left style="thin">
        <color theme="0" tint="-0.24994659260841701"/>
      </left>
      <right style="thin">
        <color theme="0" tint="-0.24994659260841701"/>
      </right>
      <top style="medium">
        <color indexed="64"/>
      </top>
      <bottom style="thin">
        <color theme="0" tint="-0.24994659260841701"/>
      </bottom>
      <diagonal/>
    </border>
    <border>
      <left style="medium">
        <color indexed="64"/>
      </left>
      <right style="thin">
        <color theme="0" tint="-0.24994659260841701"/>
      </right>
      <top style="thin">
        <color theme="0" tint="-0.24994659260841701"/>
      </top>
      <bottom style="thin">
        <color theme="0" tint="-0.24994659260841701"/>
      </bottom>
      <diagonal/>
    </border>
    <border>
      <left style="medium">
        <color indexed="64"/>
      </left>
      <right style="thin">
        <color theme="0" tint="-0.24994659260841701"/>
      </right>
      <top style="thin">
        <color theme="0" tint="-0.24994659260841701"/>
      </top>
      <bottom style="medium">
        <color indexed="64"/>
      </bottom>
      <diagonal/>
    </border>
    <border>
      <left style="thin">
        <color theme="0" tint="-0.24994659260841701"/>
      </left>
      <right style="thin">
        <color theme="0" tint="-0.24994659260841701"/>
      </right>
      <top style="thin">
        <color theme="0" tint="-0.24994659260841701"/>
      </top>
      <bottom style="medium">
        <color indexed="64"/>
      </bottom>
      <diagonal/>
    </border>
    <border>
      <left/>
      <right style="medium">
        <color indexed="64"/>
      </right>
      <top style="medium">
        <color indexed="64"/>
      </top>
      <bottom style="thin">
        <color theme="0" tint="-0.24994659260841701"/>
      </bottom>
      <diagonal/>
    </border>
    <border>
      <left/>
      <right style="medium">
        <color indexed="64"/>
      </right>
      <top style="thin">
        <color theme="0" tint="-0.24994659260841701"/>
      </top>
      <bottom style="thin">
        <color theme="0" tint="-0.24994659260841701"/>
      </bottom>
      <diagonal/>
    </border>
    <border>
      <left/>
      <right style="medium">
        <color indexed="64"/>
      </right>
      <top style="thin">
        <color theme="0" tint="-0.24994659260841701"/>
      </top>
      <bottom style="medium">
        <color indexed="64"/>
      </bottom>
      <diagonal/>
    </border>
    <border>
      <left style="thick">
        <color rgb="FFFF0000"/>
      </left>
      <right style="thin">
        <color theme="0" tint="-0.24994659260841701"/>
      </right>
      <top style="thick">
        <color rgb="FFFF0000"/>
      </top>
      <bottom style="thin">
        <color theme="0" tint="-0.24994659260841701"/>
      </bottom>
      <diagonal/>
    </border>
    <border>
      <left style="thin">
        <color theme="0" tint="-0.24994659260841701"/>
      </left>
      <right style="thick">
        <color rgb="FFFF0000"/>
      </right>
      <top style="thick">
        <color rgb="FFFF0000"/>
      </top>
      <bottom style="thin">
        <color theme="0" tint="-0.24994659260841701"/>
      </bottom>
      <diagonal/>
    </border>
    <border>
      <left style="thick">
        <color rgb="FFFF0000"/>
      </left>
      <right style="thin">
        <color theme="0" tint="-0.24994659260841701"/>
      </right>
      <top style="thin">
        <color theme="0" tint="-0.24994659260841701"/>
      </top>
      <bottom style="thin">
        <color theme="0" tint="-0.24994659260841701"/>
      </bottom>
      <diagonal/>
    </border>
    <border>
      <left style="thin">
        <color theme="0" tint="-0.24994659260841701"/>
      </left>
      <right style="thick">
        <color rgb="FFFF0000"/>
      </right>
      <top style="thin">
        <color theme="0" tint="-0.24994659260841701"/>
      </top>
      <bottom style="thin">
        <color theme="0" tint="-0.24994659260841701"/>
      </bottom>
      <diagonal/>
    </border>
    <border>
      <left style="thick">
        <color rgb="FFFF0000"/>
      </left>
      <right style="thin">
        <color theme="0" tint="-0.24994659260841701"/>
      </right>
      <top style="thin">
        <color theme="0" tint="-0.24994659260841701"/>
      </top>
      <bottom style="thick">
        <color rgb="FFFF0000"/>
      </bottom>
      <diagonal/>
    </border>
    <border>
      <left style="thin">
        <color theme="0" tint="-0.24994659260841701"/>
      </left>
      <right style="thick">
        <color rgb="FFFF0000"/>
      </right>
      <top style="thin">
        <color theme="0" tint="-0.24994659260841701"/>
      </top>
      <bottom style="thick">
        <color rgb="FFFF0000"/>
      </bottom>
      <diagonal/>
    </border>
    <border>
      <left style="thin">
        <color theme="0" tint="-0.24994659260841701"/>
      </left>
      <right/>
      <top style="medium">
        <color indexed="64"/>
      </top>
      <bottom style="thin">
        <color theme="0" tint="-0.24994659260841701"/>
      </bottom>
      <diagonal/>
    </border>
    <border>
      <left style="thin">
        <color theme="0" tint="-0.24994659260841701"/>
      </left>
      <right/>
      <top style="thin">
        <color theme="0" tint="-0.24994659260841701"/>
      </top>
      <bottom style="medium">
        <color indexed="64"/>
      </bottom>
      <diagonal/>
    </border>
    <border>
      <left style="medium">
        <color indexed="64"/>
      </left>
      <right style="thin">
        <color theme="1" tint="0.499984740745262"/>
      </right>
      <top style="medium">
        <color indexed="64"/>
      </top>
      <bottom/>
      <diagonal/>
    </border>
    <border>
      <left style="thin">
        <color theme="1" tint="0.499984740745262"/>
      </left>
      <right style="thin">
        <color theme="1" tint="0.499984740745262"/>
      </right>
      <top style="medium">
        <color indexed="64"/>
      </top>
      <bottom/>
      <diagonal/>
    </border>
    <border>
      <left style="thin">
        <color theme="1" tint="0.499984740745262"/>
      </left>
      <right/>
      <top style="medium">
        <color indexed="64"/>
      </top>
      <bottom/>
      <diagonal/>
    </border>
    <border>
      <left style="thin">
        <color theme="1" tint="0.499984740745262"/>
      </left>
      <right style="medium">
        <color indexed="64"/>
      </right>
      <top style="medium">
        <color indexed="64"/>
      </top>
      <bottom/>
      <diagonal/>
    </border>
    <border>
      <left/>
      <right style="thin">
        <color theme="1" tint="0.499984740745262"/>
      </right>
      <top style="medium">
        <color indexed="64"/>
      </top>
      <bottom/>
      <diagonal/>
    </border>
    <border>
      <left/>
      <right/>
      <top style="thin">
        <color indexed="64"/>
      </top>
      <bottom style="double">
        <color indexed="64"/>
      </bottom>
      <diagonal/>
    </border>
    <border>
      <left/>
      <right/>
      <top style="thin">
        <color indexed="64"/>
      </top>
      <bottom style="thin">
        <color indexed="64"/>
      </bottom>
      <diagonal/>
    </border>
    <border>
      <left/>
      <right/>
      <top/>
      <bottom style="double">
        <color indexed="64"/>
      </bottom>
      <diagonal/>
    </border>
    <border>
      <left/>
      <right/>
      <top/>
      <bottom style="thin">
        <color indexed="8"/>
      </bottom>
      <diagonal/>
    </border>
    <border>
      <left style="thin">
        <color indexed="8"/>
      </left>
      <right style="thin">
        <color rgb="FFA0A0A0"/>
      </right>
      <top/>
      <bottom style="thin">
        <color rgb="FFA0A0A0"/>
      </bottom>
      <diagonal/>
    </border>
    <border>
      <left/>
      <right style="thin">
        <color rgb="FFA0A0A0"/>
      </right>
      <top/>
      <bottom style="thin">
        <color rgb="FFA0A0A0"/>
      </bottom>
      <diagonal/>
    </border>
    <border>
      <left/>
      <right style="thin">
        <color indexed="8"/>
      </right>
      <top/>
      <bottom style="thin">
        <color rgb="FFA0A0A0"/>
      </bottom>
      <diagonal/>
    </border>
    <border>
      <left style="thin">
        <color indexed="8"/>
      </left>
      <right style="thin">
        <color rgb="FFE3E3E3"/>
      </right>
      <top/>
      <bottom style="thin">
        <color rgb="FFE3E3E3"/>
      </bottom>
      <diagonal/>
    </border>
    <border>
      <left/>
      <right style="thin">
        <color rgb="FFE3E3E3"/>
      </right>
      <top/>
      <bottom style="thin">
        <color rgb="FFE3E3E3"/>
      </bottom>
      <diagonal/>
    </border>
    <border>
      <left style="thin">
        <color indexed="8"/>
      </left>
      <right style="thin">
        <color rgb="FFE3E3E3"/>
      </right>
      <top/>
      <bottom style="thin">
        <color indexed="8"/>
      </bottom>
      <diagonal/>
    </border>
    <border>
      <left/>
      <right style="thin">
        <color rgb="FFE3E3E3"/>
      </right>
      <top/>
      <bottom style="thin">
        <color indexed="8"/>
      </bottom>
      <diagonal/>
    </border>
    <border>
      <left/>
      <right style="thin">
        <color indexed="8"/>
      </right>
      <top/>
      <bottom style="thin">
        <color indexed="8"/>
      </bottom>
      <diagonal/>
    </border>
    <border>
      <left style="thin">
        <color rgb="FF000000"/>
      </left>
      <right style="thin">
        <color rgb="FFA0A0A0"/>
      </right>
      <top style="thin">
        <color rgb="FF000000"/>
      </top>
      <bottom style="thin">
        <color rgb="FFA0A0A0"/>
      </bottom>
      <diagonal/>
    </border>
    <border>
      <left/>
      <right style="thin">
        <color rgb="FFA0A0A0"/>
      </right>
      <top style="thin">
        <color rgb="FF000000"/>
      </top>
      <bottom style="thin">
        <color rgb="FFA0A0A0"/>
      </bottom>
      <diagonal/>
    </border>
    <border>
      <left/>
      <right style="thin">
        <color rgb="FF000000"/>
      </right>
      <top style="thin">
        <color rgb="FF000000"/>
      </top>
      <bottom style="thin">
        <color rgb="FFA0A0A0"/>
      </bottom>
      <diagonal/>
    </border>
    <border>
      <left style="thin">
        <color rgb="FF000000"/>
      </left>
      <right style="thin">
        <color rgb="FFA0A0A0"/>
      </right>
      <top/>
      <bottom style="thin">
        <color rgb="FFA0A0A0"/>
      </bottom>
      <diagonal/>
    </border>
    <border>
      <left/>
      <right style="thin">
        <color rgb="FF000000"/>
      </right>
      <top/>
      <bottom style="thin">
        <color rgb="FFA0A0A0"/>
      </bottom>
      <diagonal/>
    </border>
    <border>
      <left/>
      <right style="thin">
        <color rgb="FF000000"/>
      </right>
      <top/>
      <bottom/>
      <diagonal/>
    </border>
    <border>
      <left style="thin">
        <color rgb="FF000000"/>
      </left>
      <right style="thin">
        <color rgb="FFE3E3E3"/>
      </right>
      <top/>
      <bottom style="thin">
        <color rgb="FFE3E3E3"/>
      </bottom>
      <diagonal/>
    </border>
    <border>
      <left/>
      <right style="thin">
        <color rgb="FF000000"/>
      </right>
      <top/>
      <bottom style="thin">
        <color rgb="FFE3E3E3"/>
      </bottom>
      <diagonal/>
    </border>
    <border>
      <left/>
      <right style="thin">
        <color theme="0" tint="-4.9989318521683403E-2"/>
      </right>
      <top style="medium">
        <color indexed="64"/>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style="thin">
        <color theme="0" tint="-4.9989318521683403E-2"/>
      </right>
      <top style="thin">
        <color theme="0" tint="-4.9989318521683403E-2"/>
      </top>
      <bottom style="medium">
        <color indexed="64"/>
      </bottom>
      <diagonal/>
    </border>
    <border>
      <left style="medium">
        <color indexed="64"/>
      </left>
      <right style="thin">
        <color theme="0" tint="-4.9989318521683403E-2"/>
      </right>
      <top style="thin">
        <color theme="0" tint="-4.9989318521683403E-2"/>
      </top>
      <bottom/>
      <diagonal/>
    </border>
    <border>
      <left/>
      <right style="thin">
        <color theme="0" tint="-4.9989318521683403E-2"/>
      </right>
      <top style="thin">
        <color theme="0" tint="-4.9989318521683403E-2"/>
      </top>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medium">
        <color indexed="64"/>
      </right>
      <top style="thin">
        <color theme="0" tint="-4.9989318521683403E-2"/>
      </top>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style="thin">
        <color theme="0" tint="-0.24994659260841701"/>
      </right>
      <top style="medium">
        <color indexed="64"/>
      </top>
      <bottom/>
      <diagonal/>
    </border>
    <border>
      <left style="thin">
        <color theme="0" tint="-0.24994659260841701"/>
      </left>
      <right style="thin">
        <color theme="0" tint="-0.24994659260841701"/>
      </right>
      <top style="medium">
        <color indexed="64"/>
      </top>
      <bottom/>
      <diagonal/>
    </border>
    <border>
      <left style="thin">
        <color theme="0" tint="-0.24994659260841701"/>
      </left>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medium">
        <color indexed="64"/>
      </right>
      <top style="hair">
        <color indexed="64"/>
      </top>
      <bottom style="medium">
        <color indexed="64"/>
      </bottom>
      <diagonal/>
    </border>
    <border>
      <left/>
      <right/>
      <top/>
      <bottom style="thick">
        <color theme="4"/>
      </bottom>
      <diagonal/>
    </border>
    <border>
      <left style="thin">
        <color indexed="22"/>
      </left>
      <right style="thin">
        <color indexed="22"/>
      </right>
      <top style="thin">
        <color indexed="22"/>
      </top>
      <bottom style="thin">
        <color indexed="22"/>
      </bottom>
      <diagonal/>
    </border>
    <border>
      <left style="medium">
        <color indexed="64"/>
      </left>
      <right style="dotted">
        <color theme="0" tint="-0.14996795556505021"/>
      </right>
      <top style="dotted">
        <color theme="0" tint="-0.14996795556505021"/>
      </top>
      <bottom style="dotted">
        <color theme="0" tint="-0.14996795556505021"/>
      </bottom>
      <diagonal/>
    </border>
    <border>
      <left style="dotted">
        <color theme="0" tint="-0.14996795556505021"/>
      </left>
      <right style="dotted">
        <color theme="0" tint="-0.14996795556505021"/>
      </right>
      <top style="dotted">
        <color theme="0" tint="-0.14996795556505021"/>
      </top>
      <bottom style="dotted">
        <color theme="0" tint="-0.14996795556505021"/>
      </bottom>
      <diagonal/>
    </border>
    <border>
      <left style="dotted">
        <color theme="0" tint="-0.14996795556505021"/>
      </left>
      <right style="medium">
        <color indexed="64"/>
      </right>
      <top style="dotted">
        <color theme="0" tint="-0.14996795556505021"/>
      </top>
      <bottom style="dotted">
        <color theme="0" tint="-0.14996795556505021"/>
      </bottom>
      <diagonal/>
    </border>
    <border>
      <left style="medium">
        <color indexed="64"/>
      </left>
      <right style="dotted">
        <color theme="0" tint="-0.14996795556505021"/>
      </right>
      <top style="dotted">
        <color theme="0" tint="-0.14996795556505021"/>
      </top>
      <bottom style="medium">
        <color indexed="64"/>
      </bottom>
      <diagonal/>
    </border>
    <border>
      <left style="dotted">
        <color theme="0" tint="-0.14996795556505021"/>
      </left>
      <right style="dotted">
        <color theme="0" tint="-0.14996795556505021"/>
      </right>
      <top style="dotted">
        <color theme="0" tint="-0.14996795556505021"/>
      </top>
      <bottom style="medium">
        <color indexed="64"/>
      </bottom>
      <diagonal/>
    </border>
    <border>
      <left style="dotted">
        <color theme="0" tint="-0.14996795556505021"/>
      </left>
      <right style="medium">
        <color indexed="64"/>
      </right>
      <top style="dotted">
        <color theme="0" tint="-0.14996795556505021"/>
      </top>
      <bottom style="medium">
        <color indexed="64"/>
      </bottom>
      <diagonal/>
    </border>
    <border>
      <left style="dotted">
        <color theme="0" tint="-0.14996795556505021"/>
      </left>
      <right/>
      <top style="dotted">
        <color theme="0" tint="-0.14996795556505021"/>
      </top>
      <bottom style="dotted">
        <color theme="0" tint="-0.14996795556505021"/>
      </bottom>
      <diagonal/>
    </border>
    <border>
      <left style="dotted">
        <color theme="0" tint="-0.14996795556505021"/>
      </left>
      <right/>
      <top style="dotted">
        <color theme="0" tint="-0.14996795556505021"/>
      </top>
      <bottom style="medium">
        <color indexed="64"/>
      </bottom>
      <diagonal/>
    </border>
    <border>
      <left/>
      <right style="dotted">
        <color theme="0" tint="-0.14996795556505021"/>
      </right>
      <top style="dotted">
        <color theme="0" tint="-0.14996795556505021"/>
      </top>
      <bottom style="dotted">
        <color theme="0" tint="-0.14996795556505021"/>
      </bottom>
      <diagonal/>
    </border>
    <border>
      <left/>
      <right style="dotted">
        <color theme="0" tint="-0.14996795556505021"/>
      </right>
      <top style="dotted">
        <color theme="0" tint="-0.14996795556505021"/>
      </top>
      <bottom style="medium">
        <color indexed="64"/>
      </bottom>
      <diagonal/>
    </border>
    <border>
      <left style="medium">
        <color indexed="64"/>
      </left>
      <right style="dotted">
        <color theme="0" tint="-0.14996795556505021"/>
      </right>
      <top style="dotted">
        <color theme="0" tint="-0.14996795556505021"/>
      </top>
      <bottom/>
      <diagonal/>
    </border>
    <border>
      <left style="dotted">
        <color theme="0" tint="-0.14996795556505021"/>
      </left>
      <right style="dotted">
        <color theme="0" tint="-0.14996795556505021"/>
      </right>
      <top style="dotted">
        <color theme="0" tint="-0.14996795556505021"/>
      </top>
      <bottom/>
      <diagonal/>
    </border>
    <border>
      <left style="dotted">
        <color theme="0" tint="-0.14996795556505021"/>
      </left>
      <right/>
      <top style="dotted">
        <color theme="0" tint="-0.14996795556505021"/>
      </top>
      <bottom/>
      <diagonal/>
    </border>
    <border>
      <left style="dotted">
        <color theme="0" tint="-0.14996795556505021"/>
      </left>
      <right style="medium">
        <color indexed="64"/>
      </right>
      <top style="dotted">
        <color theme="0" tint="-0.14996795556505021"/>
      </top>
      <bottom/>
      <diagonal/>
    </border>
    <border>
      <left/>
      <right style="dotted">
        <color theme="0" tint="-0.14996795556505021"/>
      </right>
      <top style="dotted">
        <color theme="0" tint="-0.14996795556505021"/>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8"/>
      </left>
      <right/>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hair">
        <color auto="1"/>
      </left>
      <right style="hair">
        <color auto="1"/>
      </right>
      <top/>
      <bottom style="hair">
        <color auto="1"/>
      </bottom>
      <diagonal/>
    </border>
    <border>
      <left/>
      <right style="thin">
        <color theme="0" tint="-0.24994659260841701"/>
      </right>
      <top style="thin">
        <color theme="0" tint="-0.24994659260841701"/>
      </top>
      <bottom style="thin">
        <color theme="0" tint="-0.24994659260841701"/>
      </bottom>
      <diagonal/>
    </border>
    <border>
      <left/>
      <right style="thin">
        <color theme="0" tint="-0.24994659260841701"/>
      </right>
      <top style="medium">
        <color indexed="64"/>
      </top>
      <bottom style="thin">
        <color theme="0" tint="-0.24994659260841701"/>
      </bottom>
      <diagonal/>
    </border>
    <border>
      <left/>
      <right style="thin">
        <color theme="0" tint="-0.24994659260841701"/>
      </right>
      <top style="thin">
        <color theme="0" tint="-0.24994659260841701"/>
      </top>
      <bottom style="medium">
        <color indexed="64"/>
      </bottom>
      <diagonal/>
    </border>
    <border>
      <left style="medium">
        <color rgb="FFFF0000"/>
      </left>
      <right style="medium">
        <color rgb="FFFF0000"/>
      </right>
      <top style="medium">
        <color rgb="FFFF0000"/>
      </top>
      <bottom style="thin">
        <color theme="0" tint="-0.24994659260841701"/>
      </bottom>
      <diagonal/>
    </border>
    <border>
      <left style="medium">
        <color rgb="FFFF0000"/>
      </left>
      <right style="medium">
        <color rgb="FFFF0000"/>
      </right>
      <top style="thin">
        <color theme="0" tint="-0.24994659260841701"/>
      </top>
      <bottom style="thin">
        <color theme="0" tint="-0.24994659260841701"/>
      </bottom>
      <diagonal/>
    </border>
    <border>
      <left style="medium">
        <color rgb="FFFF0000"/>
      </left>
      <right style="medium">
        <color rgb="FFFF0000"/>
      </right>
      <top style="thin">
        <color theme="0" tint="-0.24994659260841701"/>
      </top>
      <bottom style="medium">
        <color rgb="FFFF0000"/>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medium">
        <color rgb="FFFF0000"/>
      </right>
      <top style="medium">
        <color rgb="FFFF0000"/>
      </top>
      <bottom/>
      <diagonal/>
    </border>
    <border>
      <left/>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top style="thin">
        <color rgb="FF000000"/>
      </top>
      <bottom style="double">
        <color rgb="FF000000"/>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style="thin">
        <color auto="1"/>
      </left>
      <right style="thin">
        <color auto="1"/>
      </right>
      <top style="thin">
        <color auto="1"/>
      </top>
      <bottom/>
      <diagonal/>
    </border>
    <border>
      <left/>
      <right/>
      <top style="thin">
        <color indexed="64"/>
      </top>
      <bottom/>
      <diagonal/>
    </border>
    <border>
      <left/>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double">
        <color indexed="64"/>
      </top>
      <bottom style="hair">
        <color indexed="64"/>
      </bottom>
      <diagonal/>
    </border>
    <border>
      <left/>
      <right/>
      <top style="double">
        <color indexed="64"/>
      </top>
      <bottom style="double">
        <color indexed="64"/>
      </bottom>
      <diagonal/>
    </border>
    <border>
      <left/>
      <right style="medium">
        <color indexed="0"/>
      </right>
      <top/>
      <bottom/>
      <diagonal/>
    </border>
    <border>
      <left/>
      <right style="medium">
        <color indexed="64"/>
      </right>
      <top/>
      <bottom style="dotted">
        <color theme="0" tint="-0.14996795556505021"/>
      </bottom>
      <diagonal/>
    </border>
    <border>
      <left style="medium">
        <color indexed="64"/>
      </left>
      <right style="dotted">
        <color theme="0" tint="-0.14996795556505021"/>
      </right>
      <top/>
      <bottom/>
      <diagonal/>
    </border>
    <border>
      <left style="dotted">
        <color theme="0" tint="-0.14996795556505021"/>
      </left>
      <right style="medium">
        <color indexed="64"/>
      </right>
      <top/>
      <bottom/>
      <diagonal/>
    </border>
    <border>
      <left style="dotted">
        <color theme="0" tint="-0.14996795556505021"/>
      </left>
      <right style="medium">
        <color indexed="64"/>
      </right>
      <top/>
      <bottom style="dotted">
        <color theme="0" tint="-0.14996795556505021"/>
      </bottom>
      <diagonal/>
    </border>
    <border>
      <left style="medium">
        <color auto="1"/>
      </left>
      <right/>
      <top/>
      <bottom style="medium">
        <color auto="1"/>
      </bottom>
      <diagonal/>
    </border>
    <border>
      <left/>
      <right style="medium">
        <color indexed="64"/>
      </right>
      <top style="dotted">
        <color theme="0" tint="-0.14993743705557422"/>
      </top>
      <bottom style="dotted">
        <color theme="0" tint="-0.14993743705557422"/>
      </bottom>
      <diagonal/>
    </border>
    <border>
      <left style="medium">
        <color indexed="64"/>
      </left>
      <right style="dotted">
        <color theme="0" tint="-0.14996795556505021"/>
      </right>
      <top style="medium">
        <color indexed="64"/>
      </top>
      <bottom/>
      <diagonal/>
    </border>
    <border>
      <left style="dotted">
        <color theme="0" tint="-0.14996795556505021"/>
      </left>
      <right style="dotted">
        <color theme="0" tint="-0.14996795556505021"/>
      </right>
      <top style="medium">
        <color indexed="64"/>
      </top>
      <bottom/>
      <diagonal/>
    </border>
    <border>
      <left style="dotted">
        <color theme="0" tint="-0.14996795556505021"/>
      </left>
      <right/>
      <top style="medium">
        <color indexed="64"/>
      </top>
      <bottom/>
      <diagonal/>
    </border>
    <border>
      <left style="dotted">
        <color theme="0" tint="-0.14996795556505021"/>
      </left>
      <right style="medium">
        <color indexed="64"/>
      </right>
      <top style="medium">
        <color indexed="64"/>
      </top>
      <bottom/>
      <diagonal/>
    </border>
    <border>
      <left/>
      <right style="dotted">
        <color theme="0" tint="-0.14996795556505021"/>
      </right>
      <top style="medium">
        <color indexed="64"/>
      </top>
      <bottom/>
      <diagonal/>
    </border>
    <border>
      <left style="medium">
        <color indexed="64"/>
      </left>
      <right style="dotted">
        <color theme="0" tint="-0.14996795556505021"/>
      </right>
      <top/>
      <bottom style="medium">
        <color indexed="64"/>
      </bottom>
      <diagonal/>
    </border>
    <border>
      <left style="dotted">
        <color theme="0" tint="-0.14996795556505021"/>
      </left>
      <right style="medium">
        <color indexed="64"/>
      </right>
      <top/>
      <bottom style="medium">
        <color indexed="64"/>
      </bottom>
      <diagonal/>
    </border>
    <border>
      <left style="medium">
        <color indexed="64"/>
      </left>
      <right style="dotted">
        <color theme="0" tint="-0.14996795556505021"/>
      </right>
      <top style="dotted">
        <color theme="0" tint="-0.14993743705557422"/>
      </top>
      <bottom style="dotted">
        <color theme="0" tint="-0.14993743705557422"/>
      </bottom>
      <diagonal/>
    </border>
    <border>
      <left style="dotted">
        <color theme="0" tint="-0.14996795556505021"/>
      </left>
      <right style="dotted">
        <color theme="0" tint="-0.14996795556505021"/>
      </right>
      <top style="dotted">
        <color theme="0" tint="-0.14993743705557422"/>
      </top>
      <bottom style="dotted">
        <color theme="0" tint="-0.14993743705557422"/>
      </bottom>
      <diagonal/>
    </border>
    <border>
      <left style="dotted">
        <color theme="0" tint="-0.14996795556505021"/>
      </left>
      <right/>
      <top style="dotted">
        <color theme="0" tint="-0.14993743705557422"/>
      </top>
      <bottom style="dotted">
        <color theme="0" tint="-0.14993743705557422"/>
      </bottom>
      <diagonal/>
    </border>
    <border>
      <left style="dotted">
        <color theme="0" tint="-0.14996795556505021"/>
      </left>
      <right style="medium">
        <color indexed="64"/>
      </right>
      <top style="dotted">
        <color theme="0" tint="-0.14993743705557422"/>
      </top>
      <bottom style="dotted">
        <color theme="0" tint="-0.14993743705557422"/>
      </bottom>
      <diagonal/>
    </border>
    <border>
      <left/>
      <right style="dotted">
        <color theme="0" tint="-0.14996795556505021"/>
      </right>
      <top style="dotted">
        <color theme="0" tint="-0.14993743705557422"/>
      </top>
      <bottom style="dotted">
        <color theme="0" tint="-0.14993743705557422"/>
      </bottom>
      <diagonal/>
    </border>
    <border>
      <left/>
      <right/>
      <top style="dotted">
        <color theme="0" tint="-0.14993743705557422"/>
      </top>
      <bottom style="dotted">
        <color theme="0" tint="-0.14993743705557422"/>
      </bottom>
      <diagonal/>
    </border>
    <border>
      <left style="medium">
        <color indexed="64"/>
      </left>
      <right/>
      <top style="dotted">
        <color theme="0" tint="-0.14993743705557422"/>
      </top>
      <bottom style="dotted">
        <color theme="0" tint="-0.14993743705557422"/>
      </bottom>
      <diagonal/>
    </border>
    <border>
      <left style="dotted">
        <color rgb="FFD9D9D9"/>
      </left>
      <right/>
      <top style="dotted">
        <color theme="0" tint="-0.14993743705557422"/>
      </top>
      <bottom style="dotted">
        <color theme="0" tint="-0.14993743705557422"/>
      </bottom>
      <diagonal/>
    </border>
    <border>
      <left style="thin">
        <color rgb="FF8DA1DE"/>
      </left>
      <right/>
      <top style="thin">
        <color rgb="FF8DA1DE"/>
      </top>
      <bottom style="thin">
        <color rgb="FF8DA1DE"/>
      </bottom>
      <diagonal/>
    </border>
    <border>
      <left/>
      <right style="thin">
        <color rgb="FF8DA1DE"/>
      </right>
      <top style="thin">
        <color rgb="FF8DA1DE"/>
      </top>
      <bottom style="thin">
        <color rgb="FF8DA1DE"/>
      </bottom>
      <diagonal/>
    </border>
    <border>
      <left style="thin">
        <color rgb="FF8DA1DE"/>
      </left>
      <right style="thin">
        <color rgb="FF8DA1DE"/>
      </right>
      <top/>
      <bottom style="thin">
        <color rgb="FF8DA1DE"/>
      </bottom>
      <diagonal/>
    </border>
    <border>
      <left style="thin">
        <color rgb="FF8DA1DE"/>
      </left>
      <right style="thin">
        <color rgb="FF8DA1DE"/>
      </right>
      <top style="thin">
        <color rgb="FF8DA1DE"/>
      </top>
      <bottom style="thin">
        <color rgb="FF8DA1DE"/>
      </bottom>
      <diagonal/>
    </border>
    <border>
      <left style="thin">
        <color rgb="FFE3E3E3"/>
      </left>
      <right style="thin">
        <color rgb="FFE3E3E3"/>
      </right>
      <top/>
      <bottom style="thin">
        <color rgb="FFE3E3E3"/>
      </bottom>
      <diagonal/>
    </border>
    <border>
      <left/>
      <right/>
      <top/>
      <bottom style="thin">
        <color rgb="FF000000"/>
      </bottom>
      <diagonal/>
    </border>
    <border>
      <left/>
      <right/>
      <top style="thin">
        <color rgb="FF000000"/>
      </top>
      <bottom/>
      <diagonal/>
    </border>
    <border>
      <left style="thin">
        <color rgb="FFCCCCCC"/>
      </left>
      <right/>
      <top/>
      <bottom/>
      <diagonal/>
    </border>
    <border>
      <left/>
      <right/>
      <top style="thin">
        <color auto="1"/>
      </top>
      <bottom style="double">
        <color auto="1"/>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dotted">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8"/>
      </left>
      <right style="thin">
        <color rgb="FFA0A0A0"/>
      </right>
      <top style="thin">
        <color indexed="8"/>
      </top>
      <bottom/>
      <diagonal/>
    </border>
    <border>
      <left/>
      <right style="thin">
        <color rgb="FFA0A0A0"/>
      </right>
      <top style="thin">
        <color indexed="8"/>
      </top>
      <bottom/>
      <diagonal/>
    </border>
    <border>
      <left/>
      <right style="thin">
        <color rgb="FFA0A0A0"/>
      </right>
      <top style="thin">
        <color indexed="8"/>
      </top>
      <bottom style="thin">
        <color rgb="FFA0A0A0"/>
      </bottom>
      <diagonal/>
    </border>
    <border>
      <left/>
      <right style="thin">
        <color indexed="8"/>
      </right>
      <top style="thin">
        <color indexed="8"/>
      </top>
      <bottom style="thin">
        <color rgb="FFA0A0A0"/>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auto="1"/>
      </left>
      <right style="thin">
        <color auto="1"/>
      </right>
      <top style="thin">
        <color auto="1"/>
      </top>
      <bottom/>
      <diagonal/>
    </border>
    <border>
      <left/>
      <right/>
      <top style="thin">
        <color indexed="8"/>
      </top>
      <bottom/>
      <diagonal/>
    </border>
    <border>
      <left/>
      <right/>
      <top style="thin">
        <color auto="1"/>
      </top>
      <bottom style="double">
        <color auto="1"/>
      </bottom>
      <diagonal/>
    </border>
    <border>
      <left style="thin">
        <color indexed="64"/>
      </left>
      <right/>
      <top style="thin">
        <color indexed="64"/>
      </top>
      <bottom/>
      <diagonal/>
    </border>
    <border>
      <left/>
      <right/>
      <top style="thin">
        <color indexed="64"/>
      </top>
      <bottom/>
      <diagonal/>
    </border>
    <border>
      <left/>
      <right style="thin">
        <color auto="1"/>
      </right>
      <top style="thin">
        <color auto="1"/>
      </top>
      <bottom/>
      <diagonal/>
    </border>
    <border>
      <left style="thin">
        <color indexed="8"/>
      </left>
      <right style="thin">
        <color indexed="8"/>
      </right>
      <top style="thin">
        <color indexed="8"/>
      </top>
      <bottom style="thin">
        <color indexed="8"/>
      </bottom>
      <diagonal/>
    </border>
    <border>
      <left/>
      <right/>
      <top style="thin">
        <color indexed="8"/>
      </top>
      <bottom/>
      <diagonal/>
    </border>
    <border>
      <left style="thin">
        <color indexed="64"/>
      </left>
      <right style="thin">
        <color indexed="64"/>
      </right>
      <top style="thin">
        <color indexed="64"/>
      </top>
      <bottom style="thin">
        <color indexed="64"/>
      </bottom>
      <diagonal/>
    </border>
  </borders>
  <cellStyleXfs count="3924">
    <xf numFmtId="0" fontId="0" fillId="0" borderId="0"/>
    <xf numFmtId="43" fontId="7" fillId="0" borderId="0" applyFont="0" applyFill="0" applyBorder="0" applyAlignment="0" applyProtection="0"/>
    <xf numFmtId="0" fontId="11" fillId="0" borderId="0"/>
    <xf numFmtId="0" fontId="9" fillId="0" borderId="0"/>
    <xf numFmtId="43" fontId="9" fillId="0" borderId="0" applyFont="0" applyFill="0" applyBorder="0" applyAlignment="0" applyProtection="0"/>
    <xf numFmtId="0" fontId="11" fillId="14" borderId="0" applyNumberFormat="0" applyBorder="0" applyProtection="0">
      <alignment horizontal="center" wrapText="1"/>
    </xf>
    <xf numFmtId="9" fontId="7" fillId="0" borderId="0" applyFont="0" applyFill="0" applyBorder="0" applyAlignment="0" applyProtection="0"/>
    <xf numFmtId="166" fontId="7" fillId="0" borderId="0" applyFont="0" applyFill="0" applyBorder="0" applyAlignment="0" applyProtection="0"/>
    <xf numFmtId="43" fontId="7" fillId="0" borderId="0" applyFont="0" applyFill="0" applyBorder="0" applyAlignment="0" applyProtection="0"/>
    <xf numFmtId="41" fontId="9" fillId="0" borderId="0" applyFont="0" applyFill="0" applyBorder="0" applyAlignment="0" applyProtection="0"/>
    <xf numFmtId="43" fontId="11" fillId="0" borderId="0" applyFont="0" applyFill="0" applyBorder="0" applyAlignment="0" applyProtection="0"/>
    <xf numFmtId="166" fontId="7" fillId="0" borderId="0" applyFont="0" applyFill="0" applyBorder="0" applyAlignment="0" applyProtection="0"/>
    <xf numFmtId="175" fontId="7" fillId="0" borderId="0" applyFont="0" applyFill="0" applyBorder="0" applyAlignment="0" applyProtection="0"/>
    <xf numFmtId="43" fontId="7" fillId="0" borderId="0" applyFont="0" applyFill="0" applyBorder="0" applyAlignment="0" applyProtection="0"/>
    <xf numFmtId="175" fontId="11" fillId="0" borderId="0" applyFont="0" applyFill="0" applyBorder="0" applyAlignment="0" applyProtection="0"/>
    <xf numFmtId="175" fontId="41" fillId="0" borderId="0" applyFont="0" applyFill="0" applyBorder="0" applyAlignment="0" applyProtection="0"/>
    <xf numFmtId="175" fontId="7" fillId="0" borderId="0" applyFont="0" applyFill="0" applyBorder="0" applyAlignment="0" applyProtection="0"/>
    <xf numFmtId="0" fontId="42" fillId="0" borderId="0"/>
    <xf numFmtId="37" fontId="11" fillId="0" borderId="0"/>
    <xf numFmtId="0" fontId="7" fillId="0" borderId="0"/>
    <xf numFmtId="0" fontId="41" fillId="0" borderId="0"/>
    <xf numFmtId="0" fontId="38" fillId="0" borderId="0"/>
    <xf numFmtId="0" fontId="11" fillId="0" borderId="0">
      <alignment vertical="center"/>
    </xf>
    <xf numFmtId="0" fontId="7" fillId="0" borderId="0"/>
    <xf numFmtId="0" fontId="11" fillId="0" borderId="0"/>
    <xf numFmtId="37" fontId="11" fillId="0" borderId="0"/>
    <xf numFmtId="0" fontId="11" fillId="0" borderId="0"/>
    <xf numFmtId="0" fontId="7" fillId="0" borderId="0" applyFont="0"/>
    <xf numFmtId="9" fontId="11" fillId="0" borderId="0" applyFont="0" applyFill="0" applyBorder="0" applyAlignment="0" applyProtection="0"/>
    <xf numFmtId="0" fontId="44" fillId="0" borderId="0">
      <alignment vertical="center"/>
    </xf>
    <xf numFmtId="0" fontId="9" fillId="0" borderId="0"/>
    <xf numFmtId="43" fontId="9" fillId="0" borderId="0" applyFont="0" applyFill="0" applyBorder="0" applyAlignment="0" applyProtection="0"/>
    <xf numFmtId="0" fontId="9" fillId="0" borderId="0"/>
    <xf numFmtId="166" fontId="11" fillId="0" borderId="0" applyFont="0" applyFill="0" applyBorder="0" applyAlignment="0" applyProtection="0"/>
    <xf numFmtId="0" fontId="7" fillId="0" borderId="0"/>
    <xf numFmtId="0" fontId="51" fillId="0" borderId="0" applyNumberFormat="0" applyFill="0" applyBorder="0" applyAlignment="0" applyProtection="0">
      <alignment vertical="top"/>
    </xf>
    <xf numFmtId="9" fontId="9" fillId="0" borderId="0" applyFont="0" applyFill="0" applyBorder="0" applyAlignment="0" applyProtection="0"/>
    <xf numFmtId="0" fontId="7" fillId="0" borderId="0"/>
    <xf numFmtId="0" fontId="38" fillId="0" borderId="0"/>
    <xf numFmtId="0" fontId="52" fillId="0" borderId="0"/>
    <xf numFmtId="166" fontId="7" fillId="0" borderId="0" applyFont="0" applyFill="0" applyBorder="0" applyAlignment="0" applyProtection="0"/>
    <xf numFmtId="0" fontId="53" fillId="0" borderId="0" applyNumberFormat="0" applyFill="0" applyBorder="0" applyAlignment="0" applyProtection="0"/>
    <xf numFmtId="0" fontId="54" fillId="0" borderId="121" applyNumberFormat="0" applyFill="0" applyAlignment="0" applyProtection="0"/>
    <xf numFmtId="0" fontId="55" fillId="0" borderId="0" applyNumberFormat="0" applyFill="0" applyBorder="0" applyAlignment="0" applyProtection="0"/>
    <xf numFmtId="9" fontId="7" fillId="0" borderId="0" applyFont="0" applyFill="0" applyBorder="0" applyAlignment="0" applyProtection="0"/>
    <xf numFmtId="166" fontId="42" fillId="0" borderId="0" applyFont="0" applyFill="0" applyBorder="0" applyAlignment="0" applyProtection="0"/>
    <xf numFmtId="9" fontId="42" fillId="0" borderId="0" applyFont="0" applyFill="0" applyBorder="0" applyAlignment="0" applyProtection="0"/>
    <xf numFmtId="166" fontId="11" fillId="0" borderId="0" applyFont="0" applyFill="0" applyBorder="0" applyAlignment="0" applyProtection="0"/>
    <xf numFmtId="0" fontId="11" fillId="0" borderId="0"/>
    <xf numFmtId="0" fontId="58" fillId="31" borderId="122"/>
    <xf numFmtId="0" fontId="7" fillId="0" borderId="0" applyFont="0"/>
    <xf numFmtId="175" fontId="7" fillId="0" borderId="0" applyFont="0" applyFill="0" applyBorder="0" applyAlignment="0" applyProtection="0"/>
    <xf numFmtId="0" fontId="56" fillId="0" borderId="0"/>
    <xf numFmtId="166" fontId="56" fillId="0" borderId="0" applyFont="0" applyFill="0" applyBorder="0" applyAlignment="0" applyProtection="0"/>
    <xf numFmtId="0" fontId="42" fillId="0" borderId="0"/>
    <xf numFmtId="0" fontId="7" fillId="0" borderId="0"/>
    <xf numFmtId="0" fontId="42" fillId="0" borderId="0" applyFill="0" applyProtection="0"/>
    <xf numFmtId="166" fontId="7" fillId="0" borderId="0" applyFont="0" applyFill="0" applyBorder="0" applyAlignment="0" applyProtection="0"/>
    <xf numFmtId="0" fontId="7" fillId="0" borderId="0"/>
    <xf numFmtId="0" fontId="52" fillId="0" borderId="0"/>
    <xf numFmtId="0" fontId="7" fillId="0" borderId="0" applyFont="0"/>
    <xf numFmtId="175" fontId="7" fillId="0" borderId="0" applyFont="0" applyFill="0" applyBorder="0" applyAlignment="0" applyProtection="0"/>
    <xf numFmtId="0" fontId="56" fillId="0" borderId="0"/>
    <xf numFmtId="166" fontId="5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9" fontId="7"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0" fontId="7" fillId="0" borderId="0"/>
    <xf numFmtId="166" fontId="7" fillId="0" borderId="0" applyFont="0" applyFill="0" applyBorder="0" applyAlignment="0" applyProtection="0"/>
    <xf numFmtId="0" fontId="7" fillId="0" borderId="0"/>
    <xf numFmtId="0" fontId="7" fillId="0" borderId="0"/>
    <xf numFmtId="166" fontId="7" fillId="0" borderId="0" applyFont="0" applyFill="0" applyBorder="0" applyAlignment="0" applyProtection="0"/>
    <xf numFmtId="0" fontId="6" fillId="0" borderId="0"/>
    <xf numFmtId="166" fontId="6" fillId="0" borderId="0" applyFont="0" applyFill="0" applyBorder="0" applyAlignment="0" applyProtection="0"/>
    <xf numFmtId="9" fontId="6" fillId="0" borderId="0" applyFont="0" applyFill="0" applyBorder="0" applyAlignment="0" applyProtection="0"/>
    <xf numFmtId="0" fontId="7" fillId="0" borderId="0"/>
    <xf numFmtId="166" fontId="7" fillId="0" borderId="0" applyFont="0" applyFill="0" applyBorder="0" applyAlignment="0" applyProtection="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11" fillId="0" borderId="0"/>
    <xf numFmtId="177" fontId="52" fillId="0" borderId="0" applyFont="0" applyFill="0" applyBorder="0" applyAlignment="0" applyProtection="0"/>
    <xf numFmtId="9" fontId="42" fillId="0" borderId="0" applyFont="0" applyFill="0" applyBorder="0" applyAlignment="0" applyProtection="0"/>
    <xf numFmtId="9" fontId="52" fillId="0" borderId="0" applyFont="0" applyFill="0" applyBorder="0" applyAlignment="0" applyProtection="0"/>
    <xf numFmtId="177" fontId="52" fillId="0" borderId="0" applyFont="0" applyFill="0" applyBorder="0" applyAlignment="0" applyProtection="0"/>
    <xf numFmtId="0" fontId="7" fillId="0" borderId="0"/>
    <xf numFmtId="166" fontId="7" fillId="0" borderId="0" applyFont="0" applyFill="0" applyBorder="0" applyAlignment="0" applyProtection="0"/>
    <xf numFmtId="0" fontId="7" fillId="0" borderId="0"/>
    <xf numFmtId="166" fontId="7" fillId="0" borderId="0" applyFont="0" applyFill="0" applyBorder="0" applyAlignment="0" applyProtection="0"/>
    <xf numFmtId="0" fontId="7" fillId="0" borderId="0"/>
    <xf numFmtId="0" fontId="11"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166"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1" fillId="0" borderId="0"/>
    <xf numFmtId="0" fontId="11" fillId="0" borderId="0"/>
    <xf numFmtId="166" fontId="7" fillId="0" borderId="0" applyFont="0" applyFill="0" applyBorder="0" applyAlignment="0" applyProtection="0"/>
    <xf numFmtId="0" fontId="7" fillId="0" borderId="0"/>
    <xf numFmtId="166" fontId="41" fillId="0" borderId="0" applyFont="0" applyFill="0" applyBorder="0" applyAlignment="0" applyProtection="0"/>
    <xf numFmtId="0" fontId="41" fillId="0" borderId="0"/>
    <xf numFmtId="166" fontId="11" fillId="0" borderId="0" applyFont="0" applyFill="0" applyBorder="0" applyAlignment="0" applyProtection="0"/>
    <xf numFmtId="166" fontId="7" fillId="0" borderId="0" applyFont="0" applyFill="0" applyBorder="0" applyAlignment="0" applyProtection="0"/>
    <xf numFmtId="9" fontId="41" fillId="0" borderId="0" applyFont="0" applyFill="0" applyBorder="0" applyAlignment="0" applyProtection="0"/>
    <xf numFmtId="166" fontId="6" fillId="0" borderId="0" applyFont="0" applyFill="0" applyBorder="0" applyAlignment="0" applyProtection="0"/>
    <xf numFmtId="0" fontId="7" fillId="0" borderId="0"/>
    <xf numFmtId="0" fontId="7" fillId="0" borderId="0"/>
    <xf numFmtId="0" fontId="7" fillId="0" borderId="0"/>
    <xf numFmtId="0" fontId="11" fillId="0" borderId="0"/>
    <xf numFmtId="166" fontId="11" fillId="0" borderId="0" applyFont="0" applyFill="0" applyBorder="0" applyAlignment="0" applyProtection="0"/>
    <xf numFmtId="166"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44" fillId="0" borderId="0"/>
    <xf numFmtId="0" fontId="7" fillId="0" borderId="0"/>
    <xf numFmtId="0" fontId="7" fillId="0" borderId="0"/>
    <xf numFmtId="0" fontId="7" fillId="0" borderId="0"/>
    <xf numFmtId="0" fontId="7" fillId="0" borderId="0"/>
    <xf numFmtId="0" fontId="7" fillId="0" borderId="0"/>
    <xf numFmtId="177" fontId="52" fillId="0" borderId="0" applyFont="0" applyFill="0" applyBorder="0" applyAlignment="0" applyProtection="0"/>
    <xf numFmtId="0" fontId="7" fillId="0" borderId="0"/>
    <xf numFmtId="166" fontId="7" fillId="0" borderId="0" applyFont="0" applyFill="0" applyBorder="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11" fillId="0" borderId="0" applyFont="0" applyFill="0" applyBorder="0" applyAlignment="0" applyProtection="0"/>
    <xf numFmtId="9" fontId="52" fillId="0" borderId="0" applyFont="0" applyFill="0" applyBorder="0" applyAlignment="0" applyProtection="0"/>
    <xf numFmtId="0" fontId="7" fillId="0" borderId="0"/>
    <xf numFmtId="178" fontId="61" fillId="0" borderId="0" applyFont="0" applyFill="0" applyBorder="0" applyAlignment="0" applyProtection="0"/>
    <xf numFmtId="0" fontId="60" fillId="0" borderId="0"/>
    <xf numFmtId="0" fontId="42" fillId="0" borderId="0"/>
    <xf numFmtId="0" fontId="42" fillId="0" borderId="0"/>
    <xf numFmtId="0" fontId="42" fillId="0" borderId="0"/>
    <xf numFmtId="0" fontId="42" fillId="0" borderId="0"/>
    <xf numFmtId="0" fontId="11" fillId="0" borderId="0"/>
    <xf numFmtId="0" fontId="42" fillId="0" borderId="0"/>
    <xf numFmtId="0" fontId="42" fillId="0" borderId="0"/>
    <xf numFmtId="166" fontId="42" fillId="0" borderId="0" applyFont="0" applyFill="0" applyBorder="0" applyAlignment="0" applyProtection="0"/>
    <xf numFmtId="166" fontId="60" fillId="0" borderId="0" applyFont="0" applyFill="0" applyBorder="0" applyAlignment="0" applyProtection="0"/>
    <xf numFmtId="0" fontId="42" fillId="0" borderId="0"/>
    <xf numFmtId="0" fontId="59" fillId="0" borderId="0">
      <alignment vertical="top"/>
    </xf>
    <xf numFmtId="0" fontId="42" fillId="0" borderId="0"/>
    <xf numFmtId="0" fontId="41" fillId="0" borderId="0"/>
    <xf numFmtId="0" fontId="42" fillId="0" borderId="0"/>
    <xf numFmtId="0" fontId="42" fillId="0" borderId="0"/>
    <xf numFmtId="0" fontId="59" fillId="0" borderId="0">
      <alignment vertical="top"/>
    </xf>
    <xf numFmtId="166" fontId="11" fillId="0" borderId="0" applyFont="0" applyFill="0" applyBorder="0" applyAlignment="0" applyProtection="0"/>
    <xf numFmtId="9" fontId="11" fillId="0" borderId="0" applyFont="0" applyFill="0" applyBorder="0" applyAlignment="0" applyProtection="0"/>
    <xf numFmtId="0" fontId="7" fillId="0" borderId="0"/>
    <xf numFmtId="166" fontId="7" fillId="0" borderId="0" applyFont="0" applyFill="0" applyBorder="0" applyAlignment="0" applyProtection="0"/>
    <xf numFmtId="9" fontId="7" fillId="0" borderId="0" applyFont="0" applyFill="0" applyBorder="0" applyAlignment="0" applyProtection="0"/>
    <xf numFmtId="166" fontId="6" fillId="0" borderId="0" applyFont="0" applyFill="0" applyBorder="0" applyAlignment="0" applyProtection="0"/>
    <xf numFmtId="0" fontId="59" fillId="0" borderId="0">
      <alignment vertical="top"/>
    </xf>
    <xf numFmtId="0" fontId="61" fillId="0" borderId="0"/>
    <xf numFmtId="0" fontId="59" fillId="0" borderId="0">
      <alignment vertical="top"/>
    </xf>
    <xf numFmtId="0" fontId="42" fillId="0" borderId="0"/>
    <xf numFmtId="0" fontId="11" fillId="0" borderId="0"/>
    <xf numFmtId="0" fontId="42" fillId="0" borderId="0"/>
    <xf numFmtId="0" fontId="7" fillId="0" borderId="0"/>
    <xf numFmtId="0" fontId="7" fillId="0" borderId="0"/>
    <xf numFmtId="0" fontId="7" fillId="0" borderId="0"/>
    <xf numFmtId="0" fontId="7" fillId="0" borderId="0"/>
    <xf numFmtId="0" fontId="7" fillId="0" borderId="0" applyFont="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pplyFont="0"/>
    <xf numFmtId="175" fontId="7" fillId="0" borderId="0" applyFont="0" applyFill="0" applyBorder="0" applyAlignment="0" applyProtection="0"/>
    <xf numFmtId="0" fontId="7" fillId="0" borderId="0"/>
    <xf numFmtId="0" fontId="7" fillId="0" borderId="0"/>
    <xf numFmtId="0" fontId="7" fillId="0" borderId="0"/>
    <xf numFmtId="0" fontId="7" fillId="0" borderId="0" applyFont="0"/>
    <xf numFmtId="0" fontId="7" fillId="0" borderId="0" applyFont="0"/>
    <xf numFmtId="175" fontId="7" fillId="0" borderId="0" applyFont="0" applyFill="0" applyBorder="0" applyAlignment="0" applyProtection="0"/>
    <xf numFmtId="0" fontId="7" fillId="0" borderId="0"/>
    <xf numFmtId="0" fontId="7" fillId="0" borderId="0" applyFont="0"/>
    <xf numFmtId="175" fontId="7" fillId="0" borderId="0" applyFont="0" applyFill="0" applyBorder="0" applyAlignment="0" applyProtection="0"/>
    <xf numFmtId="0" fontId="7" fillId="0" borderId="0" applyFont="0"/>
    <xf numFmtId="0" fontId="7" fillId="0" borderId="0"/>
    <xf numFmtId="0" fontId="7" fillId="0" borderId="0"/>
    <xf numFmtId="0" fontId="59" fillId="0" borderId="0">
      <alignment vertical="top"/>
    </xf>
    <xf numFmtId="0" fontId="7" fillId="0" borderId="0"/>
    <xf numFmtId="0" fontId="7" fillId="0" borderId="0"/>
    <xf numFmtId="0" fontId="7" fillId="0" borderId="0"/>
    <xf numFmtId="0" fontId="7" fillId="0" borderId="0"/>
    <xf numFmtId="0" fontId="59" fillId="0" borderId="0">
      <alignment vertical="top"/>
    </xf>
    <xf numFmtId="166" fontId="59" fillId="0" borderId="0" applyFont="0" applyFill="0" applyBorder="0" applyAlignment="0" applyProtection="0">
      <alignment vertical="top"/>
    </xf>
    <xf numFmtId="175" fontId="7" fillId="0" borderId="0" applyFont="0" applyFill="0" applyBorder="0" applyAlignment="0" applyProtection="0"/>
    <xf numFmtId="0" fontId="7" fillId="0" borderId="0"/>
    <xf numFmtId="0" fontId="7" fillId="0" borderId="0"/>
    <xf numFmtId="0" fontId="7" fillId="0" borderId="0" applyFont="0"/>
    <xf numFmtId="0" fontId="59" fillId="0" borderId="0">
      <alignment vertical="top"/>
    </xf>
    <xf numFmtId="9" fontId="7" fillId="0" borderId="0" applyFont="0" applyFill="0" applyBorder="0" applyAlignment="0" applyProtection="0"/>
    <xf numFmtId="0" fontId="7" fillId="0" borderId="0"/>
    <xf numFmtId="0" fontId="59" fillId="0" borderId="0">
      <alignment vertical="top"/>
    </xf>
    <xf numFmtId="166" fontId="59" fillId="0" borderId="0" applyFont="0" applyFill="0" applyBorder="0" applyAlignment="0" applyProtection="0">
      <alignment vertical="top"/>
    </xf>
    <xf numFmtId="0" fontId="7" fillId="0" borderId="0"/>
    <xf numFmtId="0" fontId="7" fillId="0" borderId="0"/>
    <xf numFmtId="0" fontId="59" fillId="0" borderId="0">
      <alignment vertical="top"/>
    </xf>
    <xf numFmtId="0" fontId="59" fillId="0" borderId="0">
      <alignment vertical="top"/>
    </xf>
    <xf numFmtId="0" fontId="7" fillId="0" borderId="0"/>
    <xf numFmtId="0" fontId="7" fillId="0" borderId="0"/>
    <xf numFmtId="0" fontId="59" fillId="0" borderId="0">
      <alignment vertical="top"/>
    </xf>
    <xf numFmtId="166" fontId="59" fillId="0" borderId="0" applyFont="0" applyFill="0" applyBorder="0" applyAlignment="0" applyProtection="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59" fillId="0" borderId="0">
      <alignment vertical="top"/>
    </xf>
    <xf numFmtId="0" fontId="59" fillId="0" borderId="0">
      <alignment vertical="top"/>
    </xf>
    <xf numFmtId="0" fontId="7" fillId="0" borderId="0"/>
    <xf numFmtId="0" fontId="7" fillId="0" borderId="0"/>
    <xf numFmtId="0" fontId="7" fillId="0" borderId="0"/>
    <xf numFmtId="0" fontId="7" fillId="0" borderId="0"/>
    <xf numFmtId="0" fontId="7" fillId="0" borderId="0" applyFont="0"/>
    <xf numFmtId="0" fontId="7" fillId="0" borderId="0"/>
    <xf numFmtId="0" fontId="7" fillId="0" borderId="0"/>
    <xf numFmtId="0" fontId="7" fillId="0" borderId="0" applyFont="0"/>
    <xf numFmtId="0" fontId="7" fillId="0" borderId="0" applyFont="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7" fillId="0" borderId="0"/>
    <xf numFmtId="0" fontId="7" fillId="0" borderId="0"/>
    <xf numFmtId="0" fontId="7" fillId="0" borderId="0"/>
    <xf numFmtId="166" fontId="59" fillId="0" borderId="0" applyFont="0" applyFill="0" applyBorder="0" applyAlignment="0" applyProtection="0">
      <alignment vertical="top"/>
    </xf>
    <xf numFmtId="0" fontId="7" fillId="0" borderId="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7" fillId="0" borderId="0"/>
    <xf numFmtId="0" fontId="7" fillId="0" borderId="0"/>
    <xf numFmtId="0" fontId="7" fillId="0" borderId="0"/>
    <xf numFmtId="0" fontId="7" fillId="0" borderId="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7" fillId="0" borderId="0"/>
    <xf numFmtId="0" fontId="59" fillId="0" borderId="0">
      <alignment vertical="top"/>
    </xf>
    <xf numFmtId="0" fontId="7" fillId="0" borderId="0"/>
    <xf numFmtId="0" fontId="7" fillId="0" borderId="0"/>
    <xf numFmtId="0" fontId="59" fillId="0" borderId="0">
      <alignment vertical="top"/>
    </xf>
    <xf numFmtId="0" fontId="59" fillId="0" borderId="0">
      <alignment vertical="top"/>
    </xf>
    <xf numFmtId="0" fontId="7" fillId="0" borderId="0"/>
    <xf numFmtId="0" fontId="7" fillId="0" borderId="0"/>
    <xf numFmtId="0" fontId="59" fillId="0" borderId="0">
      <alignment vertical="top"/>
    </xf>
    <xf numFmtId="0" fontId="7" fillId="0" borderId="0"/>
    <xf numFmtId="0" fontId="59"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xf numFmtId="0" fontId="7" fillId="0" borderId="0"/>
    <xf numFmtId="0" fontId="7" fillId="0" borderId="0"/>
    <xf numFmtId="0" fontId="59" fillId="0" borderId="0">
      <alignment vertical="top"/>
    </xf>
    <xf numFmtId="0" fontId="59" fillId="0" borderId="0">
      <alignment vertical="top"/>
    </xf>
    <xf numFmtId="0" fontId="7" fillId="0" borderId="0"/>
    <xf numFmtId="0" fontId="7" fillId="0" borderId="0"/>
    <xf numFmtId="0" fontId="59" fillId="0" borderId="0">
      <alignment vertical="top"/>
    </xf>
    <xf numFmtId="0" fontId="59" fillId="0" borderId="0">
      <alignment vertical="top"/>
    </xf>
    <xf numFmtId="0" fontId="59" fillId="0" borderId="0">
      <alignment vertical="top"/>
    </xf>
    <xf numFmtId="0" fontId="7" fillId="0" borderId="0"/>
    <xf numFmtId="0" fontId="59" fillId="0" borderId="0">
      <alignment vertical="top"/>
    </xf>
    <xf numFmtId="0" fontId="7" fillId="0" borderId="0"/>
    <xf numFmtId="0" fontId="7" fillId="0" borderId="0"/>
    <xf numFmtId="0" fontId="59" fillId="0" borderId="0">
      <alignment vertical="top"/>
    </xf>
    <xf numFmtId="0" fontId="59" fillId="0" borderId="0">
      <alignment vertical="top"/>
    </xf>
    <xf numFmtId="0" fontId="59" fillId="0" borderId="0">
      <alignment vertical="top"/>
    </xf>
    <xf numFmtId="0" fontId="7" fillId="0" borderId="0"/>
    <xf numFmtId="0" fontId="7" fillId="0" borderId="0" applyFont="0"/>
    <xf numFmtId="0" fontId="7" fillId="0" borderId="0" applyFont="0"/>
    <xf numFmtId="0" fontId="7" fillId="0" borderId="0" applyFont="0"/>
    <xf numFmtId="0" fontId="7" fillId="0" borderId="0"/>
    <xf numFmtId="0" fontId="7" fillId="0" borderId="0" applyFont="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applyFont="0"/>
    <xf numFmtId="0" fontId="7" fillId="0" borderId="0" applyFont="0"/>
    <xf numFmtId="0" fontId="7" fillId="0" borderId="0" applyFont="0"/>
    <xf numFmtId="0" fontId="59" fillId="0" borderId="0">
      <alignment vertical="top"/>
    </xf>
    <xf numFmtId="0" fontId="59" fillId="0" borderId="0">
      <alignment vertical="top"/>
    </xf>
    <xf numFmtId="0" fontId="7" fillId="0" borderId="0"/>
    <xf numFmtId="0" fontId="7" fillId="0" borderId="0"/>
    <xf numFmtId="0" fontId="7" fillId="0" borderId="0"/>
    <xf numFmtId="0" fontId="7" fillId="0" borderId="0"/>
    <xf numFmtId="0" fontId="7" fillId="0" borderId="0"/>
    <xf numFmtId="0" fontId="7" fillId="0" borderId="0" applyFont="0"/>
    <xf numFmtId="0" fontId="9" fillId="0" borderId="0"/>
    <xf numFmtId="0" fontId="7" fillId="0" borderId="0" applyFont="0"/>
    <xf numFmtId="0" fontId="9" fillId="0" borderId="0"/>
    <xf numFmtId="0" fontId="7" fillId="0" borderId="0" applyFont="0"/>
    <xf numFmtId="0" fontId="9" fillId="0" borderId="0"/>
    <xf numFmtId="166" fontId="9" fillId="0" borderId="0" applyFont="0" applyFill="0" applyBorder="0" applyAlignment="0" applyProtection="0"/>
    <xf numFmtId="0" fontId="7" fillId="0" borderId="0" applyFont="0"/>
    <xf numFmtId="0" fontId="7" fillId="0" borderId="0" applyFont="0"/>
    <xf numFmtId="0" fontId="7" fillId="0" borderId="0" applyFont="0"/>
    <xf numFmtId="0" fontId="7" fillId="0" borderId="0" applyFont="0"/>
    <xf numFmtId="0" fontId="64" fillId="0" borderId="0"/>
    <xf numFmtId="0" fontId="59" fillId="0" borderId="0">
      <alignment vertical="top"/>
    </xf>
    <xf numFmtId="166" fontId="7" fillId="0" borderId="0" applyFont="0" applyFill="0" applyBorder="0" applyAlignment="0" applyProtection="0"/>
    <xf numFmtId="166" fontId="7" fillId="0" borderId="0" applyFont="0" applyFill="0" applyBorder="0" applyAlignment="0" applyProtection="0"/>
    <xf numFmtId="166" fontId="6"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6"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6"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59" fillId="0" borderId="0" applyFont="0" applyFill="0" applyBorder="0" applyAlignment="0" applyProtection="0">
      <alignment vertical="top"/>
    </xf>
    <xf numFmtId="166" fontId="59" fillId="0" borderId="0" applyFont="0" applyFill="0" applyBorder="0" applyAlignment="0" applyProtection="0">
      <alignment vertical="top"/>
    </xf>
    <xf numFmtId="166" fontId="59" fillId="0" borderId="0" applyFont="0" applyFill="0" applyBorder="0" applyAlignment="0" applyProtection="0">
      <alignment vertical="top"/>
    </xf>
    <xf numFmtId="166" fontId="65" fillId="0" borderId="0" applyFont="0" applyFill="0" applyBorder="0" applyAlignment="0" applyProtection="0"/>
    <xf numFmtId="9" fontId="7" fillId="0" borderId="0" applyFont="0" applyFill="0" applyBorder="0" applyAlignment="0" applyProtection="0"/>
    <xf numFmtId="166" fontId="7" fillId="0" borderId="0" applyFont="0" applyFill="0" applyBorder="0" applyAlignment="0" applyProtection="0"/>
    <xf numFmtId="0" fontId="6" fillId="0" borderId="0"/>
    <xf numFmtId="166" fontId="7"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41"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56" fillId="0" borderId="0" applyFont="0" applyFill="0" applyBorder="0" applyAlignment="0" applyProtection="0"/>
    <xf numFmtId="166" fontId="7" fillId="0" borderId="0" applyFont="0" applyFill="0" applyBorder="0" applyAlignment="0" applyProtection="0"/>
    <xf numFmtId="166" fontId="56" fillId="0" borderId="0" applyFont="0" applyFill="0" applyBorder="0" applyAlignment="0" applyProtection="0"/>
    <xf numFmtId="9" fontId="6" fillId="0" borderId="0" applyFont="0" applyFill="0" applyBorder="0" applyAlignment="0" applyProtection="0"/>
    <xf numFmtId="0" fontId="6" fillId="0" borderId="0"/>
    <xf numFmtId="166" fontId="59" fillId="0" borderId="0" applyFont="0" applyFill="0" applyBorder="0" applyAlignment="0" applyProtection="0">
      <alignment vertical="top"/>
    </xf>
    <xf numFmtId="0" fontId="65" fillId="0" borderId="0"/>
    <xf numFmtId="166" fontId="11" fillId="0" borderId="0" applyFont="0" applyFill="0" applyBorder="0" applyAlignment="0" applyProtection="0"/>
    <xf numFmtId="0" fontId="51" fillId="0" borderId="0" applyNumberFormat="0" applyFill="0" applyBorder="0" applyAlignment="0" applyProtection="0">
      <alignment vertical="top"/>
    </xf>
    <xf numFmtId="9" fontId="9" fillId="0" borderId="0" applyFont="0" applyFill="0" applyBorder="0" applyAlignment="0" applyProtection="0"/>
    <xf numFmtId="0" fontId="7" fillId="0" borderId="0"/>
    <xf numFmtId="0" fontId="38" fillId="0" borderId="0"/>
    <xf numFmtId="166" fontId="7" fillId="0" borderId="0" applyFont="0" applyFill="0" applyBorder="0" applyAlignment="0" applyProtection="0"/>
    <xf numFmtId="166" fontId="42" fillId="0" borderId="0" applyFont="0" applyFill="0" applyBorder="0" applyAlignment="0" applyProtection="0"/>
    <xf numFmtId="166" fontId="11" fillId="0" borderId="0" applyFont="0" applyFill="0" applyBorder="0" applyAlignment="0" applyProtection="0"/>
    <xf numFmtId="0" fontId="11" fillId="0" borderId="0"/>
    <xf numFmtId="0" fontId="9" fillId="0" borderId="0"/>
    <xf numFmtId="166" fontId="56" fillId="0" borderId="0" applyFont="0" applyFill="0" applyBorder="0" applyAlignment="0" applyProtection="0"/>
    <xf numFmtId="166" fontId="7" fillId="0" borderId="0" applyFont="0" applyFill="0" applyBorder="0" applyAlignment="0" applyProtection="0"/>
    <xf numFmtId="166" fontId="56"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4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59" fillId="0" borderId="0" applyFont="0" applyFill="0" applyBorder="0" applyAlignment="0" applyProtection="0">
      <alignment vertical="top"/>
    </xf>
    <xf numFmtId="0" fontId="7" fillId="0" borderId="0" applyFont="0"/>
    <xf numFmtId="166" fontId="59" fillId="0" borderId="0" applyFont="0" applyFill="0" applyBorder="0" applyAlignment="0" applyProtection="0">
      <alignment vertical="top"/>
    </xf>
    <xf numFmtId="166" fontId="59" fillId="0" borderId="0" applyFont="0" applyFill="0" applyBorder="0" applyAlignment="0" applyProtection="0">
      <alignment vertical="top"/>
    </xf>
    <xf numFmtId="166" fontId="59" fillId="0" borderId="0" applyFont="0" applyFill="0" applyBorder="0" applyAlignment="0" applyProtection="0">
      <alignment vertical="top"/>
    </xf>
    <xf numFmtId="166" fontId="9" fillId="0" borderId="0" applyFont="0" applyFill="0" applyBorder="0" applyAlignment="0" applyProtection="0"/>
    <xf numFmtId="0" fontId="62" fillId="0" borderId="0"/>
    <xf numFmtId="0" fontId="65" fillId="0" borderId="0"/>
    <xf numFmtId="0" fontId="11" fillId="0" borderId="0">
      <alignment vertical="center"/>
    </xf>
    <xf numFmtId="179" fontId="42" fillId="0" borderId="0"/>
    <xf numFmtId="0" fontId="66" fillId="0" borderId="0"/>
    <xf numFmtId="166" fontId="65" fillId="0" borderId="0" applyFont="0" applyFill="0" applyBorder="0" applyAlignment="0" applyProtection="0"/>
    <xf numFmtId="0" fontId="11" fillId="0" borderId="0">
      <alignment vertical="center"/>
    </xf>
    <xf numFmtId="0" fontId="63" fillId="0" borderId="0"/>
    <xf numFmtId="0" fontId="51" fillId="0" borderId="0" applyNumberFormat="0" applyFill="0" applyBorder="0" applyAlignment="0" applyProtection="0">
      <alignment vertical="top"/>
    </xf>
    <xf numFmtId="0" fontId="65" fillId="0" borderId="0"/>
    <xf numFmtId="0" fontId="54" fillId="0" borderId="121" applyNumberFormat="0" applyFill="0" applyAlignment="0" applyProtection="0"/>
    <xf numFmtId="0" fontId="52" fillId="0" borderId="0"/>
    <xf numFmtId="166" fontId="7" fillId="0" borderId="0" applyFont="0" applyFill="0" applyBorder="0" applyAlignment="0" applyProtection="0"/>
    <xf numFmtId="0" fontId="53" fillId="0" borderId="0" applyNumberFormat="0" applyFill="0" applyBorder="0" applyAlignment="0" applyProtection="0"/>
    <xf numFmtId="0" fontId="59" fillId="0" borderId="0">
      <alignment vertical="top"/>
    </xf>
    <xf numFmtId="166" fontId="59" fillId="0" borderId="0" applyFont="0" applyFill="0" applyBorder="0" applyAlignment="0" applyProtection="0">
      <alignment vertical="top"/>
    </xf>
    <xf numFmtId="0" fontId="62" fillId="0" borderId="0"/>
    <xf numFmtId="166" fontId="62" fillId="0" borderId="0" applyFont="0" applyFill="0" applyBorder="0" applyAlignment="0" applyProtection="0"/>
    <xf numFmtId="9" fontId="65" fillId="0" borderId="0" applyFont="0" applyFill="0" applyBorder="0" applyAlignment="0" applyProtection="0"/>
    <xf numFmtId="166" fontId="7" fillId="0" borderId="0" applyFont="0" applyFill="0" applyBorder="0" applyAlignment="0" applyProtection="0"/>
    <xf numFmtId="0" fontId="11" fillId="0" borderId="0"/>
    <xf numFmtId="0" fontId="67" fillId="0" borderId="0">
      <alignment vertical="center"/>
    </xf>
    <xf numFmtId="0" fontId="63" fillId="0" borderId="0" applyBorder="0"/>
    <xf numFmtId="166" fontId="63" fillId="0" borderId="0" applyFont="0" applyFill="0" applyBorder="0" applyAlignment="0" applyProtection="0"/>
    <xf numFmtId="0" fontId="11" fillId="0" borderId="0">
      <protection locked="0"/>
    </xf>
    <xf numFmtId="166" fontId="11" fillId="0" borderId="0" applyFont="0" applyFill="0" applyBorder="0" applyAlignment="0" applyProtection="0"/>
    <xf numFmtId="9" fontId="7" fillId="0" borderId="0" applyFont="0" applyFill="0" applyBorder="0" applyAlignment="0" applyProtection="0"/>
    <xf numFmtId="0" fontId="65" fillId="0" borderId="0"/>
    <xf numFmtId="0" fontId="11" fillId="0" borderId="0"/>
    <xf numFmtId="0" fontId="11" fillId="0" borderId="0"/>
    <xf numFmtId="0" fontId="7" fillId="0" borderId="0"/>
    <xf numFmtId="0" fontId="63" fillId="0" borderId="0"/>
    <xf numFmtId="0" fontId="68" fillId="0" borderId="0" applyNumberFormat="0" applyFill="0" applyBorder="0" applyAlignment="0" applyProtection="0"/>
    <xf numFmtId="37" fontId="11" fillId="0" borderId="0"/>
    <xf numFmtId="166" fontId="7" fillId="0" borderId="0" applyFont="0" applyFill="0" applyBorder="0" applyAlignment="0" applyProtection="0"/>
    <xf numFmtId="164" fontId="9" fillId="0" borderId="0" applyFont="0" applyFill="0" applyBorder="0" applyAlignment="0" applyProtection="0"/>
    <xf numFmtId="0" fontId="38" fillId="0" borderId="0"/>
    <xf numFmtId="166" fontId="11" fillId="0" borderId="0" applyFont="0" applyFill="0" applyBorder="0" applyAlignment="0" applyProtection="0"/>
    <xf numFmtId="0" fontId="7" fillId="0" borderId="0"/>
    <xf numFmtId="175" fontId="41" fillId="0" borderId="0" applyFont="0" applyFill="0" applyBorder="0" applyAlignment="0" applyProtection="0"/>
    <xf numFmtId="0" fontId="41" fillId="0" borderId="0"/>
    <xf numFmtId="175" fontId="11" fillId="0" borderId="0" applyFont="0" applyFill="0" applyBorder="0" applyAlignment="0" applyProtection="0"/>
    <xf numFmtId="175" fontId="7" fillId="0" borderId="0" applyFont="0" applyFill="0" applyBorder="0" applyAlignment="0" applyProtection="0"/>
    <xf numFmtId="166" fontId="7" fillId="0" borderId="0" applyFont="0" applyFill="0" applyBorder="0" applyAlignment="0" applyProtection="0"/>
    <xf numFmtId="0" fontId="11" fillId="0" borderId="0"/>
    <xf numFmtId="37" fontId="11" fillId="0" borderId="0"/>
    <xf numFmtId="0" fontId="11" fillId="0" borderId="0">
      <alignment vertical="center"/>
    </xf>
    <xf numFmtId="166" fontId="7" fillId="0" borderId="0" applyFont="0" applyFill="0" applyBorder="0" applyAlignment="0" applyProtection="0"/>
    <xf numFmtId="0" fontId="7" fillId="0" borderId="0"/>
    <xf numFmtId="166" fontId="7" fillId="0" borderId="0" applyFont="0" applyFill="0" applyBorder="0" applyAlignment="0" applyProtection="0"/>
    <xf numFmtId="166" fontId="7" fillId="0" borderId="0" applyFont="0" applyFill="0" applyBorder="0" applyAlignment="0" applyProtection="0"/>
    <xf numFmtId="164" fontId="9" fillId="0" borderId="0" applyFont="0" applyFill="0" applyBorder="0" applyAlignment="0" applyProtection="0"/>
    <xf numFmtId="166" fontId="11"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7" fillId="0" borderId="0" applyFont="0" applyFill="0" applyBorder="0" applyAlignment="0" applyProtection="0"/>
    <xf numFmtId="0" fontId="65" fillId="0" borderId="0"/>
    <xf numFmtId="0" fontId="11" fillId="0" borderId="0">
      <alignment vertical="center"/>
    </xf>
    <xf numFmtId="166" fontId="7" fillId="0" borderId="0" applyFont="0" applyFill="0" applyBorder="0" applyAlignment="0" applyProtection="0"/>
    <xf numFmtId="166"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88" fillId="0" borderId="0"/>
    <xf numFmtId="183" fontId="7" fillId="0" borderId="0"/>
    <xf numFmtId="43" fontId="7" fillId="0" borderId="0" applyFont="0" applyFill="0" applyBorder="0" applyAlignment="0" applyProtection="0"/>
    <xf numFmtId="183" fontId="7" fillId="0" borderId="0"/>
    <xf numFmtId="43" fontId="5" fillId="0" borderId="0" applyFont="0" applyFill="0" applyBorder="0" applyAlignment="0" applyProtection="0"/>
    <xf numFmtId="0" fontId="106" fillId="0" borderId="0" applyNumberFormat="0" applyFill="0" applyBorder="0" applyAlignment="0" applyProtection="0"/>
    <xf numFmtId="0" fontId="11" fillId="0" borderId="0">
      <alignment vertical="center"/>
    </xf>
    <xf numFmtId="0" fontId="42" fillId="0" borderId="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0" fontId="122" fillId="0" borderId="0">
      <alignment vertical="top"/>
    </xf>
    <xf numFmtId="166" fontId="42" fillId="0" borderId="0" applyFont="0" applyFill="0" applyBorder="0" applyAlignment="0" applyProtection="0"/>
    <xf numFmtId="43" fontId="122" fillId="0" borderId="0" applyFont="0" applyFill="0" applyBorder="0" applyAlignment="0" applyProtection="0"/>
    <xf numFmtId="43" fontId="42" fillId="0" borderId="0" applyFont="0" applyFill="0" applyBorder="0" applyAlignment="0" applyProtection="0"/>
    <xf numFmtId="0" fontId="122" fillId="0" borderId="0">
      <alignment vertical="top"/>
    </xf>
    <xf numFmtId="0" fontId="122" fillId="0" borderId="0">
      <alignment vertical="top"/>
    </xf>
    <xf numFmtId="0" fontId="122" fillId="0" borderId="0">
      <alignment vertical="top"/>
    </xf>
    <xf numFmtId="0" fontId="4" fillId="0" borderId="0"/>
    <xf numFmtId="43" fontId="11" fillId="0" borderId="0" applyFont="0" applyFill="0" applyBorder="0" applyAlignment="0" applyProtection="0"/>
    <xf numFmtId="0" fontId="122" fillId="0" borderId="0">
      <alignment vertical="top"/>
    </xf>
    <xf numFmtId="179" fontId="42" fillId="0" borderId="0"/>
    <xf numFmtId="0" fontId="66" fillId="0" borderId="0"/>
    <xf numFmtId="41" fontId="4" fillId="0" borderId="0" applyFont="0" applyFill="0" applyBorder="0" applyAlignment="0" applyProtection="0"/>
    <xf numFmtId="43" fontId="4" fillId="0" borderId="0" applyFont="0" applyFill="0" applyBorder="0" applyAlignment="0" applyProtection="0"/>
    <xf numFmtId="0" fontId="122" fillId="0" borderId="0">
      <alignment vertical="top"/>
    </xf>
    <xf numFmtId="41" fontId="4" fillId="0" borderId="0" applyFont="0" applyFill="0" applyBorder="0" applyAlignment="0" applyProtection="0"/>
    <xf numFmtId="9" fontId="4" fillId="0" borderId="0" applyFont="0" applyFill="0" applyBorder="0" applyAlignment="0" applyProtection="0"/>
    <xf numFmtId="0" fontId="122" fillId="0" borderId="0">
      <alignment vertical="top"/>
    </xf>
    <xf numFmtId="0" fontId="39" fillId="77"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5" fillId="0" borderId="0" applyNumberFormat="0" applyFill="0" applyBorder="0" applyAlignment="0" applyProtection="0"/>
    <xf numFmtId="43" fontId="7" fillId="0" borderId="0" applyFont="0" applyFill="0" applyBorder="0" applyAlignment="0" applyProtection="0"/>
    <xf numFmtId="41" fontId="4" fillId="0" borderId="0" applyFont="0" applyFill="0" applyBorder="0" applyAlignment="0" applyProtection="0"/>
    <xf numFmtId="43" fontId="7" fillId="0" borderId="0" applyFont="0" applyFill="0" applyBorder="0" applyAlignment="0" applyProtection="0"/>
    <xf numFmtId="0" fontId="121" fillId="0" borderId="0" applyNumberFormat="0" applyFill="0" applyBorder="0" applyAlignment="0" applyProtection="0">
      <alignment vertical="top"/>
    </xf>
    <xf numFmtId="0" fontId="122" fillId="0" borderId="0">
      <alignment vertical="top"/>
    </xf>
    <xf numFmtId="0" fontId="7" fillId="0" borderId="0"/>
    <xf numFmtId="166"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67" fillId="0" borderId="0">
      <alignment vertical="center"/>
    </xf>
    <xf numFmtId="0" fontId="7" fillId="0" borderId="0"/>
    <xf numFmtId="0" fontId="11" fillId="0" borderId="0"/>
    <xf numFmtId="0" fontId="11" fillId="0" borderId="0"/>
    <xf numFmtId="43" fontId="7" fillId="0" borderId="0" applyFont="0" applyFill="0" applyBorder="0" applyAlignment="0" applyProtection="0"/>
    <xf numFmtId="0" fontId="59" fillId="0" borderId="0"/>
    <xf numFmtId="0" fontId="59"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26" fillId="0" borderId="0"/>
    <xf numFmtId="43" fontId="126" fillId="0" borderId="0" applyFont="0" applyFill="0" applyBorder="0" applyAlignment="0" applyProtection="0"/>
    <xf numFmtId="0" fontId="11" fillId="0" borderId="0"/>
    <xf numFmtId="0" fontId="11" fillId="0" borderId="0"/>
    <xf numFmtId="43" fontId="11" fillId="0" borderId="0" applyNumberFormat="0" applyFill="0" applyBorder="0" applyAlignment="0" applyProtection="0"/>
    <xf numFmtId="0" fontId="7" fillId="0" borderId="0"/>
    <xf numFmtId="0" fontId="4" fillId="0" borderId="0">
      <alignment horizontal="left" vertical="center"/>
    </xf>
    <xf numFmtId="166" fontId="42" fillId="0" borderId="0" applyFont="0" applyFill="0" applyBorder="0" applyAlignment="0" applyProtection="0"/>
    <xf numFmtId="43" fontId="11" fillId="0" borderId="0" applyFont="0" applyFill="0" applyBorder="0" applyAlignment="0" applyProtection="0"/>
    <xf numFmtId="0" fontId="127" fillId="0" borderId="0" applyNumberFormat="0" applyFill="0" applyProtection="0">
      <alignment vertical="center"/>
    </xf>
    <xf numFmtId="0" fontId="128" fillId="0" borderId="0" applyNumberFormat="0" applyFill="0" applyProtection="0">
      <alignment vertical="center"/>
    </xf>
    <xf numFmtId="184" fontId="94" fillId="0" borderId="0"/>
    <xf numFmtId="185" fontId="94" fillId="0" borderId="0"/>
    <xf numFmtId="0" fontId="127" fillId="0" borderId="0" applyNumberFormat="0" applyFill="0" applyBorder="0" applyProtection="0"/>
    <xf numFmtId="0" fontId="4" fillId="0" borderId="0">
      <alignment horizontal="left" vertical="center"/>
    </xf>
    <xf numFmtId="0" fontId="122" fillId="0" borderId="0">
      <alignment vertical="top"/>
    </xf>
    <xf numFmtId="0" fontId="106" fillId="0" borderId="0" applyNumberFormat="0" applyFill="0" applyBorder="0" applyAlignment="0" applyProtection="0"/>
    <xf numFmtId="43" fontId="7" fillId="0" borderId="0" applyFont="0" applyFill="0" applyBorder="0" applyAlignment="0" applyProtection="0"/>
    <xf numFmtId="41" fontId="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1" fillId="0" borderId="0"/>
    <xf numFmtId="0" fontId="11" fillId="0" borderId="0"/>
    <xf numFmtId="0" fontId="129" fillId="0" borderId="0" applyFont="0" applyAlignment="0">
      <alignment vertical="center"/>
    </xf>
    <xf numFmtId="0" fontId="7" fillId="0" borderId="0"/>
    <xf numFmtId="166" fontId="129" fillId="0" borderId="0" applyFont="0" applyFill="0" applyBorder="0" applyAlignment="0" applyProtection="0"/>
    <xf numFmtId="0" fontId="7" fillId="0" borderId="0"/>
    <xf numFmtId="0" fontId="38" fillId="0" borderId="0"/>
    <xf numFmtId="43" fontId="7" fillId="0" borderId="0" applyFont="0" applyFill="0" applyBorder="0" applyAlignment="0" applyProtection="0"/>
    <xf numFmtId="43" fontId="65" fillId="0" borderId="0" applyFont="0" applyFill="0" applyBorder="0" applyAlignment="0" applyProtection="0"/>
    <xf numFmtId="0" fontId="72" fillId="0" borderId="0"/>
    <xf numFmtId="0" fontId="7" fillId="0" borderId="0"/>
    <xf numFmtId="0" fontId="7" fillId="0" borderId="0"/>
    <xf numFmtId="0" fontId="7" fillId="0" borderId="0"/>
    <xf numFmtId="0" fontId="11" fillId="0" borderId="0" applyNumberFormat="0" applyAlignment="0">
      <alignment vertical="center"/>
    </xf>
    <xf numFmtId="0" fontId="129" fillId="0" borderId="0" applyFont="0" applyAlignment="0">
      <alignment vertical="center"/>
    </xf>
    <xf numFmtId="166" fontId="7" fillId="0" borderId="0" applyFont="0" applyFill="0" applyBorder="0" applyAlignment="0" applyProtection="0"/>
    <xf numFmtId="0" fontId="7" fillId="0" borderId="0"/>
    <xf numFmtId="0" fontId="65" fillId="0" borderId="0"/>
    <xf numFmtId="9" fontId="7" fillId="0" borderId="0" applyFont="0" applyFill="0" applyBorder="0" applyAlignment="0" applyProtection="0"/>
    <xf numFmtId="166" fontId="129" fillId="0" borderId="0" applyFont="0" applyFill="0" applyBorder="0" applyAlignment="0" applyProtection="0"/>
    <xf numFmtId="0" fontId="129" fillId="0" borderId="0" applyFont="0" applyAlignment="0">
      <alignment vertical="center"/>
    </xf>
    <xf numFmtId="166" fontId="7" fillId="0" borderId="0" applyFont="0" applyFill="0" applyBorder="0" applyAlignment="0" applyProtection="0"/>
    <xf numFmtId="0" fontId="7" fillId="0" borderId="0"/>
    <xf numFmtId="0" fontId="59" fillId="0" borderId="0">
      <alignment vertical="top"/>
    </xf>
    <xf numFmtId="0" fontId="122" fillId="0" borderId="0">
      <alignment vertical="top"/>
    </xf>
    <xf numFmtId="0" fontId="11" fillId="0" borderId="0"/>
    <xf numFmtId="43" fontId="122" fillId="0" borderId="0" applyFont="0" applyFill="0" applyBorder="0" applyAlignment="0" applyProtection="0"/>
    <xf numFmtId="0" fontId="11" fillId="0" borderId="0"/>
    <xf numFmtId="0" fontId="122" fillId="0" borderId="0">
      <alignment vertical="top"/>
    </xf>
    <xf numFmtId="0" fontId="11" fillId="0" borderId="0"/>
    <xf numFmtId="0" fontId="122" fillId="0" borderId="0">
      <alignment vertical="top"/>
    </xf>
    <xf numFmtId="0" fontId="129" fillId="0" borderId="0" applyFont="0" applyAlignment="0">
      <alignment vertical="center"/>
    </xf>
    <xf numFmtId="166" fontId="7" fillId="0" borderId="0" applyFont="0" applyFill="0" applyBorder="0" applyAlignment="0" applyProtection="0"/>
    <xf numFmtId="9" fontId="65" fillId="0" borderId="0" applyFont="0" applyFill="0" applyBorder="0" applyAlignment="0" applyProtection="0"/>
    <xf numFmtId="0" fontId="108" fillId="0" borderId="0" applyNumberFormat="0" applyFill="0" applyBorder="0" applyAlignment="0" applyProtection="0"/>
    <xf numFmtId="0" fontId="122" fillId="0" borderId="0">
      <alignment vertical="top"/>
    </xf>
    <xf numFmtId="0" fontId="65"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41" fontId="7" fillId="0" borderId="0" applyFont="0" applyFill="0" applyBorder="0" applyAlignment="0" applyProtection="0"/>
    <xf numFmtId="9" fontId="7" fillId="0" borderId="0" applyFont="0" applyFill="0" applyBorder="0" applyAlignment="0" applyProtection="0"/>
    <xf numFmtId="0" fontId="147" fillId="58" borderId="0" applyNumberFormat="0" applyBorder="0" applyAlignment="0" applyProtection="0"/>
    <xf numFmtId="0" fontId="147" fillId="58" borderId="0" applyNumberFormat="0" applyBorder="0" applyAlignment="0" applyProtection="0"/>
    <xf numFmtId="0" fontId="126" fillId="58" borderId="0" applyNumberFormat="0" applyBorder="0" applyAlignment="0" applyProtection="0"/>
    <xf numFmtId="0" fontId="126" fillId="58" borderId="0" applyNumberFormat="0" applyBorder="0" applyAlignment="0" applyProtection="0"/>
    <xf numFmtId="0" fontId="126" fillId="58" borderId="0" applyNumberFormat="0" applyBorder="0" applyAlignment="0" applyProtection="0"/>
    <xf numFmtId="0" fontId="126" fillId="58" borderId="0" applyNumberFormat="0" applyBorder="0" applyAlignment="0" applyProtection="0"/>
    <xf numFmtId="0" fontId="126" fillId="58" borderId="0" applyNumberFormat="0" applyBorder="0" applyAlignment="0" applyProtection="0"/>
    <xf numFmtId="0" fontId="126" fillId="58" borderId="0" applyNumberFormat="0" applyBorder="0" applyAlignment="0" applyProtection="0"/>
    <xf numFmtId="0" fontId="147" fillId="58" borderId="0" applyNumberFormat="0" applyBorder="0" applyAlignment="0" applyProtection="0"/>
    <xf numFmtId="0" fontId="147" fillId="58" borderId="0" applyNumberFormat="0" applyBorder="0" applyAlignment="0" applyProtection="0"/>
    <xf numFmtId="0" fontId="147" fillId="62" borderId="0" applyNumberFormat="0" applyBorder="0" applyAlignment="0" applyProtection="0"/>
    <xf numFmtId="0" fontId="147" fillId="62" borderId="0" applyNumberFormat="0" applyBorder="0" applyAlignment="0" applyProtection="0"/>
    <xf numFmtId="0" fontId="126" fillId="62" borderId="0" applyNumberFormat="0" applyBorder="0" applyAlignment="0" applyProtection="0"/>
    <xf numFmtId="0" fontId="126" fillId="62" borderId="0" applyNumberFormat="0" applyBorder="0" applyAlignment="0" applyProtection="0"/>
    <xf numFmtId="0" fontId="126" fillId="62" borderId="0" applyNumberFormat="0" applyBorder="0" applyAlignment="0" applyProtection="0"/>
    <xf numFmtId="0" fontId="126" fillId="62" borderId="0" applyNumberFormat="0" applyBorder="0" applyAlignment="0" applyProtection="0"/>
    <xf numFmtId="0" fontId="126" fillId="62" borderId="0" applyNumberFormat="0" applyBorder="0" applyAlignment="0" applyProtection="0"/>
    <xf numFmtId="0" fontId="126" fillId="62" borderId="0" applyNumberFormat="0" applyBorder="0" applyAlignment="0" applyProtection="0"/>
    <xf numFmtId="0" fontId="147" fillId="62" borderId="0" applyNumberFormat="0" applyBorder="0" applyAlignment="0" applyProtection="0"/>
    <xf numFmtId="0" fontId="147" fillId="62" borderId="0" applyNumberFormat="0" applyBorder="0" applyAlignment="0" applyProtection="0"/>
    <xf numFmtId="0" fontId="147" fillId="66" borderId="0" applyNumberFormat="0" applyBorder="0" applyAlignment="0" applyProtection="0"/>
    <xf numFmtId="0" fontId="147" fillId="66" borderId="0" applyNumberFormat="0" applyBorder="0" applyAlignment="0" applyProtection="0"/>
    <xf numFmtId="0" fontId="126" fillId="66" borderId="0" applyNumberFormat="0" applyBorder="0" applyAlignment="0" applyProtection="0"/>
    <xf numFmtId="0" fontId="126" fillId="66" borderId="0" applyNumberFormat="0" applyBorder="0" applyAlignment="0" applyProtection="0"/>
    <xf numFmtId="0" fontId="126" fillId="66" borderId="0" applyNumberFormat="0" applyBorder="0" applyAlignment="0" applyProtection="0"/>
    <xf numFmtId="0" fontId="126" fillId="66" borderId="0" applyNumberFormat="0" applyBorder="0" applyAlignment="0" applyProtection="0"/>
    <xf numFmtId="0" fontId="126" fillId="66" borderId="0" applyNumberFormat="0" applyBorder="0" applyAlignment="0" applyProtection="0"/>
    <xf numFmtId="0" fontId="126" fillId="66" borderId="0" applyNumberFormat="0" applyBorder="0" applyAlignment="0" applyProtection="0"/>
    <xf numFmtId="0" fontId="147" fillId="66" borderId="0" applyNumberFormat="0" applyBorder="0" applyAlignment="0" applyProtection="0"/>
    <xf numFmtId="0" fontId="147" fillId="66" borderId="0" applyNumberFormat="0" applyBorder="0" applyAlignment="0" applyProtection="0"/>
    <xf numFmtId="0" fontId="147" fillId="70" borderId="0" applyNumberFormat="0" applyBorder="0" applyAlignment="0" applyProtection="0"/>
    <xf numFmtId="0" fontId="147" fillId="70" borderId="0" applyNumberFormat="0" applyBorder="0" applyAlignment="0" applyProtection="0"/>
    <xf numFmtId="0" fontId="126" fillId="70" borderId="0" applyNumberFormat="0" applyBorder="0" applyAlignment="0" applyProtection="0"/>
    <xf numFmtId="0" fontId="126" fillId="70" borderId="0" applyNumberFormat="0" applyBorder="0" applyAlignment="0" applyProtection="0"/>
    <xf numFmtId="0" fontId="126" fillId="70" borderId="0" applyNumberFormat="0" applyBorder="0" applyAlignment="0" applyProtection="0"/>
    <xf numFmtId="0" fontId="126" fillId="70" borderId="0" applyNumberFormat="0" applyBorder="0" applyAlignment="0" applyProtection="0"/>
    <xf numFmtId="0" fontId="126" fillId="70" borderId="0" applyNumberFormat="0" applyBorder="0" applyAlignment="0" applyProtection="0"/>
    <xf numFmtId="0" fontId="126" fillId="70" borderId="0" applyNumberFormat="0" applyBorder="0" applyAlignment="0" applyProtection="0"/>
    <xf numFmtId="0" fontId="147" fillId="70" borderId="0" applyNumberFormat="0" applyBorder="0" applyAlignment="0" applyProtection="0"/>
    <xf numFmtId="0" fontId="147" fillId="70" borderId="0" applyNumberFormat="0" applyBorder="0" applyAlignment="0" applyProtection="0"/>
    <xf numFmtId="0" fontId="147" fillId="74" borderId="0" applyNumberFormat="0" applyBorder="0" applyAlignment="0" applyProtection="0"/>
    <xf numFmtId="0" fontId="147" fillId="74" borderId="0" applyNumberFormat="0" applyBorder="0" applyAlignment="0" applyProtection="0"/>
    <xf numFmtId="0" fontId="126" fillId="74" borderId="0" applyNumberFormat="0" applyBorder="0" applyAlignment="0" applyProtection="0"/>
    <xf numFmtId="0" fontId="126" fillId="74" borderId="0" applyNumberFormat="0" applyBorder="0" applyAlignment="0" applyProtection="0"/>
    <xf numFmtId="0" fontId="126" fillId="74" borderId="0" applyNumberFormat="0" applyBorder="0" applyAlignment="0" applyProtection="0"/>
    <xf numFmtId="0" fontId="126" fillId="74" borderId="0" applyNumberFormat="0" applyBorder="0" applyAlignment="0" applyProtection="0"/>
    <xf numFmtId="0" fontId="126" fillId="74" borderId="0" applyNumberFormat="0" applyBorder="0" applyAlignment="0" applyProtection="0"/>
    <xf numFmtId="0" fontId="126" fillId="74" borderId="0" applyNumberFormat="0" applyBorder="0" applyAlignment="0" applyProtection="0"/>
    <xf numFmtId="0" fontId="147" fillId="74" borderId="0" applyNumberFormat="0" applyBorder="0" applyAlignment="0" applyProtection="0"/>
    <xf numFmtId="0" fontId="147" fillId="74" borderId="0" applyNumberFormat="0" applyBorder="0" applyAlignment="0" applyProtection="0"/>
    <xf numFmtId="0" fontId="147" fillId="78" borderId="0" applyNumberFormat="0" applyBorder="0" applyAlignment="0" applyProtection="0"/>
    <xf numFmtId="0" fontId="147" fillId="78" borderId="0" applyNumberFormat="0" applyBorder="0" applyAlignment="0" applyProtection="0"/>
    <xf numFmtId="0" fontId="126" fillId="78" borderId="0" applyNumberFormat="0" applyBorder="0" applyAlignment="0" applyProtection="0"/>
    <xf numFmtId="0" fontId="126" fillId="78" borderId="0" applyNumberFormat="0" applyBorder="0" applyAlignment="0" applyProtection="0"/>
    <xf numFmtId="0" fontId="126" fillId="78" borderId="0" applyNumberFormat="0" applyBorder="0" applyAlignment="0" applyProtection="0"/>
    <xf numFmtId="0" fontId="126" fillId="78" borderId="0" applyNumberFormat="0" applyBorder="0" applyAlignment="0" applyProtection="0"/>
    <xf numFmtId="0" fontId="126" fillId="78" borderId="0" applyNumberFormat="0" applyBorder="0" applyAlignment="0" applyProtection="0"/>
    <xf numFmtId="0" fontId="126" fillId="78" borderId="0" applyNumberFormat="0" applyBorder="0" applyAlignment="0" applyProtection="0"/>
    <xf numFmtId="0" fontId="147" fillId="78" borderId="0" applyNumberFormat="0" applyBorder="0" applyAlignment="0" applyProtection="0"/>
    <xf numFmtId="0" fontId="147" fillId="78" borderId="0" applyNumberFormat="0" applyBorder="0" applyAlignment="0" applyProtection="0"/>
    <xf numFmtId="0" fontId="147" fillId="59" borderId="0" applyNumberFormat="0" applyBorder="0" applyAlignment="0" applyProtection="0"/>
    <xf numFmtId="0" fontId="147" fillId="59" borderId="0" applyNumberFormat="0" applyBorder="0" applyAlignment="0" applyProtection="0"/>
    <xf numFmtId="0" fontId="126" fillId="59" borderId="0" applyNumberFormat="0" applyBorder="0" applyAlignment="0" applyProtection="0"/>
    <xf numFmtId="0" fontId="126" fillId="59" borderId="0" applyNumberFormat="0" applyBorder="0" applyAlignment="0" applyProtection="0"/>
    <xf numFmtId="0" fontId="126" fillId="59" borderId="0" applyNumberFormat="0" applyBorder="0" applyAlignment="0" applyProtection="0"/>
    <xf numFmtId="0" fontId="126" fillId="59" borderId="0" applyNumberFormat="0" applyBorder="0" applyAlignment="0" applyProtection="0"/>
    <xf numFmtId="0" fontId="126" fillId="59" borderId="0" applyNumberFormat="0" applyBorder="0" applyAlignment="0" applyProtection="0"/>
    <xf numFmtId="0" fontId="126" fillId="59" borderId="0" applyNumberFormat="0" applyBorder="0" applyAlignment="0" applyProtection="0"/>
    <xf numFmtId="0" fontId="147" fillId="59" borderId="0" applyNumberFormat="0" applyBorder="0" applyAlignment="0" applyProtection="0"/>
    <xf numFmtId="0" fontId="147" fillId="59" borderId="0" applyNumberFormat="0" applyBorder="0" applyAlignment="0" applyProtection="0"/>
    <xf numFmtId="0" fontId="147" fillId="63" borderId="0" applyNumberFormat="0" applyBorder="0" applyAlignment="0" applyProtection="0"/>
    <xf numFmtId="0" fontId="147" fillId="63" borderId="0" applyNumberFormat="0" applyBorder="0" applyAlignment="0" applyProtection="0"/>
    <xf numFmtId="0" fontId="126" fillId="63" borderId="0" applyNumberFormat="0" applyBorder="0" applyAlignment="0" applyProtection="0"/>
    <xf numFmtId="0" fontId="126" fillId="63" borderId="0" applyNumberFormat="0" applyBorder="0" applyAlignment="0" applyProtection="0"/>
    <xf numFmtId="0" fontId="126" fillId="63" borderId="0" applyNumberFormat="0" applyBorder="0" applyAlignment="0" applyProtection="0"/>
    <xf numFmtId="0" fontId="126" fillId="63" borderId="0" applyNumberFormat="0" applyBorder="0" applyAlignment="0" applyProtection="0"/>
    <xf numFmtId="0" fontId="126" fillId="63" borderId="0" applyNumberFormat="0" applyBorder="0" applyAlignment="0" applyProtection="0"/>
    <xf numFmtId="0" fontId="126" fillId="63" borderId="0" applyNumberFormat="0" applyBorder="0" applyAlignment="0" applyProtection="0"/>
    <xf numFmtId="0" fontId="147" fillId="63" borderId="0" applyNumberFormat="0" applyBorder="0" applyAlignment="0" applyProtection="0"/>
    <xf numFmtId="0" fontId="147" fillId="63" borderId="0" applyNumberFormat="0" applyBorder="0" applyAlignment="0" applyProtection="0"/>
    <xf numFmtId="0" fontId="147" fillId="67" borderId="0" applyNumberFormat="0" applyBorder="0" applyAlignment="0" applyProtection="0"/>
    <xf numFmtId="0" fontId="147" fillId="67" borderId="0" applyNumberFormat="0" applyBorder="0" applyAlignment="0" applyProtection="0"/>
    <xf numFmtId="0" fontId="126" fillId="67" borderId="0" applyNumberFormat="0" applyBorder="0" applyAlignment="0" applyProtection="0"/>
    <xf numFmtId="0" fontId="126" fillId="67" borderId="0" applyNumberFormat="0" applyBorder="0" applyAlignment="0" applyProtection="0"/>
    <xf numFmtId="0" fontId="126" fillId="67" borderId="0" applyNumberFormat="0" applyBorder="0" applyAlignment="0" applyProtection="0"/>
    <xf numFmtId="0" fontId="126" fillId="67" borderId="0" applyNumberFormat="0" applyBorder="0" applyAlignment="0" applyProtection="0"/>
    <xf numFmtId="0" fontId="126" fillId="67" borderId="0" applyNumberFormat="0" applyBorder="0" applyAlignment="0" applyProtection="0"/>
    <xf numFmtId="0" fontId="126" fillId="67" borderId="0" applyNumberFormat="0" applyBorder="0" applyAlignment="0" applyProtection="0"/>
    <xf numFmtId="0" fontId="147" fillId="67" borderId="0" applyNumberFormat="0" applyBorder="0" applyAlignment="0" applyProtection="0"/>
    <xf numFmtId="0" fontId="147" fillId="67" borderId="0" applyNumberFormat="0" applyBorder="0" applyAlignment="0" applyProtection="0"/>
    <xf numFmtId="0" fontId="147" fillId="71" borderId="0" applyNumberFormat="0" applyBorder="0" applyAlignment="0" applyProtection="0"/>
    <xf numFmtId="0" fontId="147" fillId="71" borderId="0" applyNumberFormat="0" applyBorder="0" applyAlignment="0" applyProtection="0"/>
    <xf numFmtId="0" fontId="126" fillId="71" borderId="0" applyNumberFormat="0" applyBorder="0" applyAlignment="0" applyProtection="0"/>
    <xf numFmtId="0" fontId="126" fillId="71" borderId="0" applyNumberFormat="0" applyBorder="0" applyAlignment="0" applyProtection="0"/>
    <xf numFmtId="0" fontId="126" fillId="71" borderId="0" applyNumberFormat="0" applyBorder="0" applyAlignment="0" applyProtection="0"/>
    <xf numFmtId="0" fontId="126" fillId="71" borderId="0" applyNumberFormat="0" applyBorder="0" applyAlignment="0" applyProtection="0"/>
    <xf numFmtId="0" fontId="126" fillId="71" borderId="0" applyNumberFormat="0" applyBorder="0" applyAlignment="0" applyProtection="0"/>
    <xf numFmtId="0" fontId="126" fillId="71" borderId="0" applyNumberFormat="0" applyBorder="0" applyAlignment="0" applyProtection="0"/>
    <xf numFmtId="0" fontId="147" fillId="71" borderId="0" applyNumberFormat="0" applyBorder="0" applyAlignment="0" applyProtection="0"/>
    <xf numFmtId="0" fontId="147" fillId="71" borderId="0" applyNumberFormat="0" applyBorder="0" applyAlignment="0" applyProtection="0"/>
    <xf numFmtId="0" fontId="147" fillId="75" borderId="0" applyNumberFormat="0" applyBorder="0" applyAlignment="0" applyProtection="0"/>
    <xf numFmtId="0" fontId="147" fillId="75" borderId="0" applyNumberFormat="0" applyBorder="0" applyAlignment="0" applyProtection="0"/>
    <xf numFmtId="0" fontId="126" fillId="75" borderId="0" applyNumberFormat="0" applyBorder="0" applyAlignment="0" applyProtection="0"/>
    <xf numFmtId="0" fontId="126" fillId="75" borderId="0" applyNumberFormat="0" applyBorder="0" applyAlignment="0" applyProtection="0"/>
    <xf numFmtId="0" fontId="126" fillId="75" borderId="0" applyNumberFormat="0" applyBorder="0" applyAlignment="0" applyProtection="0"/>
    <xf numFmtId="0" fontId="126" fillId="75" borderId="0" applyNumberFormat="0" applyBorder="0" applyAlignment="0" applyProtection="0"/>
    <xf numFmtId="0" fontId="126" fillId="75" borderId="0" applyNumberFormat="0" applyBorder="0" applyAlignment="0" applyProtection="0"/>
    <xf numFmtId="0" fontId="126" fillId="75" borderId="0" applyNumberFormat="0" applyBorder="0" applyAlignment="0" applyProtection="0"/>
    <xf numFmtId="0" fontId="147" fillId="75" borderId="0" applyNumberFormat="0" applyBorder="0" applyAlignment="0" applyProtection="0"/>
    <xf numFmtId="0" fontId="147" fillId="75" borderId="0" applyNumberFormat="0" applyBorder="0" applyAlignment="0" applyProtection="0"/>
    <xf numFmtId="0" fontId="147" fillId="79" borderId="0" applyNumberFormat="0" applyBorder="0" applyAlignment="0" applyProtection="0"/>
    <xf numFmtId="0" fontId="147" fillId="79" borderId="0" applyNumberFormat="0" applyBorder="0" applyAlignment="0" applyProtection="0"/>
    <xf numFmtId="0" fontId="126" fillId="79" borderId="0" applyNumberFormat="0" applyBorder="0" applyAlignment="0" applyProtection="0"/>
    <xf numFmtId="0" fontId="126" fillId="79" borderId="0" applyNumberFormat="0" applyBorder="0" applyAlignment="0" applyProtection="0"/>
    <xf numFmtId="0" fontId="126" fillId="79" borderId="0" applyNumberFormat="0" applyBorder="0" applyAlignment="0" applyProtection="0"/>
    <xf numFmtId="0" fontId="126" fillId="79" borderId="0" applyNumberFormat="0" applyBorder="0" applyAlignment="0" applyProtection="0"/>
    <xf numFmtId="0" fontId="126" fillId="79" borderId="0" applyNumberFormat="0" applyBorder="0" applyAlignment="0" applyProtection="0"/>
    <xf numFmtId="0" fontId="126" fillId="79" borderId="0" applyNumberFormat="0" applyBorder="0" applyAlignment="0" applyProtection="0"/>
    <xf numFmtId="0" fontId="147" fillId="79" borderId="0" applyNumberFormat="0" applyBorder="0" applyAlignment="0" applyProtection="0"/>
    <xf numFmtId="0" fontId="147" fillId="79" borderId="0" applyNumberFormat="0" applyBorder="0" applyAlignment="0" applyProtection="0"/>
    <xf numFmtId="0" fontId="148" fillId="60" borderId="0" applyNumberFormat="0" applyBorder="0" applyAlignment="0" applyProtection="0"/>
    <xf numFmtId="0" fontId="148" fillId="60" borderId="0" applyNumberFormat="0" applyBorder="0" applyAlignment="0" applyProtection="0"/>
    <xf numFmtId="0" fontId="131" fillId="60" borderId="0" applyNumberFormat="0" applyBorder="0" applyAlignment="0" applyProtection="0"/>
    <xf numFmtId="0" fontId="131" fillId="60" borderId="0" applyNumberFormat="0" applyBorder="0" applyAlignment="0" applyProtection="0"/>
    <xf numFmtId="0" fontId="131" fillId="60" borderId="0" applyNumberFormat="0" applyBorder="0" applyAlignment="0" applyProtection="0"/>
    <xf numFmtId="0" fontId="131" fillId="60" borderId="0" applyNumberFormat="0" applyBorder="0" applyAlignment="0" applyProtection="0"/>
    <xf numFmtId="0" fontId="131" fillId="60" borderId="0" applyNumberFormat="0" applyBorder="0" applyAlignment="0" applyProtection="0"/>
    <xf numFmtId="0" fontId="131" fillId="60" borderId="0" applyNumberFormat="0" applyBorder="0" applyAlignment="0" applyProtection="0"/>
    <xf numFmtId="0" fontId="148" fillId="60" borderId="0" applyNumberFormat="0" applyBorder="0" applyAlignment="0" applyProtection="0"/>
    <xf numFmtId="0" fontId="148" fillId="60" borderId="0" applyNumberFormat="0" applyBorder="0" applyAlignment="0" applyProtection="0"/>
    <xf numFmtId="0" fontId="148" fillId="64" borderId="0" applyNumberFormat="0" applyBorder="0" applyAlignment="0" applyProtection="0"/>
    <xf numFmtId="0" fontId="148" fillId="64" borderId="0" applyNumberFormat="0" applyBorder="0" applyAlignment="0" applyProtection="0"/>
    <xf numFmtId="0" fontId="131" fillId="64" borderId="0" applyNumberFormat="0" applyBorder="0" applyAlignment="0" applyProtection="0"/>
    <xf numFmtId="0" fontId="131" fillId="64" borderId="0" applyNumberFormat="0" applyBorder="0" applyAlignment="0" applyProtection="0"/>
    <xf numFmtId="0" fontId="131" fillId="64" borderId="0" applyNumberFormat="0" applyBorder="0" applyAlignment="0" applyProtection="0"/>
    <xf numFmtId="0" fontId="131" fillId="64" borderId="0" applyNumberFormat="0" applyBorder="0" applyAlignment="0" applyProtection="0"/>
    <xf numFmtId="0" fontId="131" fillId="64" borderId="0" applyNumberFormat="0" applyBorder="0" applyAlignment="0" applyProtection="0"/>
    <xf numFmtId="0" fontId="131" fillId="64" borderId="0" applyNumberFormat="0" applyBorder="0" applyAlignment="0" applyProtection="0"/>
    <xf numFmtId="0" fontId="148" fillId="64" borderId="0" applyNumberFormat="0" applyBorder="0" applyAlignment="0" applyProtection="0"/>
    <xf numFmtId="0" fontId="148" fillId="64" borderId="0" applyNumberFormat="0" applyBorder="0" applyAlignment="0" applyProtection="0"/>
    <xf numFmtId="0" fontId="148" fillId="68" borderId="0" applyNumberFormat="0" applyBorder="0" applyAlignment="0" applyProtection="0"/>
    <xf numFmtId="0" fontId="148" fillId="68" borderId="0" applyNumberFormat="0" applyBorder="0" applyAlignment="0" applyProtection="0"/>
    <xf numFmtId="0" fontId="131" fillId="68" borderId="0" applyNumberFormat="0" applyBorder="0" applyAlignment="0" applyProtection="0"/>
    <xf numFmtId="0" fontId="131" fillId="68" borderId="0" applyNumberFormat="0" applyBorder="0" applyAlignment="0" applyProtection="0"/>
    <xf numFmtId="0" fontId="131" fillId="68" borderId="0" applyNumberFormat="0" applyBorder="0" applyAlignment="0" applyProtection="0"/>
    <xf numFmtId="0" fontId="131" fillId="68" borderId="0" applyNumberFormat="0" applyBorder="0" applyAlignment="0" applyProtection="0"/>
    <xf numFmtId="0" fontId="131" fillId="68" borderId="0" applyNumberFormat="0" applyBorder="0" applyAlignment="0" applyProtection="0"/>
    <xf numFmtId="0" fontId="131" fillId="68" borderId="0" applyNumberFormat="0" applyBorder="0" applyAlignment="0" applyProtection="0"/>
    <xf numFmtId="0" fontId="148" fillId="68" borderId="0" applyNumberFormat="0" applyBorder="0" applyAlignment="0" applyProtection="0"/>
    <xf numFmtId="0" fontId="148" fillId="68"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31" fillId="72" borderId="0" applyNumberFormat="0" applyBorder="0" applyAlignment="0" applyProtection="0"/>
    <xf numFmtId="0" fontId="131" fillId="72" borderId="0" applyNumberFormat="0" applyBorder="0" applyAlignment="0" applyProtection="0"/>
    <xf numFmtId="0" fontId="131" fillId="72" borderId="0" applyNumberFormat="0" applyBorder="0" applyAlignment="0" applyProtection="0"/>
    <xf numFmtId="0" fontId="131" fillId="72" borderId="0" applyNumberFormat="0" applyBorder="0" applyAlignment="0" applyProtection="0"/>
    <xf numFmtId="0" fontId="131" fillId="72" borderId="0" applyNumberFormat="0" applyBorder="0" applyAlignment="0" applyProtection="0"/>
    <xf numFmtId="0" fontId="131"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6" borderId="0" applyNumberFormat="0" applyBorder="0" applyAlignment="0" applyProtection="0"/>
    <xf numFmtId="0" fontId="148" fillId="76" borderId="0" applyNumberFormat="0" applyBorder="0" applyAlignment="0" applyProtection="0"/>
    <xf numFmtId="0" fontId="131" fillId="76" borderId="0" applyNumberFormat="0" applyBorder="0" applyAlignment="0" applyProtection="0"/>
    <xf numFmtId="0" fontId="131" fillId="76" borderId="0" applyNumberFormat="0" applyBorder="0" applyAlignment="0" applyProtection="0"/>
    <xf numFmtId="0" fontId="131" fillId="76" borderId="0" applyNumberFormat="0" applyBorder="0" applyAlignment="0" applyProtection="0"/>
    <xf numFmtId="0" fontId="131" fillId="76" borderId="0" applyNumberFormat="0" applyBorder="0" applyAlignment="0" applyProtection="0"/>
    <xf numFmtId="0" fontId="131" fillId="76" borderId="0" applyNumberFormat="0" applyBorder="0" applyAlignment="0" applyProtection="0"/>
    <xf numFmtId="0" fontId="131" fillId="76" borderId="0" applyNumberFormat="0" applyBorder="0" applyAlignment="0" applyProtection="0"/>
    <xf numFmtId="0" fontId="148" fillId="76" borderId="0" applyNumberFormat="0" applyBorder="0" applyAlignment="0" applyProtection="0"/>
    <xf numFmtId="0" fontId="148" fillId="76" borderId="0" applyNumberFormat="0" applyBorder="0" applyAlignment="0" applyProtection="0"/>
    <xf numFmtId="0" fontId="148" fillId="80" borderId="0" applyNumberFormat="0" applyBorder="0" applyAlignment="0" applyProtection="0"/>
    <xf numFmtId="0" fontId="148" fillId="80" borderId="0" applyNumberFormat="0" applyBorder="0" applyAlignment="0" applyProtection="0"/>
    <xf numFmtId="0" fontId="131" fillId="80" borderId="0" applyNumberFormat="0" applyBorder="0" applyAlignment="0" applyProtection="0"/>
    <xf numFmtId="0" fontId="131" fillId="80" borderId="0" applyNumberFormat="0" applyBorder="0" applyAlignment="0" applyProtection="0"/>
    <xf numFmtId="0" fontId="131" fillId="80" borderId="0" applyNumberFormat="0" applyBorder="0" applyAlignment="0" applyProtection="0"/>
    <xf numFmtId="0" fontId="131" fillId="80" borderId="0" applyNumberFormat="0" applyBorder="0" applyAlignment="0" applyProtection="0"/>
    <xf numFmtId="0" fontId="131" fillId="80" borderId="0" applyNumberFormat="0" applyBorder="0" applyAlignment="0" applyProtection="0"/>
    <xf numFmtId="0" fontId="131" fillId="80" borderId="0" applyNumberFormat="0" applyBorder="0" applyAlignment="0" applyProtection="0"/>
    <xf numFmtId="0" fontId="148" fillId="80" borderId="0" applyNumberFormat="0" applyBorder="0" applyAlignment="0" applyProtection="0"/>
    <xf numFmtId="0" fontId="148" fillId="80" borderId="0" applyNumberFormat="0" applyBorder="0" applyAlignment="0" applyProtection="0"/>
    <xf numFmtId="0" fontId="148" fillId="57" borderId="0" applyNumberFormat="0" applyBorder="0" applyAlignment="0" applyProtection="0"/>
    <xf numFmtId="0" fontId="148" fillId="57" borderId="0" applyNumberFormat="0" applyBorder="0" applyAlignment="0" applyProtection="0"/>
    <xf numFmtId="0" fontId="131" fillId="57" borderId="0" applyNumberFormat="0" applyBorder="0" applyAlignment="0" applyProtection="0"/>
    <xf numFmtId="0" fontId="131" fillId="57" borderId="0" applyNumberFormat="0" applyBorder="0" applyAlignment="0" applyProtection="0"/>
    <xf numFmtId="0" fontId="131" fillId="57" borderId="0" applyNumberFormat="0" applyBorder="0" applyAlignment="0" applyProtection="0"/>
    <xf numFmtId="0" fontId="131" fillId="57" borderId="0" applyNumberFormat="0" applyBorder="0" applyAlignment="0" applyProtection="0"/>
    <xf numFmtId="0" fontId="131" fillId="57" borderId="0" applyNumberFormat="0" applyBorder="0" applyAlignment="0" applyProtection="0"/>
    <xf numFmtId="0" fontId="131" fillId="57" borderId="0" applyNumberFormat="0" applyBorder="0" applyAlignment="0" applyProtection="0"/>
    <xf numFmtId="0" fontId="148" fillId="57" borderId="0" applyNumberFormat="0" applyBorder="0" applyAlignment="0" applyProtection="0"/>
    <xf numFmtId="0" fontId="148" fillId="57" borderId="0" applyNumberFormat="0" applyBorder="0" applyAlignment="0" applyProtection="0"/>
    <xf numFmtId="0" fontId="148" fillId="61" borderId="0" applyNumberFormat="0" applyBorder="0" applyAlignment="0" applyProtection="0"/>
    <xf numFmtId="0" fontId="148" fillId="61" borderId="0" applyNumberFormat="0" applyBorder="0" applyAlignment="0" applyProtection="0"/>
    <xf numFmtId="0" fontId="131" fillId="61" borderId="0" applyNumberFormat="0" applyBorder="0" applyAlignment="0" applyProtection="0"/>
    <xf numFmtId="0" fontId="131" fillId="61" borderId="0" applyNumberFormat="0" applyBorder="0" applyAlignment="0" applyProtection="0"/>
    <xf numFmtId="0" fontId="131" fillId="61" borderId="0" applyNumberFormat="0" applyBorder="0" applyAlignment="0" applyProtection="0"/>
    <xf numFmtId="0" fontId="131" fillId="61" borderId="0" applyNumberFormat="0" applyBorder="0" applyAlignment="0" applyProtection="0"/>
    <xf numFmtId="0" fontId="131" fillId="61" borderId="0" applyNumberFormat="0" applyBorder="0" applyAlignment="0" applyProtection="0"/>
    <xf numFmtId="0" fontId="131" fillId="61" borderId="0" applyNumberFormat="0" applyBorder="0" applyAlignment="0" applyProtection="0"/>
    <xf numFmtId="0" fontId="148" fillId="61" borderId="0" applyNumberFormat="0" applyBorder="0" applyAlignment="0" applyProtection="0"/>
    <xf numFmtId="0" fontId="148" fillId="61" borderId="0" applyNumberFormat="0" applyBorder="0" applyAlignment="0" applyProtection="0"/>
    <xf numFmtId="0" fontId="148" fillId="65" borderId="0" applyNumberFormat="0" applyBorder="0" applyAlignment="0" applyProtection="0"/>
    <xf numFmtId="0" fontId="148" fillId="65" borderId="0" applyNumberFormat="0" applyBorder="0" applyAlignment="0" applyProtection="0"/>
    <xf numFmtId="0" fontId="131" fillId="65" borderId="0" applyNumberFormat="0" applyBorder="0" applyAlignment="0" applyProtection="0"/>
    <xf numFmtId="0" fontId="131" fillId="65" borderId="0" applyNumberFormat="0" applyBorder="0" applyAlignment="0" applyProtection="0"/>
    <xf numFmtId="0" fontId="131" fillId="65" borderId="0" applyNumberFormat="0" applyBorder="0" applyAlignment="0" applyProtection="0"/>
    <xf numFmtId="0" fontId="131" fillId="65" borderId="0" applyNumberFormat="0" applyBorder="0" applyAlignment="0" applyProtection="0"/>
    <xf numFmtId="0" fontId="131" fillId="65" borderId="0" applyNumberFormat="0" applyBorder="0" applyAlignment="0" applyProtection="0"/>
    <xf numFmtId="0" fontId="131" fillId="65" borderId="0" applyNumberFormat="0" applyBorder="0" applyAlignment="0" applyProtection="0"/>
    <xf numFmtId="0" fontId="148" fillId="65" borderId="0" applyNumberFormat="0" applyBorder="0" applyAlignment="0" applyProtection="0"/>
    <xf numFmtId="0" fontId="148" fillId="65" borderId="0" applyNumberFormat="0" applyBorder="0" applyAlignment="0" applyProtection="0"/>
    <xf numFmtId="0" fontId="148" fillId="69" borderId="0" applyNumberFormat="0" applyBorder="0" applyAlignment="0" applyProtection="0"/>
    <xf numFmtId="0" fontId="148" fillId="69" borderId="0" applyNumberFormat="0" applyBorder="0" applyAlignment="0" applyProtection="0"/>
    <xf numFmtId="0" fontId="131" fillId="69" borderId="0" applyNumberFormat="0" applyBorder="0" applyAlignment="0" applyProtection="0"/>
    <xf numFmtId="0" fontId="131" fillId="69" borderId="0" applyNumberFormat="0" applyBorder="0" applyAlignment="0" applyProtection="0"/>
    <xf numFmtId="0" fontId="131" fillId="69" borderId="0" applyNumberFormat="0" applyBorder="0" applyAlignment="0" applyProtection="0"/>
    <xf numFmtId="0" fontId="131" fillId="69" borderId="0" applyNumberFormat="0" applyBorder="0" applyAlignment="0" applyProtection="0"/>
    <xf numFmtId="0" fontId="131" fillId="69" borderId="0" applyNumberFormat="0" applyBorder="0" applyAlignment="0" applyProtection="0"/>
    <xf numFmtId="0" fontId="131" fillId="69" borderId="0" applyNumberFormat="0" applyBorder="0" applyAlignment="0" applyProtection="0"/>
    <xf numFmtId="0" fontId="148" fillId="69" borderId="0" applyNumberFormat="0" applyBorder="0" applyAlignment="0" applyProtection="0"/>
    <xf numFmtId="0" fontId="148" fillId="69" borderId="0" applyNumberFormat="0" applyBorder="0" applyAlignment="0" applyProtection="0"/>
    <xf numFmtId="0" fontId="148" fillId="73" borderId="0" applyNumberFormat="0" applyBorder="0" applyAlignment="0" applyProtection="0"/>
    <xf numFmtId="0" fontId="148" fillId="73" borderId="0" applyNumberFormat="0" applyBorder="0" applyAlignment="0" applyProtection="0"/>
    <xf numFmtId="0" fontId="131" fillId="73" borderId="0" applyNumberFormat="0" applyBorder="0" applyAlignment="0" applyProtection="0"/>
    <xf numFmtId="0" fontId="131" fillId="73" borderId="0" applyNumberFormat="0" applyBorder="0" applyAlignment="0" applyProtection="0"/>
    <xf numFmtId="0" fontId="131" fillId="73" borderId="0" applyNumberFormat="0" applyBorder="0" applyAlignment="0" applyProtection="0"/>
    <xf numFmtId="0" fontId="131" fillId="73" borderId="0" applyNumberFormat="0" applyBorder="0" applyAlignment="0" applyProtection="0"/>
    <xf numFmtId="0" fontId="131" fillId="73" borderId="0" applyNumberFormat="0" applyBorder="0" applyAlignment="0" applyProtection="0"/>
    <xf numFmtId="0" fontId="131" fillId="73" borderId="0" applyNumberFormat="0" applyBorder="0" applyAlignment="0" applyProtection="0"/>
    <xf numFmtId="0" fontId="148" fillId="73" borderId="0" applyNumberFormat="0" applyBorder="0" applyAlignment="0" applyProtection="0"/>
    <xf numFmtId="0" fontId="148" fillId="73" borderId="0" applyNumberFormat="0" applyBorder="0" applyAlignment="0" applyProtection="0"/>
    <xf numFmtId="0" fontId="148" fillId="77" borderId="0" applyNumberFormat="0" applyBorder="0" applyAlignment="0" applyProtection="0"/>
    <xf numFmtId="0" fontId="148" fillId="77" borderId="0" applyNumberFormat="0" applyBorder="0" applyAlignment="0" applyProtection="0"/>
    <xf numFmtId="0" fontId="131" fillId="77" borderId="0" applyNumberFormat="0" applyBorder="0" applyAlignment="0" applyProtection="0"/>
    <xf numFmtId="0" fontId="131" fillId="77" borderId="0" applyNumberFormat="0" applyBorder="0" applyAlignment="0" applyProtection="0"/>
    <xf numFmtId="0" fontId="131" fillId="77" borderId="0" applyNumberFormat="0" applyBorder="0" applyAlignment="0" applyProtection="0"/>
    <xf numFmtId="0" fontId="131" fillId="77" borderId="0" applyNumberFormat="0" applyBorder="0" applyAlignment="0" applyProtection="0"/>
    <xf numFmtId="0" fontId="131" fillId="77" borderId="0" applyNumberFormat="0" applyBorder="0" applyAlignment="0" applyProtection="0"/>
    <xf numFmtId="0" fontId="131" fillId="77" borderId="0" applyNumberFormat="0" applyBorder="0" applyAlignment="0" applyProtection="0"/>
    <xf numFmtId="0" fontId="148" fillId="77" borderId="0" applyNumberFormat="0" applyBorder="0" applyAlignment="0" applyProtection="0"/>
    <xf numFmtId="0" fontId="148" fillId="77" borderId="0" applyNumberFormat="0" applyBorder="0" applyAlignment="0" applyProtection="0"/>
    <xf numFmtId="0" fontId="149" fillId="51" borderId="0" applyNumberFormat="0" applyBorder="0" applyAlignment="0" applyProtection="0"/>
    <xf numFmtId="0" fontId="149" fillId="51" borderId="0" applyNumberFormat="0" applyBorder="0" applyAlignment="0" applyProtection="0"/>
    <xf numFmtId="0" fontId="132" fillId="51" borderId="0" applyNumberFormat="0" applyBorder="0" applyAlignment="0" applyProtection="0"/>
    <xf numFmtId="0" fontId="132" fillId="51" borderId="0" applyNumberFormat="0" applyBorder="0" applyAlignment="0" applyProtection="0"/>
    <xf numFmtId="0" fontId="132" fillId="51" borderId="0" applyNumberFormat="0" applyBorder="0" applyAlignment="0" applyProtection="0"/>
    <xf numFmtId="0" fontId="132" fillId="51" borderId="0" applyNumberFormat="0" applyBorder="0" applyAlignment="0" applyProtection="0"/>
    <xf numFmtId="0" fontId="132" fillId="51" borderId="0" applyNumberFormat="0" applyBorder="0" applyAlignment="0" applyProtection="0"/>
    <xf numFmtId="0" fontId="132" fillId="51" borderId="0" applyNumberFormat="0" applyBorder="0" applyAlignment="0" applyProtection="0"/>
    <xf numFmtId="0" fontId="149" fillId="51" borderId="0" applyNumberFormat="0" applyBorder="0" applyAlignment="0" applyProtection="0"/>
    <xf numFmtId="0" fontId="149" fillId="51" borderId="0" applyNumberFormat="0" applyBorder="0" applyAlignment="0" applyProtection="0"/>
    <xf numFmtId="0" fontId="150" fillId="54" borderId="181" applyNumberFormat="0" applyAlignment="0" applyProtection="0"/>
    <xf numFmtId="0" fontId="150" fillId="54" borderId="181" applyNumberFormat="0" applyAlignment="0" applyProtection="0"/>
    <xf numFmtId="0" fontId="133" fillId="54" borderId="181" applyNumberFormat="0" applyAlignment="0" applyProtection="0"/>
    <xf numFmtId="0" fontId="133" fillId="54" borderId="181" applyNumberFormat="0" applyAlignment="0" applyProtection="0"/>
    <xf numFmtId="0" fontId="133" fillId="54" borderId="181" applyNumberFormat="0" applyAlignment="0" applyProtection="0"/>
    <xf numFmtId="0" fontId="133" fillId="54" borderId="181" applyNumberFormat="0" applyAlignment="0" applyProtection="0"/>
    <xf numFmtId="0" fontId="133" fillId="54" borderId="181" applyNumberFormat="0" applyAlignment="0" applyProtection="0"/>
    <xf numFmtId="0" fontId="133" fillId="54" borderId="181" applyNumberFormat="0" applyAlignment="0" applyProtection="0"/>
    <xf numFmtId="0" fontId="150" fillId="54" borderId="181" applyNumberFormat="0" applyAlignment="0" applyProtection="0"/>
    <xf numFmtId="0" fontId="150" fillId="54" borderId="181" applyNumberFormat="0" applyAlignment="0" applyProtection="0"/>
    <xf numFmtId="0" fontId="151" fillId="55" borderId="184" applyNumberFormat="0" applyAlignment="0" applyProtection="0"/>
    <xf numFmtId="0" fontId="151" fillId="55" borderId="184" applyNumberFormat="0" applyAlignment="0" applyProtection="0"/>
    <xf numFmtId="0" fontId="134" fillId="55" borderId="184" applyNumberFormat="0" applyAlignment="0" applyProtection="0"/>
    <xf numFmtId="0" fontId="134" fillId="55" borderId="184" applyNumberFormat="0" applyAlignment="0" applyProtection="0"/>
    <xf numFmtId="0" fontId="134" fillId="55" borderId="184" applyNumberFormat="0" applyAlignment="0" applyProtection="0"/>
    <xf numFmtId="0" fontId="134" fillId="55" borderId="184" applyNumberFormat="0" applyAlignment="0" applyProtection="0"/>
    <xf numFmtId="0" fontId="134" fillId="55" borderId="184" applyNumberFormat="0" applyAlignment="0" applyProtection="0"/>
    <xf numFmtId="0" fontId="134" fillId="55" borderId="184" applyNumberFormat="0" applyAlignment="0" applyProtection="0"/>
    <xf numFmtId="0" fontId="151" fillId="55" borderId="184" applyNumberFormat="0" applyAlignment="0" applyProtection="0"/>
    <xf numFmtId="0" fontId="151" fillId="55" borderId="184" applyNumberFormat="0" applyAlignment="0" applyProtection="0"/>
    <xf numFmtId="165" fontId="11"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3" fillId="50" borderId="0" applyNumberFormat="0" applyBorder="0" applyAlignment="0" applyProtection="0"/>
    <xf numFmtId="0" fontId="153" fillId="50" borderId="0" applyNumberFormat="0" applyBorder="0" applyAlignment="0" applyProtection="0"/>
    <xf numFmtId="0" fontId="136" fillId="50" borderId="0" applyNumberFormat="0" applyBorder="0" applyAlignment="0" applyProtection="0"/>
    <xf numFmtId="0" fontId="136" fillId="50" borderId="0" applyNumberFormat="0" applyBorder="0" applyAlignment="0" applyProtection="0"/>
    <xf numFmtId="0" fontId="136" fillId="50" borderId="0" applyNumberFormat="0" applyBorder="0" applyAlignment="0" applyProtection="0"/>
    <xf numFmtId="0" fontId="136" fillId="50" borderId="0" applyNumberFormat="0" applyBorder="0" applyAlignment="0" applyProtection="0"/>
    <xf numFmtId="0" fontId="136" fillId="50" borderId="0" applyNumberFormat="0" applyBorder="0" applyAlignment="0" applyProtection="0"/>
    <xf numFmtId="0" fontId="136" fillId="50" borderId="0" applyNumberFormat="0" applyBorder="0" applyAlignment="0" applyProtection="0"/>
    <xf numFmtId="0" fontId="153" fillId="50" borderId="0" applyNumberFormat="0" applyBorder="0" applyAlignment="0" applyProtection="0"/>
    <xf numFmtId="0" fontId="153" fillId="50" borderId="0" applyNumberFormat="0" applyBorder="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8" fillId="0" borderId="179" applyNumberFormat="0" applyFill="0" applyAlignment="0" applyProtection="0"/>
    <xf numFmtId="0" fontId="138" fillId="0" borderId="179" applyNumberFormat="0" applyFill="0" applyAlignment="0" applyProtection="0"/>
    <xf numFmtId="0" fontId="138" fillId="0" borderId="179" applyNumberFormat="0" applyFill="0" applyAlignment="0" applyProtection="0"/>
    <xf numFmtId="0" fontId="138" fillId="0" borderId="179" applyNumberFormat="0" applyFill="0" applyAlignment="0" applyProtection="0"/>
    <xf numFmtId="0" fontId="138" fillId="0" borderId="179" applyNumberFormat="0" applyFill="0" applyAlignment="0" applyProtection="0"/>
    <xf numFmtId="0" fontId="138" fillId="0" borderId="179" applyNumberFormat="0" applyFill="0" applyAlignment="0" applyProtection="0"/>
    <xf numFmtId="0" fontId="138" fillId="0" borderId="179" applyNumberFormat="0" applyFill="0" applyAlignment="0" applyProtection="0"/>
    <xf numFmtId="0" fontId="138" fillId="0" borderId="179" applyNumberFormat="0" applyFill="0" applyAlignment="0" applyProtection="0"/>
    <xf numFmtId="0" fontId="138" fillId="0" borderId="179" applyNumberFormat="0" applyFill="0" applyAlignment="0" applyProtection="0"/>
    <xf numFmtId="0" fontId="138" fillId="0" borderId="179" applyNumberFormat="0" applyFill="0" applyAlignment="0" applyProtection="0"/>
    <xf numFmtId="0" fontId="139" fillId="0" borderId="180" applyNumberFormat="0" applyFill="0" applyAlignment="0" applyProtection="0"/>
    <xf numFmtId="0" fontId="139" fillId="0" borderId="180" applyNumberFormat="0" applyFill="0" applyAlignment="0" applyProtection="0"/>
    <xf numFmtId="0" fontId="139" fillId="0" borderId="180" applyNumberFormat="0" applyFill="0" applyAlignment="0" applyProtection="0"/>
    <xf numFmtId="0" fontId="139" fillId="0" borderId="180" applyNumberFormat="0" applyFill="0" applyAlignment="0" applyProtection="0"/>
    <xf numFmtId="0" fontId="139" fillId="0" borderId="180" applyNumberFormat="0" applyFill="0" applyAlignment="0" applyProtection="0"/>
    <xf numFmtId="0" fontId="139" fillId="0" borderId="180" applyNumberFormat="0" applyFill="0" applyAlignment="0" applyProtection="0"/>
    <xf numFmtId="0" fontId="139" fillId="0" borderId="180" applyNumberFormat="0" applyFill="0" applyAlignment="0" applyProtection="0"/>
    <xf numFmtId="0" fontId="139" fillId="0" borderId="180" applyNumberFormat="0" applyFill="0" applyAlignment="0" applyProtection="0"/>
    <xf numFmtId="0" fontId="139" fillId="0" borderId="180" applyNumberFormat="0" applyFill="0" applyAlignment="0" applyProtection="0"/>
    <xf numFmtId="0" fontId="139" fillId="0" borderId="180" applyNumberFormat="0" applyFill="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54" fillId="53" borderId="181" applyNumberFormat="0" applyAlignment="0" applyProtection="0"/>
    <xf numFmtId="0" fontId="154" fillId="53" borderId="181" applyNumberFormat="0" applyAlignment="0" applyProtection="0"/>
    <xf numFmtId="0" fontId="140" fillId="53" borderId="181" applyNumberFormat="0" applyAlignment="0" applyProtection="0"/>
    <xf numFmtId="0" fontId="140" fillId="53" borderId="181" applyNumberFormat="0" applyAlignment="0" applyProtection="0"/>
    <xf numFmtId="0" fontId="140" fillId="53" borderId="181" applyNumberFormat="0" applyAlignment="0" applyProtection="0"/>
    <xf numFmtId="0" fontId="140" fillId="53" borderId="181" applyNumberFormat="0" applyAlignment="0" applyProtection="0"/>
    <xf numFmtId="0" fontId="140" fillId="53" borderId="181" applyNumberFormat="0" applyAlignment="0" applyProtection="0"/>
    <xf numFmtId="0" fontId="140" fillId="53" borderId="181" applyNumberFormat="0" applyAlignment="0" applyProtection="0"/>
    <xf numFmtId="0" fontId="154" fillId="53" borderId="181" applyNumberFormat="0" applyAlignment="0" applyProtection="0"/>
    <xf numFmtId="0" fontId="154" fillId="53" borderId="181" applyNumberFormat="0" applyAlignment="0" applyProtection="0"/>
    <xf numFmtId="0" fontId="155" fillId="0" borderId="183" applyNumberFormat="0" applyFill="0" applyAlignment="0" applyProtection="0"/>
    <xf numFmtId="0" fontId="155" fillId="0" borderId="183" applyNumberFormat="0" applyFill="0" applyAlignment="0" applyProtection="0"/>
    <xf numFmtId="0" fontId="141" fillId="0" borderId="183" applyNumberFormat="0" applyFill="0" applyAlignment="0" applyProtection="0"/>
    <xf numFmtId="0" fontId="141" fillId="0" borderId="183" applyNumberFormat="0" applyFill="0" applyAlignment="0" applyProtection="0"/>
    <xf numFmtId="0" fontId="141" fillId="0" borderId="183" applyNumberFormat="0" applyFill="0" applyAlignment="0" applyProtection="0"/>
    <xf numFmtId="0" fontId="141" fillId="0" borderId="183" applyNumberFormat="0" applyFill="0" applyAlignment="0" applyProtection="0"/>
    <xf numFmtId="0" fontId="141" fillId="0" borderId="183" applyNumberFormat="0" applyFill="0" applyAlignment="0" applyProtection="0"/>
    <xf numFmtId="0" fontId="141" fillId="0" borderId="183" applyNumberFormat="0" applyFill="0" applyAlignment="0" applyProtection="0"/>
    <xf numFmtId="0" fontId="155" fillId="0" borderId="183" applyNumberFormat="0" applyFill="0" applyAlignment="0" applyProtection="0"/>
    <xf numFmtId="0" fontId="155" fillId="0" borderId="183" applyNumberFormat="0" applyFill="0" applyAlignment="0" applyProtection="0"/>
    <xf numFmtId="0" fontId="156" fillId="52" borderId="0" applyNumberFormat="0" applyBorder="0" applyAlignment="0" applyProtection="0"/>
    <xf numFmtId="0" fontId="156" fillId="52" borderId="0" applyNumberFormat="0" applyBorder="0" applyAlignment="0" applyProtection="0"/>
    <xf numFmtId="0" fontId="142" fillId="52" borderId="0" applyNumberFormat="0" applyBorder="0" applyAlignment="0" applyProtection="0"/>
    <xf numFmtId="0" fontId="142" fillId="52" borderId="0" applyNumberFormat="0" applyBorder="0" applyAlignment="0" applyProtection="0"/>
    <xf numFmtId="0" fontId="142" fillId="52" borderId="0" applyNumberFormat="0" applyBorder="0" applyAlignment="0" applyProtection="0"/>
    <xf numFmtId="0" fontId="142" fillId="52" borderId="0" applyNumberFormat="0" applyBorder="0" applyAlignment="0" applyProtection="0"/>
    <xf numFmtId="0" fontId="142" fillId="52" borderId="0" applyNumberFormat="0" applyBorder="0" applyAlignment="0" applyProtection="0"/>
    <xf numFmtId="0" fontId="142" fillId="52" borderId="0" applyNumberFormat="0" applyBorder="0" applyAlignment="0" applyProtection="0"/>
    <xf numFmtId="0" fontId="156" fillId="52" borderId="0" applyNumberFormat="0" applyBorder="0" applyAlignment="0" applyProtection="0"/>
    <xf numFmtId="0" fontId="156" fillId="52" borderId="0" applyNumberFormat="0" applyBorder="0" applyAlignment="0" applyProtection="0"/>
    <xf numFmtId="0" fontId="11" fillId="0" borderId="0"/>
    <xf numFmtId="0" fontId="11" fillId="0" borderId="0"/>
    <xf numFmtId="0" fontId="11" fillId="0" borderId="0"/>
    <xf numFmtId="0" fontId="147" fillId="56" borderId="185" applyNumberFormat="0" applyFont="0" applyAlignment="0" applyProtection="0"/>
    <xf numFmtId="0" fontId="147" fillId="56" borderId="185" applyNumberFormat="0" applyFont="0" applyAlignment="0" applyProtection="0"/>
    <xf numFmtId="0" fontId="126" fillId="56" borderId="185" applyNumberFormat="0" applyFont="0" applyAlignment="0" applyProtection="0"/>
    <xf numFmtId="0" fontId="126" fillId="56" borderId="185" applyNumberFormat="0" applyFont="0" applyAlignment="0" applyProtection="0"/>
    <xf numFmtId="0" fontId="126" fillId="56" borderId="185" applyNumberFormat="0" applyFont="0" applyAlignment="0" applyProtection="0"/>
    <xf numFmtId="0" fontId="126" fillId="56" borderId="185" applyNumberFormat="0" applyFont="0" applyAlignment="0" applyProtection="0"/>
    <xf numFmtId="0" fontId="126" fillId="56" borderId="185" applyNumberFormat="0" applyFont="0" applyAlignment="0" applyProtection="0"/>
    <xf numFmtId="0" fontId="126" fillId="56" borderId="185" applyNumberFormat="0" applyFont="0" applyAlignment="0" applyProtection="0"/>
    <xf numFmtId="0" fontId="147" fillId="56" borderId="185" applyNumberFormat="0" applyFont="0" applyAlignment="0" applyProtection="0"/>
    <xf numFmtId="0" fontId="147" fillId="56" borderId="185" applyNumberFormat="0" applyFont="0" applyAlignment="0" applyProtection="0"/>
    <xf numFmtId="0" fontId="157" fillId="54" borderId="182" applyNumberFormat="0" applyAlignment="0" applyProtection="0"/>
    <xf numFmtId="0" fontId="157" fillId="54" borderId="182" applyNumberFormat="0" applyAlignment="0" applyProtection="0"/>
    <xf numFmtId="0" fontId="143" fillId="54" borderId="182" applyNumberFormat="0" applyAlignment="0" applyProtection="0"/>
    <xf numFmtId="0" fontId="143" fillId="54" borderId="182" applyNumberFormat="0" applyAlignment="0" applyProtection="0"/>
    <xf numFmtId="0" fontId="143" fillId="54" borderId="182" applyNumberFormat="0" applyAlignment="0" applyProtection="0"/>
    <xf numFmtId="0" fontId="143" fillId="54" borderId="182" applyNumberFormat="0" applyAlignment="0" applyProtection="0"/>
    <xf numFmtId="0" fontId="143" fillId="54" borderId="182" applyNumberFormat="0" applyAlignment="0" applyProtection="0"/>
    <xf numFmtId="0" fontId="143" fillId="54" borderId="182" applyNumberFormat="0" applyAlignment="0" applyProtection="0"/>
    <xf numFmtId="0" fontId="157" fillId="54" borderId="182" applyNumberFormat="0" applyAlignment="0" applyProtection="0"/>
    <xf numFmtId="0" fontId="157" fillId="54" borderId="182" applyNumberFormat="0" applyAlignment="0" applyProtection="0"/>
    <xf numFmtId="0" fontId="144" fillId="0" borderId="0" applyNumberFormat="0" applyFill="0" applyBorder="0" applyAlignment="0" applyProtection="0"/>
    <xf numFmtId="0" fontId="158" fillId="0" borderId="186" applyNumberFormat="0" applyFill="0" applyAlignment="0" applyProtection="0"/>
    <xf numFmtId="0" fontId="158" fillId="0" borderId="186" applyNumberFormat="0" applyFill="0" applyAlignment="0" applyProtection="0"/>
    <xf numFmtId="0" fontId="145" fillId="0" borderId="186" applyNumberFormat="0" applyFill="0" applyAlignment="0" applyProtection="0"/>
    <xf numFmtId="0" fontId="145" fillId="0" borderId="186" applyNumberFormat="0" applyFill="0" applyAlignment="0" applyProtection="0"/>
    <xf numFmtId="0" fontId="145" fillId="0" borderId="186" applyNumberFormat="0" applyFill="0" applyAlignment="0" applyProtection="0"/>
    <xf numFmtId="0" fontId="145" fillId="0" borderId="186" applyNumberFormat="0" applyFill="0" applyAlignment="0" applyProtection="0"/>
    <xf numFmtId="0" fontId="145" fillId="0" borderId="186" applyNumberFormat="0" applyFill="0" applyAlignment="0" applyProtection="0"/>
    <xf numFmtId="0" fontId="145" fillId="0" borderId="186" applyNumberFormat="0" applyFill="0" applyAlignment="0" applyProtection="0"/>
    <xf numFmtId="0" fontId="158" fillId="0" borderId="186" applyNumberFormat="0" applyFill="0" applyAlignment="0" applyProtection="0"/>
    <xf numFmtId="0" fontId="158" fillId="0" borderId="186" applyNumberFormat="0" applyFill="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172" fontId="160" fillId="0" borderId="192" applyFont="0" applyBorder="0"/>
    <xf numFmtId="186" fontId="161" fillId="0" borderId="0" applyFont="0" applyFill="0" applyBorder="0" applyAlignment="0" applyProtection="0"/>
    <xf numFmtId="0" fontId="162" fillId="0" borderId="0" applyFont="0" applyFill="0" applyBorder="0" applyAlignment="0" applyProtection="0"/>
    <xf numFmtId="187" fontId="161" fillId="0" borderId="0" applyFont="0" applyFill="0" applyBorder="0" applyAlignment="0" applyProtection="0"/>
    <xf numFmtId="40" fontId="162" fillId="0" borderId="0" applyFont="0" applyFill="0" applyBorder="0" applyAlignment="0" applyProtection="0"/>
    <xf numFmtId="38" fontId="162" fillId="0" borderId="0" applyFont="0" applyFill="0" applyBorder="0" applyAlignment="0" applyProtection="0"/>
    <xf numFmtId="164" fontId="163" fillId="0" borderId="0" applyFont="0" applyFill="0" applyBorder="0" applyAlignment="0" applyProtection="0"/>
    <xf numFmtId="9" fontId="164" fillId="0" borderId="0" applyFont="0" applyFill="0" applyBorder="0" applyAlignment="0" applyProtection="0"/>
    <xf numFmtId="0" fontId="165" fillId="0" borderId="0"/>
    <xf numFmtId="0" fontId="166" fillId="0" borderId="0"/>
    <xf numFmtId="0" fontId="167" fillId="14" borderId="0"/>
    <xf numFmtId="0" fontId="168" fillId="0" borderId="0"/>
    <xf numFmtId="0" fontId="169" fillId="14" borderId="0"/>
    <xf numFmtId="0" fontId="170" fillId="14" borderId="0"/>
    <xf numFmtId="0" fontId="171" fillId="0" borderId="0">
      <alignment wrapText="1"/>
    </xf>
    <xf numFmtId="188" fontId="172" fillId="0" borderId="0" applyFont="0" applyFill="0" applyBorder="0" applyAlignment="0" applyProtection="0"/>
    <xf numFmtId="0" fontId="173" fillId="0" borderId="0" applyFont="0" applyFill="0" applyBorder="0" applyAlignment="0" applyProtection="0"/>
    <xf numFmtId="189" fontId="172" fillId="0" borderId="0" applyFont="0" applyFill="0" applyBorder="0" applyAlignment="0" applyProtection="0"/>
    <xf numFmtId="0" fontId="173" fillId="0" borderId="0" applyFont="0" applyFill="0" applyBorder="0" applyAlignment="0" applyProtection="0"/>
    <xf numFmtId="190" fontId="172" fillId="0" borderId="0" applyFont="0" applyFill="0" applyBorder="0" applyAlignment="0" applyProtection="0"/>
    <xf numFmtId="0" fontId="173" fillId="0" borderId="0" applyFont="0" applyFill="0" applyBorder="0" applyAlignment="0" applyProtection="0"/>
    <xf numFmtId="191" fontId="172" fillId="0" borderId="0" applyFont="0" applyFill="0" applyBorder="0" applyAlignment="0" applyProtection="0"/>
    <xf numFmtId="0" fontId="173" fillId="0" borderId="0" applyFont="0" applyFill="0" applyBorder="0" applyAlignment="0" applyProtection="0"/>
    <xf numFmtId="0" fontId="173" fillId="0" borderId="0"/>
    <xf numFmtId="0" fontId="174" fillId="0" borderId="0"/>
    <xf numFmtId="0" fontId="173" fillId="0" borderId="0"/>
    <xf numFmtId="0" fontId="11" fillId="0" borderId="0" applyFill="0" applyBorder="0" applyAlignment="0"/>
    <xf numFmtId="192" fontId="175" fillId="0" borderId="0" applyFill="0" applyBorder="0" applyAlignment="0"/>
    <xf numFmtId="193" fontId="175" fillId="0" borderId="0" applyFill="0" applyBorder="0" applyAlignment="0"/>
    <xf numFmtId="194" fontId="175" fillId="0" borderId="0" applyFill="0" applyBorder="0" applyAlignment="0"/>
    <xf numFmtId="195" fontId="11" fillId="0" borderId="0" applyFill="0" applyBorder="0" applyAlignment="0"/>
    <xf numFmtId="169" fontId="175" fillId="0" borderId="0" applyFill="0" applyBorder="0" applyAlignment="0"/>
    <xf numFmtId="196" fontId="175" fillId="0" borderId="0" applyFill="0" applyBorder="0" applyAlignment="0"/>
    <xf numFmtId="192" fontId="175" fillId="0" borderId="0" applyFill="0" applyBorder="0" applyAlignment="0"/>
    <xf numFmtId="0" fontId="176" fillId="0" borderId="0"/>
    <xf numFmtId="0" fontId="177" fillId="0" borderId="0" applyFill="0" applyBorder="0" applyProtection="0">
      <alignment horizontal="center"/>
      <protection locked="0"/>
    </xf>
    <xf numFmtId="3" fontId="178" fillId="0" borderId="54"/>
    <xf numFmtId="1" fontId="179" fillId="0" borderId="191" applyBorder="0"/>
    <xf numFmtId="0" fontId="180" fillId="0" borderId="188">
      <alignment horizontal="center"/>
    </xf>
    <xf numFmtId="197" fontId="11" fillId="0" borderId="0" applyFont="0" applyFill="0" applyBorder="0" applyAlignment="0" applyProtection="0"/>
    <xf numFmtId="169" fontId="175" fillId="0" borderId="0" applyFont="0" applyFill="0" applyBorder="0" applyAlignment="0" applyProtection="0"/>
    <xf numFmtId="198" fontId="41" fillId="0" borderId="0" applyFont="0" applyFill="0" applyBorder="0" applyAlignment="0" applyProtection="0"/>
    <xf numFmtId="199" fontId="57" fillId="0" borderId="0" applyFont="0" applyFill="0" applyBorder="0" applyAlignment="0" applyProtection="0"/>
    <xf numFmtId="200" fontId="181" fillId="0" borderId="0" applyFont="0" applyFill="0" applyBorder="0" applyAlignment="0" applyProtection="0"/>
    <xf numFmtId="201" fontId="57" fillId="0" borderId="0" applyFont="0" applyFill="0" applyBorder="0" applyAlignment="0" applyProtection="0"/>
    <xf numFmtId="202" fontId="181" fillId="0" borderId="0" applyFont="0" applyFill="0" applyBorder="0" applyAlignment="0" applyProtection="0"/>
    <xf numFmtId="203" fontId="57" fillId="0" borderId="0" applyFont="0" applyFill="0" applyBorder="0" applyAlignment="0" applyProtection="0"/>
    <xf numFmtId="204" fontId="83" fillId="0" borderId="0"/>
    <xf numFmtId="3" fontId="11" fillId="0" borderId="0" applyFont="0" applyFill="0" applyBorder="0" applyAlignment="0" applyProtection="0"/>
    <xf numFmtId="0" fontId="182" fillId="0" borderId="0" applyNumberFormat="0" applyFill="0" applyBorder="0" applyAlignment="0" applyProtection="0"/>
    <xf numFmtId="205" fontId="183" fillId="0" borderId="0" applyFill="0" applyBorder="0" applyProtection="0"/>
    <xf numFmtId="206" fontId="41" fillId="0" borderId="0" applyFont="0" applyFill="0" applyBorder="0" applyAlignment="0" applyProtection="0"/>
    <xf numFmtId="207" fontId="83" fillId="0" borderId="0" applyFill="0" applyBorder="0" applyProtection="0"/>
    <xf numFmtId="207" fontId="83" fillId="0" borderId="189" applyFill="0" applyProtection="0"/>
    <xf numFmtId="207" fontId="83" fillId="0" borderId="78" applyFill="0" applyProtection="0"/>
    <xf numFmtId="208" fontId="11" fillId="0" borderId="0" applyFont="0" applyFill="0" applyBorder="0" applyAlignment="0" applyProtection="0"/>
    <xf numFmtId="192" fontId="175" fillId="0" borderId="0" applyFont="0" applyFill="0" applyBorder="0" applyAlignment="0" applyProtection="0"/>
    <xf numFmtId="209" fontId="181" fillId="0" borderId="0" applyFont="0" applyFill="0" applyBorder="0" applyAlignment="0" applyProtection="0"/>
    <xf numFmtId="210" fontId="57" fillId="0" borderId="0" applyFont="0" applyFill="0" applyBorder="0" applyAlignment="0" applyProtection="0"/>
    <xf numFmtId="211" fontId="181" fillId="0" borderId="0" applyFont="0" applyFill="0" applyBorder="0" applyAlignment="0" applyProtection="0"/>
    <xf numFmtId="212" fontId="57" fillId="0" borderId="0" applyFont="0" applyFill="0" applyBorder="0" applyAlignment="0" applyProtection="0"/>
    <xf numFmtId="213" fontId="181" fillId="0" borderId="0" applyFont="0" applyFill="0" applyBorder="0" applyAlignment="0" applyProtection="0"/>
    <xf numFmtId="214" fontId="57" fillId="0" borderId="0" applyFont="0" applyFill="0" applyBorder="0" applyAlignment="0" applyProtection="0"/>
    <xf numFmtId="215" fontId="184" fillId="0" borderId="0" applyFont="0" applyFill="0" applyBorder="0" applyAlignment="0" applyProtection="0"/>
    <xf numFmtId="216" fontId="11" fillId="0" borderId="0"/>
    <xf numFmtId="0" fontId="20" fillId="14" borderId="0" applyNumberFormat="0" applyFont="0" applyFill="0" applyBorder="0" applyProtection="0">
      <alignment horizontal="left"/>
    </xf>
    <xf numFmtId="217" fontId="11" fillId="0" borderId="0" applyFont="0" applyFill="0" applyBorder="0" applyAlignment="0" applyProtection="0"/>
    <xf numFmtId="14" fontId="59" fillId="0" borderId="0" applyFill="0" applyBorder="0" applyAlignment="0"/>
    <xf numFmtId="0" fontId="185" fillId="0" borderId="0" applyProtection="0"/>
    <xf numFmtId="218" fontId="83" fillId="0" borderId="0" applyFill="0" applyBorder="0" applyProtection="0"/>
    <xf numFmtId="218" fontId="83" fillId="0" borderId="189" applyFill="0" applyProtection="0"/>
    <xf numFmtId="218" fontId="83" fillId="0" borderId="78" applyFill="0" applyProtection="0"/>
    <xf numFmtId="219" fontId="11" fillId="0" borderId="193">
      <alignment vertical="center"/>
    </xf>
    <xf numFmtId="220" fontId="11" fillId="0" borderId="0" applyFont="0" applyFill="0" applyBorder="0" applyAlignment="0" applyProtection="0"/>
    <xf numFmtId="221" fontId="11" fillId="0" borderId="0" applyFont="0" applyFill="0" applyBorder="0" applyAlignment="0" applyProtection="0"/>
    <xf numFmtId="222" fontId="11" fillId="0" borderId="0"/>
    <xf numFmtId="169" fontId="175" fillId="0" borderId="0" applyFill="0" applyBorder="0" applyAlignment="0"/>
    <xf numFmtId="192" fontId="175" fillId="0" borderId="0" applyFill="0" applyBorder="0" applyAlignment="0"/>
    <xf numFmtId="169" fontId="175" fillId="0" borderId="0" applyFill="0" applyBorder="0" applyAlignment="0"/>
    <xf numFmtId="196" fontId="175" fillId="0" borderId="0" applyFill="0" applyBorder="0" applyAlignment="0"/>
    <xf numFmtId="192" fontId="175" fillId="0" borderId="0" applyFill="0" applyBorder="0" applyAlignment="0"/>
    <xf numFmtId="223" fontId="11" fillId="0" borderId="0" applyFont="0" applyFill="0" applyBorder="0" applyAlignment="0" applyProtection="0"/>
    <xf numFmtId="0" fontId="186" fillId="0" borderId="0" applyProtection="0"/>
    <xf numFmtId="0" fontId="187" fillId="0" borderId="0" applyProtection="0"/>
    <xf numFmtId="0" fontId="188" fillId="0" borderId="0" applyProtection="0"/>
    <xf numFmtId="0" fontId="189" fillId="0" borderId="0" applyProtection="0"/>
    <xf numFmtId="0" fontId="190" fillId="0" borderId="0" applyNumberFormat="0" applyFont="0" applyFill="0" applyBorder="0" applyAlignment="0" applyProtection="0"/>
    <xf numFmtId="0" fontId="191" fillId="0" borderId="0" applyProtection="0"/>
    <xf numFmtId="0" fontId="192" fillId="0" borderId="0" applyProtection="0"/>
    <xf numFmtId="2" fontId="11" fillId="0" borderId="0" applyFont="0" applyFill="0" applyBorder="0" applyAlignment="0" applyProtection="0"/>
    <xf numFmtId="38" fontId="130" fillId="14" borderId="0" applyNumberFormat="0" applyBorder="0" applyAlignment="0" applyProtection="0"/>
    <xf numFmtId="0" fontId="193" fillId="0" borderId="0" applyNumberFormat="0" applyFont="0" applyBorder="0" applyAlignment="0">
      <alignment horizontal="left" vertical="center"/>
    </xf>
    <xf numFmtId="0" fontId="194" fillId="0" borderId="0">
      <alignment horizontal="left"/>
    </xf>
    <xf numFmtId="0" fontId="195" fillId="0" borderId="190" applyNumberFormat="0" applyAlignment="0" applyProtection="0">
      <alignment horizontal="left" vertical="center"/>
    </xf>
    <xf numFmtId="0" fontId="195" fillId="0" borderId="79">
      <alignment horizontal="left" vertical="center"/>
    </xf>
    <xf numFmtId="14" fontId="20" fillId="81" borderId="162">
      <alignment horizontal="center" vertical="center" wrapText="1"/>
    </xf>
    <xf numFmtId="0" fontId="177" fillId="0" borderId="0" applyFill="0" applyAlignment="0" applyProtection="0">
      <protection locked="0"/>
    </xf>
    <xf numFmtId="0" fontId="177" fillId="0" borderId="35" applyFill="0" applyAlignment="0" applyProtection="0">
      <protection locked="0"/>
    </xf>
    <xf numFmtId="0" fontId="196" fillId="0" borderId="0" applyProtection="0"/>
    <xf numFmtId="0" fontId="195" fillId="0" borderId="0" applyProtection="0"/>
    <xf numFmtId="5" fontId="197" fillId="82" borderId="54" applyNumberFormat="0" applyAlignment="0">
      <alignment horizontal="left" vertical="top"/>
    </xf>
    <xf numFmtId="49" fontId="198" fillId="0" borderId="54">
      <alignment vertical="center"/>
    </xf>
    <xf numFmtId="0" fontId="199" fillId="83" borderId="0">
      <alignment horizontal="left" wrapText="1" indent="2"/>
    </xf>
    <xf numFmtId="10" fontId="130" fillId="83" borderId="54" applyNumberFormat="0" applyBorder="0" applyAlignment="0" applyProtection="0"/>
    <xf numFmtId="0" fontId="178" fillId="0" borderId="0"/>
    <xf numFmtId="0" fontId="178" fillId="0" borderId="0"/>
    <xf numFmtId="169" fontId="175" fillId="0" borderId="0" applyFill="0" applyBorder="0" applyAlignment="0"/>
    <xf numFmtId="192" fontId="175" fillId="0" borderId="0" applyFill="0" applyBorder="0" applyAlignment="0"/>
    <xf numFmtId="169" fontId="175" fillId="0" borderId="0" applyFill="0" applyBorder="0" applyAlignment="0"/>
    <xf numFmtId="196" fontId="175" fillId="0" borderId="0" applyFill="0" applyBorder="0" applyAlignment="0"/>
    <xf numFmtId="192" fontId="175" fillId="0" borderId="0" applyFill="0" applyBorder="0" applyAlignment="0"/>
    <xf numFmtId="38" fontId="178" fillId="0" borderId="0" applyFont="0" applyFill="0" applyBorder="0" applyAlignment="0" applyProtection="0"/>
    <xf numFmtId="40" fontId="178" fillId="0" borderId="0" applyFont="0" applyFill="0" applyBorder="0" applyAlignment="0" applyProtection="0"/>
    <xf numFmtId="0" fontId="200" fillId="0" borderId="162"/>
    <xf numFmtId="224" fontId="184" fillId="0" borderId="0" applyFont="0" applyFill="0" applyBorder="0" applyAlignment="0" applyProtection="0"/>
    <xf numFmtId="225" fontId="184" fillId="0" borderId="0" applyFont="0" applyFill="0" applyBorder="0" applyAlignment="0" applyProtection="0"/>
    <xf numFmtId="226" fontId="11" fillId="0" borderId="0" applyFont="0" applyFill="0" applyBorder="0" applyAlignment="0" applyProtection="0"/>
    <xf numFmtId="227" fontId="11" fillId="0" borderId="0" applyFont="0" applyFill="0" applyBorder="0" applyAlignment="0" applyProtection="0"/>
    <xf numFmtId="0" fontId="185" fillId="0" borderId="0" applyNumberFormat="0" applyFont="0" applyFill="0" applyAlignment="0"/>
    <xf numFmtId="0" fontId="83" fillId="0" borderId="0"/>
    <xf numFmtId="37" fontId="201" fillId="0" borderId="0"/>
    <xf numFmtId="0" fontId="202" fillId="0" borderId="54" applyNumberFormat="0" applyFont="0" applyFill="0" applyBorder="0" applyAlignment="0">
      <alignment horizontal="center"/>
    </xf>
    <xf numFmtId="228" fontId="203" fillId="0" borderId="0"/>
    <xf numFmtId="0" fontId="204" fillId="0" borderId="0"/>
    <xf numFmtId="0" fontId="177" fillId="0" borderId="0" applyNumberFormat="0" applyFill="0" applyBorder="0" applyAlignment="0" applyProtection="0"/>
    <xf numFmtId="0" fontId="11" fillId="0" borderId="0" applyFont="0" applyFill="0" applyBorder="0" applyAlignment="0" applyProtection="0"/>
    <xf numFmtId="0" fontId="83" fillId="0" borderId="0"/>
    <xf numFmtId="0" fontId="205" fillId="24" borderId="0"/>
    <xf numFmtId="229" fontId="177" fillId="0" borderId="0" applyFont="0" applyFill="0" applyBorder="0" applyAlignment="0" applyProtection="0"/>
    <xf numFmtId="230" fontId="41" fillId="0" borderId="0" applyFont="0" applyFill="0" applyBorder="0" applyAlignment="0" applyProtection="0"/>
    <xf numFmtId="231" fontId="181" fillId="0" borderId="0" applyFont="0" applyFill="0" applyBorder="0" applyAlignment="0" applyProtection="0"/>
    <xf numFmtId="232" fontId="11" fillId="0" borderId="0" applyFont="0" applyFill="0" applyBorder="0" applyAlignment="0" applyProtection="0"/>
    <xf numFmtId="195" fontId="11" fillId="0" borderId="0" applyFont="0" applyFill="0" applyBorder="0" applyAlignment="0" applyProtection="0"/>
    <xf numFmtId="233" fontId="11" fillId="0" borderId="0" applyFont="0" applyFill="0" applyBorder="0" applyAlignment="0" applyProtection="0"/>
    <xf numFmtId="10" fontId="11" fillId="0" borderId="0" applyFont="0" applyFill="0" applyBorder="0" applyAlignment="0" applyProtection="0"/>
    <xf numFmtId="234" fontId="181" fillId="0" borderId="0" applyFont="0" applyFill="0" applyBorder="0" applyAlignment="0" applyProtection="0"/>
    <xf numFmtId="235" fontId="41" fillId="0" borderId="0" applyFont="0" applyFill="0" applyBorder="0" applyAlignment="0" applyProtection="0"/>
    <xf numFmtId="236" fontId="181" fillId="0" borderId="0" applyFont="0" applyFill="0" applyBorder="0" applyAlignment="0" applyProtection="0"/>
    <xf numFmtId="237" fontId="41" fillId="0" borderId="0" applyFont="0" applyFill="0" applyBorder="0" applyAlignment="0" applyProtection="0"/>
    <xf numFmtId="238" fontId="181" fillId="0" borderId="0" applyFont="0" applyFill="0" applyBorder="0" applyAlignment="0" applyProtection="0"/>
    <xf numFmtId="239" fontId="41" fillId="0" borderId="0" applyFont="0" applyFill="0" applyBorder="0" applyAlignment="0" applyProtection="0"/>
    <xf numFmtId="169" fontId="175" fillId="0" borderId="0" applyFill="0" applyBorder="0" applyAlignment="0"/>
    <xf numFmtId="192" fontId="175" fillId="0" borderId="0" applyFill="0" applyBorder="0" applyAlignment="0"/>
    <xf numFmtId="169" fontId="175" fillId="0" borderId="0" applyFill="0" applyBorder="0" applyAlignment="0"/>
    <xf numFmtId="196" fontId="175" fillId="0" borderId="0" applyFill="0" applyBorder="0" applyAlignment="0"/>
    <xf numFmtId="192" fontId="175" fillId="0" borderId="0" applyFill="0" applyBorder="0" applyAlignment="0"/>
    <xf numFmtId="0" fontId="206" fillId="0" borderId="0"/>
    <xf numFmtId="0" fontId="178" fillId="0" borderId="0" applyNumberFormat="0" applyFont="0" applyFill="0" applyBorder="0" applyAlignment="0" applyProtection="0">
      <alignment horizontal="left"/>
    </xf>
    <xf numFmtId="0" fontId="207" fillId="0" borderId="162">
      <alignment horizontal="center"/>
    </xf>
    <xf numFmtId="0" fontId="11" fillId="84" borderId="0"/>
    <xf numFmtId="0" fontId="208" fillId="0" borderId="0" applyNumberFormat="0" applyFill="0" applyBorder="0" applyAlignment="0" applyProtection="0"/>
    <xf numFmtId="0" fontId="200" fillId="0" borderId="0"/>
    <xf numFmtId="0" fontId="209" fillId="83" borderId="0">
      <alignment wrapText="1"/>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1" fontId="210" fillId="0" borderId="187">
      <alignment horizontal="right" vertical="center"/>
    </xf>
    <xf numFmtId="241" fontId="210" fillId="0" borderId="187">
      <alignment horizontal="right" vertical="center"/>
    </xf>
    <xf numFmtId="240" fontId="55" fillId="0" borderId="187">
      <alignment horizontal="right" vertical="center"/>
    </xf>
    <xf numFmtId="240" fontId="55"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0" fontId="55" fillId="0" borderId="187">
      <alignment horizontal="right" vertical="center"/>
    </xf>
    <xf numFmtId="241" fontId="210" fillId="0" borderId="187">
      <alignment horizontal="right" vertical="center"/>
    </xf>
    <xf numFmtId="240" fontId="55" fillId="0" borderId="187">
      <alignment horizontal="right" vertical="center"/>
    </xf>
    <xf numFmtId="241" fontId="210" fillId="0" borderId="187">
      <alignment horizontal="right" vertical="center"/>
    </xf>
    <xf numFmtId="240" fontId="55" fillId="0" borderId="187">
      <alignment horizontal="right" vertical="center"/>
    </xf>
    <xf numFmtId="241" fontId="210" fillId="0" borderId="187">
      <alignment horizontal="right" vertical="center"/>
    </xf>
    <xf numFmtId="49" fontId="59" fillId="0" borderId="0" applyFill="0" applyBorder="0" applyAlignment="0"/>
    <xf numFmtId="242" fontId="11" fillId="0" borderId="0" applyFill="0" applyBorder="0" applyAlignment="0"/>
    <xf numFmtId="243" fontId="11" fillId="0" borderId="0" applyFill="0" applyBorder="0" applyAlignment="0"/>
    <xf numFmtId="244" fontId="55" fillId="0" borderId="187">
      <alignment horizontal="center"/>
    </xf>
    <xf numFmtId="0" fontId="211" fillId="0" borderId="194"/>
    <xf numFmtId="0" fontId="212" fillId="0" borderId="194"/>
    <xf numFmtId="0" fontId="177" fillId="0" borderId="0" applyNumberFormat="0" applyFill="0" applyBorder="0" applyAlignment="0" applyProtection="0"/>
    <xf numFmtId="0" fontId="101" fillId="0" borderId="0" applyFill="0" applyBorder="0" applyProtection="0">
      <alignment horizontal="left" vertical="top"/>
    </xf>
    <xf numFmtId="245" fontId="55" fillId="0" borderId="0"/>
    <xf numFmtId="246" fontId="55" fillId="0" borderId="54"/>
    <xf numFmtId="0" fontId="213" fillId="0" borderId="0"/>
    <xf numFmtId="0" fontId="213" fillId="0" borderId="0"/>
    <xf numFmtId="5" fontId="214" fillId="85" borderId="188">
      <alignment vertical="top"/>
    </xf>
    <xf numFmtId="0" fontId="215" fillId="86" borderId="54">
      <alignment horizontal="left" vertical="center"/>
    </xf>
    <xf numFmtId="6" fontId="216" fillId="87" borderId="188"/>
    <xf numFmtId="5" fontId="197" fillId="0" borderId="188">
      <alignment horizontal="left" vertical="top"/>
    </xf>
    <xf numFmtId="0" fontId="217" fillId="88" borderId="0">
      <alignment horizontal="left" vertical="center"/>
    </xf>
    <xf numFmtId="5" fontId="208" fillId="0" borderId="145">
      <alignment horizontal="left" vertical="top"/>
    </xf>
    <xf numFmtId="0" fontId="218" fillId="0" borderId="145">
      <alignment horizontal="left" vertical="center"/>
    </xf>
    <xf numFmtId="247" fontId="11" fillId="0" borderId="0" applyFont="0" applyFill="0" applyBorder="0" applyAlignment="0" applyProtection="0"/>
    <xf numFmtId="248" fontId="11" fillId="0" borderId="0" applyFont="0" applyFill="0" applyBorder="0" applyAlignment="0" applyProtection="0"/>
    <xf numFmtId="0" fontId="219" fillId="0" borderId="0" applyNumberFormat="0" applyFill="0" applyBorder="0" applyAlignment="0" applyProtection="0"/>
    <xf numFmtId="42" fontId="220" fillId="0" borderId="0" applyFont="0" applyFill="0" applyBorder="0" applyAlignment="0" applyProtection="0"/>
    <xf numFmtId="44" fontId="220" fillId="0" borderId="0" applyFont="0" applyFill="0" applyBorder="0" applyAlignment="0" applyProtection="0"/>
    <xf numFmtId="0" fontId="220" fillId="0" borderId="0"/>
    <xf numFmtId="0" fontId="221" fillId="0" borderId="0" applyFont="0" applyFill="0" applyBorder="0" applyAlignment="0" applyProtection="0"/>
    <xf numFmtId="0" fontId="221" fillId="0" borderId="0" applyFont="0" applyFill="0" applyBorder="0" applyAlignment="0" applyProtection="0"/>
    <xf numFmtId="0" fontId="222" fillId="0" borderId="0">
      <alignment vertical="center"/>
    </xf>
    <xf numFmtId="40" fontId="223" fillId="0" borderId="0" applyFont="0" applyFill="0" applyBorder="0" applyAlignment="0" applyProtection="0"/>
    <xf numFmtId="38" fontId="223" fillId="0" borderId="0" applyFont="0" applyFill="0" applyBorder="0" applyAlignment="0" applyProtection="0"/>
    <xf numFmtId="0" fontId="223" fillId="0" borderId="0" applyFont="0" applyFill="0" applyBorder="0" applyAlignment="0" applyProtection="0"/>
    <xf numFmtId="0" fontId="223" fillId="0" borderId="0" applyFont="0" applyFill="0" applyBorder="0" applyAlignment="0" applyProtection="0"/>
    <xf numFmtId="9" fontId="224" fillId="0" borderId="0" applyFont="0" applyFill="0" applyBorder="0" applyAlignment="0" applyProtection="0"/>
    <xf numFmtId="0" fontId="225"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24" fillId="0" borderId="0" applyFont="0" applyFill="0" applyBorder="0" applyAlignment="0" applyProtection="0"/>
    <xf numFmtId="0" fontId="224" fillId="0" borderId="0" applyFont="0" applyFill="0" applyBorder="0" applyAlignment="0" applyProtection="0"/>
    <xf numFmtId="249" fontId="184" fillId="0" borderId="0" applyFont="0" applyFill="0" applyBorder="0" applyAlignment="0" applyProtection="0"/>
    <xf numFmtId="250" fontId="184" fillId="0" borderId="0" applyFont="0" applyFill="0" applyBorder="0" applyAlignment="0" applyProtection="0"/>
    <xf numFmtId="0" fontId="227" fillId="0" borderId="0"/>
    <xf numFmtId="0" fontId="185" fillId="0" borderId="0"/>
    <xf numFmtId="164" fontId="57" fillId="0" borderId="0" applyFont="0" applyFill="0" applyBorder="0" applyAlignment="0" applyProtection="0"/>
    <xf numFmtId="166" fontId="57" fillId="0" borderId="0" applyFont="0" applyFill="0" applyBorder="0" applyAlignment="0" applyProtection="0"/>
    <xf numFmtId="191" fontId="228" fillId="0" borderId="0" applyFont="0" applyFill="0" applyBorder="0" applyAlignment="0" applyProtection="0"/>
    <xf numFmtId="190" fontId="228" fillId="0" borderId="0" applyFont="0" applyFill="0" applyBorder="0" applyAlignment="0" applyProtection="0"/>
    <xf numFmtId="0" fontId="229" fillId="0" borderId="0">
      <alignment vertical="center"/>
    </xf>
    <xf numFmtId="168" fontId="57" fillId="0" borderId="0" applyFont="0" applyFill="0" applyBorder="0" applyAlignment="0" applyProtection="0"/>
    <xf numFmtId="167" fontId="230" fillId="0" borderId="0" applyFont="0" applyFill="0" applyBorder="0" applyAlignment="0" applyProtection="0"/>
    <xf numFmtId="169" fontId="57" fillId="0" borderId="0" applyFont="0" applyFill="0" applyBorder="0" applyAlignment="0" applyProtection="0"/>
    <xf numFmtId="44" fontId="228" fillId="0" borderId="0" applyFont="0" applyFill="0" applyBorder="0" applyAlignment="0" applyProtection="0"/>
    <xf numFmtId="42" fontId="228" fillId="0" borderId="0" applyFont="0" applyFill="0" applyBorder="0" applyAlignment="0" applyProtection="0"/>
    <xf numFmtId="0" fontId="231" fillId="0" borderId="121" applyNumberFormat="0" applyFill="0" applyAlignment="0" applyProtection="0"/>
    <xf numFmtId="0" fontId="128" fillId="0" borderId="179" applyNumberFormat="0" applyFill="0" applyAlignment="0" applyProtection="0"/>
    <xf numFmtId="0" fontId="232" fillId="0" borderId="180" applyNumberFormat="0" applyFill="0" applyAlignment="0" applyProtection="0"/>
    <xf numFmtId="0" fontId="232" fillId="0" borderId="0" applyNumberFormat="0" applyFill="0" applyBorder="0" applyAlignment="0" applyProtection="0"/>
    <xf numFmtId="0" fontId="233" fillId="50" borderId="0" applyNumberFormat="0" applyBorder="0" applyAlignment="0" applyProtection="0"/>
    <xf numFmtId="0" fontId="234" fillId="51" borderId="0" applyNumberFormat="0" applyBorder="0" applyAlignment="0" applyProtection="0"/>
    <xf numFmtId="0" fontId="235" fillId="52" borderId="0" applyNumberFormat="0" applyBorder="0" applyAlignment="0" applyProtection="0"/>
    <xf numFmtId="0" fontId="236" fillId="53" borderId="181" applyNumberFormat="0" applyAlignment="0" applyProtection="0"/>
    <xf numFmtId="0" fontId="237" fillId="54" borderId="182" applyNumberFormat="0" applyAlignment="0" applyProtection="0"/>
    <xf numFmtId="0" fontId="238" fillId="54" borderId="181" applyNumberFormat="0" applyAlignment="0" applyProtection="0"/>
    <xf numFmtId="0" fontId="239" fillId="0" borderId="183" applyNumberFormat="0" applyFill="0" applyAlignment="0" applyProtection="0"/>
    <xf numFmtId="0" fontId="240" fillId="55" borderId="184" applyNumberFormat="0" applyAlignment="0" applyProtection="0"/>
    <xf numFmtId="0" fontId="123" fillId="0" borderId="0" applyNumberFormat="0" applyFill="0" applyBorder="0" applyAlignment="0" applyProtection="0"/>
    <xf numFmtId="0" fontId="241" fillId="0" borderId="0" applyNumberFormat="0" applyFill="0" applyBorder="0" applyAlignment="0" applyProtection="0"/>
    <xf numFmtId="0" fontId="124" fillId="0" borderId="186" applyNumberFormat="0" applyFill="0" applyAlignment="0" applyProtection="0"/>
    <xf numFmtId="0" fontId="242" fillId="57" borderId="0" applyNumberFormat="0" applyBorder="0" applyAlignment="0" applyProtection="0"/>
    <xf numFmtId="0" fontId="94" fillId="58" borderId="0" applyNumberFormat="0" applyBorder="0" applyAlignment="0" applyProtection="0"/>
    <xf numFmtId="0" fontId="94" fillId="59" borderId="0" applyNumberFormat="0" applyBorder="0" applyAlignment="0" applyProtection="0"/>
    <xf numFmtId="0" fontId="242" fillId="60" borderId="0" applyNumberFormat="0" applyBorder="0" applyAlignment="0" applyProtection="0"/>
    <xf numFmtId="0" fontId="242" fillId="61" borderId="0" applyNumberFormat="0" applyBorder="0" applyAlignment="0" applyProtection="0"/>
    <xf numFmtId="0" fontId="94" fillId="62" borderId="0" applyNumberFormat="0" applyBorder="0" applyAlignment="0" applyProtection="0"/>
    <xf numFmtId="0" fontId="94" fillId="63" borderId="0" applyNumberFormat="0" applyBorder="0" applyAlignment="0" applyProtection="0"/>
    <xf numFmtId="0" fontId="242" fillId="64" borderId="0" applyNumberFormat="0" applyBorder="0" applyAlignment="0" applyProtection="0"/>
    <xf numFmtId="0" fontId="242" fillId="65" borderId="0" applyNumberFormat="0" applyBorder="0" applyAlignment="0" applyProtection="0"/>
    <xf numFmtId="0" fontId="94" fillId="66" borderId="0" applyNumberFormat="0" applyBorder="0" applyAlignment="0" applyProtection="0"/>
    <xf numFmtId="0" fontId="94" fillId="67" borderId="0" applyNumberFormat="0" applyBorder="0" applyAlignment="0" applyProtection="0"/>
    <xf numFmtId="0" fontId="242" fillId="68" borderId="0" applyNumberFormat="0" applyBorder="0" applyAlignment="0" applyProtection="0"/>
    <xf numFmtId="0" fontId="242" fillId="69" borderId="0" applyNumberFormat="0" applyBorder="0" applyAlignment="0" applyProtection="0"/>
    <xf numFmtId="0" fontId="94" fillId="70" borderId="0" applyNumberFormat="0" applyBorder="0" applyAlignment="0" applyProtection="0"/>
    <xf numFmtId="0" fontId="94" fillId="71" borderId="0" applyNumberFormat="0" applyBorder="0" applyAlignment="0" applyProtection="0"/>
    <xf numFmtId="0" fontId="242" fillId="72" borderId="0" applyNumberFormat="0" applyBorder="0" applyAlignment="0" applyProtection="0"/>
    <xf numFmtId="0" fontId="242" fillId="73" borderId="0" applyNumberFormat="0" applyBorder="0" applyAlignment="0" applyProtection="0"/>
    <xf numFmtId="0" fontId="94" fillId="74" borderId="0" applyNumberFormat="0" applyBorder="0" applyAlignment="0" applyProtection="0"/>
    <xf numFmtId="0" fontId="94" fillId="75" borderId="0" applyNumberFormat="0" applyBorder="0" applyAlignment="0" applyProtection="0"/>
    <xf numFmtId="0" fontId="242" fillId="76" borderId="0" applyNumberFormat="0" applyBorder="0" applyAlignment="0" applyProtection="0"/>
    <xf numFmtId="0" fontId="242" fillId="77" borderId="0" applyNumberFormat="0" applyBorder="0" applyAlignment="0" applyProtection="0"/>
    <xf numFmtId="0" fontId="94" fillId="78" borderId="0" applyNumberFormat="0" applyBorder="0" applyAlignment="0" applyProtection="0"/>
    <xf numFmtId="0" fontId="94" fillId="79" borderId="0" applyNumberFormat="0" applyBorder="0" applyAlignment="0" applyProtection="0"/>
    <xf numFmtId="0" fontId="242" fillId="80" borderId="0" applyNumberFormat="0" applyBorder="0" applyAlignment="0" applyProtection="0"/>
    <xf numFmtId="0" fontId="243" fillId="0" borderId="0">
      <alignment vertical="top"/>
    </xf>
    <xf numFmtId="0" fontId="243" fillId="0" borderId="0">
      <alignment vertical="top"/>
    </xf>
    <xf numFmtId="0" fontId="243" fillId="0" borderId="0">
      <alignment vertical="top"/>
    </xf>
    <xf numFmtId="0" fontId="94" fillId="56" borderId="185" applyNumberFormat="0" applyFont="0" applyAlignment="0" applyProtection="0"/>
    <xf numFmtId="0" fontId="243" fillId="0" borderId="0">
      <alignment vertical="top"/>
    </xf>
    <xf numFmtId="0" fontId="243" fillId="0" borderId="0">
      <alignment vertical="top"/>
    </xf>
    <xf numFmtId="0" fontId="243" fillId="0" borderId="0">
      <alignment vertical="top"/>
    </xf>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120" fillId="60" borderId="0" applyNumberFormat="0" applyBorder="0" applyAlignment="0" applyProtection="0"/>
    <xf numFmtId="0" fontId="120" fillId="64" borderId="0" applyNumberFormat="0" applyBorder="0" applyAlignment="0" applyProtection="0"/>
    <xf numFmtId="0" fontId="120" fillId="68" borderId="0" applyNumberFormat="0" applyBorder="0" applyAlignment="0" applyProtection="0"/>
    <xf numFmtId="0" fontId="120" fillId="72" borderId="0" applyNumberFormat="0" applyBorder="0" applyAlignment="0" applyProtection="0"/>
    <xf numFmtId="0" fontId="120" fillId="76" borderId="0" applyNumberFormat="0" applyBorder="0" applyAlignment="0" applyProtection="0"/>
    <xf numFmtId="0" fontId="120" fillId="80" borderId="0" applyNumberFormat="0" applyBorder="0" applyAlignment="0" applyProtection="0"/>
    <xf numFmtId="0" fontId="120" fillId="57" borderId="0" applyNumberFormat="0" applyBorder="0" applyAlignment="0" applyProtection="0"/>
    <xf numFmtId="0" fontId="120" fillId="61" borderId="0" applyNumberFormat="0" applyBorder="0" applyAlignment="0" applyProtection="0"/>
    <xf numFmtId="0" fontId="120" fillId="65" borderId="0" applyNumberFormat="0" applyBorder="0" applyAlignment="0" applyProtection="0"/>
    <xf numFmtId="0" fontId="120" fillId="69" borderId="0" applyNumberFormat="0" applyBorder="0" applyAlignment="0" applyProtection="0"/>
    <xf numFmtId="0" fontId="120" fillId="73" borderId="0" applyNumberFormat="0" applyBorder="0" applyAlignment="0" applyProtection="0"/>
    <xf numFmtId="0" fontId="120" fillId="77" borderId="0" applyNumberFormat="0" applyBorder="0" applyAlignment="0" applyProtection="0"/>
    <xf numFmtId="0" fontId="113" fillId="51" borderId="0" applyNumberFormat="0" applyBorder="0" applyAlignment="0" applyProtection="0"/>
    <xf numFmtId="0" fontId="116" fillId="54" borderId="181" applyNumberFormat="0" applyAlignment="0" applyProtection="0"/>
    <xf numFmtId="0" fontId="118" fillId="55" borderId="184" applyNumberFormat="0" applyAlignment="0" applyProtection="0"/>
    <xf numFmtId="0" fontId="119" fillId="0" borderId="0" applyNumberFormat="0" applyFill="0" applyBorder="0" applyAlignment="0" applyProtection="0"/>
    <xf numFmtId="0" fontId="112" fillId="50" borderId="0" applyNumberFormat="0" applyBorder="0" applyAlignment="0" applyProtection="0"/>
    <xf numFmtId="0" fontId="109" fillId="0" borderId="121" applyNumberFormat="0" applyFill="0" applyAlignment="0" applyProtection="0"/>
    <xf numFmtId="0" fontId="110" fillId="0" borderId="179" applyNumberFormat="0" applyFill="0" applyAlignment="0" applyProtection="0"/>
    <xf numFmtId="0" fontId="111" fillId="0" borderId="180" applyNumberFormat="0" applyFill="0" applyAlignment="0" applyProtection="0"/>
    <xf numFmtId="0" fontId="111" fillId="0" borderId="0" applyNumberFormat="0" applyFill="0" applyBorder="0" applyAlignment="0" applyProtection="0"/>
    <xf numFmtId="0" fontId="58" fillId="53" borderId="181" applyNumberFormat="0" applyAlignment="0" applyProtection="0"/>
    <xf numFmtId="0" fontId="117" fillId="0" borderId="183" applyNumberFormat="0" applyFill="0" applyAlignment="0" applyProtection="0"/>
    <xf numFmtId="0" fontId="244" fillId="52" borderId="0" applyNumberFormat="0" applyBorder="0" applyAlignment="0" applyProtection="0"/>
    <xf numFmtId="0" fontId="7" fillId="56" borderId="185" applyNumberFormat="0" applyFont="0" applyAlignment="0" applyProtection="0"/>
    <xf numFmtId="0" fontId="115" fillId="54" borderId="182" applyNumberFormat="0" applyAlignment="0" applyProtection="0"/>
    <xf numFmtId="0" fontId="122" fillId="0" borderId="0">
      <alignment vertical="top"/>
    </xf>
    <xf numFmtId="0" fontId="43" fillId="0" borderId="186" applyNumberFormat="0" applyFill="0" applyAlignment="0" applyProtection="0"/>
    <xf numFmtId="0" fontId="69" fillId="0" borderId="0" applyNumberFormat="0" applyFill="0" applyBorder="0" applyAlignment="0" applyProtection="0"/>
    <xf numFmtId="0" fontId="58" fillId="53" borderId="181" applyNumberFormat="0" applyAlignment="0" applyProtection="0"/>
    <xf numFmtId="0" fontId="7" fillId="0" borderId="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58" fillId="53" borderId="181" applyNumberFormat="0" applyAlignment="0" applyProtection="0"/>
    <xf numFmtId="0" fontId="7" fillId="56" borderId="185" applyNumberFormat="0" applyFont="0" applyAlignment="0" applyProtection="0"/>
    <xf numFmtId="0" fontId="122" fillId="0" borderId="0">
      <alignment vertical="top"/>
    </xf>
    <xf numFmtId="0" fontId="7" fillId="0" borderId="0"/>
    <xf numFmtId="0" fontId="7" fillId="0" borderId="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58" fillId="53" borderId="181" applyNumberFormat="0" applyAlignment="0" applyProtection="0"/>
    <xf numFmtId="0" fontId="7" fillId="56" borderId="185" applyNumberFormat="0" applyFont="0" applyAlignment="0" applyProtection="0"/>
    <xf numFmtId="0" fontId="11" fillId="0" borderId="0"/>
    <xf numFmtId="165" fontId="11" fillId="0" borderId="0" applyNumberFormat="0" applyFill="0" applyBorder="0" applyAlignment="0" applyProtection="0"/>
    <xf numFmtId="0" fontId="144" fillId="0" borderId="0" applyNumberFormat="0" applyFill="0" applyBorder="0" applyAlignment="0" applyProtection="0"/>
    <xf numFmtId="0" fontId="231" fillId="0" borderId="121" applyNumberFormat="0" applyFill="0" applyAlignment="0" applyProtection="0"/>
    <xf numFmtId="0" fontId="128" fillId="0" borderId="179" applyNumberFormat="0" applyFill="0" applyAlignment="0" applyProtection="0"/>
    <xf numFmtId="0" fontId="232" fillId="0" borderId="180" applyNumberFormat="0" applyFill="0" applyAlignment="0" applyProtection="0"/>
    <xf numFmtId="0" fontId="232" fillId="0" borderId="0" applyNumberFormat="0" applyFill="0" applyBorder="0" applyAlignment="0" applyProtection="0"/>
    <xf numFmtId="0" fontId="233" fillId="50" borderId="0" applyNumberFormat="0" applyBorder="0" applyAlignment="0" applyProtection="0"/>
    <xf numFmtId="0" fontId="234" fillId="51" borderId="0" applyNumberFormat="0" applyBorder="0" applyAlignment="0" applyProtection="0"/>
    <xf numFmtId="0" fontId="235" fillId="52" borderId="0" applyNumberFormat="0" applyBorder="0" applyAlignment="0" applyProtection="0"/>
    <xf numFmtId="0" fontId="236" fillId="53" borderId="181" applyNumberFormat="0" applyAlignment="0" applyProtection="0"/>
    <xf numFmtId="0" fontId="237" fillId="54" borderId="182" applyNumberFormat="0" applyAlignment="0" applyProtection="0"/>
    <xf numFmtId="0" fontId="238" fillId="54" borderId="181" applyNumberFormat="0" applyAlignment="0" applyProtection="0"/>
    <xf numFmtId="0" fontId="239" fillId="0" borderId="183" applyNumberFormat="0" applyFill="0" applyAlignment="0" applyProtection="0"/>
    <xf numFmtId="0" fontId="240" fillId="55" borderId="184" applyNumberFormat="0" applyAlignment="0" applyProtection="0"/>
    <xf numFmtId="0" fontId="123" fillId="0" borderId="0" applyNumberFormat="0" applyFill="0" applyBorder="0" applyAlignment="0" applyProtection="0"/>
    <xf numFmtId="0" fontId="241" fillId="0" borderId="0" applyNumberFormat="0" applyFill="0" applyBorder="0" applyAlignment="0" applyProtection="0"/>
    <xf numFmtId="0" fontId="124" fillId="0" borderId="186" applyNumberFormat="0" applyFill="0" applyAlignment="0" applyProtection="0"/>
    <xf numFmtId="0" fontId="242" fillId="57" borderId="0" applyNumberFormat="0" applyBorder="0" applyAlignment="0" applyProtection="0"/>
    <xf numFmtId="0" fontId="94" fillId="58" borderId="0" applyNumberFormat="0" applyBorder="0" applyAlignment="0" applyProtection="0"/>
    <xf numFmtId="0" fontId="94" fillId="59" borderId="0" applyNumberFormat="0" applyBorder="0" applyAlignment="0" applyProtection="0"/>
    <xf numFmtId="0" fontId="242" fillId="60" borderId="0" applyNumberFormat="0" applyBorder="0" applyAlignment="0" applyProtection="0"/>
    <xf numFmtId="0" fontId="242" fillId="61" borderId="0" applyNumberFormat="0" applyBorder="0" applyAlignment="0" applyProtection="0"/>
    <xf numFmtId="0" fontId="94" fillId="62" borderId="0" applyNumberFormat="0" applyBorder="0" applyAlignment="0" applyProtection="0"/>
    <xf numFmtId="0" fontId="94" fillId="63" borderId="0" applyNumberFormat="0" applyBorder="0" applyAlignment="0" applyProtection="0"/>
    <xf numFmtId="0" fontId="242" fillId="64" borderId="0" applyNumberFormat="0" applyBorder="0" applyAlignment="0" applyProtection="0"/>
    <xf numFmtId="0" fontId="242" fillId="65" borderId="0" applyNumberFormat="0" applyBorder="0" applyAlignment="0" applyProtection="0"/>
    <xf numFmtId="0" fontId="94" fillId="66" borderId="0" applyNumberFormat="0" applyBorder="0" applyAlignment="0" applyProtection="0"/>
    <xf numFmtId="0" fontId="94" fillId="67" borderId="0" applyNumberFormat="0" applyBorder="0" applyAlignment="0" applyProtection="0"/>
    <xf numFmtId="0" fontId="242" fillId="68" borderId="0" applyNumberFormat="0" applyBorder="0" applyAlignment="0" applyProtection="0"/>
    <xf numFmtId="0" fontId="242" fillId="69" borderId="0" applyNumberFormat="0" applyBorder="0" applyAlignment="0" applyProtection="0"/>
    <xf numFmtId="0" fontId="94" fillId="70" borderId="0" applyNumberFormat="0" applyBorder="0" applyAlignment="0" applyProtection="0"/>
    <xf numFmtId="0" fontId="94" fillId="71" borderId="0" applyNumberFormat="0" applyBorder="0" applyAlignment="0" applyProtection="0"/>
    <xf numFmtId="0" fontId="242" fillId="72" borderId="0" applyNumberFormat="0" applyBorder="0" applyAlignment="0" applyProtection="0"/>
    <xf numFmtId="0" fontId="242" fillId="73" borderId="0" applyNumberFormat="0" applyBorder="0" applyAlignment="0" applyProtection="0"/>
    <xf numFmtId="0" fontId="94" fillId="74" borderId="0" applyNumberFormat="0" applyBorder="0" applyAlignment="0" applyProtection="0"/>
    <xf numFmtId="0" fontId="94" fillId="75" borderId="0" applyNumberFormat="0" applyBorder="0" applyAlignment="0" applyProtection="0"/>
    <xf numFmtId="0" fontId="242" fillId="76" borderId="0" applyNumberFormat="0" applyBorder="0" applyAlignment="0" applyProtection="0"/>
    <xf numFmtId="0" fontId="242" fillId="77" borderId="0" applyNumberFormat="0" applyBorder="0" applyAlignment="0" applyProtection="0"/>
    <xf numFmtId="0" fontId="94" fillId="78" borderId="0" applyNumberFormat="0" applyBorder="0" applyAlignment="0" applyProtection="0"/>
    <xf numFmtId="0" fontId="94" fillId="79" borderId="0" applyNumberFormat="0" applyBorder="0" applyAlignment="0" applyProtection="0"/>
    <xf numFmtId="0" fontId="242" fillId="80"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122" fillId="0" borderId="0">
      <alignment vertical="top"/>
    </xf>
    <xf numFmtId="0" fontId="58" fillId="53" borderId="181" applyNumberFormat="0" applyAlignment="0" applyProtection="0"/>
    <xf numFmtId="0" fontId="7" fillId="56" borderId="185" applyNumberFormat="0" applyFont="0" applyAlignment="0" applyProtection="0"/>
    <xf numFmtId="0" fontId="58" fillId="53" borderId="181" applyNumberForma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58" fillId="53" borderId="181" applyNumberFormat="0" applyAlignment="0" applyProtection="0"/>
    <xf numFmtId="0" fontId="114" fillId="52" borderId="0" applyNumberFormat="0" applyBorder="0" applyAlignment="0" applyProtection="0"/>
    <xf numFmtId="0" fontId="7" fillId="56" borderId="185"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58" fillId="53" borderId="181" applyNumberFormat="0" applyAlignment="0" applyProtection="0"/>
    <xf numFmtId="0" fontId="7" fillId="56" borderId="185"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58" fillId="53" borderId="181" applyNumberFormat="0" applyAlignment="0" applyProtection="0"/>
    <xf numFmtId="0" fontId="7" fillId="56" borderId="185" applyNumberFormat="0" applyFont="0" applyAlignment="0" applyProtection="0"/>
    <xf numFmtId="0" fontId="11" fillId="0" borderId="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58" fillId="53" borderId="181" applyNumberFormat="0" applyAlignment="0" applyProtection="0"/>
    <xf numFmtId="0" fontId="7" fillId="56" borderId="185" applyNumberFormat="0" applyFont="0" applyAlignment="0" applyProtection="0"/>
    <xf numFmtId="0" fontId="58" fillId="53" borderId="181" applyNumberFormat="0" applyAlignment="0" applyProtection="0"/>
    <xf numFmtId="0" fontId="11" fillId="0" borderId="0"/>
    <xf numFmtId="165" fontId="11" fillId="0" borderId="0" applyNumberFormat="0" applyFill="0" applyBorder="0" applyAlignment="0" applyProtection="0"/>
    <xf numFmtId="0" fontId="144" fillId="0" borderId="0" applyNumberFormat="0" applyFill="0" applyBorder="0" applyAlignment="0" applyProtection="0"/>
    <xf numFmtId="166" fontId="11" fillId="0" borderId="0" applyFont="0" applyFill="0" applyBorder="0" applyAlignment="0" applyProtection="0"/>
    <xf numFmtId="0" fontId="231" fillId="0" borderId="121" applyNumberFormat="0" applyFill="0" applyAlignment="0" applyProtection="0"/>
    <xf numFmtId="0" fontId="128" fillId="0" borderId="179" applyNumberFormat="0" applyFill="0" applyAlignment="0" applyProtection="0"/>
    <xf numFmtId="0" fontId="232" fillId="0" borderId="180" applyNumberFormat="0" applyFill="0" applyAlignment="0" applyProtection="0"/>
    <xf numFmtId="0" fontId="232" fillId="0" borderId="0" applyNumberFormat="0" applyFill="0" applyBorder="0" applyAlignment="0" applyProtection="0"/>
    <xf numFmtId="0" fontId="233" fillId="50" borderId="0" applyNumberFormat="0" applyBorder="0" applyAlignment="0" applyProtection="0"/>
    <xf numFmtId="0" fontId="234" fillId="51" borderId="0" applyNumberFormat="0" applyBorder="0" applyAlignment="0" applyProtection="0"/>
    <xf numFmtId="0" fontId="235" fillId="52" borderId="0" applyNumberFormat="0" applyBorder="0" applyAlignment="0" applyProtection="0"/>
    <xf numFmtId="0" fontId="236" fillId="53" borderId="181" applyNumberFormat="0" applyAlignment="0" applyProtection="0"/>
    <xf numFmtId="0" fontId="237" fillId="54" borderId="182" applyNumberFormat="0" applyAlignment="0" applyProtection="0"/>
    <xf numFmtId="0" fontId="238" fillId="54" borderId="181" applyNumberFormat="0" applyAlignment="0" applyProtection="0"/>
    <xf numFmtId="0" fontId="239" fillId="0" borderId="183" applyNumberFormat="0" applyFill="0" applyAlignment="0" applyProtection="0"/>
    <xf numFmtId="0" fontId="240" fillId="55" borderId="184" applyNumberFormat="0" applyAlignment="0" applyProtection="0"/>
    <xf numFmtId="0" fontId="123" fillId="0" borderId="0" applyNumberFormat="0" applyFill="0" applyBorder="0" applyAlignment="0" applyProtection="0"/>
    <xf numFmtId="0" fontId="241" fillId="0" borderId="0" applyNumberFormat="0" applyFill="0" applyBorder="0" applyAlignment="0" applyProtection="0"/>
    <xf numFmtId="0" fontId="124" fillId="0" borderId="186" applyNumberFormat="0" applyFill="0" applyAlignment="0" applyProtection="0"/>
    <xf numFmtId="0" fontId="242" fillId="57" borderId="0" applyNumberFormat="0" applyBorder="0" applyAlignment="0" applyProtection="0"/>
    <xf numFmtId="0" fontId="94" fillId="58" borderId="0" applyNumberFormat="0" applyBorder="0" applyAlignment="0" applyProtection="0"/>
    <xf numFmtId="0" fontId="94" fillId="59" borderId="0" applyNumberFormat="0" applyBorder="0" applyAlignment="0" applyProtection="0"/>
    <xf numFmtId="0" fontId="242" fillId="60" borderId="0" applyNumberFormat="0" applyBorder="0" applyAlignment="0" applyProtection="0"/>
    <xf numFmtId="0" fontId="242" fillId="61" borderId="0" applyNumberFormat="0" applyBorder="0" applyAlignment="0" applyProtection="0"/>
    <xf numFmtId="0" fontId="94" fillId="62" borderId="0" applyNumberFormat="0" applyBorder="0" applyAlignment="0" applyProtection="0"/>
    <xf numFmtId="0" fontId="94" fillId="63" borderId="0" applyNumberFormat="0" applyBorder="0" applyAlignment="0" applyProtection="0"/>
    <xf numFmtId="0" fontId="242" fillId="64" borderId="0" applyNumberFormat="0" applyBorder="0" applyAlignment="0" applyProtection="0"/>
    <xf numFmtId="0" fontId="242" fillId="65" borderId="0" applyNumberFormat="0" applyBorder="0" applyAlignment="0" applyProtection="0"/>
    <xf numFmtId="0" fontId="94" fillId="66" borderId="0" applyNumberFormat="0" applyBorder="0" applyAlignment="0" applyProtection="0"/>
    <xf numFmtId="0" fontId="94" fillId="67" borderId="0" applyNumberFormat="0" applyBorder="0" applyAlignment="0" applyProtection="0"/>
    <xf numFmtId="0" fontId="242" fillId="68" borderId="0" applyNumberFormat="0" applyBorder="0" applyAlignment="0" applyProtection="0"/>
    <xf numFmtId="0" fontId="242" fillId="69" borderId="0" applyNumberFormat="0" applyBorder="0" applyAlignment="0" applyProtection="0"/>
    <xf numFmtId="0" fontId="94" fillId="70" borderId="0" applyNumberFormat="0" applyBorder="0" applyAlignment="0" applyProtection="0"/>
    <xf numFmtId="0" fontId="94" fillId="71" borderId="0" applyNumberFormat="0" applyBorder="0" applyAlignment="0" applyProtection="0"/>
    <xf numFmtId="0" fontId="242" fillId="72" borderId="0" applyNumberFormat="0" applyBorder="0" applyAlignment="0" applyProtection="0"/>
    <xf numFmtId="0" fontId="242" fillId="73" borderId="0" applyNumberFormat="0" applyBorder="0" applyAlignment="0" applyProtection="0"/>
    <xf numFmtId="0" fontId="94" fillId="74" borderId="0" applyNumberFormat="0" applyBorder="0" applyAlignment="0" applyProtection="0"/>
    <xf numFmtId="0" fontId="94" fillId="75" borderId="0" applyNumberFormat="0" applyBorder="0" applyAlignment="0" applyProtection="0"/>
    <xf numFmtId="0" fontId="242" fillId="76" borderId="0" applyNumberFormat="0" applyBorder="0" applyAlignment="0" applyProtection="0"/>
    <xf numFmtId="0" fontId="242" fillId="77" borderId="0" applyNumberFormat="0" applyBorder="0" applyAlignment="0" applyProtection="0"/>
    <xf numFmtId="0" fontId="94" fillId="78" borderId="0" applyNumberFormat="0" applyBorder="0" applyAlignment="0" applyProtection="0"/>
    <xf numFmtId="0" fontId="94" fillId="79" borderId="0" applyNumberFormat="0" applyBorder="0" applyAlignment="0" applyProtection="0"/>
    <xf numFmtId="0" fontId="242" fillId="80"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165" fontId="11" fillId="0" borderId="0" applyNumberFormat="0" applyFill="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56" borderId="185"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56" borderId="185"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0" borderId="0"/>
    <xf numFmtId="0" fontId="7" fillId="56" borderId="185" applyNumberFormat="0" applyFont="0" applyAlignment="0" applyProtection="0"/>
    <xf numFmtId="0" fontId="7" fillId="0" borderId="0"/>
    <xf numFmtId="0" fontId="58" fillId="53" borderId="181" applyNumberFormat="0" applyAlignment="0" applyProtection="0"/>
    <xf numFmtId="0" fontId="7" fillId="56" borderId="185" applyNumberFormat="0" applyFont="0" applyAlignment="0" applyProtection="0"/>
    <xf numFmtId="0" fontId="7" fillId="58" borderId="0" applyNumberFormat="0" applyBorder="0" applyAlignment="0" applyProtection="0"/>
    <xf numFmtId="0" fontId="7" fillId="59" borderId="0" applyNumberFormat="0" applyBorder="0" applyAlignment="0" applyProtection="0"/>
    <xf numFmtId="0" fontId="7" fillId="60" borderId="0" applyNumberFormat="0" applyBorder="0" applyAlignment="0" applyProtection="0"/>
    <xf numFmtId="0" fontId="7" fillId="62" borderId="0" applyNumberFormat="0" applyBorder="0" applyAlignment="0" applyProtection="0"/>
    <xf numFmtId="0" fontId="7" fillId="63" borderId="0" applyNumberFormat="0" applyBorder="0" applyAlignment="0" applyProtection="0"/>
    <xf numFmtId="0" fontId="7" fillId="64" borderId="0" applyNumberFormat="0" applyBorder="0" applyAlignment="0" applyProtection="0"/>
    <xf numFmtId="0" fontId="7" fillId="66" borderId="0" applyNumberFormat="0" applyBorder="0" applyAlignment="0" applyProtection="0"/>
    <xf numFmtId="0" fontId="7" fillId="67" borderId="0" applyNumberFormat="0" applyBorder="0" applyAlignment="0" applyProtection="0"/>
    <xf numFmtId="0" fontId="7" fillId="68" borderId="0" applyNumberFormat="0" applyBorder="0" applyAlignment="0" applyProtection="0"/>
    <xf numFmtId="0" fontId="7" fillId="70" borderId="0" applyNumberFormat="0" applyBorder="0" applyAlignment="0" applyProtection="0"/>
    <xf numFmtId="0" fontId="7" fillId="71" borderId="0" applyNumberFormat="0" applyBorder="0" applyAlignment="0" applyProtection="0"/>
    <xf numFmtId="0" fontId="7" fillId="72" borderId="0" applyNumberFormat="0" applyBorder="0" applyAlignment="0" applyProtection="0"/>
    <xf numFmtId="0" fontId="7" fillId="74" borderId="0" applyNumberFormat="0" applyBorder="0" applyAlignment="0" applyProtection="0"/>
    <xf numFmtId="0" fontId="7" fillId="75" borderId="0" applyNumberFormat="0" applyBorder="0" applyAlignment="0" applyProtection="0"/>
    <xf numFmtId="0" fontId="7" fillId="76" borderId="0" applyNumberFormat="0" applyBorder="0" applyAlignment="0" applyProtection="0"/>
    <xf numFmtId="0" fontId="7" fillId="78" borderId="0" applyNumberFormat="0" applyBorder="0" applyAlignment="0" applyProtection="0"/>
    <xf numFmtId="0" fontId="7" fillId="79" borderId="0" applyNumberFormat="0" applyBorder="0" applyAlignment="0" applyProtection="0"/>
    <xf numFmtId="0" fontId="7" fillId="80" borderId="0" applyNumberFormat="0" applyBorder="0" applyAlignment="0" applyProtection="0"/>
    <xf numFmtId="0" fontId="65" fillId="0" borderId="0"/>
    <xf numFmtId="0" fontId="7" fillId="0" borderId="0"/>
    <xf numFmtId="0" fontId="122" fillId="0" borderId="0">
      <alignment vertical="top"/>
    </xf>
    <xf numFmtId="43" fontId="7" fillId="0" borderId="0" applyFont="0" applyFill="0" applyBorder="0" applyAlignment="0" applyProtection="0"/>
    <xf numFmtId="0" fontId="7" fillId="0" borderId="0"/>
    <xf numFmtId="43" fontId="65" fillId="0" borderId="0" applyFont="0" applyFill="0" applyBorder="0" applyAlignment="0" applyProtection="0"/>
    <xf numFmtId="0" fontId="7" fillId="0" borderId="0"/>
    <xf numFmtId="43" fontId="7" fillId="0" borderId="0" applyFont="0" applyFill="0" applyBorder="0" applyAlignment="0" applyProtection="0"/>
    <xf numFmtId="0" fontId="11" fillId="0" borderId="0" applyNumberFormat="0" applyAlignment="0">
      <alignment vertical="center"/>
    </xf>
    <xf numFmtId="0" fontId="7" fillId="0" borderId="0"/>
    <xf numFmtId="9" fontId="7" fillId="0" borderId="0" applyFont="0" applyFill="0" applyBorder="0" applyAlignment="0" applyProtection="0"/>
    <xf numFmtId="0" fontId="129" fillId="0" borderId="0" applyFont="0" applyAlignment="0">
      <alignment vertical="center"/>
    </xf>
    <xf numFmtId="166" fontId="7" fillId="0" borderId="0" applyFont="0" applyFill="0" applyBorder="0" applyAlignment="0" applyProtection="0"/>
    <xf numFmtId="0" fontId="7" fillId="0" borderId="0"/>
    <xf numFmtId="9" fontId="7" fillId="0" borderId="0" applyFont="0" applyFill="0" applyBorder="0" applyAlignment="0" applyProtection="0"/>
    <xf numFmtId="0" fontId="11" fillId="0" borderId="0"/>
    <xf numFmtId="0" fontId="7" fillId="0" borderId="0"/>
    <xf numFmtId="43" fontId="7" fillId="0" borderId="0" applyFont="0" applyFill="0" applyBorder="0" applyAlignment="0" applyProtection="0"/>
    <xf numFmtId="0" fontId="7" fillId="0" borderId="0"/>
    <xf numFmtId="41" fontId="7" fillId="0" borderId="0" applyFont="0" applyFill="0" applyBorder="0" applyAlignment="0" applyProtection="0"/>
    <xf numFmtId="0" fontId="7" fillId="0" borderId="0"/>
    <xf numFmtId="0" fontId="7" fillId="0" borderId="0"/>
    <xf numFmtId="0" fontId="7" fillId="0" borderId="0"/>
    <xf numFmtId="0" fontId="7" fillId="0" borderId="0"/>
    <xf numFmtId="166" fontId="7" fillId="0" borderId="0" applyFont="0" applyFill="0" applyBorder="0" applyAlignment="0" applyProtection="0"/>
    <xf numFmtId="0" fontId="7" fillId="0" borderId="0"/>
    <xf numFmtId="9" fontId="7" fillId="0" borderId="0" applyFont="0" applyFill="0" applyBorder="0" applyAlignment="0" applyProtection="0"/>
    <xf numFmtId="0" fontId="11" fillId="0" borderId="0"/>
    <xf numFmtId="0" fontId="11" fillId="0" borderId="0"/>
    <xf numFmtId="0" fontId="7" fillId="0" borderId="0"/>
    <xf numFmtId="0" fontId="7" fillId="0" borderId="0"/>
    <xf numFmtId="0" fontId="7" fillId="0" borderId="0"/>
    <xf numFmtId="0" fontId="7" fillId="0" borderId="0"/>
    <xf numFmtId="0" fontId="129" fillId="0" borderId="0" applyFont="0" applyAlignment="0">
      <alignment vertical="center"/>
    </xf>
    <xf numFmtId="166" fontId="7" fillId="0" borderId="0" applyFont="0" applyFill="0" applyBorder="0" applyAlignment="0" applyProtection="0"/>
    <xf numFmtId="9" fontId="65" fillId="0" borderId="0" applyFont="0" applyFill="0" applyBorder="0" applyAlignment="0" applyProtection="0"/>
    <xf numFmtId="43" fontId="65"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0" borderId="0"/>
    <xf numFmtId="0" fontId="244" fillId="52" borderId="0" applyNumberFormat="0" applyBorder="0" applyAlignment="0" applyProtection="0"/>
    <xf numFmtId="0" fontId="120" fillId="60" borderId="0" applyNumberFormat="0" applyBorder="0" applyAlignment="0" applyProtection="0"/>
    <xf numFmtId="0" fontId="120" fillId="64" borderId="0" applyNumberFormat="0" applyBorder="0" applyAlignment="0" applyProtection="0"/>
    <xf numFmtId="0" fontId="120" fillId="68" borderId="0" applyNumberFormat="0" applyBorder="0" applyAlignment="0" applyProtection="0"/>
    <xf numFmtId="0" fontId="120" fillId="72" borderId="0" applyNumberFormat="0" applyBorder="0" applyAlignment="0" applyProtection="0"/>
    <xf numFmtId="0" fontId="120" fillId="76" borderId="0" applyNumberFormat="0" applyBorder="0" applyAlignment="0" applyProtection="0"/>
    <xf numFmtId="0" fontId="120" fillId="80" borderId="0" applyNumberFormat="0" applyBorder="0" applyAlignment="0" applyProtection="0"/>
    <xf numFmtId="0" fontId="7" fillId="56" borderId="185"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130" fillId="0" borderId="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166" fontId="11" fillId="0" borderId="0" applyFont="0" applyFill="0" applyBorder="0" applyAlignment="0" applyProtection="0"/>
    <xf numFmtId="166" fontId="6"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1" fillId="0" borderId="0"/>
    <xf numFmtId="251" fontId="4" fillId="0" borderId="0"/>
    <xf numFmtId="0" fontId="11" fillId="0" borderId="0"/>
    <xf numFmtId="0" fontId="6" fillId="0" borderId="0"/>
    <xf numFmtId="0" fontId="122" fillId="0" borderId="0">
      <alignment vertical="top"/>
    </xf>
    <xf numFmtId="0" fontId="130" fillId="0" borderId="0"/>
    <xf numFmtId="0" fontId="11" fillId="0" borderId="0"/>
    <xf numFmtId="0" fontId="122" fillId="0" borderId="0">
      <alignment vertical="top"/>
    </xf>
    <xf numFmtId="0" fontId="122" fillId="0" borderId="0">
      <alignment vertical="top"/>
    </xf>
    <xf numFmtId="0" fontId="122" fillId="0" borderId="0">
      <alignment vertical="top"/>
    </xf>
    <xf numFmtId="0" fontId="122" fillId="0" borderId="0">
      <alignment vertical="top"/>
    </xf>
    <xf numFmtId="0" fontId="122" fillId="0" borderId="0">
      <alignment vertical="top"/>
    </xf>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9" fontId="11" fillId="0" borderId="0" applyFont="0" applyFill="0" applyBorder="0" applyAlignment="0" applyProtection="0"/>
    <xf numFmtId="9" fontId="7" fillId="0" borderId="0" applyFont="0" applyFill="0" applyBorder="0" applyAlignment="0" applyProtection="0"/>
    <xf numFmtId="0" fontId="106" fillId="0" borderId="0" applyNumberFormat="0" applyFill="0" applyBorder="0" applyAlignment="0" applyProtection="0"/>
    <xf numFmtId="166" fontId="11" fillId="0" borderId="0" applyFont="0" applyFill="0" applyBorder="0" applyAlignment="0" applyProtection="0"/>
    <xf numFmtId="0" fontId="7" fillId="58" borderId="0" applyNumberFormat="0" applyBorder="0" applyAlignment="0" applyProtection="0"/>
    <xf numFmtId="0" fontId="7" fillId="59" borderId="0" applyNumberFormat="0" applyBorder="0" applyAlignment="0" applyProtection="0"/>
    <xf numFmtId="0" fontId="7" fillId="62" borderId="0" applyNumberFormat="0" applyBorder="0" applyAlignment="0" applyProtection="0"/>
    <xf numFmtId="0" fontId="7" fillId="63" borderId="0" applyNumberFormat="0" applyBorder="0" applyAlignment="0" applyProtection="0"/>
    <xf numFmtId="0" fontId="7" fillId="66" borderId="0" applyNumberFormat="0" applyBorder="0" applyAlignment="0" applyProtection="0"/>
    <xf numFmtId="0" fontId="7" fillId="67" borderId="0" applyNumberFormat="0" applyBorder="0" applyAlignment="0" applyProtection="0"/>
    <xf numFmtId="0" fontId="7" fillId="70" borderId="0" applyNumberFormat="0" applyBorder="0" applyAlignment="0" applyProtection="0"/>
    <xf numFmtId="0" fontId="7" fillId="71" borderId="0" applyNumberFormat="0" applyBorder="0" applyAlignment="0" applyProtection="0"/>
    <xf numFmtId="0" fontId="7" fillId="74" borderId="0" applyNumberFormat="0" applyBorder="0" applyAlignment="0" applyProtection="0"/>
    <xf numFmtId="0" fontId="7" fillId="75" borderId="0" applyNumberFormat="0" applyBorder="0" applyAlignment="0" applyProtection="0"/>
    <xf numFmtId="0" fontId="7" fillId="78"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6"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9" fontId="7" fillId="0" borderId="0" applyFont="0" applyFill="0" applyBorder="0" applyAlignment="0" applyProtection="0"/>
    <xf numFmtId="0" fontId="7" fillId="76" borderId="0" applyNumberFormat="0" applyBorder="0" applyAlignment="0" applyProtection="0"/>
    <xf numFmtId="0" fontId="7" fillId="60" borderId="0" applyNumberFormat="0" applyBorder="0" applyAlignment="0" applyProtection="0"/>
    <xf numFmtId="0" fontId="11" fillId="0" borderId="0"/>
    <xf numFmtId="0" fontId="7" fillId="72" borderId="0" applyNumberFormat="0" applyBorder="0" applyAlignment="0" applyProtection="0"/>
    <xf numFmtId="0" fontId="122" fillId="0" borderId="0">
      <alignment vertical="top"/>
    </xf>
    <xf numFmtId="0" fontId="122" fillId="0" borderId="0">
      <alignment vertical="top"/>
    </xf>
    <xf numFmtId="0" fontId="7" fillId="80" borderId="0" applyNumberFormat="0" applyBorder="0" applyAlignment="0" applyProtection="0"/>
    <xf numFmtId="0" fontId="7" fillId="80" borderId="0" applyNumberFormat="0" applyBorder="0" applyAlignment="0" applyProtection="0"/>
    <xf numFmtId="0" fontId="7" fillId="64" borderId="0" applyNumberFormat="0" applyBorder="0" applyAlignment="0" applyProtection="0"/>
    <xf numFmtId="0" fontId="114" fillId="52"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114" fillId="52" borderId="0" applyNumberFormat="0" applyBorder="0" applyAlignment="0" applyProtection="0"/>
    <xf numFmtId="0" fontId="7" fillId="64" borderId="0" applyNumberFormat="0" applyBorder="0" applyAlignment="0" applyProtection="0"/>
    <xf numFmtId="0" fontId="7" fillId="56" borderId="185" applyNumberFormat="0" applyFont="0" applyAlignment="0" applyProtection="0"/>
    <xf numFmtId="0" fontId="7" fillId="76" borderId="0" applyNumberFormat="0" applyBorder="0" applyAlignment="0" applyProtection="0"/>
    <xf numFmtId="0" fontId="7" fillId="68" borderId="0" applyNumberFormat="0" applyBorder="0" applyAlignment="0" applyProtection="0"/>
    <xf numFmtId="0" fontId="7" fillId="60" borderId="0" applyNumberFormat="0" applyBorder="0" applyAlignment="0" applyProtection="0"/>
    <xf numFmtId="0" fontId="122" fillId="0" borderId="0">
      <alignment vertical="top"/>
    </xf>
    <xf numFmtId="0" fontId="11"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56" borderId="185" applyNumberFormat="0" applyFont="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94" fillId="59" borderId="0" applyNumberFormat="0" applyBorder="0" applyAlignment="0" applyProtection="0"/>
    <xf numFmtId="241" fontId="210" fillId="0" borderId="187">
      <alignment horizontal="right" vertical="center"/>
    </xf>
    <xf numFmtId="0" fontId="7" fillId="0" borderId="0"/>
    <xf numFmtId="244" fontId="55" fillId="0" borderId="187">
      <alignment horizontal="center"/>
    </xf>
    <xf numFmtId="207" fontId="83" fillId="0" borderId="189" applyFill="0" applyProtection="0"/>
    <xf numFmtId="0" fontId="130" fillId="0" borderId="0"/>
    <xf numFmtId="0" fontId="38" fillId="0" borderId="0"/>
    <xf numFmtId="241" fontId="210" fillId="0" borderId="187">
      <alignment horizontal="right" vertical="center"/>
    </xf>
    <xf numFmtId="240" fontId="55" fillId="0" borderId="187">
      <alignment horizontal="right" vertical="center"/>
    </xf>
    <xf numFmtId="218" fontId="83" fillId="0" borderId="78" applyFill="0" applyProtection="0"/>
    <xf numFmtId="166" fontId="11" fillId="0" borderId="0" applyFont="0" applyFill="0" applyBorder="0" applyAlignment="0" applyProtection="0"/>
    <xf numFmtId="241" fontId="210" fillId="0" borderId="187">
      <alignment horizontal="right" vertical="center"/>
    </xf>
    <xf numFmtId="5" fontId="197" fillId="82" borderId="54" applyNumberFormat="0" applyAlignment="0">
      <alignment horizontal="left" vertical="top"/>
    </xf>
    <xf numFmtId="43" fontId="7" fillId="0" borderId="0" applyFont="0" applyFill="0" applyBorder="0" applyAlignment="0" applyProtection="0"/>
    <xf numFmtId="0" fontId="242" fillId="76" borderId="0" applyNumberFormat="0" applyBorder="0" applyAlignment="0" applyProtection="0"/>
    <xf numFmtId="0" fontId="243" fillId="0" borderId="0">
      <alignment vertical="top"/>
    </xf>
    <xf numFmtId="0" fontId="195" fillId="0" borderId="79">
      <alignment horizontal="left" vertical="center"/>
    </xf>
    <xf numFmtId="241" fontId="210" fillId="0" borderId="187">
      <alignment horizontal="right" vertical="center"/>
    </xf>
    <xf numFmtId="0" fontId="242" fillId="64" borderId="0" applyNumberFormat="0" applyBorder="0" applyAlignment="0" applyProtection="0"/>
    <xf numFmtId="0" fontId="94" fillId="71" borderId="0" applyNumberFormat="0" applyBorder="0" applyAlignment="0" applyProtection="0"/>
    <xf numFmtId="240" fontId="55" fillId="0" borderId="187">
      <alignment horizontal="right" vertical="center"/>
    </xf>
    <xf numFmtId="0" fontId="236" fillId="53" borderId="181" applyNumberFormat="0" applyAlignment="0" applyProtection="0"/>
    <xf numFmtId="5" fontId="214" fillId="85" borderId="188">
      <alignment vertical="top"/>
    </xf>
    <xf numFmtId="166" fontId="11" fillId="0" borderId="0" applyFont="0" applyFill="0" applyBorder="0" applyAlignment="0" applyProtection="0"/>
    <xf numFmtId="0" fontId="11" fillId="0" borderId="0"/>
    <xf numFmtId="165" fontId="11" fillId="0" borderId="0" applyNumberFormat="0" applyFill="0" applyBorder="0" applyAlignment="0" applyProtection="0"/>
    <xf numFmtId="240" fontId="55" fillId="0" borderId="187">
      <alignment horizontal="right" vertical="center"/>
    </xf>
    <xf numFmtId="0" fontId="11" fillId="0" borderId="0"/>
    <xf numFmtId="241" fontId="210" fillId="0" borderId="187">
      <alignment horizontal="right" vertical="center"/>
    </xf>
    <xf numFmtId="241" fontId="210" fillId="0" borderId="187">
      <alignment horizontal="right" vertical="center"/>
    </xf>
    <xf numFmtId="218" fontId="83" fillId="0" borderId="189" applyFill="0" applyProtection="0"/>
    <xf numFmtId="240" fontId="55" fillId="0" borderId="187">
      <alignment horizontal="right" vertical="center"/>
    </xf>
    <xf numFmtId="0" fontId="7" fillId="0" borderId="0"/>
    <xf numFmtId="0" fontId="94" fillId="70" borderId="0" applyNumberFormat="0" applyBorder="0" applyAlignment="0" applyProtection="0"/>
    <xf numFmtId="9" fontId="122" fillId="0" borderId="0" applyFont="0" applyFill="0" applyBorder="0" applyAlignment="0" applyProtection="0"/>
    <xf numFmtId="0" fontId="7" fillId="0" borderId="0"/>
    <xf numFmtId="0" fontId="242" fillId="60" borderId="0" applyNumberFormat="0" applyBorder="0" applyAlignment="0" applyProtection="0"/>
    <xf numFmtId="241" fontId="210" fillId="0" borderId="187">
      <alignment horizontal="right" vertical="center"/>
    </xf>
    <xf numFmtId="240" fontId="55" fillId="0" borderId="187">
      <alignment horizontal="right" vertical="center"/>
    </xf>
    <xf numFmtId="0" fontId="242" fillId="72" borderId="0" applyNumberFormat="0" applyBorder="0" applyAlignment="0" applyProtection="0"/>
    <xf numFmtId="0" fontId="94" fillId="71" borderId="0" applyNumberFormat="0" applyBorder="0" applyAlignment="0" applyProtection="0"/>
    <xf numFmtId="0" fontId="94" fillId="74" borderId="0" applyNumberFormat="0" applyBorder="0" applyAlignment="0" applyProtection="0"/>
    <xf numFmtId="0" fontId="11" fillId="0" borderId="0"/>
    <xf numFmtId="5" fontId="197" fillId="0" borderId="188">
      <alignment horizontal="left" vertical="top"/>
    </xf>
    <xf numFmtId="0" fontId="11" fillId="0" borderId="0">
      <alignment vertical="center"/>
    </xf>
    <xf numFmtId="0" fontId="122" fillId="0" borderId="0">
      <alignment vertical="top"/>
    </xf>
    <xf numFmtId="246" fontId="55" fillId="0" borderId="54"/>
    <xf numFmtId="0" fontId="122" fillId="0" borderId="0">
      <alignment vertical="top"/>
    </xf>
    <xf numFmtId="0" fontId="242" fillId="60" borderId="0" applyNumberFormat="0" applyBorder="0" applyAlignment="0" applyProtection="0"/>
    <xf numFmtId="0" fontId="243" fillId="0" borderId="0">
      <alignment vertical="top"/>
    </xf>
    <xf numFmtId="0" fontId="11" fillId="0" borderId="0"/>
    <xf numFmtId="166" fontId="11" fillId="0" borderId="0" applyFont="0" applyFill="0" applyBorder="0" applyAlignment="0" applyProtection="0"/>
    <xf numFmtId="0" fontId="236" fillId="53" borderId="181" applyNumberFormat="0" applyAlignment="0" applyProtection="0"/>
    <xf numFmtId="166" fontId="7" fillId="0" borderId="0" applyFont="0" applyFill="0" applyBorder="0" applyAlignment="0" applyProtection="0"/>
    <xf numFmtId="0" fontId="11" fillId="0" borderId="0"/>
    <xf numFmtId="43" fontId="42" fillId="0" borderId="0" applyFont="0" applyFill="0" applyBorder="0" applyAlignment="0" applyProtection="0"/>
    <xf numFmtId="0" fontId="121" fillId="0" borderId="0" applyNumberFormat="0" applyFill="0" applyBorder="0" applyAlignment="0" applyProtection="0">
      <alignment vertical="top"/>
    </xf>
    <xf numFmtId="5" fontId="197" fillId="82" borderId="54" applyNumberFormat="0" applyAlignment="0">
      <alignment horizontal="left" vertical="top"/>
    </xf>
    <xf numFmtId="0" fontId="202" fillId="0" borderId="54" applyNumberFormat="0" applyFont="0" applyFill="0" applyBorder="0" applyAlignment="0">
      <alignment horizontal="center"/>
    </xf>
    <xf numFmtId="166" fontId="7" fillId="0" borderId="0" applyFont="0" applyFill="0" applyBorder="0" applyAlignment="0" applyProtection="0"/>
    <xf numFmtId="0" fontId="11" fillId="0" borderId="0"/>
    <xf numFmtId="240" fontId="55" fillId="0" borderId="187">
      <alignment horizontal="right" vertical="center"/>
    </xf>
    <xf numFmtId="240" fontId="55" fillId="0" borderId="187">
      <alignment horizontal="right" vertical="center"/>
    </xf>
    <xf numFmtId="10" fontId="130" fillId="83" borderId="54" applyNumberFormat="0" applyBorder="0" applyAlignment="0" applyProtection="0"/>
    <xf numFmtId="0" fontId="94" fillId="58" borderId="0" applyNumberFormat="0" applyBorder="0" applyAlignment="0" applyProtection="0"/>
    <xf numFmtId="9" fontId="42" fillId="0" borderId="0" applyFont="0" applyFill="0" applyBorder="0" applyAlignment="0" applyProtection="0"/>
    <xf numFmtId="0" fontId="94" fillId="67" borderId="0" applyNumberFormat="0" applyBorder="0" applyAlignment="0" applyProtection="0"/>
    <xf numFmtId="0" fontId="7" fillId="0" borderId="0"/>
    <xf numFmtId="0" fontId="122" fillId="0" borderId="0">
      <alignment vertical="top"/>
    </xf>
    <xf numFmtId="0" fontId="236" fillId="53" borderId="181" applyNumberFormat="0" applyAlignment="0" applyProtection="0"/>
    <xf numFmtId="241" fontId="210" fillId="0" borderId="187">
      <alignment horizontal="right" vertical="center"/>
    </xf>
    <xf numFmtId="0" fontId="122" fillId="0" borderId="0">
      <alignment vertical="top"/>
    </xf>
    <xf numFmtId="0" fontId="94" fillId="58" borderId="0" applyNumberFormat="0" applyBorder="0" applyAlignment="0" applyProtection="0"/>
    <xf numFmtId="0" fontId="242" fillId="80" borderId="0" applyNumberFormat="0" applyBorder="0" applyAlignment="0" applyProtection="0"/>
    <xf numFmtId="0" fontId="11" fillId="0" borderId="0"/>
    <xf numFmtId="0" fontId="94" fillId="78" borderId="0" applyNumberFormat="0" applyBorder="0" applyAlignment="0" applyProtection="0"/>
    <xf numFmtId="0" fontId="58" fillId="53" borderId="181" applyNumberFormat="0" applyAlignment="0" applyProtection="0"/>
    <xf numFmtId="165" fontId="11" fillId="0" borderId="0" applyNumberFormat="0" applyFill="0" applyBorder="0" applyAlignment="0" applyProtection="0"/>
    <xf numFmtId="0" fontId="11" fillId="0" borderId="0"/>
    <xf numFmtId="165" fontId="11" fillId="0" borderId="0" applyNumberFormat="0" applyFill="0" applyBorder="0" applyAlignment="0" applyProtection="0"/>
    <xf numFmtId="0" fontId="242" fillId="80" borderId="0" applyNumberFormat="0" applyBorder="0" applyAlignment="0" applyProtection="0"/>
    <xf numFmtId="0" fontId="7" fillId="0" borderId="0"/>
    <xf numFmtId="0" fontId="94" fillId="62" borderId="0" applyNumberFormat="0" applyBorder="0" applyAlignment="0" applyProtection="0"/>
    <xf numFmtId="207" fontId="83" fillId="0" borderId="78" applyFill="0" applyProtection="0"/>
    <xf numFmtId="10" fontId="130" fillId="83" borderId="54" applyNumberFormat="0" applyBorder="0" applyAlignment="0" applyProtection="0"/>
    <xf numFmtId="0" fontId="195" fillId="0" borderId="79">
      <alignment horizontal="left" vertical="center"/>
    </xf>
    <xf numFmtId="0" fontId="215" fillId="86" borderId="54">
      <alignment horizontal="left" vertical="center"/>
    </xf>
    <xf numFmtId="207" fontId="83" fillId="0" borderId="189" applyFill="0" applyProtection="0"/>
    <xf numFmtId="0" fontId="236" fillId="53" borderId="181" applyNumberFormat="0" applyAlignment="0" applyProtection="0"/>
    <xf numFmtId="0" fontId="94" fillId="63" borderId="0" applyNumberFormat="0" applyBorder="0" applyAlignment="0" applyProtection="0"/>
    <xf numFmtId="240" fontId="55" fillId="0" borderId="187">
      <alignment horizontal="right" vertical="center"/>
    </xf>
    <xf numFmtId="241" fontId="210" fillId="0" borderId="187">
      <alignment horizontal="right" vertical="center"/>
    </xf>
    <xf numFmtId="166" fontId="11" fillId="0" borderId="0" applyFont="0" applyFill="0" applyBorder="0" applyAlignment="0" applyProtection="0"/>
    <xf numFmtId="0" fontId="243" fillId="0" borderId="0">
      <alignment vertical="top"/>
    </xf>
    <xf numFmtId="9" fontId="7" fillId="0" borderId="0" applyFont="0" applyFill="0" applyBorder="0" applyAlignment="0" applyProtection="0"/>
    <xf numFmtId="0" fontId="236" fillId="53" borderId="181" applyNumberFormat="0" applyAlignment="0" applyProtection="0"/>
    <xf numFmtId="240" fontId="55" fillId="0" borderId="187">
      <alignment horizontal="right" vertical="center"/>
    </xf>
    <xf numFmtId="0" fontId="122" fillId="0" borderId="0">
      <alignment vertical="top"/>
    </xf>
    <xf numFmtId="0" fontId="243" fillId="0" borderId="0">
      <alignment vertical="top"/>
    </xf>
    <xf numFmtId="0" fontId="242" fillId="68" borderId="0" applyNumberFormat="0" applyBorder="0" applyAlignment="0" applyProtection="0"/>
    <xf numFmtId="207" fontId="83" fillId="0" borderId="78" applyFill="0" applyProtection="0"/>
    <xf numFmtId="166" fontId="130" fillId="0" borderId="0" applyFont="0" applyFill="0" applyBorder="0" applyAlignment="0" applyProtection="0"/>
    <xf numFmtId="0" fontId="202" fillId="0" borderId="54" applyNumberFormat="0" applyFont="0" applyFill="0" applyBorder="0" applyAlignment="0">
      <alignment horizontal="center"/>
    </xf>
    <xf numFmtId="0" fontId="236" fillId="53" borderId="181" applyNumberFormat="0" applyAlignment="0" applyProtection="0"/>
    <xf numFmtId="244" fontId="55" fillId="0" borderId="187">
      <alignment horizontal="center"/>
    </xf>
    <xf numFmtId="0" fontId="242" fillId="68" borderId="0" applyNumberFormat="0" applyBorder="0" applyAlignment="0" applyProtection="0"/>
    <xf numFmtId="166" fontId="7" fillId="0" borderId="0" applyFont="0" applyFill="0" applyBorder="0" applyAlignment="0" applyProtection="0"/>
    <xf numFmtId="218" fontId="83" fillId="0" borderId="78" applyFill="0" applyProtection="0"/>
    <xf numFmtId="0" fontId="122" fillId="0" borderId="0">
      <alignment vertical="top"/>
    </xf>
    <xf numFmtId="6" fontId="216" fillId="87" borderId="188"/>
    <xf numFmtId="0" fontId="11" fillId="0" borderId="0"/>
    <xf numFmtId="0" fontId="11" fillId="0" borderId="0"/>
    <xf numFmtId="6" fontId="216" fillId="87" borderId="188"/>
    <xf numFmtId="241" fontId="210" fillId="0" borderId="187">
      <alignment horizontal="right" vertical="center"/>
    </xf>
    <xf numFmtId="5" fontId="197" fillId="0" borderId="188">
      <alignment horizontal="left" vertical="top"/>
    </xf>
    <xf numFmtId="0" fontId="94" fillId="79" borderId="0" applyNumberFormat="0" applyBorder="0" applyAlignment="0" applyProtection="0"/>
    <xf numFmtId="3" fontId="178" fillId="0" borderId="54"/>
    <xf numFmtId="0" fontId="236" fillId="53" borderId="181" applyNumberFormat="0" applyAlignment="0" applyProtection="0"/>
    <xf numFmtId="166" fontId="7" fillId="0" borderId="0" applyFont="0" applyFill="0" applyBorder="0" applyAlignment="0" applyProtection="0"/>
    <xf numFmtId="165" fontId="11" fillId="0" borderId="0" applyNumberFormat="0" applyFill="0" applyBorder="0" applyAlignment="0" applyProtection="0"/>
    <xf numFmtId="165" fontId="11" fillId="0" borderId="0" applyNumberFormat="0" applyFill="0" applyBorder="0" applyAlignment="0" applyProtection="0"/>
    <xf numFmtId="0" fontId="7" fillId="0" borderId="0"/>
    <xf numFmtId="9" fontId="130" fillId="0" borderId="0" applyFont="0" applyFill="0" applyBorder="0" applyAlignment="0" applyProtection="0"/>
    <xf numFmtId="240" fontId="55" fillId="0" borderId="187">
      <alignment horizontal="right" vertical="center"/>
    </xf>
    <xf numFmtId="240" fontId="55" fillId="0" borderId="187">
      <alignment horizontal="right" vertical="center"/>
    </xf>
    <xf numFmtId="0" fontId="243" fillId="0" borderId="0">
      <alignment vertical="top"/>
    </xf>
    <xf numFmtId="166" fontId="11" fillId="0" borderId="0" applyFont="0" applyFill="0" applyBorder="0" applyAlignment="0" applyProtection="0"/>
    <xf numFmtId="218" fontId="83" fillId="0" borderId="189" applyFill="0" applyProtection="0"/>
    <xf numFmtId="0" fontId="245" fillId="0" borderId="0"/>
    <xf numFmtId="0" fontId="94" fillId="79" borderId="0" applyNumberFormat="0" applyBorder="0" applyAlignment="0" applyProtection="0"/>
    <xf numFmtId="0" fontId="236" fillId="53" borderId="181" applyNumberFormat="0" applyAlignment="0" applyProtection="0"/>
    <xf numFmtId="0" fontId="94" fillId="75" borderId="0" applyNumberFormat="0" applyBorder="0" applyAlignment="0" applyProtection="0"/>
    <xf numFmtId="246" fontId="55" fillId="0" borderId="54"/>
    <xf numFmtId="241" fontId="210" fillId="0" borderId="187">
      <alignment horizontal="right" vertical="center"/>
    </xf>
    <xf numFmtId="240" fontId="55" fillId="0" borderId="187">
      <alignment horizontal="right" vertical="center"/>
    </xf>
    <xf numFmtId="0" fontId="94" fillId="59" borderId="0" applyNumberFormat="0" applyBorder="0" applyAlignment="0" applyProtection="0"/>
    <xf numFmtId="0" fontId="215" fillId="86" borderId="54">
      <alignment horizontal="left" vertical="center"/>
    </xf>
    <xf numFmtId="241" fontId="210" fillId="0" borderId="187">
      <alignment horizontal="right" vertical="center"/>
    </xf>
    <xf numFmtId="0" fontId="94" fillId="66" borderId="0" applyNumberFormat="0" applyBorder="0" applyAlignment="0" applyProtection="0"/>
    <xf numFmtId="241" fontId="210" fillId="0" borderId="187">
      <alignment horizontal="right" vertical="center"/>
    </xf>
    <xf numFmtId="240" fontId="55" fillId="0" borderId="187">
      <alignment horizontal="right" vertical="center"/>
    </xf>
    <xf numFmtId="0" fontId="246" fillId="0" borderId="0" applyNumberFormat="0" applyFill="0" applyBorder="0" applyAlignment="0" applyProtection="0">
      <alignment vertical="top"/>
      <protection locked="0"/>
    </xf>
    <xf numFmtId="0" fontId="236" fillId="53" borderId="181" applyNumberFormat="0" applyAlignment="0" applyProtection="0"/>
    <xf numFmtId="0" fontId="11" fillId="0" borderId="0"/>
    <xf numFmtId="166" fontId="11" fillId="0" borderId="0" applyFont="0" applyFill="0" applyBorder="0" applyAlignment="0" applyProtection="0"/>
    <xf numFmtId="166" fontId="11" fillId="0" borderId="0" applyFont="0" applyFill="0" applyBorder="0" applyAlignment="0" applyProtection="0"/>
    <xf numFmtId="43" fontId="122" fillId="0" borderId="0" applyFont="0" applyFill="0" applyBorder="0" applyAlignment="0" applyProtection="0"/>
    <xf numFmtId="0" fontId="94" fillId="78" borderId="0" applyNumberFormat="0" applyBorder="0" applyAlignment="0" applyProtection="0"/>
    <xf numFmtId="9" fontId="7" fillId="0" borderId="0" applyFont="0" applyFill="0" applyBorder="0" applyAlignment="0" applyProtection="0"/>
    <xf numFmtId="0" fontId="94" fillId="66" borderId="0" applyNumberFormat="0" applyBorder="0" applyAlignment="0" applyProtection="0"/>
    <xf numFmtId="166" fontId="11" fillId="0" borderId="0" applyFont="0" applyFill="0" applyBorder="0" applyAlignment="0" applyProtection="0"/>
    <xf numFmtId="240" fontId="55" fillId="0" borderId="187">
      <alignment horizontal="right" vertical="center"/>
    </xf>
    <xf numFmtId="0" fontId="11" fillId="0" borderId="0"/>
    <xf numFmtId="0" fontId="236" fillId="53" borderId="181" applyNumberFormat="0" applyAlignment="0" applyProtection="0"/>
    <xf numFmtId="5" fontId="214" fillId="85" borderId="188">
      <alignment vertical="top"/>
    </xf>
    <xf numFmtId="0" fontId="242" fillId="64" borderId="0" applyNumberFormat="0" applyBorder="0" applyAlignment="0" applyProtection="0"/>
    <xf numFmtId="0" fontId="7" fillId="0" borderId="0"/>
    <xf numFmtId="0" fontId="94" fillId="75" borderId="0" applyNumberFormat="0" applyBorder="0" applyAlignment="0" applyProtection="0"/>
    <xf numFmtId="0" fontId="132" fillId="51" borderId="0" applyNumberFormat="0" applyBorder="0" applyAlignment="0" applyProtection="0"/>
    <xf numFmtId="241" fontId="210" fillId="0" borderId="187">
      <alignment horizontal="right" vertical="center"/>
    </xf>
    <xf numFmtId="49" fontId="198" fillId="0" borderId="54">
      <alignment vertical="center"/>
    </xf>
    <xf numFmtId="241" fontId="210" fillId="0" borderId="187">
      <alignment horizontal="right" vertical="center"/>
    </xf>
    <xf numFmtId="9" fontId="122" fillId="0" borderId="0" applyFont="0" applyFill="0" applyBorder="0" applyAlignment="0" applyProtection="0"/>
    <xf numFmtId="0" fontId="94" fillId="62" borderId="0" applyNumberFormat="0" applyBorder="0" applyAlignment="0" applyProtection="0"/>
    <xf numFmtId="241" fontId="210" fillId="0" borderId="187">
      <alignment horizontal="right" vertical="center"/>
    </xf>
    <xf numFmtId="0" fontId="94" fillId="74" borderId="0" applyNumberFormat="0" applyBorder="0" applyAlignment="0" applyProtection="0"/>
    <xf numFmtId="166" fontId="7" fillId="0" borderId="0" applyFont="0" applyFill="0" applyBorder="0" applyAlignment="0" applyProtection="0"/>
    <xf numFmtId="240" fontId="55" fillId="0" borderId="187">
      <alignment horizontal="right" vertical="center"/>
    </xf>
    <xf numFmtId="0" fontId="242" fillId="72" borderId="0" applyNumberFormat="0" applyBorder="0" applyAlignment="0" applyProtection="0"/>
    <xf numFmtId="0" fontId="122" fillId="0" borderId="0">
      <alignment vertical="top"/>
    </xf>
    <xf numFmtId="165" fontId="11" fillId="0" borderId="0" applyNumberFormat="0" applyFill="0" applyBorder="0" applyAlignment="0" applyProtection="0"/>
    <xf numFmtId="0" fontId="113" fillId="51" borderId="0" applyNumberFormat="0" applyBorder="0" applyAlignment="0" applyProtection="0"/>
    <xf numFmtId="43" fontId="122" fillId="0" borderId="0" applyFont="0" applyFill="0" applyBorder="0" applyAlignment="0" applyProtection="0"/>
    <xf numFmtId="166" fontId="11" fillId="0" borderId="0" applyFont="0" applyFill="0" applyBorder="0" applyAlignment="0" applyProtection="0"/>
    <xf numFmtId="0" fontId="236" fillId="53" borderId="181" applyNumberFormat="0" applyAlignment="0" applyProtection="0"/>
    <xf numFmtId="49" fontId="198" fillId="0" borderId="54">
      <alignment vertical="center"/>
    </xf>
    <xf numFmtId="0" fontId="94" fillId="67" borderId="0" applyNumberFormat="0" applyBorder="0" applyAlignment="0" applyProtection="0"/>
    <xf numFmtId="241" fontId="210" fillId="0" borderId="187">
      <alignment horizontal="right" vertical="center"/>
    </xf>
    <xf numFmtId="43" fontId="11" fillId="0" borderId="0" applyFont="0" applyFill="0" applyBorder="0" applyAlignment="0" applyProtection="0"/>
    <xf numFmtId="0" fontId="11" fillId="0" borderId="0"/>
    <xf numFmtId="9" fontId="7" fillId="0" borderId="0" applyFont="0" applyFill="0" applyBorder="0" applyAlignment="0" applyProtection="0"/>
    <xf numFmtId="0" fontId="242" fillId="76" borderId="0" applyNumberFormat="0" applyBorder="0" applyAlignment="0" applyProtection="0"/>
    <xf numFmtId="0" fontId="11" fillId="0" borderId="0"/>
    <xf numFmtId="0" fontId="94" fillId="70" borderId="0" applyNumberFormat="0" applyBorder="0" applyAlignment="0" applyProtection="0"/>
    <xf numFmtId="241" fontId="210" fillId="0" borderId="187">
      <alignment horizontal="right" vertical="center"/>
    </xf>
    <xf numFmtId="0" fontId="243" fillId="0" borderId="0">
      <alignment vertical="top"/>
    </xf>
    <xf numFmtId="3" fontId="178" fillId="0" borderId="54"/>
    <xf numFmtId="0" fontId="94" fillId="63" borderId="0" applyNumberFormat="0" applyBorder="0" applyAlignment="0" applyProtection="0"/>
    <xf numFmtId="0" fontId="122" fillId="0" borderId="0">
      <alignment vertical="top"/>
    </xf>
    <xf numFmtId="0" fontId="11" fillId="0" borderId="0"/>
    <xf numFmtId="240" fontId="55" fillId="0" borderId="187">
      <alignment horizontal="right" vertical="center"/>
    </xf>
    <xf numFmtId="0" fontId="7" fillId="0" borderId="0"/>
    <xf numFmtId="0" fontId="7" fillId="0" borderId="0"/>
    <xf numFmtId="0" fontId="7" fillId="0" borderId="0"/>
    <xf numFmtId="0" fontId="7" fillId="0" borderId="0"/>
    <xf numFmtId="0" fontId="11" fillId="0" borderId="0" applyNumberFormat="0" applyAlignment="0">
      <alignment vertical="center"/>
    </xf>
    <xf numFmtId="0" fontId="11" fillId="0" borderId="0" applyNumberFormat="0" applyAlignment="0">
      <alignment vertical="center"/>
    </xf>
    <xf numFmtId="0" fontId="11" fillId="0" borderId="0" applyNumberFormat="0" applyAlignment="0">
      <alignment vertical="center"/>
    </xf>
    <xf numFmtId="166" fontId="7" fillId="0" borderId="0" applyFont="0" applyFill="0" applyBorder="0" applyAlignment="0" applyProtection="0"/>
    <xf numFmtId="0" fontId="7" fillId="0" borderId="0"/>
    <xf numFmtId="43" fontId="7"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0" fontId="7" fillId="0" borderId="0"/>
    <xf numFmtId="9" fontId="7" fillId="0" borderId="0" applyFont="0" applyFill="0" applyBorder="0" applyAlignment="0" applyProtection="0"/>
    <xf numFmtId="166"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43" fontId="7" fillId="0" borderId="0" applyFont="0" applyFill="0" applyBorder="0" applyAlignment="0" applyProtection="0"/>
    <xf numFmtId="0" fontId="7" fillId="0" borderId="0"/>
    <xf numFmtId="41" fontId="7" fillId="0" borderId="0" applyFont="0" applyFill="0" applyBorder="0" applyAlignment="0" applyProtection="0"/>
    <xf numFmtId="0" fontId="7" fillId="0" borderId="0"/>
    <xf numFmtId="0" fontId="7" fillId="0" borderId="0"/>
    <xf numFmtId="0" fontId="7" fillId="0" borderId="0"/>
    <xf numFmtId="0" fontId="7" fillId="0" borderId="0"/>
    <xf numFmtId="166" fontId="7" fillId="0" borderId="0" applyFont="0" applyFill="0" applyBorder="0" applyAlignment="0" applyProtection="0"/>
    <xf numFmtId="0" fontId="7" fillId="0" borderId="0"/>
    <xf numFmtId="9" fontId="7" fillId="0" borderId="0" applyFont="0" applyFill="0" applyBorder="0" applyAlignment="0" applyProtection="0"/>
    <xf numFmtId="43" fontId="122" fillId="0" borderId="0" applyFont="0" applyFill="0" applyBorder="0" applyAlignment="0" applyProtection="0"/>
    <xf numFmtId="0" fontId="122" fillId="0" borderId="0">
      <alignment vertical="top"/>
    </xf>
    <xf numFmtId="0" fontId="7" fillId="0" borderId="0"/>
    <xf numFmtId="9" fontId="122"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0" fontId="7" fillId="0" borderId="0"/>
    <xf numFmtId="166" fontId="7"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60" borderId="0" applyNumberFormat="0" applyBorder="0" applyAlignment="0" applyProtection="0"/>
    <xf numFmtId="0" fontId="7" fillId="0" borderId="0"/>
    <xf numFmtId="0" fontId="7" fillId="0" borderId="0"/>
    <xf numFmtId="166" fontId="7" fillId="0" borderId="0" applyFont="0" applyFill="0" applyBorder="0" applyAlignment="0" applyProtection="0"/>
    <xf numFmtId="3" fontId="178" fillId="0" borderId="54"/>
    <xf numFmtId="207" fontId="83" fillId="0" borderId="189" applyFill="0" applyProtection="0"/>
    <xf numFmtId="218" fontId="83" fillId="0" borderId="189" applyFill="0" applyProtection="0"/>
    <xf numFmtId="0" fontId="195" fillId="0" borderId="79">
      <alignment horizontal="left" vertical="center"/>
    </xf>
    <xf numFmtId="0" fontId="177" fillId="0" borderId="35" applyFill="0" applyAlignment="0" applyProtection="0">
      <protection locked="0"/>
    </xf>
    <xf numFmtId="5" fontId="197" fillId="82" borderId="54" applyNumberFormat="0" applyAlignment="0">
      <alignment horizontal="left" vertical="top"/>
    </xf>
    <xf numFmtId="49" fontId="198" fillId="0" borderId="54">
      <alignment vertical="center"/>
    </xf>
    <xf numFmtId="10" fontId="130" fillId="83" borderId="54" applyNumberFormat="0" applyBorder="0" applyAlignment="0" applyProtection="0"/>
    <xf numFmtId="0" fontId="202" fillId="0" borderId="54" applyNumberFormat="0" applyFont="0" applyFill="0" applyBorder="0" applyAlignment="0">
      <alignment horizont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1" fontId="210" fillId="0" borderId="187">
      <alignment horizontal="right" vertical="center"/>
    </xf>
    <xf numFmtId="241" fontId="210" fillId="0" borderId="187">
      <alignment horizontal="right" vertical="center"/>
    </xf>
    <xf numFmtId="240" fontId="55" fillId="0" borderId="187">
      <alignment horizontal="right" vertical="center"/>
    </xf>
    <xf numFmtId="240" fontId="55"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0" fontId="55" fillId="0" borderId="187">
      <alignment horizontal="right" vertical="center"/>
    </xf>
    <xf numFmtId="241" fontId="210" fillId="0" borderId="187">
      <alignment horizontal="right" vertical="center"/>
    </xf>
    <xf numFmtId="240" fontId="55" fillId="0" borderId="187">
      <alignment horizontal="right" vertical="center"/>
    </xf>
    <xf numFmtId="241" fontId="210" fillId="0" borderId="187">
      <alignment horizontal="right" vertical="center"/>
    </xf>
    <xf numFmtId="240" fontId="55" fillId="0" borderId="187">
      <alignment horizontal="right" vertical="center"/>
    </xf>
    <xf numFmtId="241" fontId="210" fillId="0" borderId="187">
      <alignment horizontal="right" vertical="center"/>
    </xf>
    <xf numFmtId="244" fontId="55" fillId="0" borderId="187">
      <alignment horizontal="center"/>
    </xf>
    <xf numFmtId="246" fontId="55" fillId="0" borderId="54"/>
    <xf numFmtId="5" fontId="214" fillId="85" borderId="188">
      <alignment vertical="top"/>
    </xf>
    <xf numFmtId="0" fontId="215" fillId="86" borderId="54">
      <alignment horizontal="left" vertical="center"/>
    </xf>
    <xf numFmtId="6" fontId="216" fillId="87" borderId="188"/>
    <xf numFmtId="5" fontId="197" fillId="0" borderId="188">
      <alignment horizontal="lef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56" borderId="185" applyNumberFormat="0" applyFont="0" applyAlignment="0" applyProtection="0"/>
    <xf numFmtId="0" fontId="7" fillId="0" borderId="0"/>
    <xf numFmtId="166" fontId="7" fillId="0" borderId="0" applyFont="0" applyFill="0" applyBorder="0" applyAlignment="0" applyProtection="0"/>
    <xf numFmtId="0" fontId="7" fillId="0" borderId="0"/>
    <xf numFmtId="166" fontId="7" fillId="0" borderId="0" applyFont="0" applyFill="0" applyBorder="0" applyAlignment="0" applyProtection="0"/>
    <xf numFmtId="207" fontId="83" fillId="0" borderId="189" applyFill="0" applyProtection="0"/>
    <xf numFmtId="218" fontId="83" fillId="0" borderId="189" applyFill="0" applyProtection="0"/>
    <xf numFmtId="0" fontId="195" fillId="0" borderId="79">
      <alignment horizontal="lef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1" fontId="210" fillId="0" borderId="187">
      <alignment horizontal="right" vertical="center"/>
    </xf>
    <xf numFmtId="241" fontId="210" fillId="0" borderId="187">
      <alignment horizontal="right" vertical="center"/>
    </xf>
    <xf numFmtId="240" fontId="55" fillId="0" borderId="187">
      <alignment horizontal="right" vertical="center"/>
    </xf>
    <xf numFmtId="240" fontId="55"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0" fontId="55" fillId="0" borderId="187">
      <alignment horizontal="right" vertical="center"/>
    </xf>
    <xf numFmtId="241" fontId="210" fillId="0" borderId="187">
      <alignment horizontal="right" vertical="center"/>
    </xf>
    <xf numFmtId="240" fontId="55" fillId="0" borderId="187">
      <alignment horizontal="right" vertical="center"/>
    </xf>
    <xf numFmtId="241" fontId="210" fillId="0" borderId="187">
      <alignment horizontal="right" vertical="center"/>
    </xf>
    <xf numFmtId="240" fontId="55" fillId="0" borderId="187">
      <alignment horizontal="right" vertical="center"/>
    </xf>
    <xf numFmtId="241" fontId="210" fillId="0" borderId="187">
      <alignment horizontal="right" vertical="center"/>
    </xf>
    <xf numFmtId="244" fontId="55" fillId="0" borderId="187">
      <alignment horizontal="center"/>
    </xf>
    <xf numFmtId="5" fontId="214" fillId="85" borderId="188">
      <alignment vertical="top"/>
    </xf>
    <xf numFmtId="6" fontId="216" fillId="87" borderId="188"/>
    <xf numFmtId="5" fontId="197" fillId="0" borderId="188">
      <alignment horizontal="left" vertical="top"/>
    </xf>
    <xf numFmtId="9" fontId="7" fillId="0" borderId="0" applyFont="0" applyFill="0" applyBorder="0" applyAlignment="0" applyProtection="0"/>
    <xf numFmtId="0" fontId="7" fillId="0" borderId="0"/>
    <xf numFmtId="43" fontId="7" fillId="0" borderId="0" applyFont="0" applyFill="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56" borderId="185"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56" borderId="185" applyNumberFormat="0" applyFont="0" applyAlignment="0" applyProtection="0"/>
    <xf numFmtId="0" fontId="7" fillId="0" borderId="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3" fontId="178" fillId="0" borderId="54"/>
    <xf numFmtId="3" fontId="178" fillId="0" borderId="54"/>
    <xf numFmtId="3" fontId="178" fillId="0" borderId="54"/>
    <xf numFmtId="3" fontId="178" fillId="0" borderId="54"/>
    <xf numFmtId="3" fontId="178" fillId="0" borderId="54"/>
    <xf numFmtId="43" fontId="122" fillId="0" borderId="0" applyFont="0" applyFill="0" applyBorder="0" applyAlignment="0" applyProtection="0"/>
    <xf numFmtId="43" fontId="122"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6" fontId="122"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43" fontId="7" fillId="0" borderId="0" applyFont="0" applyFill="0" applyBorder="0" applyAlignment="0" applyProtection="0"/>
    <xf numFmtId="207" fontId="83" fillId="0" borderId="189" applyFill="0" applyProtection="0"/>
    <xf numFmtId="207" fontId="83" fillId="0" borderId="189" applyFill="0" applyProtection="0"/>
    <xf numFmtId="207" fontId="83" fillId="0" borderId="189" applyFill="0" applyProtection="0"/>
    <xf numFmtId="207" fontId="83" fillId="0" borderId="189" applyFill="0" applyProtection="0"/>
    <xf numFmtId="207" fontId="83" fillId="0" borderId="189" applyFill="0" applyProtection="0"/>
    <xf numFmtId="207" fontId="83" fillId="0" borderId="78" applyFill="0" applyProtection="0"/>
    <xf numFmtId="207" fontId="83" fillId="0" borderId="78" applyFill="0" applyProtection="0"/>
    <xf numFmtId="207" fontId="83" fillId="0" borderId="78" applyFill="0" applyProtection="0"/>
    <xf numFmtId="207" fontId="83" fillId="0" borderId="78" applyFill="0" applyProtection="0"/>
    <xf numFmtId="218" fontId="83" fillId="0" borderId="189" applyFill="0" applyProtection="0"/>
    <xf numFmtId="218" fontId="83" fillId="0" borderId="189" applyFill="0" applyProtection="0"/>
    <xf numFmtId="218" fontId="83" fillId="0" borderId="189" applyFill="0" applyProtection="0"/>
    <xf numFmtId="218" fontId="83" fillId="0" borderId="189" applyFill="0" applyProtection="0"/>
    <xf numFmtId="218" fontId="83" fillId="0" borderId="189" applyFill="0" applyProtection="0"/>
    <xf numFmtId="218" fontId="83" fillId="0" borderId="78" applyFill="0" applyProtection="0"/>
    <xf numFmtId="218" fontId="83" fillId="0" borderId="78" applyFill="0" applyProtection="0"/>
    <xf numFmtId="218" fontId="83" fillId="0" borderId="78" applyFill="0" applyProtection="0"/>
    <xf numFmtId="218" fontId="83" fillId="0" borderId="78" applyFill="0" applyProtection="0"/>
    <xf numFmtId="0" fontId="195" fillId="0" borderId="79">
      <alignment horizontal="left" vertical="center"/>
    </xf>
    <xf numFmtId="0" fontId="195" fillId="0" borderId="79">
      <alignment horizontal="left" vertical="center"/>
    </xf>
    <xf numFmtId="0" fontId="195" fillId="0" borderId="79">
      <alignment horizontal="left" vertical="center"/>
    </xf>
    <xf numFmtId="0" fontId="195" fillId="0" borderId="79">
      <alignment horizontal="left" vertical="center"/>
    </xf>
    <xf numFmtId="0" fontId="195" fillId="0" borderId="79">
      <alignment horizontal="left" vertical="center"/>
    </xf>
    <xf numFmtId="5" fontId="197" fillId="82" borderId="54" applyNumberFormat="0" applyAlignment="0">
      <alignment horizontal="left" vertical="top"/>
    </xf>
    <xf numFmtId="5" fontId="197" fillId="82" borderId="54" applyNumberFormat="0" applyAlignment="0">
      <alignment horizontal="left" vertical="top"/>
    </xf>
    <xf numFmtId="5" fontId="197" fillId="82" borderId="54" applyNumberFormat="0" applyAlignment="0">
      <alignment horizontal="left" vertical="top"/>
    </xf>
    <xf numFmtId="5" fontId="197" fillId="82" borderId="54" applyNumberFormat="0" applyAlignment="0">
      <alignment horizontal="left" vertical="top"/>
    </xf>
    <xf numFmtId="5" fontId="197" fillId="82" borderId="54" applyNumberFormat="0" applyAlignment="0">
      <alignment horizontal="left" vertical="top"/>
    </xf>
    <xf numFmtId="49" fontId="198" fillId="0" borderId="54">
      <alignment vertical="center"/>
    </xf>
    <xf numFmtId="49" fontId="198" fillId="0" borderId="54">
      <alignment vertical="center"/>
    </xf>
    <xf numFmtId="49" fontId="198" fillId="0" borderId="54">
      <alignment vertical="center"/>
    </xf>
    <xf numFmtId="49" fontId="198" fillId="0" borderId="54">
      <alignment vertical="center"/>
    </xf>
    <xf numFmtId="49" fontId="198" fillId="0" borderId="54">
      <alignment vertical="center"/>
    </xf>
    <xf numFmtId="10" fontId="130" fillId="83" borderId="54" applyNumberFormat="0" applyBorder="0" applyAlignment="0" applyProtection="0"/>
    <xf numFmtId="10" fontId="130" fillId="83" borderId="54" applyNumberFormat="0" applyBorder="0" applyAlignment="0" applyProtection="0"/>
    <xf numFmtId="10" fontId="130" fillId="83" borderId="54" applyNumberFormat="0" applyBorder="0" applyAlignment="0" applyProtection="0"/>
    <xf numFmtId="10" fontId="130" fillId="83" borderId="54" applyNumberFormat="0" applyBorder="0" applyAlignment="0" applyProtection="0"/>
    <xf numFmtId="10" fontId="130" fillId="83" borderId="54" applyNumberFormat="0" applyBorder="0" applyAlignment="0" applyProtection="0"/>
    <xf numFmtId="0" fontId="202" fillId="0" borderId="54" applyNumberFormat="0" applyFont="0" applyFill="0" applyBorder="0" applyAlignment="0">
      <alignment horizontal="center"/>
    </xf>
    <xf numFmtId="0" fontId="202" fillId="0" borderId="54" applyNumberFormat="0" applyFont="0" applyFill="0" applyBorder="0" applyAlignment="0">
      <alignment horizontal="center"/>
    </xf>
    <xf numFmtId="0" fontId="202" fillId="0" borderId="54" applyNumberFormat="0" applyFont="0" applyFill="0" applyBorder="0" applyAlignment="0">
      <alignment horizontal="center"/>
    </xf>
    <xf numFmtId="0" fontId="202" fillId="0" borderId="54" applyNumberFormat="0" applyFont="0" applyFill="0" applyBorder="0" applyAlignment="0">
      <alignment horizontal="center"/>
    </xf>
    <xf numFmtId="0" fontId="202" fillId="0" borderId="54" applyNumberFormat="0" applyFont="0" applyFill="0" applyBorder="0" applyAlignment="0">
      <alignment horizontal="center"/>
    </xf>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alignment vertical="center"/>
    </xf>
    <xf numFmtId="0" fontId="130" fillId="0" borderId="0"/>
    <xf numFmtId="0" fontId="11" fillId="0" borderId="0">
      <alignment vertical="center"/>
    </xf>
    <xf numFmtId="0" fontId="5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4"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7" fillId="0" borderId="0"/>
    <xf numFmtId="0" fontId="7" fillId="0" borderId="0"/>
    <xf numFmtId="0" fontId="122" fillId="0" borderId="0">
      <alignment vertical="top"/>
    </xf>
    <xf numFmtId="0" fontId="11" fillId="0" borderId="0"/>
    <xf numFmtId="0" fontId="122" fillId="0" borderId="0">
      <alignment vertical="top"/>
    </xf>
    <xf numFmtId="0" fontId="122"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0" fontId="7" fillId="56" borderId="185" applyNumberFormat="0" applyFont="0" applyAlignment="0" applyProtection="0"/>
    <xf numFmtId="9" fontId="122"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0" fontId="55"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1" fontId="210" fillId="0" borderId="187">
      <alignment horizontal="right" vertical="center"/>
    </xf>
    <xf numFmtId="244" fontId="55" fillId="0" borderId="187">
      <alignment horizontal="center"/>
    </xf>
    <xf numFmtId="244" fontId="55" fillId="0" borderId="187">
      <alignment horizontal="center"/>
    </xf>
    <xf numFmtId="244" fontId="55" fillId="0" borderId="187">
      <alignment horizontal="center"/>
    </xf>
    <xf numFmtId="244" fontId="55" fillId="0" borderId="187">
      <alignment horizontal="center"/>
    </xf>
    <xf numFmtId="244" fontId="55" fillId="0" borderId="187">
      <alignment horizontal="center"/>
    </xf>
    <xf numFmtId="246" fontId="55" fillId="0" borderId="54"/>
    <xf numFmtId="246" fontId="55" fillId="0" borderId="54"/>
    <xf numFmtId="246" fontId="55" fillId="0" borderId="54"/>
    <xf numFmtId="246" fontId="55" fillId="0" borderId="54"/>
    <xf numFmtId="246" fontId="55" fillId="0" borderId="54"/>
    <xf numFmtId="5" fontId="214" fillId="85" borderId="188">
      <alignment vertical="top"/>
    </xf>
    <xf numFmtId="5" fontId="214" fillId="85" borderId="188">
      <alignment vertical="top"/>
    </xf>
    <xf numFmtId="5" fontId="214" fillId="85" borderId="188">
      <alignment vertical="top"/>
    </xf>
    <xf numFmtId="5" fontId="214" fillId="85" borderId="188">
      <alignment vertical="top"/>
    </xf>
    <xf numFmtId="5" fontId="214" fillId="85" borderId="188">
      <alignment vertical="top"/>
    </xf>
    <xf numFmtId="0" fontId="215" fillId="86" borderId="54">
      <alignment horizontal="left" vertical="center"/>
    </xf>
    <xf numFmtId="0" fontId="215" fillId="86" borderId="54">
      <alignment horizontal="left" vertical="center"/>
    </xf>
    <xf numFmtId="0" fontId="215" fillId="86" borderId="54">
      <alignment horizontal="left" vertical="center"/>
    </xf>
    <xf numFmtId="0" fontId="215" fillId="86" borderId="54">
      <alignment horizontal="left" vertical="center"/>
    </xf>
    <xf numFmtId="0" fontId="215" fillId="86" borderId="54">
      <alignment horizontal="left" vertical="center"/>
    </xf>
    <xf numFmtId="6" fontId="216" fillId="87" borderId="188"/>
    <xf numFmtId="6" fontId="216" fillId="87" borderId="188"/>
    <xf numFmtId="6" fontId="216" fillId="87" borderId="188"/>
    <xf numFmtId="6" fontId="216" fillId="87" borderId="188"/>
    <xf numFmtId="6" fontId="216" fillId="87" borderId="188"/>
    <xf numFmtId="5" fontId="197" fillId="0" borderId="188">
      <alignment horizontal="left" vertical="top"/>
    </xf>
    <xf numFmtId="5" fontId="197" fillId="0" borderId="188">
      <alignment horizontal="left" vertical="top"/>
    </xf>
    <xf numFmtId="5" fontId="197" fillId="0" borderId="188">
      <alignment horizontal="left" vertical="top"/>
    </xf>
    <xf numFmtId="5" fontId="197" fillId="0" borderId="188">
      <alignment horizontal="left" vertical="top"/>
    </xf>
    <xf numFmtId="5" fontId="197" fillId="0" borderId="188">
      <alignment horizontal="left" vertical="top"/>
    </xf>
    <xf numFmtId="0" fontId="65" fillId="0" borderId="0"/>
    <xf numFmtId="43" fontId="65" fillId="0" borderId="0" applyFont="0" applyFill="0" applyBorder="0" applyAlignment="0" applyProtection="0"/>
    <xf numFmtId="0" fontId="122" fillId="0" borderId="0">
      <alignment vertical="top"/>
    </xf>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63" fillId="0" borderId="0"/>
    <xf numFmtId="0" fontId="68" fillId="0" borderId="0" applyNumberFormat="0" applyFill="0" applyBorder="0" applyAlignment="0" applyProtection="0"/>
    <xf numFmtId="0" fontId="121" fillId="0" borderId="0" applyNumberFormat="0" applyFill="0" applyBorder="0" applyAlignment="0" applyProtection="0">
      <alignment vertical="top"/>
    </xf>
    <xf numFmtId="43" fontId="122" fillId="0" borderId="0" applyFont="0" applyFill="0" applyBorder="0" applyAlignment="0" applyProtection="0"/>
    <xf numFmtId="9" fontId="122" fillId="0" borderId="0" applyFont="0" applyFill="0" applyBorder="0" applyAlignment="0" applyProtection="0"/>
    <xf numFmtId="0" fontId="4" fillId="0" borderId="0"/>
    <xf numFmtId="0" fontId="7" fillId="0" borderId="0"/>
    <xf numFmtId="9" fontId="7" fillId="0" borderId="0" applyFont="0" applyFill="0" applyBorder="0" applyAlignment="0" applyProtection="0"/>
    <xf numFmtId="9" fontId="11" fillId="0" borderId="0" applyFont="0" applyFill="0" applyBorder="0" applyAlignment="0" applyProtection="0"/>
    <xf numFmtId="0" fontId="247" fillId="0" borderId="0"/>
    <xf numFmtId="0" fontId="7" fillId="0" borderId="0"/>
    <xf numFmtId="0" fontId="63" fillId="0" borderId="0"/>
    <xf numFmtId="175" fontId="7" fillId="0" borderId="0" applyFont="0" applyFill="0" applyBorder="0" applyAlignment="0" applyProtection="0"/>
    <xf numFmtId="43" fontId="59" fillId="0" borderId="0" applyFont="0" applyFill="0" applyBorder="0" applyAlignment="0" applyProtection="0">
      <alignment vertical="top"/>
    </xf>
    <xf numFmtId="0" fontId="64" fillId="0" borderId="0"/>
    <xf numFmtId="0" fontId="64" fillId="0" borderId="0"/>
    <xf numFmtId="0" fontId="64" fillId="0" borderId="0"/>
    <xf numFmtId="43" fontId="11" fillId="0" borderId="0" applyFont="0" applyFill="0" applyBorder="0" applyAlignment="0" applyProtection="0"/>
    <xf numFmtId="0" fontId="51" fillId="0" borderId="0" applyNumberFormat="0" applyFill="0" applyBorder="0" applyAlignment="0" applyProtection="0">
      <alignment vertical="top"/>
    </xf>
    <xf numFmtId="9" fontId="4" fillId="0" borderId="0" applyFont="0" applyFill="0" applyBorder="0" applyAlignment="0" applyProtection="0"/>
    <xf numFmtId="0" fontId="38" fillId="0" borderId="0"/>
    <xf numFmtId="43" fontId="42" fillId="0" borderId="0" applyFont="0" applyFill="0" applyBorder="0" applyAlignment="0" applyProtection="0"/>
    <xf numFmtId="0" fontId="42" fillId="0" borderId="0"/>
    <xf numFmtId="41" fontId="4" fillId="0" borderId="0" applyFont="0" applyFill="0" applyBorder="0" applyAlignment="0" applyProtection="0"/>
    <xf numFmtId="175" fontId="41" fillId="0" borderId="0" applyFont="0" applyFill="0" applyBorder="0" applyAlignment="0" applyProtection="0"/>
    <xf numFmtId="175" fontId="7" fillId="0" borderId="0" applyFont="0" applyFill="0" applyBorder="0" applyAlignment="0" applyProtection="0"/>
    <xf numFmtId="0" fontId="41" fillId="0" borderId="0"/>
    <xf numFmtId="175" fontId="11" fillId="0" borderId="0" applyFont="0" applyFill="0" applyBorder="0" applyAlignment="0" applyProtection="0"/>
    <xf numFmtId="175" fontId="7" fillId="0" borderId="0" applyFont="0" applyFill="0" applyBorder="0" applyAlignment="0" applyProtection="0"/>
    <xf numFmtId="37" fontId="11" fillId="0" borderId="0"/>
    <xf numFmtId="0" fontId="11" fillId="0" borderId="0">
      <alignment vertical="center"/>
    </xf>
    <xf numFmtId="43" fontId="7" fillId="0" borderId="0" applyFont="0" applyFill="0" applyBorder="0" applyAlignment="0" applyProtection="0"/>
    <xf numFmtId="0" fontId="65" fillId="0" borderId="0"/>
    <xf numFmtId="43" fontId="65" fillId="0" borderId="0" applyFont="0" applyFill="0" applyBorder="0" applyAlignment="0" applyProtection="0"/>
    <xf numFmtId="0" fontId="11" fillId="0" borderId="0">
      <alignment vertical="center"/>
    </xf>
    <xf numFmtId="0" fontId="63" fillId="0" borderId="0"/>
    <xf numFmtId="0" fontId="51" fillId="0" borderId="0" applyNumberFormat="0" applyFill="0" applyBorder="0" applyAlignment="0" applyProtection="0">
      <alignment vertical="top"/>
    </xf>
    <xf numFmtId="177" fontId="52" fillId="0" borderId="0" applyFont="0" applyFill="0" applyBorder="0" applyAlignment="0" applyProtection="0"/>
    <xf numFmtId="0" fontId="52" fillId="0" borderId="0"/>
    <xf numFmtId="0" fontId="59" fillId="0" borderId="0">
      <alignment vertical="top"/>
    </xf>
    <xf numFmtId="43" fontId="59" fillId="0" borderId="0" applyFont="0" applyFill="0" applyBorder="0" applyAlignment="0" applyProtection="0">
      <alignment vertical="top"/>
    </xf>
    <xf numFmtId="0" fontId="62" fillId="0" borderId="0"/>
    <xf numFmtId="43" fontId="62" fillId="0" borderId="0" applyFont="0" applyFill="0" applyBorder="0" applyAlignment="0" applyProtection="0"/>
    <xf numFmtId="9" fontId="65" fillId="0" borderId="0" applyFont="0" applyFill="0" applyBorder="0" applyAlignment="0" applyProtection="0"/>
    <xf numFmtId="0" fontId="63" fillId="0" borderId="0" applyBorder="0"/>
    <xf numFmtId="43" fontId="63" fillId="0" borderId="0" applyFont="0" applyFill="0" applyBorder="0" applyAlignment="0" applyProtection="0"/>
    <xf numFmtId="0" fontId="11" fillId="0" borderId="0">
      <protection locked="0"/>
    </xf>
    <xf numFmtId="0" fontId="65" fillId="0" borderId="0"/>
    <xf numFmtId="0" fontId="11" fillId="0" borderId="0"/>
    <xf numFmtId="0" fontId="63" fillId="0" borderId="0"/>
    <xf numFmtId="0" fontId="65" fillId="0" borderId="0"/>
    <xf numFmtId="0" fontId="65" fillId="0" borderId="0"/>
    <xf numFmtId="43" fontId="65" fillId="0" borderId="0" applyFont="0" applyFill="0" applyBorder="0" applyAlignment="0" applyProtection="0"/>
    <xf numFmtId="43"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7" fillId="0" borderId="0" applyFont="0"/>
    <xf numFmtId="175" fontId="7" fillId="0" borderId="0" applyFont="0" applyFill="0" applyBorder="0" applyAlignment="0" applyProtection="0"/>
    <xf numFmtId="0" fontId="56" fillId="0" borderId="0"/>
    <xf numFmtId="43" fontId="56" fillId="0" borderId="0" applyFont="0" applyFill="0" applyBorder="0" applyAlignment="0" applyProtection="0"/>
    <xf numFmtId="0" fontId="42" fillId="0" borderId="0"/>
    <xf numFmtId="0" fontId="42" fillId="0" borderId="0" applyFill="0" applyProtection="0"/>
    <xf numFmtId="43" fontId="7" fillId="0" borderId="0" applyFont="0" applyFill="0" applyBorder="0" applyAlignment="0" applyProtection="0"/>
    <xf numFmtId="0" fontId="7" fillId="0" borderId="0"/>
    <xf numFmtId="0" fontId="7" fillId="0" borderId="0" applyFont="0"/>
    <xf numFmtId="175" fontId="7" fillId="0" borderId="0" applyFont="0" applyFill="0" applyBorder="0" applyAlignment="0" applyProtection="0"/>
    <xf numFmtId="0" fontId="56" fillId="0" borderId="0"/>
    <xf numFmtId="43" fontId="56" fillId="0" borderId="0" applyFont="0" applyFill="0" applyBorder="0" applyAlignment="0" applyProtection="0"/>
    <xf numFmtId="0" fontId="7" fillId="0" borderId="0"/>
    <xf numFmtId="0" fontId="7" fillId="0" borderId="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xf numFmtId="0" fontId="7" fillId="0" borderId="0"/>
    <xf numFmtId="0" fontId="7"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0" fontId="7" fillId="0" borderId="0"/>
    <xf numFmtId="43" fontId="7" fillId="0" borderId="0" applyFont="0" applyFill="0" applyBorder="0" applyAlignment="0" applyProtection="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11" fillId="0" borderId="0"/>
    <xf numFmtId="177" fontId="52" fillId="0" borderId="0" applyFont="0" applyFill="0" applyBorder="0" applyAlignment="0" applyProtection="0"/>
    <xf numFmtId="9" fontId="5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1" fillId="0" borderId="0"/>
    <xf numFmtId="43" fontId="41" fillId="0" borderId="0" applyFont="0" applyFill="0" applyBorder="0" applyAlignment="0" applyProtection="0"/>
    <xf numFmtId="0" fontId="41" fillId="0" borderId="0"/>
    <xf numFmtId="9" fontId="41" fillId="0" borderId="0" applyFont="0" applyFill="0" applyBorder="0" applyAlignment="0" applyProtection="0"/>
    <xf numFmtId="0" fontId="7" fillId="0" borderId="0"/>
    <xf numFmtId="0" fontId="7" fillId="0" borderId="0"/>
    <xf numFmtId="0" fontId="7" fillId="0" borderId="0"/>
    <xf numFmtId="0" fontId="44"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applyFont="0"/>
    <xf numFmtId="0" fontId="7" fillId="0" borderId="0"/>
    <xf numFmtId="0" fontId="7" fillId="0" borderId="0"/>
    <xf numFmtId="175" fontId="7" fillId="0" borderId="0" applyFont="0" applyFill="0" applyBorder="0" applyAlignment="0" applyProtection="0"/>
    <xf numFmtId="0" fontId="7" fillId="0" borderId="0"/>
    <xf numFmtId="9" fontId="11"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applyFont="0"/>
    <xf numFmtId="0" fontId="7" fillId="0" borderId="0"/>
    <xf numFmtId="0" fontId="7" fillId="0" borderId="0"/>
    <xf numFmtId="0" fontId="7" fillId="0" borderId="0"/>
    <xf numFmtId="0" fontId="7" fillId="0" borderId="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0" fontId="7" fillId="0" borderId="0" applyFont="0"/>
    <xf numFmtId="43" fontId="59" fillId="0" borderId="0" applyFont="0" applyFill="0" applyBorder="0" applyAlignment="0" applyProtection="0">
      <alignment vertical="top"/>
    </xf>
    <xf numFmtId="43" fontId="59" fillId="0" borderId="0" applyFont="0" applyFill="0" applyBorder="0" applyAlignment="0" applyProtection="0">
      <alignment vertical="top"/>
    </xf>
    <xf numFmtId="0" fontId="7" fillId="0" borderId="0"/>
    <xf numFmtId="0" fontId="59" fillId="0" borderId="0">
      <alignment vertical="top"/>
    </xf>
    <xf numFmtId="0" fontId="59" fillId="0" borderId="0">
      <alignment vertical="top"/>
    </xf>
    <xf numFmtId="0" fontId="59" fillId="0" borderId="0">
      <alignment vertical="top"/>
    </xf>
    <xf numFmtId="0" fontId="7" fillId="0" borderId="0"/>
    <xf numFmtId="0" fontId="6" fillId="0" borderId="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6" fillId="0" borderId="0"/>
    <xf numFmtId="0" fontId="6" fillId="0" borderId="0"/>
    <xf numFmtId="0" fontId="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9" fillId="0" borderId="0">
      <alignment vertical="top"/>
    </xf>
    <xf numFmtId="0" fontId="59" fillId="0" borderId="0">
      <alignment vertical="top"/>
    </xf>
    <xf numFmtId="0" fontId="7" fillId="0" borderId="0"/>
    <xf numFmtId="0" fontId="7" fillId="0" borderId="0"/>
    <xf numFmtId="0" fontId="7" fillId="0" borderId="0"/>
    <xf numFmtId="0" fontId="7" fillId="0" borderId="0"/>
    <xf numFmtId="0" fontId="59" fillId="0" borderId="0">
      <alignment vertical="top"/>
    </xf>
    <xf numFmtId="0" fontId="59" fillId="0" borderId="0">
      <alignment vertical="top"/>
    </xf>
    <xf numFmtId="0" fontId="59" fillId="0" borderId="0">
      <alignment vertical="top"/>
    </xf>
    <xf numFmtId="0" fontId="7" fillId="0" borderId="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43" fontId="11" fillId="0" borderId="0" applyFont="0" applyFill="0" applyBorder="0" applyAlignment="0" applyProtection="0"/>
    <xf numFmtId="0" fontId="7" fillId="0" borderId="0" applyFont="0"/>
    <xf numFmtId="175" fontId="7" fillId="0" borderId="0" applyFont="0" applyFill="0" applyBorder="0" applyAlignment="0" applyProtection="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59" fillId="0" borderId="0">
      <alignment vertical="top"/>
    </xf>
    <xf numFmtId="0" fontId="7" fillId="0" borderId="0"/>
    <xf numFmtId="0" fontId="59" fillId="0" borderId="0">
      <alignment vertical="top"/>
    </xf>
    <xf numFmtId="0" fontId="59" fillId="0" borderId="0">
      <alignment vertical="top"/>
    </xf>
    <xf numFmtId="0" fontId="59" fillId="0" borderId="0">
      <alignment vertical="top"/>
    </xf>
    <xf numFmtId="0" fontId="7" fillId="0" borderId="0"/>
    <xf numFmtId="0" fontId="7" fillId="0" borderId="0"/>
    <xf numFmtId="175" fontId="7" fillId="0" borderId="0" applyFont="0" applyFill="0" applyBorder="0" applyAlignment="0" applyProtection="0"/>
    <xf numFmtId="175" fontId="7" fillId="0" borderId="0" applyFont="0" applyFill="0" applyBorder="0" applyAlignment="0" applyProtection="0"/>
    <xf numFmtId="0" fontId="7" fillId="0" borderId="0" applyFont="0"/>
    <xf numFmtId="0" fontId="64" fillId="0" borderId="0"/>
    <xf numFmtId="0" fontId="64" fillId="0" borderId="0"/>
    <xf numFmtId="0" fontId="7" fillId="0" borderId="0" applyFont="0"/>
    <xf numFmtId="0" fontId="64" fillId="0" borderId="0"/>
    <xf numFmtId="0" fontId="7" fillId="0" borderId="0" applyFont="0"/>
    <xf numFmtId="175" fontId="7" fillId="0" borderId="0" applyFont="0" applyFill="0" applyBorder="0" applyAlignment="0" applyProtection="0"/>
    <xf numFmtId="0" fontId="56" fillId="0" borderId="0"/>
    <xf numFmtId="166" fontId="56" fillId="0" borderId="0" applyFont="0" applyFill="0" applyBorder="0" applyAlignment="0" applyProtection="0"/>
    <xf numFmtId="0" fontId="7" fillId="0" borderId="0"/>
    <xf numFmtId="0" fontId="42" fillId="0" borderId="0" applyFill="0" applyProtection="0"/>
    <xf numFmtId="166" fontId="56" fillId="0" borderId="0" applyFont="0" applyFill="0" applyBorder="0" applyAlignment="0" applyProtection="0"/>
    <xf numFmtId="0" fontId="7" fillId="0" borderId="0" applyFont="0"/>
    <xf numFmtId="0" fontId="7" fillId="0" borderId="0" applyFont="0"/>
    <xf numFmtId="166" fontId="7" fillId="0" borderId="0" applyFont="0" applyFill="0" applyBorder="0" applyAlignment="0" applyProtection="0"/>
    <xf numFmtId="177" fontId="52" fillId="0" borderId="0" applyFont="0" applyFill="0" applyBorder="0" applyAlignment="0" applyProtection="0"/>
    <xf numFmtId="166" fontId="41"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59" fillId="0" borderId="0" applyFont="0" applyFill="0" applyBorder="0" applyAlignment="0" applyProtection="0">
      <alignment vertical="top"/>
    </xf>
    <xf numFmtId="166" fontId="59" fillId="0" borderId="0" applyFont="0" applyFill="0" applyBorder="0" applyAlignment="0" applyProtection="0">
      <alignment vertical="top"/>
    </xf>
    <xf numFmtId="166" fontId="59" fillId="0" borderId="0" applyFont="0" applyFill="0" applyBorder="0" applyAlignment="0" applyProtection="0">
      <alignment vertical="top"/>
    </xf>
    <xf numFmtId="166" fontId="59" fillId="0" borderId="0" applyFont="0" applyFill="0" applyBorder="0" applyAlignment="0" applyProtection="0">
      <alignment vertical="top"/>
    </xf>
    <xf numFmtId="0" fontId="4" fillId="0" borderId="0"/>
    <xf numFmtId="0" fontId="7" fillId="0" borderId="0" applyFont="0"/>
    <xf numFmtId="0" fontId="4" fillId="0" borderId="0"/>
    <xf numFmtId="0" fontId="7" fillId="0" borderId="0" applyFont="0"/>
    <xf numFmtId="0" fontId="4" fillId="0" borderId="0"/>
    <xf numFmtId="166" fontId="4" fillId="0" borderId="0" applyFont="0" applyFill="0" applyBorder="0" applyAlignment="0" applyProtection="0"/>
    <xf numFmtId="0" fontId="7" fillId="0" borderId="0" applyFont="0"/>
    <xf numFmtId="0" fontId="7" fillId="0" borderId="0" applyFont="0"/>
    <xf numFmtId="0" fontId="7" fillId="0" borderId="0" applyFont="0"/>
    <xf numFmtId="0" fontId="7" fillId="0" borderId="0" applyFont="0"/>
    <xf numFmtId="0" fontId="64" fillId="0" borderId="0"/>
    <xf numFmtId="0" fontId="59" fillId="0" borderId="0">
      <alignment vertical="top"/>
    </xf>
    <xf numFmtId="166" fontId="7" fillId="0" borderId="0" applyFont="0" applyFill="0" applyBorder="0" applyAlignment="0" applyProtection="0"/>
    <xf numFmtId="166" fontId="6" fillId="0" borderId="0" applyFont="0" applyFill="0" applyBorder="0" applyAlignment="0" applyProtection="0"/>
    <xf numFmtId="166" fontId="11" fillId="0" borderId="0" applyFont="0" applyFill="0" applyBorder="0" applyAlignment="0" applyProtection="0"/>
    <xf numFmtId="166" fontId="59" fillId="0" borderId="0" applyFont="0" applyFill="0" applyBorder="0" applyAlignment="0" applyProtection="0">
      <alignment vertical="top"/>
    </xf>
    <xf numFmtId="43" fontId="65" fillId="0" borderId="0" applyFont="0" applyFill="0" applyBorder="0" applyAlignment="0" applyProtection="0"/>
    <xf numFmtId="166" fontId="7" fillId="0" borderId="0" applyFont="0" applyFill="0" applyBorder="0" applyAlignment="0" applyProtection="0"/>
    <xf numFmtId="0" fontId="6" fillId="0" borderId="0"/>
    <xf numFmtId="166" fontId="11" fillId="0" borderId="0" applyFont="0" applyFill="0" applyBorder="0" applyAlignment="0" applyProtection="0"/>
    <xf numFmtId="166" fontId="41" fillId="0" borderId="0" applyFont="0" applyFill="0" applyBorder="0" applyAlignment="0" applyProtection="0"/>
    <xf numFmtId="166" fontId="7" fillId="0" borderId="0" applyFont="0" applyFill="0" applyBorder="0" applyAlignment="0" applyProtection="0"/>
    <xf numFmtId="166" fontId="56" fillId="0" borderId="0" applyFont="0" applyFill="0" applyBorder="0" applyAlignment="0" applyProtection="0"/>
    <xf numFmtId="166" fontId="56" fillId="0" borderId="0" applyFont="0" applyFill="0" applyBorder="0" applyAlignment="0" applyProtection="0"/>
    <xf numFmtId="9" fontId="6" fillId="0" borderId="0" applyFont="0" applyFill="0" applyBorder="0" applyAlignment="0" applyProtection="0"/>
    <xf numFmtId="0" fontId="6" fillId="0" borderId="0"/>
    <xf numFmtId="0" fontId="65" fillId="0" borderId="0"/>
    <xf numFmtId="0" fontId="51" fillId="0" borderId="0" applyNumberFormat="0" applyFill="0" applyBorder="0" applyAlignment="0" applyProtection="0">
      <alignment vertical="top"/>
    </xf>
    <xf numFmtId="0" fontId="7" fillId="0" borderId="0"/>
    <xf numFmtId="0" fontId="38" fillId="0" borderId="0"/>
    <xf numFmtId="166" fontId="7" fillId="0" borderId="0" applyFont="0" applyFill="0" applyBorder="0" applyAlignment="0" applyProtection="0"/>
    <xf numFmtId="0" fontId="4" fillId="0" borderId="0"/>
    <xf numFmtId="166" fontId="56" fillId="0" borderId="0" applyFont="0" applyFill="0" applyBorder="0" applyAlignment="0" applyProtection="0"/>
    <xf numFmtId="166" fontId="56" fillId="0" borderId="0" applyFont="0" applyFill="0" applyBorder="0" applyAlignment="0" applyProtection="0"/>
    <xf numFmtId="166" fontId="7" fillId="0" borderId="0" applyFont="0" applyFill="0" applyBorder="0" applyAlignment="0" applyProtection="0"/>
    <xf numFmtId="166" fontId="41"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59" fillId="0" borderId="0" applyFont="0" applyFill="0" applyBorder="0" applyAlignment="0" applyProtection="0">
      <alignment vertical="top"/>
    </xf>
    <xf numFmtId="0" fontId="7" fillId="0" borderId="0" applyFont="0"/>
    <xf numFmtId="166" fontId="59" fillId="0" borderId="0" applyFont="0" applyFill="0" applyBorder="0" applyAlignment="0" applyProtection="0">
      <alignment vertical="top"/>
    </xf>
    <xf numFmtId="166" fontId="59" fillId="0" borderId="0" applyFont="0" applyFill="0" applyBorder="0" applyAlignment="0" applyProtection="0">
      <alignment vertical="top"/>
    </xf>
    <xf numFmtId="166" fontId="59" fillId="0" borderId="0" applyFont="0" applyFill="0" applyBorder="0" applyAlignment="0" applyProtection="0">
      <alignment vertical="top"/>
    </xf>
    <xf numFmtId="166" fontId="4" fillId="0" borderId="0" applyFont="0" applyFill="0" applyBorder="0" applyAlignment="0" applyProtection="0"/>
    <xf numFmtId="0" fontId="62" fillId="0" borderId="0"/>
    <xf numFmtId="0" fontId="65" fillId="0" borderId="0"/>
    <xf numFmtId="0" fontId="11" fillId="0" borderId="0">
      <alignment vertical="center"/>
    </xf>
    <xf numFmtId="179" fontId="42" fillId="0" borderId="0"/>
    <xf numFmtId="166" fontId="65" fillId="0" borderId="0" applyFont="0" applyFill="0" applyBorder="0" applyAlignment="0" applyProtection="0"/>
    <xf numFmtId="0" fontId="11" fillId="0" borderId="0">
      <alignment vertical="center"/>
    </xf>
    <xf numFmtId="0" fontId="63" fillId="0" borderId="0"/>
    <xf numFmtId="0" fontId="51" fillId="0" borderId="0" applyNumberFormat="0" applyFill="0" applyBorder="0" applyAlignment="0" applyProtection="0">
      <alignment vertical="top"/>
    </xf>
    <xf numFmtId="0" fontId="65" fillId="0" borderId="0"/>
    <xf numFmtId="0" fontId="52" fillId="0" borderId="0"/>
    <xf numFmtId="166" fontId="7" fillId="0" borderId="0" applyFont="0" applyFill="0" applyBorder="0" applyAlignment="0" applyProtection="0"/>
    <xf numFmtId="0" fontId="59" fillId="0" borderId="0">
      <alignment vertical="top"/>
    </xf>
    <xf numFmtId="166" fontId="59" fillId="0" borderId="0" applyFont="0" applyFill="0" applyBorder="0" applyAlignment="0" applyProtection="0">
      <alignment vertical="top"/>
    </xf>
    <xf numFmtId="0" fontId="62" fillId="0" borderId="0"/>
    <xf numFmtId="166" fontId="62" fillId="0" borderId="0" applyFont="0" applyFill="0" applyBorder="0" applyAlignment="0" applyProtection="0"/>
    <xf numFmtId="9" fontId="65" fillId="0" borderId="0" applyFont="0" applyFill="0" applyBorder="0" applyAlignment="0" applyProtection="0"/>
    <xf numFmtId="166" fontId="7" fillId="0" borderId="0" applyFont="0" applyFill="0" applyBorder="0" applyAlignment="0" applyProtection="0"/>
    <xf numFmtId="0" fontId="11" fillId="0" borderId="0"/>
    <xf numFmtId="0" fontId="63" fillId="0" borderId="0" applyBorder="0"/>
    <xf numFmtId="166" fontId="63" fillId="0" borderId="0" applyFont="0" applyFill="0" applyBorder="0" applyAlignment="0" applyProtection="0"/>
    <xf numFmtId="0" fontId="11" fillId="0" borderId="0">
      <protection locked="0"/>
    </xf>
    <xf numFmtId="166" fontId="11" fillId="0" borderId="0" applyFont="0" applyFill="0" applyBorder="0" applyAlignment="0" applyProtection="0"/>
    <xf numFmtId="0" fontId="65" fillId="0" borderId="0"/>
    <xf numFmtId="0" fontId="11" fillId="0" borderId="0"/>
    <xf numFmtId="0" fontId="63" fillId="0" borderId="0"/>
    <xf numFmtId="0" fontId="68" fillId="0" borderId="0" applyNumberFormat="0" applyFill="0" applyBorder="0" applyAlignment="0" applyProtection="0"/>
    <xf numFmtId="166" fontId="7" fillId="0" borderId="0" applyFont="0" applyFill="0" applyBorder="0" applyAlignment="0" applyProtection="0"/>
    <xf numFmtId="164" fontId="4" fillId="0" borderId="0" applyFont="0" applyFill="0" applyBorder="0" applyAlignment="0" applyProtection="0"/>
    <xf numFmtId="0" fontId="38" fillId="0" borderId="0"/>
    <xf numFmtId="175" fontId="41" fillId="0" borderId="0" applyFont="0" applyFill="0" applyBorder="0" applyAlignment="0" applyProtection="0"/>
    <xf numFmtId="0" fontId="41" fillId="0" borderId="0"/>
    <xf numFmtId="175" fontId="11" fillId="0" borderId="0" applyFont="0" applyFill="0" applyBorder="0" applyAlignment="0" applyProtection="0"/>
    <xf numFmtId="175" fontId="7" fillId="0" borderId="0" applyFont="0" applyFill="0" applyBorder="0" applyAlignment="0" applyProtection="0"/>
    <xf numFmtId="0" fontId="11" fillId="0" borderId="0"/>
    <xf numFmtId="37" fontId="11" fillId="0" borderId="0"/>
    <xf numFmtId="0" fontId="11" fillId="0" borderId="0">
      <alignment vertical="center"/>
    </xf>
    <xf numFmtId="166" fontId="7" fillId="0" borderId="0" applyFont="0" applyFill="0" applyBorder="0" applyAlignment="0" applyProtection="0"/>
    <xf numFmtId="0" fontId="65" fillId="0" borderId="0"/>
    <xf numFmtId="0" fontId="11" fillId="0" borderId="0">
      <alignment vertical="center"/>
    </xf>
    <xf numFmtId="0" fontId="64" fillId="0" borderId="0"/>
    <xf numFmtId="0" fontId="64" fillId="0" borderId="0"/>
    <xf numFmtId="0" fontId="64" fillId="0" borderId="0"/>
    <xf numFmtId="0" fontId="6" fillId="0" borderId="0"/>
    <xf numFmtId="166" fontId="6" fillId="0" borderId="0" applyFont="0" applyFill="0" applyBorder="0" applyAlignment="0" applyProtection="0"/>
  </cellStyleXfs>
  <cellXfs count="1694">
    <xf numFmtId="0" fontId="0" fillId="0" borderId="0" xfId="0"/>
    <xf numFmtId="0" fontId="8" fillId="0" borderId="0" xfId="0" applyFont="1"/>
    <xf numFmtId="0" fontId="9" fillId="0" borderId="0" xfId="0" applyFont="1"/>
    <xf numFmtId="0" fontId="10" fillId="0" borderId="0" xfId="0" applyFont="1"/>
    <xf numFmtId="0" fontId="9" fillId="0" borderId="0" xfId="0" applyFont="1" applyAlignment="1">
      <alignment horizontal="center"/>
    </xf>
    <xf numFmtId="14" fontId="21" fillId="6" borderId="1" xfId="3" applyNumberFormat="1" applyFont="1" applyFill="1" applyBorder="1" applyAlignment="1">
      <alignment horizontal="center" vertical="center" wrapText="1"/>
    </xf>
    <xf numFmtId="0" fontId="21" fillId="6" borderId="1" xfId="3" applyFont="1" applyFill="1" applyBorder="1" applyAlignment="1">
      <alignment horizontal="center" vertical="center" wrapText="1"/>
    </xf>
    <xf numFmtId="38" fontId="21" fillId="6" borderId="1" xfId="3" applyNumberFormat="1" applyFont="1" applyFill="1" applyBorder="1" applyAlignment="1">
      <alignment horizontal="center" vertical="center" wrapText="1"/>
    </xf>
    <xf numFmtId="0" fontId="9" fillId="0" borderId="0" xfId="3"/>
    <xf numFmtId="172" fontId="0" fillId="0" borderId="0" xfId="4" applyNumberFormat="1" applyFont="1"/>
    <xf numFmtId="14" fontId="22" fillId="0" borderId="2" xfId="3" applyNumberFormat="1" applyFont="1" applyBorder="1" applyAlignment="1">
      <alignment horizontal="center" vertical="center"/>
    </xf>
    <xf numFmtId="0" fontId="22" fillId="0" borderId="2" xfId="3" applyFont="1" applyBorder="1" applyAlignment="1">
      <alignment horizontal="left" vertical="center"/>
    </xf>
    <xf numFmtId="38" fontId="22" fillId="0" borderId="2" xfId="3" applyNumberFormat="1" applyFont="1" applyBorder="1" applyAlignment="1">
      <alignment horizontal="right" vertical="center"/>
    </xf>
    <xf numFmtId="172" fontId="9" fillId="0" borderId="0" xfId="3" applyNumberFormat="1"/>
    <xf numFmtId="0" fontId="9" fillId="0" borderId="0" xfId="3" applyAlignment="1">
      <alignment horizontal="left"/>
    </xf>
    <xf numFmtId="14" fontId="22" fillId="0" borderId="3" xfId="3" applyNumberFormat="1" applyFont="1" applyBorder="1" applyAlignment="1">
      <alignment horizontal="center" vertical="center"/>
    </xf>
    <xf numFmtId="38" fontId="22" fillId="0" borderId="3" xfId="3" applyNumberFormat="1" applyFont="1" applyBorder="1" applyAlignment="1">
      <alignment horizontal="right" vertical="center"/>
    </xf>
    <xf numFmtId="0" fontId="8" fillId="5" borderId="4" xfId="0" applyFont="1" applyFill="1" applyBorder="1" applyAlignment="1">
      <alignment horizontal="centerContinuous"/>
    </xf>
    <xf numFmtId="0" fontId="8" fillId="5" borderId="5" xfId="0" applyFont="1" applyFill="1" applyBorder="1" applyAlignment="1">
      <alignment horizontal="centerContinuous"/>
    </xf>
    <xf numFmtId="0" fontId="8" fillId="0" borderId="0" xfId="0" applyFont="1" applyAlignment="1">
      <alignment horizontal="center"/>
    </xf>
    <xf numFmtId="0" fontId="19" fillId="4" borderId="6" xfId="0" applyFont="1" applyFill="1" applyBorder="1" applyAlignment="1">
      <alignment vertical="center"/>
    </xf>
    <xf numFmtId="0" fontId="19" fillId="4" borderId="7" xfId="0" applyFont="1" applyFill="1" applyBorder="1" applyAlignment="1">
      <alignment vertical="center"/>
    </xf>
    <xf numFmtId="0" fontId="19" fillId="4" borderId="7" xfId="0" applyFont="1" applyFill="1" applyBorder="1" applyAlignment="1">
      <alignment horizontal="center" vertical="center"/>
    </xf>
    <xf numFmtId="0" fontId="19" fillId="2" borderId="7" xfId="0" applyFont="1" applyFill="1" applyBorder="1" applyAlignment="1">
      <alignment horizontal="center" vertical="center"/>
    </xf>
    <xf numFmtId="0" fontId="19" fillId="2" borderId="7" xfId="0" applyFont="1" applyFill="1" applyBorder="1" applyAlignment="1">
      <alignment horizontal="center" vertical="center" wrapText="1"/>
    </xf>
    <xf numFmtId="0" fontId="19" fillId="2" borderId="7" xfId="0" applyFont="1" applyFill="1" applyBorder="1" applyAlignment="1">
      <alignment vertical="center"/>
    </xf>
    <xf numFmtId="0" fontId="19" fillId="2" borderId="8" xfId="0" applyFont="1" applyFill="1" applyBorder="1" applyAlignment="1">
      <alignment vertical="center"/>
    </xf>
    <xf numFmtId="0" fontId="8" fillId="0" borderId="10" xfId="0" applyFont="1" applyBorder="1"/>
    <xf numFmtId="0" fontId="8" fillId="0" borderId="12" xfId="0" applyFont="1" applyBorder="1" applyAlignment="1">
      <alignment horizontal="center"/>
    </xf>
    <xf numFmtId="0" fontId="19" fillId="4" borderId="17" xfId="0" applyFont="1" applyFill="1" applyBorder="1" applyAlignment="1">
      <alignment vertical="center"/>
    </xf>
    <xf numFmtId="0" fontId="8" fillId="5" borderId="6" xfId="0" applyFont="1" applyFill="1" applyBorder="1" applyAlignment="1">
      <alignment horizontal="center" vertical="center"/>
    </xf>
    <xf numFmtId="0" fontId="8" fillId="5" borderId="8" xfId="0" applyFont="1" applyFill="1" applyBorder="1" applyAlignment="1">
      <alignment horizontal="center" vertical="center"/>
    </xf>
    <xf numFmtId="0" fontId="19" fillId="2" borderId="19" xfId="0" applyFont="1" applyFill="1" applyBorder="1" applyAlignment="1">
      <alignment vertical="center" wrapText="1"/>
    </xf>
    <xf numFmtId="0" fontId="9" fillId="0" borderId="0" xfId="0" applyFont="1" applyAlignment="1">
      <alignment vertical="center"/>
    </xf>
    <xf numFmtId="0" fontId="19" fillId="3" borderId="22" xfId="0" applyFont="1" applyFill="1" applyBorder="1" applyAlignment="1">
      <alignment horizontal="right" vertical="center" wrapText="1"/>
    </xf>
    <xf numFmtId="0" fontId="19" fillId="3" borderId="0" xfId="0" applyFont="1" applyFill="1" applyAlignment="1">
      <alignment vertical="center" wrapText="1"/>
    </xf>
    <xf numFmtId="0" fontId="24" fillId="0" borderId="0" xfId="0" applyFont="1" applyAlignment="1">
      <alignment horizontal="center"/>
    </xf>
    <xf numFmtId="0" fontId="25" fillId="0" borderId="0" xfId="0" applyFont="1"/>
    <xf numFmtId="0" fontId="26" fillId="0" borderId="0" xfId="0" applyFont="1"/>
    <xf numFmtId="0" fontId="26" fillId="0" borderId="0" xfId="0" applyFont="1" applyAlignment="1">
      <alignment horizontal="center"/>
    </xf>
    <xf numFmtId="0" fontId="19" fillId="2" borderId="22" xfId="0" applyFont="1" applyFill="1" applyBorder="1" applyAlignment="1">
      <alignment vertical="center"/>
    </xf>
    <xf numFmtId="14" fontId="20" fillId="5" borderId="22" xfId="0" applyNumberFormat="1" applyFont="1" applyFill="1" applyBorder="1" applyAlignment="1">
      <alignment horizontal="right" vertical="center" wrapText="1"/>
    </xf>
    <xf numFmtId="0" fontId="20" fillId="5" borderId="22" xfId="0" applyFont="1" applyFill="1" applyBorder="1" applyAlignment="1">
      <alignment horizontal="center" vertical="center"/>
    </xf>
    <xf numFmtId="172" fontId="8" fillId="11" borderId="23" xfId="0" applyNumberFormat="1" applyFont="1" applyFill="1" applyBorder="1"/>
    <xf numFmtId="172" fontId="26" fillId="11" borderId="23" xfId="0" applyNumberFormat="1" applyFont="1" applyFill="1" applyBorder="1"/>
    <xf numFmtId="172" fontId="25" fillId="11" borderId="23" xfId="1" applyNumberFormat="1" applyFont="1" applyFill="1" applyBorder="1"/>
    <xf numFmtId="0" fontId="26" fillId="11" borderId="23" xfId="0" applyFont="1" applyFill="1" applyBorder="1"/>
    <xf numFmtId="172" fontId="8" fillId="11" borderId="26" xfId="0" applyNumberFormat="1" applyFont="1" applyFill="1" applyBorder="1"/>
    <xf numFmtId="172" fontId="8" fillId="10" borderId="23" xfId="0" applyNumberFormat="1" applyFont="1" applyFill="1" applyBorder="1"/>
    <xf numFmtId="172" fontId="26" fillId="10" borderId="23" xfId="0" applyNumberFormat="1" applyFont="1" applyFill="1" applyBorder="1"/>
    <xf numFmtId="172" fontId="25" fillId="10" borderId="23" xfId="1" applyNumberFormat="1" applyFont="1" applyFill="1" applyBorder="1"/>
    <xf numFmtId="0" fontId="26" fillId="10" borderId="23" xfId="0" applyFont="1" applyFill="1" applyBorder="1"/>
    <xf numFmtId="172" fontId="8" fillId="10" borderId="26" xfId="0" applyNumberFormat="1" applyFont="1" applyFill="1" applyBorder="1"/>
    <xf numFmtId="0" fontId="8" fillId="12" borderId="24" xfId="0" applyFont="1" applyFill="1" applyBorder="1" applyAlignment="1">
      <alignment horizontal="center"/>
    </xf>
    <xf numFmtId="0" fontId="8" fillId="12" borderId="23" xfId="0" applyFont="1" applyFill="1" applyBorder="1"/>
    <xf numFmtId="0" fontId="26" fillId="12" borderId="24" xfId="0" applyFont="1" applyFill="1" applyBorder="1" applyAlignment="1">
      <alignment horizontal="center"/>
    </xf>
    <xf numFmtId="0" fontId="26" fillId="12" borderId="23" xfId="0" applyFont="1" applyFill="1" applyBorder="1"/>
    <xf numFmtId="0" fontId="25" fillId="12" borderId="24" xfId="0" applyFont="1" applyFill="1" applyBorder="1" applyAlignment="1">
      <alignment horizontal="center"/>
    </xf>
    <xf numFmtId="0" fontId="25" fillId="12" borderId="23" xfId="0" applyFont="1" applyFill="1" applyBorder="1"/>
    <xf numFmtId="0" fontId="8" fillId="12" borderId="25" xfId="0" applyFont="1" applyFill="1" applyBorder="1" applyAlignment="1">
      <alignment horizontal="center"/>
    </xf>
    <xf numFmtId="0" fontId="8" fillId="12" borderId="26" xfId="0" applyFont="1" applyFill="1" applyBorder="1"/>
    <xf numFmtId="172" fontId="23" fillId="7" borderId="27" xfId="1" applyNumberFormat="1" applyFont="1" applyFill="1" applyBorder="1"/>
    <xf numFmtId="0" fontId="19" fillId="2" borderId="28" xfId="0" applyFont="1" applyFill="1" applyBorder="1" applyAlignment="1">
      <alignment horizontal="center" vertical="center"/>
    </xf>
    <xf numFmtId="0" fontId="19" fillId="2" borderId="29" xfId="0" applyFont="1" applyFill="1" applyBorder="1" applyAlignment="1">
      <alignment horizontal="center" vertical="center"/>
    </xf>
    <xf numFmtId="14" fontId="19" fillId="3" borderId="29" xfId="0" applyNumberFormat="1" applyFont="1" applyFill="1" applyBorder="1" applyAlignment="1">
      <alignment horizontal="right" wrapText="1"/>
    </xf>
    <xf numFmtId="14" fontId="19" fillId="3" borderId="29" xfId="0" applyNumberFormat="1" applyFont="1" applyFill="1" applyBorder="1" applyAlignment="1">
      <alignment horizontal="right" vertical="center" wrapText="1"/>
    </xf>
    <xf numFmtId="14" fontId="20" fillId="5" borderId="29" xfId="0" applyNumberFormat="1" applyFont="1" applyFill="1" applyBorder="1" applyAlignment="1">
      <alignment horizontal="right" wrapText="1"/>
    </xf>
    <xf numFmtId="14" fontId="20" fillId="5" borderId="29" xfId="0" applyNumberFormat="1" applyFont="1" applyFill="1" applyBorder="1" applyAlignment="1">
      <alignment horizontal="right" vertical="center" wrapText="1"/>
    </xf>
    <xf numFmtId="172" fontId="8" fillId="11" borderId="27" xfId="0" applyNumberFormat="1" applyFont="1" applyFill="1" applyBorder="1"/>
    <xf numFmtId="172" fontId="8" fillId="10" borderId="27" xfId="0" applyNumberFormat="1" applyFont="1" applyFill="1" applyBorder="1"/>
    <xf numFmtId="172" fontId="8" fillId="10" borderId="31" xfId="0" applyNumberFormat="1" applyFont="1" applyFill="1" applyBorder="1"/>
    <xf numFmtId="172" fontId="23" fillId="10" borderId="27" xfId="1" applyNumberFormat="1" applyFont="1" applyFill="1" applyBorder="1"/>
    <xf numFmtId="172" fontId="23" fillId="10" borderId="31" xfId="0" applyNumberFormat="1" applyFont="1" applyFill="1" applyBorder="1"/>
    <xf numFmtId="172" fontId="8" fillId="10" borderId="33" xfId="0" applyNumberFormat="1" applyFont="1" applyFill="1" applyBorder="1"/>
    <xf numFmtId="172" fontId="8" fillId="10" borderId="34" xfId="0" applyNumberFormat="1" applyFont="1" applyFill="1" applyBorder="1"/>
    <xf numFmtId="0" fontId="8" fillId="12" borderId="27" xfId="0" applyFont="1" applyFill="1" applyBorder="1"/>
    <xf numFmtId="0" fontId="8" fillId="12" borderId="33" xfId="0" applyFont="1" applyFill="1" applyBorder="1"/>
    <xf numFmtId="0" fontId="8" fillId="0" borderId="0" xfId="0" applyFont="1" applyAlignment="1">
      <alignment horizontal="right"/>
    </xf>
    <xf numFmtId="0" fontId="8" fillId="0" borderId="35" xfId="0" applyFont="1" applyBorder="1" applyAlignment="1">
      <alignment horizontal="right"/>
    </xf>
    <xf numFmtId="171" fontId="27" fillId="0" borderId="41" xfId="0" applyNumberFormat="1" applyFont="1" applyBorder="1" applyAlignment="1">
      <alignment horizontal="center" vertical="center" wrapText="1" readingOrder="1"/>
    </xf>
    <xf numFmtId="0" fontId="28" fillId="0" borderId="41" xfId="0" applyFont="1" applyBorder="1" applyAlignment="1">
      <alignment horizontal="left" vertical="center" wrapText="1" readingOrder="1"/>
    </xf>
    <xf numFmtId="0" fontId="29" fillId="0" borderId="41" xfId="0" applyFont="1" applyBorder="1" applyAlignment="1">
      <alignment horizontal="left" vertical="center" wrapText="1" readingOrder="1"/>
    </xf>
    <xf numFmtId="171" fontId="30" fillId="0" borderId="41" xfId="0" applyNumberFormat="1" applyFont="1" applyBorder="1" applyAlignment="1">
      <alignment horizontal="right" vertical="center" wrapText="1" readingOrder="1"/>
    </xf>
    <xf numFmtId="0" fontId="31" fillId="0" borderId="41" xfId="0" applyFont="1" applyBorder="1" applyAlignment="1">
      <alignment horizontal="left" vertical="center" wrapText="1" readingOrder="1"/>
    </xf>
    <xf numFmtId="0" fontId="32" fillId="0" borderId="41" xfId="0" applyFont="1" applyBorder="1" applyAlignment="1">
      <alignment horizontal="left" vertical="center" wrapText="1" readingOrder="1"/>
    </xf>
    <xf numFmtId="171" fontId="33" fillId="0" borderId="41" xfId="0" applyNumberFormat="1" applyFont="1" applyBorder="1" applyAlignment="1">
      <alignment horizontal="right" vertical="center" wrapText="1" readingOrder="1"/>
    </xf>
    <xf numFmtId="171" fontId="27" fillId="0" borderId="37" xfId="0" applyNumberFormat="1" applyFont="1" applyBorder="1" applyAlignment="1">
      <alignment horizontal="center" vertical="center" wrapText="1" readingOrder="1"/>
    </xf>
    <xf numFmtId="0" fontId="27" fillId="0" borderId="36" xfId="0" applyFont="1" applyBorder="1" applyAlignment="1">
      <alignment vertical="center" wrapText="1" readingOrder="1"/>
    </xf>
    <xf numFmtId="171" fontId="27" fillId="0" borderId="37" xfId="0" applyNumberFormat="1" applyFont="1" applyBorder="1" applyAlignment="1">
      <alignment horizontal="centerContinuous" vertical="center" wrapText="1" readingOrder="1"/>
    </xf>
    <xf numFmtId="171" fontId="27" fillId="0" borderId="39" xfId="0" applyNumberFormat="1" applyFont="1" applyBorder="1" applyAlignment="1">
      <alignment horizontal="centerContinuous" vertical="center" wrapText="1" readingOrder="1"/>
    </xf>
    <xf numFmtId="171" fontId="27" fillId="0" borderId="38" xfId="0" applyNumberFormat="1" applyFont="1" applyBorder="1" applyAlignment="1">
      <alignment horizontal="centerContinuous" vertical="center" wrapText="1" readingOrder="1"/>
    </xf>
    <xf numFmtId="172" fontId="8" fillId="11" borderId="27" xfId="1" applyNumberFormat="1" applyFont="1" applyFill="1" applyBorder="1"/>
    <xf numFmtId="172" fontId="8" fillId="10" borderId="27" xfId="1" applyNumberFormat="1" applyFont="1" applyFill="1" applyBorder="1"/>
    <xf numFmtId="14" fontId="34" fillId="15" borderId="42" xfId="0" applyNumberFormat="1" applyFont="1" applyFill="1" applyBorder="1" applyAlignment="1">
      <alignment horizontal="center" vertical="center" wrapText="1"/>
    </xf>
    <xf numFmtId="0" fontId="34" fillId="15" borderId="42" xfId="0" applyFont="1" applyFill="1" applyBorder="1" applyAlignment="1">
      <alignment horizontal="center" vertical="center" wrapText="1"/>
    </xf>
    <xf numFmtId="38" fontId="34" fillId="15" borderId="42" xfId="0" applyNumberFormat="1" applyFont="1" applyFill="1" applyBorder="1" applyAlignment="1">
      <alignment horizontal="center" vertical="center" wrapText="1"/>
    </xf>
    <xf numFmtId="14" fontId="35" fillId="0" borderId="43" xfId="0" applyNumberFormat="1" applyFont="1" applyBorder="1" applyAlignment="1">
      <alignment horizontal="center" vertical="center"/>
    </xf>
    <xf numFmtId="0" fontId="35" fillId="0" borderId="43" xfId="0" applyFont="1" applyBorder="1" applyAlignment="1">
      <alignment horizontal="left" vertical="center"/>
    </xf>
    <xf numFmtId="38" fontId="35" fillId="0" borderId="43" xfId="0" applyNumberFormat="1" applyFont="1" applyBorder="1" applyAlignment="1">
      <alignment horizontal="right" vertical="center"/>
    </xf>
    <xf numFmtId="0" fontId="36" fillId="16" borderId="42" xfId="0" applyFont="1" applyFill="1" applyBorder="1" applyAlignment="1">
      <alignment horizontal="center" vertical="center" wrapText="1"/>
    </xf>
    <xf numFmtId="0" fontId="34" fillId="16" borderId="44" xfId="0" applyFont="1" applyFill="1" applyBorder="1" applyAlignment="1">
      <alignment horizontal="center" vertical="center" wrapText="1"/>
    </xf>
    <xf numFmtId="38" fontId="0" fillId="0" borderId="0" xfId="0" applyNumberFormat="1"/>
    <xf numFmtId="172" fontId="23" fillId="11" borderId="27" xfId="1" applyNumberFormat="1" applyFont="1" applyFill="1" applyBorder="1"/>
    <xf numFmtId="0" fontId="23" fillId="12" borderId="30" xfId="0" applyFont="1" applyFill="1" applyBorder="1" applyAlignment="1">
      <alignment horizontal="center"/>
    </xf>
    <xf numFmtId="0" fontId="23" fillId="12" borderId="27" xfId="0" applyFont="1" applyFill="1" applyBorder="1"/>
    <xf numFmtId="0" fontId="23" fillId="12" borderId="27" xfId="0" applyFont="1" applyFill="1" applyBorder="1" applyAlignment="1">
      <alignment horizontal="center"/>
    </xf>
    <xf numFmtId="0" fontId="23" fillId="4" borderId="27" xfId="0" applyFont="1" applyFill="1" applyBorder="1"/>
    <xf numFmtId="172" fontId="8" fillId="11" borderId="33" xfId="1" applyNumberFormat="1" applyFont="1" applyFill="1" applyBorder="1"/>
    <xf numFmtId="172" fontId="23" fillId="11" borderId="27" xfId="0" applyNumberFormat="1" applyFont="1" applyFill="1" applyBorder="1"/>
    <xf numFmtId="0" fontId="19" fillId="3" borderId="45" xfId="0" applyFont="1" applyFill="1" applyBorder="1" applyAlignment="1">
      <alignment horizontal="right" vertical="center" wrapText="1"/>
    </xf>
    <xf numFmtId="172" fontId="8" fillId="11" borderId="46" xfId="0" applyNumberFormat="1" applyFont="1" applyFill="1" applyBorder="1"/>
    <xf numFmtId="172" fontId="26" fillId="11" borderId="46" xfId="0" applyNumberFormat="1" applyFont="1" applyFill="1" applyBorder="1"/>
    <xf numFmtId="172" fontId="25" fillId="11" borderId="46" xfId="1" applyNumberFormat="1" applyFont="1" applyFill="1" applyBorder="1"/>
    <xf numFmtId="0" fontId="26" fillId="11" borderId="46" xfId="0" applyFont="1" applyFill="1" applyBorder="1"/>
    <xf numFmtId="172" fontId="8" fillId="11" borderId="47" xfId="0" applyNumberFormat="1" applyFont="1" applyFill="1" applyBorder="1"/>
    <xf numFmtId="0" fontId="8" fillId="4" borderId="49" xfId="0" applyFont="1" applyFill="1" applyBorder="1"/>
    <xf numFmtId="0" fontId="26" fillId="4" borderId="49" xfId="0" applyFont="1" applyFill="1" applyBorder="1"/>
    <xf numFmtId="0" fontId="25" fillId="4" borderId="49" xfId="0" applyFont="1" applyFill="1" applyBorder="1"/>
    <xf numFmtId="0" fontId="8" fillId="4" borderId="50" xfId="0" applyFont="1" applyFill="1" applyBorder="1"/>
    <xf numFmtId="14" fontId="19" fillId="3" borderId="51" xfId="0" applyNumberFormat="1" applyFont="1" applyFill="1" applyBorder="1" applyAlignment="1">
      <alignment horizontal="right" vertical="center" wrapText="1"/>
    </xf>
    <xf numFmtId="172" fontId="8" fillId="11" borderId="52" xfId="0" applyNumberFormat="1" applyFont="1" applyFill="1" applyBorder="1"/>
    <xf numFmtId="172" fontId="26" fillId="11" borderId="52" xfId="0" applyNumberFormat="1" applyFont="1" applyFill="1" applyBorder="1"/>
    <xf numFmtId="172" fontId="25" fillId="11" borderId="52" xfId="1" applyNumberFormat="1" applyFont="1" applyFill="1" applyBorder="1"/>
    <xf numFmtId="0" fontId="26" fillId="11" borderId="52" xfId="0" applyFont="1" applyFill="1" applyBorder="1"/>
    <xf numFmtId="172" fontId="8" fillId="11" borderId="53" xfId="0" applyNumberFormat="1" applyFont="1" applyFill="1" applyBorder="1"/>
    <xf numFmtId="14" fontId="20" fillId="5" borderId="45" xfId="0" applyNumberFormat="1" applyFont="1" applyFill="1" applyBorder="1" applyAlignment="1">
      <alignment horizontal="right" vertical="center" wrapText="1"/>
    </xf>
    <xf numFmtId="172" fontId="8" fillId="10" borderId="46" xfId="0" applyNumberFormat="1" applyFont="1" applyFill="1" applyBorder="1"/>
    <xf numFmtId="172" fontId="26" fillId="10" borderId="46" xfId="0" applyNumberFormat="1" applyFont="1" applyFill="1" applyBorder="1"/>
    <xf numFmtId="172" fontId="25" fillId="10" borderId="46" xfId="1" applyNumberFormat="1" applyFont="1" applyFill="1" applyBorder="1"/>
    <xf numFmtId="0" fontId="26" fillId="10" borderId="46" xfId="0" applyFont="1" applyFill="1" applyBorder="1"/>
    <xf numFmtId="172" fontId="8" fillId="10" borderId="47" xfId="0" applyNumberFormat="1" applyFont="1" applyFill="1" applyBorder="1"/>
    <xf numFmtId="14" fontId="20" fillId="5" borderId="51" xfId="0" applyNumberFormat="1" applyFont="1" applyFill="1" applyBorder="1" applyAlignment="1">
      <alignment horizontal="right" vertical="center" wrapText="1"/>
    </xf>
    <xf numFmtId="172" fontId="8" fillId="10" borderId="52" xfId="0" applyNumberFormat="1" applyFont="1" applyFill="1" applyBorder="1"/>
    <xf numFmtId="172" fontId="26" fillId="10" borderId="52" xfId="0" applyNumberFormat="1" applyFont="1" applyFill="1" applyBorder="1"/>
    <xf numFmtId="172" fontId="25" fillId="10" borderId="52" xfId="0" applyNumberFormat="1" applyFont="1" applyFill="1" applyBorder="1"/>
    <xf numFmtId="0" fontId="26" fillId="10" borderId="52" xfId="0" applyFont="1" applyFill="1" applyBorder="1"/>
    <xf numFmtId="172" fontId="8" fillId="10" borderId="53" xfId="0" applyNumberFormat="1" applyFont="1" applyFill="1" applyBorder="1"/>
    <xf numFmtId="0" fontId="19" fillId="3" borderId="0" xfId="0" quotePrefix="1" applyFont="1" applyFill="1" applyAlignment="1">
      <alignment horizontal="center" vertical="center"/>
    </xf>
    <xf numFmtId="0" fontId="19" fillId="3" borderId="0" xfId="0" applyFont="1" applyFill="1" applyAlignment="1">
      <alignment vertical="center"/>
    </xf>
    <xf numFmtId="0" fontId="8" fillId="4" borderId="0" xfId="0" applyFont="1" applyFill="1" applyAlignment="1">
      <alignment horizontal="center"/>
    </xf>
    <xf numFmtId="0" fontId="8" fillId="0" borderId="55" xfId="0" quotePrefix="1" applyFont="1" applyBorder="1"/>
    <xf numFmtId="0" fontId="19" fillId="2" borderId="57" xfId="0" applyFont="1" applyFill="1" applyBorder="1"/>
    <xf numFmtId="0" fontId="19" fillId="2" borderId="58" xfId="0" applyFont="1" applyFill="1" applyBorder="1"/>
    <xf numFmtId="0" fontId="8" fillId="0" borderId="59" xfId="0" applyFont="1" applyBorder="1"/>
    <xf numFmtId="0" fontId="8" fillId="0" borderId="60" xfId="0" applyFont="1" applyBorder="1"/>
    <xf numFmtId="0" fontId="8" fillId="0" borderId="61" xfId="0" quotePrefix="1" applyFont="1" applyBorder="1"/>
    <xf numFmtId="0" fontId="19" fillId="3" borderId="65" xfId="0" applyFont="1" applyFill="1" applyBorder="1" applyAlignment="1">
      <alignment horizontal="right" wrapText="1"/>
    </xf>
    <xf numFmtId="0" fontId="8" fillId="5" borderId="66" xfId="0" applyFont="1" applyFill="1" applyBorder="1" applyAlignment="1">
      <alignment horizontal="right" wrapText="1"/>
    </xf>
    <xf numFmtId="0" fontId="19" fillId="2" borderId="71" xfId="0" applyFont="1" applyFill="1" applyBorder="1"/>
    <xf numFmtId="0" fontId="8" fillId="0" borderId="56" xfId="0" applyFont="1" applyBorder="1"/>
    <xf numFmtId="0" fontId="8" fillId="0" borderId="56" xfId="0" applyFont="1" applyBorder="1" applyAlignment="1">
      <alignment wrapText="1"/>
    </xf>
    <xf numFmtId="0" fontId="8" fillId="0" borderId="72" xfId="0" applyFont="1" applyBorder="1"/>
    <xf numFmtId="0" fontId="19" fillId="3" borderId="0" xfId="0" applyFont="1" applyFill="1" applyAlignment="1">
      <alignment horizontal="right" wrapText="1"/>
    </xf>
    <xf numFmtId="0" fontId="19" fillId="3" borderId="0" xfId="0" applyFont="1" applyFill="1" applyAlignment="1">
      <alignment horizontal="center" wrapText="1"/>
    </xf>
    <xf numFmtId="0" fontId="19" fillId="17" borderId="65" xfId="0" applyFont="1" applyFill="1" applyBorder="1" applyAlignment="1">
      <alignment horizontal="right" wrapText="1"/>
    </xf>
    <xf numFmtId="0" fontId="19" fillId="18" borderId="66" xfId="0" applyFont="1" applyFill="1" applyBorder="1" applyAlignment="1">
      <alignment horizontal="right" wrapText="1"/>
    </xf>
    <xf numFmtId="172" fontId="8" fillId="19" borderId="68" xfId="1" applyNumberFormat="1" applyFont="1" applyFill="1" applyBorder="1"/>
    <xf numFmtId="172" fontId="8" fillId="19" borderId="68" xfId="0" applyNumberFormat="1" applyFont="1" applyFill="1" applyBorder="1"/>
    <xf numFmtId="172" fontId="8" fillId="10" borderId="68" xfId="1" applyNumberFormat="1" applyFont="1" applyFill="1" applyBorder="1"/>
    <xf numFmtId="172" fontId="8" fillId="10" borderId="68" xfId="0" applyNumberFormat="1" applyFont="1" applyFill="1" applyBorder="1"/>
    <xf numFmtId="172" fontId="8" fillId="10" borderId="70" xfId="1" applyNumberFormat="1" applyFont="1" applyFill="1" applyBorder="1"/>
    <xf numFmtId="172" fontId="8" fillId="11" borderId="67" xfId="1" applyNumberFormat="1" applyFont="1" applyFill="1" applyBorder="1"/>
    <xf numFmtId="172" fontId="8" fillId="11" borderId="67" xfId="0" applyNumberFormat="1" applyFont="1" applyFill="1" applyBorder="1"/>
    <xf numFmtId="172" fontId="8" fillId="11" borderId="69" xfId="1" applyNumberFormat="1" applyFont="1" applyFill="1" applyBorder="1"/>
    <xf numFmtId="172" fontId="8" fillId="20" borderId="67" xfId="1" applyNumberFormat="1" applyFont="1" applyFill="1" applyBorder="1"/>
    <xf numFmtId="172" fontId="8" fillId="20" borderId="67" xfId="0" applyNumberFormat="1" applyFont="1" applyFill="1" applyBorder="1"/>
    <xf numFmtId="172" fontId="8" fillId="20" borderId="69" xfId="1" applyNumberFormat="1" applyFont="1" applyFill="1" applyBorder="1"/>
    <xf numFmtId="0" fontId="8" fillId="0" borderId="63" xfId="0" applyFont="1" applyBorder="1" applyAlignment="1">
      <alignment horizontal="center"/>
    </xf>
    <xf numFmtId="0" fontId="8" fillId="0" borderId="64" xfId="0" applyFont="1" applyBorder="1" applyAlignment="1">
      <alignment horizontal="center"/>
    </xf>
    <xf numFmtId="172" fontId="8" fillId="19" borderId="70" xfId="1" applyNumberFormat="1" applyFont="1" applyFill="1" applyBorder="1"/>
    <xf numFmtId="0" fontId="19" fillId="17" borderId="0" xfId="0" applyFont="1" applyFill="1" applyAlignment="1">
      <alignment horizontal="center" wrapText="1"/>
    </xf>
    <xf numFmtId="0" fontId="19" fillId="3" borderId="0" xfId="0" applyFont="1" applyFill="1"/>
    <xf numFmtId="0" fontId="19" fillId="2" borderId="0" xfId="0" applyFont="1" applyFill="1"/>
    <xf numFmtId="14" fontId="19" fillId="3" borderId="0" xfId="0" applyNumberFormat="1" applyFont="1" applyFill="1" applyAlignment="1">
      <alignment horizontal="right" wrapText="1"/>
    </xf>
    <xf numFmtId="14" fontId="8" fillId="5" borderId="0" xfId="0" applyNumberFormat="1" applyFont="1" applyFill="1" applyAlignment="1">
      <alignment horizontal="right" wrapText="1"/>
    </xf>
    <xf numFmtId="172" fontId="8" fillId="0" borderId="0" xfId="1" applyNumberFormat="1" applyFont="1"/>
    <xf numFmtId="9" fontId="8" fillId="0" borderId="0" xfId="6" applyFont="1"/>
    <xf numFmtId="0" fontId="19" fillId="4" borderId="73" xfId="0" applyFont="1" applyFill="1" applyBorder="1" applyAlignment="1">
      <alignment vertical="center"/>
    </xf>
    <xf numFmtId="0" fontId="19" fillId="4" borderId="74" xfId="0" applyFont="1" applyFill="1" applyBorder="1" applyAlignment="1">
      <alignment vertical="center"/>
    </xf>
    <xf numFmtId="0" fontId="19" fillId="4" borderId="74" xfId="0" applyFont="1" applyFill="1" applyBorder="1" applyAlignment="1">
      <alignment horizontal="center" vertical="center"/>
    </xf>
    <xf numFmtId="0" fontId="19" fillId="4" borderId="75" xfId="0" applyFont="1" applyFill="1" applyBorder="1" applyAlignment="1">
      <alignment vertical="center"/>
    </xf>
    <xf numFmtId="0" fontId="19" fillId="2" borderId="21" xfId="0" applyFont="1" applyFill="1" applyBorder="1" applyAlignment="1">
      <alignment horizontal="center" vertical="center"/>
    </xf>
    <xf numFmtId="14" fontId="19" fillId="3" borderId="0" xfId="0" applyNumberFormat="1" applyFont="1" applyFill="1" applyAlignment="1">
      <alignment horizontal="centerContinuous"/>
    </xf>
    <xf numFmtId="0" fontId="19" fillId="3" borderId="0" xfId="0" applyFont="1" applyFill="1" applyAlignment="1">
      <alignment horizontal="centerContinuous"/>
    </xf>
    <xf numFmtId="0" fontId="19" fillId="3" borderId="0" xfId="0" applyFont="1" applyFill="1" applyAlignment="1">
      <alignment horizontal="center"/>
    </xf>
    <xf numFmtId="14" fontId="8" fillId="5" borderId="0" xfId="0" applyNumberFormat="1" applyFont="1" applyFill="1" applyAlignment="1">
      <alignment horizontal="centerContinuous"/>
    </xf>
    <xf numFmtId="0" fontId="8" fillId="5" borderId="0" xfId="0" applyFont="1" applyFill="1" applyAlignment="1">
      <alignment horizontal="centerContinuous"/>
    </xf>
    <xf numFmtId="0" fontId="8" fillId="5" borderId="0" xfId="0" applyFont="1" applyFill="1" applyAlignment="1">
      <alignment horizontal="center"/>
    </xf>
    <xf numFmtId="14" fontId="20" fillId="5" borderId="0" xfId="0" applyNumberFormat="1" applyFont="1" applyFill="1" applyAlignment="1">
      <alignment horizontal="right" wrapText="1"/>
    </xf>
    <xf numFmtId="0" fontId="20" fillId="5" borderId="0" xfId="0" applyFont="1" applyFill="1" applyAlignment="1">
      <alignment horizontal="right" wrapText="1"/>
    </xf>
    <xf numFmtId="0" fontId="8" fillId="5" borderId="0" xfId="0" applyFont="1" applyFill="1" applyAlignment="1">
      <alignment horizontal="right" wrapText="1"/>
    </xf>
    <xf numFmtId="0" fontId="19" fillId="3" borderId="0" xfId="0" applyFont="1" applyFill="1" applyAlignment="1">
      <alignment wrapText="1"/>
    </xf>
    <xf numFmtId="0" fontId="19" fillId="3" borderId="0" xfId="0" applyFont="1" applyFill="1" applyAlignment="1">
      <alignment horizontal="right"/>
    </xf>
    <xf numFmtId="0" fontId="39" fillId="2" borderId="0" xfId="0" quotePrefix="1" applyFont="1" applyFill="1" applyAlignment="1">
      <alignment horizontal="center" wrapText="1"/>
    </xf>
    <xf numFmtId="0" fontId="8" fillId="0" borderId="0" xfId="0" applyFont="1" applyAlignment="1">
      <alignment wrapText="1"/>
    </xf>
    <xf numFmtId="172" fontId="8" fillId="21" borderId="0" xfId="1" applyNumberFormat="1" applyFont="1" applyFill="1"/>
    <xf numFmtId="0" fontId="40" fillId="3" borderId="35" xfId="0" applyFont="1" applyFill="1" applyBorder="1"/>
    <xf numFmtId="0" fontId="40" fillId="3" borderId="35" xfId="0" applyFont="1" applyFill="1" applyBorder="1" applyAlignment="1">
      <alignment horizontal="right" wrapText="1"/>
    </xf>
    <xf numFmtId="0" fontId="40" fillId="3" borderId="35" xfId="0" applyFont="1" applyFill="1" applyBorder="1" applyAlignment="1">
      <alignment horizontal="right"/>
    </xf>
    <xf numFmtId="0" fontId="40" fillId="3" borderId="35" xfId="0" applyFont="1" applyFill="1" applyBorder="1" applyAlignment="1">
      <alignment horizontal="center" wrapText="1"/>
    </xf>
    <xf numFmtId="172" fontId="8" fillId="21" borderId="0" xfId="0" applyNumberFormat="1" applyFont="1" applyFill="1"/>
    <xf numFmtId="0" fontId="8" fillId="21" borderId="0" xfId="0" applyFont="1" applyFill="1"/>
    <xf numFmtId="172" fontId="8" fillId="10" borderId="0" xfId="1" applyNumberFormat="1" applyFont="1" applyFill="1"/>
    <xf numFmtId="172" fontId="8" fillId="10" borderId="0" xfId="0" applyNumberFormat="1" applyFont="1" applyFill="1"/>
    <xf numFmtId="172" fontId="8" fillId="5" borderId="4" xfId="1" applyNumberFormat="1" applyFont="1" applyFill="1" applyBorder="1" applyAlignment="1">
      <alignment horizontal="centerContinuous"/>
    </xf>
    <xf numFmtId="172" fontId="8" fillId="5" borderId="73" xfId="1" applyNumberFormat="1" applyFont="1" applyFill="1" applyBorder="1" applyAlignment="1">
      <alignment horizontal="center" vertical="center"/>
    </xf>
    <xf numFmtId="172" fontId="8" fillId="5" borderId="5" xfId="1" applyNumberFormat="1" applyFont="1" applyFill="1" applyBorder="1" applyAlignment="1">
      <alignment horizontal="centerContinuous"/>
    </xf>
    <xf numFmtId="172" fontId="8" fillId="5" borderId="76" xfId="1" applyNumberFormat="1" applyFont="1" applyFill="1" applyBorder="1" applyAlignment="1">
      <alignment horizontal="center" vertical="center"/>
    </xf>
    <xf numFmtId="0" fontId="8" fillId="0" borderId="0" xfId="0" applyFont="1" applyAlignment="1">
      <alignment horizontal="left"/>
    </xf>
    <xf numFmtId="0" fontId="19" fillId="3" borderId="29" xfId="0" applyFont="1" applyFill="1" applyBorder="1" applyAlignment="1">
      <alignment horizontal="right" vertical="center" wrapText="1"/>
    </xf>
    <xf numFmtId="0" fontId="20" fillId="5" borderId="29" xfId="0" applyFont="1" applyFill="1" applyBorder="1" applyAlignment="1">
      <alignment horizontal="right" vertical="center" wrapText="1"/>
    </xf>
    <xf numFmtId="172" fontId="11" fillId="21" borderId="0" xfId="1" applyNumberFormat="1" applyFont="1" applyFill="1"/>
    <xf numFmtId="172" fontId="11" fillId="10" borderId="0" xfId="1" applyNumberFormat="1" applyFont="1" applyFill="1"/>
    <xf numFmtId="0" fontId="19" fillId="22" borderId="0" xfId="0" applyFont="1" applyFill="1" applyAlignment="1">
      <alignment vertical="center"/>
    </xf>
    <xf numFmtId="0" fontId="19" fillId="22" borderId="0" xfId="0" applyFont="1" applyFill="1" applyAlignment="1">
      <alignment horizontal="right" vertical="center" wrapText="1"/>
    </xf>
    <xf numFmtId="0" fontId="19" fillId="23" borderId="0" xfId="0" applyFont="1" applyFill="1" applyAlignment="1">
      <alignment horizontal="right" vertical="center" wrapText="1"/>
    </xf>
    <xf numFmtId="0" fontId="44" fillId="0" borderId="0" xfId="29">
      <alignment vertical="center"/>
    </xf>
    <xf numFmtId="0" fontId="44" fillId="0" borderId="0" xfId="29" applyAlignment="1">
      <alignment horizontal="left" vertical="center"/>
    </xf>
    <xf numFmtId="0" fontId="17" fillId="24" borderId="0" xfId="29" applyFont="1" applyFill="1" applyAlignment="1">
      <alignment horizontal="left" vertical="top"/>
    </xf>
    <xf numFmtId="0" fontId="45" fillId="24" borderId="0" xfId="29" applyFont="1" applyFill="1" applyAlignment="1">
      <alignment horizontal="center" vertical="center"/>
    </xf>
    <xf numFmtId="0" fontId="46" fillId="24" borderId="0" xfId="29" applyFont="1" applyFill="1" applyAlignment="1">
      <alignment horizontal="center" vertical="center"/>
    </xf>
    <xf numFmtId="0" fontId="43" fillId="0" borderId="0" xfId="0" applyFont="1" applyAlignment="1">
      <alignment vertical="center"/>
    </xf>
    <xf numFmtId="0" fontId="17" fillId="24" borderId="81" xfId="29" applyFont="1" applyFill="1" applyBorder="1" applyAlignment="1">
      <alignment horizontal="left" vertical="top"/>
    </xf>
    <xf numFmtId="3" fontId="44" fillId="0" borderId="0" xfId="29" applyNumberFormat="1">
      <alignment vertical="center"/>
    </xf>
    <xf numFmtId="0" fontId="14" fillId="25" borderId="83" xfId="29" applyFont="1" applyFill="1" applyBorder="1" applyAlignment="1">
      <alignment horizontal="center" vertical="center" wrapText="1"/>
    </xf>
    <xf numFmtId="0" fontId="14" fillId="25" borderId="84" xfId="29" applyFont="1" applyFill="1" applyBorder="1" applyAlignment="1">
      <alignment horizontal="center" vertical="center" wrapText="1"/>
    </xf>
    <xf numFmtId="0" fontId="17" fillId="25" borderId="82" xfId="29" applyFont="1" applyFill="1" applyBorder="1" applyAlignment="1">
      <alignment horizontal="center" vertical="center" wrapText="1"/>
    </xf>
    <xf numFmtId="0" fontId="17" fillId="25" borderId="83" xfId="29" applyFont="1" applyFill="1" applyBorder="1" applyAlignment="1">
      <alignment horizontal="center" vertical="center" wrapText="1"/>
    </xf>
    <xf numFmtId="0" fontId="17" fillId="25" borderId="84" xfId="29" applyFont="1" applyFill="1" applyBorder="1" applyAlignment="1">
      <alignment horizontal="center" vertical="center" wrapText="1"/>
    </xf>
    <xf numFmtId="0" fontId="0" fillId="0" borderId="0" xfId="0" applyAlignment="1">
      <alignment vertical="center"/>
    </xf>
    <xf numFmtId="173" fontId="0" fillId="0" borderId="0" xfId="1" applyNumberFormat="1" applyFont="1" applyAlignment="1">
      <alignment vertical="center"/>
    </xf>
    <xf numFmtId="0" fontId="0" fillId="0" borderId="0" xfId="0" applyAlignment="1">
      <alignment horizontal="left" vertical="center"/>
    </xf>
    <xf numFmtId="173" fontId="0" fillId="0" borderId="0" xfId="1" applyNumberFormat="1" applyFont="1" applyAlignment="1">
      <alignment horizontal="left" vertical="center"/>
    </xf>
    <xf numFmtId="0" fontId="0" fillId="0" borderId="0" xfId="0" quotePrefix="1"/>
    <xf numFmtId="172" fontId="8" fillId="0" borderId="0" xfId="0" applyNumberFormat="1" applyFont="1"/>
    <xf numFmtId="172" fontId="8" fillId="7" borderId="0" xfId="1" applyNumberFormat="1" applyFont="1" applyFill="1"/>
    <xf numFmtId="172" fontId="8" fillId="4" borderId="27" xfId="1" applyNumberFormat="1" applyFont="1" applyFill="1" applyBorder="1"/>
    <xf numFmtId="172" fontId="8" fillId="11" borderId="0" xfId="1" applyNumberFormat="1" applyFont="1" applyFill="1"/>
    <xf numFmtId="172" fontId="8" fillId="20" borderId="0" xfId="1" applyNumberFormat="1" applyFont="1" applyFill="1"/>
    <xf numFmtId="172" fontId="8" fillId="4" borderId="33" xfId="1" applyNumberFormat="1" applyFont="1" applyFill="1" applyBorder="1"/>
    <xf numFmtId="0" fontId="47" fillId="25" borderId="90" xfId="0" applyFont="1" applyFill="1" applyBorder="1" applyAlignment="1">
      <alignment vertical="center"/>
    </xf>
    <xf numFmtId="0" fontId="47" fillId="25" borderId="91" xfId="0" applyFont="1" applyFill="1" applyBorder="1" applyAlignment="1">
      <alignment vertical="center"/>
    </xf>
    <xf numFmtId="0" fontId="47" fillId="25" borderId="92" xfId="0" applyFont="1" applyFill="1" applyBorder="1" applyAlignment="1">
      <alignment vertical="center"/>
    </xf>
    <xf numFmtId="0" fontId="47" fillId="25" borderId="93" xfId="0" applyFont="1" applyFill="1" applyBorder="1" applyAlignment="1">
      <alignment horizontal="center" vertical="center"/>
    </xf>
    <xf numFmtId="0" fontId="47" fillId="25" borderId="83" xfId="0" applyFont="1" applyFill="1" applyBorder="1" applyAlignment="1">
      <alignment horizontal="center" vertical="center"/>
    </xf>
    <xf numFmtId="0" fontId="47" fillId="25" borderId="83" xfId="0" applyFont="1" applyFill="1" applyBorder="1" applyAlignment="1">
      <alignment vertical="center"/>
    </xf>
    <xf numFmtId="0" fontId="47" fillId="25" borderId="94" xfId="0" applyFont="1" applyFill="1" applyBorder="1" applyAlignment="1">
      <alignment vertical="center"/>
    </xf>
    <xf numFmtId="0" fontId="43" fillId="0" borderId="0" xfId="0" applyFont="1" applyAlignment="1">
      <alignment horizontal="center" vertical="center"/>
    </xf>
    <xf numFmtId="0" fontId="43" fillId="0" borderId="0" xfId="0" applyFont="1"/>
    <xf numFmtId="0" fontId="47" fillId="25" borderId="40" xfId="0" applyFont="1" applyFill="1" applyBorder="1" applyAlignment="1">
      <alignment horizontal="center" vertical="center"/>
    </xf>
    <xf numFmtId="0" fontId="47" fillId="25" borderId="0" xfId="0" applyFont="1" applyFill="1" applyAlignment="1">
      <alignment horizontal="center" vertical="center"/>
    </xf>
    <xf numFmtId="0" fontId="47" fillId="25" borderId="95" xfId="0" applyFont="1" applyFill="1" applyBorder="1" applyAlignment="1">
      <alignment horizontal="center" vertical="center"/>
    </xf>
    <xf numFmtId="0" fontId="48" fillId="28" borderId="86" xfId="0" applyFont="1" applyFill="1" applyBorder="1" applyAlignment="1">
      <alignment horizontal="left" vertical="top"/>
    </xf>
    <xf numFmtId="4" fontId="48" fillId="28" borderId="86" xfId="0" applyNumberFormat="1" applyFont="1" applyFill="1" applyBorder="1" applyAlignment="1">
      <alignment horizontal="right" vertical="top"/>
    </xf>
    <xf numFmtId="0" fontId="48" fillId="28" borderId="97" xfId="0" applyFont="1" applyFill="1" applyBorder="1" applyAlignment="1">
      <alignment horizontal="left" vertical="top"/>
    </xf>
    <xf numFmtId="172" fontId="0" fillId="0" borderId="0" xfId="1" applyNumberFormat="1" applyFont="1"/>
    <xf numFmtId="0" fontId="0" fillId="0" borderId="0" xfId="0" pivotButton="1"/>
    <xf numFmtId="0" fontId="0" fillId="0" borderId="0" xfId="0" applyAlignment="1">
      <alignment horizontal="left"/>
    </xf>
    <xf numFmtId="172" fontId="0" fillId="0" borderId="0" xfId="0" applyNumberFormat="1"/>
    <xf numFmtId="0" fontId="19" fillId="2" borderId="29" xfId="0" applyFont="1" applyFill="1" applyBorder="1" applyAlignment="1">
      <alignment horizontal="center" vertical="center" wrapText="1"/>
    </xf>
    <xf numFmtId="0" fontId="19" fillId="2" borderId="98" xfId="0" applyFont="1" applyFill="1" applyBorder="1" applyAlignment="1">
      <alignment horizontal="center" vertical="center" wrapText="1"/>
    </xf>
    <xf numFmtId="0" fontId="23" fillId="12" borderId="99" xfId="0" quotePrefix="1" applyFont="1" applyFill="1" applyBorder="1" applyAlignment="1">
      <alignment horizontal="center"/>
    </xf>
    <xf numFmtId="0" fontId="11" fillId="12" borderId="27" xfId="0" quotePrefix="1" applyFont="1" applyFill="1" applyBorder="1"/>
    <xf numFmtId="0" fontId="11" fillId="12" borderId="27" xfId="0" applyFont="1" applyFill="1" applyBorder="1"/>
    <xf numFmtId="0" fontId="19" fillId="17" borderId="0" xfId="0" applyFont="1" applyFill="1" applyAlignment="1">
      <alignment horizontal="right" vertical="center" wrapText="1"/>
    </xf>
    <xf numFmtId="0" fontId="44" fillId="0" borderId="0" xfId="29" quotePrefix="1">
      <alignment vertical="center"/>
    </xf>
    <xf numFmtId="172" fontId="8" fillId="19" borderId="4" xfId="1" applyNumberFormat="1" applyFont="1" applyFill="1" applyBorder="1" applyAlignment="1">
      <alignment horizontal="centerContinuous"/>
    </xf>
    <xf numFmtId="172" fontId="8" fillId="19" borderId="5" xfId="1" applyNumberFormat="1" applyFont="1" applyFill="1" applyBorder="1" applyAlignment="1">
      <alignment horizontal="centerContinuous"/>
    </xf>
    <xf numFmtId="172" fontId="8" fillId="19" borderId="73" xfId="1" applyNumberFormat="1" applyFont="1" applyFill="1" applyBorder="1" applyAlignment="1">
      <alignment horizontal="center" vertical="center"/>
    </xf>
    <xf numFmtId="172" fontId="8" fillId="19" borderId="76" xfId="1" applyNumberFormat="1" applyFont="1" applyFill="1" applyBorder="1" applyAlignment="1">
      <alignment horizontal="center" vertical="center"/>
    </xf>
    <xf numFmtId="172" fontId="19" fillId="18" borderId="77" xfId="1" applyNumberFormat="1" applyFont="1" applyFill="1" applyBorder="1" applyAlignment="1">
      <alignment vertical="center" wrapText="1"/>
    </xf>
    <xf numFmtId="0" fontId="19" fillId="18" borderId="74" xfId="0" applyFont="1" applyFill="1" applyBorder="1" applyAlignment="1">
      <alignment horizontal="center" vertical="center"/>
    </xf>
    <xf numFmtId="0" fontId="19" fillId="18" borderId="7" xfId="0" applyFont="1" applyFill="1" applyBorder="1" applyAlignment="1">
      <alignment horizontal="center" vertical="center" wrapText="1"/>
    </xf>
    <xf numFmtId="0" fontId="19" fillId="18" borderId="7" xfId="0" applyFont="1" applyFill="1" applyBorder="1" applyAlignment="1">
      <alignment vertical="center"/>
    </xf>
    <xf numFmtId="0" fontId="19" fillId="18" borderId="8" xfId="0" applyFont="1" applyFill="1" applyBorder="1" applyAlignment="1">
      <alignment vertical="center"/>
    </xf>
    <xf numFmtId="0" fontId="23" fillId="0" borderId="0" xfId="0" applyFont="1"/>
    <xf numFmtId="0" fontId="23" fillId="12" borderId="30" xfId="0" applyFont="1" applyFill="1" applyBorder="1"/>
    <xf numFmtId="0" fontId="23" fillId="12" borderId="99" xfId="0" applyFont="1" applyFill="1" applyBorder="1"/>
    <xf numFmtId="0" fontId="10" fillId="12" borderId="27" xfId="0" applyFont="1" applyFill="1" applyBorder="1"/>
    <xf numFmtId="0" fontId="10" fillId="12" borderId="27" xfId="0" applyFont="1" applyFill="1" applyBorder="1" applyAlignment="1">
      <alignment horizontal="center"/>
    </xf>
    <xf numFmtId="172" fontId="10" fillId="11" borderId="27" xfId="1" applyNumberFormat="1" applyFont="1" applyFill="1" applyBorder="1"/>
    <xf numFmtId="0" fontId="10" fillId="4" borderId="27" xfId="0" applyFont="1" applyFill="1" applyBorder="1"/>
    <xf numFmtId="172" fontId="10" fillId="10" borderId="27" xfId="0" applyNumberFormat="1" applyFont="1" applyFill="1" applyBorder="1"/>
    <xf numFmtId="172" fontId="10" fillId="10" borderId="31" xfId="0" applyNumberFormat="1" applyFont="1" applyFill="1" applyBorder="1"/>
    <xf numFmtId="0" fontId="10" fillId="4" borderId="0" xfId="0" applyFont="1" applyFill="1"/>
    <xf numFmtId="172" fontId="10" fillId="7" borderId="0" xfId="1" applyNumberFormat="1" applyFont="1" applyFill="1"/>
    <xf numFmtId="172" fontId="10" fillId="4" borderId="27" xfId="1" applyNumberFormat="1" applyFont="1" applyFill="1" applyBorder="1"/>
    <xf numFmtId="172" fontId="10" fillId="11" borderId="0" xfId="1" applyNumberFormat="1" applyFont="1" applyFill="1"/>
    <xf numFmtId="172" fontId="10" fillId="20" borderId="0" xfId="1" applyNumberFormat="1" applyFont="1" applyFill="1"/>
    <xf numFmtId="172" fontId="23" fillId="7" borderId="0" xfId="1" applyNumberFormat="1" applyFont="1" applyFill="1"/>
    <xf numFmtId="0" fontId="19" fillId="22" borderId="0" xfId="0" applyFont="1" applyFill="1" applyAlignment="1">
      <alignment horizontal="right" vertical="center"/>
    </xf>
    <xf numFmtId="172" fontId="9" fillId="0" borderId="0" xfId="1" applyNumberFormat="1" applyFont="1" applyBorder="1"/>
    <xf numFmtId="0" fontId="0" fillId="0" borderId="0" xfId="0" applyAlignment="1">
      <alignment horizontal="center"/>
    </xf>
    <xf numFmtId="0" fontId="8" fillId="12" borderId="30" xfId="0" applyFont="1" applyFill="1" applyBorder="1"/>
    <xf numFmtId="0" fontId="8" fillId="12" borderId="99" xfId="0" applyFont="1" applyFill="1" applyBorder="1"/>
    <xf numFmtId="0" fontId="8" fillId="12" borderId="27" xfId="0" applyFont="1" applyFill="1" applyBorder="1" applyAlignment="1">
      <alignment horizontal="center"/>
    </xf>
    <xf numFmtId="0" fontId="8" fillId="4" borderId="27" xfId="0" applyFont="1" applyFill="1" applyBorder="1"/>
    <xf numFmtId="172" fontId="8" fillId="10" borderId="31" xfId="1" applyNumberFormat="1" applyFont="1" applyFill="1" applyBorder="1"/>
    <xf numFmtId="0" fontId="8" fillId="4" borderId="0" xfId="0" applyFont="1" applyFill="1"/>
    <xf numFmtId="0" fontId="8" fillId="5" borderId="0" xfId="0" applyFont="1" applyFill="1" applyAlignment="1">
      <alignment horizontal="center" vertical="center"/>
    </xf>
    <xf numFmtId="0" fontId="49" fillId="30" borderId="107" xfId="0" applyFont="1" applyFill="1" applyBorder="1" applyAlignment="1">
      <alignment wrapText="1"/>
    </xf>
    <xf numFmtId="0" fontId="49" fillId="30" borderId="108" xfId="0" applyFont="1" applyFill="1" applyBorder="1" applyAlignment="1">
      <alignment wrapText="1"/>
    </xf>
    <xf numFmtId="0" fontId="8" fillId="0" borderId="105" xfId="0" applyFont="1" applyBorder="1" applyAlignment="1">
      <alignment wrapText="1"/>
    </xf>
    <xf numFmtId="0" fontId="19" fillId="2" borderId="0" xfId="0" applyFont="1" applyFill="1" applyAlignment="1">
      <alignment horizontal="center" vertical="center" wrapText="1"/>
    </xf>
    <xf numFmtId="0" fontId="8" fillId="12" borderId="0" xfId="0" applyFont="1" applyFill="1"/>
    <xf numFmtId="0" fontId="10" fillId="12" borderId="0" xfId="0" applyFont="1" applyFill="1"/>
    <xf numFmtId="0" fontId="39" fillId="29" borderId="0" xfId="0" applyFont="1" applyFill="1"/>
    <xf numFmtId="0" fontId="19" fillId="29" borderId="0" xfId="0" applyFont="1" applyFill="1"/>
    <xf numFmtId="0" fontId="9" fillId="0" borderId="0" xfId="30"/>
    <xf numFmtId="172" fontId="9" fillId="0" borderId="0" xfId="30" applyNumberFormat="1"/>
    <xf numFmtId="3" fontId="9" fillId="0" borderId="0" xfId="30" applyNumberFormat="1"/>
    <xf numFmtId="0" fontId="8" fillId="0" borderId="0" xfId="30" applyFont="1"/>
    <xf numFmtId="14" fontId="8" fillId="0" borderId="0" xfId="0" applyNumberFormat="1" applyFont="1"/>
    <xf numFmtId="14" fontId="8" fillId="0" borderId="0" xfId="0" applyNumberFormat="1" applyFont="1" applyAlignment="1">
      <alignment horizontal="right"/>
    </xf>
    <xf numFmtId="0" fontId="8" fillId="12" borderId="101" xfId="0" applyFont="1" applyFill="1" applyBorder="1" applyAlignment="1">
      <alignment horizontal="center"/>
    </xf>
    <xf numFmtId="0" fontId="8" fillId="12" borderId="102" xfId="0" applyFont="1" applyFill="1" applyBorder="1"/>
    <xf numFmtId="0" fontId="8" fillId="12" borderId="103" xfId="0" applyFont="1" applyFill="1" applyBorder="1" applyAlignment="1">
      <alignment horizontal="center"/>
    </xf>
    <xf numFmtId="172" fontId="8" fillId="11" borderId="103" xfId="1" applyNumberFormat="1" applyFont="1" applyFill="1" applyBorder="1"/>
    <xf numFmtId="0" fontId="8" fillId="4" borderId="103" xfId="0" applyFont="1" applyFill="1" applyBorder="1"/>
    <xf numFmtId="172" fontId="8" fillId="10" borderId="103" xfId="1" applyNumberFormat="1" applyFont="1" applyFill="1" applyBorder="1"/>
    <xf numFmtId="172" fontId="8" fillId="10" borderId="104" xfId="1" applyNumberFormat="1" applyFont="1" applyFill="1" applyBorder="1"/>
    <xf numFmtId="0" fontId="8" fillId="12" borderId="0" xfId="0" applyFont="1" applyFill="1" applyAlignment="1">
      <alignment horizontal="center"/>
    </xf>
    <xf numFmtId="172" fontId="8" fillId="7" borderId="0" xfId="0" applyNumberFormat="1" applyFont="1" applyFill="1"/>
    <xf numFmtId="0" fontId="9" fillId="0" borderId="0" xfId="32"/>
    <xf numFmtId="0" fontId="39" fillId="2" borderId="0" xfId="0" applyFont="1" applyFill="1"/>
    <xf numFmtId="0" fontId="50" fillId="0" borderId="0" xfId="0" applyFont="1"/>
    <xf numFmtId="172" fontId="10" fillId="0" borderId="0" xfId="0" applyNumberFormat="1" applyFont="1"/>
    <xf numFmtId="0" fontId="19" fillId="2" borderId="113" xfId="0" applyFont="1" applyFill="1" applyBorder="1"/>
    <xf numFmtId="0" fontId="19" fillId="2" borderId="114" xfId="0" applyFont="1" applyFill="1" applyBorder="1"/>
    <xf numFmtId="0" fontId="19" fillId="2" borderId="115" xfId="0" applyFont="1" applyFill="1" applyBorder="1"/>
    <xf numFmtId="0" fontId="8" fillId="12" borderId="117" xfId="0" applyFont="1" applyFill="1" applyBorder="1"/>
    <xf numFmtId="0" fontId="8" fillId="12" borderId="109" xfId="0" applyFont="1" applyFill="1" applyBorder="1"/>
    <xf numFmtId="0" fontId="8" fillId="12" borderId="110" xfId="0" quotePrefix="1" applyFont="1" applyFill="1" applyBorder="1"/>
    <xf numFmtId="0" fontId="8" fillId="12" borderId="110" xfId="0" applyFont="1" applyFill="1" applyBorder="1"/>
    <xf numFmtId="0" fontId="8" fillId="12" borderId="110" xfId="0" applyFont="1" applyFill="1" applyBorder="1" applyAlignment="1">
      <alignment wrapText="1"/>
    </xf>
    <xf numFmtId="0" fontId="8" fillId="12" borderId="111" xfId="0" applyFont="1" applyFill="1" applyBorder="1"/>
    <xf numFmtId="0" fontId="8" fillId="12" borderId="112" xfId="0" quotePrefix="1" applyFont="1" applyFill="1" applyBorder="1"/>
    <xf numFmtId="0" fontId="8" fillId="12" borderId="112" xfId="0" applyFont="1" applyFill="1" applyBorder="1"/>
    <xf numFmtId="172" fontId="8" fillId="21" borderId="110" xfId="1" applyNumberFormat="1" applyFont="1" applyFill="1" applyBorder="1"/>
    <xf numFmtId="0" fontId="8" fillId="21" borderId="110" xfId="0" applyFont="1" applyFill="1" applyBorder="1"/>
    <xf numFmtId="172" fontId="8" fillId="21" borderId="110" xfId="0" applyNumberFormat="1" applyFont="1" applyFill="1" applyBorder="1"/>
    <xf numFmtId="172" fontId="8" fillId="21" borderId="119" xfId="0" applyNumberFormat="1" applyFont="1" applyFill="1" applyBorder="1"/>
    <xf numFmtId="0" fontId="8" fillId="21" borderId="119" xfId="0" applyFont="1" applyFill="1" applyBorder="1"/>
    <xf numFmtId="172" fontId="23" fillId="11" borderId="0" xfId="1" applyNumberFormat="1" applyFont="1" applyFill="1"/>
    <xf numFmtId="0" fontId="8" fillId="0" borderId="0" xfId="0" quotePrefix="1" applyFont="1"/>
    <xf numFmtId="0" fontId="25" fillId="0" borderId="0" xfId="0" quotePrefix="1" applyFont="1"/>
    <xf numFmtId="172" fontId="25" fillId="10" borderId="0" xfId="1" applyNumberFormat="1" applyFont="1" applyFill="1"/>
    <xf numFmtId="172" fontId="25" fillId="21" borderId="0" xfId="1" applyNumberFormat="1" applyFont="1" applyFill="1"/>
    <xf numFmtId="172" fontId="25" fillId="0" borderId="0" xfId="1" applyNumberFormat="1" applyFont="1"/>
    <xf numFmtId="0" fontId="11" fillId="0" borderId="0" xfId="0" applyFont="1"/>
    <xf numFmtId="0" fontId="25" fillId="0" borderId="0" xfId="0" quotePrefix="1" applyFont="1" applyAlignment="1">
      <alignment wrapText="1"/>
    </xf>
    <xf numFmtId="0" fontId="8" fillId="0" borderId="0" xfId="0" quotePrefix="1" applyFont="1" applyAlignment="1">
      <alignment horizontal="left"/>
    </xf>
    <xf numFmtId="0" fontId="8" fillId="0" borderId="123" xfId="0" applyFont="1" applyBorder="1" applyAlignment="1">
      <alignment horizontal="center"/>
    </xf>
    <xf numFmtId="0" fontId="8" fillId="0" borderId="124" xfId="0" applyFont="1" applyBorder="1"/>
    <xf numFmtId="0" fontId="0" fillId="0" borderId="124" xfId="0" applyBorder="1"/>
    <xf numFmtId="0" fontId="0" fillId="0" borderId="124" xfId="0" quotePrefix="1" applyBorder="1"/>
    <xf numFmtId="0" fontId="9" fillId="0" borderId="0" xfId="32" applyAlignment="1">
      <alignment wrapText="1"/>
    </xf>
    <xf numFmtId="172" fontId="23" fillId="0" borderId="0" xfId="0" applyNumberFormat="1" applyFont="1"/>
    <xf numFmtId="0" fontId="35" fillId="0" borderId="0" xfId="0" applyFont="1" applyAlignment="1">
      <alignment horizontal="left" vertical="center"/>
    </xf>
    <xf numFmtId="172" fontId="11" fillId="11" borderId="52" xfId="1" applyNumberFormat="1" applyFont="1" applyFill="1" applyBorder="1"/>
    <xf numFmtId="172" fontId="8" fillId="0" borderId="0" xfId="0" applyNumberFormat="1" applyFont="1" applyAlignment="1">
      <alignment horizontal="left"/>
    </xf>
    <xf numFmtId="172" fontId="26" fillId="10" borderId="52" xfId="1" applyNumberFormat="1" applyFont="1" applyFill="1" applyBorder="1"/>
    <xf numFmtId="0" fontId="73" fillId="12" borderId="27" xfId="0" applyFont="1" applyFill="1" applyBorder="1"/>
    <xf numFmtId="172" fontId="73" fillId="11" borderId="27" xfId="1" applyNumberFormat="1" applyFont="1" applyFill="1" applyBorder="1"/>
    <xf numFmtId="0" fontId="73" fillId="12" borderId="27" xfId="0" applyFont="1" applyFill="1" applyBorder="1" applyAlignment="1">
      <alignment vertical="center"/>
    </xf>
    <xf numFmtId="0" fontId="73" fillId="12" borderId="0" xfId="0" applyFont="1" applyFill="1" applyAlignment="1">
      <alignment vertical="center"/>
    </xf>
    <xf numFmtId="172" fontId="73" fillId="11" borderId="0" xfId="1" applyNumberFormat="1" applyFont="1" applyFill="1" applyBorder="1" applyAlignment="1">
      <alignment vertical="center"/>
    </xf>
    <xf numFmtId="172" fontId="0" fillId="0" borderId="142" xfId="1" applyNumberFormat="1" applyFont="1" applyBorder="1"/>
    <xf numFmtId="172" fontId="69" fillId="0" borderId="140" xfId="0" applyNumberFormat="1" applyFont="1" applyBorder="1"/>
    <xf numFmtId="0" fontId="10" fillId="0" borderId="141" xfId="0" applyFont="1" applyBorder="1" applyAlignment="1">
      <alignment vertical="center" wrapText="1"/>
    </xf>
    <xf numFmtId="172" fontId="23" fillId="5" borderId="0" xfId="0" applyNumberFormat="1" applyFont="1" applyFill="1"/>
    <xf numFmtId="172" fontId="8" fillId="0" borderId="0" xfId="1" applyNumberFormat="1" applyFont="1" applyFill="1" applyBorder="1"/>
    <xf numFmtId="0" fontId="71" fillId="0" borderId="139" xfId="0" applyFont="1" applyBorder="1" applyAlignment="1">
      <alignment vertical="center" wrapText="1"/>
    </xf>
    <xf numFmtId="172" fontId="0" fillId="0" borderId="142" xfId="1" applyNumberFormat="1" applyFont="1" applyBorder="1" applyAlignment="1">
      <alignment vertical="center"/>
    </xf>
    <xf numFmtId="0" fontId="71" fillId="5" borderId="139" xfId="0" applyFont="1" applyFill="1" applyBorder="1" applyAlignment="1">
      <alignment vertical="center" wrapText="1"/>
    </xf>
    <xf numFmtId="0" fontId="71" fillId="5" borderId="140" xfId="0" applyFont="1" applyFill="1" applyBorder="1" applyAlignment="1">
      <alignment horizontal="right" vertical="center" wrapText="1"/>
    </xf>
    <xf numFmtId="0" fontId="71" fillId="5" borderId="139" xfId="0" applyFont="1" applyFill="1" applyBorder="1" applyAlignment="1">
      <alignment horizontal="right" vertical="center" wrapText="1"/>
    </xf>
    <xf numFmtId="172" fontId="72" fillId="0" borderId="0" xfId="1" applyNumberFormat="1" applyFont="1" applyAlignment="1">
      <alignment horizontal="right" vertical="center" wrapText="1"/>
    </xf>
    <xf numFmtId="0" fontId="0" fillId="0" borderId="142" xfId="0" applyBorder="1" applyAlignment="1">
      <alignment vertical="center"/>
    </xf>
    <xf numFmtId="172" fontId="43" fillId="0" borderId="139" xfId="0" applyNumberFormat="1" applyFont="1" applyBorder="1"/>
    <xf numFmtId="172" fontId="0" fillId="0" borderId="143" xfId="0" applyNumberFormat="1" applyBorder="1" applyAlignment="1">
      <alignment vertical="center"/>
    </xf>
    <xf numFmtId="0" fontId="74" fillId="0" borderId="141" xfId="0" applyFont="1" applyBorder="1" applyAlignment="1">
      <alignment vertical="center"/>
    </xf>
    <xf numFmtId="0" fontId="0" fillId="0" borderId="142" xfId="0" applyBorder="1"/>
    <xf numFmtId="0" fontId="71" fillId="0" borderId="138" xfId="0" applyFont="1" applyBorder="1" applyAlignment="1">
      <alignment vertical="center" wrapText="1"/>
    </xf>
    <xf numFmtId="0" fontId="0" fillId="0" borderId="143" xfId="0" applyBorder="1"/>
    <xf numFmtId="0" fontId="71" fillId="5" borderId="138" xfId="0" applyFont="1" applyFill="1" applyBorder="1" applyAlignment="1">
      <alignment vertical="center" wrapText="1"/>
    </xf>
    <xf numFmtId="0" fontId="71" fillId="0" borderId="144" xfId="0" applyFont="1" applyBorder="1" applyAlignment="1">
      <alignment vertical="center" wrapText="1"/>
    </xf>
    <xf numFmtId="172" fontId="0" fillId="0" borderId="145" xfId="1" applyNumberFormat="1" applyFont="1" applyBorder="1"/>
    <xf numFmtId="0" fontId="0" fillId="0" borderId="145" xfId="0" applyBorder="1"/>
    <xf numFmtId="172" fontId="0" fillId="0" borderId="146" xfId="0" applyNumberFormat="1" applyBorder="1"/>
    <xf numFmtId="0" fontId="73" fillId="0" borderId="0" xfId="0" applyFont="1"/>
    <xf numFmtId="172" fontId="23" fillId="0" borderId="0" xfId="1" applyNumberFormat="1" applyFont="1" applyBorder="1"/>
    <xf numFmtId="0" fontId="8" fillId="0" borderId="125" xfId="0" applyFont="1" applyBorder="1"/>
    <xf numFmtId="0" fontId="0" fillId="0" borderId="134" xfId="0" quotePrefix="1" applyBorder="1"/>
    <xf numFmtId="0" fontId="8" fillId="0" borderId="133" xfId="0" applyFont="1" applyBorder="1" applyAlignment="1">
      <alignment horizontal="center"/>
    </xf>
    <xf numFmtId="0" fontId="8" fillId="0" borderId="134" xfId="0" applyFont="1" applyBorder="1"/>
    <xf numFmtId="0" fontId="0" fillId="0" borderId="134" xfId="0" applyBorder="1"/>
    <xf numFmtId="0" fontId="0" fillId="0" borderId="127" xfId="0" applyBorder="1"/>
    <xf numFmtId="0" fontId="0" fillId="0" borderId="0" xfId="0" quotePrefix="1" applyAlignment="1">
      <alignment horizontal="left"/>
    </xf>
    <xf numFmtId="172" fontId="23" fillId="20" borderId="0" xfId="1" applyNumberFormat="1" applyFont="1" applyFill="1"/>
    <xf numFmtId="0" fontId="9" fillId="0" borderId="81" xfId="3" applyBorder="1" applyAlignment="1">
      <alignment vertical="top"/>
    </xf>
    <xf numFmtId="171" fontId="9" fillId="0" borderId="0" xfId="3" applyNumberFormat="1"/>
    <xf numFmtId="0" fontId="11" fillId="0" borderId="0" xfId="2"/>
    <xf numFmtId="0" fontId="11" fillId="0" borderId="81" xfId="2" applyBorder="1" applyAlignment="1">
      <alignment vertical="top"/>
    </xf>
    <xf numFmtId="0" fontId="11" fillId="0" borderId="147" xfId="2" applyBorder="1" applyAlignment="1">
      <alignment vertical="top"/>
    </xf>
    <xf numFmtId="171" fontId="11" fillId="0" borderId="0" xfId="2" applyNumberFormat="1"/>
    <xf numFmtId="171" fontId="20" fillId="0" borderId="0" xfId="2" applyNumberFormat="1" applyFont="1"/>
    <xf numFmtId="0" fontId="80" fillId="0" borderId="0" xfId="133" applyFont="1" applyAlignment="1">
      <alignment horizontal="left"/>
    </xf>
    <xf numFmtId="0" fontId="43" fillId="0" borderId="0" xfId="133" applyFont="1"/>
    <xf numFmtId="0" fontId="56" fillId="0" borderId="0" xfId="133" applyFont="1"/>
    <xf numFmtId="0" fontId="56" fillId="0" borderId="0" xfId="133" applyFont="1" applyAlignment="1">
      <alignment horizontal="left"/>
    </xf>
    <xf numFmtId="0" fontId="80" fillId="0" borderId="0" xfId="133" applyFont="1"/>
    <xf numFmtId="172" fontId="56" fillId="0" borderId="0" xfId="4" applyNumberFormat="1" applyFont="1"/>
    <xf numFmtId="172" fontId="56" fillId="0" borderId="0" xfId="133" applyNumberFormat="1" applyFont="1"/>
    <xf numFmtId="0" fontId="38" fillId="0" borderId="0" xfId="3" applyFont="1" applyAlignment="1">
      <alignment horizontal="left"/>
    </xf>
    <xf numFmtId="0" fontId="80" fillId="0" borderId="148" xfId="133" applyFont="1" applyBorder="1" applyAlignment="1">
      <alignment horizontal="left"/>
    </xf>
    <xf numFmtId="49" fontId="80" fillId="0" borderId="148" xfId="133" applyNumberFormat="1" applyFont="1" applyBorder="1" applyAlignment="1">
      <alignment horizontal="left"/>
    </xf>
    <xf numFmtId="172" fontId="80" fillId="0" borderId="148" xfId="575" applyNumberFormat="1" applyFont="1" applyBorder="1" applyAlignment="1">
      <alignment horizontal="right"/>
    </xf>
    <xf numFmtId="0" fontId="38" fillId="0" borderId="0" xfId="3" quotePrefix="1" applyFont="1" applyAlignment="1">
      <alignment horizontal="left"/>
    </xf>
    <xf numFmtId="49" fontId="56" fillId="0" borderId="148" xfId="133" applyNumberFormat="1" applyFont="1" applyBorder="1" applyAlignment="1">
      <alignment horizontal="left"/>
    </xf>
    <xf numFmtId="172" fontId="56" fillId="0" borderId="148" xfId="575" applyNumberFormat="1" applyFont="1" applyBorder="1" applyAlignment="1">
      <alignment horizontal="right"/>
    </xf>
    <xf numFmtId="172" fontId="80" fillId="0" borderId="0" xfId="133" applyNumberFormat="1" applyFont="1"/>
    <xf numFmtId="0" fontId="38" fillId="0" borderId="0" xfId="3" applyFont="1"/>
    <xf numFmtId="0" fontId="56" fillId="0" borderId="149" xfId="133" applyFont="1" applyBorder="1"/>
    <xf numFmtId="172" fontId="56" fillId="0" borderId="149" xfId="575" applyNumberFormat="1" applyFont="1" applyBorder="1"/>
    <xf numFmtId="0" fontId="81" fillId="0" borderId="0" xfId="133" applyFont="1" applyAlignment="1">
      <alignment horizontal="center"/>
    </xf>
    <xf numFmtId="0" fontId="80" fillId="0" borderId="0" xfId="133" applyFont="1" applyAlignment="1">
      <alignment horizontal="center"/>
    </xf>
    <xf numFmtId="14" fontId="56" fillId="0" borderId="148" xfId="3" applyNumberFormat="1" applyFont="1" applyBorder="1" applyAlignment="1">
      <alignment horizontal="left"/>
    </xf>
    <xf numFmtId="49" fontId="56" fillId="0" borderId="148" xfId="3" applyNumberFormat="1" applyFont="1" applyBorder="1" applyAlignment="1">
      <alignment horizontal="left"/>
    </xf>
    <xf numFmtId="172" fontId="56" fillId="0" borderId="148" xfId="4" applyNumberFormat="1" applyFont="1" applyBorder="1" applyAlignment="1">
      <alignment horizontal="right"/>
    </xf>
    <xf numFmtId="0" fontId="11" fillId="0" borderId="150" xfId="3" applyFont="1" applyBorder="1" applyAlignment="1">
      <alignment horizontal="left" vertical="center"/>
    </xf>
    <xf numFmtId="180" fontId="56" fillId="0" borderId="148" xfId="3" applyNumberFormat="1" applyFont="1" applyBorder="1" applyAlignment="1">
      <alignment horizontal="right"/>
    </xf>
    <xf numFmtId="0" fontId="8" fillId="0" borderId="0" xfId="3" applyFont="1"/>
    <xf numFmtId="14" fontId="21" fillId="33" borderId="42" xfId="3" applyNumberFormat="1" applyFont="1" applyFill="1" applyBorder="1" applyAlignment="1">
      <alignment horizontal="center" vertical="center" wrapText="1"/>
    </xf>
    <xf numFmtId="0" fontId="21" fillId="33" borderId="42" xfId="3" applyFont="1" applyFill="1" applyBorder="1" applyAlignment="1">
      <alignment horizontal="center" vertical="center" wrapText="1"/>
    </xf>
    <xf numFmtId="38" fontId="21" fillId="33" borderId="42" xfId="3" applyNumberFormat="1" applyFont="1" applyFill="1" applyBorder="1" applyAlignment="1">
      <alignment horizontal="center" vertical="center" wrapText="1"/>
    </xf>
    <xf numFmtId="0" fontId="21" fillId="33" borderId="44" xfId="3" applyFont="1" applyFill="1" applyBorder="1" applyAlignment="1">
      <alignment horizontal="center" vertical="center" wrapText="1"/>
    </xf>
    <xf numFmtId="14" fontId="22" fillId="0" borderId="43" xfId="3" applyNumberFormat="1" applyFont="1" applyBorder="1" applyAlignment="1">
      <alignment horizontal="center" vertical="center"/>
    </xf>
    <xf numFmtId="0" fontId="22" fillId="0" borderId="43" xfId="3" applyFont="1" applyBorder="1" applyAlignment="1">
      <alignment horizontal="left" vertical="center"/>
    </xf>
    <xf numFmtId="38" fontId="22" fillId="0" borderId="43" xfId="3" applyNumberFormat="1" applyFont="1" applyBorder="1" applyAlignment="1">
      <alignment horizontal="right" vertical="center"/>
    </xf>
    <xf numFmtId="38" fontId="9" fillId="0" borderId="0" xfId="3" applyNumberFormat="1"/>
    <xf numFmtId="0" fontId="19" fillId="18" borderId="0" xfId="0" applyFont="1" applyFill="1" applyAlignment="1">
      <alignment horizontal="right" vertical="center" wrapText="1"/>
    </xf>
    <xf numFmtId="0" fontId="8" fillId="19" borderId="0" xfId="0" applyFont="1" applyFill="1"/>
    <xf numFmtId="172" fontId="8" fillId="19" borderId="0" xfId="1" applyNumberFormat="1" applyFont="1" applyFill="1"/>
    <xf numFmtId="172" fontId="23" fillId="19" borderId="0" xfId="1" applyNumberFormat="1" applyFont="1" applyFill="1"/>
    <xf numFmtId="172" fontId="23" fillId="4" borderId="27" xfId="1" applyNumberFormat="1" applyFont="1" applyFill="1" applyBorder="1"/>
    <xf numFmtId="172" fontId="8" fillId="4" borderId="103" xfId="1" applyNumberFormat="1" applyFont="1" applyFill="1" applyBorder="1"/>
    <xf numFmtId="0" fontId="8" fillId="12" borderId="30" xfId="0" applyFont="1" applyFill="1" applyBorder="1" applyAlignment="1">
      <alignment horizontal="center"/>
    </xf>
    <xf numFmtId="0" fontId="8" fillId="12" borderId="99" xfId="0" applyFont="1" applyFill="1" applyBorder="1" applyAlignment="1">
      <alignment horizontal="center"/>
    </xf>
    <xf numFmtId="0" fontId="8" fillId="12" borderId="32" xfId="0" applyFont="1" applyFill="1" applyBorder="1"/>
    <xf numFmtId="0" fontId="8" fillId="12" borderId="100" xfId="0" applyFont="1" applyFill="1" applyBorder="1"/>
    <xf numFmtId="0" fontId="8" fillId="12" borderId="33" xfId="0" applyFont="1" applyFill="1" applyBorder="1" applyAlignment="1">
      <alignment horizontal="center"/>
    </xf>
    <xf numFmtId="0" fontId="8" fillId="4" borderId="33" xfId="0" applyFont="1" applyFill="1" applyBorder="1"/>
    <xf numFmtId="0" fontId="56" fillId="0" borderId="0" xfId="133" quotePrefix="1" applyFont="1"/>
    <xf numFmtId="0" fontId="9" fillId="0" borderId="0" xfId="3" quotePrefix="1"/>
    <xf numFmtId="172" fontId="26" fillId="4" borderId="49" xfId="1" applyNumberFormat="1" applyFont="1" applyFill="1" applyBorder="1"/>
    <xf numFmtId="172" fontId="26" fillId="11" borderId="23" xfId="1" applyNumberFormat="1" applyFont="1" applyFill="1" applyBorder="1"/>
    <xf numFmtId="172" fontId="26" fillId="11" borderId="46" xfId="1" applyNumberFormat="1" applyFont="1" applyFill="1" applyBorder="1"/>
    <xf numFmtId="172" fontId="26" fillId="10" borderId="23" xfId="1" applyNumberFormat="1" applyFont="1" applyFill="1" applyBorder="1"/>
    <xf numFmtId="172" fontId="26" fillId="10" borderId="46" xfId="1" applyNumberFormat="1" applyFont="1" applyFill="1" applyBorder="1"/>
    <xf numFmtId="172" fontId="26" fillId="12" borderId="23" xfId="1" applyNumberFormat="1" applyFont="1" applyFill="1" applyBorder="1"/>
    <xf numFmtId="172" fontId="26" fillId="11" borderId="52" xfId="1" applyNumberFormat="1" applyFont="1" applyFill="1" applyBorder="1"/>
    <xf numFmtId="172" fontId="26" fillId="0" borderId="0" xfId="1" applyNumberFormat="1" applyFont="1"/>
    <xf numFmtId="172" fontId="26" fillId="0" borderId="0" xfId="1" applyNumberFormat="1" applyFont="1" applyAlignment="1">
      <alignment horizontal="center"/>
    </xf>
    <xf numFmtId="172" fontId="26" fillId="19" borderId="55" xfId="1" applyNumberFormat="1" applyFont="1" applyFill="1" applyBorder="1"/>
    <xf numFmtId="172" fontId="26" fillId="19" borderId="56" xfId="1" applyNumberFormat="1" applyFont="1" applyFill="1" applyBorder="1"/>
    <xf numFmtId="172" fontId="25" fillId="19" borderId="55" xfId="1" applyNumberFormat="1" applyFont="1" applyFill="1" applyBorder="1"/>
    <xf numFmtId="0" fontId="19" fillId="17" borderId="57" xfId="0" applyFont="1" applyFill="1" applyBorder="1" applyAlignment="1">
      <alignment horizontal="right" vertical="center" wrapText="1"/>
    </xf>
    <xf numFmtId="0" fontId="19" fillId="18" borderId="58" xfId="0" applyFont="1" applyFill="1" applyBorder="1" applyAlignment="1">
      <alignment horizontal="right" vertical="center" wrapText="1"/>
    </xf>
    <xf numFmtId="172" fontId="26" fillId="20" borderId="59" xfId="1" applyNumberFormat="1" applyFont="1" applyFill="1" applyBorder="1"/>
    <xf numFmtId="172" fontId="25" fillId="20" borderId="59" xfId="1" applyNumberFormat="1" applyFont="1" applyFill="1" applyBorder="1"/>
    <xf numFmtId="172" fontId="26" fillId="20" borderId="60" xfId="1" applyNumberFormat="1" applyFont="1" applyFill="1" applyBorder="1"/>
    <xf numFmtId="172" fontId="26" fillId="19" borderId="61" xfId="1" applyNumberFormat="1" applyFont="1" applyFill="1" applyBorder="1"/>
    <xf numFmtId="0" fontId="19" fillId="17" borderId="71" xfId="0" applyFont="1" applyFill="1" applyBorder="1" applyAlignment="1">
      <alignment horizontal="right" vertical="center" wrapText="1"/>
    </xf>
    <xf numFmtId="172" fontId="26" fillId="20" borderId="56" xfId="1" applyNumberFormat="1" applyFont="1" applyFill="1" applyBorder="1"/>
    <xf numFmtId="172" fontId="25" fillId="20" borderId="56" xfId="1" applyNumberFormat="1" applyFont="1" applyFill="1" applyBorder="1"/>
    <xf numFmtId="172" fontId="26" fillId="20" borderId="72" xfId="1" applyNumberFormat="1" applyFont="1" applyFill="1" applyBorder="1"/>
    <xf numFmtId="0" fontId="8" fillId="4" borderId="151" xfId="0" applyFont="1" applyFill="1" applyBorder="1"/>
    <xf numFmtId="0" fontId="26" fillId="4" borderId="151" xfId="0" applyFont="1" applyFill="1" applyBorder="1"/>
    <xf numFmtId="172" fontId="26" fillId="4" borderId="151" xfId="1" applyNumberFormat="1" applyFont="1" applyFill="1" applyBorder="1"/>
    <xf numFmtId="172" fontId="25" fillId="4" borderId="151" xfId="1" applyNumberFormat="1" applyFont="1" applyFill="1" applyBorder="1"/>
    <xf numFmtId="0" fontId="25" fillId="4" borderId="151" xfId="0" applyFont="1" applyFill="1" applyBorder="1"/>
    <xf numFmtId="172" fontId="26" fillId="4" borderId="153" xfId="1" applyNumberFormat="1" applyFont="1" applyFill="1" applyBorder="1"/>
    <xf numFmtId="0" fontId="19" fillId="17" borderId="154" xfId="0" applyFont="1" applyFill="1" applyBorder="1" applyAlignment="1">
      <alignment horizontal="right" vertical="center" wrapText="1"/>
    </xf>
    <xf numFmtId="172" fontId="26" fillId="20" borderId="155" xfId="1" applyNumberFormat="1" applyFont="1" applyFill="1" applyBorder="1"/>
    <xf numFmtId="172" fontId="25" fillId="20" borderId="155" xfId="0" applyNumberFormat="1" applyFont="1" applyFill="1" applyBorder="1"/>
    <xf numFmtId="0" fontId="19" fillId="18" borderId="71" xfId="0" applyFont="1" applyFill="1" applyBorder="1" applyAlignment="1">
      <alignment horizontal="right" vertical="center" wrapText="1"/>
    </xf>
    <xf numFmtId="172" fontId="25" fillId="19" borderId="56" xfId="1" applyNumberFormat="1" applyFont="1" applyFill="1" applyBorder="1"/>
    <xf numFmtId="172" fontId="26" fillId="19" borderId="72" xfId="1" applyNumberFormat="1" applyFont="1" applyFill="1" applyBorder="1"/>
    <xf numFmtId="0" fontId="19" fillId="18" borderId="154" xfId="0" applyFont="1" applyFill="1" applyBorder="1" applyAlignment="1">
      <alignment horizontal="right" vertical="center" wrapText="1"/>
    </xf>
    <xf numFmtId="172" fontId="26" fillId="19" borderId="155" xfId="1" applyNumberFormat="1" applyFont="1" applyFill="1" applyBorder="1"/>
    <xf numFmtId="172" fontId="25" fillId="19" borderId="155" xfId="0" applyNumberFormat="1" applyFont="1" applyFill="1" applyBorder="1"/>
    <xf numFmtId="172" fontId="82" fillId="19" borderId="155" xfId="0" applyNumberFormat="1" applyFont="1" applyFill="1" applyBorder="1"/>
    <xf numFmtId="172" fontId="23" fillId="19" borderId="155" xfId="0" applyNumberFormat="1" applyFont="1" applyFill="1" applyBorder="1"/>
    <xf numFmtId="0" fontId="19" fillId="17" borderId="57" xfId="0" applyFont="1" applyFill="1" applyBorder="1" applyAlignment="1">
      <alignment horizontal="center" vertical="center" wrapText="1"/>
    </xf>
    <xf numFmtId="0" fontId="19" fillId="2" borderId="0" xfId="0" applyFont="1" applyFill="1" applyAlignment="1">
      <alignment vertical="center"/>
    </xf>
    <xf numFmtId="0" fontId="19" fillId="3" borderId="0" xfId="0" applyFont="1" applyFill="1" applyAlignment="1">
      <alignment horizontal="right" vertical="center" wrapText="1"/>
    </xf>
    <xf numFmtId="14" fontId="20" fillId="5" borderId="0" xfId="0" applyNumberFormat="1" applyFont="1" applyFill="1" applyAlignment="1">
      <alignment horizontal="right" vertical="center" wrapText="1"/>
    </xf>
    <xf numFmtId="0" fontId="20" fillId="5" borderId="0" xfId="0" applyFont="1" applyFill="1" applyAlignment="1">
      <alignment horizontal="center" vertical="center"/>
    </xf>
    <xf numFmtId="172" fontId="8" fillId="11" borderId="0" xfId="1" applyNumberFormat="1" applyFont="1" applyFill="1" applyBorder="1"/>
    <xf numFmtId="172" fontId="8" fillId="11" borderId="0" xfId="0" applyNumberFormat="1" applyFont="1" applyFill="1"/>
    <xf numFmtId="172" fontId="8" fillId="10" borderId="0" xfId="1" applyNumberFormat="1" applyFont="1" applyFill="1" applyBorder="1"/>
    <xf numFmtId="0" fontId="8" fillId="13" borderId="0" xfId="0" applyFont="1" applyFill="1" applyAlignment="1">
      <alignment horizontal="center"/>
    </xf>
    <xf numFmtId="0" fontId="8" fillId="13" borderId="0" xfId="0" applyFont="1" applyFill="1"/>
    <xf numFmtId="172" fontId="8" fillId="9" borderId="0" xfId="0" applyNumberFormat="1" applyFont="1" applyFill="1"/>
    <xf numFmtId="172" fontId="8" fillId="5" borderId="0" xfId="0" applyNumberFormat="1" applyFont="1" applyFill="1"/>
    <xf numFmtId="172" fontId="8" fillId="9" borderId="0" xfId="1" applyNumberFormat="1" applyFont="1" applyFill="1" applyBorder="1"/>
    <xf numFmtId="172" fontId="8" fillId="5" borderId="0" xfId="1" applyNumberFormat="1" applyFont="1" applyFill="1" applyBorder="1"/>
    <xf numFmtId="0" fontId="19" fillId="17" borderId="113" xfId="0" applyFont="1" applyFill="1" applyBorder="1" applyAlignment="1">
      <alignment horizontal="right" vertical="center" wrapText="1"/>
    </xf>
    <xf numFmtId="0" fontId="8" fillId="34" borderId="0" xfId="0" applyFont="1" applyFill="1"/>
    <xf numFmtId="172" fontId="8" fillId="20" borderId="0" xfId="1" applyNumberFormat="1" applyFont="1" applyFill="1" applyBorder="1"/>
    <xf numFmtId="172" fontId="8" fillId="35" borderId="0" xfId="1" applyNumberFormat="1" applyFont="1" applyFill="1" applyBorder="1"/>
    <xf numFmtId="0" fontId="8" fillId="11" borderId="0" xfId="0" applyFont="1" applyFill="1"/>
    <xf numFmtId="0" fontId="8" fillId="10" borderId="0" xfId="0" applyFont="1" applyFill="1"/>
    <xf numFmtId="172" fontId="8" fillId="34" borderId="0" xfId="1" applyNumberFormat="1" applyFont="1" applyFill="1"/>
    <xf numFmtId="172" fontId="8" fillId="20" borderId="157" xfId="1" applyNumberFormat="1" applyFont="1" applyFill="1" applyBorder="1"/>
    <xf numFmtId="172" fontId="8" fillId="35" borderId="157" xfId="1" applyNumberFormat="1" applyFont="1" applyFill="1" applyBorder="1"/>
    <xf numFmtId="172" fontId="8" fillId="35" borderId="158" xfId="1" applyNumberFormat="1" applyFont="1" applyFill="1" applyBorder="1"/>
    <xf numFmtId="172" fontId="8" fillId="19" borderId="157" xfId="0" applyNumberFormat="1" applyFont="1" applyFill="1" applyBorder="1"/>
    <xf numFmtId="172" fontId="8" fillId="34" borderId="157" xfId="1" applyNumberFormat="1" applyFont="1" applyFill="1" applyBorder="1"/>
    <xf numFmtId="172" fontId="8" fillId="19" borderId="157" xfId="1" applyNumberFormat="1" applyFont="1" applyFill="1" applyBorder="1"/>
    <xf numFmtId="0" fontId="8" fillId="19" borderId="157" xfId="0" applyFont="1" applyFill="1" applyBorder="1"/>
    <xf numFmtId="0" fontId="19" fillId="17" borderId="0" xfId="0" applyFont="1" applyFill="1" applyAlignment="1">
      <alignment horizontal="left" vertical="center" wrapText="1"/>
    </xf>
    <xf numFmtId="14" fontId="19" fillId="3" borderId="159" xfId="0" applyNumberFormat="1" applyFont="1" applyFill="1" applyBorder="1" applyAlignment="1">
      <alignment horizontal="right" vertical="center" wrapText="1"/>
    </xf>
    <xf numFmtId="172" fontId="8" fillId="11" borderId="157" xfId="0" applyNumberFormat="1" applyFont="1" applyFill="1" applyBorder="1"/>
    <xf numFmtId="172" fontId="8" fillId="9" borderId="157" xfId="0" applyNumberFormat="1" applyFont="1" applyFill="1" applyBorder="1"/>
    <xf numFmtId="172" fontId="8" fillId="9" borderId="157" xfId="1" applyNumberFormat="1" applyFont="1" applyFill="1" applyBorder="1"/>
    <xf numFmtId="172" fontId="8" fillId="11" borderId="157" xfId="1" applyNumberFormat="1" applyFont="1" applyFill="1" applyBorder="1"/>
    <xf numFmtId="0" fontId="8" fillId="11" borderId="157" xfId="0" applyFont="1" applyFill="1" applyBorder="1"/>
    <xf numFmtId="172" fontId="8" fillId="9" borderId="158" xfId="0" applyNumberFormat="1" applyFont="1" applyFill="1" applyBorder="1"/>
    <xf numFmtId="14" fontId="20" fillId="5" borderId="159" xfId="0" applyNumberFormat="1" applyFont="1" applyFill="1" applyBorder="1" applyAlignment="1">
      <alignment horizontal="right" vertical="center" wrapText="1"/>
    </xf>
    <xf numFmtId="172" fontId="8" fillId="10" borderId="157" xfId="0" applyNumberFormat="1" applyFont="1" applyFill="1" applyBorder="1"/>
    <xf numFmtId="172" fontId="8" fillId="5" borderId="157" xfId="0" applyNumberFormat="1" applyFont="1" applyFill="1" applyBorder="1"/>
    <xf numFmtId="172" fontId="8" fillId="5" borderId="157" xfId="1" applyNumberFormat="1" applyFont="1" applyFill="1" applyBorder="1"/>
    <xf numFmtId="172" fontId="8" fillId="10" borderId="157" xfId="1" applyNumberFormat="1" applyFont="1" applyFill="1" applyBorder="1"/>
    <xf numFmtId="0" fontId="8" fillId="10" borderId="157" xfId="0" applyFont="1" applyFill="1" applyBorder="1"/>
    <xf numFmtId="172" fontId="8" fillId="5" borderId="158" xfId="0" applyNumberFormat="1" applyFont="1" applyFill="1" applyBorder="1"/>
    <xf numFmtId="172" fontId="8" fillId="20" borderId="0" xfId="0" applyNumberFormat="1" applyFont="1" applyFill="1"/>
    <xf numFmtId="0" fontId="19" fillId="17" borderId="160" xfId="0" applyFont="1" applyFill="1" applyBorder="1" applyAlignment="1">
      <alignment horizontal="right" wrapText="1"/>
    </xf>
    <xf numFmtId="0" fontId="19" fillId="17" borderId="5" xfId="0" applyFont="1" applyFill="1" applyBorder="1" applyAlignment="1">
      <alignment horizontal="right" wrapText="1"/>
    </xf>
    <xf numFmtId="172" fontId="8" fillId="20" borderId="162" xfId="0" applyNumberFormat="1" applyFont="1" applyFill="1" applyBorder="1"/>
    <xf numFmtId="0" fontId="19" fillId="17" borderId="0" xfId="0" applyFont="1" applyFill="1" applyAlignment="1">
      <alignment vertical="center"/>
    </xf>
    <xf numFmtId="0" fontId="19" fillId="17" borderId="0" xfId="0" applyFont="1" applyFill="1" applyAlignment="1">
      <alignment horizontal="right" vertical="center"/>
    </xf>
    <xf numFmtId="0" fontId="19" fillId="17" borderId="0" xfId="0" applyFont="1" applyFill="1" applyAlignment="1">
      <alignment vertical="center" wrapText="1"/>
    </xf>
    <xf numFmtId="0" fontId="19" fillId="2" borderId="62" xfId="0" applyFont="1" applyFill="1" applyBorder="1" applyAlignment="1">
      <alignment horizontal="center" vertical="center" wrapText="1"/>
    </xf>
    <xf numFmtId="14" fontId="19" fillId="17" borderId="0" xfId="0" applyNumberFormat="1" applyFont="1" applyFill="1" applyAlignment="1">
      <alignment horizontal="right" wrapText="1"/>
    </xf>
    <xf numFmtId="14" fontId="19" fillId="17" borderId="0" xfId="0" applyNumberFormat="1" applyFont="1" applyFill="1" applyAlignment="1">
      <alignment horizontal="centerContinuous"/>
    </xf>
    <xf numFmtId="0" fontId="19" fillId="17" borderId="0" xfId="0" applyFont="1" applyFill="1" applyAlignment="1">
      <alignment horizontal="centerContinuous"/>
    </xf>
    <xf numFmtId="0" fontId="19" fillId="17" borderId="0" xfId="0" applyFont="1" applyFill="1" applyAlignment="1">
      <alignment horizontal="center"/>
    </xf>
    <xf numFmtId="0" fontId="19" fillId="17" borderId="0" xfId="0" applyFont="1" applyFill="1" applyAlignment="1">
      <alignment horizontal="right" wrapText="1"/>
    </xf>
    <xf numFmtId="14" fontId="19" fillId="18" borderId="0" xfId="0" applyNumberFormat="1" applyFont="1" applyFill="1" applyAlignment="1">
      <alignment horizontal="right" wrapText="1"/>
    </xf>
    <xf numFmtId="14" fontId="19" fillId="18" borderId="0" xfId="0" applyNumberFormat="1" applyFont="1" applyFill="1" applyAlignment="1">
      <alignment horizontal="centerContinuous"/>
    </xf>
    <xf numFmtId="0" fontId="19" fillId="18" borderId="0" xfId="0" applyFont="1" applyFill="1" applyAlignment="1">
      <alignment horizontal="centerContinuous"/>
    </xf>
    <xf numFmtId="0" fontId="19" fillId="18" borderId="0" xfId="0" applyFont="1" applyFill="1" applyAlignment="1">
      <alignment horizontal="center"/>
    </xf>
    <xf numFmtId="0" fontId="19" fillId="18" borderId="0" xfId="0" applyFont="1" applyFill="1" applyAlignment="1">
      <alignment horizontal="right" wrapText="1"/>
    </xf>
    <xf numFmtId="172" fontId="25" fillId="19" borderId="0" xfId="1" applyNumberFormat="1" applyFont="1" applyFill="1"/>
    <xf numFmtId="172" fontId="8" fillId="19" borderId="0" xfId="0" applyNumberFormat="1" applyFont="1" applyFill="1"/>
    <xf numFmtId="172" fontId="11" fillId="20" borderId="0" xfId="1" applyNumberFormat="1" applyFont="1" applyFill="1"/>
    <xf numFmtId="172" fontId="25" fillId="20" borderId="0" xfId="1" applyNumberFormat="1" applyFont="1" applyFill="1"/>
    <xf numFmtId="0" fontId="8" fillId="20" borderId="0" xfId="0" applyFont="1" applyFill="1"/>
    <xf numFmtId="0" fontId="8" fillId="0" borderId="0" xfId="0" applyFont="1" applyAlignment="1">
      <alignment horizontal="justify" vertical="center" wrapText="1"/>
    </xf>
    <xf numFmtId="0" fontId="8" fillId="0" borderId="0" xfId="0" applyFont="1" applyAlignment="1">
      <alignment horizontal="center" wrapText="1"/>
    </xf>
    <xf numFmtId="0" fontId="19" fillId="2" borderId="0" xfId="0" quotePrefix="1" applyFont="1" applyFill="1"/>
    <xf numFmtId="0" fontId="8" fillId="0" borderId="0" xfId="0" applyFont="1" applyAlignment="1">
      <alignment vertical="center" wrapText="1"/>
    </xf>
    <xf numFmtId="0" fontId="8" fillId="0" borderId="0" xfId="0" applyFont="1" applyAlignment="1">
      <alignment horizontal="right" vertical="center" wrapText="1"/>
    </xf>
    <xf numFmtId="0" fontId="40" fillId="17" borderId="35" xfId="0" applyFont="1" applyFill="1" applyBorder="1"/>
    <xf numFmtId="0" fontId="40" fillId="17" borderId="35" xfId="0" applyFont="1" applyFill="1" applyBorder="1" applyAlignment="1">
      <alignment horizontal="right" wrapText="1"/>
    </xf>
    <xf numFmtId="0" fontId="40" fillId="17" borderId="35" xfId="0" applyFont="1" applyFill="1" applyBorder="1" applyAlignment="1">
      <alignment horizontal="right"/>
    </xf>
    <xf numFmtId="0" fontId="40" fillId="17" borderId="35" xfId="0" applyFont="1" applyFill="1" applyBorder="1" applyAlignment="1">
      <alignment horizontal="center" wrapText="1"/>
    </xf>
    <xf numFmtId="0" fontId="19" fillId="17" borderId="0" xfId="0" applyFont="1" applyFill="1"/>
    <xf numFmtId="0" fontId="19" fillId="17" borderId="0" xfId="0" applyFont="1" applyFill="1" applyAlignment="1">
      <alignment horizontal="right"/>
    </xf>
    <xf numFmtId="0" fontId="19" fillId="17" borderId="0" xfId="0" applyFont="1" applyFill="1" applyAlignment="1">
      <alignment wrapText="1"/>
    </xf>
    <xf numFmtId="0" fontId="23" fillId="5" borderId="99" xfId="0" applyFont="1" applyFill="1" applyBorder="1" applyAlignment="1">
      <alignment horizontal="center"/>
    </xf>
    <xf numFmtId="0" fontId="25" fillId="0" borderId="0" xfId="0" applyFont="1" applyAlignment="1">
      <alignment vertical="center"/>
    </xf>
    <xf numFmtId="0" fontId="23" fillId="0" borderId="0" xfId="0" applyFont="1" applyAlignment="1">
      <alignment horizontal="center"/>
    </xf>
    <xf numFmtId="172" fontId="82" fillId="19" borderId="0" xfId="1" applyNumberFormat="1" applyFont="1" applyFill="1"/>
    <xf numFmtId="0" fontId="8" fillId="0" borderId="0" xfId="0" applyFont="1" applyAlignment="1">
      <alignment horizontal="center" vertical="center"/>
    </xf>
    <xf numFmtId="0" fontId="56" fillId="0" borderId="0" xfId="133" quotePrefix="1" applyFont="1" applyAlignment="1">
      <alignment horizontal="left"/>
    </xf>
    <xf numFmtId="0" fontId="11" fillId="0" borderId="27" xfId="0" applyFont="1" applyBorder="1"/>
    <xf numFmtId="0" fontId="11" fillId="0" borderId="0" xfId="0" applyFont="1" applyAlignment="1">
      <alignment horizontal="right"/>
    </xf>
    <xf numFmtId="172" fontId="11" fillId="0" borderId="0" xfId="1" applyNumberFormat="1" applyFont="1"/>
    <xf numFmtId="172" fontId="23" fillId="0" borderId="0" xfId="1" applyNumberFormat="1" applyFont="1" applyFill="1"/>
    <xf numFmtId="4" fontId="44" fillId="0" borderId="0" xfId="29" applyNumberFormat="1">
      <alignment vertical="center"/>
    </xf>
    <xf numFmtId="0" fontId="20" fillId="37" borderId="0" xfId="0" applyFont="1" applyFill="1" applyAlignment="1">
      <alignment horizontal="right" wrapText="1"/>
    </xf>
    <xf numFmtId="0" fontId="8" fillId="36" borderId="0" xfId="0" applyFont="1" applyFill="1" applyAlignment="1">
      <alignment horizontal="center"/>
    </xf>
    <xf numFmtId="0" fontId="8" fillId="38" borderId="0" xfId="0" applyFont="1" applyFill="1" applyAlignment="1">
      <alignment horizontal="center"/>
    </xf>
    <xf numFmtId="0" fontId="25" fillId="39" borderId="0" xfId="0" applyFont="1" applyFill="1"/>
    <xf numFmtId="0" fontId="25" fillId="37" borderId="0" xfId="0" applyFont="1" applyFill="1"/>
    <xf numFmtId="172" fontId="25" fillId="37" borderId="0" xfId="1" applyNumberFormat="1" applyFont="1" applyFill="1"/>
    <xf numFmtId="0" fontId="40" fillId="17" borderId="0" xfId="0" applyFont="1" applyFill="1" applyAlignment="1">
      <alignment horizontal="right" vertical="center" wrapText="1"/>
    </xf>
    <xf numFmtId="0" fontId="40" fillId="18" borderId="0" xfId="0" applyFont="1" applyFill="1" applyAlignment="1">
      <alignment horizontal="right" vertical="center" wrapText="1"/>
    </xf>
    <xf numFmtId="3" fontId="72" fillId="20" borderId="0" xfId="0" applyNumberFormat="1" applyFont="1" applyFill="1" applyAlignment="1">
      <alignment horizontal="right" vertical="center" wrapText="1"/>
    </xf>
    <xf numFmtId="3" fontId="72" fillId="19" borderId="0" xfId="0" applyNumberFormat="1" applyFont="1" applyFill="1" applyAlignment="1">
      <alignment horizontal="right" vertical="center" wrapText="1"/>
    </xf>
    <xf numFmtId="0" fontId="19" fillId="29" borderId="0" xfId="0" applyFont="1" applyFill="1" applyAlignment="1">
      <alignment horizontal="left" wrapText="1"/>
    </xf>
    <xf numFmtId="0" fontId="19" fillId="29" borderId="0" xfId="0" applyFont="1" applyFill="1" applyAlignment="1">
      <alignment horizontal="right" wrapText="1"/>
    </xf>
    <xf numFmtId="0" fontId="8" fillId="7" borderId="0" xfId="0" applyFont="1" applyFill="1"/>
    <xf numFmtId="172" fontId="25" fillId="20" borderId="0" xfId="0" applyNumberFormat="1" applyFont="1" applyFill="1"/>
    <xf numFmtId="172" fontId="25" fillId="19" borderId="35" xfId="0" applyNumberFormat="1" applyFont="1" applyFill="1" applyBorder="1"/>
    <xf numFmtId="0" fontId="8" fillId="40" borderId="0" xfId="119" applyFont="1" applyFill="1" applyAlignment="1">
      <alignment vertical="center" wrapText="1"/>
    </xf>
    <xf numFmtId="0" fontId="8" fillId="40" borderId="0" xfId="119" applyFont="1" applyFill="1" applyAlignment="1">
      <alignment horizontal="right" vertical="center" wrapText="1"/>
    </xf>
    <xf numFmtId="172" fontId="8" fillId="34" borderId="158" xfId="1" applyNumberFormat="1" applyFont="1" applyFill="1" applyBorder="1"/>
    <xf numFmtId="172" fontId="25" fillId="0" borderId="0" xfId="0" applyNumberFormat="1" applyFont="1"/>
    <xf numFmtId="172" fontId="25" fillId="39" borderId="0" xfId="1" applyNumberFormat="1" applyFont="1" applyFill="1"/>
    <xf numFmtId="172" fontId="8" fillId="20" borderId="155" xfId="1" applyNumberFormat="1" applyFont="1" applyFill="1" applyBorder="1"/>
    <xf numFmtId="172" fontId="8" fillId="19" borderId="155" xfId="1" applyNumberFormat="1" applyFont="1" applyFill="1" applyBorder="1"/>
    <xf numFmtId="172" fontId="8" fillId="20" borderId="156" xfId="1" applyNumberFormat="1" applyFont="1" applyFill="1" applyBorder="1"/>
    <xf numFmtId="172" fontId="8" fillId="19" borderId="156" xfId="1" applyNumberFormat="1" applyFont="1" applyFill="1" applyBorder="1"/>
    <xf numFmtId="3" fontId="72" fillId="0" borderId="0" xfId="0" applyNumberFormat="1" applyFont="1" applyAlignment="1">
      <alignment horizontal="right" vertical="center" wrapText="1"/>
    </xf>
    <xf numFmtId="0" fontId="72" fillId="0" borderId="0" xfId="0" applyFont="1" applyAlignment="1">
      <alignment horizontal="right" vertical="center" wrapText="1"/>
    </xf>
    <xf numFmtId="3" fontId="8" fillId="0" borderId="0" xfId="0" applyNumberFormat="1" applyFont="1" applyAlignment="1">
      <alignment horizontal="right" vertical="center" wrapText="1"/>
    </xf>
    <xf numFmtId="172" fontId="25" fillId="20" borderId="157" xfId="1" applyNumberFormat="1" applyFont="1" applyFill="1" applyBorder="1"/>
    <xf numFmtId="172" fontId="25" fillId="19" borderId="157" xfId="1" applyNumberFormat="1" applyFont="1" applyFill="1" applyBorder="1"/>
    <xf numFmtId="14" fontId="19" fillId="18" borderId="0" xfId="0" applyNumberFormat="1" applyFont="1" applyFill="1" applyAlignment="1">
      <alignment horizontal="left" wrapText="1"/>
    </xf>
    <xf numFmtId="0" fontId="9" fillId="41" borderId="0" xfId="0" applyFont="1" applyFill="1"/>
    <xf numFmtId="0" fontId="8" fillId="41" borderId="0" xfId="0" applyFont="1" applyFill="1"/>
    <xf numFmtId="172" fontId="8" fillId="41" borderId="0" xfId="1" applyNumberFormat="1" applyFont="1" applyFill="1"/>
    <xf numFmtId="0" fontId="23" fillId="41" borderId="0" xfId="0" applyFont="1" applyFill="1"/>
    <xf numFmtId="171" fontId="30" fillId="0" borderId="37" xfId="0" applyNumberFormat="1" applyFont="1" applyBorder="1" applyAlignment="1">
      <alignment horizontal="right" vertical="center" wrapText="1" readingOrder="1"/>
    </xf>
    <xf numFmtId="171" fontId="33" fillId="0" borderId="37" xfId="0" applyNumberFormat="1" applyFont="1" applyBorder="1" applyAlignment="1">
      <alignment horizontal="right" vertical="center" wrapText="1" readingOrder="1"/>
    </xf>
    <xf numFmtId="14" fontId="22" fillId="0" borderId="43" xfId="0" applyNumberFormat="1" applyFont="1" applyBorder="1" applyAlignment="1">
      <alignment horizontal="center" vertical="center"/>
    </xf>
    <xf numFmtId="0" fontId="22" fillId="0" borderId="43" xfId="0" applyFont="1" applyBorder="1" applyAlignment="1">
      <alignment horizontal="left" vertical="center"/>
    </xf>
    <xf numFmtId="38" fontId="22" fillId="0" borderId="43" xfId="0" applyNumberFormat="1" applyFont="1" applyBorder="1" applyAlignment="1">
      <alignment horizontal="right" vertical="center"/>
    </xf>
    <xf numFmtId="172" fontId="8" fillId="12" borderId="0" xfId="1" applyNumberFormat="1" applyFont="1" applyFill="1"/>
    <xf numFmtId="0" fontId="5" fillId="0" borderId="0" xfId="0" applyFont="1"/>
    <xf numFmtId="172" fontId="38" fillId="0" borderId="0" xfId="1" applyNumberFormat="1" applyFont="1"/>
    <xf numFmtId="0" fontId="84" fillId="0" borderId="0" xfId="0" applyFont="1"/>
    <xf numFmtId="172" fontId="38" fillId="0" borderId="0" xfId="0" applyNumberFormat="1" applyFont="1" applyAlignment="1">
      <alignment horizontal="left"/>
    </xf>
    <xf numFmtId="0" fontId="86" fillId="26" borderId="85" xfId="0" applyFont="1" applyFill="1" applyBorder="1" applyAlignment="1">
      <alignment horizontal="left" vertical="top"/>
    </xf>
    <xf numFmtId="0" fontId="86" fillId="26" borderId="86" xfId="0" applyFont="1" applyFill="1" applyBorder="1" applyAlignment="1">
      <alignment horizontal="left" vertical="top" wrapText="1"/>
    </xf>
    <xf numFmtId="0" fontId="87" fillId="24" borderId="85" xfId="0" applyFont="1" applyFill="1" applyBorder="1" applyAlignment="1">
      <alignment horizontal="left" vertical="top"/>
    </xf>
    <xf numFmtId="0" fontId="87" fillId="24" borderId="86" xfId="0" applyFont="1" applyFill="1" applyBorder="1" applyAlignment="1">
      <alignment horizontal="left" vertical="top" wrapText="1"/>
    </xf>
    <xf numFmtId="0" fontId="86" fillId="27" borderId="87" xfId="0" applyFont="1" applyFill="1" applyBorder="1" applyAlignment="1">
      <alignment horizontal="left" vertical="top"/>
    </xf>
    <xf numFmtId="0" fontId="86" fillId="27" borderId="88" xfId="0" applyFont="1" applyFill="1" applyBorder="1" applyAlignment="1">
      <alignment horizontal="left" vertical="top" wrapText="1"/>
    </xf>
    <xf numFmtId="3" fontId="86" fillId="27" borderId="88" xfId="0" applyNumberFormat="1" applyFont="1" applyFill="1" applyBorder="1" applyAlignment="1">
      <alignment horizontal="right" vertical="top"/>
    </xf>
    <xf numFmtId="3" fontId="86" fillId="27" borderId="89" xfId="0" applyNumberFormat="1" applyFont="1" applyFill="1" applyBorder="1" applyAlignment="1">
      <alignment horizontal="right" vertical="top"/>
    </xf>
    <xf numFmtId="0" fontId="14" fillId="25" borderId="83" xfId="29" applyFont="1" applyFill="1" applyBorder="1" applyAlignment="1">
      <alignment vertical="center" wrapText="1"/>
    </xf>
    <xf numFmtId="0" fontId="14" fillId="25" borderId="82" xfId="29" applyFont="1" applyFill="1" applyBorder="1" applyAlignment="1">
      <alignment vertical="center" wrapText="1"/>
    </xf>
    <xf numFmtId="0" fontId="48" fillId="28" borderId="86" xfId="0" applyFont="1" applyFill="1" applyBorder="1" applyAlignment="1">
      <alignment horizontal="left" vertical="top" wrapText="1"/>
    </xf>
    <xf numFmtId="0" fontId="48" fillId="28" borderId="86" xfId="0" applyFont="1" applyFill="1" applyBorder="1" applyAlignment="1">
      <alignment horizontal="center" vertical="top" wrapText="1"/>
    </xf>
    <xf numFmtId="3" fontId="48" fillId="28" borderId="86" xfId="0" applyNumberFormat="1" applyFont="1" applyFill="1" applyBorder="1" applyAlignment="1">
      <alignment horizontal="right" vertical="top"/>
    </xf>
    <xf numFmtId="0" fontId="19" fillId="2" borderId="62" xfId="0" applyFont="1" applyFill="1" applyBorder="1" applyAlignment="1">
      <alignment vertical="top"/>
    </xf>
    <xf numFmtId="0" fontId="0" fillId="43" borderId="0" xfId="0" applyFill="1"/>
    <xf numFmtId="0" fontId="0" fillId="43" borderId="0" xfId="0" applyFill="1" applyAlignment="1">
      <alignment horizontal="left"/>
    </xf>
    <xf numFmtId="0" fontId="89" fillId="0" borderId="0" xfId="577" applyFont="1" applyAlignment="1">
      <alignment horizontal="center" vertical="center" wrapText="1"/>
    </xf>
    <xf numFmtId="3" fontId="90" fillId="0" borderId="0" xfId="577" applyNumberFormat="1" applyFont="1"/>
    <xf numFmtId="181" fontId="90" fillId="0" borderId="0" xfId="577" applyNumberFormat="1" applyFont="1"/>
    <xf numFmtId="10" fontId="90" fillId="0" borderId="0" xfId="577" applyNumberFormat="1" applyFont="1"/>
    <xf numFmtId="0" fontId="91" fillId="0" borderId="0" xfId="0" applyFont="1"/>
    <xf numFmtId="0" fontId="85" fillId="0" borderId="0" xfId="0" applyFont="1"/>
    <xf numFmtId="172" fontId="85" fillId="0" borderId="0" xfId="563" applyNumberFormat="1" applyFont="1" applyAlignment="1">
      <alignment horizontal="center"/>
    </xf>
    <xf numFmtId="172" fontId="85" fillId="0" borderId="0" xfId="1" applyNumberFormat="1" applyFont="1" applyAlignment="1">
      <alignment horizontal="center"/>
    </xf>
    <xf numFmtId="0" fontId="84" fillId="44" borderId="0" xfId="0" applyFont="1" applyFill="1"/>
    <xf numFmtId="0" fontId="84" fillId="44" borderId="0" xfId="0" applyFont="1" applyFill="1" applyAlignment="1">
      <alignment horizontal="center"/>
    </xf>
    <xf numFmtId="0" fontId="38" fillId="0" borderId="0" xfId="0" applyFont="1"/>
    <xf numFmtId="9" fontId="38" fillId="0" borderId="0" xfId="6" applyFont="1"/>
    <xf numFmtId="10" fontId="38" fillId="0" borderId="0" xfId="6" applyNumberFormat="1" applyFont="1"/>
    <xf numFmtId="172" fontId="38" fillId="0" borderId="0" xfId="563" applyNumberFormat="1" applyFont="1"/>
    <xf numFmtId="172" fontId="38" fillId="5" borderId="0" xfId="563" applyNumberFormat="1" applyFont="1" applyFill="1"/>
    <xf numFmtId="172" fontId="84" fillId="0" borderId="0" xfId="563" applyNumberFormat="1" applyFont="1"/>
    <xf numFmtId="0" fontId="84" fillId="45" borderId="0" xfId="69" applyFont="1" applyFill="1"/>
    <xf numFmtId="0" fontId="92" fillId="44" borderId="0" xfId="69" applyFont="1" applyFill="1" applyAlignment="1">
      <alignment horizontal="right"/>
    </xf>
    <xf numFmtId="0" fontId="92" fillId="45" borderId="0" xfId="69" applyFont="1" applyFill="1"/>
    <xf numFmtId="0" fontId="93" fillId="44" borderId="0" xfId="69" applyFont="1" applyFill="1" applyAlignment="1">
      <alignment horizontal="right"/>
    </xf>
    <xf numFmtId="0" fontId="84" fillId="0" borderId="0" xfId="69" applyFont="1"/>
    <xf numFmtId="172" fontId="84" fillId="0" borderId="0" xfId="200" applyNumberFormat="1" applyFont="1"/>
    <xf numFmtId="0" fontId="38" fillId="0" borderId="0" xfId="69" applyFont="1"/>
    <xf numFmtId="172" fontId="38" fillId="0" borderId="0" xfId="200" applyNumberFormat="1" applyFont="1"/>
    <xf numFmtId="0" fontId="84" fillId="0" borderId="162" xfId="69" applyFont="1" applyBorder="1"/>
    <xf numFmtId="172" fontId="84" fillId="0" borderId="162" xfId="200" applyNumberFormat="1" applyFont="1" applyBorder="1"/>
    <xf numFmtId="0" fontId="5" fillId="0" borderId="0" xfId="0" applyFont="1" applyAlignment="1">
      <alignment vertical="center"/>
    </xf>
    <xf numFmtId="172" fontId="84" fillId="44" borderId="0" xfId="563" applyNumberFormat="1" applyFont="1" applyFill="1"/>
    <xf numFmtId="0" fontId="84" fillId="44" borderId="0" xfId="0" applyFont="1" applyFill="1" applyAlignment="1">
      <alignment horizontal="left"/>
    </xf>
    <xf numFmtId="172" fontId="84" fillId="44" borderId="0" xfId="563" applyNumberFormat="1" applyFont="1" applyFill="1" applyAlignment="1">
      <alignment horizontal="right"/>
    </xf>
    <xf numFmtId="0" fontId="38" fillId="0" borderId="0" xfId="0" applyFont="1" applyAlignment="1">
      <alignment horizontal="center"/>
    </xf>
    <xf numFmtId="49" fontId="38" fillId="0" borderId="0" xfId="0" applyNumberFormat="1" applyFont="1"/>
    <xf numFmtId="172" fontId="38" fillId="0" borderId="0" xfId="0" applyNumberFormat="1" applyFont="1"/>
    <xf numFmtId="0" fontId="38" fillId="0" borderId="162" xfId="0" applyFont="1" applyBorder="1" applyAlignment="1">
      <alignment horizontal="center"/>
    </xf>
    <xf numFmtId="0" fontId="38" fillId="0" borderId="162" xfId="0" quotePrefix="1" applyFont="1" applyBorder="1"/>
    <xf numFmtId="0" fontId="38" fillId="0" borderId="162" xfId="0" applyFont="1" applyBorder="1"/>
    <xf numFmtId="172" fontId="38" fillId="0" borderId="162" xfId="0" applyNumberFormat="1" applyFont="1" applyBorder="1"/>
    <xf numFmtId="0" fontId="26" fillId="0" borderId="0" xfId="0" applyFont="1" applyAlignment="1">
      <alignment horizontal="center" vertical="center"/>
    </xf>
    <xf numFmtId="0" fontId="10" fillId="0" borderId="0" xfId="0" applyFont="1" applyAlignment="1">
      <alignment horizontal="center"/>
    </xf>
    <xf numFmtId="49" fontId="38" fillId="0" borderId="0" xfId="0" applyNumberFormat="1" applyFont="1" applyAlignment="1">
      <alignment horizontal="left" vertical="top" wrapText="1"/>
    </xf>
    <xf numFmtId="0" fontId="19" fillId="4" borderId="0" xfId="0" applyFont="1" applyFill="1"/>
    <xf numFmtId="0" fontId="5" fillId="4" borderId="0" xfId="0" applyFont="1" applyFill="1"/>
    <xf numFmtId="0" fontId="94" fillId="0" borderId="0" xfId="0" applyFont="1"/>
    <xf numFmtId="3" fontId="97" fillId="0" borderId="0" xfId="0" applyNumberFormat="1" applyFont="1"/>
    <xf numFmtId="0" fontId="98" fillId="0" borderId="0" xfId="0" applyFont="1" applyAlignment="1">
      <alignment horizontal="centerContinuous"/>
    </xf>
    <xf numFmtId="14" fontId="89" fillId="0" borderId="0" xfId="0" applyNumberFormat="1" applyFont="1" applyAlignment="1">
      <alignment vertical="center" wrapText="1"/>
    </xf>
    <xf numFmtId="0" fontId="89" fillId="0" borderId="0" xfId="0" applyFont="1" applyAlignment="1">
      <alignment horizontal="center" vertical="center" wrapText="1"/>
    </xf>
    <xf numFmtId="3" fontId="90" fillId="0" borderId="0" xfId="0" applyNumberFormat="1" applyFont="1"/>
    <xf numFmtId="181" fontId="90" fillId="0" borderId="0" xfId="0" applyNumberFormat="1" applyFont="1"/>
    <xf numFmtId="10" fontId="90" fillId="0" borderId="0" xfId="0" applyNumberFormat="1" applyFont="1"/>
    <xf numFmtId="181" fontId="100" fillId="46" borderId="164" xfId="0" applyNumberFormat="1" applyFont="1" applyFill="1" applyBorder="1" applyAlignment="1">
      <alignment horizontal="right" vertical="center"/>
    </xf>
    <xf numFmtId="0" fontId="99" fillId="46" borderId="164" xfId="0" applyFont="1" applyFill="1" applyBorder="1"/>
    <xf numFmtId="183" fontId="8" fillId="0" borderId="0" xfId="578" applyFont="1"/>
    <xf numFmtId="183" fontId="5" fillId="0" borderId="0" xfId="578" applyFont="1"/>
    <xf numFmtId="172" fontId="5" fillId="0" borderId="0" xfId="579" applyNumberFormat="1" applyFont="1" applyAlignment="1">
      <alignment horizontal="center"/>
    </xf>
    <xf numFmtId="172" fontId="5" fillId="0" borderId="0" xfId="579" applyNumberFormat="1" applyFont="1"/>
    <xf numFmtId="172" fontId="11" fillId="0" borderId="0" xfId="579" applyNumberFormat="1" applyFont="1"/>
    <xf numFmtId="0" fontId="101" fillId="0" borderId="0" xfId="578" applyNumberFormat="1" applyFont="1" applyAlignment="1">
      <alignment horizontal="left"/>
    </xf>
    <xf numFmtId="172" fontId="10" fillId="0" borderId="0" xfId="579" applyNumberFormat="1" applyFont="1"/>
    <xf numFmtId="183" fontId="19" fillId="47" borderId="0" xfId="578" applyFont="1" applyFill="1"/>
    <xf numFmtId="172" fontId="19" fillId="47" borderId="0" xfId="579" applyNumberFormat="1" applyFont="1" applyFill="1" applyAlignment="1">
      <alignment horizontal="center"/>
    </xf>
    <xf numFmtId="183" fontId="19" fillId="47" borderId="0" xfId="578" applyFont="1" applyFill="1" applyAlignment="1">
      <alignment horizontal="center"/>
    </xf>
    <xf numFmtId="172" fontId="39" fillId="0" borderId="0" xfId="579" applyNumberFormat="1" applyFont="1"/>
    <xf numFmtId="172" fontId="8" fillId="0" borderId="0" xfId="579" applyNumberFormat="1" applyFont="1" applyAlignment="1">
      <alignment horizontal="center"/>
    </xf>
    <xf numFmtId="0" fontId="101" fillId="0" borderId="0" xfId="578" applyNumberFormat="1" applyFont="1"/>
    <xf numFmtId="183" fontId="25" fillId="0" borderId="0" xfId="578" applyFont="1"/>
    <xf numFmtId="172" fontId="11" fillId="12" borderId="165" xfId="579" applyNumberFormat="1" applyFont="1" applyFill="1" applyBorder="1" applyAlignment="1">
      <alignment horizontal="left"/>
    </xf>
    <xf numFmtId="172" fontId="11" fillId="12" borderId="167" xfId="579" applyNumberFormat="1" applyFont="1" applyFill="1" applyBorder="1" applyAlignment="1">
      <alignment horizontal="left"/>
    </xf>
    <xf numFmtId="172" fontId="11" fillId="0" borderId="0" xfId="579" applyNumberFormat="1" applyFont="1" applyFill="1"/>
    <xf numFmtId="183" fontId="8" fillId="0" borderId="0" xfId="580" applyFont="1"/>
    <xf numFmtId="183" fontId="5" fillId="0" borderId="0" xfId="580" applyFont="1"/>
    <xf numFmtId="172" fontId="5" fillId="0" borderId="0" xfId="576" applyNumberFormat="1" applyFont="1"/>
    <xf numFmtId="172" fontId="39" fillId="0" borderId="0" xfId="576" applyNumberFormat="1" applyFont="1"/>
    <xf numFmtId="0" fontId="101" fillId="0" borderId="0" xfId="580" applyNumberFormat="1" applyFont="1" applyAlignment="1">
      <alignment horizontal="left"/>
    </xf>
    <xf numFmtId="183" fontId="19" fillId="47" borderId="0" xfId="580" applyFont="1" applyFill="1"/>
    <xf numFmtId="183" fontId="19" fillId="47" borderId="0" xfId="580" applyFont="1" applyFill="1" applyAlignment="1">
      <alignment horizontal="right"/>
    </xf>
    <xf numFmtId="172" fontId="19" fillId="47" borderId="0" xfId="576" applyNumberFormat="1" applyFont="1" applyFill="1" applyAlignment="1">
      <alignment horizontal="right"/>
    </xf>
    <xf numFmtId="172" fontId="19" fillId="47" borderId="0" xfId="576" applyNumberFormat="1" applyFont="1" applyFill="1" applyAlignment="1">
      <alignment horizontal="center"/>
    </xf>
    <xf numFmtId="183" fontId="19" fillId="47" borderId="0" xfId="580" applyFont="1" applyFill="1" applyAlignment="1">
      <alignment horizontal="center"/>
    </xf>
    <xf numFmtId="172" fontId="8" fillId="0" borderId="0" xfId="580" applyNumberFormat="1" applyFont="1"/>
    <xf numFmtId="0" fontId="101" fillId="0" borderId="0" xfId="580" applyNumberFormat="1" applyFont="1"/>
    <xf numFmtId="183" fontId="25" fillId="0" borderId="0" xfId="580" applyFont="1"/>
    <xf numFmtId="183" fontId="11" fillId="13" borderId="165" xfId="580" applyFont="1" applyFill="1" applyBorder="1"/>
    <xf numFmtId="183" fontId="11" fillId="13" borderId="167" xfId="580" applyFont="1" applyFill="1" applyBorder="1"/>
    <xf numFmtId="0" fontId="27" fillId="0" borderId="169" xfId="0" applyFont="1" applyBorder="1" applyAlignment="1">
      <alignment vertical="center" wrapText="1" readingOrder="1"/>
    </xf>
    <xf numFmtId="0" fontId="27" fillId="0" borderId="37" xfId="0" applyFont="1" applyBorder="1" applyAlignment="1">
      <alignment vertical="center" wrapText="1" readingOrder="1"/>
    </xf>
    <xf numFmtId="0" fontId="27" fillId="0" borderId="39" xfId="0" applyFont="1" applyBorder="1" applyAlignment="1">
      <alignment vertical="center" wrapText="1" readingOrder="1"/>
    </xf>
    <xf numFmtId="0" fontId="102" fillId="0" borderId="0" xfId="0" applyFont="1"/>
    <xf numFmtId="0" fontId="80" fillId="0" borderId="0" xfId="0" applyFont="1"/>
    <xf numFmtId="0" fontId="103" fillId="17" borderId="0" xfId="0" applyFont="1" applyFill="1"/>
    <xf numFmtId="172" fontId="103" fillId="17" borderId="0" xfId="1" applyNumberFormat="1" applyFont="1" applyFill="1" applyAlignment="1">
      <alignment horizontal="centerContinuous"/>
    </xf>
    <xf numFmtId="172" fontId="103" fillId="17" borderId="0" xfId="1" applyNumberFormat="1" applyFont="1" applyFill="1"/>
    <xf numFmtId="0" fontId="103" fillId="17" borderId="35" xfId="0" applyFont="1" applyFill="1" applyBorder="1"/>
    <xf numFmtId="15" fontId="103" fillId="17" borderId="35" xfId="1" applyNumberFormat="1" applyFont="1" applyFill="1" applyBorder="1"/>
    <xf numFmtId="15" fontId="103" fillId="18" borderId="35" xfId="1" applyNumberFormat="1" applyFont="1" applyFill="1" applyBorder="1"/>
    <xf numFmtId="172" fontId="103" fillId="17" borderId="35" xfId="1" applyNumberFormat="1" applyFont="1" applyFill="1" applyBorder="1" applyAlignment="1">
      <alignment horizontal="right"/>
    </xf>
    <xf numFmtId="0" fontId="104" fillId="0" borderId="0" xfId="0" applyFont="1"/>
    <xf numFmtId="15" fontId="19" fillId="17" borderId="0" xfId="0" applyNumberFormat="1" applyFont="1" applyFill="1" applyAlignment="1">
      <alignment horizontal="right"/>
    </xf>
    <xf numFmtId="172" fontId="11" fillId="19" borderId="0" xfId="1" applyNumberFormat="1" applyFont="1" applyFill="1"/>
    <xf numFmtId="14" fontId="25" fillId="37" borderId="0" xfId="0" applyNumberFormat="1" applyFont="1" applyFill="1" applyAlignment="1">
      <alignment horizontal="right" vertical="center"/>
    </xf>
    <xf numFmtId="0" fontId="25" fillId="10" borderId="0" xfId="0" applyFont="1" applyFill="1"/>
    <xf numFmtId="14" fontId="20" fillId="5" borderId="0" xfId="0" applyNumberFormat="1" applyFont="1" applyFill="1" applyAlignment="1">
      <alignment horizontal="centerContinuous"/>
    </xf>
    <xf numFmtId="0" fontId="20" fillId="5" borderId="0" xfId="0" applyFont="1" applyFill="1" applyAlignment="1">
      <alignment horizontal="centerContinuous"/>
    </xf>
    <xf numFmtId="171" fontId="30" fillId="0" borderId="37" xfId="0" applyNumberFormat="1" applyFont="1" applyBorder="1" applyAlignment="1">
      <alignment vertical="center" wrapText="1" readingOrder="1"/>
    </xf>
    <xf numFmtId="171" fontId="33" fillId="0" borderId="37" xfId="0" applyNumberFormat="1" applyFont="1" applyBorder="1" applyAlignment="1">
      <alignment vertical="center" wrapText="1" readingOrder="1"/>
    </xf>
    <xf numFmtId="14" fontId="22" fillId="0" borderId="2" xfId="133" applyNumberFormat="1" applyFont="1" applyBorder="1" applyAlignment="1">
      <alignment horizontal="center" vertical="center"/>
    </xf>
    <xf numFmtId="0" fontId="22" fillId="0" borderId="2" xfId="133" applyFont="1" applyBorder="1" applyAlignment="1">
      <alignment horizontal="left" vertical="center"/>
    </xf>
    <xf numFmtId="38" fontId="22" fillId="0" borderId="2" xfId="133" applyNumberFormat="1" applyFont="1" applyBorder="1" applyAlignment="1">
      <alignment horizontal="right" vertical="center"/>
    </xf>
    <xf numFmtId="14" fontId="22" fillId="0" borderId="2" xfId="0" applyNumberFormat="1" applyFont="1" applyBorder="1" applyAlignment="1">
      <alignment horizontal="center" vertical="center"/>
    </xf>
    <xf numFmtId="0" fontId="22" fillId="0" borderId="2" xfId="0" applyFont="1" applyBorder="1" applyAlignment="1">
      <alignment horizontal="left" vertical="center"/>
    </xf>
    <xf numFmtId="38" fontId="22" fillId="0" borderId="2" xfId="0" applyNumberFormat="1" applyFont="1" applyBorder="1" applyAlignment="1">
      <alignment horizontal="right" vertical="center"/>
    </xf>
    <xf numFmtId="43" fontId="8" fillId="0" borderId="0" xfId="1" applyFont="1"/>
    <xf numFmtId="172" fontId="25" fillId="20" borderId="35" xfId="0" applyNumberFormat="1" applyFont="1" applyFill="1" applyBorder="1"/>
    <xf numFmtId="172" fontId="57" fillId="20" borderId="0" xfId="1" applyNumberFormat="1" applyFont="1" applyFill="1"/>
    <xf numFmtId="172" fontId="57" fillId="19" borderId="0" xfId="1" applyNumberFormat="1" applyFont="1" applyFill="1"/>
    <xf numFmtId="172" fontId="38" fillId="21" borderId="0" xfId="1" applyNumberFormat="1" applyFont="1" applyFill="1"/>
    <xf numFmtId="172" fontId="38" fillId="5" borderId="0" xfId="1" applyNumberFormat="1" applyFont="1" applyFill="1"/>
    <xf numFmtId="172" fontId="38" fillId="20" borderId="0" xfId="1" applyNumberFormat="1" applyFont="1" applyFill="1"/>
    <xf numFmtId="172" fontId="38" fillId="19" borderId="0" xfId="1" applyNumberFormat="1" applyFont="1" applyFill="1"/>
    <xf numFmtId="0" fontId="38" fillId="5" borderId="0" xfId="0" applyFont="1" applyFill="1"/>
    <xf numFmtId="14" fontId="21" fillId="33" borderId="42" xfId="0" applyNumberFormat="1" applyFont="1" applyFill="1" applyBorder="1" applyAlignment="1">
      <alignment horizontal="center" vertical="center" wrapText="1"/>
    </xf>
    <xf numFmtId="0" fontId="21" fillId="33" borderId="42" xfId="0" applyFont="1" applyFill="1" applyBorder="1" applyAlignment="1">
      <alignment horizontal="center" vertical="center" wrapText="1"/>
    </xf>
    <xf numFmtId="38" fontId="21" fillId="33" borderId="42" xfId="0" applyNumberFormat="1" applyFont="1" applyFill="1" applyBorder="1" applyAlignment="1">
      <alignment horizontal="center" vertical="center" wrapText="1"/>
    </xf>
    <xf numFmtId="172" fontId="38" fillId="0" borderId="0" xfId="1" applyNumberFormat="1" applyFont="1" applyAlignment="1">
      <alignment vertical="center" wrapText="1"/>
    </xf>
    <xf numFmtId="0" fontId="105" fillId="0" borderId="171" xfId="0" applyFont="1" applyBorder="1" applyAlignment="1">
      <alignment readingOrder="1"/>
    </xf>
    <xf numFmtId="0" fontId="105" fillId="0" borderId="172" xfId="0" applyFont="1" applyBorder="1" applyAlignment="1">
      <alignment readingOrder="1"/>
    </xf>
    <xf numFmtId="0" fontId="105" fillId="0" borderId="174" xfId="0" applyFont="1" applyBorder="1" applyAlignment="1">
      <alignment readingOrder="1"/>
    </xf>
    <xf numFmtId="0" fontId="105" fillId="0" borderId="175" xfId="0" applyFont="1" applyBorder="1" applyAlignment="1">
      <alignment readingOrder="1"/>
    </xf>
    <xf numFmtId="0" fontId="105" fillId="0" borderId="173" xfId="0" applyFont="1" applyBorder="1" applyAlignment="1">
      <alignment readingOrder="1"/>
    </xf>
    <xf numFmtId="0" fontId="105" fillId="0" borderId="177" xfId="0" applyFont="1" applyBorder="1" applyAlignment="1">
      <alignment readingOrder="1"/>
    </xf>
    <xf numFmtId="0" fontId="105" fillId="0" borderId="178" xfId="0" applyFont="1" applyBorder="1" applyAlignment="1">
      <alignment readingOrder="1"/>
    </xf>
    <xf numFmtId="0" fontId="106" fillId="48" borderId="0" xfId="582" applyFill="1"/>
    <xf numFmtId="3" fontId="105" fillId="0" borderId="175" xfId="0" applyNumberFormat="1" applyFont="1" applyBorder="1" applyAlignment="1">
      <alignment readingOrder="1"/>
    </xf>
    <xf numFmtId="0" fontId="107" fillId="0" borderId="0" xfId="0" applyFont="1" applyAlignment="1">
      <alignment horizontal="right" vertical="center" wrapText="1"/>
    </xf>
    <xf numFmtId="0" fontId="107" fillId="0" borderId="0" xfId="0" applyFont="1"/>
    <xf numFmtId="172" fontId="84" fillId="0" borderId="0" xfId="1" applyNumberFormat="1" applyFont="1" applyAlignment="1">
      <alignment vertical="center" wrapText="1"/>
    </xf>
    <xf numFmtId="0" fontId="3" fillId="0" borderId="0" xfId="0" applyFont="1"/>
    <xf numFmtId="172" fontId="80" fillId="0" borderId="0" xfId="1" applyNumberFormat="1" applyFont="1"/>
    <xf numFmtId="172" fontId="23" fillId="11" borderId="67" xfId="1" applyNumberFormat="1" applyFont="1" applyFill="1" applyBorder="1"/>
    <xf numFmtId="172" fontId="23" fillId="21" borderId="0" xfId="1" applyNumberFormat="1" applyFont="1" applyFill="1"/>
    <xf numFmtId="172" fontId="8" fillId="12" borderId="23" xfId="1" applyNumberFormat="1" applyFont="1" applyFill="1" applyBorder="1"/>
    <xf numFmtId="172" fontId="8" fillId="11" borderId="23" xfId="1" applyNumberFormat="1" applyFont="1" applyFill="1" applyBorder="1"/>
    <xf numFmtId="172" fontId="8" fillId="11" borderId="46" xfId="1" applyNumberFormat="1" applyFont="1" applyFill="1" applyBorder="1"/>
    <xf numFmtId="172" fontId="8" fillId="11" borderId="52" xfId="1" applyNumberFormat="1" applyFont="1" applyFill="1" applyBorder="1"/>
    <xf numFmtId="172" fontId="8" fillId="4" borderId="49" xfId="1" applyNumberFormat="1" applyFont="1" applyFill="1" applyBorder="1"/>
    <xf numFmtId="172" fontId="8" fillId="10" borderId="23" xfId="1" applyNumberFormat="1" applyFont="1" applyFill="1" applyBorder="1"/>
    <xf numFmtId="172" fontId="8" fillId="10" borderId="46" xfId="1" applyNumberFormat="1" applyFont="1" applyFill="1" applyBorder="1"/>
    <xf numFmtId="172" fontId="8" fillId="10" borderId="52" xfId="1" applyNumberFormat="1" applyFont="1" applyFill="1" applyBorder="1"/>
    <xf numFmtId="172" fontId="8" fillId="0" borderId="0" xfId="1" applyNumberFormat="1" applyFont="1" applyAlignment="1">
      <alignment horizontal="center"/>
    </xf>
    <xf numFmtId="172" fontId="8" fillId="20" borderId="59" xfId="1" applyNumberFormat="1" applyFont="1" applyFill="1" applyBorder="1"/>
    <xf numFmtId="172" fontId="8" fillId="20" borderId="56" xfId="1" applyNumberFormat="1" applyFont="1" applyFill="1" applyBorder="1"/>
    <xf numFmtId="0" fontId="25" fillId="12" borderId="0" xfId="0" applyFont="1" applyFill="1" applyAlignment="1">
      <alignment horizontal="center"/>
    </xf>
    <xf numFmtId="0" fontId="25" fillId="12" borderId="0" xfId="0" applyFont="1" applyFill="1"/>
    <xf numFmtId="172" fontId="25" fillId="11" borderId="0" xfId="1" applyNumberFormat="1" applyFont="1" applyFill="1" applyBorder="1"/>
    <xf numFmtId="172" fontId="25" fillId="11" borderId="157" xfId="0" applyNumberFormat="1" applyFont="1" applyFill="1" applyBorder="1"/>
    <xf numFmtId="0" fontId="25" fillId="4" borderId="0" xfId="0" applyFont="1" applyFill="1"/>
    <xf numFmtId="172" fontId="25" fillId="10" borderId="0" xfId="1" applyNumberFormat="1" applyFont="1" applyFill="1" applyBorder="1"/>
    <xf numFmtId="172" fontId="25" fillId="10" borderId="157" xfId="1" applyNumberFormat="1" applyFont="1" applyFill="1" applyBorder="1"/>
    <xf numFmtId="0" fontId="25" fillId="0" borderId="0" xfId="0" applyFont="1" applyAlignment="1">
      <alignment horizontal="center"/>
    </xf>
    <xf numFmtId="172" fontId="25" fillId="20" borderId="0" xfId="1" applyNumberFormat="1" applyFont="1" applyFill="1" applyBorder="1"/>
    <xf numFmtId="0" fontId="248" fillId="0" borderId="174" xfId="0" applyFont="1" applyBorder="1" applyAlignment="1">
      <alignment readingOrder="1"/>
    </xf>
    <xf numFmtId="172" fontId="11" fillId="20" borderId="67" xfId="1" applyNumberFormat="1" applyFont="1" applyFill="1" applyBorder="1"/>
    <xf numFmtId="172" fontId="82" fillId="10" borderId="0" xfId="1" applyNumberFormat="1" applyFont="1" applyFill="1"/>
    <xf numFmtId="172" fontId="8" fillId="11" borderId="157" xfId="0" applyNumberFormat="1" applyFont="1" applyFill="1" applyBorder="1" applyAlignment="1">
      <alignment horizontal="center"/>
    </xf>
    <xf numFmtId="172" fontId="11" fillId="11" borderId="67" xfId="1" applyNumberFormat="1" applyFont="1" applyFill="1" applyBorder="1"/>
    <xf numFmtId="0" fontId="19" fillId="4" borderId="201" xfId="0" applyFont="1" applyFill="1" applyBorder="1" applyAlignment="1">
      <alignment vertical="center"/>
    </xf>
    <xf numFmtId="0" fontId="19" fillId="4" borderId="202" xfId="0" applyFont="1" applyFill="1" applyBorder="1" applyAlignment="1">
      <alignment vertical="center"/>
    </xf>
    <xf numFmtId="0" fontId="19" fillId="4" borderId="202" xfId="0" applyFont="1" applyFill="1" applyBorder="1" applyAlignment="1">
      <alignment horizontal="center" vertical="center"/>
    </xf>
    <xf numFmtId="0" fontId="19" fillId="4" borderId="203" xfId="0" applyFont="1" applyFill="1" applyBorder="1" applyAlignment="1">
      <alignment vertical="center"/>
    </xf>
    <xf numFmtId="172" fontId="8" fillId="5" borderId="201" xfId="1" applyNumberFormat="1" applyFont="1" applyFill="1" applyBorder="1" applyAlignment="1">
      <alignment horizontal="center" vertical="center"/>
    </xf>
    <xf numFmtId="172" fontId="8" fillId="5" borderId="204" xfId="1" applyNumberFormat="1" applyFont="1" applyFill="1" applyBorder="1" applyAlignment="1">
      <alignment horizontal="center" vertical="center"/>
    </xf>
    <xf numFmtId="172" fontId="8" fillId="5" borderId="205" xfId="1" applyNumberFormat="1" applyFont="1" applyFill="1" applyBorder="1" applyAlignment="1">
      <alignment horizontal="center" vertical="center"/>
    </xf>
    <xf numFmtId="172" fontId="19" fillId="2" borderId="205" xfId="1" applyNumberFormat="1" applyFont="1" applyFill="1" applyBorder="1" applyAlignment="1">
      <alignment vertical="center" wrapText="1"/>
    </xf>
    <xf numFmtId="0" fontId="19" fillId="2" borderId="202" xfId="0" applyFont="1" applyFill="1" applyBorder="1" applyAlignment="1">
      <alignment horizontal="center" vertical="center"/>
    </xf>
    <xf numFmtId="0" fontId="19" fillId="2" borderId="202" xfId="0" applyFont="1" applyFill="1" applyBorder="1" applyAlignment="1">
      <alignment horizontal="center" vertical="center" wrapText="1"/>
    </xf>
    <xf numFmtId="0" fontId="19" fillId="2" borderId="202" xfId="0" applyFont="1" applyFill="1" applyBorder="1" applyAlignment="1">
      <alignment vertical="center"/>
    </xf>
    <xf numFmtId="0" fontId="19" fillId="2" borderId="204" xfId="0" applyFont="1" applyFill="1" applyBorder="1" applyAlignment="1">
      <alignment vertical="center"/>
    </xf>
    <xf numFmtId="0" fontId="8" fillId="5" borderId="208" xfId="0" applyFont="1" applyFill="1" applyBorder="1"/>
    <xf numFmtId="0" fontId="8" fillId="0" borderId="208" xfId="0" applyFont="1" applyBorder="1" applyAlignment="1">
      <alignment horizontal="center"/>
    </xf>
    <xf numFmtId="0" fontId="8" fillId="0" borderId="209" xfId="0" applyFont="1" applyBorder="1"/>
    <xf numFmtId="0" fontId="8" fillId="42" borderId="209" xfId="0" applyFont="1" applyFill="1" applyBorder="1"/>
    <xf numFmtId="0" fontId="8" fillId="42" borderId="210" xfId="0" applyFont="1" applyFill="1" applyBorder="1"/>
    <xf numFmtId="172" fontId="8" fillId="42" borderId="208" xfId="1" applyNumberFormat="1" applyFont="1" applyFill="1" applyBorder="1"/>
    <xf numFmtId="172" fontId="8" fillId="42" borderId="211" xfId="1" applyNumberFormat="1" applyFont="1" applyFill="1" applyBorder="1"/>
    <xf numFmtId="172" fontId="8" fillId="42" borderId="212" xfId="1" applyNumberFormat="1" applyFont="1" applyFill="1" applyBorder="1"/>
    <xf numFmtId="0" fontId="8" fillId="42" borderId="211" xfId="0" applyFont="1" applyFill="1" applyBorder="1"/>
    <xf numFmtId="0" fontId="84" fillId="0" borderId="213" xfId="0" applyFont="1" applyBorder="1"/>
    <xf numFmtId="0" fontId="0" fillId="0" borderId="209" xfId="0" applyBorder="1"/>
    <xf numFmtId="0" fontId="0" fillId="0" borderId="209" xfId="0" quotePrefix="1" applyBorder="1"/>
    <xf numFmtId="0" fontId="84" fillId="0" borderId="214" xfId="0" applyFont="1" applyBorder="1" applyAlignment="1">
      <alignment horizontal="center"/>
    </xf>
    <xf numFmtId="172" fontId="84" fillId="0" borderId="213" xfId="1" applyNumberFormat="1" applyFont="1" applyBorder="1"/>
    <xf numFmtId="0" fontId="72" fillId="0" borderId="215" xfId="0" applyFont="1" applyBorder="1"/>
    <xf numFmtId="0" fontId="0" fillId="0" borderId="214" xfId="0" applyBorder="1"/>
    <xf numFmtId="172" fontId="72" fillId="0" borderId="213" xfId="1" applyNumberFormat="1" applyFont="1" applyFill="1" applyBorder="1"/>
    <xf numFmtId="0" fontId="0" fillId="0" borderId="213" xfId="0" quotePrefix="1" applyBorder="1"/>
    <xf numFmtId="0" fontId="8" fillId="0" borderId="173" xfId="0" applyFont="1" applyBorder="1" applyAlignment="1">
      <alignment readingOrder="1"/>
    </xf>
    <xf numFmtId="0" fontId="70" fillId="0" borderId="175" xfId="0" applyFont="1" applyBorder="1" applyAlignment="1">
      <alignment readingOrder="1"/>
    </xf>
    <xf numFmtId="0" fontId="2" fillId="0" borderId="0" xfId="0" applyFont="1"/>
    <xf numFmtId="0" fontId="31" fillId="0" borderId="41" xfId="0" quotePrefix="1" applyFont="1" applyBorder="1" applyAlignment="1">
      <alignment horizontal="left" vertical="center" wrapText="1" readingOrder="1"/>
    </xf>
    <xf numFmtId="172" fontId="107" fillId="0" borderId="0" xfId="1" applyNumberFormat="1" applyFont="1" applyAlignment="1">
      <alignment horizontal="right" vertical="center" wrapText="1"/>
    </xf>
    <xf numFmtId="0" fontId="19" fillId="2" borderId="29" xfId="0" applyFont="1" applyFill="1" applyBorder="1" applyAlignment="1">
      <alignment horizontal="left" vertical="center"/>
    </xf>
    <xf numFmtId="14" fontId="8" fillId="89" borderId="0" xfId="0" applyNumberFormat="1" applyFont="1" applyFill="1" applyAlignment="1">
      <alignment horizontal="right" wrapText="1"/>
    </xf>
    <xf numFmtId="172" fontId="25" fillId="89" borderId="0" xfId="1" applyNumberFormat="1" applyFont="1" applyFill="1"/>
    <xf numFmtId="172" fontId="249" fillId="89" borderId="0" xfId="1" applyNumberFormat="1" applyFont="1" applyFill="1"/>
    <xf numFmtId="172" fontId="1" fillId="10" borderId="0" xfId="1" applyNumberFormat="1" applyFont="1" applyFill="1"/>
    <xf numFmtId="172" fontId="1" fillId="0" borderId="0" xfId="1" applyNumberFormat="1" applyFont="1"/>
    <xf numFmtId="3" fontId="0" fillId="0" borderId="0" xfId="0" applyNumberFormat="1"/>
    <xf numFmtId="0" fontId="1" fillId="0" borderId="0" xfId="0" applyFont="1"/>
    <xf numFmtId="38" fontId="1" fillId="0" borderId="0" xfId="0" applyNumberFormat="1" applyFont="1"/>
    <xf numFmtId="170" fontId="1" fillId="0" borderId="0" xfId="0" applyNumberFormat="1" applyFont="1"/>
    <xf numFmtId="171" fontId="1" fillId="0" borderId="0" xfId="0" applyNumberFormat="1" applyFont="1"/>
    <xf numFmtId="0" fontId="1" fillId="0" borderId="0" xfId="3" applyFont="1"/>
    <xf numFmtId="172" fontId="1" fillId="0" borderId="0" xfId="3" applyNumberFormat="1" applyFont="1"/>
    <xf numFmtId="14" fontId="1" fillId="0" borderId="0" xfId="0" applyNumberFormat="1" applyFont="1"/>
    <xf numFmtId="172" fontId="1" fillId="0" borderId="0" xfId="0" applyNumberFormat="1" applyFont="1"/>
    <xf numFmtId="172" fontId="1" fillId="0" borderId="0" xfId="1" applyNumberFormat="1" applyFont="1" applyAlignment="1">
      <alignment horizontal="center"/>
    </xf>
    <xf numFmtId="0" fontId="1" fillId="0" borderId="0" xfId="0" quotePrefix="1" applyFont="1"/>
    <xf numFmtId="0" fontId="1" fillId="0" borderId="0" xfId="0" applyFont="1" applyAlignment="1">
      <alignment vertical="center"/>
    </xf>
    <xf numFmtId="0" fontId="1" fillId="8" borderId="48" xfId="0" applyFont="1" applyFill="1" applyBorder="1" applyAlignment="1">
      <alignment vertical="center"/>
    </xf>
    <xf numFmtId="0" fontId="1" fillId="8" borderId="152" xfId="0" applyFont="1" applyFill="1" applyBorder="1" applyAlignment="1">
      <alignment vertical="center"/>
    </xf>
    <xf numFmtId="0" fontId="1" fillId="12" borderId="24" xfId="0" applyFont="1" applyFill="1" applyBorder="1" applyAlignment="1">
      <alignment horizontal="center"/>
    </xf>
    <xf numFmtId="0" fontId="1" fillId="12" borderId="23" xfId="0" applyFont="1" applyFill="1" applyBorder="1"/>
    <xf numFmtId="0" fontId="1" fillId="11" borderId="23" xfId="0" applyFont="1" applyFill="1" applyBorder="1"/>
    <xf numFmtId="0" fontId="1" fillId="11" borderId="46" xfId="0" applyFont="1" applyFill="1" applyBorder="1"/>
    <xf numFmtId="0" fontId="1" fillId="11" borderId="52" xfId="0" applyFont="1" applyFill="1" applyBorder="1"/>
    <xf numFmtId="0" fontId="1" fillId="4" borderId="49" xfId="0" applyFont="1" applyFill="1" applyBorder="1"/>
    <xf numFmtId="0" fontId="1" fillId="10" borderId="23" xfId="0" applyFont="1" applyFill="1" applyBorder="1"/>
    <xf numFmtId="0" fontId="1" fillId="10" borderId="46" xfId="0" applyFont="1" applyFill="1" applyBorder="1"/>
    <xf numFmtId="0" fontId="1" fillId="10" borderId="52" xfId="0" applyFont="1" applyFill="1" applyBorder="1"/>
    <xf numFmtId="0" fontId="1" fillId="20" borderId="59" xfId="0" applyFont="1" applyFill="1" applyBorder="1"/>
    <xf numFmtId="0" fontId="1" fillId="20" borderId="56" xfId="0" applyFont="1" applyFill="1" applyBorder="1"/>
    <xf numFmtId="0" fontId="1" fillId="20" borderId="155" xfId="0" applyFont="1" applyFill="1" applyBorder="1"/>
    <xf numFmtId="0" fontId="1" fillId="19" borderId="55" xfId="0" applyFont="1" applyFill="1" applyBorder="1"/>
    <xf numFmtId="0" fontId="1" fillId="19" borderId="56" xfId="0" applyFont="1" applyFill="1" applyBorder="1"/>
    <xf numFmtId="0" fontId="1" fillId="19" borderId="155" xfId="0" applyFont="1" applyFill="1" applyBorder="1"/>
    <xf numFmtId="0" fontId="1" fillId="4" borderId="151" xfId="0" applyFont="1" applyFill="1" applyBorder="1"/>
    <xf numFmtId="172" fontId="1" fillId="11" borderId="23" xfId="1" applyNumberFormat="1" applyFont="1" applyFill="1" applyBorder="1"/>
    <xf numFmtId="172" fontId="1" fillId="11" borderId="46" xfId="1" applyNumberFormat="1" applyFont="1" applyFill="1" applyBorder="1"/>
    <xf numFmtId="172" fontId="1" fillId="11" borderId="52" xfId="1" applyNumberFormat="1" applyFont="1" applyFill="1" applyBorder="1"/>
    <xf numFmtId="172" fontId="1" fillId="10" borderId="23" xfId="1" applyNumberFormat="1" applyFont="1" applyFill="1" applyBorder="1"/>
    <xf numFmtId="172" fontId="1" fillId="10" borderId="46" xfId="1" applyNumberFormat="1" applyFont="1" applyFill="1" applyBorder="1"/>
    <xf numFmtId="172" fontId="1" fillId="10" borderId="52" xfId="0" applyNumberFormat="1" applyFont="1" applyFill="1" applyBorder="1"/>
    <xf numFmtId="172" fontId="1" fillId="20" borderId="59" xfId="1" applyNumberFormat="1" applyFont="1" applyFill="1" applyBorder="1"/>
    <xf numFmtId="172" fontId="1" fillId="20" borderId="56" xfId="1" applyNumberFormat="1" applyFont="1" applyFill="1" applyBorder="1"/>
    <xf numFmtId="172" fontId="1" fillId="20" borderId="155" xfId="0" applyNumberFormat="1" applyFont="1" applyFill="1" applyBorder="1"/>
    <xf numFmtId="172" fontId="1" fillId="19" borderId="55" xfId="1" applyNumberFormat="1" applyFont="1" applyFill="1" applyBorder="1"/>
    <xf numFmtId="172" fontId="1" fillId="19" borderId="56" xfId="1" applyNumberFormat="1" applyFont="1" applyFill="1" applyBorder="1"/>
    <xf numFmtId="172" fontId="1" fillId="19" borderId="155" xfId="0" applyNumberFormat="1" applyFont="1" applyFill="1" applyBorder="1"/>
    <xf numFmtId="172" fontId="1" fillId="10" borderId="52" xfId="1" applyNumberFormat="1" applyFont="1" applyFill="1" applyBorder="1"/>
    <xf numFmtId="172" fontId="1" fillId="20" borderId="155" xfId="1" applyNumberFormat="1" applyFont="1" applyFill="1" applyBorder="1"/>
    <xf numFmtId="172" fontId="1" fillId="4" borderId="151" xfId="1" applyNumberFormat="1" applyFont="1" applyFill="1" applyBorder="1"/>
    <xf numFmtId="172" fontId="1" fillId="19" borderId="155" xfId="1" applyNumberFormat="1" applyFont="1" applyFill="1" applyBorder="1"/>
    <xf numFmtId="0" fontId="1" fillId="12" borderId="24" xfId="0" applyFont="1" applyFill="1" applyBorder="1"/>
    <xf numFmtId="0" fontId="1" fillId="4" borderId="0" xfId="0" applyFont="1" applyFill="1" applyAlignment="1">
      <alignment vertical="center"/>
    </xf>
    <xf numFmtId="172" fontId="1" fillId="11" borderId="0" xfId="1" applyNumberFormat="1" applyFont="1" applyFill="1" applyBorder="1"/>
    <xf numFmtId="0" fontId="1" fillId="4" borderId="0" xfId="0" applyFont="1" applyFill="1"/>
    <xf numFmtId="0" fontId="1" fillId="0" borderId="0" xfId="0" applyFont="1" applyAlignment="1">
      <alignment horizontal="center"/>
    </xf>
    <xf numFmtId="0" fontId="1" fillId="17" borderId="0" xfId="0" applyFont="1" applyFill="1"/>
    <xf numFmtId="0" fontId="1" fillId="18" borderId="0" xfId="0" applyFont="1" applyFill="1"/>
    <xf numFmtId="0" fontId="1" fillId="0" borderId="59" xfId="0" applyFont="1" applyBorder="1"/>
    <xf numFmtId="0" fontId="1" fillId="0" borderId="55" xfId="0" applyFont="1" applyBorder="1"/>
    <xf numFmtId="0" fontId="1" fillId="11" borderId="67" xfId="0" applyFont="1" applyFill="1" applyBorder="1"/>
    <xf numFmtId="0" fontId="1" fillId="10" borderId="68" xfId="0" applyFont="1" applyFill="1" applyBorder="1"/>
    <xf numFmtId="0" fontId="1" fillId="0" borderId="63" xfId="0" applyFont="1" applyBorder="1" applyAlignment="1">
      <alignment horizontal="center"/>
    </xf>
    <xf numFmtId="0" fontId="1" fillId="20" borderId="67" xfId="0" applyFont="1" applyFill="1" applyBorder="1"/>
    <xf numFmtId="0" fontId="1" fillId="19" borderId="68" xfId="0" applyFont="1" applyFill="1" applyBorder="1"/>
    <xf numFmtId="0" fontId="1" fillId="20" borderId="0" xfId="0" applyFont="1" applyFill="1"/>
    <xf numFmtId="0" fontId="1" fillId="19" borderId="0" xfId="0" applyFont="1" applyFill="1"/>
    <xf numFmtId="172" fontId="1" fillId="11" borderId="67" xfId="1" applyNumberFormat="1" applyFont="1" applyFill="1" applyBorder="1"/>
    <xf numFmtId="172" fontId="1" fillId="10" borderId="68" xfId="1" applyNumberFormat="1" applyFont="1" applyFill="1" applyBorder="1"/>
    <xf numFmtId="172" fontId="1" fillId="20" borderId="67" xfId="1" applyNumberFormat="1" applyFont="1" applyFill="1" applyBorder="1"/>
    <xf numFmtId="172" fontId="1" fillId="19" borderId="68" xfId="1" applyNumberFormat="1" applyFont="1" applyFill="1" applyBorder="1"/>
    <xf numFmtId="0" fontId="1" fillId="0" borderId="55" xfId="0" quotePrefix="1" applyFont="1" applyBorder="1"/>
    <xf numFmtId="0" fontId="1" fillId="0" borderId="56" xfId="0" quotePrefix="1" applyFont="1" applyBorder="1"/>
    <xf numFmtId="0" fontId="1" fillId="0" borderId="56" xfId="0" quotePrefix="1" applyFont="1" applyBorder="1" applyAlignment="1">
      <alignment wrapText="1"/>
    </xf>
    <xf numFmtId="0" fontId="1" fillId="0" borderId="56" xfId="0" applyFont="1" applyBorder="1"/>
    <xf numFmtId="0" fontId="1" fillId="0" borderId="56" xfId="0" applyFont="1" applyBorder="1" applyAlignment="1">
      <alignment wrapText="1"/>
    </xf>
    <xf numFmtId="0" fontId="1" fillId="41" borderId="0" xfId="0" applyFont="1" applyFill="1"/>
    <xf numFmtId="172" fontId="1" fillId="0" borderId="0" xfId="0" applyNumberFormat="1" applyFont="1" applyAlignment="1">
      <alignment horizontal="center"/>
    </xf>
    <xf numFmtId="0" fontId="1" fillId="0" borderId="0" xfId="0" applyFont="1" applyAlignment="1">
      <alignment horizontal="right"/>
    </xf>
    <xf numFmtId="0" fontId="1" fillId="4" borderId="29" xfId="0" applyFont="1" applyFill="1" applyBorder="1"/>
    <xf numFmtId="0" fontId="1" fillId="4" borderId="29" xfId="0" applyFont="1" applyFill="1" applyBorder="1" applyAlignment="1">
      <alignment vertical="center"/>
    </xf>
    <xf numFmtId="0" fontId="1" fillId="12" borderId="30" xfId="0" applyFont="1" applyFill="1" applyBorder="1"/>
    <xf numFmtId="0" fontId="1" fillId="12" borderId="99" xfId="0" applyFont="1" applyFill="1" applyBorder="1"/>
    <xf numFmtId="0" fontId="1" fillId="12" borderId="27" xfId="0" applyFont="1" applyFill="1" applyBorder="1" applyAlignment="1">
      <alignment horizontal="center"/>
    </xf>
    <xf numFmtId="0" fontId="1" fillId="12" borderId="27" xfId="0" applyFont="1" applyFill="1" applyBorder="1"/>
    <xf numFmtId="0" fontId="1" fillId="11" borderId="27" xfId="0" applyFont="1" applyFill="1" applyBorder="1"/>
    <xf numFmtId="0" fontId="1" fillId="4" borderId="27" xfId="0" applyFont="1" applyFill="1" applyBorder="1"/>
    <xf numFmtId="0" fontId="1" fillId="10" borderId="27" xfId="0" applyFont="1" applyFill="1" applyBorder="1"/>
    <xf numFmtId="0" fontId="1" fillId="10" borderId="31" xfId="0" applyFont="1" applyFill="1" applyBorder="1"/>
    <xf numFmtId="0" fontId="1" fillId="12" borderId="0" xfId="0" applyFont="1" applyFill="1"/>
    <xf numFmtId="0" fontId="1" fillId="7" borderId="0" xfId="0" applyFont="1" applyFill="1"/>
    <xf numFmtId="0" fontId="1" fillId="11" borderId="0" xfId="0" applyFont="1" applyFill="1"/>
    <xf numFmtId="172" fontId="1" fillId="7" borderId="0" xfId="1" applyNumberFormat="1" applyFont="1" applyFill="1"/>
    <xf numFmtId="172" fontId="1" fillId="4" borderId="27" xfId="1" applyNumberFormat="1" applyFont="1" applyFill="1" applyBorder="1"/>
    <xf numFmtId="172" fontId="1" fillId="19" borderId="0" xfId="1" applyNumberFormat="1" applyFont="1" applyFill="1"/>
    <xf numFmtId="0" fontId="1" fillId="12" borderId="30" xfId="0" applyFont="1" applyFill="1" applyBorder="1" applyAlignment="1">
      <alignment horizontal="center"/>
    </xf>
    <xf numFmtId="0" fontId="1" fillId="12" borderId="99" xfId="0" applyFont="1" applyFill="1" applyBorder="1" applyAlignment="1">
      <alignment horizontal="center"/>
    </xf>
    <xf numFmtId="0" fontId="1" fillId="12" borderId="27" xfId="0" quotePrefix="1" applyFont="1" applyFill="1" applyBorder="1" applyAlignment="1">
      <alignment horizontal="center"/>
    </xf>
    <xf numFmtId="172" fontId="1" fillId="11" borderId="27" xfId="1" applyNumberFormat="1" applyFont="1" applyFill="1" applyBorder="1"/>
    <xf numFmtId="172" fontId="1" fillId="11" borderId="27" xfId="0" applyNumberFormat="1" applyFont="1" applyFill="1" applyBorder="1"/>
    <xf numFmtId="172" fontId="1" fillId="10" borderId="27" xfId="1" applyNumberFormat="1" applyFont="1" applyFill="1" applyBorder="1"/>
    <xf numFmtId="172" fontId="1" fillId="10" borderId="31" xfId="0" applyNumberFormat="1" applyFont="1" applyFill="1" applyBorder="1"/>
    <xf numFmtId="9" fontId="1" fillId="0" borderId="0" xfId="6" applyFont="1"/>
    <xf numFmtId="0" fontId="1" fillId="12" borderId="0" xfId="0" applyFont="1" applyFill="1" applyAlignment="1">
      <alignment horizontal="center"/>
    </xf>
    <xf numFmtId="172" fontId="1" fillId="7" borderId="0" xfId="0" applyNumberFormat="1" applyFont="1" applyFill="1"/>
    <xf numFmtId="172" fontId="1" fillId="11" borderId="0" xfId="0" applyNumberFormat="1" applyFont="1" applyFill="1"/>
    <xf numFmtId="172" fontId="1" fillId="11" borderId="0" xfId="1" applyNumberFormat="1" applyFont="1" applyFill="1"/>
    <xf numFmtId="172" fontId="1" fillId="20" borderId="0" xfId="0" applyNumberFormat="1" applyFont="1" applyFill="1"/>
    <xf numFmtId="172" fontId="1" fillId="20" borderId="0" xfId="1" applyNumberFormat="1" applyFont="1" applyFill="1"/>
    <xf numFmtId="0" fontId="1" fillId="12" borderId="27" xfId="0" quotePrefix="1" applyFont="1" applyFill="1" applyBorder="1" applyAlignment="1">
      <alignment horizontal="left"/>
    </xf>
    <xf numFmtId="0" fontId="1" fillId="12" borderId="27" xfId="0" quotePrefix="1" applyFont="1" applyFill="1" applyBorder="1"/>
    <xf numFmtId="172" fontId="1" fillId="10" borderId="27" xfId="1" applyNumberFormat="1" applyFont="1" applyFill="1" applyBorder="1" applyAlignment="1">
      <alignment horizontal="right"/>
    </xf>
    <xf numFmtId="0" fontId="1" fillId="12" borderId="27" xfId="0" applyFont="1" applyFill="1" applyBorder="1" applyAlignment="1">
      <alignment horizontal="left"/>
    </xf>
    <xf numFmtId="43" fontId="1" fillId="11" borderId="27" xfId="1" applyFont="1" applyFill="1" applyBorder="1"/>
    <xf numFmtId="172" fontId="1" fillId="41" borderId="0" xfId="1" applyNumberFormat="1" applyFont="1" applyFill="1"/>
    <xf numFmtId="172" fontId="1" fillId="11" borderId="27" xfId="1" applyNumberFormat="1" applyFont="1" applyFill="1" applyBorder="1" applyAlignment="1">
      <alignment horizontal="center"/>
    </xf>
    <xf numFmtId="43" fontId="1" fillId="11" borderId="27" xfId="1" applyFont="1" applyFill="1" applyBorder="1" applyAlignment="1">
      <alignment horizontal="center"/>
    </xf>
    <xf numFmtId="0" fontId="1" fillId="4" borderId="27" xfId="0" applyFont="1" applyFill="1" applyBorder="1" applyAlignment="1">
      <alignment horizontal="center"/>
    </xf>
    <xf numFmtId="172" fontId="1" fillId="10" borderId="27" xfId="1" applyNumberFormat="1" applyFont="1" applyFill="1" applyBorder="1" applyAlignment="1">
      <alignment horizontal="center"/>
    </xf>
    <xf numFmtId="172" fontId="1" fillId="10" borderId="31" xfId="0" applyNumberFormat="1" applyFont="1" applyFill="1" applyBorder="1" applyAlignment="1">
      <alignment horizontal="center"/>
    </xf>
    <xf numFmtId="0" fontId="1" fillId="4" borderId="0" xfId="0" applyFont="1" applyFill="1" applyAlignment="1">
      <alignment horizontal="center"/>
    </xf>
    <xf numFmtId="9" fontId="1" fillId="0" borderId="0" xfId="6" applyFont="1" applyAlignment="1">
      <alignment horizontal="center"/>
    </xf>
    <xf numFmtId="0" fontId="1" fillId="41" borderId="0" xfId="0" applyFont="1" applyFill="1" applyAlignment="1">
      <alignment horizontal="center"/>
    </xf>
    <xf numFmtId="172" fontId="1" fillId="4" borderId="27" xfId="1" applyNumberFormat="1" applyFont="1" applyFill="1" applyBorder="1" applyAlignment="1">
      <alignment horizontal="center"/>
    </xf>
    <xf numFmtId="0" fontId="1" fillId="12" borderId="99" xfId="0" quotePrefix="1" applyFont="1" applyFill="1" applyBorder="1" applyAlignment="1">
      <alignment horizontal="center"/>
    </xf>
    <xf numFmtId="172" fontId="1" fillId="41" borderId="0" xfId="0" applyNumberFormat="1" applyFont="1" applyFill="1"/>
    <xf numFmtId="0" fontId="1" fillId="12" borderId="30" xfId="0" quotePrefix="1" applyFont="1" applyFill="1" applyBorder="1" applyAlignment="1">
      <alignment horizontal="center"/>
    </xf>
    <xf numFmtId="9" fontId="1" fillId="10" borderId="0" xfId="6" applyFont="1" applyFill="1"/>
    <xf numFmtId="9" fontId="1" fillId="0" borderId="0" xfId="6" applyFont="1" applyFill="1"/>
    <xf numFmtId="0" fontId="1" fillId="5" borderId="99" xfId="0" applyFont="1" applyFill="1" applyBorder="1" applyAlignment="1">
      <alignment horizontal="center"/>
    </xf>
    <xf numFmtId="0" fontId="1" fillId="12" borderId="101" xfId="0" applyFont="1" applyFill="1" applyBorder="1" applyAlignment="1">
      <alignment horizontal="center"/>
    </xf>
    <xf numFmtId="0" fontId="1" fillId="12" borderId="102" xfId="0" applyFont="1" applyFill="1" applyBorder="1"/>
    <xf numFmtId="0" fontId="1" fillId="12" borderId="103" xfId="0" applyFont="1" applyFill="1" applyBorder="1" applyAlignment="1">
      <alignment horizontal="center"/>
    </xf>
    <xf numFmtId="0" fontId="1" fillId="12" borderId="103" xfId="0" quotePrefix="1" applyFont="1" applyFill="1" applyBorder="1"/>
    <xf numFmtId="0" fontId="1" fillId="12" borderId="103" xfId="0" applyFont="1" applyFill="1" applyBorder="1"/>
    <xf numFmtId="172" fontId="1" fillId="11" borderId="103" xfId="1" applyNumberFormat="1" applyFont="1" applyFill="1" applyBorder="1"/>
    <xf numFmtId="0" fontId="1" fillId="4" borderId="103" xfId="0" applyFont="1" applyFill="1" applyBorder="1"/>
    <xf numFmtId="172" fontId="1" fillId="10" borderId="103" xfId="1" applyNumberFormat="1" applyFont="1" applyFill="1" applyBorder="1"/>
    <xf numFmtId="172" fontId="1" fillId="10" borderId="104" xfId="1" applyNumberFormat="1" applyFont="1" applyFill="1" applyBorder="1"/>
    <xf numFmtId="172" fontId="1" fillId="4" borderId="103" xfId="1" applyNumberFormat="1" applyFont="1" applyFill="1" applyBorder="1"/>
    <xf numFmtId="0" fontId="1" fillId="12" borderId="101" xfId="0" applyFont="1" applyFill="1" applyBorder="1"/>
    <xf numFmtId="0" fontId="1" fillId="11" borderId="103" xfId="0" applyFont="1" applyFill="1" applyBorder="1"/>
    <xf numFmtId="0" fontId="1" fillId="10" borderId="103" xfId="0" applyFont="1" applyFill="1" applyBorder="1"/>
    <xf numFmtId="0" fontId="1" fillId="10" borderId="104" xfId="0" applyFont="1" applyFill="1" applyBorder="1"/>
    <xf numFmtId="10" fontId="1" fillId="21" borderId="0" xfId="6" applyNumberFormat="1" applyFont="1" applyFill="1"/>
    <xf numFmtId="10" fontId="1" fillId="10" borderId="0" xfId="6" applyNumberFormat="1" applyFont="1" applyFill="1" applyAlignment="1">
      <alignment horizontal="right"/>
    </xf>
    <xf numFmtId="172" fontId="1" fillId="21" borderId="0" xfId="1" applyNumberFormat="1" applyFont="1" applyFill="1"/>
    <xf numFmtId="172" fontId="1" fillId="10" borderId="0" xfId="1" applyNumberFormat="1" applyFont="1" applyFill="1" applyAlignment="1">
      <alignment horizontal="right"/>
    </xf>
    <xf numFmtId="0" fontId="1" fillId="21" borderId="0" xfId="0" applyFont="1" applyFill="1"/>
    <xf numFmtId="0" fontId="1" fillId="10" borderId="0" xfId="0" applyFont="1" applyFill="1"/>
    <xf numFmtId="172" fontId="1" fillId="21" borderId="0" xfId="0" applyNumberFormat="1" applyFont="1" applyFill="1"/>
    <xf numFmtId="10" fontId="1" fillId="10" borderId="0" xfId="0" applyNumberFormat="1" applyFont="1" applyFill="1"/>
    <xf numFmtId="0" fontId="1" fillId="21" borderId="0" xfId="0" applyFont="1" applyFill="1" applyAlignment="1">
      <alignment horizontal="right"/>
    </xf>
    <xf numFmtId="10" fontId="1" fillId="21" borderId="0" xfId="0" applyNumberFormat="1" applyFont="1" applyFill="1"/>
    <xf numFmtId="172" fontId="1" fillId="10" borderId="0" xfId="0" applyNumberFormat="1" applyFont="1" applyFill="1"/>
    <xf numFmtId="10" fontId="1" fillId="10" borderId="0" xfId="0" applyNumberFormat="1" applyFont="1" applyFill="1" applyAlignment="1">
      <alignment horizontal="right"/>
    </xf>
    <xf numFmtId="3" fontId="1" fillId="21" borderId="0" xfId="0" applyNumberFormat="1" applyFont="1" applyFill="1"/>
    <xf numFmtId="0" fontId="1" fillId="0" borderId="0" xfId="0" quotePrefix="1" applyFont="1" applyAlignment="1">
      <alignment wrapText="1"/>
    </xf>
    <xf numFmtId="174" fontId="1" fillId="0" borderId="0" xfId="0" applyNumberFormat="1" applyFont="1"/>
    <xf numFmtId="0" fontId="1" fillId="0" borderId="0" xfId="0" applyFont="1" applyAlignment="1">
      <alignment wrapText="1"/>
    </xf>
    <xf numFmtId="10" fontId="1" fillId="0" borderId="0" xfId="6" applyNumberFormat="1" applyFont="1"/>
    <xf numFmtId="0" fontId="1" fillId="5" borderId="0" xfId="0" quotePrefix="1" applyFont="1" applyFill="1" applyAlignment="1">
      <alignment horizontal="left"/>
    </xf>
    <xf numFmtId="0" fontId="1" fillId="5" borderId="0" xfId="0" applyFont="1" applyFill="1"/>
    <xf numFmtId="172" fontId="1" fillId="5" borderId="0" xfId="1" applyNumberFormat="1" applyFont="1" applyFill="1"/>
    <xf numFmtId="0" fontId="1" fillId="5" borderId="0" xfId="0" quotePrefix="1" applyFont="1" applyFill="1"/>
    <xf numFmtId="0" fontId="1" fillId="5" borderId="0" xfId="0" quotePrefix="1" applyFont="1" applyFill="1" applyAlignment="1">
      <alignment wrapText="1"/>
    </xf>
    <xf numFmtId="172" fontId="1" fillId="0" borderId="0" xfId="1" applyNumberFormat="1" applyFont="1" applyFill="1"/>
    <xf numFmtId="172" fontId="1" fillId="0" borderId="0" xfId="0" applyNumberFormat="1" applyFont="1" applyAlignment="1">
      <alignment horizontal="right"/>
    </xf>
    <xf numFmtId="0" fontId="1" fillId="0" borderId="0" xfId="0" applyFont="1" applyAlignment="1">
      <alignment horizontal="left"/>
    </xf>
    <xf numFmtId="172" fontId="1" fillId="21" borderId="80" xfId="0" applyNumberFormat="1" applyFont="1" applyFill="1" applyBorder="1"/>
    <xf numFmtId="0" fontId="1" fillId="0" borderId="0" xfId="0" applyFont="1" applyAlignment="1">
      <alignment horizontal="center" vertical="center"/>
    </xf>
    <xf numFmtId="43" fontId="1" fillId="21" borderId="0" xfId="1" applyFont="1" applyFill="1"/>
    <xf numFmtId="43" fontId="1" fillId="10" borderId="0" xfId="1" applyFont="1" applyFill="1"/>
    <xf numFmtId="3" fontId="1" fillId="0" borderId="0" xfId="0" applyNumberFormat="1" applyFont="1"/>
    <xf numFmtId="172" fontId="1" fillId="0" borderId="0" xfId="0" applyNumberFormat="1" applyFont="1" applyAlignment="1">
      <alignment horizontal="left"/>
    </xf>
    <xf numFmtId="3" fontId="1" fillId="0" borderId="0" xfId="0" applyNumberFormat="1" applyFont="1" applyAlignment="1">
      <alignment horizontal="right" vertical="center" wrapText="1"/>
    </xf>
    <xf numFmtId="0" fontId="1" fillId="89" borderId="0" xfId="0" applyFont="1" applyFill="1"/>
    <xf numFmtId="0" fontId="1" fillId="21" borderId="0" xfId="0" applyFont="1" applyFill="1" applyAlignment="1">
      <alignment wrapText="1"/>
    </xf>
    <xf numFmtId="15" fontId="1" fillId="21" borderId="0" xfId="0" applyNumberFormat="1" applyFont="1" applyFill="1"/>
    <xf numFmtId="9" fontId="1" fillId="21" borderId="0" xfId="0" applyNumberFormat="1" applyFont="1" applyFill="1"/>
    <xf numFmtId="10" fontId="1" fillId="10" borderId="0" xfId="6" applyNumberFormat="1" applyFont="1" applyFill="1"/>
    <xf numFmtId="172" fontId="1" fillId="5" borderId="0" xfId="0" applyNumberFormat="1" applyFont="1" applyFill="1"/>
    <xf numFmtId="172" fontId="1" fillId="21" borderId="0" xfId="7" applyNumberFormat="1" applyFont="1" applyFill="1"/>
    <xf numFmtId="172" fontId="1" fillId="21" borderId="35" xfId="0" applyNumberFormat="1" applyFont="1" applyFill="1" applyBorder="1"/>
    <xf numFmtId="172" fontId="1" fillId="10" borderId="35" xfId="0" applyNumberFormat="1" applyFont="1" applyFill="1" applyBorder="1"/>
    <xf numFmtId="9" fontId="1" fillId="10" borderId="0" xfId="0" applyNumberFormat="1" applyFont="1" applyFill="1"/>
    <xf numFmtId="172" fontId="1" fillId="21" borderId="0" xfId="1" applyNumberFormat="1" applyFont="1" applyFill="1" applyBorder="1"/>
    <xf numFmtId="172" fontId="1" fillId="10" borderId="0" xfId="1" applyNumberFormat="1" applyFont="1" applyFill="1" applyBorder="1"/>
    <xf numFmtId="0" fontId="1" fillId="21" borderId="0" xfId="0" applyFont="1" applyFill="1" applyAlignment="1">
      <alignment horizontal="left"/>
    </xf>
    <xf numFmtId="172" fontId="1" fillId="0" borderId="0" xfId="1" applyNumberFormat="1" applyFont="1" applyBorder="1"/>
    <xf numFmtId="0" fontId="1" fillId="0" borderId="0" xfId="0" applyFont="1" applyAlignment="1">
      <alignment horizontal="centerContinuous"/>
    </xf>
    <xf numFmtId="10" fontId="1" fillId="20" borderId="0" xfId="6" applyNumberFormat="1" applyFont="1" applyFill="1"/>
    <xf numFmtId="10" fontId="1" fillId="19" borderId="0" xfId="6" applyNumberFormat="1" applyFont="1" applyFill="1" applyAlignment="1">
      <alignment horizontal="right"/>
    </xf>
    <xf numFmtId="172" fontId="1" fillId="19" borderId="0" xfId="1" applyNumberFormat="1" applyFont="1" applyFill="1" applyAlignment="1">
      <alignment horizontal="right"/>
    </xf>
    <xf numFmtId="10" fontId="1" fillId="19" borderId="0" xfId="0" applyNumberFormat="1" applyFont="1" applyFill="1"/>
    <xf numFmtId="0" fontId="1" fillId="20" borderId="0" xfId="0" applyFont="1" applyFill="1" applyAlignment="1">
      <alignment horizontal="right"/>
    </xf>
    <xf numFmtId="10" fontId="1" fillId="20" borderId="0" xfId="0" applyNumberFormat="1" applyFont="1" applyFill="1" applyAlignment="1">
      <alignment horizontal="right"/>
    </xf>
    <xf numFmtId="0" fontId="72" fillId="0" borderId="0" xfId="0" applyFont="1"/>
    <xf numFmtId="172" fontId="1" fillId="19" borderId="0" xfId="0" applyNumberFormat="1" applyFont="1" applyFill="1"/>
    <xf numFmtId="0" fontId="71" fillId="0" borderId="0" xfId="0" applyFont="1"/>
    <xf numFmtId="172" fontId="1" fillId="20" borderId="0" xfId="1" applyNumberFormat="1" applyFont="1" applyFill="1" applyBorder="1"/>
    <xf numFmtId="172" fontId="1" fillId="19" borderId="0" xfId="1" applyNumberFormat="1" applyFont="1" applyFill="1" applyBorder="1"/>
    <xf numFmtId="0" fontId="1" fillId="19" borderId="0" xfId="0" applyFont="1" applyFill="1" applyAlignment="1">
      <alignment horizontal="right"/>
    </xf>
    <xf numFmtId="172" fontId="1" fillId="20" borderId="0" xfId="1" applyNumberFormat="1" applyFont="1" applyFill="1" applyAlignment="1">
      <alignment horizontal="right"/>
    </xf>
    <xf numFmtId="3" fontId="1" fillId="20" borderId="0" xfId="0" applyNumberFormat="1" applyFont="1" applyFill="1" applyAlignment="1">
      <alignment horizontal="right"/>
    </xf>
    <xf numFmtId="3" fontId="1" fillId="20" borderId="0" xfId="0" applyNumberFormat="1" applyFont="1" applyFill="1"/>
    <xf numFmtId="0" fontId="1" fillId="37" borderId="0" xfId="0" applyFont="1" applyFill="1"/>
    <xf numFmtId="172" fontId="1" fillId="37" borderId="0" xfId="0" applyNumberFormat="1" applyFont="1" applyFill="1"/>
    <xf numFmtId="172" fontId="1" fillId="37" borderId="0" xfId="1" applyNumberFormat="1" applyFont="1" applyFill="1"/>
    <xf numFmtId="0" fontId="1" fillId="37" borderId="0" xfId="0" applyFont="1" applyFill="1" applyAlignment="1">
      <alignment horizontal="left"/>
    </xf>
    <xf numFmtId="172" fontId="1" fillId="20" borderId="80" xfId="0" applyNumberFormat="1" applyFont="1" applyFill="1" applyBorder="1"/>
    <xf numFmtId="14" fontId="1" fillId="37" borderId="0" xfId="0" applyNumberFormat="1" applyFont="1" applyFill="1"/>
    <xf numFmtId="0" fontId="1" fillId="37" borderId="0" xfId="0" applyFont="1" applyFill="1" applyAlignment="1">
      <alignment wrapText="1"/>
    </xf>
    <xf numFmtId="0" fontId="1" fillId="37" borderId="0" xfId="0" applyFont="1" applyFill="1" applyAlignment="1">
      <alignment horizontal="justify" vertical="center"/>
    </xf>
    <xf numFmtId="3" fontId="1" fillId="19" borderId="0" xfId="0" applyNumberFormat="1" applyFont="1" applyFill="1"/>
    <xf numFmtId="172" fontId="1" fillId="39" borderId="0" xfId="1" applyNumberFormat="1" applyFont="1" applyFill="1"/>
    <xf numFmtId="38" fontId="1" fillId="10" borderId="0" xfId="0" applyNumberFormat="1" applyFont="1" applyFill="1"/>
    <xf numFmtId="0" fontId="1" fillId="39" borderId="0" xfId="0" applyFont="1" applyFill="1"/>
    <xf numFmtId="38" fontId="1" fillId="39" borderId="0" xfId="0" applyNumberFormat="1" applyFont="1" applyFill="1"/>
    <xf numFmtId="172" fontId="1" fillId="39" borderId="0" xfId="0" applyNumberFormat="1" applyFont="1" applyFill="1"/>
    <xf numFmtId="0" fontId="1" fillId="20" borderId="0" xfId="0" applyFont="1" applyFill="1" applyAlignment="1">
      <alignment wrapText="1"/>
    </xf>
    <xf numFmtId="10" fontId="1" fillId="19" borderId="0" xfId="6" applyNumberFormat="1" applyFont="1" applyFill="1"/>
    <xf numFmtId="0" fontId="1" fillId="0" borderId="0" xfId="0" applyFont="1" applyAlignment="1">
      <alignment horizontal="right" vertical="center" wrapText="1"/>
    </xf>
    <xf numFmtId="172" fontId="1" fillId="20" borderId="0" xfId="1" applyNumberFormat="1" applyFont="1" applyFill="1" applyAlignment="1">
      <alignment horizontal="center"/>
    </xf>
    <xf numFmtId="172" fontId="1" fillId="19" borderId="0" xfId="1" applyNumberFormat="1" applyFont="1" applyFill="1" applyAlignment="1">
      <alignment horizontal="center"/>
    </xf>
    <xf numFmtId="0" fontId="1" fillId="0" borderId="99" xfId="0" applyFont="1" applyBorder="1" applyAlignment="1">
      <alignment horizontal="center"/>
    </xf>
    <xf numFmtId="0" fontId="1" fillId="0" borderId="0" xfId="0" applyFont="1" applyAlignment="1">
      <alignment horizontal="justify" vertical="center" wrapText="1"/>
    </xf>
    <xf numFmtId="43" fontId="1" fillId="0" borderId="0" xfId="1" applyFont="1"/>
    <xf numFmtId="172" fontId="23" fillId="20" borderId="0" xfId="0" applyNumberFormat="1" applyFont="1" applyFill="1"/>
    <xf numFmtId="0" fontId="1" fillId="20" borderId="0" xfId="0" applyFont="1" applyFill="1" applyAlignment="1">
      <alignment horizontal="left"/>
    </xf>
    <xf numFmtId="0" fontId="1" fillId="19" borderId="0" xfId="0" applyFont="1" applyFill="1" applyAlignment="1">
      <alignment horizontal="left"/>
    </xf>
    <xf numFmtId="0" fontId="1" fillId="19" borderId="0" xfId="0" applyFont="1" applyFill="1" applyAlignment="1">
      <alignment wrapText="1"/>
    </xf>
    <xf numFmtId="0" fontId="1" fillId="7" borderId="0" xfId="0" applyFont="1" applyFill="1" applyAlignment="1">
      <alignment horizontal="left"/>
    </xf>
    <xf numFmtId="0" fontId="1" fillId="7" borderId="0" xfId="0" quotePrefix="1" applyFont="1" applyFill="1" applyAlignment="1">
      <alignment wrapText="1"/>
    </xf>
    <xf numFmtId="0" fontId="1" fillId="7" borderId="0" xfId="0" applyFont="1" applyFill="1" applyAlignment="1">
      <alignment wrapText="1"/>
    </xf>
    <xf numFmtId="0" fontId="72" fillId="0" borderId="0" xfId="0" applyFont="1" applyAlignment="1">
      <alignment horizontal="justify" vertical="center" wrapText="1"/>
    </xf>
    <xf numFmtId="3" fontId="72" fillId="0" borderId="0" xfId="0" applyNumberFormat="1" applyFont="1"/>
    <xf numFmtId="0" fontId="72" fillId="0" borderId="0" xfId="0" applyFont="1" applyAlignment="1">
      <alignment vertical="center" wrapText="1"/>
    </xf>
    <xf numFmtId="0" fontId="71" fillId="0" borderId="0" xfId="0" applyFont="1" applyAlignment="1">
      <alignment vertical="center" wrapText="1"/>
    </xf>
    <xf numFmtId="3" fontId="71" fillId="0" borderId="0" xfId="0" applyNumberFormat="1" applyFont="1"/>
    <xf numFmtId="0" fontId="1" fillId="0" borderId="0" xfId="0" applyFont="1" applyAlignment="1">
      <alignment vertical="center" wrapText="1"/>
    </xf>
    <xf numFmtId="0" fontId="1" fillId="5" borderId="209" xfId="0" applyFont="1" applyFill="1" applyBorder="1"/>
    <xf numFmtId="0" fontId="1" fillId="5" borderId="209" xfId="0" quotePrefix="1" applyFont="1" applyFill="1" applyBorder="1"/>
    <xf numFmtId="0" fontId="1" fillId="5" borderId="210" xfId="0" applyFont="1" applyFill="1" applyBorder="1"/>
    <xf numFmtId="172" fontId="1" fillId="5" borderId="208" xfId="1" applyNumberFormat="1" applyFont="1" applyFill="1" applyBorder="1"/>
    <xf numFmtId="172" fontId="1" fillId="5" borderId="211" xfId="1" applyNumberFormat="1" applyFont="1" applyFill="1" applyBorder="1"/>
    <xf numFmtId="172" fontId="1" fillId="5" borderId="212" xfId="1" applyNumberFormat="1" applyFont="1" applyFill="1" applyBorder="1"/>
    <xf numFmtId="0" fontId="1" fillId="5" borderId="211" xfId="0" applyFont="1" applyFill="1" applyBorder="1"/>
    <xf numFmtId="0" fontId="1" fillId="0" borderId="209" xfId="0" applyFont="1" applyBorder="1"/>
    <xf numFmtId="0" fontId="1" fillId="0" borderId="209" xfId="0" quotePrefix="1" applyFont="1" applyBorder="1"/>
    <xf numFmtId="0" fontId="1" fillId="0" borderId="210" xfId="0" applyFont="1" applyBorder="1"/>
    <xf numFmtId="172" fontId="1" fillId="0" borderId="208" xfId="1" applyNumberFormat="1" applyFont="1" applyBorder="1"/>
    <xf numFmtId="172" fontId="1" fillId="0" borderId="211" xfId="1" applyNumberFormat="1" applyFont="1" applyBorder="1"/>
    <xf numFmtId="172" fontId="1" fillId="0" borderId="212" xfId="1" applyNumberFormat="1" applyFont="1" applyBorder="1"/>
    <xf numFmtId="0" fontId="1" fillId="0" borderId="211" xfId="0" applyFont="1" applyBorder="1"/>
    <xf numFmtId="0" fontId="1" fillId="0" borderId="170" xfId="0" applyFont="1" applyBorder="1" applyAlignment="1">
      <alignment readingOrder="1"/>
    </xf>
    <xf numFmtId="0" fontId="1" fillId="0" borderId="208" xfId="0" applyFont="1" applyBorder="1"/>
    <xf numFmtId="0" fontId="1" fillId="0" borderId="173" xfId="0" applyFont="1" applyBorder="1" applyAlignment="1">
      <alignment readingOrder="1"/>
    </xf>
    <xf numFmtId="0" fontId="1" fillId="48" borderId="173" xfId="0" applyFont="1" applyFill="1" applyBorder="1" applyAlignment="1">
      <alignment readingOrder="1"/>
    </xf>
    <xf numFmtId="0" fontId="1" fillId="0" borderId="213" xfId="0" applyFont="1" applyBorder="1"/>
    <xf numFmtId="10" fontId="1" fillId="0" borderId="209" xfId="6" applyNumberFormat="1" applyFont="1" applyBorder="1"/>
    <xf numFmtId="0" fontId="1" fillId="0" borderId="209" xfId="0" applyFont="1" applyBorder="1" applyAlignment="1">
      <alignment horizontal="left"/>
    </xf>
    <xf numFmtId="3" fontId="1" fillId="0" borderId="174" xfId="0" applyNumberFormat="1" applyFont="1" applyBorder="1" applyAlignment="1">
      <alignment readingOrder="1"/>
    </xf>
    <xf numFmtId="172" fontId="1" fillId="0" borderId="208" xfId="1" applyNumberFormat="1" applyFont="1" applyFill="1" applyBorder="1"/>
    <xf numFmtId="172" fontId="1" fillId="0" borderId="211" xfId="1" applyNumberFormat="1" applyFont="1" applyFill="1" applyBorder="1"/>
    <xf numFmtId="172" fontId="1" fillId="0" borderId="212" xfId="1" applyNumberFormat="1" applyFont="1" applyFill="1" applyBorder="1"/>
    <xf numFmtId="49" fontId="1" fillId="0" borderId="209" xfId="0" applyNumberFormat="1" applyFont="1" applyBorder="1"/>
    <xf numFmtId="172" fontId="1" fillId="0" borderId="208" xfId="1" applyNumberFormat="1" applyFont="1" applyBorder="1" applyAlignment="1">
      <alignment horizontal="left"/>
    </xf>
    <xf numFmtId="172" fontId="1" fillId="0" borderId="211" xfId="1" applyNumberFormat="1" applyFont="1" applyBorder="1" applyAlignment="1">
      <alignment horizontal="left"/>
    </xf>
    <xf numFmtId="0" fontId="1" fillId="48" borderId="176" xfId="0" applyFont="1" applyFill="1" applyBorder="1" applyAlignment="1">
      <alignment readingOrder="1"/>
    </xf>
    <xf numFmtId="0" fontId="1" fillId="0" borderId="200" xfId="0" applyFont="1" applyBorder="1"/>
    <xf numFmtId="0" fontId="1" fillId="0" borderId="214" xfId="0" applyFont="1" applyBorder="1"/>
    <xf numFmtId="172" fontId="1" fillId="0" borderId="213" xfId="1" applyNumberFormat="1" applyFont="1" applyFill="1" applyBorder="1"/>
    <xf numFmtId="172" fontId="1" fillId="0" borderId="214" xfId="1" applyNumberFormat="1" applyFont="1" applyBorder="1"/>
    <xf numFmtId="172" fontId="1" fillId="0" borderId="214" xfId="1" applyNumberFormat="1" applyFont="1" applyFill="1" applyBorder="1"/>
    <xf numFmtId="172" fontId="1" fillId="0" borderId="213" xfId="1" applyNumberFormat="1" applyFont="1" applyBorder="1"/>
    <xf numFmtId="0" fontId="1" fillId="0" borderId="199" xfId="0" applyFont="1" applyBorder="1"/>
    <xf numFmtId="0" fontId="1" fillId="0" borderId="162" xfId="0" applyFont="1" applyBorder="1"/>
    <xf numFmtId="0" fontId="1" fillId="0" borderId="162" xfId="0" quotePrefix="1" applyFont="1" applyBorder="1"/>
    <xf numFmtId="172" fontId="1" fillId="0" borderId="206" xfId="1" applyNumberFormat="1" applyFont="1" applyFill="1" applyBorder="1"/>
    <xf numFmtId="172" fontId="1" fillId="0" borderId="207" xfId="1" applyNumberFormat="1" applyFont="1" applyFill="1" applyBorder="1"/>
    <xf numFmtId="172" fontId="1" fillId="0" borderId="162" xfId="1" applyNumberFormat="1" applyFont="1" applyBorder="1"/>
    <xf numFmtId="0" fontId="1" fillId="0" borderId="163" xfId="0" applyFont="1" applyBorder="1"/>
    <xf numFmtId="172" fontId="1" fillId="0" borderId="196" xfId="1" applyNumberFormat="1" applyFont="1" applyFill="1" applyBorder="1"/>
    <xf numFmtId="172" fontId="1" fillId="0" borderId="197" xfId="1" applyNumberFormat="1" applyFont="1" applyFill="1" applyBorder="1"/>
    <xf numFmtId="172" fontId="1" fillId="0" borderId="198" xfId="1" applyNumberFormat="1" applyFont="1" applyBorder="1"/>
    <xf numFmtId="0" fontId="1" fillId="0" borderId="195" xfId="0" applyFont="1" applyBorder="1"/>
    <xf numFmtId="0" fontId="1" fillId="0" borderId="123" xfId="0" applyFont="1" applyBorder="1"/>
    <xf numFmtId="0" fontId="1" fillId="0" borderId="124" xfId="0" applyFont="1" applyBorder="1"/>
    <xf numFmtId="0" fontId="1" fillId="0" borderId="129" xfId="0" applyFont="1" applyBorder="1"/>
    <xf numFmtId="172" fontId="1" fillId="0" borderId="133" xfId="1" applyNumberFormat="1" applyFont="1" applyFill="1" applyBorder="1"/>
    <xf numFmtId="172" fontId="1" fillId="0" borderId="136" xfId="1" applyNumberFormat="1" applyFont="1" applyFill="1" applyBorder="1"/>
    <xf numFmtId="172" fontId="1" fillId="0" borderId="131" xfId="1" applyNumberFormat="1" applyFont="1" applyBorder="1"/>
    <xf numFmtId="172" fontId="1" fillId="0" borderId="125" xfId="1" applyNumberFormat="1" applyFont="1" applyBorder="1"/>
    <xf numFmtId="0" fontId="1" fillId="0" borderId="125" xfId="0" applyFont="1" applyBorder="1"/>
    <xf numFmtId="172" fontId="1" fillId="0" borderId="123" xfId="1" applyNumberFormat="1" applyFont="1" applyBorder="1"/>
    <xf numFmtId="172" fontId="1" fillId="0" borderId="125" xfId="0" applyNumberFormat="1" applyFont="1" applyBorder="1"/>
    <xf numFmtId="0" fontId="1" fillId="0" borderId="124" xfId="0" quotePrefix="1" applyFont="1" applyBorder="1"/>
    <xf numFmtId="172" fontId="1" fillId="0" borderId="123" xfId="1" applyNumberFormat="1" applyFont="1" applyFill="1" applyBorder="1"/>
    <xf numFmtId="172" fontId="1" fillId="0" borderId="125" xfId="1" applyNumberFormat="1" applyFont="1" applyFill="1" applyBorder="1"/>
    <xf numFmtId="172" fontId="1" fillId="0" borderId="131" xfId="1" applyNumberFormat="1" applyFont="1" applyFill="1" applyBorder="1"/>
    <xf numFmtId="0" fontId="1" fillId="0" borderId="134" xfId="0" applyFont="1" applyBorder="1"/>
    <xf numFmtId="172" fontId="1" fillId="0" borderId="137" xfId="1" applyNumberFormat="1" applyFont="1" applyFill="1" applyBorder="1"/>
    <xf numFmtId="0" fontId="1" fillId="0" borderId="133" xfId="0" applyFont="1" applyBorder="1"/>
    <xf numFmtId="0" fontId="1" fillId="0" borderId="136" xfId="0" applyFont="1" applyBorder="1"/>
    <xf numFmtId="0" fontId="1" fillId="0" borderId="135" xfId="0" applyFont="1" applyBorder="1"/>
    <xf numFmtId="0" fontId="1" fillId="0" borderId="126" xfId="0" applyFont="1" applyBorder="1"/>
    <xf numFmtId="0" fontId="1" fillId="0" borderId="127" xfId="0" applyFont="1" applyBorder="1"/>
    <xf numFmtId="0" fontId="1" fillId="0" borderId="130" xfId="0" applyFont="1" applyBorder="1"/>
    <xf numFmtId="172" fontId="1" fillId="0" borderId="126" xfId="1" applyNumberFormat="1" applyFont="1" applyFill="1" applyBorder="1"/>
    <xf numFmtId="172" fontId="1" fillId="0" borderId="128" xfId="1" applyNumberFormat="1" applyFont="1" applyFill="1" applyBorder="1"/>
    <xf numFmtId="172" fontId="1" fillId="0" borderId="132" xfId="1" applyNumberFormat="1" applyFont="1" applyFill="1" applyBorder="1"/>
    <xf numFmtId="0" fontId="1" fillId="0" borderId="128" xfId="0" applyFont="1" applyBorder="1"/>
    <xf numFmtId="10" fontId="1" fillId="0" borderId="0" xfId="0" applyNumberFormat="1" applyFont="1"/>
    <xf numFmtId="0" fontId="1" fillId="0" borderId="176" xfId="0" applyFont="1" applyBorder="1" applyAlignment="1">
      <alignment readingOrder="1"/>
    </xf>
    <xf numFmtId="0" fontId="1" fillId="0" borderId="40" xfId="0" applyFont="1" applyBorder="1" applyAlignment="1">
      <alignment vertical="top"/>
    </xf>
    <xf numFmtId="171" fontId="1" fillId="0" borderId="40" xfId="0" applyNumberFormat="1" applyFont="1" applyBorder="1" applyAlignment="1">
      <alignment vertical="top"/>
    </xf>
    <xf numFmtId="0" fontId="1" fillId="48" borderId="0" xfId="0" applyFont="1" applyFill="1"/>
    <xf numFmtId="0" fontId="8" fillId="0" borderId="170" xfId="0" applyFont="1" applyBorder="1" applyAlignment="1">
      <alignment readingOrder="1"/>
    </xf>
    <xf numFmtId="14" fontId="8" fillId="48" borderId="171" xfId="0" applyNumberFormat="1" applyFont="1" applyFill="1" applyBorder="1" applyAlignment="1">
      <alignment readingOrder="1"/>
    </xf>
    <xf numFmtId="0" fontId="8" fillId="0" borderId="171" xfId="0" applyFont="1" applyBorder="1" applyAlignment="1">
      <alignment readingOrder="1"/>
    </xf>
    <xf numFmtId="0" fontId="8" fillId="0" borderId="174" xfId="0" applyFont="1" applyBorder="1" applyAlignment="1">
      <alignment readingOrder="1"/>
    </xf>
    <xf numFmtId="0" fontId="8" fillId="0" borderId="175" xfId="0" applyFont="1" applyBorder="1" applyAlignment="1">
      <alignment readingOrder="1"/>
    </xf>
    <xf numFmtId="3" fontId="1" fillId="0" borderId="173" xfId="0" applyNumberFormat="1" applyFont="1" applyBorder="1" applyAlignment="1">
      <alignment readingOrder="1"/>
    </xf>
    <xf numFmtId="10" fontId="1" fillId="0" borderId="174" xfId="0" applyNumberFormat="1" applyFont="1" applyBorder="1" applyAlignment="1">
      <alignment readingOrder="1"/>
    </xf>
    <xf numFmtId="10" fontId="1" fillId="0" borderId="175" xfId="0" applyNumberFormat="1" applyFont="1" applyBorder="1" applyAlignment="1">
      <alignment readingOrder="1"/>
    </xf>
    <xf numFmtId="0" fontId="1" fillId="0" borderId="174" xfId="0" quotePrefix="1" applyFont="1" applyBorder="1" applyAlignment="1">
      <alignment readingOrder="1"/>
    </xf>
    <xf numFmtId="3" fontId="1" fillId="0" borderId="176" xfId="0" applyNumberFormat="1" applyFont="1" applyBorder="1" applyAlignment="1">
      <alignment readingOrder="1"/>
    </xf>
    <xf numFmtId="3" fontId="1" fillId="0" borderId="177" xfId="0" applyNumberFormat="1" applyFont="1" applyBorder="1" applyAlignment="1">
      <alignment readingOrder="1"/>
    </xf>
    <xf numFmtId="0" fontId="1" fillId="0" borderId="177" xfId="0" quotePrefix="1" applyFont="1" applyBorder="1" applyAlignment="1">
      <alignment readingOrder="1"/>
    </xf>
    <xf numFmtId="3" fontId="8" fillId="0" borderId="176" xfId="0" applyNumberFormat="1" applyFont="1" applyBorder="1" applyAlignment="1">
      <alignment readingOrder="1"/>
    </xf>
    <xf numFmtId="3" fontId="8" fillId="0" borderId="177" xfId="0" applyNumberFormat="1" applyFont="1" applyBorder="1" applyAlignment="1">
      <alignment readingOrder="1"/>
    </xf>
    <xf numFmtId="0" fontId="1" fillId="20" borderId="0" xfId="0" applyFont="1" applyFill="1" applyAlignment="1">
      <alignment horizontal="center" vertical="center"/>
    </xf>
    <xf numFmtId="0" fontId="1" fillId="20" borderId="161" xfId="0" applyFont="1" applyFill="1" applyBorder="1"/>
    <xf numFmtId="172" fontId="1" fillId="0" borderId="0" xfId="1" applyNumberFormat="1" applyFont="1" applyAlignment="1">
      <alignment horizontal="left"/>
    </xf>
    <xf numFmtId="0" fontId="1" fillId="20" borderId="163" xfId="0" applyFont="1" applyFill="1" applyBorder="1"/>
    <xf numFmtId="0" fontId="1" fillId="21" borderId="0" xfId="0" applyFont="1" applyFill="1" applyAlignment="1">
      <alignment horizontal="center"/>
    </xf>
    <xf numFmtId="0" fontId="1" fillId="12" borderId="116" xfId="0" applyFont="1" applyFill="1" applyBorder="1"/>
    <xf numFmtId="0" fontId="1" fillId="12" borderId="117" xfId="0" applyFont="1" applyFill="1" applyBorder="1"/>
    <xf numFmtId="0" fontId="1" fillId="21" borderId="117" xfId="0" applyFont="1" applyFill="1" applyBorder="1"/>
    <xf numFmtId="0" fontId="1" fillId="21" borderId="118" xfId="0" applyFont="1" applyFill="1" applyBorder="1"/>
    <xf numFmtId="0" fontId="1" fillId="12" borderId="109" xfId="0" applyFont="1" applyFill="1" applyBorder="1"/>
    <xf numFmtId="0" fontId="1" fillId="12" borderId="110" xfId="0" applyFont="1" applyFill="1" applyBorder="1"/>
    <xf numFmtId="0" fontId="1" fillId="21" borderId="110" xfId="0" applyFont="1" applyFill="1" applyBorder="1"/>
    <xf numFmtId="0" fontId="1" fillId="21" borderId="119" xfId="0" applyFont="1" applyFill="1" applyBorder="1"/>
    <xf numFmtId="0" fontId="1" fillId="12" borderId="110" xfId="0" quotePrefix="1" applyFont="1" applyFill="1" applyBorder="1"/>
    <xf numFmtId="172" fontId="1" fillId="21" borderId="110" xfId="1" applyNumberFormat="1" applyFont="1" applyFill="1" applyBorder="1"/>
    <xf numFmtId="172" fontId="1" fillId="21" borderId="110" xfId="0" applyNumberFormat="1" applyFont="1" applyFill="1" applyBorder="1"/>
    <xf numFmtId="0" fontId="1" fillId="12" borderId="110" xfId="0" quotePrefix="1" applyFont="1" applyFill="1" applyBorder="1" applyAlignment="1">
      <alignment wrapText="1"/>
    </xf>
    <xf numFmtId="0" fontId="1" fillId="12" borderId="110" xfId="0" applyFont="1" applyFill="1" applyBorder="1" applyAlignment="1">
      <alignment wrapText="1"/>
    </xf>
    <xf numFmtId="172" fontId="1" fillId="21" borderId="112" xfId="1" applyNumberFormat="1" applyFont="1" applyFill="1" applyBorder="1"/>
    <xf numFmtId="0" fontId="1" fillId="21" borderId="112" xfId="0" applyFont="1" applyFill="1" applyBorder="1"/>
    <xf numFmtId="172" fontId="1" fillId="21" borderId="112" xfId="0" applyNumberFormat="1" applyFont="1" applyFill="1" applyBorder="1"/>
    <xf numFmtId="0" fontId="1" fillId="21" borderId="120" xfId="0" applyFont="1" applyFill="1" applyBorder="1"/>
    <xf numFmtId="0" fontId="1" fillId="0" borderId="0" xfId="26" applyFont="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9" xfId="0" applyFont="1" applyBorder="1"/>
    <xf numFmtId="172" fontId="1" fillId="0" borderId="12" xfId="1" applyNumberFormat="1" applyFont="1" applyBorder="1"/>
    <xf numFmtId="172" fontId="1" fillId="0" borderId="9" xfId="0" applyNumberFormat="1" applyFont="1" applyBorder="1"/>
    <xf numFmtId="172" fontId="1" fillId="0" borderId="13" xfId="0" applyNumberFormat="1" applyFont="1" applyBorder="1"/>
    <xf numFmtId="0" fontId="1" fillId="0" borderId="10" xfId="0" quotePrefix="1" applyFont="1" applyBorder="1"/>
    <xf numFmtId="172" fontId="1" fillId="0" borderId="13" xfId="1" applyNumberFormat="1" applyFont="1" applyBorder="1" applyAlignment="1">
      <alignment horizontal="right"/>
    </xf>
    <xf numFmtId="172" fontId="1" fillId="0" borderId="12" xfId="1" applyNumberFormat="1" applyFont="1" applyBorder="1" applyAlignment="1">
      <alignment horizontal="right"/>
    </xf>
    <xf numFmtId="172" fontId="1" fillId="0" borderId="12" xfId="0" applyNumberFormat="1" applyFont="1" applyBorder="1"/>
    <xf numFmtId="0" fontId="1" fillId="0" borderId="10" xfId="0" applyFont="1" applyBorder="1" applyAlignment="1">
      <alignment horizontal="left"/>
    </xf>
    <xf numFmtId="0" fontId="1" fillId="0" borderId="11" xfId="0" applyFont="1" applyBorder="1" applyAlignment="1">
      <alignment horizontal="left"/>
    </xf>
    <xf numFmtId="172" fontId="1" fillId="0" borderId="13" xfId="1" applyNumberFormat="1" applyFont="1" applyBorder="1"/>
    <xf numFmtId="0" fontId="1" fillId="0" borderId="14" xfId="0" applyFont="1" applyBorder="1"/>
    <xf numFmtId="0" fontId="1" fillId="0" borderId="15" xfId="0" applyFont="1" applyBorder="1"/>
    <xf numFmtId="0" fontId="1" fillId="0" borderId="18" xfId="0" applyFont="1" applyBorder="1"/>
    <xf numFmtId="0" fontId="1" fillId="0" borderId="16" xfId="0" applyFont="1" applyBorder="1"/>
    <xf numFmtId="0" fontId="1" fillId="0" borderId="20" xfId="0" applyFont="1" applyBorder="1"/>
    <xf numFmtId="0" fontId="1" fillId="0" borderId="0" xfId="0" quotePrefix="1" applyFont="1" applyAlignment="1">
      <alignment horizontal="left"/>
    </xf>
    <xf numFmtId="10" fontId="1" fillId="0" borderId="0" xfId="6" applyNumberFormat="1" applyFont="1" applyAlignment="1">
      <alignment horizontal="right"/>
    </xf>
    <xf numFmtId="43" fontId="1" fillId="0" borderId="0" xfId="0" applyNumberFormat="1" applyFont="1"/>
    <xf numFmtId="182" fontId="1" fillId="0" borderId="0" xfId="1" applyNumberFormat="1" applyFont="1" applyFill="1"/>
    <xf numFmtId="9" fontId="1" fillId="0" borderId="0" xfId="0" applyNumberFormat="1" applyFont="1"/>
    <xf numFmtId="43" fontId="1" fillId="0" borderId="0" xfId="1" applyFont="1" applyAlignment="1">
      <alignment vertical="center"/>
    </xf>
    <xf numFmtId="9" fontId="1" fillId="0" borderId="0" xfId="6" applyFont="1" applyAlignment="1">
      <alignment vertical="center"/>
    </xf>
    <xf numFmtId="9" fontId="1" fillId="4" borderId="0" xfId="6" applyFont="1" applyFill="1"/>
    <xf numFmtId="0" fontId="1" fillId="0" borderId="105" xfId="0" applyFont="1" applyBorder="1" applyAlignment="1">
      <alignment wrapText="1"/>
    </xf>
    <xf numFmtId="0" fontId="1" fillId="0" borderId="106" xfId="0" applyFont="1" applyBorder="1" applyAlignment="1">
      <alignment horizontal="right" wrapText="1"/>
    </xf>
    <xf numFmtId="0" fontId="1" fillId="0" borderId="106" xfId="0" applyFont="1" applyBorder="1" applyAlignment="1">
      <alignment wrapText="1"/>
    </xf>
    <xf numFmtId="0" fontId="1" fillId="0" borderId="107" xfId="0" applyFont="1" applyBorder="1" applyAlignment="1">
      <alignment wrapText="1"/>
    </xf>
    <xf numFmtId="0" fontId="1" fillId="0" borderId="108" xfId="0" applyFont="1" applyBorder="1" applyAlignment="1">
      <alignment wrapText="1"/>
    </xf>
    <xf numFmtId="172" fontId="1" fillId="0" borderId="106" xfId="1" applyNumberFormat="1" applyFont="1" applyBorder="1" applyAlignment="1">
      <alignment horizontal="right" wrapText="1"/>
    </xf>
    <xf numFmtId="4" fontId="1" fillId="0" borderId="106" xfId="0" applyNumberFormat="1" applyFont="1" applyBorder="1" applyAlignment="1">
      <alignment horizontal="right" wrapText="1"/>
    </xf>
    <xf numFmtId="172" fontId="1" fillId="0" borderId="0" xfId="31" applyNumberFormat="1" applyFont="1"/>
    <xf numFmtId="183" fontId="1" fillId="0" borderId="0" xfId="578" applyFont="1"/>
    <xf numFmtId="172" fontId="1" fillId="0" borderId="0" xfId="579" applyNumberFormat="1" applyFont="1" applyAlignment="1">
      <alignment horizontal="center"/>
    </xf>
    <xf numFmtId="172" fontId="1" fillId="0" borderId="0" xfId="579" applyNumberFormat="1" applyFont="1"/>
    <xf numFmtId="14" fontId="1" fillId="0" borderId="0" xfId="578" applyNumberFormat="1" applyFont="1" applyAlignment="1">
      <alignment horizontal="left"/>
    </xf>
    <xf numFmtId="183" fontId="1" fillId="0" borderId="110" xfId="578" applyFont="1" applyBorder="1"/>
    <xf numFmtId="172" fontId="1" fillId="0" borderId="110" xfId="579" applyNumberFormat="1" applyFont="1" applyBorder="1" applyAlignment="1">
      <alignment horizontal="center"/>
    </xf>
    <xf numFmtId="172" fontId="1" fillId="0" borderId="110" xfId="579" applyNumberFormat="1" applyFont="1" applyFill="1" applyBorder="1" applyAlignment="1">
      <alignment horizontal="center"/>
    </xf>
    <xf numFmtId="172" fontId="1" fillId="0" borderId="0" xfId="578" applyNumberFormat="1" applyFont="1"/>
    <xf numFmtId="183" fontId="1" fillId="12" borderId="0" xfId="578" applyFont="1" applyFill="1"/>
    <xf numFmtId="172" fontId="1" fillId="0" borderId="0" xfId="579" applyNumberFormat="1" applyFont="1" applyFill="1" applyAlignment="1">
      <alignment horizontal="center"/>
    </xf>
    <xf numFmtId="172" fontId="1" fillId="0" borderId="0" xfId="579" applyNumberFormat="1" applyFont="1" applyFill="1"/>
    <xf numFmtId="183" fontId="1" fillId="0" borderId="0" xfId="578" applyFont="1" applyAlignment="1">
      <alignment horizontal="right"/>
    </xf>
    <xf numFmtId="183" fontId="1" fillId="12" borderId="0" xfId="578" applyFont="1" applyFill="1" applyAlignment="1">
      <alignment horizontal="left"/>
    </xf>
    <xf numFmtId="172" fontId="1" fillId="12" borderId="166" xfId="579" applyNumberFormat="1" applyFont="1" applyFill="1" applyBorder="1"/>
    <xf numFmtId="183" fontId="1" fillId="12" borderId="35" xfId="578" applyFont="1" applyFill="1" applyBorder="1"/>
    <xf numFmtId="172" fontId="1" fillId="12" borderId="168" xfId="579" applyNumberFormat="1" applyFont="1" applyFill="1" applyBorder="1"/>
    <xf numFmtId="183" fontId="1" fillId="0" borderId="0" xfId="580" applyFont="1"/>
    <xf numFmtId="172" fontId="1" fillId="0" borderId="0" xfId="576" applyNumberFormat="1" applyFont="1"/>
    <xf numFmtId="14" fontId="1" fillId="0" borderId="0" xfId="580" applyNumberFormat="1" applyFont="1" applyAlignment="1">
      <alignment horizontal="left"/>
    </xf>
    <xf numFmtId="183" fontId="1" fillId="0" borderId="110" xfId="580" applyFont="1" applyBorder="1"/>
    <xf numFmtId="172" fontId="1" fillId="0" borderId="110" xfId="576" applyNumberFormat="1" applyFont="1" applyBorder="1"/>
    <xf numFmtId="172" fontId="1" fillId="0" borderId="110" xfId="576" applyNumberFormat="1" applyFont="1" applyFill="1" applyBorder="1"/>
    <xf numFmtId="172" fontId="1" fillId="0" borderId="0" xfId="580" applyNumberFormat="1" applyFont="1"/>
    <xf numFmtId="183" fontId="1" fillId="12" borderId="0" xfId="580" applyFont="1" applyFill="1"/>
    <xf numFmtId="172" fontId="1" fillId="12" borderId="0" xfId="576" applyNumberFormat="1" applyFont="1" applyFill="1"/>
    <xf numFmtId="172" fontId="1" fillId="0" borderId="0" xfId="576" applyNumberFormat="1" applyFont="1" applyAlignment="1">
      <alignment horizontal="center"/>
    </xf>
    <xf numFmtId="172" fontId="1" fillId="0" borderId="0" xfId="576" applyNumberFormat="1" applyFont="1" applyFill="1" applyAlignment="1">
      <alignment horizontal="center"/>
    </xf>
    <xf numFmtId="172" fontId="1" fillId="0" borderId="0" xfId="576" applyNumberFormat="1" applyFont="1" applyFill="1" applyBorder="1"/>
    <xf numFmtId="0" fontId="1" fillId="13" borderId="0" xfId="580" applyNumberFormat="1" applyFont="1" applyFill="1" applyAlignment="1">
      <alignment horizontal="left"/>
    </xf>
    <xf numFmtId="172" fontId="1" fillId="13" borderId="166" xfId="576" applyNumberFormat="1" applyFont="1" applyFill="1" applyBorder="1"/>
    <xf numFmtId="0" fontId="1" fillId="13" borderId="35" xfId="580" applyNumberFormat="1" applyFont="1" applyFill="1" applyBorder="1" applyAlignment="1">
      <alignment horizontal="left"/>
    </xf>
    <xf numFmtId="172" fontId="1" fillId="13" borderId="168" xfId="576" applyNumberFormat="1" applyFont="1" applyFill="1" applyBorder="1"/>
    <xf numFmtId="43" fontId="1" fillId="0" borderId="0" xfId="576" applyFont="1"/>
    <xf numFmtId="43" fontId="1" fillId="0" borderId="0" xfId="576" applyFont="1" applyFill="1"/>
    <xf numFmtId="172" fontId="23" fillId="10" borderId="52" xfId="0" applyNumberFormat="1" applyFont="1" applyFill="1" applyBorder="1"/>
    <xf numFmtId="9" fontId="8" fillId="20" borderId="0" xfId="0" applyNumberFormat="1" applyFont="1" applyFill="1"/>
    <xf numFmtId="9" fontId="8" fillId="19" borderId="0" xfId="0" applyNumberFormat="1" applyFont="1" applyFill="1"/>
    <xf numFmtId="172" fontId="1" fillId="90" borderId="0" xfId="1" applyNumberFormat="1" applyFont="1" applyFill="1"/>
    <xf numFmtId="172" fontId="1" fillId="90" borderId="0" xfId="0" applyNumberFormat="1" applyFont="1" applyFill="1"/>
    <xf numFmtId="172" fontId="0" fillId="0" borderId="0" xfId="1" applyNumberFormat="1" applyFont="1" applyAlignment="1">
      <alignment horizontal="left"/>
    </xf>
    <xf numFmtId="172" fontId="1" fillId="10" borderId="31" xfId="1" applyNumberFormat="1" applyFont="1" applyFill="1" applyBorder="1"/>
    <xf numFmtId="0" fontId="251" fillId="0" borderId="0" xfId="0" applyFont="1" applyAlignment="1">
      <alignment horizontal="right"/>
    </xf>
    <xf numFmtId="172" fontId="0" fillId="0" borderId="0" xfId="1" applyNumberFormat="1" applyFont="1" applyFill="1" applyAlignment="1" applyProtection="1"/>
    <xf numFmtId="9" fontId="0" fillId="0" borderId="0" xfId="0" applyNumberFormat="1"/>
    <xf numFmtId="15" fontId="1" fillId="0" borderId="0" xfId="0" applyNumberFormat="1" applyFont="1"/>
    <xf numFmtId="43" fontId="8" fillId="0" borderId="0" xfId="0" applyNumberFormat="1" applyFont="1" applyAlignment="1">
      <alignment horizontal="center"/>
    </xf>
    <xf numFmtId="172" fontId="8" fillId="11" borderId="52" xfId="0" applyNumberFormat="1" applyFont="1" applyFill="1" applyBorder="1" applyAlignment="1">
      <alignment horizontal="right"/>
    </xf>
    <xf numFmtId="172" fontId="23" fillId="19" borderId="0" xfId="0" applyNumberFormat="1" applyFont="1" applyFill="1"/>
    <xf numFmtId="0" fontId="252" fillId="0" borderId="0" xfId="0" applyFont="1" applyAlignment="1">
      <alignment vertical="center"/>
    </xf>
    <xf numFmtId="0" fontId="72" fillId="0" borderId="0" xfId="1" applyNumberFormat="1" applyFont="1" applyAlignment="1">
      <alignment horizontal="right" vertical="center" wrapText="1"/>
    </xf>
    <xf numFmtId="0" fontId="1" fillId="0" borderId="0" xfId="1" applyNumberFormat="1" applyFont="1" applyAlignment="1">
      <alignment horizontal="right" vertical="center" wrapText="1"/>
    </xf>
    <xf numFmtId="0" fontId="252" fillId="5" borderId="0" xfId="0" applyFont="1" applyFill="1" applyAlignment="1">
      <alignment vertical="center"/>
    </xf>
    <xf numFmtId="0" fontId="72" fillId="5" borderId="0" xfId="1" applyNumberFormat="1" applyFont="1" applyFill="1" applyAlignment="1">
      <alignment horizontal="right" vertical="center" wrapText="1"/>
    </xf>
    <xf numFmtId="3" fontId="1" fillId="5" borderId="0" xfId="0" applyNumberFormat="1" applyFont="1" applyFill="1"/>
    <xf numFmtId="0" fontId="35" fillId="0" borderId="43" xfId="0" quotePrefix="1" applyFont="1" applyBorder="1" applyAlignment="1">
      <alignment horizontal="left" vertical="center"/>
    </xf>
    <xf numFmtId="0" fontId="47" fillId="26" borderId="96" xfId="0" applyFont="1" applyFill="1" applyBorder="1" applyAlignment="1">
      <alignment horizontal="left" vertical="top"/>
    </xf>
    <xf numFmtId="0" fontId="48" fillId="28" borderId="96" xfId="0" applyFont="1" applyFill="1" applyBorder="1" applyAlignment="1">
      <alignment horizontal="left" vertical="top"/>
    </xf>
    <xf numFmtId="3" fontId="48" fillId="28" borderId="97" xfId="0" applyNumberFormat="1" applyFont="1" applyFill="1" applyBorder="1" applyAlignment="1">
      <alignment horizontal="right" vertical="top"/>
    </xf>
    <xf numFmtId="0" fontId="47" fillId="26" borderId="86" xfId="0" applyFont="1" applyFill="1" applyBorder="1" applyAlignment="1">
      <alignment horizontal="left" vertical="top" wrapText="1"/>
    </xf>
    <xf numFmtId="0" fontId="14" fillId="24" borderId="85" xfId="0" applyFont="1" applyFill="1" applyBorder="1" applyAlignment="1">
      <alignment horizontal="left" vertical="top"/>
    </xf>
    <xf numFmtId="0" fontId="14" fillId="24" borderId="86" xfId="0" applyFont="1" applyFill="1" applyBorder="1" applyAlignment="1">
      <alignment horizontal="left" vertical="top" wrapText="1"/>
    </xf>
    <xf numFmtId="3" fontId="47" fillId="26" borderId="86" xfId="0" applyNumberFormat="1" applyFont="1" applyFill="1" applyBorder="1" applyAlignment="1">
      <alignment horizontal="right" vertical="top"/>
    </xf>
    <xf numFmtId="3" fontId="47" fillId="26" borderId="97" xfId="0" applyNumberFormat="1" applyFont="1" applyFill="1" applyBorder="1" applyAlignment="1">
      <alignment horizontal="right" vertical="top"/>
    </xf>
    <xf numFmtId="0" fontId="253" fillId="92" borderId="219" xfId="0" applyFont="1" applyFill="1" applyBorder="1" applyAlignment="1">
      <alignment horizontal="left" vertical="center"/>
    </xf>
    <xf numFmtId="38" fontId="22" fillId="92" borderId="43" xfId="0" applyNumberFormat="1" applyFont="1" applyFill="1" applyBorder="1" applyAlignment="1">
      <alignment horizontal="right" vertical="center"/>
    </xf>
    <xf numFmtId="0" fontId="22" fillId="92" borderId="43" xfId="0" applyFont="1" applyFill="1" applyBorder="1" applyAlignment="1">
      <alignment horizontal="left" vertical="center"/>
    </xf>
    <xf numFmtId="0" fontId="11" fillId="0" borderId="209" xfId="0" applyFont="1" applyBorder="1"/>
    <xf numFmtId="0" fontId="11" fillId="0" borderId="208" xfId="0" applyFont="1" applyBorder="1"/>
    <xf numFmtId="0" fontId="11" fillId="0" borderId="209" xfId="0" quotePrefix="1" applyFont="1" applyBorder="1"/>
    <xf numFmtId="172" fontId="11" fillId="0" borderId="208" xfId="1" applyNumberFormat="1" applyFont="1" applyFill="1" applyBorder="1"/>
    <xf numFmtId="172" fontId="11" fillId="0" borderId="211" xfId="1" applyNumberFormat="1" applyFont="1" applyFill="1" applyBorder="1"/>
    <xf numFmtId="172" fontId="11" fillId="0" borderId="212" xfId="1" applyNumberFormat="1" applyFont="1" applyFill="1" applyBorder="1"/>
    <xf numFmtId="172" fontId="57" fillId="0" borderId="212" xfId="0" applyNumberFormat="1" applyFont="1" applyBorder="1"/>
    <xf numFmtId="0" fontId="11" fillId="0" borderId="211" xfId="0" applyFont="1" applyBorder="1"/>
    <xf numFmtId="0" fontId="11" fillId="0" borderId="210" xfId="0" applyFont="1" applyBorder="1"/>
    <xf numFmtId="0" fontId="20" fillId="0" borderId="209" xfId="0" applyFont="1" applyBorder="1"/>
    <xf numFmtId="0" fontId="11" fillId="0" borderId="209" xfId="0" applyFont="1" applyBorder="1" applyAlignment="1">
      <alignment horizontal="left"/>
    </xf>
    <xf numFmtId="172" fontId="57" fillId="0" borderId="208" xfId="7" applyNumberFormat="1" applyFont="1" applyFill="1" applyBorder="1"/>
    <xf numFmtId="0" fontId="1" fillId="0" borderId="174" xfId="0" applyFont="1" applyBorder="1" applyAlignment="1">
      <alignment readingOrder="1"/>
    </xf>
    <xf numFmtId="0" fontId="1" fillId="0" borderId="175" xfId="0" applyFont="1" applyBorder="1" applyAlignment="1">
      <alignment readingOrder="1"/>
    </xf>
    <xf numFmtId="3" fontId="1" fillId="0" borderId="175" xfId="0" applyNumberFormat="1" applyFont="1" applyBorder="1" applyAlignment="1">
      <alignment readingOrder="1"/>
    </xf>
    <xf numFmtId="172" fontId="57" fillId="0" borderId="212" xfId="7" applyNumberFormat="1" applyFont="1" applyFill="1" applyBorder="1"/>
    <xf numFmtId="0" fontId="11" fillId="0" borderId="213" xfId="0" applyFont="1" applyBorder="1"/>
    <xf numFmtId="0" fontId="85" fillId="0" borderId="213" xfId="0" applyFont="1" applyBorder="1" applyAlignment="1">
      <alignment horizontal="center"/>
    </xf>
    <xf numFmtId="172" fontId="38" fillId="0" borderId="213" xfId="1" applyNumberFormat="1" applyFont="1" applyFill="1" applyBorder="1"/>
    <xf numFmtId="43" fontId="38" fillId="0" borderId="213" xfId="1" applyFont="1" applyFill="1" applyBorder="1" applyAlignment="1">
      <alignment vertical="center"/>
    </xf>
    <xf numFmtId="49" fontId="38" fillId="0" borderId="214" xfId="0" applyNumberFormat="1" applyFont="1" applyBorder="1" applyAlignment="1">
      <alignment horizontal="center" vertical="top" wrapText="1"/>
    </xf>
    <xf numFmtId="172" fontId="38" fillId="0" borderId="213" xfId="0" applyNumberFormat="1" applyFont="1" applyBorder="1" applyAlignment="1">
      <alignment horizontal="left"/>
    </xf>
    <xf numFmtId="0" fontId="57" fillId="0" borderId="214" xfId="0" applyFont="1" applyBorder="1" applyAlignment="1">
      <alignment horizontal="center"/>
    </xf>
    <xf numFmtId="0" fontId="57" fillId="0" borderId="213" xfId="0" applyFont="1" applyBorder="1"/>
    <xf numFmtId="0" fontId="0" fillId="0" borderId="0" xfId="0" applyAlignment="1">
      <alignment wrapText="1"/>
    </xf>
    <xf numFmtId="14" fontId="0" fillId="0" borderId="0" xfId="0" applyNumberFormat="1"/>
    <xf numFmtId="2" fontId="0" fillId="0" borderId="0" xfId="0" applyNumberFormat="1"/>
    <xf numFmtId="43" fontId="0" fillId="0" borderId="0" xfId="1" applyFont="1"/>
    <xf numFmtId="0" fontId="254" fillId="93" borderId="0" xfId="0" applyFont="1" applyFill="1" applyAlignment="1">
      <alignment wrapText="1"/>
    </xf>
    <xf numFmtId="0" fontId="254" fillId="93" borderId="0" xfId="0" applyFont="1" applyFill="1"/>
    <xf numFmtId="0" fontId="254" fillId="93" borderId="0" xfId="0" applyFont="1" applyFill="1" applyAlignment="1">
      <alignment horizontal="center" wrapText="1"/>
    </xf>
    <xf numFmtId="0" fontId="254" fillId="94" borderId="0" xfId="0" applyFont="1" applyFill="1" applyAlignment="1">
      <alignment wrapText="1"/>
    </xf>
    <xf numFmtId="14" fontId="43" fillId="0" borderId="0" xfId="0" applyNumberFormat="1" applyFont="1" applyAlignment="1">
      <alignment vertical="center"/>
    </xf>
    <xf numFmtId="0" fontId="255" fillId="0" borderId="0" xfId="0" applyFont="1" applyAlignment="1">
      <alignment wrapText="1"/>
    </xf>
    <xf numFmtId="0" fontId="255" fillId="0" borderId="0" xfId="0" applyFont="1"/>
    <xf numFmtId="0" fontId="255" fillId="0" borderId="0" xfId="0" applyFont="1" applyAlignment="1">
      <alignment vertical="center"/>
    </xf>
    <xf numFmtId="10" fontId="255" fillId="0" borderId="0" xfId="0" applyNumberFormat="1" applyFont="1" applyAlignment="1">
      <alignment wrapText="1"/>
    </xf>
    <xf numFmtId="3" fontId="255" fillId="0" borderId="0" xfId="0" applyNumberFormat="1" applyFont="1" applyAlignment="1">
      <alignment horizontal="right" wrapText="1"/>
    </xf>
    <xf numFmtId="14" fontId="255" fillId="0" borderId="0" xfId="0" applyNumberFormat="1" applyFont="1" applyAlignment="1">
      <alignment horizontal="right" wrapText="1"/>
    </xf>
    <xf numFmtId="0" fontId="23" fillId="0" borderId="0" xfId="0" applyFont="1" applyAlignment="1">
      <alignment wrapText="1"/>
    </xf>
    <xf numFmtId="172" fontId="69" fillId="0" borderId="0" xfId="1" applyNumberFormat="1" applyFont="1" applyBorder="1"/>
    <xf numFmtId="172" fontId="256" fillId="0" borderId="0" xfId="1" applyNumberFormat="1" applyFont="1" applyBorder="1"/>
    <xf numFmtId="0" fontId="69" fillId="0" borderId="0" xfId="0" applyFont="1"/>
    <xf numFmtId="172" fontId="69" fillId="0" borderId="0" xfId="1" applyNumberFormat="1" applyFont="1" applyFill="1" applyBorder="1"/>
    <xf numFmtId="43" fontId="69" fillId="0" borderId="0" xfId="1" applyFont="1" applyBorder="1"/>
    <xf numFmtId="43" fontId="69" fillId="0" borderId="0" xfId="0" applyNumberFormat="1" applyFont="1"/>
    <xf numFmtId="0" fontId="255" fillId="0" borderId="0" xfId="0" applyFont="1" applyAlignment="1">
      <alignment horizontal="left" vertical="center"/>
    </xf>
    <xf numFmtId="172" fontId="255" fillId="0" borderId="0" xfId="0" applyNumberFormat="1" applyFont="1" applyAlignment="1">
      <alignment horizontal="right" wrapText="1"/>
    </xf>
    <xf numFmtId="172" fontId="69" fillId="0" borderId="0" xfId="1" applyNumberFormat="1" applyFont="1"/>
    <xf numFmtId="43" fontId="69" fillId="0" borderId="0" xfId="1" applyFont="1"/>
    <xf numFmtId="0" fontId="257" fillId="0" borderId="0" xfId="0" applyFont="1" applyAlignment="1">
      <alignment wrapText="1"/>
    </xf>
    <xf numFmtId="0" fontId="11" fillId="0" borderId="0" xfId="0" applyFont="1" applyAlignment="1">
      <alignment wrapText="1"/>
    </xf>
    <xf numFmtId="0" fontId="258" fillId="0" borderId="0" xfId="0" quotePrefix="1" applyFont="1" applyAlignment="1">
      <alignment vertical="center"/>
    </xf>
    <xf numFmtId="0" fontId="255" fillId="0" borderId="0" xfId="0" quotePrefix="1" applyFont="1" applyAlignment="1">
      <alignment vertical="center"/>
    </xf>
    <xf numFmtId="172" fontId="69" fillId="0" borderId="0" xfId="1" applyNumberFormat="1" applyFont="1" applyFill="1"/>
    <xf numFmtId="43" fontId="69" fillId="0" borderId="0" xfId="1" applyFont="1" applyFill="1"/>
    <xf numFmtId="0" fontId="259" fillId="0" borderId="0" xfId="0" applyFont="1" applyAlignment="1">
      <alignment wrapText="1"/>
    </xf>
    <xf numFmtId="0" fontId="255" fillId="0" borderId="0" xfId="0" quotePrefix="1" applyFont="1" applyAlignment="1">
      <alignment horizontal="left" vertical="center"/>
    </xf>
    <xf numFmtId="0" fontId="258" fillId="0" borderId="0" xfId="0" quotePrefix="1" applyFont="1" applyAlignment="1">
      <alignment horizontal="left" vertical="center"/>
    </xf>
    <xf numFmtId="3" fontId="260" fillId="0" borderId="0" xfId="0" applyNumberFormat="1" applyFont="1"/>
    <xf numFmtId="3" fontId="258" fillId="0" borderId="0" xfId="0" applyNumberFormat="1" applyFont="1" applyAlignment="1">
      <alignment horizontal="right" wrapText="1"/>
    </xf>
    <xf numFmtId="0" fontId="258" fillId="0" borderId="0" xfId="0" applyFont="1" applyAlignment="1">
      <alignment vertical="center"/>
    </xf>
    <xf numFmtId="0" fontId="261" fillId="0" borderId="0" xfId="0" applyFont="1"/>
    <xf numFmtId="14" fontId="255" fillId="0" borderId="0" xfId="0" applyNumberFormat="1" applyFont="1" applyAlignment="1">
      <alignment horizontal="right"/>
    </xf>
    <xf numFmtId="0" fontId="257" fillId="0" borderId="0" xfId="0" applyFont="1"/>
    <xf numFmtId="0" fontId="262" fillId="0" borderId="0" xfId="0" applyFont="1"/>
    <xf numFmtId="10" fontId="257" fillId="0" borderId="0" xfId="0" applyNumberFormat="1" applyFont="1" applyAlignment="1">
      <alignment wrapText="1"/>
    </xf>
    <xf numFmtId="14" fontId="263" fillId="0" borderId="0" xfId="0" applyNumberFormat="1" applyFont="1" applyAlignment="1">
      <alignment horizontal="right"/>
    </xf>
    <xf numFmtId="14" fontId="257" fillId="0" borderId="0" xfId="0" applyNumberFormat="1" applyFont="1" applyAlignment="1">
      <alignment horizontal="right" wrapText="1"/>
    </xf>
    <xf numFmtId="172" fontId="257" fillId="0" borderId="0" xfId="0" applyNumberFormat="1" applyFont="1" applyAlignment="1">
      <alignment horizontal="right" wrapText="1"/>
    </xf>
    <xf numFmtId="172" fontId="0" fillId="0" borderId="0" xfId="1" applyNumberFormat="1" applyFont="1" applyBorder="1"/>
    <xf numFmtId="172" fontId="256" fillId="0" borderId="0" xfId="1" applyNumberFormat="1" applyFont="1" applyFill="1" applyBorder="1"/>
    <xf numFmtId="0" fontId="259" fillId="0" borderId="0" xfId="0" applyFont="1"/>
    <xf numFmtId="0" fontId="264" fillId="0" borderId="0" xfId="0" applyFont="1"/>
    <xf numFmtId="10" fontId="259" fillId="0" borderId="0" xfId="0" applyNumberFormat="1" applyFont="1" applyAlignment="1">
      <alignment wrapText="1"/>
    </xf>
    <xf numFmtId="3" fontId="265" fillId="0" borderId="0" xfId="0" applyNumberFormat="1" applyFont="1"/>
    <xf numFmtId="14" fontId="259" fillId="0" borderId="0" xfId="0" applyNumberFormat="1" applyFont="1" applyAlignment="1">
      <alignment horizontal="right"/>
    </xf>
    <xf numFmtId="14" fontId="259" fillId="0" borderId="0" xfId="0" applyNumberFormat="1" applyFont="1" applyAlignment="1">
      <alignment horizontal="right" wrapText="1"/>
    </xf>
    <xf numFmtId="172" fontId="259" fillId="0" borderId="0" xfId="0" applyNumberFormat="1" applyFont="1" applyAlignment="1">
      <alignment horizontal="right" wrapText="1"/>
    </xf>
    <xf numFmtId="172" fontId="256" fillId="0" borderId="0" xfId="1" applyNumberFormat="1" applyFont="1"/>
    <xf numFmtId="43" fontId="256" fillId="0" borderId="0" xfId="1" applyFont="1"/>
    <xf numFmtId="0" fontId="256" fillId="0" borderId="0" xfId="0" applyFont="1"/>
    <xf numFmtId="14" fontId="262" fillId="0" borderId="0" xfId="0" applyNumberFormat="1" applyFont="1" applyAlignment="1">
      <alignment horizontal="center"/>
    </xf>
    <xf numFmtId="0" fontId="257" fillId="0" borderId="0" xfId="0" quotePrefix="1" applyFont="1" applyAlignment="1">
      <alignment vertical="center"/>
    </xf>
    <xf numFmtId="3" fontId="257" fillId="0" borderId="0" xfId="0" applyNumberFormat="1" applyFont="1" applyAlignment="1">
      <alignment horizontal="right" wrapText="1"/>
    </xf>
    <xf numFmtId="172" fontId="74" fillId="0" borderId="0" xfId="0" applyNumberFormat="1" applyFont="1"/>
    <xf numFmtId="0" fontId="257" fillId="95" borderId="0" xfId="0" applyFont="1" applyFill="1"/>
    <xf numFmtId="0" fontId="0" fillId="0" borderId="0" xfId="0" applyAlignment="1">
      <alignment vertical="center" wrapText="1"/>
    </xf>
    <xf numFmtId="172" fontId="7" fillId="0" borderId="0" xfId="1" applyNumberFormat="1" applyFont="1"/>
    <xf numFmtId="172" fontId="0" fillId="11" borderId="0" xfId="1" applyNumberFormat="1" applyFont="1" applyFill="1" applyBorder="1"/>
    <xf numFmtId="172" fontId="0" fillId="95" borderId="0" xfId="1" applyNumberFormat="1" applyFont="1" applyFill="1" applyBorder="1"/>
    <xf numFmtId="172" fontId="74" fillId="0" borderId="0" xfId="1" applyNumberFormat="1" applyFont="1"/>
    <xf numFmtId="172" fontId="7" fillId="0" borderId="0" xfId="1" applyNumberFormat="1" applyFont="1" applyFill="1"/>
    <xf numFmtId="172" fontId="0" fillId="0" borderId="0" xfId="1" applyNumberFormat="1" applyFont="1" applyFill="1" applyBorder="1"/>
    <xf numFmtId="0" fontId="266" fillId="0" borderId="0" xfId="27" applyFont="1"/>
    <xf numFmtId="172" fontId="43" fillId="0" borderId="0" xfId="0" applyNumberFormat="1" applyFont="1"/>
    <xf numFmtId="0" fontId="267" fillId="0" borderId="0" xfId="0" applyFont="1"/>
    <xf numFmtId="172" fontId="268" fillId="0" borderId="0" xfId="1" applyNumberFormat="1" applyFont="1"/>
    <xf numFmtId="0" fontId="262" fillId="0" borderId="0" xfId="27" applyFont="1"/>
    <xf numFmtId="0" fontId="262" fillId="0" borderId="0" xfId="27" applyFont="1" applyAlignment="1">
      <alignment wrapText="1"/>
    </xf>
    <xf numFmtId="0" fontId="102" fillId="0" borderId="0" xfId="451" applyFont="1" applyAlignment="1">
      <alignment horizontal="left"/>
    </xf>
    <xf numFmtId="0" fontId="102" fillId="0" borderId="0" xfId="451" applyFont="1" applyAlignment="1">
      <alignment horizontal="center"/>
    </xf>
    <xf numFmtId="0" fontId="64" fillId="0" borderId="0" xfId="451"/>
    <xf numFmtId="0" fontId="80" fillId="0" borderId="0" xfId="451" applyFont="1" applyAlignment="1">
      <alignment horizontal="left"/>
    </xf>
    <xf numFmtId="0" fontId="80" fillId="0" borderId="0" xfId="451" applyFont="1" applyAlignment="1">
      <alignment horizontal="center"/>
    </xf>
    <xf numFmtId="0" fontId="269" fillId="0" borderId="0" xfId="451" applyFont="1"/>
    <xf numFmtId="0" fontId="34" fillId="15" borderId="42" xfId="451" applyFont="1" applyFill="1" applyBorder="1" applyAlignment="1">
      <alignment horizontal="center" vertical="center" wrapText="1"/>
    </xf>
    <xf numFmtId="0" fontId="34" fillId="15" borderId="216" xfId="451" applyFont="1" applyFill="1" applyBorder="1" applyAlignment="1">
      <alignment horizontal="center" vertical="center" wrapText="1"/>
    </xf>
    <xf numFmtId="0" fontId="34" fillId="15" borderId="217" xfId="451" applyFont="1" applyFill="1" applyBorder="1" applyAlignment="1">
      <alignment horizontal="center" vertical="center" wrapText="1"/>
    </xf>
    <xf numFmtId="38" fontId="62" fillId="0" borderId="0" xfId="451" applyNumberFormat="1" applyFont="1"/>
    <xf numFmtId="0" fontId="34" fillId="15" borderId="44" xfId="451" applyFont="1" applyFill="1" applyBorder="1" applyAlignment="1">
      <alignment horizontal="center" vertical="center" wrapText="1"/>
    </xf>
    <xf numFmtId="38" fontId="34" fillId="15" borderId="42" xfId="451" applyNumberFormat="1" applyFont="1" applyFill="1" applyBorder="1" applyAlignment="1">
      <alignment horizontal="center" vertical="center" wrapText="1"/>
    </xf>
    <xf numFmtId="0" fontId="62" fillId="0" borderId="0" xfId="451" applyFont="1"/>
    <xf numFmtId="0" fontId="270" fillId="0" borderId="0" xfId="451" applyFont="1" applyAlignment="1">
      <alignment horizontal="center"/>
    </xf>
    <xf numFmtId="0" fontId="270" fillId="96" borderId="41" xfId="451" applyFont="1" applyFill="1" applyBorder="1" applyAlignment="1">
      <alignment horizontal="center"/>
    </xf>
    <xf numFmtId="0" fontId="35" fillId="0" borderId="43" xfId="451" applyFont="1" applyBorder="1"/>
    <xf numFmtId="38" fontId="35" fillId="0" borderId="43" xfId="451" applyNumberFormat="1" applyFont="1" applyBorder="1" applyAlignment="1">
      <alignment horizontal="right"/>
    </xf>
    <xf numFmtId="3" fontId="62" fillId="0" borderId="0" xfId="451" applyNumberFormat="1" applyFont="1"/>
    <xf numFmtId="0" fontId="62" fillId="0" borderId="41" xfId="451" applyFont="1" applyBorder="1"/>
    <xf numFmtId="0" fontId="271" fillId="0" borderId="220" xfId="451" applyFont="1" applyBorder="1" applyAlignment="1">
      <alignment horizontal="left"/>
    </xf>
    <xf numFmtId="0" fontId="271" fillId="0" borderId="86" xfId="451" applyFont="1" applyBorder="1" applyAlignment="1">
      <alignment horizontal="left"/>
    </xf>
    <xf numFmtId="38" fontId="271" fillId="0" borderId="86" xfId="451" applyNumberFormat="1" applyFont="1" applyBorder="1" applyAlignment="1">
      <alignment horizontal="right"/>
    </xf>
    <xf numFmtId="38" fontId="105" fillId="0" borderId="0" xfId="451" applyNumberFormat="1" applyFont="1"/>
    <xf numFmtId="0" fontId="104" fillId="5" borderId="0" xfId="0" applyFont="1" applyFill="1"/>
    <xf numFmtId="0" fontId="19" fillId="5" borderId="0" xfId="0" applyFont="1" applyFill="1" applyAlignment="1">
      <alignment vertical="center"/>
    </xf>
    <xf numFmtId="0" fontId="19" fillId="5" borderId="0" xfId="0" applyFont="1" applyFill="1" applyAlignment="1">
      <alignment horizontal="center" vertical="center"/>
    </xf>
    <xf numFmtId="172" fontId="8" fillId="5" borderId="0" xfId="1" applyNumberFormat="1" applyFont="1" applyFill="1" applyBorder="1" applyAlignment="1">
      <alignment horizontal="center" vertical="center"/>
    </xf>
    <xf numFmtId="172" fontId="19" fillId="5" borderId="0" xfId="1" applyNumberFormat="1" applyFont="1" applyFill="1" applyBorder="1" applyAlignment="1">
      <alignment vertical="center" wrapText="1"/>
    </xf>
    <xf numFmtId="0" fontId="19" fillId="5" borderId="0" xfId="0" applyFont="1" applyFill="1" applyAlignment="1">
      <alignment horizontal="center" vertical="center" wrapText="1"/>
    </xf>
    <xf numFmtId="0" fontId="1" fillId="0" borderId="221" xfId="451" applyFont="1" applyBorder="1" applyAlignment="1">
      <alignment vertical="top"/>
    </xf>
    <xf numFmtId="0" fontId="27" fillId="0" borderId="36" xfId="451" applyFont="1" applyBorder="1" applyAlignment="1">
      <alignment vertical="center" wrapText="1" readingOrder="1"/>
    </xf>
    <xf numFmtId="171" fontId="27" fillId="0" borderId="37" xfId="451" applyNumberFormat="1" applyFont="1" applyBorder="1" applyAlignment="1">
      <alignment horizontal="center" vertical="center" wrapText="1" readingOrder="1"/>
    </xf>
    <xf numFmtId="0" fontId="1" fillId="0" borderId="40" xfId="451" applyFont="1" applyBorder="1" applyAlignment="1">
      <alignment vertical="top"/>
    </xf>
    <xf numFmtId="171" fontId="27" fillId="0" borderId="41" xfId="451" applyNumberFormat="1" applyFont="1" applyBorder="1" applyAlignment="1">
      <alignment horizontal="center" vertical="center" wrapText="1" readingOrder="1"/>
    </xf>
    <xf numFmtId="0" fontId="28" fillId="0" borderId="41" xfId="451" applyFont="1" applyBorder="1" applyAlignment="1">
      <alignment horizontal="left" vertical="center" wrapText="1" readingOrder="1"/>
    </xf>
    <xf numFmtId="0" fontId="29" fillId="0" borderId="41" xfId="451" applyFont="1" applyBorder="1" applyAlignment="1">
      <alignment horizontal="left" vertical="center" wrapText="1" readingOrder="1"/>
    </xf>
    <xf numFmtId="171" fontId="30" fillId="0" borderId="37" xfId="451" applyNumberFormat="1" applyFont="1" applyBorder="1" applyAlignment="1">
      <alignment horizontal="right" vertical="center" wrapText="1" readingOrder="1"/>
    </xf>
    <xf numFmtId="171" fontId="30" fillId="0" borderId="41" xfId="451" applyNumberFormat="1" applyFont="1" applyBorder="1" applyAlignment="1">
      <alignment horizontal="right" vertical="center" wrapText="1" readingOrder="1"/>
    </xf>
    <xf numFmtId="171" fontId="64" fillId="0" borderId="0" xfId="451" applyNumberFormat="1"/>
    <xf numFmtId="0" fontId="31" fillId="0" borderId="41" xfId="451" applyFont="1" applyBorder="1" applyAlignment="1">
      <alignment horizontal="left" vertical="center" wrapText="1" readingOrder="1"/>
    </xf>
    <xf numFmtId="0" fontId="32" fillId="0" borderId="41" xfId="451" applyFont="1" applyBorder="1" applyAlignment="1">
      <alignment horizontal="left" vertical="center" wrapText="1" readingOrder="1"/>
    </xf>
    <xf numFmtId="171" fontId="33" fillId="0" borderId="37" xfId="451" applyNumberFormat="1" applyFont="1" applyBorder="1" applyAlignment="1">
      <alignment horizontal="right" vertical="center" wrapText="1" readingOrder="1"/>
    </xf>
    <xf numFmtId="171" fontId="33" fillId="0" borderId="41" xfId="451" applyNumberFormat="1" applyFont="1" applyBorder="1" applyAlignment="1">
      <alignment horizontal="right" vertical="center" wrapText="1" readingOrder="1"/>
    </xf>
    <xf numFmtId="171" fontId="272" fillId="0" borderId="0" xfId="451" applyNumberFormat="1" applyFont="1"/>
    <xf numFmtId="0" fontId="31" fillId="0" borderId="0" xfId="451" applyFont="1" applyAlignment="1">
      <alignment horizontal="left" vertical="center" wrapText="1" readingOrder="1"/>
    </xf>
    <xf numFmtId="0" fontId="32" fillId="0" borderId="0" xfId="451" applyFont="1" applyAlignment="1">
      <alignment horizontal="left" vertical="center" wrapText="1" readingOrder="1"/>
    </xf>
    <xf numFmtId="171" fontId="33" fillId="0" borderId="0" xfId="451" applyNumberFormat="1" applyFont="1" applyAlignment="1">
      <alignment horizontal="right" vertical="center" wrapText="1" readingOrder="1"/>
    </xf>
    <xf numFmtId="0" fontId="1" fillId="0" borderId="0" xfId="451" applyFont="1" applyAlignment="1">
      <alignment vertical="top"/>
    </xf>
    <xf numFmtId="0" fontId="28" fillId="0" borderId="0" xfId="451" applyFont="1" applyAlignment="1">
      <alignment horizontal="left" vertical="center" wrapText="1" readingOrder="1"/>
    </xf>
    <xf numFmtId="0" fontId="29" fillId="0" borderId="0" xfId="451" applyFont="1" applyAlignment="1">
      <alignment horizontal="left" vertical="center" wrapText="1" readingOrder="1"/>
    </xf>
    <xf numFmtId="171" fontId="30" fillId="0" borderId="0" xfId="451" applyNumberFormat="1" applyFont="1" applyAlignment="1">
      <alignment horizontal="right" vertical="center" wrapText="1" readingOrder="1"/>
    </xf>
    <xf numFmtId="0" fontId="1" fillId="0" borderId="222" xfId="451" applyFont="1" applyBorder="1" applyAlignment="1">
      <alignment vertical="top"/>
    </xf>
    <xf numFmtId="0" fontId="8" fillId="97" borderId="0" xfId="0" applyFont="1" applyFill="1" applyAlignment="1">
      <alignment horizontal="center"/>
    </xf>
    <xf numFmtId="0" fontId="8" fillId="97" borderId="0" xfId="0" applyFont="1" applyFill="1"/>
    <xf numFmtId="0" fontId="1" fillId="97" borderId="0" xfId="0" applyFont="1" applyFill="1"/>
    <xf numFmtId="0" fontId="1" fillId="97" borderId="0" xfId="0" quotePrefix="1" applyFont="1" applyFill="1"/>
    <xf numFmtId="172" fontId="1" fillId="97" borderId="0" xfId="0" applyNumberFormat="1" applyFont="1" applyFill="1"/>
    <xf numFmtId="172" fontId="1" fillId="97" borderId="0" xfId="1" applyNumberFormat="1" applyFont="1" applyFill="1" applyBorder="1"/>
    <xf numFmtId="172" fontId="1" fillId="97" borderId="0" xfId="1" applyNumberFormat="1" applyFont="1" applyFill="1"/>
    <xf numFmtId="176" fontId="32" fillId="28" borderId="96" xfId="0" applyNumberFormat="1" applyFont="1" applyFill="1" applyBorder="1" applyAlignment="1">
      <alignment horizontal="left" vertical="top"/>
    </xf>
    <xf numFmtId="0" fontId="32" fillId="28" borderId="86" xfId="0" applyFont="1" applyFill="1" applyBorder="1" applyAlignment="1">
      <alignment horizontal="center" vertical="top" wrapText="1"/>
    </xf>
    <xf numFmtId="0" fontId="32" fillId="28" borderId="86" xfId="0" applyFont="1" applyFill="1" applyBorder="1" applyAlignment="1">
      <alignment horizontal="left" vertical="top" wrapText="1" indent="1"/>
    </xf>
    <xf numFmtId="3" fontId="32" fillId="28" borderId="86" xfId="0" applyNumberFormat="1" applyFont="1" applyFill="1" applyBorder="1" applyAlignment="1">
      <alignment horizontal="right" vertical="top"/>
    </xf>
    <xf numFmtId="0" fontId="47" fillId="28" borderId="86" xfId="0" applyFont="1" applyFill="1" applyBorder="1" applyAlignment="1">
      <alignment horizontal="center" vertical="top" wrapText="1"/>
    </xf>
    <xf numFmtId="172" fontId="43" fillId="0" borderId="0" xfId="1" applyNumberFormat="1" applyFont="1"/>
    <xf numFmtId="3" fontId="32" fillId="28" borderId="97" xfId="0" applyNumberFormat="1" applyFont="1" applyFill="1" applyBorder="1" applyAlignment="1">
      <alignment horizontal="right" vertical="top"/>
    </xf>
    <xf numFmtId="3" fontId="276" fillId="98" borderId="86" xfId="0" applyNumberFormat="1" applyFont="1" applyFill="1" applyBorder="1" applyAlignment="1">
      <alignment horizontal="right" vertical="top"/>
    </xf>
    <xf numFmtId="3" fontId="276" fillId="98" borderId="97" xfId="0" applyNumberFormat="1" applyFont="1" applyFill="1" applyBorder="1" applyAlignment="1">
      <alignment horizontal="right" vertical="top"/>
    </xf>
    <xf numFmtId="3" fontId="277" fillId="99" borderId="86" xfId="0" applyNumberFormat="1" applyFont="1" applyFill="1" applyBorder="1" applyAlignment="1">
      <alignment horizontal="right" vertical="top"/>
    </xf>
    <xf numFmtId="3" fontId="277" fillId="99" borderId="97" xfId="0" applyNumberFormat="1" applyFont="1" applyFill="1" applyBorder="1" applyAlignment="1">
      <alignment horizontal="right" vertical="top"/>
    </xf>
    <xf numFmtId="0" fontId="86" fillId="26" borderId="86" xfId="0" applyFont="1" applyFill="1" applyBorder="1" applyAlignment="1">
      <alignment horizontal="left" vertical="top"/>
    </xf>
    <xf numFmtId="0" fontId="87" fillId="24" borderId="86" xfId="0" applyFont="1" applyFill="1" applyBorder="1" applyAlignment="1">
      <alignment horizontal="left" vertical="top"/>
    </xf>
    <xf numFmtId="0" fontId="47" fillId="26" borderId="86" xfId="0" applyFont="1" applyFill="1" applyBorder="1" applyAlignment="1">
      <alignment horizontal="left" vertical="top"/>
    </xf>
    <xf numFmtId="0" fontId="276" fillId="98" borderId="96" xfId="0" applyFont="1" applyFill="1" applyBorder="1" applyAlignment="1">
      <alignment horizontal="left" vertical="top"/>
    </xf>
    <xf numFmtId="0" fontId="277" fillId="99" borderId="96" xfId="0" applyFont="1" applyFill="1" applyBorder="1" applyAlignment="1">
      <alignment horizontal="left" vertical="top"/>
    </xf>
    <xf numFmtId="0" fontId="276" fillId="98" borderId="86" xfId="0" applyFont="1" applyFill="1" applyBorder="1" applyAlignment="1">
      <alignment horizontal="left" vertical="top"/>
    </xf>
    <xf numFmtId="0" fontId="92" fillId="0" borderId="170" xfId="0" applyFont="1" applyBorder="1" applyAlignment="1">
      <alignment wrapText="1" readingOrder="1"/>
    </xf>
    <xf numFmtId="0" fontId="92" fillId="0" borderId="171" xfId="0" applyFont="1" applyBorder="1" applyAlignment="1">
      <alignment wrapText="1" readingOrder="1"/>
    </xf>
    <xf numFmtId="0" fontId="92" fillId="0" borderId="172" xfId="0" applyFont="1" applyBorder="1" applyAlignment="1">
      <alignment wrapText="1" readingOrder="1"/>
    </xf>
    <xf numFmtId="0" fontId="105" fillId="5" borderId="173" xfId="0" applyFont="1" applyFill="1" applyBorder="1" applyAlignment="1">
      <alignment readingOrder="1"/>
    </xf>
    <xf numFmtId="0" fontId="105" fillId="5" borderId="174" xfId="0" applyFont="1" applyFill="1" applyBorder="1" applyAlignment="1">
      <alignment readingOrder="1"/>
    </xf>
    <xf numFmtId="0" fontId="105" fillId="5" borderId="174" xfId="0" applyFont="1" applyFill="1" applyBorder="1" applyAlignment="1">
      <alignment wrapText="1" readingOrder="1"/>
    </xf>
    <xf numFmtId="3" fontId="105" fillId="5" borderId="174" xfId="0" applyNumberFormat="1" applyFont="1" applyFill="1" applyBorder="1" applyAlignment="1">
      <alignment readingOrder="1"/>
    </xf>
    <xf numFmtId="0" fontId="105" fillId="0" borderId="176" xfId="0" applyFont="1" applyBorder="1" applyAlignment="1">
      <alignment readingOrder="1"/>
    </xf>
    <xf numFmtId="0" fontId="105" fillId="0" borderId="177" xfId="0" applyFont="1" applyBorder="1" applyAlignment="1">
      <alignment wrapText="1" readingOrder="1"/>
    </xf>
    <xf numFmtId="3" fontId="105" fillId="0" borderId="177" xfId="0" applyNumberFormat="1" applyFont="1" applyBorder="1" applyAlignment="1">
      <alignment readingOrder="1"/>
    </xf>
    <xf numFmtId="0" fontId="105" fillId="0" borderId="177" xfId="0" quotePrefix="1" applyFont="1" applyBorder="1" applyAlignment="1">
      <alignment readingOrder="1"/>
    </xf>
    <xf numFmtId="0" fontId="105" fillId="0" borderId="170" xfId="0" applyFont="1" applyBorder="1" applyAlignment="1">
      <alignment readingOrder="1"/>
    </xf>
    <xf numFmtId="0" fontId="105" fillId="0" borderId="171" xfId="0" applyFont="1" applyBorder="1" applyAlignment="1">
      <alignment wrapText="1" readingOrder="1"/>
    </xf>
    <xf numFmtId="3" fontId="105" fillId="0" borderId="171" xfId="0" applyNumberFormat="1" applyFont="1" applyBorder="1" applyAlignment="1">
      <alignment readingOrder="1"/>
    </xf>
    <xf numFmtId="0" fontId="105" fillId="0" borderId="174" xfId="0" applyFont="1" applyBorder="1" applyAlignment="1">
      <alignment wrapText="1" readingOrder="1"/>
    </xf>
    <xf numFmtId="3" fontId="105" fillId="0" borderId="174" xfId="0" applyNumberFormat="1" applyFont="1" applyBorder="1" applyAlignment="1">
      <alignment readingOrder="1"/>
    </xf>
    <xf numFmtId="172" fontId="8" fillId="0" borderId="212" xfId="1" applyNumberFormat="1" applyFont="1" applyBorder="1"/>
    <xf numFmtId="172" fontId="8" fillId="0" borderId="212" xfId="1" applyNumberFormat="1" applyFont="1" applyFill="1" applyBorder="1"/>
    <xf numFmtId="172" fontId="20" fillId="0" borderId="212" xfId="1" applyNumberFormat="1" applyFont="1" applyFill="1" applyBorder="1"/>
    <xf numFmtId="172" fontId="11" fillId="11" borderId="27" xfId="0" applyNumberFormat="1" applyFont="1" applyFill="1" applyBorder="1"/>
    <xf numFmtId="172" fontId="90" fillId="0" borderId="0" xfId="1" applyNumberFormat="1" applyFont="1"/>
    <xf numFmtId="172" fontId="1" fillId="0" borderId="0" xfId="1" applyNumberFormat="1" applyFont="1" applyFill="1" applyAlignment="1">
      <alignment horizontal="center"/>
    </xf>
    <xf numFmtId="0" fontId="7" fillId="0" borderId="0" xfId="0" applyFont="1"/>
    <xf numFmtId="0" fontId="7" fillId="0" borderId="0" xfId="0" applyFont="1" applyAlignment="1">
      <alignment wrapText="1"/>
    </xf>
    <xf numFmtId="0" fontId="7" fillId="0" borderId="0" xfId="0" applyFont="1" applyAlignment="1">
      <alignment horizontal="center"/>
    </xf>
    <xf numFmtId="3" fontId="7" fillId="0" borderId="0" xfId="0" applyNumberFormat="1" applyFont="1"/>
    <xf numFmtId="0" fontId="92" fillId="0" borderId="223" xfId="0" applyFont="1" applyBorder="1" applyAlignment="1">
      <alignment wrapText="1" readingOrder="1"/>
    </xf>
    <xf numFmtId="0" fontId="0" fillId="0" borderId="0" xfId="0" applyAlignment="1">
      <alignment horizontal="left" indent="1"/>
    </xf>
    <xf numFmtId="172" fontId="104" fillId="0" borderId="0" xfId="1" applyNumberFormat="1" applyFont="1"/>
    <xf numFmtId="172" fontId="278" fillId="0" borderId="0" xfId="0" applyNumberFormat="1" applyFont="1"/>
    <xf numFmtId="0" fontId="6" fillId="0" borderId="0" xfId="3922"/>
    <xf numFmtId="0" fontId="43" fillId="0" borderId="0" xfId="3922" applyFont="1" applyAlignment="1">
      <alignment horizontal="center"/>
    </xf>
    <xf numFmtId="182" fontId="6" fillId="0" borderId="0" xfId="3923" applyNumberFormat="1" applyFont="1"/>
    <xf numFmtId="182" fontId="6" fillId="8" borderId="0" xfId="3923" applyNumberFormat="1" applyFont="1" applyFill="1"/>
    <xf numFmtId="182" fontId="6" fillId="0" borderId="0" xfId="3922" applyNumberFormat="1"/>
    <xf numFmtId="172" fontId="1" fillId="0" borderId="0" xfId="6" applyNumberFormat="1" applyFont="1"/>
    <xf numFmtId="172" fontId="1" fillId="11" borderId="67" xfId="0" applyNumberFormat="1" applyFont="1" applyFill="1" applyBorder="1"/>
    <xf numFmtId="172" fontId="71" fillId="49" borderId="0" xfId="1" applyNumberFormat="1" applyFont="1" applyFill="1"/>
    <xf numFmtId="172" fontId="107" fillId="49" borderId="0" xfId="1" applyNumberFormat="1" applyFont="1" applyFill="1"/>
    <xf numFmtId="172" fontId="1" fillId="0" borderId="0" xfId="1" applyNumberFormat="1" applyFont="1" applyFill="1" applyAlignment="1">
      <alignment horizontal="right"/>
    </xf>
    <xf numFmtId="172" fontId="25" fillId="0" borderId="0" xfId="1" applyNumberFormat="1" applyFont="1" applyAlignment="1">
      <alignment horizontal="right" vertical="center" wrapText="1"/>
    </xf>
    <xf numFmtId="172" fontId="8" fillId="100" borderId="0" xfId="1" applyNumberFormat="1" applyFont="1" applyFill="1"/>
    <xf numFmtId="0" fontId="8" fillId="36" borderId="0" xfId="0" applyFont="1" applyFill="1"/>
    <xf numFmtId="0" fontId="71" fillId="0" borderId="0" xfId="0" applyFont="1" applyAlignment="1">
      <alignment horizontal="justify" vertical="center"/>
    </xf>
    <xf numFmtId="0" fontId="25" fillId="0" borderId="0" xfId="0" applyFont="1" applyAlignment="1">
      <alignment horizontal="right" vertical="center" wrapText="1"/>
    </xf>
    <xf numFmtId="0" fontId="71" fillId="0" borderId="0" xfId="0" applyFont="1" applyAlignment="1">
      <alignment horizontal="right" vertical="center" wrapText="1"/>
    </xf>
    <xf numFmtId="0" fontId="72" fillId="0" borderId="0" xfId="0" applyFont="1" applyAlignment="1">
      <alignment vertical="center"/>
    </xf>
    <xf numFmtId="172" fontId="1" fillId="10" borderId="0" xfId="1" applyNumberFormat="1" applyFont="1" applyFill="1" applyAlignment="1">
      <alignment horizontal="right" vertical="center" wrapText="1"/>
    </xf>
    <xf numFmtId="0" fontId="72" fillId="0" borderId="0" xfId="0" applyFont="1" applyAlignment="1">
      <alignment horizontal="justify" vertical="center"/>
    </xf>
    <xf numFmtId="172" fontId="71" fillId="10" borderId="0" xfId="1" applyNumberFormat="1" applyFont="1" applyFill="1" applyAlignment="1">
      <alignment horizontal="right" vertical="center" wrapText="1"/>
    </xf>
    <xf numFmtId="43" fontId="1" fillId="97" borderId="0" xfId="0" applyNumberFormat="1" applyFont="1" applyFill="1"/>
    <xf numFmtId="172" fontId="8" fillId="0" borderId="224" xfId="0" applyNumberFormat="1" applyFont="1" applyBorder="1"/>
    <xf numFmtId="172" fontId="8" fillId="0" borderId="224" xfId="1" applyNumberFormat="1" applyFont="1" applyBorder="1"/>
    <xf numFmtId="0" fontId="1" fillId="0" borderId="225" xfId="0" applyFont="1" applyBorder="1"/>
    <xf numFmtId="172" fontId="8" fillId="0" borderId="225" xfId="0" applyNumberFormat="1" applyFont="1" applyBorder="1"/>
    <xf numFmtId="0" fontId="250" fillId="91" borderId="224" xfId="0" applyFont="1" applyFill="1" applyBorder="1"/>
    <xf numFmtId="172" fontId="250" fillId="91" borderId="224" xfId="1" applyNumberFormat="1" applyFont="1" applyFill="1" applyBorder="1"/>
    <xf numFmtId="15" fontId="250" fillId="91" borderId="224" xfId="0" applyNumberFormat="1" applyFont="1" applyFill="1" applyBorder="1"/>
    <xf numFmtId="0" fontId="1" fillId="0" borderId="226" xfId="0" applyFont="1" applyBorder="1"/>
    <xf numFmtId="0" fontId="19" fillId="2" borderId="226" xfId="0" applyFont="1" applyFill="1" applyBorder="1"/>
    <xf numFmtId="0" fontId="19" fillId="3" borderId="226" xfId="0" applyFont="1" applyFill="1" applyBorder="1" applyAlignment="1">
      <alignment horizontal="center"/>
    </xf>
    <xf numFmtId="0" fontId="1" fillId="0" borderId="226" xfId="0" applyFont="1" applyBorder="1" applyAlignment="1">
      <alignment horizontal="center"/>
    </xf>
    <xf numFmtId="0" fontId="1" fillId="0" borderId="226" xfId="0" applyFont="1" applyBorder="1" applyAlignment="1">
      <alignment vertical="center"/>
    </xf>
    <xf numFmtId="0" fontId="1" fillId="0" borderId="226" xfId="0" applyFont="1" applyBorder="1" applyAlignment="1">
      <alignment horizontal="center" vertical="center" wrapText="1"/>
    </xf>
    <xf numFmtId="0" fontId="1" fillId="0" borderId="226" xfId="0" applyFont="1" applyBorder="1" applyAlignment="1">
      <alignment horizontal="center" vertical="center"/>
    </xf>
    <xf numFmtId="172" fontId="1" fillId="0" borderId="224" xfId="1" applyNumberFormat="1" applyFont="1" applyBorder="1"/>
    <xf numFmtId="172" fontId="8" fillId="20" borderId="224" xfId="0" applyNumberFormat="1" applyFont="1" applyFill="1" applyBorder="1"/>
    <xf numFmtId="172" fontId="8" fillId="19" borderId="224" xfId="0" applyNumberFormat="1" applyFont="1" applyFill="1" applyBorder="1"/>
    <xf numFmtId="172" fontId="8" fillId="20" borderId="224" xfId="1" applyNumberFormat="1" applyFont="1" applyFill="1" applyBorder="1"/>
    <xf numFmtId="172" fontId="8" fillId="19" borderId="224" xfId="1" applyNumberFormat="1" applyFont="1" applyFill="1" applyBorder="1"/>
    <xf numFmtId="172" fontId="8" fillId="91" borderId="224" xfId="0" applyNumberFormat="1" applyFont="1" applyFill="1" applyBorder="1"/>
    <xf numFmtId="172" fontId="8" fillId="91" borderId="224" xfId="0" applyNumberFormat="1" applyFont="1" applyFill="1" applyBorder="1" applyAlignment="1">
      <alignment horizontal="right"/>
    </xf>
    <xf numFmtId="173" fontId="8" fillId="20" borderId="224" xfId="1" applyNumberFormat="1" applyFont="1" applyFill="1" applyBorder="1"/>
    <xf numFmtId="173" fontId="8" fillId="19" borderId="224" xfId="1" applyNumberFormat="1" applyFont="1" applyFill="1" applyBorder="1"/>
    <xf numFmtId="172" fontId="1" fillId="19" borderId="224" xfId="0" applyNumberFormat="1" applyFont="1" applyFill="1" applyBorder="1"/>
    <xf numFmtId="172" fontId="1" fillId="20" borderId="224" xfId="0" applyNumberFormat="1" applyFont="1" applyFill="1" applyBorder="1"/>
    <xf numFmtId="172" fontId="8" fillId="20" borderId="224" xfId="1" applyNumberFormat="1" applyFont="1" applyFill="1" applyBorder="1" applyAlignment="1">
      <alignment horizontal="left"/>
    </xf>
    <xf numFmtId="172" fontId="8" fillId="19" borderId="224" xfId="1" applyNumberFormat="1" applyFont="1" applyFill="1" applyBorder="1" applyAlignment="1">
      <alignment horizontal="left"/>
    </xf>
    <xf numFmtId="10" fontId="8" fillId="20" borderId="224" xfId="6" applyNumberFormat="1" applyFont="1" applyFill="1" applyBorder="1"/>
    <xf numFmtId="10" fontId="8" fillId="19" borderId="224" xfId="6" applyNumberFormat="1" applyFont="1" applyFill="1" applyBorder="1"/>
    <xf numFmtId="172" fontId="1" fillId="20" borderId="224" xfId="1" applyNumberFormat="1" applyFont="1" applyFill="1" applyBorder="1"/>
    <xf numFmtId="172" fontId="1" fillId="19" borderId="224" xfId="1" applyNumberFormat="1" applyFont="1" applyFill="1" applyBorder="1"/>
    <xf numFmtId="172" fontId="8" fillId="21" borderId="224" xfId="0" applyNumberFormat="1" applyFont="1" applyFill="1" applyBorder="1"/>
    <xf numFmtId="172" fontId="8" fillId="7" borderId="224" xfId="0" applyNumberFormat="1" applyFont="1" applyFill="1" applyBorder="1"/>
    <xf numFmtId="172" fontId="8" fillId="10" borderId="224" xfId="0" applyNumberFormat="1" applyFont="1" applyFill="1" applyBorder="1"/>
    <xf numFmtId="172" fontId="8" fillId="21" borderId="224" xfId="1" applyNumberFormat="1" applyFont="1" applyFill="1" applyBorder="1"/>
    <xf numFmtId="172" fontId="8" fillId="10" borderId="224" xfId="1" applyNumberFormat="1" applyFont="1" applyFill="1" applyBorder="1"/>
    <xf numFmtId="172" fontId="1" fillId="21" borderId="224" xfId="1" applyNumberFormat="1" applyFont="1" applyFill="1" applyBorder="1"/>
    <xf numFmtId="172" fontId="1" fillId="21" borderId="224" xfId="0" applyNumberFormat="1" applyFont="1" applyFill="1" applyBorder="1"/>
    <xf numFmtId="172" fontId="1" fillId="10" borderId="224" xfId="1" applyNumberFormat="1" applyFont="1" applyFill="1" applyBorder="1"/>
    <xf numFmtId="172" fontId="1" fillId="10" borderId="224" xfId="0" applyNumberFormat="1" applyFont="1" applyFill="1" applyBorder="1"/>
    <xf numFmtId="173" fontId="8" fillId="21" borderId="224" xfId="1" applyNumberFormat="1" applyFont="1" applyFill="1" applyBorder="1"/>
    <xf numFmtId="173" fontId="8" fillId="10" borderId="224" xfId="1" applyNumberFormat="1" applyFont="1" applyFill="1" applyBorder="1"/>
    <xf numFmtId="3" fontId="8" fillId="21" borderId="224" xfId="0" applyNumberFormat="1" applyFont="1" applyFill="1" applyBorder="1"/>
    <xf numFmtId="172" fontId="8" fillId="21" borderId="224" xfId="1" applyNumberFormat="1" applyFont="1" applyFill="1" applyBorder="1" applyAlignment="1">
      <alignment horizontal="left"/>
    </xf>
    <xf numFmtId="172" fontId="8" fillId="10" borderId="224" xfId="1" applyNumberFormat="1" applyFont="1" applyFill="1" applyBorder="1" applyAlignment="1">
      <alignment horizontal="left"/>
    </xf>
    <xf numFmtId="172" fontId="8" fillId="89" borderId="224" xfId="1" applyNumberFormat="1" applyFont="1" applyFill="1" applyBorder="1"/>
    <xf numFmtId="10" fontId="8" fillId="21" borderId="224" xfId="6" applyNumberFormat="1" applyFont="1" applyFill="1" applyBorder="1"/>
    <xf numFmtId="10" fontId="8" fillId="10" borderId="224" xfId="6" applyNumberFormat="1" applyFont="1" applyFill="1" applyBorder="1"/>
    <xf numFmtId="172" fontId="20" fillId="21" borderId="224" xfId="0" applyNumberFormat="1" applyFont="1" applyFill="1" applyBorder="1"/>
    <xf numFmtId="0" fontId="1" fillId="0" borderId="227" xfId="0" applyFont="1" applyBorder="1"/>
    <xf numFmtId="0" fontId="12" fillId="0" borderId="226" xfId="2" applyFont="1" applyBorder="1" applyAlignment="1">
      <alignment vertical="center" wrapText="1" readingOrder="1"/>
    </xf>
    <xf numFmtId="171" fontId="12" fillId="0" borderId="226" xfId="2" applyNumberFormat="1" applyFont="1" applyBorder="1" applyAlignment="1">
      <alignment horizontal="center" vertical="center" wrapText="1" readingOrder="1"/>
    </xf>
    <xf numFmtId="171" fontId="12" fillId="0" borderId="226" xfId="2" applyNumberFormat="1" applyFont="1" applyBorder="1" applyAlignment="1">
      <alignment vertical="center" wrapText="1" readingOrder="1"/>
    </xf>
    <xf numFmtId="0" fontId="72" fillId="0" borderId="228" xfId="0" applyFont="1" applyBorder="1" applyAlignment="1">
      <alignment vertical="center" wrapText="1"/>
    </xf>
    <xf numFmtId="172" fontId="0" fillId="0" borderId="226" xfId="1" applyNumberFormat="1" applyFont="1" applyBorder="1" applyAlignment="1">
      <alignment vertical="center"/>
    </xf>
    <xf numFmtId="0" fontId="70" fillId="0" borderId="226" xfId="0" applyFont="1" applyBorder="1" applyAlignment="1">
      <alignment vertical="center" wrapText="1"/>
    </xf>
    <xf numFmtId="172" fontId="0" fillId="0" borderId="229" xfId="0" applyNumberFormat="1" applyBorder="1"/>
    <xf numFmtId="172" fontId="0" fillId="0" borderId="226" xfId="1" applyNumberFormat="1" applyFont="1" applyBorder="1"/>
    <xf numFmtId="0" fontId="0" fillId="0" borderId="226" xfId="0" applyBorder="1"/>
    <xf numFmtId="0" fontId="72" fillId="0" borderId="230" xfId="0" applyFont="1" applyBorder="1" applyAlignment="1">
      <alignment vertical="center" wrapText="1"/>
    </xf>
    <xf numFmtId="0" fontId="71" fillId="0" borderId="228" xfId="0" applyFont="1" applyBorder="1" applyAlignment="1">
      <alignment vertical="center" wrapText="1"/>
    </xf>
    <xf numFmtId="0" fontId="70" fillId="0" borderId="226" xfId="0" applyFont="1" applyBorder="1" applyAlignment="1">
      <alignment vertical="center"/>
    </xf>
    <xf numFmtId="0" fontId="43" fillId="0" borderId="226" xfId="0" applyFont="1" applyBorder="1" applyAlignment="1">
      <alignment vertical="center" wrapText="1"/>
    </xf>
    <xf numFmtId="0" fontId="0" fillId="0" borderId="226" xfId="0" applyBorder="1" applyAlignment="1">
      <alignment vertical="center"/>
    </xf>
    <xf numFmtId="172" fontId="0" fillId="10" borderId="226" xfId="1" applyNumberFormat="1" applyFont="1" applyFill="1" applyBorder="1"/>
    <xf numFmtId="0" fontId="80" fillId="32" borderId="226" xfId="133" applyFont="1" applyFill="1" applyBorder="1" applyAlignment="1">
      <alignment horizontal="center" vertical="center"/>
    </xf>
    <xf numFmtId="0" fontId="80" fillId="0" borderId="231" xfId="133" applyFont="1" applyBorder="1" applyAlignment="1">
      <alignment horizontal="left"/>
    </xf>
    <xf numFmtId="49" fontId="80" fillId="0" borderId="231" xfId="133" applyNumberFormat="1" applyFont="1" applyBorder="1" applyAlignment="1">
      <alignment horizontal="left"/>
    </xf>
    <xf numFmtId="172" fontId="80" fillId="0" borderId="231" xfId="575" applyNumberFormat="1" applyFont="1" applyBorder="1" applyAlignment="1">
      <alignment horizontal="right"/>
    </xf>
    <xf numFmtId="172" fontId="1" fillId="101" borderId="0" xfId="1" applyNumberFormat="1" applyFont="1" applyFill="1"/>
    <xf numFmtId="0" fontId="105" fillId="0" borderId="0" xfId="0" applyFont="1" applyAlignment="1">
      <alignment readingOrder="1"/>
    </xf>
    <xf numFmtId="172" fontId="8" fillId="91" borderId="79" xfId="0" applyNumberFormat="1" applyFont="1" applyFill="1" applyBorder="1" applyAlignment="1">
      <alignment horizontal="center" vertical="center"/>
    </xf>
    <xf numFmtId="0" fontId="8" fillId="91" borderId="79" xfId="0" applyFont="1" applyFill="1" applyBorder="1" applyAlignment="1">
      <alignment horizontal="center" vertical="center"/>
    </xf>
    <xf numFmtId="172" fontId="1" fillId="20" borderId="79" xfId="1" applyNumberFormat="1" applyFont="1" applyFill="1" applyBorder="1"/>
    <xf numFmtId="172" fontId="8" fillId="19" borderId="79" xfId="1" applyNumberFormat="1" applyFont="1" applyFill="1" applyBorder="1"/>
    <xf numFmtId="172" fontId="8" fillId="20" borderId="79" xfId="1" applyNumberFormat="1" applyFont="1" applyFill="1" applyBorder="1"/>
    <xf numFmtId="172" fontId="1" fillId="21" borderId="79" xfId="1" applyNumberFormat="1" applyFont="1" applyFill="1" applyBorder="1"/>
    <xf numFmtId="172" fontId="8" fillId="10" borderId="79" xfId="1" applyNumberFormat="1" applyFont="1" applyFill="1" applyBorder="1"/>
    <xf numFmtId="172" fontId="8" fillId="21" borderId="79" xfId="1" applyNumberFormat="1" applyFont="1" applyFill="1" applyBorder="1"/>
    <xf numFmtId="0" fontId="0" fillId="0" borderId="232" xfId="0" applyBorder="1"/>
    <xf numFmtId="0" fontId="0" fillId="0" borderId="233" xfId="0" applyBorder="1"/>
    <xf numFmtId="0" fontId="14" fillId="25" borderId="234" xfId="29" applyFont="1" applyFill="1" applyBorder="1" applyAlignment="1">
      <alignment vertical="center" wrapText="1"/>
    </xf>
    <xf numFmtId="0" fontId="14" fillId="25" borderId="235" xfId="29" applyFont="1" applyFill="1" applyBorder="1" applyAlignment="1">
      <alignment vertical="center" wrapText="1"/>
    </xf>
    <xf numFmtId="0" fontId="14" fillId="25" borderId="236" xfId="29" applyFont="1" applyFill="1" applyBorder="1" applyAlignment="1">
      <alignment vertical="center" wrapText="1"/>
    </xf>
    <xf numFmtId="172" fontId="1" fillId="19" borderId="233" xfId="0" applyNumberFormat="1" applyFont="1" applyFill="1" applyBorder="1"/>
    <xf numFmtId="172" fontId="1" fillId="10" borderId="233" xfId="0" applyNumberFormat="1" applyFont="1" applyFill="1" applyBorder="1"/>
    <xf numFmtId="0" fontId="12" fillId="0" borderId="238" xfId="2" applyFont="1" applyBorder="1" applyAlignment="1">
      <alignment vertical="center" wrapText="1" readingOrder="1"/>
    </xf>
    <xf numFmtId="171" fontId="12" fillId="0" borderId="239" xfId="2" applyNumberFormat="1" applyFont="1" applyBorder="1" applyAlignment="1">
      <alignment horizontal="centerContinuous" vertical="center" wrapText="1" readingOrder="1"/>
    </xf>
    <xf numFmtId="171" fontId="12" fillId="0" borderId="240" xfId="2" applyNumberFormat="1" applyFont="1" applyBorder="1" applyAlignment="1">
      <alignment horizontal="centerContinuous" vertical="center" wrapText="1" readingOrder="1"/>
    </xf>
    <xf numFmtId="171" fontId="12" fillId="0" borderId="238" xfId="2" applyNumberFormat="1" applyFont="1" applyBorder="1" applyAlignment="1">
      <alignment horizontal="centerContinuous" vertical="center" wrapText="1" readingOrder="1"/>
    </xf>
    <xf numFmtId="0" fontId="13" fillId="0" borderId="241" xfId="0" applyFont="1" applyBorder="1" applyAlignment="1">
      <alignment horizontal="left" vertical="center" wrapText="1" readingOrder="1"/>
    </xf>
    <xf numFmtId="0" fontId="14" fillId="0" borderId="241" xfId="0" applyFont="1" applyBorder="1" applyAlignment="1">
      <alignment horizontal="left" vertical="center" wrapText="1" readingOrder="1"/>
    </xf>
    <xf numFmtId="171" fontId="15" fillId="0" borderId="242" xfId="0" applyNumberFormat="1" applyFont="1" applyBorder="1" applyAlignment="1">
      <alignment horizontal="right" vertical="center" wrapText="1" readingOrder="1"/>
    </xf>
    <xf numFmtId="171" fontId="15" fillId="0" borderId="241" xfId="0" applyNumberFormat="1" applyFont="1" applyBorder="1" applyAlignment="1">
      <alignment horizontal="right" vertical="center" wrapText="1" readingOrder="1"/>
    </xf>
    <xf numFmtId="0" fontId="16" fillId="0" borderId="241" xfId="0" applyFont="1" applyBorder="1" applyAlignment="1">
      <alignment horizontal="left" vertical="center" wrapText="1" readingOrder="1"/>
    </xf>
    <xf numFmtId="0" fontId="17" fillId="0" borderId="241" xfId="0" applyFont="1" applyBorder="1" applyAlignment="1">
      <alignment horizontal="left" vertical="center" wrapText="1" readingOrder="1"/>
    </xf>
    <xf numFmtId="171" fontId="18" fillId="0" borderId="242" xfId="0" applyNumberFormat="1" applyFont="1" applyBorder="1" applyAlignment="1">
      <alignment horizontal="right" vertical="center" wrapText="1" readingOrder="1"/>
    </xf>
    <xf numFmtId="171" fontId="18" fillId="0" borderId="241" xfId="0" applyNumberFormat="1" applyFont="1" applyBorder="1" applyAlignment="1">
      <alignment horizontal="right" vertical="center" wrapText="1" readingOrder="1"/>
    </xf>
    <xf numFmtId="172" fontId="0" fillId="0" borderId="243" xfId="1" applyNumberFormat="1" applyFont="1" applyBorder="1"/>
    <xf numFmtId="0" fontId="0" fillId="0" borderId="243" xfId="0" applyBorder="1"/>
    <xf numFmtId="171" fontId="12" fillId="0" borderId="241" xfId="2" applyNumberFormat="1" applyFont="1" applyBorder="1" applyAlignment="1">
      <alignment horizontal="center" vertical="center" wrapText="1" readingOrder="1"/>
    </xf>
    <xf numFmtId="0" fontId="13" fillId="0" borderId="241" xfId="2" applyFont="1" applyBorder="1" applyAlignment="1">
      <alignment horizontal="left" vertical="center" wrapText="1" readingOrder="1"/>
    </xf>
    <xf numFmtId="0" fontId="14" fillId="0" borderId="241" xfId="2" applyFont="1" applyBorder="1" applyAlignment="1">
      <alignment horizontal="left" vertical="center" wrapText="1" readingOrder="1"/>
    </xf>
    <xf numFmtId="171" fontId="15" fillId="0" borderId="241" xfId="2" applyNumberFormat="1" applyFont="1" applyBorder="1" applyAlignment="1">
      <alignment horizontal="right" vertical="center" wrapText="1" readingOrder="1"/>
    </xf>
    <xf numFmtId="0" fontId="16" fillId="0" borderId="241" xfId="2" applyFont="1" applyBorder="1" applyAlignment="1">
      <alignment horizontal="left" vertical="center" wrapText="1" readingOrder="1"/>
    </xf>
    <xf numFmtId="0" fontId="17" fillId="0" borderId="241" xfId="2" applyFont="1" applyBorder="1" applyAlignment="1">
      <alignment horizontal="left" vertical="center" wrapText="1" readingOrder="1"/>
    </xf>
    <xf numFmtId="171" fontId="18" fillId="0" borderId="241" xfId="2" applyNumberFormat="1" applyFont="1" applyBorder="1" applyAlignment="1">
      <alignment horizontal="right" vertical="center" wrapText="1" readingOrder="1"/>
    </xf>
    <xf numFmtId="0" fontId="11" fillId="0" borderId="244" xfId="2" applyBorder="1" applyAlignment="1">
      <alignment vertical="top"/>
    </xf>
    <xf numFmtId="172" fontId="8" fillId="0" borderId="245" xfId="0" applyNumberFormat="1" applyFont="1" applyBorder="1"/>
    <xf numFmtId="172" fontId="11" fillId="12" borderId="246" xfId="579" applyNumberFormat="1" applyFont="1" applyFill="1" applyBorder="1" applyAlignment="1">
      <alignment horizontal="left"/>
    </xf>
    <xf numFmtId="183" fontId="1" fillId="12" borderId="247" xfId="578" applyFont="1" applyFill="1" applyBorder="1" applyAlignment="1">
      <alignment horizontal="left"/>
    </xf>
    <xf numFmtId="172" fontId="1" fillId="12" borderId="248" xfId="579" applyNumberFormat="1" applyFont="1" applyFill="1" applyBorder="1"/>
    <xf numFmtId="183" fontId="11" fillId="13" borderId="246" xfId="580" applyFont="1" applyFill="1" applyBorder="1"/>
    <xf numFmtId="0" fontId="1" fillId="13" borderId="247" xfId="580" applyNumberFormat="1" applyFont="1" applyFill="1" applyBorder="1" applyAlignment="1">
      <alignment horizontal="left"/>
    </xf>
    <xf numFmtId="172" fontId="1" fillId="13" borderId="248" xfId="576" applyNumberFormat="1" applyFont="1" applyFill="1" applyBorder="1"/>
    <xf numFmtId="171" fontId="12" fillId="0" borderId="249" xfId="3" applyNumberFormat="1" applyFont="1" applyBorder="1" applyAlignment="1">
      <alignment horizontal="center" vertical="center" wrapText="1" readingOrder="1"/>
    </xf>
    <xf numFmtId="0" fontId="13" fillId="0" borderId="249" xfId="3" applyFont="1" applyBorder="1" applyAlignment="1">
      <alignment horizontal="left" vertical="center" wrapText="1" readingOrder="1"/>
    </xf>
    <xf numFmtId="0" fontId="14" fillId="0" borderId="249" xfId="3" applyFont="1" applyBorder="1" applyAlignment="1">
      <alignment horizontal="left" vertical="center" wrapText="1" readingOrder="1"/>
    </xf>
    <xf numFmtId="171" fontId="15" fillId="0" borderId="249" xfId="3" applyNumberFormat="1" applyFont="1" applyBorder="1" applyAlignment="1">
      <alignment horizontal="right" vertical="center" wrapText="1" readingOrder="1"/>
    </xf>
    <xf numFmtId="0" fontId="16" fillId="0" borderId="249" xfId="3" applyFont="1" applyBorder="1" applyAlignment="1">
      <alignment horizontal="left" vertical="center" wrapText="1" readingOrder="1"/>
    </xf>
    <xf numFmtId="0" fontId="17" fillId="0" borderId="249" xfId="3" applyFont="1" applyBorder="1" applyAlignment="1">
      <alignment horizontal="left" vertical="center" wrapText="1" readingOrder="1"/>
    </xf>
    <xf numFmtId="171" fontId="18" fillId="0" borderId="249" xfId="3" applyNumberFormat="1" applyFont="1" applyBorder="1" applyAlignment="1">
      <alignment horizontal="right" vertical="center" wrapText="1" readingOrder="1"/>
    </xf>
    <xf numFmtId="0" fontId="9" fillId="0" borderId="250" xfId="3" applyBorder="1" applyAlignment="1">
      <alignment vertical="top"/>
    </xf>
    <xf numFmtId="0" fontId="80" fillId="32" borderId="251" xfId="3" applyFont="1" applyFill="1" applyBorder="1" applyAlignment="1">
      <alignment horizontal="center" vertical="center"/>
    </xf>
    <xf numFmtId="0" fontId="84" fillId="0" borderId="245" xfId="0" applyFont="1" applyBorder="1"/>
    <xf numFmtId="172" fontId="84" fillId="0" borderId="245" xfId="563" applyNumberFormat="1" applyFont="1" applyBorder="1"/>
    <xf numFmtId="172" fontId="84" fillId="0" borderId="245" xfId="1" applyNumberFormat="1" applyFont="1" applyBorder="1"/>
    <xf numFmtId="0" fontId="8" fillId="0" borderId="226" xfId="0" applyFont="1" applyBorder="1" applyAlignment="1">
      <alignment horizontal="center" vertical="center"/>
    </xf>
    <xf numFmtId="0" fontId="14" fillId="25" borderId="236" xfId="29" applyFont="1" applyFill="1" applyBorder="1" applyAlignment="1">
      <alignment horizontal="center" vertical="center" wrapText="1"/>
    </xf>
    <xf numFmtId="0" fontId="14" fillId="25" borderId="237" xfId="29" applyFont="1" applyFill="1" applyBorder="1" applyAlignment="1">
      <alignment horizontal="center" vertical="center" wrapText="1"/>
    </xf>
    <xf numFmtId="0" fontId="107" fillId="0" borderId="0" xfId="0" applyFont="1" applyAlignment="1">
      <alignment horizontal="center" vertical="center" wrapText="1"/>
    </xf>
    <xf numFmtId="0" fontId="8" fillId="0" borderId="0" xfId="0" applyFont="1" applyAlignment="1">
      <alignment horizontal="justify" vertical="center" wrapText="1"/>
    </xf>
    <xf numFmtId="0" fontId="8" fillId="36" borderId="0" xfId="0" applyFont="1" applyFill="1" applyAlignment="1">
      <alignment horizontal="center"/>
    </xf>
    <xf numFmtId="0" fontId="64" fillId="0" borderId="0" xfId="451"/>
    <xf numFmtId="0" fontId="273" fillId="0" borderId="0" xfId="451" applyFont="1" applyAlignment="1">
      <alignment horizontal="left" vertical="top" wrapText="1" readingOrder="1"/>
    </xf>
    <xf numFmtId="0" fontId="274" fillId="0" borderId="0" xfId="451" applyFont="1" applyAlignment="1">
      <alignment horizontal="center" vertical="top" wrapText="1" readingOrder="1"/>
    </xf>
    <xf numFmtId="0" fontId="275" fillId="0" borderId="0" xfId="451" applyFont="1" applyAlignment="1">
      <alignment horizontal="center" vertical="center" wrapText="1" readingOrder="1"/>
    </xf>
    <xf numFmtId="171" fontId="27" fillId="0" borderId="37" xfId="451" applyNumberFormat="1" applyFont="1" applyBorder="1" applyAlignment="1">
      <alignment horizontal="center" vertical="center" wrapText="1" readingOrder="1"/>
    </xf>
    <xf numFmtId="0" fontId="11" fillId="0" borderId="39" xfId="451" applyFont="1" applyBorder="1"/>
    <xf numFmtId="0" fontId="11" fillId="0" borderId="38" xfId="451" applyFont="1" applyBorder="1"/>
    <xf numFmtId="0" fontId="27" fillId="0" borderId="37" xfId="451" applyFont="1" applyBorder="1" applyAlignment="1">
      <alignment horizontal="center" vertical="center" wrapText="1" readingOrder="1"/>
    </xf>
    <xf numFmtId="0" fontId="21" fillId="33" borderId="216" xfId="0" applyFont="1" applyFill="1" applyBorder="1" applyAlignment="1">
      <alignment horizontal="center" vertical="center" wrapText="1"/>
    </xf>
    <xf numFmtId="0" fontId="21" fillId="33" borderId="217" xfId="0" applyFont="1" applyFill="1" applyBorder="1" applyAlignment="1">
      <alignment horizontal="center" vertical="center" wrapText="1"/>
    </xf>
    <xf numFmtId="0" fontId="21" fillId="33" borderId="42" xfId="0" applyFont="1" applyFill="1" applyBorder="1" applyAlignment="1">
      <alignment horizontal="center" vertical="center" wrapText="1"/>
    </xf>
    <xf numFmtId="0" fontId="21" fillId="33" borderId="218" xfId="0" applyFont="1" applyFill="1" applyBorder="1" applyAlignment="1">
      <alignment horizontal="center" vertical="center" wrapText="1"/>
    </xf>
    <xf numFmtId="0" fontId="78" fillId="0" borderId="0" xfId="2" applyFont="1" applyAlignment="1">
      <alignment horizontal="center" vertical="center" wrapText="1" readingOrder="1"/>
    </xf>
    <xf numFmtId="0" fontId="75" fillId="0" borderId="0" xfId="2" applyFont="1" applyAlignment="1">
      <alignment horizontal="right" vertical="top" wrapText="1" readingOrder="1"/>
    </xf>
    <xf numFmtId="0" fontId="12" fillId="0" borderId="241" xfId="2" applyFont="1" applyBorder="1" applyAlignment="1">
      <alignment horizontal="center" vertical="center" wrapText="1" readingOrder="1"/>
    </xf>
    <xf numFmtId="171" fontId="15" fillId="0" borderId="241" xfId="2" applyNumberFormat="1" applyFont="1" applyBorder="1" applyAlignment="1">
      <alignment horizontal="right" vertical="center" wrapText="1" readingOrder="1"/>
    </xf>
    <xf numFmtId="0" fontId="78" fillId="0" borderId="0" xfId="2" applyFont="1" applyAlignment="1">
      <alignment horizontal="center" vertical="center" readingOrder="1"/>
    </xf>
    <xf numFmtId="0" fontId="79" fillId="0" borderId="0" xfId="2" applyFont="1" applyAlignment="1">
      <alignment horizontal="center" vertical="top" wrapText="1" readingOrder="1"/>
    </xf>
    <xf numFmtId="0" fontId="79" fillId="0" borderId="0" xfId="2" applyFont="1" applyAlignment="1">
      <alignment horizontal="center" vertical="center" wrapText="1" readingOrder="1"/>
    </xf>
    <xf numFmtId="171" fontId="18" fillId="0" borderId="241" xfId="2" applyNumberFormat="1" applyFont="1" applyBorder="1" applyAlignment="1">
      <alignment horizontal="right" vertical="center" wrapText="1" readingOrder="1"/>
    </xf>
    <xf numFmtId="171" fontId="12" fillId="0" borderId="241" xfId="2" applyNumberFormat="1" applyFont="1" applyBorder="1" applyAlignment="1">
      <alignment horizontal="center" vertical="center" wrapText="1" readingOrder="1"/>
    </xf>
    <xf numFmtId="0" fontId="75" fillId="0" borderId="0" xfId="2" applyFont="1" applyAlignment="1">
      <alignment horizontal="left" vertical="top" wrapText="1" readingOrder="1"/>
    </xf>
    <xf numFmtId="0" fontId="76" fillId="0" borderId="0" xfId="2" applyFont="1" applyAlignment="1">
      <alignment horizontal="center" vertical="center" wrapText="1" readingOrder="1"/>
    </xf>
    <xf numFmtId="0" fontId="77" fillId="0" borderId="0" xfId="2" applyFont="1" applyAlignment="1">
      <alignment horizontal="center" vertical="top" wrapText="1" readingOrder="1"/>
    </xf>
    <xf numFmtId="171" fontId="15" fillId="0" borderId="249" xfId="3" applyNumberFormat="1" applyFont="1" applyBorder="1" applyAlignment="1">
      <alignment horizontal="right" vertical="center" wrapText="1" readingOrder="1"/>
    </xf>
    <xf numFmtId="0" fontId="12" fillId="0" borderId="249" xfId="3" applyFont="1" applyBorder="1" applyAlignment="1">
      <alignment horizontal="center" vertical="center" wrapText="1" readingOrder="1"/>
    </xf>
    <xf numFmtId="171" fontId="18" fillId="0" borderId="249" xfId="3" applyNumberFormat="1" applyFont="1" applyBorder="1" applyAlignment="1">
      <alignment horizontal="right" vertical="center" wrapText="1" readingOrder="1"/>
    </xf>
    <xf numFmtId="0" fontId="75" fillId="0" borderId="0" xfId="3" applyFont="1" applyAlignment="1">
      <alignment horizontal="left" vertical="top" wrapText="1" readingOrder="1"/>
    </xf>
    <xf numFmtId="0" fontId="76" fillId="0" borderId="0" xfId="3" applyFont="1" applyAlignment="1">
      <alignment horizontal="center" vertical="center" wrapText="1" readingOrder="1"/>
    </xf>
    <xf numFmtId="0" fontId="77" fillId="0" borderId="0" xfId="3" applyFont="1" applyAlignment="1">
      <alignment horizontal="center" vertical="top" wrapText="1" readingOrder="1"/>
    </xf>
    <xf numFmtId="0" fontId="78" fillId="0" borderId="0" xfId="3" applyFont="1" applyAlignment="1">
      <alignment horizontal="center" vertical="center" wrapText="1" readingOrder="1"/>
    </xf>
    <xf numFmtId="171" fontId="12" fillId="0" borderId="249" xfId="3" applyNumberFormat="1" applyFont="1" applyBorder="1" applyAlignment="1">
      <alignment horizontal="center" vertical="center" wrapText="1" readingOrder="1"/>
    </xf>
    <xf numFmtId="0" fontId="75" fillId="0" borderId="0" xfId="3" applyFont="1" applyAlignment="1">
      <alignment horizontal="right" vertical="top" wrapText="1" readingOrder="1"/>
    </xf>
  </cellXfs>
  <cellStyles count="3924">
    <cellStyle name="          _x000d__x000a_shell=progman.exe_x000d__x000a_m 3" xfId="43" xr:uid="{A7B84DDF-2F0C-4BDC-88A0-9DF3C6D2F0C2}"/>
    <cellStyle name="." xfId="1112" xr:uid="{CD93DDAE-AF1E-43BF-A227-60108C56D769}"/>
    <cellStyle name="??" xfId="1113" xr:uid="{40ACD8CA-392D-4883-9697-20815F264F1B}"/>
    <cellStyle name="?? [0.00]_PRODUCT DETAIL Q1" xfId="1114" xr:uid="{473891F0-02C2-4002-8326-B8F41BFD8AD4}"/>
    <cellStyle name="?? [0]" xfId="1115" xr:uid="{9E31E276-0E1B-4437-AEC2-8139FB56D153}"/>
    <cellStyle name="???? [0.00]_PRODUCT DETAIL Q1" xfId="1116" xr:uid="{87DBE085-52C9-4390-B031-0747B3009C69}"/>
    <cellStyle name="????_PRODUCT DETAIL Q1" xfId="1117" xr:uid="{6A716FE3-2DFA-41D9-8242-67DE79B20174}"/>
    <cellStyle name="???[0]_Book1" xfId="1118" xr:uid="{9E42357C-82A0-455B-BAA2-709E260B0A0D}"/>
    <cellStyle name="???_95" xfId="1119" xr:uid="{78048B1A-26CE-4CA7-9276-DE6C6543238E}"/>
    <cellStyle name="??_(????)??????" xfId="1120" xr:uid="{A06CB80B-E0B8-4C1F-9EDC-74EA35937D28}"/>
    <cellStyle name="]_x000d__x000a_Zoomed=1_x000d__x000a_Row=0_x000d__x000a_Column=0_x000d__x000a_Height=0_x000d__x000a_Width=0_x000d__x000a_FontName=FoxFont_x000d__x000a_FontStyle=0_x000d__x000a_FontSize=9_x000d__x000a_PrtFontName=FoxPrin 2" xfId="2048" xr:uid="{780A6481-011A-489B-BB56-583874B67159}"/>
    <cellStyle name="0,0_x000d__x000a_NA_x000d__x000a_" xfId="1121" xr:uid="{0C38A7D6-7DC0-435A-8F45-83F5E4298218}"/>
    <cellStyle name="1" xfId="1122" xr:uid="{EC2B61F6-FC0B-476B-81B0-46745B88C149}"/>
    <cellStyle name="15" xfId="1123" xr:uid="{CF5F49AC-AA93-40F6-9937-CC17342E8BD9}"/>
    <cellStyle name="2" xfId="1124" xr:uid="{29CAAEC1-E86B-4D1A-9FC2-36E7FA1019EC}"/>
    <cellStyle name="20% - Accent1 10" xfId="707" xr:uid="{193CD9E8-C4E6-468A-B1CB-7DC0527C52C2}"/>
    <cellStyle name="20% - Accent1 10 2" xfId="2050" xr:uid="{62A8383E-6938-4F35-8112-905A55A2D24A}"/>
    <cellStyle name="20% - Accent1 10 2 2" xfId="2386" xr:uid="{44E6F35F-A6D3-4240-94CB-DECEBDE879CC}"/>
    <cellStyle name="20% - Accent1 10 3" xfId="2345" xr:uid="{2574F2A2-B9AC-4C72-AA67-6797A7A37607}"/>
    <cellStyle name="20% - Accent1 10 4" xfId="2006" xr:uid="{4B0E5119-6E32-4811-A112-A5CF1CF716AB}"/>
    <cellStyle name="20% - Accent1 11" xfId="708" xr:uid="{AFE13166-0352-4304-821B-98A7E025C902}"/>
    <cellStyle name="20% - Accent1 11 2" xfId="2051" xr:uid="{8480128C-9B5D-448E-B406-97820EE45310}"/>
    <cellStyle name="20% - Accent1 11 2 2" xfId="2387" xr:uid="{51E35FF2-8FD6-480D-B7FF-B138977E4929}"/>
    <cellStyle name="20% - Accent1 11 3" xfId="2358" xr:uid="{EA592A57-B093-431C-BB68-81D764F71650}"/>
    <cellStyle name="20% - Accent1 11 4" xfId="2020" xr:uid="{35EA0939-3206-4295-A3F7-6C2C51931ACF}"/>
    <cellStyle name="20% - Accent1 12" xfId="1387" xr:uid="{950E62AC-D35A-4D63-8834-BB8D8FDAB4EA}"/>
    <cellStyle name="20% - Accent1 12 2" xfId="1505" xr:uid="{0D9BE97C-98E0-4D1C-B86F-30A0A29ACFA6}"/>
    <cellStyle name="20% - Accent1 12 2 2" xfId="1726" xr:uid="{DAC18684-BCE0-46B4-A461-A478F8FDB523}"/>
    <cellStyle name="20% - Accent1 12 2 2 2" xfId="2388" xr:uid="{A3D986F2-1C4C-4B81-AA53-6BB7F058A04F}"/>
    <cellStyle name="20% - Accent1 12 2 2 2 2" xfId="3126" xr:uid="{27F16813-5EF0-467F-A930-1F7538197173}"/>
    <cellStyle name="20% - Accent1 12 2 2 3" xfId="3046" xr:uid="{DBF52A2E-1A0C-4991-AE86-3913921D318D}"/>
    <cellStyle name="20% - Accent1 12 2 3" xfId="2052" xr:uid="{02C2A209-6A47-464A-B2B0-77A9B183E73C}"/>
    <cellStyle name="20% - Accent1 12 2 3 2" xfId="3127" xr:uid="{E60E54B2-062B-45AD-A026-7B231FF71403}"/>
    <cellStyle name="20% - Accent1 12 2 4" xfId="2910" xr:uid="{DFEF6456-69C4-4B0F-B1A3-79E377533F0A}"/>
    <cellStyle name="20% - Accent1 12 3" xfId="1679" xr:uid="{5B335B0B-3506-4689-913C-AA976745A6D4}"/>
    <cellStyle name="20% - Accent1 12 3 2" xfId="2371" xr:uid="{5140520A-670D-4A5A-8BCE-0C4C926E9862}"/>
    <cellStyle name="20% - Accent1 12 3 2 2" xfId="3128" xr:uid="{A8F65824-928D-4D11-A62C-32974A916CEE}"/>
    <cellStyle name="20% - Accent1 12 3 3" xfId="3000" xr:uid="{71E5168A-CC49-4449-AE78-6509808828BD}"/>
    <cellStyle name="20% - Accent1 12 4" xfId="2034" xr:uid="{AB00779A-A23C-4F5F-B2D0-2AAB39BAF3AD}"/>
    <cellStyle name="20% - Accent1 12 4 2" xfId="3129" xr:uid="{DA21C4C1-5F4A-4E98-9347-6E6C960B1FF1}"/>
    <cellStyle name="20% - Accent1 12 5" xfId="2865" xr:uid="{73525556-C8A3-4FE7-8F01-F7433ABA40B0}"/>
    <cellStyle name="20% - Accent1 13" xfId="1431" xr:uid="{CFA4D95D-5E87-40A8-82D0-3D7865931E5E}"/>
    <cellStyle name="20% - Accent1 13 2" xfId="1519" xr:uid="{2FE53523-AEC3-40FF-8519-FD40697F8CE9}"/>
    <cellStyle name="20% - Accent1 13 2 2" xfId="1740" xr:uid="{C934FE0E-0458-447B-A084-199E8EB05017}"/>
    <cellStyle name="20% - Accent1 13 2 2 2" xfId="3130" xr:uid="{6A8FFE1B-4E43-4E9F-8C31-BBAAE64CD667}"/>
    <cellStyle name="20% - Accent1 13 2 2 3" xfId="3060" xr:uid="{691EB06A-66FF-4F73-8175-D10E66CDA213}"/>
    <cellStyle name="20% - Accent1 13 2 3" xfId="2385" xr:uid="{803F000A-6FB1-49A3-88B1-79E3F6FBDB00}"/>
    <cellStyle name="20% - Accent1 13 2 3 2" xfId="3131" xr:uid="{ED9E8BF2-4D08-4100-BB44-A29B7A870EAD}"/>
    <cellStyle name="20% - Accent1 13 2 4" xfId="2924" xr:uid="{0C061B5F-AA0A-46FE-96F2-3BFEC31E5A4F}"/>
    <cellStyle name="20% - Accent1 13 3" xfId="1693" xr:uid="{553370B4-E220-49D4-9871-252FC4D0D485}"/>
    <cellStyle name="20% - Accent1 13 3 2" xfId="3132" xr:uid="{43E64A9C-BA0E-4E58-B972-D116180BB232}"/>
    <cellStyle name="20% - Accent1 13 3 3" xfId="3014" xr:uid="{2BA97F1B-5907-47F1-A181-5F92BC8243F1}"/>
    <cellStyle name="20% - Accent1 13 4" xfId="2049" xr:uid="{4E931F23-CDED-4A98-ACE6-A02EFEC93F90}"/>
    <cellStyle name="20% - Accent1 13 4 2" xfId="3133" xr:uid="{31BC069D-9708-435E-AC7B-0F804576342B}"/>
    <cellStyle name="20% - Accent1 13 5" xfId="2879" xr:uid="{1C160537-AB3C-48F4-AFAA-CB68B1DC9222}"/>
    <cellStyle name="20% - Accent1 14" xfId="1482" xr:uid="{64536183-B700-446E-97EA-6949FD9F19E9}"/>
    <cellStyle name="20% - Accent1 14 2" xfId="2228" xr:uid="{EF4D8D67-1E09-4B27-9251-94377CEB9A1F}"/>
    <cellStyle name="20% - Accent1 15" xfId="1449" xr:uid="{921E8D22-1BAD-4CBF-B8E7-CC612A545461}"/>
    <cellStyle name="20% - Accent1 15 2" xfId="1712" xr:uid="{55235764-7250-45F4-A635-6E77119784C1}"/>
    <cellStyle name="20% - Accent1 15 2 2" xfId="3134" xr:uid="{8460079D-1ADC-42E3-BA97-2951E67C27FE}"/>
    <cellStyle name="20% - Accent1 15 2 3" xfId="3033" xr:uid="{F816DA89-CF68-48E7-A4A8-F093EF7CF2B5}"/>
    <cellStyle name="20% - Accent1 15 3" xfId="2571" xr:uid="{33D83909-7DB8-48F1-AEB6-C4D67DD4F601}"/>
    <cellStyle name="20% - Accent1 15 3 2" xfId="3135" xr:uid="{9F3ADBE0-7D33-4D62-81C0-90408EAD479D}"/>
    <cellStyle name="20% - Accent1 15 4" xfId="2897" xr:uid="{0E88CD66-4559-4597-8908-EC297B5FAAB7}"/>
    <cellStyle name="20% - Accent1 16" xfId="1533" xr:uid="{358C3C6C-EFB6-4312-8692-C17B22D2F40C}"/>
    <cellStyle name="20% - Accent1 16 2" xfId="1754" xr:uid="{867FFC3C-777D-4837-BA55-924E86D09A12}"/>
    <cellStyle name="20% - Accent1 16 2 2" xfId="3136" xr:uid="{5D6AD0AA-EA4A-4403-9F2F-4724BFFE28FA}"/>
    <cellStyle name="20% - Accent1 16 2 3" xfId="3074" xr:uid="{883B112E-C745-4B14-BD43-E5B126265166}"/>
    <cellStyle name="20% - Accent1 16 3" xfId="3137" xr:uid="{0F0BA6CC-0FF5-44E3-B404-CFA539A22D82}"/>
    <cellStyle name="20% - Accent1 16 4" xfId="2937" xr:uid="{32258F6C-D0B5-46D5-9B11-B57046991254}"/>
    <cellStyle name="20% - Accent1 17" xfId="1550" xr:uid="{C732CCD8-7AB0-445E-A7F2-D8258827DE36}"/>
    <cellStyle name="20% - Accent1 17 2" xfId="1767" xr:uid="{6AAD8C08-4491-4EE2-8C40-0C44B8AF0210}"/>
    <cellStyle name="20% - Accent1 17 2 2" xfId="3138" xr:uid="{8390595B-A82F-4E7C-B4E3-1EB1FFC8A856}"/>
    <cellStyle name="20% - Accent1 17 2 3" xfId="3087" xr:uid="{0FC442A7-B6B3-4C2C-8F17-94B087796B64}"/>
    <cellStyle name="20% - Accent1 17 3" xfId="3139" xr:uid="{A5764E18-0C4A-41A6-BC8B-7D32547AADE8}"/>
    <cellStyle name="20% - Accent1 17 4" xfId="2950" xr:uid="{4BAA00E1-0E3B-4507-9C3F-384FE621D6B1}"/>
    <cellStyle name="20% - Accent1 18" xfId="1572" xr:uid="{2F988997-3D12-4C82-872F-79F06647E0D0}"/>
    <cellStyle name="20% - Accent1 18 2" xfId="1787" xr:uid="{F5F5F157-C9E0-4B91-9319-11FEA090B8BF}"/>
    <cellStyle name="20% - Accent1 18 2 2" xfId="3140" xr:uid="{9CEE35A5-B81A-4726-BE88-1D5A7417C871}"/>
    <cellStyle name="20% - Accent1 18 2 3" xfId="3106" xr:uid="{94AAA037-88C6-4F52-85AE-615A873BD27A}"/>
    <cellStyle name="20% - Accent1 18 3" xfId="2658" xr:uid="{EAE01659-0E3D-4DD3-96BA-932B25638B17}"/>
    <cellStyle name="20% - Accent1 19" xfId="1593" xr:uid="{C7C23BDA-B497-4B86-86F9-73B9BDF3A323}"/>
    <cellStyle name="20% - Accent1 19 2" xfId="1807" xr:uid="{1DE956EE-00F4-46FF-8EB3-66E8668DB766}"/>
    <cellStyle name="20% - Accent1 19 3" xfId="2666" xr:uid="{D78FA751-A144-4B9C-918C-61A3F48BCA93}"/>
    <cellStyle name="20% - Accent1 2" xfId="709" xr:uid="{890AAD74-5712-4B82-A32C-C5C8FB448820}"/>
    <cellStyle name="20% - Accent1 2 2" xfId="2053" xr:uid="{0EBB75F2-93B4-414A-B52E-BFD8A2774468}"/>
    <cellStyle name="20% - Accent1 2 2 2" xfId="2389" xr:uid="{D8854D44-CA23-496F-9313-6270E2A73DA9}"/>
    <cellStyle name="20% - Accent1 2 3" xfId="2241" xr:uid="{92C5ECF7-5A7E-427D-A7E1-36FA42E89618}"/>
    <cellStyle name="20% - Accent1 2 4" xfId="1900" xr:uid="{AE6E5A5A-AFAF-4E8E-AF80-C9B6508CE848}"/>
    <cellStyle name="20% - Accent1 20" xfId="1615" xr:uid="{3A05A291-1A1D-41A5-829E-5E9479EA129C}"/>
    <cellStyle name="20% - Accent1 21" xfId="1656" xr:uid="{4783B222-6BF9-48D3-9F22-309CA114FB28}"/>
    <cellStyle name="20% - Accent1 22" xfId="1830" xr:uid="{475AFADC-12C1-43E1-8CFC-9CE14D7046E1}"/>
    <cellStyle name="20% - Accent1 23" xfId="1356" xr:uid="{C08261BD-798D-4CDB-9121-5F3C3DE900BA}"/>
    <cellStyle name="20% - Accent1 3" xfId="710" xr:uid="{EE4CA03B-8496-4EBB-8EFD-935FE50F63D3}"/>
    <cellStyle name="20% - Accent1 3 2" xfId="2054" xr:uid="{F084D163-A9AF-444C-9966-CA785A8CA0A8}"/>
    <cellStyle name="20% - Accent1 3 2 2" xfId="2390" xr:uid="{F613A17A-F3D4-46B1-B3B9-52644E549D3A}"/>
    <cellStyle name="20% - Accent1 3 3" xfId="2254" xr:uid="{727E52A0-3D4C-4E5E-B4EE-46BAD4391B3B}"/>
    <cellStyle name="20% - Accent1 3 4" xfId="1914" xr:uid="{2DC56E56-B755-4AB1-89DF-06B1E509DEF6}"/>
    <cellStyle name="20% - Accent1 4" xfId="711" xr:uid="{CABB05C2-40B8-4B3C-B113-C812ECE33409}"/>
    <cellStyle name="20% - Accent1 4 2" xfId="2055" xr:uid="{1E263383-DFFE-49D4-963E-62B102D3FA31}"/>
    <cellStyle name="20% - Accent1 4 2 2" xfId="2391" xr:uid="{44B96E05-717C-416D-AD53-F8AD302872A0}"/>
    <cellStyle name="20% - Accent1 4 3" xfId="2267" xr:uid="{B35889DF-51D9-4856-88B9-96B1EE2425AD}"/>
    <cellStyle name="20% - Accent1 4 4" xfId="1927" xr:uid="{7F50E69A-184A-4971-B922-A01BE3E12BFC}"/>
    <cellStyle name="20% - Accent1 5" xfId="712" xr:uid="{4B5F78FE-413C-4010-8D70-695E1E3FA9DC}"/>
    <cellStyle name="20% - Accent1 5 2" xfId="2056" xr:uid="{9634F139-C31C-49A3-991C-27F96512D104}"/>
    <cellStyle name="20% - Accent1 5 2 2" xfId="2392" xr:uid="{25A7D151-7039-4E82-B319-0D719F2E9AD8}"/>
    <cellStyle name="20% - Accent1 5 3" xfId="2280" xr:uid="{FE9813B9-8498-466C-9A88-76074E5C87BC}"/>
    <cellStyle name="20% - Accent1 5 4" xfId="1941" xr:uid="{BD7470A8-191B-4538-85B8-F8F5FCF95B76}"/>
    <cellStyle name="20% - Accent1 6" xfId="713" xr:uid="{CA91C959-1ACD-4729-8C9E-867DAA5A4E9F}"/>
    <cellStyle name="20% - Accent1 6 2" xfId="2057" xr:uid="{181D8953-6E7E-4456-A713-86AAB00AAC8E}"/>
    <cellStyle name="20% - Accent1 6 2 2" xfId="2393" xr:uid="{F9F2E502-5AD2-4CF3-9A57-F4E3DDFC1201}"/>
    <cellStyle name="20% - Accent1 6 3" xfId="2293" xr:uid="{1BE4E69A-9884-4A9E-9B49-0C42910DB9CC}"/>
    <cellStyle name="20% - Accent1 6 4" xfId="1954" xr:uid="{B8DF5ED7-3AB5-4685-9ACD-77C995EDBDFB}"/>
    <cellStyle name="20% - Accent1 7" xfId="714" xr:uid="{E825B206-4A87-4C16-AE66-6227200B78DE}"/>
    <cellStyle name="20% - Accent1 7 2" xfId="2058" xr:uid="{4684B677-E604-4D95-AF64-10A7F40E76C0}"/>
    <cellStyle name="20% - Accent1 7 2 2" xfId="2394" xr:uid="{A170B1FA-A8DC-427C-AC54-7F5EFE890A77}"/>
    <cellStyle name="20% - Accent1 7 3" xfId="2306" xr:uid="{2957601B-ED56-49AF-A7DB-B7CCB27DE01B}"/>
    <cellStyle name="20% - Accent1 7 4" xfId="1967" xr:uid="{B4801E8B-DF97-48C4-821D-7EDBF1286964}"/>
    <cellStyle name="20% - Accent1 8" xfId="715" xr:uid="{B368C597-2581-4D83-802E-7EF5204F26DD}"/>
    <cellStyle name="20% - Accent1 8 2" xfId="2059" xr:uid="{153A3837-AD19-4D7E-8CD4-34EE2BC2022F}"/>
    <cellStyle name="20% - Accent1 8 2 2" xfId="2395" xr:uid="{EA8573BC-B645-48CF-B638-65887FDAAABB}"/>
    <cellStyle name="20% - Accent1 8 3" xfId="2319" xr:uid="{42F5296F-AAF0-4018-A4EA-C9E27142554C}"/>
    <cellStyle name="20% - Accent1 8 4" xfId="1980" xr:uid="{5E0B2707-762F-41D6-B305-4ED6C6FD2FAD}"/>
    <cellStyle name="20% - Accent1 9" xfId="716" xr:uid="{88672A36-2882-4973-8E85-55768AA9B034}"/>
    <cellStyle name="20% - Accent1 9 2" xfId="2060" xr:uid="{83EA38AF-0D35-45E5-80E2-8B6E911B8500}"/>
    <cellStyle name="20% - Accent1 9 2 2" xfId="2396" xr:uid="{2532FB0B-CA7F-4B50-94D9-B818FEF7EFD9}"/>
    <cellStyle name="20% - Accent1 9 3" xfId="2332" xr:uid="{B1B39CEB-51D2-497A-BFFD-E9C0AFC16209}"/>
    <cellStyle name="20% - Accent1 9 4" xfId="1993" xr:uid="{9F0307A0-5137-4318-9598-B96C5A634AE5}"/>
    <cellStyle name="20% - Accent2 10" xfId="717" xr:uid="{45A2B7CC-54A7-488D-A143-675DF8B6EF46}"/>
    <cellStyle name="20% - Accent2 10 2" xfId="2062" xr:uid="{FD16E823-9C9A-442C-86CB-EF6C8FF5CFD1}"/>
    <cellStyle name="20% - Accent2 10 2 2" xfId="2398" xr:uid="{C687882B-1BB1-41FD-9E0D-E1FABE335AFC}"/>
    <cellStyle name="20% - Accent2 10 3" xfId="2346" xr:uid="{C6844414-C106-4C5D-B3F8-7A4CCC787B9A}"/>
    <cellStyle name="20% - Accent2 10 4" xfId="2007" xr:uid="{535DDAA4-13DB-4801-902D-F32201788977}"/>
    <cellStyle name="20% - Accent2 11" xfId="718" xr:uid="{F61D88C1-AFC1-46B6-AF22-D6ADFEE947EC}"/>
    <cellStyle name="20% - Accent2 11 2" xfId="2063" xr:uid="{152F5F66-740E-4FF6-9A07-0403D493ADF7}"/>
    <cellStyle name="20% - Accent2 11 2 2" xfId="2399" xr:uid="{2ADAE9C5-2ED5-4D99-A7A7-712A609D2C43}"/>
    <cellStyle name="20% - Accent2 11 3" xfId="2359" xr:uid="{6CEE8118-D102-43E4-94FA-2A03FC96B3B9}"/>
    <cellStyle name="20% - Accent2 11 4" xfId="2021" xr:uid="{0A8AFBF5-B157-4F24-9C70-18501195DEB3}"/>
    <cellStyle name="20% - Accent2 12" xfId="1388" xr:uid="{85E46ACE-00FE-4B2E-B9CB-6918497BA3FF}"/>
    <cellStyle name="20% - Accent2 12 2" xfId="1506" xr:uid="{B2E17A7A-76F1-4B36-B275-DB643695A712}"/>
    <cellStyle name="20% - Accent2 12 2 2" xfId="1727" xr:uid="{00795C20-3033-4F7D-9AC5-47D07B01C8A2}"/>
    <cellStyle name="20% - Accent2 12 2 2 2" xfId="2400" xr:uid="{F312865E-EABA-41FC-BBD2-A6AE3A0B94FA}"/>
    <cellStyle name="20% - Accent2 12 2 2 2 2" xfId="3141" xr:uid="{0746A040-8744-45A2-8743-E7D0DC9DC011}"/>
    <cellStyle name="20% - Accent2 12 2 2 3" xfId="3047" xr:uid="{B31EC59D-34E4-4B56-87DB-EA7399DC75BB}"/>
    <cellStyle name="20% - Accent2 12 2 3" xfId="2064" xr:uid="{49146620-D2C4-40BE-A157-621D29010620}"/>
    <cellStyle name="20% - Accent2 12 2 3 2" xfId="3142" xr:uid="{86755B1D-54F7-4665-8624-B37EDFD08A7A}"/>
    <cellStyle name="20% - Accent2 12 2 4" xfId="2911" xr:uid="{95B82132-B097-4097-984B-BADAC7311B6B}"/>
    <cellStyle name="20% - Accent2 12 3" xfId="1680" xr:uid="{0686611F-DC40-4994-83B2-F09A42C1BAE5}"/>
    <cellStyle name="20% - Accent2 12 3 2" xfId="2372" xr:uid="{6E755105-02C2-45FC-93CE-DC1077E72A38}"/>
    <cellStyle name="20% - Accent2 12 3 2 2" xfId="3143" xr:uid="{69D433C0-EC69-45DF-B6FA-9D20996F1E8E}"/>
    <cellStyle name="20% - Accent2 12 3 3" xfId="3001" xr:uid="{DCF86C78-CB0C-458F-9FD5-9C85FCAF5F03}"/>
    <cellStyle name="20% - Accent2 12 4" xfId="2035" xr:uid="{FB674F29-62D8-4A99-BC3F-97B43F02F9AF}"/>
    <cellStyle name="20% - Accent2 12 4 2" xfId="3144" xr:uid="{835702AD-501D-44C7-91A8-BFC1E0905511}"/>
    <cellStyle name="20% - Accent2 12 5" xfId="2866" xr:uid="{11B66056-43EA-4A99-A01A-09898C93E736}"/>
    <cellStyle name="20% - Accent2 13" xfId="1432" xr:uid="{C3919023-8C0B-4124-87BA-1630D4F893A2}"/>
    <cellStyle name="20% - Accent2 13 2" xfId="1520" xr:uid="{D75F0236-9117-4DBA-88E4-F88853B2BE9A}"/>
    <cellStyle name="20% - Accent2 13 2 2" xfId="1741" xr:uid="{9DE8D945-27DB-47CA-BF69-27A739A2E908}"/>
    <cellStyle name="20% - Accent2 13 2 2 2" xfId="3145" xr:uid="{EF04830F-12F2-487A-9121-2992AB1DB337}"/>
    <cellStyle name="20% - Accent2 13 2 2 3" xfId="3061" xr:uid="{5DCE38CF-B4E2-43D3-A8D0-F55C0CF41722}"/>
    <cellStyle name="20% - Accent2 13 2 3" xfId="2397" xr:uid="{8542E233-81CC-49A5-A12B-98CE339693E2}"/>
    <cellStyle name="20% - Accent2 13 2 3 2" xfId="3146" xr:uid="{17782FEC-67A3-4E99-868A-080479F06778}"/>
    <cellStyle name="20% - Accent2 13 2 4" xfId="2925" xr:uid="{84853BA7-7F86-4735-835C-047612B5A245}"/>
    <cellStyle name="20% - Accent2 13 3" xfId="1694" xr:uid="{D4428B46-CFC3-4142-876A-6F641C75C165}"/>
    <cellStyle name="20% - Accent2 13 3 2" xfId="3147" xr:uid="{ABB08395-87B4-4169-BDFA-58E9C91EA2BA}"/>
    <cellStyle name="20% - Accent2 13 3 3" xfId="3015" xr:uid="{A190F259-E181-42D1-9A7F-47647AB865E7}"/>
    <cellStyle name="20% - Accent2 13 4" xfId="2061" xr:uid="{1B692A96-D483-4A14-812A-8CFE88BC6EC5}"/>
    <cellStyle name="20% - Accent2 13 4 2" xfId="3148" xr:uid="{B40B2219-8042-45A8-944C-7942318353F1}"/>
    <cellStyle name="20% - Accent2 13 5" xfId="2880" xr:uid="{39D4C1D6-3C87-408C-BE7F-2D44025B2F0E}"/>
    <cellStyle name="20% - Accent2 14" xfId="1486" xr:uid="{C7827D76-FCA8-4388-9405-216FADC4E796}"/>
    <cellStyle name="20% - Accent2 14 2" xfId="2230" xr:uid="{6A501AC9-F787-4933-B977-4F3DCF346227}"/>
    <cellStyle name="20% - Accent2 15" xfId="1450" xr:uid="{20EF574D-D68A-48B5-A2FC-517062F54875}"/>
    <cellStyle name="20% - Accent2 15 2" xfId="1713" xr:uid="{5C151124-0D65-44E7-9289-CAB6DC4DA517}"/>
    <cellStyle name="20% - Accent2 15 2 2" xfId="3149" xr:uid="{34DD3B75-5B8D-4932-BD03-F7126AD92875}"/>
    <cellStyle name="20% - Accent2 15 2 3" xfId="3034" xr:uid="{39F76A8A-E532-4719-B0D6-41CBCEC6D565}"/>
    <cellStyle name="20% - Accent2 15 3" xfId="2572" xr:uid="{9FD6F44D-41D7-42B1-9236-052EB0D40C02}"/>
    <cellStyle name="20% - Accent2 15 3 2" xfId="3150" xr:uid="{758C4F9E-549F-4C0A-B0E9-E86D1A058904}"/>
    <cellStyle name="20% - Accent2 15 4" xfId="2898" xr:uid="{FDD2BB28-D08B-40CE-B0DB-4F7706ECFC15}"/>
    <cellStyle name="20% - Accent2 16" xfId="1534" xr:uid="{70A4E943-26C6-49EB-AB4A-36C6821E0718}"/>
    <cellStyle name="20% - Accent2 16 2" xfId="1755" xr:uid="{EFC3090B-5D89-46FB-AADC-155F87A81512}"/>
    <cellStyle name="20% - Accent2 16 2 2" xfId="3151" xr:uid="{942F66BA-5E31-421F-9C0B-08A9619E32D5}"/>
    <cellStyle name="20% - Accent2 16 2 3" xfId="3075" xr:uid="{65CCB797-CA1D-459D-96FE-7BA1D7436AC9}"/>
    <cellStyle name="20% - Accent2 16 3" xfId="3152" xr:uid="{15E42A8C-0703-4D0F-84B3-D734C52C2997}"/>
    <cellStyle name="20% - Accent2 16 4" xfId="2938" xr:uid="{9D50108F-CCF5-4B9E-86D2-04CEEA8B1E32}"/>
    <cellStyle name="20% - Accent2 17" xfId="1551" xr:uid="{B02EA60C-2AEF-44F1-A693-876D7766AA8D}"/>
    <cellStyle name="20% - Accent2 17 2" xfId="1768" xr:uid="{A41E87DF-BE8F-4C03-994C-4E2AE7913FFB}"/>
    <cellStyle name="20% - Accent2 17 2 2" xfId="3153" xr:uid="{C6B594DB-03F1-422B-B1FD-5E2E3375CCA9}"/>
    <cellStyle name="20% - Accent2 17 2 3" xfId="3088" xr:uid="{ADF63835-B75E-499E-AC09-3459B00E864B}"/>
    <cellStyle name="20% - Accent2 17 3" xfId="3154" xr:uid="{EB90E370-F41F-48BB-9E2E-BB7ABD0A85BE}"/>
    <cellStyle name="20% - Accent2 17 4" xfId="2951" xr:uid="{6FB49390-65E3-4752-BB20-D23996A66C4D}"/>
    <cellStyle name="20% - Accent2 18" xfId="1573" xr:uid="{32AC9B12-36EE-4F54-B5DF-007463F8578F}"/>
    <cellStyle name="20% - Accent2 18 2" xfId="1788" xr:uid="{07EC1F82-C5FF-4A28-8C5D-1616C2D46B76}"/>
    <cellStyle name="20% - Accent2 18 2 2" xfId="3155" xr:uid="{E02D3286-40FB-431A-A6C2-B45231B699D5}"/>
    <cellStyle name="20% - Accent2 18 2 3" xfId="3107" xr:uid="{9FB04048-D0E8-4CA7-8D6D-6FBD406E747A}"/>
    <cellStyle name="20% - Accent2 18 3" xfId="2676" xr:uid="{30C84CC7-F6E1-4F67-A9F0-DD122B18DEF5}"/>
    <cellStyle name="20% - Accent2 19" xfId="1594" xr:uid="{EEF93CB3-D140-4371-A1CE-5612DFE81294}"/>
    <cellStyle name="20% - Accent2 19 2" xfId="1808" xr:uid="{16C4CB5E-34C8-42E2-9361-292678C982EF}"/>
    <cellStyle name="20% - Accent2 19 3" xfId="2757" xr:uid="{59F37E6C-EB79-4FB6-B1A6-100D28515D09}"/>
    <cellStyle name="20% - Accent2 2" xfId="719" xr:uid="{B07E5317-339E-4422-9543-3E04AAD4AC6A}"/>
    <cellStyle name="20% - Accent2 2 2" xfId="2065" xr:uid="{9441D233-3BA4-4806-802A-262EB65FC8F5}"/>
    <cellStyle name="20% - Accent2 2 2 2" xfId="2401" xr:uid="{546E1486-E639-490A-8E3F-7D65901C0B6E}"/>
    <cellStyle name="20% - Accent2 2 3" xfId="2242" xr:uid="{A7881774-2287-4361-8B15-03E86BE713EC}"/>
    <cellStyle name="20% - Accent2 2 4" xfId="1901" xr:uid="{D405BE84-31E2-4179-B483-94DFEF77B40D}"/>
    <cellStyle name="20% - Accent2 20" xfId="1616" xr:uid="{C46A676B-C177-4357-8394-8A8F60C1ABA6}"/>
    <cellStyle name="20% - Accent2 21" xfId="1660" xr:uid="{2C08FB2B-1CEB-431F-B542-04D037072D70}"/>
    <cellStyle name="20% - Accent2 22" xfId="1833" xr:uid="{70B77A8D-725D-44FB-801D-3D2D884FC73B}"/>
    <cellStyle name="20% - Accent2 23" xfId="1360" xr:uid="{4446FAB1-31EE-41D7-BE92-40FEA126477A}"/>
    <cellStyle name="20% - Accent2 3" xfId="720" xr:uid="{605F3D87-FD4A-47DF-BEA8-795DD1825444}"/>
    <cellStyle name="20% - Accent2 3 2" xfId="2066" xr:uid="{C41635F6-FE2B-45A9-8A7F-C990AA6120EA}"/>
    <cellStyle name="20% - Accent2 3 2 2" xfId="2402" xr:uid="{01E62AB2-9E8D-44B9-A65E-5BF8C1D0BA3D}"/>
    <cellStyle name="20% - Accent2 3 3" xfId="2255" xr:uid="{8B891842-0DDD-455A-8946-BC628B92EED7}"/>
    <cellStyle name="20% - Accent2 3 4" xfId="1915" xr:uid="{7356CEEC-BB66-47C1-898B-50E4A0E856CD}"/>
    <cellStyle name="20% - Accent2 4" xfId="721" xr:uid="{CA0CBBB5-4707-42A7-855F-4BA1F4B72F45}"/>
    <cellStyle name="20% - Accent2 4 2" xfId="2067" xr:uid="{F2ABB7A9-38F3-4B23-BF9D-D1D7BF5CCD65}"/>
    <cellStyle name="20% - Accent2 4 2 2" xfId="2403" xr:uid="{FE94714E-53D0-4B09-8528-0A527DCF2D96}"/>
    <cellStyle name="20% - Accent2 4 3" xfId="2268" xr:uid="{EF87E8EF-B74F-4C1F-AD00-C0E902B4526C}"/>
    <cellStyle name="20% - Accent2 4 4" xfId="1928" xr:uid="{A820F386-BB33-4F51-9598-5B6A25E3E289}"/>
    <cellStyle name="20% - Accent2 5" xfId="722" xr:uid="{ACE2ACAF-C38D-4165-9A65-973586F9EE0C}"/>
    <cellStyle name="20% - Accent2 5 2" xfId="2068" xr:uid="{62812E4F-800C-4CE2-A8FB-C7D31C59846C}"/>
    <cellStyle name="20% - Accent2 5 2 2" xfId="2404" xr:uid="{FADD73A4-4681-4E18-AD92-D41DA58D0953}"/>
    <cellStyle name="20% - Accent2 5 3" xfId="2281" xr:uid="{F7CF788F-91F4-478E-84BD-52ACA10161A0}"/>
    <cellStyle name="20% - Accent2 5 4" xfId="1942" xr:uid="{0EAF3173-498E-4252-BAA1-22CE385EB496}"/>
    <cellStyle name="20% - Accent2 6" xfId="723" xr:uid="{AC66ADC3-717A-456D-A956-CDDFB10FDBB3}"/>
    <cellStyle name="20% - Accent2 6 2" xfId="2069" xr:uid="{9FF82181-8C87-452D-A8E4-CBB4DEC0D037}"/>
    <cellStyle name="20% - Accent2 6 2 2" xfId="2405" xr:uid="{50EBC36F-6FF4-4CDE-B3FE-06E17D701CEC}"/>
    <cellStyle name="20% - Accent2 6 3" xfId="2294" xr:uid="{B41CF883-1D6F-418A-89FE-A8C0A092AACB}"/>
    <cellStyle name="20% - Accent2 6 4" xfId="1955" xr:uid="{ED551526-D225-40DC-80BB-F3C27B3FF9CD}"/>
    <cellStyle name="20% - Accent2 7" xfId="724" xr:uid="{AE1F1566-2042-4895-8380-441748932C7B}"/>
    <cellStyle name="20% - Accent2 7 2" xfId="2070" xr:uid="{7C47DE3F-B358-412E-AB7C-D127AB7D0898}"/>
    <cellStyle name="20% - Accent2 7 2 2" xfId="2406" xr:uid="{9D69B41D-5160-4CB4-806A-5236AEB3AA26}"/>
    <cellStyle name="20% - Accent2 7 3" xfId="2307" xr:uid="{8DE69E25-F5CC-4447-A08C-F0CF1365BF99}"/>
    <cellStyle name="20% - Accent2 7 4" xfId="1968" xr:uid="{32AA61B9-A1E7-4FB1-A84B-1E2FBF53352E}"/>
    <cellStyle name="20% - Accent2 8" xfId="725" xr:uid="{0568038A-6152-48FC-89C1-403159996AFC}"/>
    <cellStyle name="20% - Accent2 8 2" xfId="2071" xr:uid="{93916CCC-E28E-40AF-9BDD-E9D7777B361B}"/>
    <cellStyle name="20% - Accent2 8 2 2" xfId="2407" xr:uid="{DCF50739-79F4-49E8-B149-C264B2AA8173}"/>
    <cellStyle name="20% - Accent2 8 3" xfId="2320" xr:uid="{BE550387-FB27-4145-B67A-5C4BFC065C2A}"/>
    <cellStyle name="20% - Accent2 8 4" xfId="1981" xr:uid="{C18A8407-69F3-4C3A-8B10-6C1903DF1EC7}"/>
    <cellStyle name="20% - Accent2 9" xfId="726" xr:uid="{A7D8A3C5-DA1C-4CD7-AEA0-92B0D33DCD09}"/>
    <cellStyle name="20% - Accent2 9 2" xfId="2072" xr:uid="{25E7A1AC-B9EF-4A55-85C1-C92BF955494D}"/>
    <cellStyle name="20% - Accent2 9 2 2" xfId="2408" xr:uid="{8E2267F3-4140-406C-BBF8-1741BD4F72BA}"/>
    <cellStyle name="20% - Accent2 9 3" xfId="2333" xr:uid="{C2135697-3277-4475-AD77-E741B65CA6B8}"/>
    <cellStyle name="20% - Accent2 9 4" xfId="1994" xr:uid="{C8008033-958D-49B9-9392-66F4477FA6FA}"/>
    <cellStyle name="20% - Accent3 10" xfId="727" xr:uid="{B9D09810-7499-4C2F-91B6-14D93592C6AC}"/>
    <cellStyle name="20% - Accent3 10 2" xfId="2074" xr:uid="{3621A919-1467-40F5-8420-40FEF96D99E9}"/>
    <cellStyle name="20% - Accent3 10 2 2" xfId="2410" xr:uid="{C9E10AB3-F102-43EA-BE96-FAFE2FECA27D}"/>
    <cellStyle name="20% - Accent3 10 3" xfId="2347" xr:uid="{51B26D90-4B15-43E9-B736-D38C0D29F658}"/>
    <cellStyle name="20% - Accent3 10 4" xfId="2008" xr:uid="{706D2BEA-0F70-4C0A-884E-7E987AE4A04E}"/>
    <cellStyle name="20% - Accent3 11" xfId="728" xr:uid="{A5DD4E2C-1281-4ECB-A4E7-F7344EDBFD92}"/>
    <cellStyle name="20% - Accent3 11 2" xfId="2075" xr:uid="{1D9C6DED-60CC-44A8-B696-8AE08DE478EC}"/>
    <cellStyle name="20% - Accent3 11 2 2" xfId="2411" xr:uid="{7EFBDD03-5C41-4552-A793-00B72CE4FF39}"/>
    <cellStyle name="20% - Accent3 11 3" xfId="2360" xr:uid="{55992FA2-AC50-4C4F-9709-C4585CD57975}"/>
    <cellStyle name="20% - Accent3 11 4" xfId="2022" xr:uid="{F7E13624-A518-431A-9278-B3051F0583F6}"/>
    <cellStyle name="20% - Accent3 12" xfId="1389" xr:uid="{10916808-D137-4D5B-8058-10AA79956C06}"/>
    <cellStyle name="20% - Accent3 12 2" xfId="1507" xr:uid="{064D48E5-BFD9-4961-A291-F6EEE8E6E6DB}"/>
    <cellStyle name="20% - Accent3 12 2 2" xfId="1728" xr:uid="{042B15BE-3A12-4550-8E9D-1AA87017BCE4}"/>
    <cellStyle name="20% - Accent3 12 2 2 2" xfId="2412" xr:uid="{190B65FF-1A86-46AF-B008-C71BC9773C49}"/>
    <cellStyle name="20% - Accent3 12 2 2 2 2" xfId="3156" xr:uid="{928CFBFF-9AA0-4D61-8206-15255DFA53B6}"/>
    <cellStyle name="20% - Accent3 12 2 2 3" xfId="3048" xr:uid="{F6B2A3F3-A185-442F-ADC8-4BA2A5D41A76}"/>
    <cellStyle name="20% - Accent3 12 2 3" xfId="2076" xr:uid="{53B61267-2278-4E47-800A-3754234C7F62}"/>
    <cellStyle name="20% - Accent3 12 2 3 2" xfId="3157" xr:uid="{4747B90D-8CDF-46C0-AB00-FB41EC3F35A2}"/>
    <cellStyle name="20% - Accent3 12 2 4" xfId="2912" xr:uid="{7AEAD410-9F94-4877-8A5F-542E23205A36}"/>
    <cellStyle name="20% - Accent3 12 3" xfId="1681" xr:uid="{6F33AB16-48F8-4660-B170-D32F1B298A91}"/>
    <cellStyle name="20% - Accent3 12 3 2" xfId="2373" xr:uid="{A7973E71-ADD4-423F-9784-F875D3F7A855}"/>
    <cellStyle name="20% - Accent3 12 3 2 2" xfId="3158" xr:uid="{534144A7-B886-4B03-9EC8-52B77B9C6518}"/>
    <cellStyle name="20% - Accent3 12 3 3" xfId="3002" xr:uid="{9E6C2FB8-90CF-4664-8CF3-48D62F67DA4B}"/>
    <cellStyle name="20% - Accent3 12 4" xfId="2036" xr:uid="{BE08D02B-0ED7-4384-B08B-FB342C3D0EDE}"/>
    <cellStyle name="20% - Accent3 12 4 2" xfId="3159" xr:uid="{41B3A573-FBC7-4EE5-A353-C196B357BEDA}"/>
    <cellStyle name="20% - Accent3 12 5" xfId="2867" xr:uid="{E6C0E277-2177-4585-972A-3FA20E40EE28}"/>
    <cellStyle name="20% - Accent3 13" xfId="1433" xr:uid="{FF405DAA-35B9-42EB-8519-099359A4D322}"/>
    <cellStyle name="20% - Accent3 13 2" xfId="1521" xr:uid="{F0C136E3-6334-4812-A205-ACE96ED577AC}"/>
    <cellStyle name="20% - Accent3 13 2 2" xfId="1742" xr:uid="{D11FC841-A86D-4372-8BC2-0A5CEBA9C37C}"/>
    <cellStyle name="20% - Accent3 13 2 2 2" xfId="3160" xr:uid="{1B1D8999-BD19-4FB0-ADC5-C3D523C01DE2}"/>
    <cellStyle name="20% - Accent3 13 2 2 3" xfId="3062" xr:uid="{3836A554-5831-4A64-AD7D-50D4AA8891EF}"/>
    <cellStyle name="20% - Accent3 13 2 3" xfId="2409" xr:uid="{BB8308E3-6A46-46A9-BC9C-774D958198D4}"/>
    <cellStyle name="20% - Accent3 13 2 3 2" xfId="3161" xr:uid="{D9DD415E-9547-48AD-8754-308E054E2705}"/>
    <cellStyle name="20% - Accent3 13 2 4" xfId="2926" xr:uid="{2CBB1AF6-6AC0-4C7B-9018-6F930CEF4161}"/>
    <cellStyle name="20% - Accent3 13 3" xfId="1695" xr:uid="{7E21A0A4-4C4A-46AE-BF16-86C36DF00FD4}"/>
    <cellStyle name="20% - Accent3 13 3 2" xfId="3162" xr:uid="{0AFBC00C-D13F-4015-9C11-07C0504D8E96}"/>
    <cellStyle name="20% - Accent3 13 3 3" xfId="3016" xr:uid="{7004D559-900A-48B5-8870-8490A254A60E}"/>
    <cellStyle name="20% - Accent3 13 4" xfId="2073" xr:uid="{3A58ADB1-4959-4C8B-A792-E6612DDE4AD0}"/>
    <cellStyle name="20% - Accent3 13 4 2" xfId="3163" xr:uid="{B5AA4029-42CC-4EF2-8145-AA6821A704E9}"/>
    <cellStyle name="20% - Accent3 13 5" xfId="2881" xr:uid="{49EF4367-F1AF-4E0A-80E6-5E90FBAB4E8B}"/>
    <cellStyle name="20% - Accent3 14" xfId="1490" xr:uid="{7025F8AD-AB13-4A4F-8789-C9190FA46A92}"/>
    <cellStyle name="20% - Accent3 14 2" xfId="2232" xr:uid="{E0F41730-9BD7-453A-B1B3-FD1A1E410501}"/>
    <cellStyle name="20% - Accent3 15" xfId="1451" xr:uid="{2615F5CD-98D6-4365-8CE0-515A5F65C655}"/>
    <cellStyle name="20% - Accent3 15 2" xfId="1714" xr:uid="{D0B481C8-2E4C-4F65-ADFD-FEA495582314}"/>
    <cellStyle name="20% - Accent3 15 2 2" xfId="3164" xr:uid="{9FD9E935-EBDE-4AA0-BD7B-1AEF92F333C7}"/>
    <cellStyle name="20% - Accent3 15 2 3" xfId="3035" xr:uid="{3A13F2FF-2000-49D7-9B54-86A59C02EA80}"/>
    <cellStyle name="20% - Accent3 15 3" xfId="2573" xr:uid="{48F84B12-CE2A-4551-9418-31291BB19D62}"/>
    <cellStyle name="20% - Accent3 15 3 2" xfId="3165" xr:uid="{D6C0788B-7013-4B37-8134-2E9C4D4CD6C3}"/>
    <cellStyle name="20% - Accent3 15 4" xfId="2899" xr:uid="{97E063D4-FE41-4574-B1C0-56910277A446}"/>
    <cellStyle name="20% - Accent3 16" xfId="1535" xr:uid="{5472FC2A-1002-4AAE-A5EA-119ABE613CFC}"/>
    <cellStyle name="20% - Accent3 16 2" xfId="1756" xr:uid="{CAC72608-4E69-4751-9D50-3C15C5715ABF}"/>
    <cellStyle name="20% - Accent3 16 2 2" xfId="3166" xr:uid="{7F2AC6DF-235E-4553-8EE4-AF167C7C589B}"/>
    <cellStyle name="20% - Accent3 16 2 3" xfId="3076" xr:uid="{EF2455E2-7292-450E-87AF-E2F45DE6C721}"/>
    <cellStyle name="20% - Accent3 16 3" xfId="3167" xr:uid="{4B6A5965-DDEA-4E8A-9DF9-E5AABACEEAC8}"/>
    <cellStyle name="20% - Accent3 16 4" xfId="2939" xr:uid="{40194B03-646C-4955-BAFA-A064C6025EE8}"/>
    <cellStyle name="20% - Accent3 17" xfId="1552" xr:uid="{21D26550-DEEF-4C51-B769-88A1C747E9B3}"/>
    <cellStyle name="20% - Accent3 17 2" xfId="1769" xr:uid="{165FB93E-FAB3-45BB-9EFC-DF7A0DB779F0}"/>
    <cellStyle name="20% - Accent3 17 2 2" xfId="3168" xr:uid="{F5685663-22BD-4914-B789-1882A0C73AB7}"/>
    <cellStyle name="20% - Accent3 17 2 3" xfId="3089" xr:uid="{B5D12689-D0B5-4015-B667-C144BD6C80F0}"/>
    <cellStyle name="20% - Accent3 17 3" xfId="3169" xr:uid="{A8C08C0C-EA90-488D-8B30-BFB305F75D69}"/>
    <cellStyle name="20% - Accent3 17 4" xfId="2952" xr:uid="{F94EDD8C-48E5-446D-BB91-13EE6B1B858D}"/>
    <cellStyle name="20% - Accent3 18" xfId="1574" xr:uid="{61937AD0-04AF-464F-9E39-C62D241D42E0}"/>
    <cellStyle name="20% - Accent3 18 2" xfId="1789" xr:uid="{E2630E0D-A400-4CE6-AA1E-E424B2C12DB9}"/>
    <cellStyle name="20% - Accent3 18 2 2" xfId="3170" xr:uid="{5460A270-E5BD-4767-9E2C-62462708E239}"/>
    <cellStyle name="20% - Accent3 18 2 3" xfId="3108" xr:uid="{04733F3B-818B-4B11-AAC6-96BE17F7D4AB}"/>
    <cellStyle name="20% - Accent3 18 3" xfId="2732" xr:uid="{B48AC935-34CC-4609-9DEC-4AEA04FE15C6}"/>
    <cellStyle name="20% - Accent3 19" xfId="1595" xr:uid="{57C087E5-0A91-4E44-A2D7-6F03F9E89F73}"/>
    <cellStyle name="20% - Accent3 19 2" xfId="1809" xr:uid="{761DA5F7-20E2-4EBF-85D1-FCE5B9AFF25B}"/>
    <cellStyle name="20% - Accent3 19 3" xfId="2743" xr:uid="{7835F180-D355-4E71-AE56-BE8A4DF4B6D7}"/>
    <cellStyle name="20% - Accent3 2" xfId="729" xr:uid="{439A6213-21D0-433D-8419-3CB76C651D07}"/>
    <cellStyle name="20% - Accent3 2 2" xfId="2077" xr:uid="{3D2E7B99-0675-44FA-8DBB-506F386EA2A2}"/>
    <cellStyle name="20% - Accent3 2 2 2" xfId="2413" xr:uid="{29C9595D-5288-4D23-A048-2AEBAC804149}"/>
    <cellStyle name="20% - Accent3 2 3" xfId="2243" xr:uid="{C07667D4-BA53-4A64-94AF-0E867A5C2F65}"/>
    <cellStyle name="20% - Accent3 2 4" xfId="1902" xr:uid="{C2D018FE-E30B-4331-9134-D94EBFBD03B6}"/>
    <cellStyle name="20% - Accent3 20" xfId="1617" xr:uid="{14C1BEE0-6A6E-45C3-938D-3A983CF95B76}"/>
    <cellStyle name="20% - Accent3 21" xfId="1664" xr:uid="{ED99789C-80E5-4AEA-845D-162987975A71}"/>
    <cellStyle name="20% - Accent3 22" xfId="1836" xr:uid="{F048EA66-BF74-43ED-8215-6B5759692264}"/>
    <cellStyle name="20% - Accent3 23" xfId="1364" xr:uid="{BA508471-F8EB-455C-A76F-1A72F12FC79D}"/>
    <cellStyle name="20% - Accent3 3" xfId="730" xr:uid="{39234614-0B0F-4814-94D3-A15F5559BF92}"/>
    <cellStyle name="20% - Accent3 3 2" xfId="2078" xr:uid="{2122F8ED-05C0-439F-B59F-57A5B5731112}"/>
    <cellStyle name="20% - Accent3 3 2 2" xfId="2414" xr:uid="{BA11CE11-9233-4D28-9802-171F1FA57D5A}"/>
    <cellStyle name="20% - Accent3 3 3" xfId="2256" xr:uid="{6ECE273B-9DC3-4ECA-93AC-06FF20D53CC5}"/>
    <cellStyle name="20% - Accent3 3 4" xfId="1916" xr:uid="{0202F9D8-430C-4DC6-AD4F-3A1D5CB53A47}"/>
    <cellStyle name="20% - Accent3 4" xfId="731" xr:uid="{2C89EE41-BD95-4819-951C-C1E12BDC557C}"/>
    <cellStyle name="20% - Accent3 4 2" xfId="2079" xr:uid="{2228EF0C-596E-4460-AF00-FB935E3F97A9}"/>
    <cellStyle name="20% - Accent3 4 2 2" xfId="2415" xr:uid="{EC32C9CB-71BE-474D-BF6B-11FD9840463F}"/>
    <cellStyle name="20% - Accent3 4 3" xfId="2269" xr:uid="{B31AE4C3-289B-4BCF-BFC1-CA116E821F65}"/>
    <cellStyle name="20% - Accent3 4 4" xfId="1929" xr:uid="{7D2EC29F-292A-4CC2-8993-D2537AB65EB4}"/>
    <cellStyle name="20% - Accent3 5" xfId="732" xr:uid="{11ADFA32-8905-473D-99E9-E5B94CDBE5F0}"/>
    <cellStyle name="20% - Accent3 5 2" xfId="2080" xr:uid="{97E11216-3BC0-473F-B475-9A0A6C130A4B}"/>
    <cellStyle name="20% - Accent3 5 2 2" xfId="2416" xr:uid="{BD22AE50-46F7-4063-A070-B1D1CA8A5B50}"/>
    <cellStyle name="20% - Accent3 5 3" xfId="2282" xr:uid="{CEAFD7C0-8952-410E-A37E-DEF324C4F8C7}"/>
    <cellStyle name="20% - Accent3 5 4" xfId="1943" xr:uid="{2EB919D7-80B9-46FA-8C35-BCB5EEF160C4}"/>
    <cellStyle name="20% - Accent3 6" xfId="733" xr:uid="{7959AF5F-0815-480D-84F1-43964416681F}"/>
    <cellStyle name="20% - Accent3 6 2" xfId="2081" xr:uid="{71415E74-38FF-47D9-B736-E540BD71CD42}"/>
    <cellStyle name="20% - Accent3 6 2 2" xfId="2417" xr:uid="{7E0CAE06-FCCC-482A-AC9C-167038162014}"/>
    <cellStyle name="20% - Accent3 6 3" xfId="2295" xr:uid="{A18B440C-B1F4-462E-AED1-9D306A5B00D3}"/>
    <cellStyle name="20% - Accent3 6 4" xfId="1956" xr:uid="{4FB08C1F-60C8-4D44-8126-B739140ECCF8}"/>
    <cellStyle name="20% - Accent3 7" xfId="734" xr:uid="{DA7DB5FC-DAB2-4473-B682-E8DE341D8FCE}"/>
    <cellStyle name="20% - Accent3 7 2" xfId="2082" xr:uid="{95433745-1228-4BC1-95DC-5302B07ABAD1}"/>
    <cellStyle name="20% - Accent3 7 2 2" xfId="2418" xr:uid="{F66A1403-D0DD-4C6E-B20B-3C170AAA9C3D}"/>
    <cellStyle name="20% - Accent3 7 3" xfId="2308" xr:uid="{A09A5054-443F-4C10-B57C-1A59D808A4F6}"/>
    <cellStyle name="20% - Accent3 7 4" xfId="1969" xr:uid="{17BAE7D7-E209-47EA-A83F-D3EDD4591A13}"/>
    <cellStyle name="20% - Accent3 8" xfId="735" xr:uid="{41967E94-8419-4A92-875C-918CF871B08F}"/>
    <cellStyle name="20% - Accent3 8 2" xfId="2083" xr:uid="{A9DC9A86-773A-48F7-83B4-93ABD969E802}"/>
    <cellStyle name="20% - Accent3 8 2 2" xfId="2419" xr:uid="{CE011728-070F-4C74-9A80-34A70E56E071}"/>
    <cellStyle name="20% - Accent3 8 3" xfId="2321" xr:uid="{E62A67F0-A062-404B-B8DD-559E7F9D3DCA}"/>
    <cellStyle name="20% - Accent3 8 4" xfId="1982" xr:uid="{216575E7-7F33-477D-B007-10D9352BA18F}"/>
    <cellStyle name="20% - Accent3 9" xfId="736" xr:uid="{62592963-0867-4392-B77B-F49EEAC09895}"/>
    <cellStyle name="20% - Accent3 9 2" xfId="2084" xr:uid="{A3B8599B-D72C-4774-9248-91421C5D9E0D}"/>
    <cellStyle name="20% - Accent3 9 2 2" xfId="2420" xr:uid="{DEB93DE9-AAF2-45FB-9A75-F3AD6A5F7ED5}"/>
    <cellStyle name="20% - Accent3 9 3" xfId="2334" xr:uid="{44995B98-29D0-4838-BF92-BF7FBF5650E2}"/>
    <cellStyle name="20% - Accent3 9 4" xfId="1995" xr:uid="{E3A5A0B8-5E44-412F-80DA-D31DCFFCE825}"/>
    <cellStyle name="20% - Accent4 10" xfId="737" xr:uid="{9136CD9C-CB44-460D-A793-C2D6DBFC4D30}"/>
    <cellStyle name="20% - Accent4 10 2" xfId="2086" xr:uid="{9E448194-E98C-40A7-816F-1D2334D892A9}"/>
    <cellStyle name="20% - Accent4 10 2 2" xfId="2422" xr:uid="{69101E6A-1541-4231-87E8-B147B5623686}"/>
    <cellStyle name="20% - Accent4 10 3" xfId="2348" xr:uid="{833C0862-BA88-4348-B05D-0C1FD7CFBE7C}"/>
    <cellStyle name="20% - Accent4 10 4" xfId="2009" xr:uid="{75B41288-58A9-4152-84EC-7E0E287F07FF}"/>
    <cellStyle name="20% - Accent4 11" xfId="738" xr:uid="{16420452-6A45-4B88-8F1C-9F78E93ABC2A}"/>
    <cellStyle name="20% - Accent4 11 2" xfId="2087" xr:uid="{F3090810-1D02-44D7-BF10-BF5E3F63F6FA}"/>
    <cellStyle name="20% - Accent4 11 2 2" xfId="2423" xr:uid="{F954809E-63F6-4547-9978-777BAFB227BE}"/>
    <cellStyle name="20% - Accent4 11 3" xfId="2361" xr:uid="{73B1870A-DBCC-4833-B4AA-62050A2A5100}"/>
    <cellStyle name="20% - Accent4 11 4" xfId="2023" xr:uid="{45F52D99-09A3-4084-A249-796195A767A2}"/>
    <cellStyle name="20% - Accent4 12" xfId="1390" xr:uid="{D6D18EBF-218F-41CE-9D49-7CB007CF7F2F}"/>
    <cellStyle name="20% - Accent4 12 2" xfId="1508" xr:uid="{03A3820E-D924-44D4-9087-A01633D4FB81}"/>
    <cellStyle name="20% - Accent4 12 2 2" xfId="1729" xr:uid="{89D34DE5-97D7-4631-A59D-AE90CC5B41C1}"/>
    <cellStyle name="20% - Accent4 12 2 2 2" xfId="2424" xr:uid="{C681A104-F014-4688-B4BB-3EA3B17DDB5B}"/>
    <cellStyle name="20% - Accent4 12 2 2 2 2" xfId="3171" xr:uid="{8973E4C7-5995-46BD-B9DE-37EFD12384A5}"/>
    <cellStyle name="20% - Accent4 12 2 2 3" xfId="3049" xr:uid="{56E55DBB-243F-4D30-9640-0FBE384BF7BC}"/>
    <cellStyle name="20% - Accent4 12 2 3" xfId="2088" xr:uid="{5780B96F-4A1B-4EDD-9239-46CFF38460FC}"/>
    <cellStyle name="20% - Accent4 12 2 3 2" xfId="3172" xr:uid="{A72C74E4-DCF8-4CD3-BC8D-91A768A10034}"/>
    <cellStyle name="20% - Accent4 12 2 4" xfId="2913" xr:uid="{86FBA205-CB1A-4288-8009-0FD0E5591B3D}"/>
    <cellStyle name="20% - Accent4 12 3" xfId="1682" xr:uid="{1D72C88A-F8AA-44B7-B1F7-9B68F1167F40}"/>
    <cellStyle name="20% - Accent4 12 3 2" xfId="2374" xr:uid="{118DA503-6968-41C1-BB86-057A4C92B196}"/>
    <cellStyle name="20% - Accent4 12 3 2 2" xfId="3173" xr:uid="{3D8BB05E-1E8A-45E6-A17B-15ECBBBA7ADE}"/>
    <cellStyle name="20% - Accent4 12 3 3" xfId="3003" xr:uid="{199BCE99-644B-4532-87BB-64D60AE587F7}"/>
    <cellStyle name="20% - Accent4 12 4" xfId="2037" xr:uid="{3FC0F0CA-933E-441C-A138-889667AEA77D}"/>
    <cellStyle name="20% - Accent4 12 4 2" xfId="3174" xr:uid="{F16CB74C-4853-47F4-92A2-D9F465CD8785}"/>
    <cellStyle name="20% - Accent4 12 5" xfId="2868" xr:uid="{DF5DF6DE-9984-41CB-A9DF-C0DEBCD52E6F}"/>
    <cellStyle name="20% - Accent4 13" xfId="1434" xr:uid="{4ED89C72-D87F-4326-A4A7-F47907F4518E}"/>
    <cellStyle name="20% - Accent4 13 2" xfId="1522" xr:uid="{B3986039-F49C-4A23-B926-F6E6D813D684}"/>
    <cellStyle name="20% - Accent4 13 2 2" xfId="1743" xr:uid="{B8A9AFA8-DDEA-4FB1-BE61-D3796DF963D8}"/>
    <cellStyle name="20% - Accent4 13 2 2 2" xfId="3175" xr:uid="{4ACF2C4B-9DA9-491F-87DE-41CC0E33E03C}"/>
    <cellStyle name="20% - Accent4 13 2 2 3" xfId="3063" xr:uid="{56BE6D2E-DB7F-4D3C-B3AB-CA31BA2C5A9E}"/>
    <cellStyle name="20% - Accent4 13 2 3" xfId="2421" xr:uid="{7A4748B0-DAB0-409F-9AFA-B66BDBABECB5}"/>
    <cellStyle name="20% - Accent4 13 2 3 2" xfId="3176" xr:uid="{F54C3950-BE8D-48C2-82F4-2062AFDCCB1F}"/>
    <cellStyle name="20% - Accent4 13 2 4" xfId="2927" xr:uid="{013665B5-8768-4435-92E6-71C08646A84B}"/>
    <cellStyle name="20% - Accent4 13 3" xfId="1696" xr:uid="{11F9A982-4778-41B7-B0E8-D3A292BEDABF}"/>
    <cellStyle name="20% - Accent4 13 3 2" xfId="3177" xr:uid="{985588B8-73E9-4300-B25E-E82F8242450D}"/>
    <cellStyle name="20% - Accent4 13 3 3" xfId="3017" xr:uid="{B4B048CC-02F9-4C0C-B2EF-3635BE4A8095}"/>
    <cellStyle name="20% - Accent4 13 4" xfId="2085" xr:uid="{38EFFCD7-927C-49BA-8187-D800C88566DE}"/>
    <cellStyle name="20% - Accent4 13 4 2" xfId="3178" xr:uid="{746431E1-84C2-4E07-BA78-EA198F3F1C39}"/>
    <cellStyle name="20% - Accent4 13 5" xfId="2882" xr:uid="{A6885045-2A55-4355-9C1D-F59352D2C8D2}"/>
    <cellStyle name="20% - Accent4 14" xfId="1494" xr:uid="{150C47DC-C279-4249-B1CF-48CC19C214D7}"/>
    <cellStyle name="20% - Accent4 14 2" xfId="2234" xr:uid="{2A5E5198-D2F1-4618-9FCB-60A67FC60205}"/>
    <cellStyle name="20% - Accent4 15" xfId="1452" xr:uid="{3F5F35A8-A58C-47FD-82CA-C8141670566F}"/>
    <cellStyle name="20% - Accent4 15 2" xfId="1715" xr:uid="{D9942916-9EB1-4857-9505-D7281FD95DBD}"/>
    <cellStyle name="20% - Accent4 15 2 2" xfId="3179" xr:uid="{75C2542A-36BC-4904-B137-8D7A00AD4DB6}"/>
    <cellStyle name="20% - Accent4 15 2 3" xfId="3036" xr:uid="{5D82B5D9-2903-43A4-A45E-6D505297FCB8}"/>
    <cellStyle name="20% - Accent4 15 3" xfId="2574" xr:uid="{FB582063-58C2-40E8-84B4-5B4F9E3D470B}"/>
    <cellStyle name="20% - Accent4 15 3 2" xfId="3180" xr:uid="{141ADF40-39E6-4300-BF08-26809FF97C0E}"/>
    <cellStyle name="20% - Accent4 15 4" xfId="2900" xr:uid="{8203AC8F-DFD1-4EE4-B8BC-6D3B3A6079B9}"/>
    <cellStyle name="20% - Accent4 16" xfId="1536" xr:uid="{B9BE507F-2A34-4E4B-9176-6E255E85A54C}"/>
    <cellStyle name="20% - Accent4 16 2" xfId="1757" xr:uid="{CD26131D-E4F7-47CB-B6F2-288B2841B06A}"/>
    <cellStyle name="20% - Accent4 16 2 2" xfId="3181" xr:uid="{C05BEE9E-C104-43ED-8F1D-004FC2E93033}"/>
    <cellStyle name="20% - Accent4 16 2 3" xfId="3077" xr:uid="{02975110-ACDF-482F-BAC6-1CA6038FB5C4}"/>
    <cellStyle name="20% - Accent4 16 3" xfId="3182" xr:uid="{0AC58481-1781-4430-9CFE-DD26BA460EA9}"/>
    <cellStyle name="20% - Accent4 16 4" xfId="2940" xr:uid="{9401CC84-9E2F-4B48-B9B3-028A30EADE15}"/>
    <cellStyle name="20% - Accent4 17" xfId="1553" xr:uid="{DF9F80FF-5DD5-4041-830B-E31C47D5E739}"/>
    <cellStyle name="20% - Accent4 17 2" xfId="1770" xr:uid="{595341BA-B16D-4D72-9501-A3500B2A3876}"/>
    <cellStyle name="20% - Accent4 17 2 2" xfId="3183" xr:uid="{0B03AD96-6329-4EE1-A1D0-FAE4BFADBD5D}"/>
    <cellStyle name="20% - Accent4 17 2 3" xfId="3090" xr:uid="{7121B106-75E9-447F-A31F-5EB795DD7791}"/>
    <cellStyle name="20% - Accent4 17 3" xfId="3184" xr:uid="{A2908A43-B0D8-4C1B-A460-B58550D9151F}"/>
    <cellStyle name="20% - Accent4 17 4" xfId="2953" xr:uid="{5C5FA262-6FC3-4D4E-BD06-1C015D56960B}"/>
    <cellStyle name="20% - Accent4 18" xfId="1575" xr:uid="{14AA50A5-AEC7-4088-849A-4D9D2C63D01F}"/>
    <cellStyle name="20% - Accent4 18 2" xfId="1790" xr:uid="{CC2540AA-88F0-4D19-98F2-AD7355D8475E}"/>
    <cellStyle name="20% - Accent4 18 2 2" xfId="3185" xr:uid="{81C4184E-877E-4562-AABD-7F5ACDAB6684}"/>
    <cellStyle name="20% - Accent4 18 2 3" xfId="3109" xr:uid="{622CD4CF-50AB-4629-B4D0-F8DF21914531}"/>
    <cellStyle name="20% - Accent4 18 3" xfId="2777" xr:uid="{82FE4690-A208-4F9A-A173-2B03B80EC5CE}"/>
    <cellStyle name="20% - Accent4 19" xfId="1596" xr:uid="{9B1BC8B2-025F-4349-9D75-A699F7A7C636}"/>
    <cellStyle name="20% - Accent4 19 2" xfId="1810" xr:uid="{F5412230-55F6-426A-9CA1-C760CB8DFBC2}"/>
    <cellStyle name="20% - Accent4 19 3" xfId="2627" xr:uid="{6747F8DF-1789-4389-9E33-00E5F9CEFFF5}"/>
    <cellStyle name="20% - Accent4 2" xfId="739" xr:uid="{AB569193-B1DF-4D7C-9AB1-8C22049D50E4}"/>
    <cellStyle name="20% - Accent4 2 2" xfId="2089" xr:uid="{E69C0750-4425-4E61-91D8-AE8845967B34}"/>
    <cellStyle name="20% - Accent4 2 2 2" xfId="2425" xr:uid="{A29B89D7-69D2-47F4-B60D-0E8484268D67}"/>
    <cellStyle name="20% - Accent4 2 3" xfId="2244" xr:uid="{6FFFD178-00F9-4810-8A76-9A0391E0096B}"/>
    <cellStyle name="20% - Accent4 2 4" xfId="1903" xr:uid="{B608A714-7D1D-4B45-A2C6-F40A2DB1D58F}"/>
    <cellStyle name="20% - Accent4 20" xfId="1618" xr:uid="{529E933F-4A43-4C65-8CF9-67DE18635475}"/>
    <cellStyle name="20% - Accent4 21" xfId="1668" xr:uid="{F2127B8C-C0C8-484E-9E5F-DBEF8A39F655}"/>
    <cellStyle name="20% - Accent4 22" xfId="1839" xr:uid="{F31F3856-E042-446B-AD5F-C022D95CABBD}"/>
    <cellStyle name="20% - Accent4 23" xfId="1368" xr:uid="{61ABF765-C4BE-4574-AF84-DEFCBE883F60}"/>
    <cellStyle name="20% - Accent4 3" xfId="740" xr:uid="{1E440F55-88E6-4E9B-ABC2-8E6C8C13ECCB}"/>
    <cellStyle name="20% - Accent4 3 2" xfId="2090" xr:uid="{3E23F394-0ED2-4C51-9962-5295A823E99D}"/>
    <cellStyle name="20% - Accent4 3 2 2" xfId="2426" xr:uid="{15CEE386-AD57-4AD9-AB7A-78BA118E3E4A}"/>
    <cellStyle name="20% - Accent4 3 3" xfId="2257" xr:uid="{8B52E035-ED34-429A-8D28-67B056061135}"/>
    <cellStyle name="20% - Accent4 3 4" xfId="1917" xr:uid="{397DD845-2B1D-48AB-8D4E-909EB1610828}"/>
    <cellStyle name="20% - Accent4 4" xfId="741" xr:uid="{B423B376-104F-4B94-A4A2-B6E5E7463091}"/>
    <cellStyle name="20% - Accent4 4 2" xfId="2091" xr:uid="{5A4D5046-3488-48FF-8215-C8546EA7540A}"/>
    <cellStyle name="20% - Accent4 4 2 2" xfId="2427" xr:uid="{CC120048-0F26-4E45-B7AB-9ECA47D65124}"/>
    <cellStyle name="20% - Accent4 4 3" xfId="2270" xr:uid="{BA2B861F-CE3C-484A-BE7C-D95EABEAE3BD}"/>
    <cellStyle name="20% - Accent4 4 4" xfId="1930" xr:uid="{F303ADC5-1C53-4171-AAC3-0DAF3BCE95DD}"/>
    <cellStyle name="20% - Accent4 5" xfId="742" xr:uid="{CD412193-51FE-406A-8728-B6613CE0866B}"/>
    <cellStyle name="20% - Accent4 5 2" xfId="2092" xr:uid="{159EFC84-1DC5-47B1-A25F-03F6231DBEBD}"/>
    <cellStyle name="20% - Accent4 5 2 2" xfId="2428" xr:uid="{DBDB3F49-0CA0-4616-8BBB-10BB1994AA2F}"/>
    <cellStyle name="20% - Accent4 5 3" xfId="2283" xr:uid="{12584F43-A7BC-4281-97AA-8FB4D4682996}"/>
    <cellStyle name="20% - Accent4 5 4" xfId="1944" xr:uid="{BE55A8A7-F440-40B3-8251-0B1C5E5A0232}"/>
    <cellStyle name="20% - Accent4 6" xfId="743" xr:uid="{870C7CB5-F37C-40E7-AF23-3036F2EB5A50}"/>
    <cellStyle name="20% - Accent4 6 2" xfId="2093" xr:uid="{66FB57CE-EC1A-4FD6-9684-C76D331E16EC}"/>
    <cellStyle name="20% - Accent4 6 2 2" xfId="2429" xr:uid="{BEEBFCD5-D200-4618-BDD9-DA955F99D0DC}"/>
    <cellStyle name="20% - Accent4 6 3" xfId="2296" xr:uid="{04814FC4-1BE5-44CB-8770-3DAC7FD6EEB5}"/>
    <cellStyle name="20% - Accent4 6 4" xfId="1957" xr:uid="{829D3175-685F-4520-9990-6EA9BC623A21}"/>
    <cellStyle name="20% - Accent4 7" xfId="744" xr:uid="{7B5641C5-599B-4DA8-BE7F-BFB4FF372DE5}"/>
    <cellStyle name="20% - Accent4 7 2" xfId="2094" xr:uid="{0CA6D476-41DC-4D4D-A3CB-4E2D753BBCC3}"/>
    <cellStyle name="20% - Accent4 7 2 2" xfId="2430" xr:uid="{C07BCDE1-6B51-473F-83B2-F92FF523AE5A}"/>
    <cellStyle name="20% - Accent4 7 3" xfId="2309" xr:uid="{014465BC-0635-4566-B36F-CA724ED1E166}"/>
    <cellStyle name="20% - Accent4 7 4" xfId="1970" xr:uid="{D5ADE043-F7A2-422C-8A27-1CD3562C0A60}"/>
    <cellStyle name="20% - Accent4 8" xfId="745" xr:uid="{0D449A06-0322-442B-8629-3466B315BB7F}"/>
    <cellStyle name="20% - Accent4 8 2" xfId="2095" xr:uid="{23BC7DE6-ED5E-45A7-9A80-1A748E538F7D}"/>
    <cellStyle name="20% - Accent4 8 2 2" xfId="2431" xr:uid="{879B9157-B08F-4B40-8FEC-F61FD1CC0055}"/>
    <cellStyle name="20% - Accent4 8 3" xfId="2322" xr:uid="{B4E30805-B303-4F1A-8E23-AFEDB2F36E37}"/>
    <cellStyle name="20% - Accent4 8 4" xfId="1983" xr:uid="{E445DCC4-6540-4308-BD83-4FF705615E90}"/>
    <cellStyle name="20% - Accent4 9" xfId="746" xr:uid="{8F3CFA1C-E14A-4CF3-8D1B-D9C758FDEF6E}"/>
    <cellStyle name="20% - Accent4 9 2" xfId="2096" xr:uid="{C7EBEBE2-AD0B-49A9-AC17-DC76709AE1BA}"/>
    <cellStyle name="20% - Accent4 9 2 2" xfId="2432" xr:uid="{6E1CE161-2501-4573-B4AA-70AC4B77CB92}"/>
    <cellStyle name="20% - Accent4 9 3" xfId="2335" xr:uid="{D5A125C1-E3B5-42DF-9CD0-48D35393AD8D}"/>
    <cellStyle name="20% - Accent4 9 4" xfId="1996" xr:uid="{02054F59-0EE5-4F7E-9E3C-E463FB10146F}"/>
    <cellStyle name="20% - Accent5 10" xfId="747" xr:uid="{0A42E8CC-9DEF-45C9-BF01-2562E6EECDF5}"/>
    <cellStyle name="20% - Accent5 10 2" xfId="2098" xr:uid="{59F1C90F-534D-4588-9ADF-37BC8D60A379}"/>
    <cellStyle name="20% - Accent5 10 2 2" xfId="2434" xr:uid="{003FF27C-7F56-40B7-BEE6-44A04630A605}"/>
    <cellStyle name="20% - Accent5 10 3" xfId="2349" xr:uid="{2B84113D-C62B-471B-97CF-C792BC8D0527}"/>
    <cellStyle name="20% - Accent5 10 4" xfId="2010" xr:uid="{024AF0FE-36EE-4C8B-A9AD-A378B9707650}"/>
    <cellStyle name="20% - Accent5 11" xfId="748" xr:uid="{E8D6EC10-F660-42D4-9269-5F4CAA73C316}"/>
    <cellStyle name="20% - Accent5 11 2" xfId="2099" xr:uid="{123FDBF5-6CAB-45B9-9A8A-4CC2B3E07984}"/>
    <cellStyle name="20% - Accent5 11 2 2" xfId="2435" xr:uid="{93E9B58E-0CD4-47C8-9FE5-3222212D2DC2}"/>
    <cellStyle name="20% - Accent5 11 3" xfId="2362" xr:uid="{556C6D37-1E2E-45C9-A7D0-9AD5C4910D99}"/>
    <cellStyle name="20% - Accent5 11 4" xfId="2024" xr:uid="{5ECCE930-8FE6-4D90-BC9E-FC8E71A982A4}"/>
    <cellStyle name="20% - Accent5 12" xfId="1391" xr:uid="{F1A99DA6-197C-4375-9C8E-DB0C373E534D}"/>
    <cellStyle name="20% - Accent5 12 2" xfId="1509" xr:uid="{2CC61F49-CCE1-46EA-A802-16014E96E79F}"/>
    <cellStyle name="20% - Accent5 12 2 2" xfId="1730" xr:uid="{BE6E3DA3-D199-49E5-917D-252C742C3E8A}"/>
    <cellStyle name="20% - Accent5 12 2 2 2" xfId="2436" xr:uid="{18E9FDE6-19AB-45C8-B448-CE1D2CB33FB8}"/>
    <cellStyle name="20% - Accent5 12 2 2 2 2" xfId="3186" xr:uid="{A4EE7934-0C0B-4165-867F-8D4198F98571}"/>
    <cellStyle name="20% - Accent5 12 2 2 3" xfId="3050" xr:uid="{706CADB7-53E8-4E85-B6FF-4BB09595FF6D}"/>
    <cellStyle name="20% - Accent5 12 2 3" xfId="2100" xr:uid="{81E0E4EF-5AA9-43C0-8BEA-4CB734DD7070}"/>
    <cellStyle name="20% - Accent5 12 2 3 2" xfId="3187" xr:uid="{731154F4-DA68-4DA5-AD9F-031236F572C6}"/>
    <cellStyle name="20% - Accent5 12 2 4" xfId="2914" xr:uid="{1C2FECA0-9949-4339-A731-BA72A470B6C3}"/>
    <cellStyle name="20% - Accent5 12 3" xfId="1683" xr:uid="{E224A7DE-3C52-40D2-9122-4A850FE6C8A4}"/>
    <cellStyle name="20% - Accent5 12 3 2" xfId="2375" xr:uid="{767901BA-29F5-4848-8256-7A68568F7C84}"/>
    <cellStyle name="20% - Accent5 12 3 2 2" xfId="3188" xr:uid="{86CC9E17-067E-413D-986B-066320A993A3}"/>
    <cellStyle name="20% - Accent5 12 3 3" xfId="3004" xr:uid="{1C366FDA-4E44-437E-A379-FB75FACF8D46}"/>
    <cellStyle name="20% - Accent5 12 4" xfId="2038" xr:uid="{9B526942-D119-4284-ABA6-137B38331902}"/>
    <cellStyle name="20% - Accent5 12 4 2" xfId="3189" xr:uid="{F75F3458-0C2D-4FC2-B25E-6B57D4BAFE53}"/>
    <cellStyle name="20% - Accent5 12 5" xfId="2869" xr:uid="{6A343FAF-C6EE-4693-B010-36B6040B54B7}"/>
    <cellStyle name="20% - Accent5 13" xfId="1435" xr:uid="{F2B0631E-EB1A-407C-AB08-33D21C1FF21E}"/>
    <cellStyle name="20% - Accent5 13 2" xfId="1523" xr:uid="{F67EB6A7-591F-471A-A63E-203AF3F8466A}"/>
    <cellStyle name="20% - Accent5 13 2 2" xfId="1744" xr:uid="{7F9DB8B5-9038-4454-919C-DB41FEA0717E}"/>
    <cellStyle name="20% - Accent5 13 2 2 2" xfId="3190" xr:uid="{5DCB9E2D-1145-4342-87A6-F67E43A5535D}"/>
    <cellStyle name="20% - Accent5 13 2 2 3" xfId="3064" xr:uid="{3848ECDA-78AC-4B40-B43E-8D059D4DBEB8}"/>
    <cellStyle name="20% - Accent5 13 2 3" xfId="2433" xr:uid="{DD1543F4-C82A-476E-803E-0C474027FED2}"/>
    <cellStyle name="20% - Accent5 13 2 3 2" xfId="3191" xr:uid="{DEE83D89-E0BB-4842-BDDB-B95FC03E1A83}"/>
    <cellStyle name="20% - Accent5 13 2 4" xfId="2928" xr:uid="{110BFA17-A4FA-401F-A1D1-5BCF0C477174}"/>
    <cellStyle name="20% - Accent5 13 3" xfId="1697" xr:uid="{701CC21A-1B07-47ED-AEB7-E7CC8A77D954}"/>
    <cellStyle name="20% - Accent5 13 3 2" xfId="3192" xr:uid="{E4F0C474-3CC1-48B0-BF17-B23CC78FCA61}"/>
    <cellStyle name="20% - Accent5 13 3 3" xfId="3018" xr:uid="{71CB66A3-2FF2-41FF-B700-22E2F642F3AC}"/>
    <cellStyle name="20% - Accent5 13 4" xfId="2097" xr:uid="{589ECAF8-A01E-484A-A8EC-6944CB95BAE6}"/>
    <cellStyle name="20% - Accent5 13 4 2" xfId="3193" xr:uid="{5BFC5CF4-A491-487C-ACAE-FDD27553B846}"/>
    <cellStyle name="20% - Accent5 13 5" xfId="2883" xr:uid="{E2DC9651-77FB-41F4-8D96-B44E2A74AFDF}"/>
    <cellStyle name="20% - Accent5 14" xfId="1498" xr:uid="{D59DFD04-1308-4146-82C9-00F0A9471BCF}"/>
    <cellStyle name="20% - Accent5 14 2" xfId="2236" xr:uid="{84E770F3-C7EA-40E1-91A0-93CCB304386F}"/>
    <cellStyle name="20% - Accent5 15" xfId="1453" xr:uid="{061585B6-49C1-4908-ABAA-50F1C8CE1A4E}"/>
    <cellStyle name="20% - Accent5 15 2" xfId="1716" xr:uid="{BB00E6B4-10AF-484B-A4B9-A9F85C655A5D}"/>
    <cellStyle name="20% - Accent5 15 2 2" xfId="3194" xr:uid="{127CC7BB-F1E3-49F3-8ED7-EF96259CD8F2}"/>
    <cellStyle name="20% - Accent5 15 2 3" xfId="3037" xr:uid="{13B125C7-1347-44CF-813E-25D9ECBBD895}"/>
    <cellStyle name="20% - Accent5 15 3" xfId="2575" xr:uid="{6D639C13-C1BF-4F19-A91D-A38BC58739C1}"/>
    <cellStyle name="20% - Accent5 15 3 2" xfId="3195" xr:uid="{87B06743-E24E-4AC8-84BF-7C0E2B9614A5}"/>
    <cellStyle name="20% - Accent5 15 4" xfId="2901" xr:uid="{877B4C54-ADE6-44C5-A385-263F9D74FD53}"/>
    <cellStyle name="20% - Accent5 16" xfId="1537" xr:uid="{C585FD3D-298A-4E9B-BAD2-B6D53BCB321E}"/>
    <cellStyle name="20% - Accent5 16 2" xfId="1758" xr:uid="{212E839A-CA0B-47A4-8FEB-6576F567DCB1}"/>
    <cellStyle name="20% - Accent5 16 2 2" xfId="3196" xr:uid="{0411078B-892A-43FA-8C74-13A136DC9101}"/>
    <cellStyle name="20% - Accent5 16 2 3" xfId="3078" xr:uid="{4A10CCB5-7C53-4F06-8590-77D3985215C9}"/>
    <cellStyle name="20% - Accent5 16 3" xfId="3197" xr:uid="{A5AA2BE9-64BA-450D-9F05-7E995249BA25}"/>
    <cellStyle name="20% - Accent5 16 4" xfId="2941" xr:uid="{C22AECAF-CBB4-40C3-A861-D3210D0FCFA1}"/>
    <cellStyle name="20% - Accent5 17" xfId="1554" xr:uid="{3E37EEB0-4775-404B-8F5B-52F09F29A397}"/>
    <cellStyle name="20% - Accent5 17 2" xfId="1771" xr:uid="{9A2328C7-E6E4-4864-A89B-5D62576D4C81}"/>
    <cellStyle name="20% - Accent5 17 2 2" xfId="3198" xr:uid="{5BB2FC42-8E22-4EB8-9182-5CBD6A2EC85B}"/>
    <cellStyle name="20% - Accent5 17 2 3" xfId="3091" xr:uid="{50973FD6-194F-4E5A-888F-BE8E43392AB2}"/>
    <cellStyle name="20% - Accent5 17 3" xfId="3199" xr:uid="{B3586C3F-79D0-4F0D-B17A-D5237D2D95E4}"/>
    <cellStyle name="20% - Accent5 17 4" xfId="2954" xr:uid="{A85F45CA-A8AB-4012-9E8B-9736D339182D}"/>
    <cellStyle name="20% - Accent5 18" xfId="1576" xr:uid="{3D31D560-5F48-4D58-BB06-E6827AB22253}"/>
    <cellStyle name="20% - Accent5 18 2" xfId="1791" xr:uid="{2271E751-9DC4-4AD8-AD34-7799A0ACB4A8}"/>
    <cellStyle name="20% - Accent5 18 2 2" xfId="3200" xr:uid="{97F18016-2898-4A42-AE5A-82B46E99A8F0}"/>
    <cellStyle name="20% - Accent5 18 2 3" xfId="3110" xr:uid="{DA762F77-DCF4-445E-B9AE-935BD88850A5}"/>
    <cellStyle name="20% - Accent5 18 3" xfId="2635" xr:uid="{A45388DB-F076-4D52-BBCB-AD1BDDB2A923}"/>
    <cellStyle name="20% - Accent5 19" xfId="1597" xr:uid="{7B1259F8-FFE9-4246-9E33-F9D358EDDD76}"/>
    <cellStyle name="20% - Accent5 19 2" xfId="1811" xr:uid="{7D8501A9-3228-446E-B082-5D2077AA56B2}"/>
    <cellStyle name="20% - Accent5 19 3" xfId="2759" xr:uid="{78B10A70-7780-4BBA-9573-600860A9B862}"/>
    <cellStyle name="20% - Accent5 2" xfId="749" xr:uid="{723EB3A7-E869-4610-ACBD-7B32C1C7DAF1}"/>
    <cellStyle name="20% - Accent5 2 2" xfId="2101" xr:uid="{54C7835C-440A-42D4-8886-4432695B3B55}"/>
    <cellStyle name="20% - Accent5 2 2 2" xfId="2437" xr:uid="{C96DC706-4FAE-481E-96B2-C54CF81E5722}"/>
    <cellStyle name="20% - Accent5 2 3" xfId="2245" xr:uid="{B4D78884-8535-442B-843A-458DE7A1F465}"/>
    <cellStyle name="20% - Accent5 2 4" xfId="1904" xr:uid="{79AA993B-35F6-4F24-A8FE-4E4A61D9C96B}"/>
    <cellStyle name="20% - Accent5 20" xfId="1619" xr:uid="{6CE7DD2D-4832-4F1C-8EA1-BAFA02CE7BD7}"/>
    <cellStyle name="20% - Accent5 21" xfId="1672" xr:uid="{7BF36CB0-1C28-4E01-925A-20B5667AE9FF}"/>
    <cellStyle name="20% - Accent5 22" xfId="1842" xr:uid="{11D25D44-351B-431A-A1FB-1F62F8053B20}"/>
    <cellStyle name="20% - Accent5 23" xfId="1372" xr:uid="{73D4525E-2198-4536-B03D-86B45BEA62B0}"/>
    <cellStyle name="20% - Accent5 3" xfId="750" xr:uid="{99F037C3-8B15-48F6-8E76-65DA26074428}"/>
    <cellStyle name="20% - Accent5 3 2" xfId="2102" xr:uid="{68773DEA-2D15-4075-A7B1-1AE592EA83AA}"/>
    <cellStyle name="20% - Accent5 3 2 2" xfId="2438" xr:uid="{2FE12A87-D183-4D5E-8355-929604B4A9D9}"/>
    <cellStyle name="20% - Accent5 3 3" xfId="2258" xr:uid="{FF5ED2A0-FB7B-4884-A776-FB415EB73CA3}"/>
    <cellStyle name="20% - Accent5 3 4" xfId="1918" xr:uid="{6E60BFBB-6868-450B-B239-FCD107E7B987}"/>
    <cellStyle name="20% - Accent5 4" xfId="751" xr:uid="{48183F12-FF4D-4CC3-BF28-F0A31656FC30}"/>
    <cellStyle name="20% - Accent5 4 2" xfId="2103" xr:uid="{DCE3895C-77D8-42FB-B367-FEBA8DD22BE0}"/>
    <cellStyle name="20% - Accent5 4 2 2" xfId="2439" xr:uid="{588511EA-2E11-4796-83DD-51B519917BE3}"/>
    <cellStyle name="20% - Accent5 4 3" xfId="2271" xr:uid="{EA77D7C0-E94F-40CC-A956-D84BDDA879D0}"/>
    <cellStyle name="20% - Accent5 4 4" xfId="1931" xr:uid="{F9EA54A5-7C4B-472A-8BB1-7DF0E1E9B6BC}"/>
    <cellStyle name="20% - Accent5 5" xfId="752" xr:uid="{5C764070-9309-4802-A26A-01CCF7F694B8}"/>
    <cellStyle name="20% - Accent5 5 2" xfId="2104" xr:uid="{CA4EE2E1-8C3F-4D9D-8487-BDEF67A8F1DF}"/>
    <cellStyle name="20% - Accent5 5 2 2" xfId="2440" xr:uid="{C446C5D2-2EF6-4D99-A757-78F376ECD155}"/>
    <cellStyle name="20% - Accent5 5 3" xfId="2284" xr:uid="{51846946-0211-4C81-9E87-BE33E2D19B31}"/>
    <cellStyle name="20% - Accent5 5 4" xfId="1945" xr:uid="{3E9643EF-17F5-454A-A680-555CDC413218}"/>
    <cellStyle name="20% - Accent5 6" xfId="753" xr:uid="{684ED06C-0D0E-4C18-8707-D3A65F9800CF}"/>
    <cellStyle name="20% - Accent5 6 2" xfId="2105" xr:uid="{02FDCDB3-1798-4A08-9C40-2E5EA8F37D96}"/>
    <cellStyle name="20% - Accent5 6 2 2" xfId="2441" xr:uid="{F6AF9ABF-5705-450E-B086-9DD6DF7FF8E0}"/>
    <cellStyle name="20% - Accent5 6 3" xfId="2297" xr:uid="{E6B1F718-15A5-42F3-9D4A-ABD4D30DD201}"/>
    <cellStyle name="20% - Accent5 6 4" xfId="1958" xr:uid="{79615477-5C59-4415-82D9-BAF5776DC566}"/>
    <cellStyle name="20% - Accent5 7" xfId="754" xr:uid="{4914852D-1731-4698-87DF-F63017785702}"/>
    <cellStyle name="20% - Accent5 7 2" xfId="2106" xr:uid="{7E2EA94A-0FCA-44D4-9BA7-541545F04393}"/>
    <cellStyle name="20% - Accent5 7 2 2" xfId="2442" xr:uid="{504F4159-ACCB-4FAE-950D-FD95FF337F2F}"/>
    <cellStyle name="20% - Accent5 7 3" xfId="2310" xr:uid="{3BA79430-A16C-4392-B865-B21C675A33B6}"/>
    <cellStyle name="20% - Accent5 7 4" xfId="1971" xr:uid="{6A45720C-4D01-442B-98BE-0A4C069225E4}"/>
    <cellStyle name="20% - Accent5 8" xfId="755" xr:uid="{2E3E3357-EF21-4B1E-8C58-46D6F7062058}"/>
    <cellStyle name="20% - Accent5 8 2" xfId="2107" xr:uid="{5D6883C1-E12E-4B08-8E91-BE14752A5A4E}"/>
    <cellStyle name="20% - Accent5 8 2 2" xfId="2443" xr:uid="{24D366D5-0739-44D8-82D1-C5498F3531CD}"/>
    <cellStyle name="20% - Accent5 8 3" xfId="2323" xr:uid="{F8C45E1A-11FA-4214-9201-5CF317357344}"/>
    <cellStyle name="20% - Accent5 8 4" xfId="1984" xr:uid="{4E05252B-E977-465E-8EC5-CF2606EA347D}"/>
    <cellStyle name="20% - Accent5 9" xfId="756" xr:uid="{C9405BA9-C958-4916-B0E3-0139F6DF9F31}"/>
    <cellStyle name="20% - Accent5 9 2" xfId="2108" xr:uid="{4767A1D8-E451-4966-AA2B-652780587F6D}"/>
    <cellStyle name="20% - Accent5 9 2 2" xfId="2444" xr:uid="{7346FA45-57F6-45F2-B7CC-1FF00907969F}"/>
    <cellStyle name="20% - Accent5 9 3" xfId="2336" xr:uid="{9F34144A-4DC7-4E3F-9C5C-2F09A54CE185}"/>
    <cellStyle name="20% - Accent5 9 4" xfId="1997" xr:uid="{68CC4D3C-6709-4387-9127-D00944BBCD91}"/>
    <cellStyle name="20% - Accent6 10" xfId="757" xr:uid="{3BBA64C3-4D78-49C4-8E02-4EE9CF4B0A01}"/>
    <cellStyle name="20% - Accent6 10 2" xfId="2110" xr:uid="{AE863AF7-EA58-4918-AB95-EB514730476F}"/>
    <cellStyle name="20% - Accent6 10 2 2" xfId="2446" xr:uid="{BEA115DB-3EC3-4A0F-A216-904C0B909EC5}"/>
    <cellStyle name="20% - Accent6 10 3" xfId="2350" xr:uid="{AA9405BA-F0F9-46FE-AB17-47ED8C85315A}"/>
    <cellStyle name="20% - Accent6 10 4" xfId="2011" xr:uid="{B32852A1-4257-4445-9E44-A487C12EF547}"/>
    <cellStyle name="20% - Accent6 11" xfId="758" xr:uid="{13CAABF7-ED16-4690-B2EE-48EEF135118D}"/>
    <cellStyle name="20% - Accent6 11 2" xfId="2111" xr:uid="{96FCFB77-BBDE-45E9-9395-B39BBC6A0374}"/>
    <cellStyle name="20% - Accent6 11 2 2" xfId="2447" xr:uid="{6A96AECA-85B5-4223-A31F-AD4DF6FC8E8B}"/>
    <cellStyle name="20% - Accent6 11 3" xfId="2363" xr:uid="{B8AF88FA-4CC5-4CDF-92B9-D1789896BC58}"/>
    <cellStyle name="20% - Accent6 11 4" xfId="2025" xr:uid="{39FA32C1-0340-4E7C-9089-206DC96D628F}"/>
    <cellStyle name="20% - Accent6 12" xfId="1392" xr:uid="{0A3E5B98-FE9F-4419-BFFF-0B2283DB45DB}"/>
    <cellStyle name="20% - Accent6 12 2" xfId="1510" xr:uid="{4BC65E41-8044-4DF1-A05C-A6C381DCE296}"/>
    <cellStyle name="20% - Accent6 12 2 2" xfId="1731" xr:uid="{0659530C-F15E-4436-BFB1-FC22476BF6CE}"/>
    <cellStyle name="20% - Accent6 12 2 2 2" xfId="2448" xr:uid="{28D10744-605F-4428-AB3F-2E5CE6EA06AE}"/>
    <cellStyle name="20% - Accent6 12 2 2 2 2" xfId="3201" xr:uid="{350B3E61-95F5-43DE-9869-D4A522B5D1A4}"/>
    <cellStyle name="20% - Accent6 12 2 2 3" xfId="3051" xr:uid="{7006B671-7A2F-45D2-90BA-394A6ABCF478}"/>
    <cellStyle name="20% - Accent6 12 2 3" xfId="2112" xr:uid="{5A9D3715-8095-4F96-8168-F9BC44983C0E}"/>
    <cellStyle name="20% - Accent6 12 2 3 2" xfId="3202" xr:uid="{05DB498C-0971-4DFE-9DCF-CBC7486042F9}"/>
    <cellStyle name="20% - Accent6 12 2 4" xfId="2915" xr:uid="{8B02A346-6662-4168-884F-884F513EF99B}"/>
    <cellStyle name="20% - Accent6 12 3" xfId="1684" xr:uid="{F9E0D058-2BCC-4CB5-8023-F052C5C596A8}"/>
    <cellStyle name="20% - Accent6 12 3 2" xfId="2376" xr:uid="{712E2D1E-A01D-4532-8089-F0903FA2B8C0}"/>
    <cellStyle name="20% - Accent6 12 3 2 2" xfId="3203" xr:uid="{F69EAB81-5ACD-4509-AAE8-FBCCA4E92AF0}"/>
    <cellStyle name="20% - Accent6 12 3 3" xfId="3005" xr:uid="{D0E4EB20-0298-431A-94C2-584B3F6EA7D1}"/>
    <cellStyle name="20% - Accent6 12 4" xfId="2039" xr:uid="{3224FC59-F03C-4C08-8831-1A8C5B5BA8B2}"/>
    <cellStyle name="20% - Accent6 12 4 2" xfId="3204" xr:uid="{6DDF4FCC-5A79-48EF-8865-D966AE17C911}"/>
    <cellStyle name="20% - Accent6 12 5" xfId="2870" xr:uid="{792B296E-5794-4257-AB4B-FD0B5F577794}"/>
    <cellStyle name="20% - Accent6 13" xfId="1436" xr:uid="{88C6AA78-0017-426C-8BC3-79421C847307}"/>
    <cellStyle name="20% - Accent6 13 2" xfId="1524" xr:uid="{02D96FA0-B7A7-43A0-A7D2-4CE60DC1D2F7}"/>
    <cellStyle name="20% - Accent6 13 2 2" xfId="1745" xr:uid="{4AEA23D3-A3F4-4CD1-829D-E37C08C06142}"/>
    <cellStyle name="20% - Accent6 13 2 2 2" xfId="3205" xr:uid="{5670E0E2-05AA-4FA7-B724-A0980F37FCFE}"/>
    <cellStyle name="20% - Accent6 13 2 2 3" xfId="3065" xr:uid="{FB1AC5B3-4DCC-4967-8B1F-E93B45A285C1}"/>
    <cellStyle name="20% - Accent6 13 2 3" xfId="2445" xr:uid="{89CCDD06-A9A4-4A55-AC67-E0B45EC7B5A5}"/>
    <cellStyle name="20% - Accent6 13 2 3 2" xfId="3206" xr:uid="{EAE87926-9A44-4B9F-A6DC-AD586DD0FF4F}"/>
    <cellStyle name="20% - Accent6 13 2 4" xfId="2929" xr:uid="{03005FA8-4ABA-4040-90B3-AA5E13B5DE46}"/>
    <cellStyle name="20% - Accent6 13 3" xfId="1698" xr:uid="{08E63942-AE5D-40D7-9AA6-8F9EADB277E0}"/>
    <cellStyle name="20% - Accent6 13 3 2" xfId="3207" xr:uid="{C4CBCF80-2C4C-4203-876F-1D27DEF24BBD}"/>
    <cellStyle name="20% - Accent6 13 3 3" xfId="3019" xr:uid="{59E5A566-BE51-4AEF-86CC-389CB0F20AB5}"/>
    <cellStyle name="20% - Accent6 13 4" xfId="2109" xr:uid="{B3919E12-C77D-49D4-8464-AA80C95B6DD7}"/>
    <cellStyle name="20% - Accent6 13 4 2" xfId="3208" xr:uid="{77DF15C7-13FF-4519-9D85-FAD16C1FDC41}"/>
    <cellStyle name="20% - Accent6 13 5" xfId="2884" xr:uid="{3351FE28-988C-421A-9BC1-DED6974076A0}"/>
    <cellStyle name="20% - Accent6 14" xfId="1502" xr:uid="{3F802049-6B60-4542-A79E-D725196C08AF}"/>
    <cellStyle name="20% - Accent6 14 2" xfId="2238" xr:uid="{35A07499-8261-4814-B4ED-F3371A6462B7}"/>
    <cellStyle name="20% - Accent6 15" xfId="1454" xr:uid="{E8690A78-C845-471A-8719-259A8C236F13}"/>
    <cellStyle name="20% - Accent6 15 2" xfId="1717" xr:uid="{E0D9E75C-E704-4D04-B298-3306F9DC17A3}"/>
    <cellStyle name="20% - Accent6 15 2 2" xfId="3209" xr:uid="{3F2A3AFB-69D3-4178-B6E4-0ADD691BD7EA}"/>
    <cellStyle name="20% - Accent6 15 2 3" xfId="3038" xr:uid="{C8CDF5C2-6EC1-47EB-909A-9312D8D86915}"/>
    <cellStyle name="20% - Accent6 15 3" xfId="2576" xr:uid="{E8A650FC-73D5-4F0D-BC8D-51278B6404A0}"/>
    <cellStyle name="20% - Accent6 15 3 2" xfId="3210" xr:uid="{60421CA0-C906-41E4-80F8-7392945AF297}"/>
    <cellStyle name="20% - Accent6 15 4" xfId="2902" xr:uid="{B7BE7A81-1ACA-4781-9F37-4E12F1ADEA16}"/>
    <cellStyle name="20% - Accent6 16" xfId="1538" xr:uid="{856A4559-13B8-45EF-9A1B-C6DF3344AAD6}"/>
    <cellStyle name="20% - Accent6 16 2" xfId="1759" xr:uid="{AF30C1FD-13E9-470F-86F3-872F58C9EBDE}"/>
    <cellStyle name="20% - Accent6 16 2 2" xfId="3211" xr:uid="{9781183A-36F9-4215-B183-9537422E9FFB}"/>
    <cellStyle name="20% - Accent6 16 2 3" xfId="3079" xr:uid="{C596AAD2-948C-417D-BF89-E2C441E9FE91}"/>
    <cellStyle name="20% - Accent6 16 3" xfId="3212" xr:uid="{879CFBB6-4702-492D-86D9-11B0B9127B0D}"/>
    <cellStyle name="20% - Accent6 16 4" xfId="2942" xr:uid="{3294F52D-48C2-4879-8D70-A4111298A4DC}"/>
    <cellStyle name="20% - Accent6 17" xfId="1555" xr:uid="{72C424C0-A793-4DDC-A928-AA03E61166AE}"/>
    <cellStyle name="20% - Accent6 17 2" xfId="1772" xr:uid="{F7915207-E951-43D9-ABAB-F423E326C883}"/>
    <cellStyle name="20% - Accent6 17 2 2" xfId="3213" xr:uid="{273AC949-479E-4AA6-B777-AA1BF8612416}"/>
    <cellStyle name="20% - Accent6 17 2 3" xfId="3092" xr:uid="{DC6C776C-E0F5-4FD4-A0B4-EA41A31C7737}"/>
    <cellStyle name="20% - Accent6 17 3" xfId="3214" xr:uid="{ADB18155-13E4-4D96-B4E4-27A26C8AC816}"/>
    <cellStyle name="20% - Accent6 17 4" xfId="2955" xr:uid="{5787C2E0-35AA-4749-B6BB-621266272CBB}"/>
    <cellStyle name="20% - Accent6 18" xfId="1577" xr:uid="{81867443-EF13-4017-92B9-1EDFB7D7AD1B}"/>
    <cellStyle name="20% - Accent6 18 2" xfId="1792" xr:uid="{740BF302-83C9-448D-AB19-8ED4B8AB28C6}"/>
    <cellStyle name="20% - Accent6 18 2 2" xfId="3215" xr:uid="{2DE5ABEF-B477-40D7-9291-AE3B3008B899}"/>
    <cellStyle name="20% - Accent6 18 2 3" xfId="3111" xr:uid="{7D085F5B-684A-4527-9EC8-19DB6CC451B6}"/>
    <cellStyle name="20% - Accent6 18 3" xfId="2741" xr:uid="{D705FCDC-C40F-4393-A0A8-2EF1AF6DE44F}"/>
    <cellStyle name="20% - Accent6 19" xfId="1598" xr:uid="{5F5A8A4F-0BFD-4030-82D6-1272C4ABC0BF}"/>
    <cellStyle name="20% - Accent6 19 2" xfId="1812" xr:uid="{D763A400-A5EE-4791-B06D-61BA125C78EE}"/>
    <cellStyle name="20% - Accent6 19 3" xfId="2669" xr:uid="{EC244B4B-E556-47EA-8FB1-6D39F09E48F6}"/>
    <cellStyle name="20% - Accent6 2" xfId="759" xr:uid="{8B24B7D1-1C89-498B-9A7F-8FB23E840822}"/>
    <cellStyle name="20% - Accent6 2 2" xfId="2113" xr:uid="{5340370D-3C37-40D3-92E4-2F951C447E1C}"/>
    <cellStyle name="20% - Accent6 2 2 2" xfId="2449" xr:uid="{3800B00A-0920-48FB-999E-4D4B6428B042}"/>
    <cellStyle name="20% - Accent6 2 3" xfId="2246" xr:uid="{C2A6EC26-385B-4E9B-A6BE-CB9D3CC81220}"/>
    <cellStyle name="20% - Accent6 2 4" xfId="1905" xr:uid="{62EBB193-160D-4883-94A0-01A94114DE97}"/>
    <cellStyle name="20% - Accent6 20" xfId="1620" xr:uid="{12F2C2D4-FF0C-4E96-9E21-511B75B2637D}"/>
    <cellStyle name="20% - Accent6 21" xfId="1676" xr:uid="{32854440-0A47-4A2B-BAF5-247C2ED73204}"/>
    <cellStyle name="20% - Accent6 22" xfId="1845" xr:uid="{A3A08FDD-18AF-4729-9472-F2884D7D785B}"/>
    <cellStyle name="20% - Accent6 23" xfId="1376" xr:uid="{A3772CCA-CA2F-4C84-803C-747F85D40DC7}"/>
    <cellStyle name="20% - Accent6 3" xfId="760" xr:uid="{1B43B7E6-6123-4E03-99D4-5B97C81091BF}"/>
    <cellStyle name="20% - Accent6 3 2" xfId="2114" xr:uid="{40664B61-32C6-4B2F-AACD-360583930377}"/>
    <cellStyle name="20% - Accent6 3 2 2" xfId="2450" xr:uid="{BE84C154-8502-41B2-9497-32DDF6D41F10}"/>
    <cellStyle name="20% - Accent6 3 3" xfId="2259" xr:uid="{7C644EAF-F056-485B-839D-4E478E1E5495}"/>
    <cellStyle name="20% - Accent6 3 4" xfId="1919" xr:uid="{D9A097EA-F391-4D4D-8646-687471210BAA}"/>
    <cellStyle name="20% - Accent6 4" xfId="761" xr:uid="{C6199CA9-46E2-40A7-895A-5A7BECF79188}"/>
    <cellStyle name="20% - Accent6 4 2" xfId="2115" xr:uid="{BA921ADA-8189-4DD4-87C8-26E50441AC6E}"/>
    <cellStyle name="20% - Accent6 4 2 2" xfId="2451" xr:uid="{A54E7C4F-D4C7-42EA-867C-F66828009C97}"/>
    <cellStyle name="20% - Accent6 4 3" xfId="2272" xr:uid="{A626118F-59DA-4007-BB2F-CDD1F43E1C34}"/>
    <cellStyle name="20% - Accent6 4 4" xfId="1932" xr:uid="{A06DDBA9-A8BC-41BE-8FF7-115BB75B217C}"/>
    <cellStyle name="20% - Accent6 5" xfId="762" xr:uid="{A923E362-2709-4B2E-B153-BBCE3D110FA7}"/>
    <cellStyle name="20% - Accent6 5 2" xfId="2116" xr:uid="{F4185C09-80BC-4541-8BDD-E655C2111D62}"/>
    <cellStyle name="20% - Accent6 5 2 2" xfId="2452" xr:uid="{143F3002-5209-474B-9003-A0DE4A62233F}"/>
    <cellStyle name="20% - Accent6 5 3" xfId="2285" xr:uid="{BB29E9C7-E558-447C-A0AB-4CA8114B4F51}"/>
    <cellStyle name="20% - Accent6 5 4" xfId="1946" xr:uid="{3C4AAD51-A88A-43A7-B5A6-7E0768A6AFDD}"/>
    <cellStyle name="20% - Accent6 6" xfId="763" xr:uid="{AC308E44-57A9-4225-9EDB-386B1F7E5DB0}"/>
    <cellStyle name="20% - Accent6 6 2" xfId="2117" xr:uid="{F5D042BD-3195-47C8-A157-D1B074F296A0}"/>
    <cellStyle name="20% - Accent6 6 2 2" xfId="2453" xr:uid="{35FCB97E-AADA-4B7C-85CD-22165AAE6F6F}"/>
    <cellStyle name="20% - Accent6 6 3" xfId="2298" xr:uid="{BBDE9703-D836-4386-BCF5-1DC9EF75B6D6}"/>
    <cellStyle name="20% - Accent6 6 4" xfId="1959" xr:uid="{766987A2-344D-4B44-BABF-1B7101CB4AF4}"/>
    <cellStyle name="20% - Accent6 7" xfId="764" xr:uid="{A63FC019-A3AE-4E65-B283-BE0B0D3C9214}"/>
    <cellStyle name="20% - Accent6 7 2" xfId="2118" xr:uid="{1F99538F-213F-4CA2-B2BD-14552B7F3909}"/>
    <cellStyle name="20% - Accent6 7 2 2" xfId="2454" xr:uid="{7EE461B0-279B-46D6-B74E-6D93B13B91F5}"/>
    <cellStyle name="20% - Accent6 7 3" xfId="2311" xr:uid="{9AA02210-3A62-40B0-BBFB-735ED7AF3CCA}"/>
    <cellStyle name="20% - Accent6 7 4" xfId="1972" xr:uid="{AF30E7FA-07E6-4810-A5E3-B2FB5822343B}"/>
    <cellStyle name="20% - Accent6 8" xfId="765" xr:uid="{CAFF3360-5B39-434F-8D42-1FE3D7A418A0}"/>
    <cellStyle name="20% - Accent6 8 2" xfId="2119" xr:uid="{9B948957-E728-4EE9-9D9B-9FB31FD1DCFC}"/>
    <cellStyle name="20% - Accent6 8 2 2" xfId="2455" xr:uid="{E78312BC-7B5D-447F-BAA2-BCEDF3CD76C3}"/>
    <cellStyle name="20% - Accent6 8 3" xfId="2324" xr:uid="{E94588E3-B01D-4B75-B42E-8C1E0B869593}"/>
    <cellStyle name="20% - Accent6 8 4" xfId="1985" xr:uid="{014F8A8A-3681-46B7-9D25-F3E31F2060D7}"/>
    <cellStyle name="20% - Accent6 9" xfId="766" xr:uid="{442EF9D3-2AB6-4952-94DB-2B3650F58B72}"/>
    <cellStyle name="20% - Accent6 9 2" xfId="2120" xr:uid="{EE1DCFC5-618B-43D6-8D90-8D4A40F56C90}"/>
    <cellStyle name="20% - Accent6 9 2 2" xfId="2456" xr:uid="{49046086-8794-474F-8AB3-5D7B3898E6A2}"/>
    <cellStyle name="20% - Accent6 9 3" xfId="2337" xr:uid="{E4998157-D4F3-443B-B0D1-79FBAC8B858B}"/>
    <cellStyle name="20% - Accent6 9 4" xfId="1998" xr:uid="{70EDB279-EA37-45E3-AD2B-B5CA5385425F}"/>
    <cellStyle name="3" xfId="1125" xr:uid="{A7049031-5043-4AA5-8DF8-C98CFF402546}"/>
    <cellStyle name="4" xfId="1126" xr:uid="{AA6BDDF2-22F7-4DA0-9260-4ADBE2BE1AEE}"/>
    <cellStyle name="40% - Accent1 10" xfId="767" xr:uid="{54EDEC19-47C1-4C8F-B6BB-12D6790E4381}"/>
    <cellStyle name="40% - Accent1 10 2" xfId="2122" xr:uid="{A4D8FC7E-226A-4999-9AB8-E7A7A44218AC}"/>
    <cellStyle name="40% - Accent1 10 2 2" xfId="2458" xr:uid="{52270070-2EE1-4BBC-8E74-77A9BD1CFA85}"/>
    <cellStyle name="40% - Accent1 10 3" xfId="2351" xr:uid="{62771180-AC1E-426F-BFE5-D1C26F304E0B}"/>
    <cellStyle name="40% - Accent1 10 4" xfId="2012" xr:uid="{885D1562-34FC-455D-9679-F10A4F6E5267}"/>
    <cellStyle name="40% - Accent1 11" xfId="768" xr:uid="{4736C49F-F7A2-4E61-A939-98783B3D27DF}"/>
    <cellStyle name="40% - Accent1 11 2" xfId="2123" xr:uid="{847FCAF4-EFAE-4BD2-89C4-FBAAAD057411}"/>
    <cellStyle name="40% - Accent1 11 2 2" xfId="2459" xr:uid="{1C54AE4B-E32A-45DE-B292-FF8F1F54C54B}"/>
    <cellStyle name="40% - Accent1 11 3" xfId="2364" xr:uid="{8C48B66C-7362-4C39-BF40-0460CD8E4274}"/>
    <cellStyle name="40% - Accent1 11 4" xfId="2026" xr:uid="{89DB0873-62B3-41C2-8469-55C3C384952E}"/>
    <cellStyle name="40% - Accent1 12" xfId="1393" xr:uid="{974B4A89-7576-42C5-A5A3-B6BAEB1C738E}"/>
    <cellStyle name="40% - Accent1 12 2" xfId="1511" xr:uid="{195E3003-C26F-4476-9C6B-6AA49A28DC28}"/>
    <cellStyle name="40% - Accent1 12 2 2" xfId="1732" xr:uid="{774C5DB0-732E-4510-A763-ECDD829A6CAB}"/>
    <cellStyle name="40% - Accent1 12 2 2 2" xfId="2460" xr:uid="{758E6B3E-2093-48A2-AF85-B7DFFAEFD372}"/>
    <cellStyle name="40% - Accent1 12 2 2 2 2" xfId="3216" xr:uid="{A1FFB965-9208-46A9-A8BE-09F7E86CAC26}"/>
    <cellStyle name="40% - Accent1 12 2 2 3" xfId="3052" xr:uid="{2DBF1DF9-59DF-481C-BF6F-87139DBA55E6}"/>
    <cellStyle name="40% - Accent1 12 2 3" xfId="2124" xr:uid="{77E9C26A-F238-4864-9E14-700A90D3CA85}"/>
    <cellStyle name="40% - Accent1 12 2 3 2" xfId="3217" xr:uid="{B80AB1AE-13E7-439C-865D-7A7B9183A827}"/>
    <cellStyle name="40% - Accent1 12 2 4" xfId="2916" xr:uid="{DF207819-8C9A-4065-A108-C02C1F4CDF8B}"/>
    <cellStyle name="40% - Accent1 12 3" xfId="1685" xr:uid="{69873545-EC2F-49F6-BD6E-326111122D83}"/>
    <cellStyle name="40% - Accent1 12 3 2" xfId="2377" xr:uid="{A5143AFB-69CD-47BC-A944-5D0C3591FED5}"/>
    <cellStyle name="40% - Accent1 12 3 2 2" xfId="3218" xr:uid="{4D1FD3A7-8B94-4943-B5EB-6010379BD291}"/>
    <cellStyle name="40% - Accent1 12 3 3" xfId="3006" xr:uid="{6E6BCDD6-E404-455C-83B2-00057E86EE36}"/>
    <cellStyle name="40% - Accent1 12 4" xfId="2040" xr:uid="{478609A5-C104-404E-A998-375B9B32CEB8}"/>
    <cellStyle name="40% - Accent1 12 4 2" xfId="3219" xr:uid="{E156CA5F-5170-471F-B9F2-CE7211F550EE}"/>
    <cellStyle name="40% - Accent1 12 5" xfId="2871" xr:uid="{88AB55EA-1748-4BB4-AF7E-7816BA63E5E6}"/>
    <cellStyle name="40% - Accent1 13" xfId="1437" xr:uid="{44B70A42-BCF8-41C0-9A70-F8E2ED766AFB}"/>
    <cellStyle name="40% - Accent1 13 2" xfId="1525" xr:uid="{D8759DEC-5B04-4F75-AAFA-B562A46F9F24}"/>
    <cellStyle name="40% - Accent1 13 2 2" xfId="1746" xr:uid="{33E9F19D-91E0-4733-8CD1-C50D13FFDB9D}"/>
    <cellStyle name="40% - Accent1 13 2 2 2" xfId="3220" xr:uid="{1C70DA42-33E5-48F2-8531-02AAAE3ED3F6}"/>
    <cellStyle name="40% - Accent1 13 2 2 3" xfId="3066" xr:uid="{4D364A5F-FF78-4BBB-AF70-2921A2480486}"/>
    <cellStyle name="40% - Accent1 13 2 3" xfId="2457" xr:uid="{35FCC0B3-E4AD-4545-866A-08887AFEC208}"/>
    <cellStyle name="40% - Accent1 13 2 3 2" xfId="3221" xr:uid="{B03B597A-6A68-4B4C-8A06-FFAC8A93431C}"/>
    <cellStyle name="40% - Accent1 13 2 4" xfId="2930" xr:uid="{8F2C4304-76C4-470E-BCDB-F84D01B3578D}"/>
    <cellStyle name="40% - Accent1 13 3" xfId="1699" xr:uid="{93088A60-471C-46C4-9486-106E5F05A455}"/>
    <cellStyle name="40% - Accent1 13 3 2" xfId="3222" xr:uid="{2579EBF5-C2A5-43EE-95C7-CAA3F5540C17}"/>
    <cellStyle name="40% - Accent1 13 3 3" xfId="3020" xr:uid="{DD675BE2-E43B-4EA6-AEF2-5B5D78A2FE5C}"/>
    <cellStyle name="40% - Accent1 13 4" xfId="2121" xr:uid="{84F8CA4D-C310-4EE0-A8EA-165BF984E8B9}"/>
    <cellStyle name="40% - Accent1 13 4 2" xfId="3223" xr:uid="{545DD970-5800-47FD-9D56-676BAA5D9314}"/>
    <cellStyle name="40% - Accent1 13 5" xfId="2885" xr:uid="{B7DB9B2C-056B-4D06-A729-EFCF30EADBD1}"/>
    <cellStyle name="40% - Accent1 14" xfId="1483" xr:uid="{3A628D6B-9321-4DAB-98D3-9792A94A0926}"/>
    <cellStyle name="40% - Accent1 14 2" xfId="2229" xr:uid="{7A0E56CA-18A4-441E-8B70-DF1C1A7E6A64}"/>
    <cellStyle name="40% - Accent1 15" xfId="1455" xr:uid="{43791A8B-9BEF-4CE1-8440-1DE3BDFFC219}"/>
    <cellStyle name="40% - Accent1 15 2" xfId="1718" xr:uid="{CB922493-4552-47C8-B1B0-0B21D6704D95}"/>
    <cellStyle name="40% - Accent1 15 2 2" xfId="3224" xr:uid="{3BCAE560-1B94-43E2-B0A9-C91C99DF6ABC}"/>
    <cellStyle name="40% - Accent1 15 2 3" xfId="3039" xr:uid="{F11D3313-17EC-4875-A9E2-9FF9A25791EE}"/>
    <cellStyle name="40% - Accent1 15 3" xfId="2577" xr:uid="{072427FD-F432-4B04-B30B-34D6C291AAE1}"/>
    <cellStyle name="40% - Accent1 15 3 2" xfId="3225" xr:uid="{32D5C2ED-7CB3-41CF-B3FE-94FF97636B19}"/>
    <cellStyle name="40% - Accent1 15 4" xfId="2903" xr:uid="{28EE9D44-D2DD-41CB-9135-39F212FF02FE}"/>
    <cellStyle name="40% - Accent1 16" xfId="1539" xr:uid="{3C18BFD2-6E20-4C16-B661-E0072EA9D35B}"/>
    <cellStyle name="40% - Accent1 16 2" xfId="1760" xr:uid="{7675D7C2-52EE-48F8-A125-AC815B36E836}"/>
    <cellStyle name="40% - Accent1 16 2 2" xfId="3226" xr:uid="{CD2EB541-2C02-402B-AD99-8271F0C5CD35}"/>
    <cellStyle name="40% - Accent1 16 2 3" xfId="3080" xr:uid="{481A8539-2915-40F1-86BC-196F4E62A370}"/>
    <cellStyle name="40% - Accent1 16 3" xfId="3227" xr:uid="{716FD22A-9A65-423D-8F07-3A3238DB89E5}"/>
    <cellStyle name="40% - Accent1 16 4" xfId="2943" xr:uid="{0BA9A9E6-EEB5-4C24-838A-AD2F655533BB}"/>
    <cellStyle name="40% - Accent1 17" xfId="1556" xr:uid="{EC4C8972-71D2-41C9-A189-C104FA2EF4A6}"/>
    <cellStyle name="40% - Accent1 17 2" xfId="1773" xr:uid="{CB8FABF9-C07B-4795-8987-5A9C181D88F7}"/>
    <cellStyle name="40% - Accent1 17 2 2" xfId="3228" xr:uid="{20E4ADBE-7A11-4EC0-81D9-B8E44DAC51C4}"/>
    <cellStyle name="40% - Accent1 17 2 3" xfId="3093" xr:uid="{B4B99DB4-324D-4B21-A5EB-2DD20EC14CE1}"/>
    <cellStyle name="40% - Accent1 17 3" xfId="3229" xr:uid="{4EFC7D24-4651-4DC3-B0C1-4D6CDF2AEBBA}"/>
    <cellStyle name="40% - Accent1 17 4" xfId="2956" xr:uid="{0190D740-8292-45E5-8C39-83EB450B8ABF}"/>
    <cellStyle name="40% - Accent1 18" xfId="1578" xr:uid="{9D53E111-45AF-4817-997D-5994633B587E}"/>
    <cellStyle name="40% - Accent1 18 2" xfId="1793" xr:uid="{919266DA-AB5A-44B2-A979-D7582DB2F0C8}"/>
    <cellStyle name="40% - Accent1 18 2 2" xfId="3230" xr:uid="{8ABA34A7-E889-4D80-BC55-F433C4A5A65C}"/>
    <cellStyle name="40% - Accent1 18 2 3" xfId="3112" xr:uid="{DE88FCF6-79BD-48DC-8406-C7A0301CCE7B}"/>
    <cellStyle name="40% - Accent1 18 3" xfId="2594" xr:uid="{17125974-AA96-448C-A35E-A2A8F5F3D3A4}"/>
    <cellStyle name="40% - Accent1 19" xfId="1599" xr:uid="{31F85334-4FA6-421F-AED0-372E857AE4B6}"/>
    <cellStyle name="40% - Accent1 19 2" xfId="1813" xr:uid="{B6AB5BFE-4AB2-41E8-9215-D230244F8D6E}"/>
    <cellStyle name="40% - Accent1 19 3" xfId="2729" xr:uid="{92A91B86-D8F1-4A2F-AFFF-8B689429A920}"/>
    <cellStyle name="40% - Accent1 2" xfId="769" xr:uid="{4B918DFA-B303-4301-BD77-02459963C7E7}"/>
    <cellStyle name="40% - Accent1 2 2" xfId="2125" xr:uid="{A07D3A34-7F6D-4D8D-B002-4091A21A4337}"/>
    <cellStyle name="40% - Accent1 2 2 2" xfId="2461" xr:uid="{9D7346D3-EEA2-4844-8F29-FC690D11FA04}"/>
    <cellStyle name="40% - Accent1 2 3" xfId="2247" xr:uid="{131026B7-FEB5-4835-BFD9-981CFCFDA611}"/>
    <cellStyle name="40% - Accent1 2 4" xfId="1906" xr:uid="{C540E8B1-9646-425F-A640-4533C9093DBE}"/>
    <cellStyle name="40% - Accent1 20" xfId="1621" xr:uid="{00634B81-FCBF-4F90-B961-2931D14263C4}"/>
    <cellStyle name="40% - Accent1 21" xfId="1657" xr:uid="{60704C32-9E7B-45E4-95A1-632E7B473305}"/>
    <cellStyle name="40% - Accent1 22" xfId="1831" xr:uid="{0C1DCB97-4006-4642-9E48-8A7437F827C6}"/>
    <cellStyle name="40% - Accent1 23" xfId="1357" xr:uid="{F90CC580-61EC-46FF-94BC-AA4F3DAB898E}"/>
    <cellStyle name="40% - Accent1 3" xfId="770" xr:uid="{E2D0B965-151B-467A-8417-5969EB324D14}"/>
    <cellStyle name="40% - Accent1 3 2" xfId="2126" xr:uid="{81ABFAFE-1191-4964-859A-E2C7A8ACBBA8}"/>
    <cellStyle name="40% - Accent1 3 2 2" xfId="2462" xr:uid="{8952B1D3-E666-454A-80CA-60AA06FB61B1}"/>
    <cellStyle name="40% - Accent1 3 3" xfId="2260" xr:uid="{67C74E1A-4FD6-47C4-BB6C-032504D6D877}"/>
    <cellStyle name="40% - Accent1 3 4" xfId="1920" xr:uid="{01E18B98-191B-497C-AF5B-83508EA6589D}"/>
    <cellStyle name="40% - Accent1 4" xfId="771" xr:uid="{6A947DEA-D96E-4D1A-876D-1509B846F5EE}"/>
    <cellStyle name="40% - Accent1 4 2" xfId="2127" xr:uid="{846C0517-5C93-43F9-817C-6E97012E16A1}"/>
    <cellStyle name="40% - Accent1 4 2 2" xfId="2463" xr:uid="{D075A772-8C13-4309-A307-B420E422C4A9}"/>
    <cellStyle name="40% - Accent1 4 3" xfId="2273" xr:uid="{2587D3EF-1A6C-4B45-AACE-99C30D2E2713}"/>
    <cellStyle name="40% - Accent1 4 4" xfId="1933" xr:uid="{40CBDD8F-17BF-4E0C-8FDC-4106EAA2A2FA}"/>
    <cellStyle name="40% - Accent1 5" xfId="772" xr:uid="{D38457E8-0470-410F-846F-CCB1878F74E3}"/>
    <cellStyle name="40% - Accent1 5 2" xfId="2128" xr:uid="{8CB8F9A5-CC69-4959-8162-010F27962345}"/>
    <cellStyle name="40% - Accent1 5 2 2" xfId="2464" xr:uid="{75E2CE11-DFF9-478C-B4CA-7931D6963186}"/>
    <cellStyle name="40% - Accent1 5 3" xfId="2286" xr:uid="{8DB46436-2600-4FB7-BEE1-9B9448367EAC}"/>
    <cellStyle name="40% - Accent1 5 4" xfId="1947" xr:uid="{96665D74-6C07-46BE-8305-466FC02193CA}"/>
    <cellStyle name="40% - Accent1 6" xfId="773" xr:uid="{3DB3CF8F-5BC9-4411-A190-BF61BDA05E4C}"/>
    <cellStyle name="40% - Accent1 6 2" xfId="2129" xr:uid="{B2B5A147-543F-4F33-9E79-09A7B33BE906}"/>
    <cellStyle name="40% - Accent1 6 2 2" xfId="2465" xr:uid="{B3C4146A-E43F-444E-B40C-FD7B1A84DA83}"/>
    <cellStyle name="40% - Accent1 6 3" xfId="2299" xr:uid="{F196A675-FBD1-4F6A-AAA0-E52F38CCB0C1}"/>
    <cellStyle name="40% - Accent1 6 4" xfId="1960" xr:uid="{D4DC8EB4-3908-4100-A0CC-151A5B330879}"/>
    <cellStyle name="40% - Accent1 7" xfId="774" xr:uid="{74F0D50C-9DA0-40B2-B474-BA4AE3ECC209}"/>
    <cellStyle name="40% - Accent1 7 2" xfId="2130" xr:uid="{BB36D4B9-8522-4B2C-9D69-5BCFDA045CAD}"/>
    <cellStyle name="40% - Accent1 7 2 2" xfId="2466" xr:uid="{C35D35E8-4811-40D7-8157-35C6DBAE5BB6}"/>
    <cellStyle name="40% - Accent1 7 3" xfId="2312" xr:uid="{42FC58A8-1499-433A-8E16-FF79D68075BB}"/>
    <cellStyle name="40% - Accent1 7 4" xfId="1973" xr:uid="{EEC0D7B8-E465-44E2-8D56-4A5D7D18E981}"/>
    <cellStyle name="40% - Accent1 8" xfId="775" xr:uid="{4A333149-1CAB-42CD-8032-D3E10BD86A6D}"/>
    <cellStyle name="40% - Accent1 8 2" xfId="2131" xr:uid="{A24657B6-32B1-4854-BBC8-508966D13042}"/>
    <cellStyle name="40% - Accent1 8 2 2" xfId="2467" xr:uid="{581FF0DB-C726-4D12-9B6C-029F456FD143}"/>
    <cellStyle name="40% - Accent1 8 3" xfId="2325" xr:uid="{9339C3DF-7366-48AA-BDF1-99C87E29CF90}"/>
    <cellStyle name="40% - Accent1 8 4" xfId="1986" xr:uid="{E7623F62-E3BD-4229-9BEF-D61B169F2C38}"/>
    <cellStyle name="40% - Accent1 9" xfId="776" xr:uid="{5A31B962-B40B-4EF8-B39E-F3ECFE305147}"/>
    <cellStyle name="40% - Accent1 9 2" xfId="2132" xr:uid="{70102F5A-E5A9-4C2A-978A-46786211B9D4}"/>
    <cellStyle name="40% - Accent1 9 2 2" xfId="2468" xr:uid="{5DDE1C78-3C6B-487E-848A-9088F96AFFA0}"/>
    <cellStyle name="40% - Accent1 9 3" xfId="2338" xr:uid="{B10E487E-2FA0-4346-B338-27A7D366B320}"/>
    <cellStyle name="40% - Accent1 9 4" xfId="1999" xr:uid="{E162D46A-04A7-4619-9C8A-13BE24388A0D}"/>
    <cellStyle name="40% - Accent2 10" xfId="777" xr:uid="{3CA04583-09D3-4D7B-8C45-2B95814CF2C8}"/>
    <cellStyle name="40% - Accent2 10 2" xfId="2134" xr:uid="{AB66BFA4-BA22-4BC2-BF8E-B98F1B3ED198}"/>
    <cellStyle name="40% - Accent2 10 2 2" xfId="2470" xr:uid="{4D3EF37D-D06F-4AEA-8D3C-66B3C01E4C07}"/>
    <cellStyle name="40% - Accent2 10 3" xfId="2352" xr:uid="{4ACF9167-2E67-4EDA-B7C1-3F08C8ACC03D}"/>
    <cellStyle name="40% - Accent2 10 4" xfId="2013" xr:uid="{79798272-1DAE-4BE5-8F98-38F85045EF29}"/>
    <cellStyle name="40% - Accent2 11" xfId="778" xr:uid="{B868E80B-C5D8-4233-BF60-8F3534714C19}"/>
    <cellStyle name="40% - Accent2 11 2" xfId="2135" xr:uid="{F95FDD0A-B79E-4A58-B802-D3C75D1095A5}"/>
    <cellStyle name="40% - Accent2 11 2 2" xfId="2471" xr:uid="{2AF078B7-E03C-419E-B1C0-1405034A1A4B}"/>
    <cellStyle name="40% - Accent2 11 3" xfId="2365" xr:uid="{A85247D2-67CD-4592-AE75-2BB4AC86AFF4}"/>
    <cellStyle name="40% - Accent2 11 4" xfId="2027" xr:uid="{DB62208E-28C9-4EE0-9B90-20D6D4F7EBC0}"/>
    <cellStyle name="40% - Accent2 12" xfId="1394" xr:uid="{EF102838-F0F4-40DF-90D7-CD56D4BAE510}"/>
    <cellStyle name="40% - Accent2 12 2" xfId="1512" xr:uid="{EB5B2627-B13F-4A8C-A812-C6FB15F0E850}"/>
    <cellStyle name="40% - Accent2 12 2 2" xfId="1733" xr:uid="{0860E5D8-5F8C-477B-B927-A0E0F9CC2199}"/>
    <cellStyle name="40% - Accent2 12 2 2 2" xfId="2472" xr:uid="{01901F5C-FED9-4521-8056-3BEC7DFCBC5A}"/>
    <cellStyle name="40% - Accent2 12 2 2 2 2" xfId="3231" xr:uid="{8EFA9E16-BFA5-47E2-8F7F-4E8E772B5B63}"/>
    <cellStyle name="40% - Accent2 12 2 2 3" xfId="3053" xr:uid="{04A2529B-535A-4A4C-8470-174A072F6009}"/>
    <cellStyle name="40% - Accent2 12 2 3" xfId="2136" xr:uid="{608C2092-722D-4EE5-8517-C7C673D31A3A}"/>
    <cellStyle name="40% - Accent2 12 2 3 2" xfId="3232" xr:uid="{CFCE65EC-703C-416B-B38E-A87F5D369050}"/>
    <cellStyle name="40% - Accent2 12 2 4" xfId="2917" xr:uid="{424BC0A4-0B80-40F0-8C5F-408FB8C4FFCB}"/>
    <cellStyle name="40% - Accent2 12 3" xfId="1686" xr:uid="{882FB968-1463-4B10-8A67-B3BA7180C47B}"/>
    <cellStyle name="40% - Accent2 12 3 2" xfId="2378" xr:uid="{30DFC987-87EE-42C7-A87E-2C9B87B026B4}"/>
    <cellStyle name="40% - Accent2 12 3 2 2" xfId="3233" xr:uid="{018EBB7F-04A8-48FF-8E6C-165222264392}"/>
    <cellStyle name="40% - Accent2 12 3 3" xfId="3007" xr:uid="{847C7E42-76F8-413D-A92C-F8323ABC05AA}"/>
    <cellStyle name="40% - Accent2 12 4" xfId="2041" xr:uid="{46F04F9F-0402-464F-8911-E8811C5EC04B}"/>
    <cellStyle name="40% - Accent2 12 4 2" xfId="3234" xr:uid="{4AF50175-EEC0-4782-A9D6-170DCBECCE91}"/>
    <cellStyle name="40% - Accent2 12 5" xfId="2872" xr:uid="{E62B89D8-08B1-45F8-A87E-31F42EA2FB56}"/>
    <cellStyle name="40% - Accent2 13" xfId="1438" xr:uid="{54FF6971-619E-4489-B716-DBB487F6F023}"/>
    <cellStyle name="40% - Accent2 13 2" xfId="1526" xr:uid="{5EFF52C0-DFB4-4BCB-98E7-5A073236EFFE}"/>
    <cellStyle name="40% - Accent2 13 2 2" xfId="1747" xr:uid="{75388FC9-C669-47BE-AA20-C10779215C64}"/>
    <cellStyle name="40% - Accent2 13 2 2 2" xfId="3235" xr:uid="{6A141F01-D91C-46DB-9D73-DF874774B52B}"/>
    <cellStyle name="40% - Accent2 13 2 2 3" xfId="3067" xr:uid="{02EEDFEF-9E61-446F-9044-4B00F2C12F55}"/>
    <cellStyle name="40% - Accent2 13 2 3" xfId="2469" xr:uid="{D67CAC73-C2E3-4C28-B488-418F1EE2C9D8}"/>
    <cellStyle name="40% - Accent2 13 2 3 2" xfId="3236" xr:uid="{2F06A960-36C3-4ECF-B460-0D3E6EC41596}"/>
    <cellStyle name="40% - Accent2 13 2 4" xfId="2931" xr:uid="{DDEEC56D-3A86-4CF9-B1F2-F794693189A9}"/>
    <cellStyle name="40% - Accent2 13 3" xfId="1700" xr:uid="{D865D8DB-85D2-4076-A767-F3F15A8A909A}"/>
    <cellStyle name="40% - Accent2 13 3 2" xfId="3237" xr:uid="{8D608E0F-7AFE-485A-81A3-D3BED996878B}"/>
    <cellStyle name="40% - Accent2 13 3 3" xfId="3021" xr:uid="{A5D92607-521A-4FB3-943B-66602E5F64BC}"/>
    <cellStyle name="40% - Accent2 13 4" xfId="2133" xr:uid="{54C0D8D1-EC6F-4503-9B0D-7B81C176AF2A}"/>
    <cellStyle name="40% - Accent2 13 4 2" xfId="3238" xr:uid="{D5597349-35D2-4F63-952E-EB5816CF96EA}"/>
    <cellStyle name="40% - Accent2 13 5" xfId="2886" xr:uid="{377A191B-1720-4D48-895F-5D6C003C6FBB}"/>
    <cellStyle name="40% - Accent2 14" xfId="1487" xr:uid="{3B0A69AB-9004-4A75-8B6E-30F4B8690866}"/>
    <cellStyle name="40% - Accent2 14 2" xfId="2231" xr:uid="{357B24FA-7184-465D-81F6-36824FF645DC}"/>
    <cellStyle name="40% - Accent2 15" xfId="1456" xr:uid="{76CC9B19-C8C2-4FDC-AE63-C157C2821472}"/>
    <cellStyle name="40% - Accent2 15 2" xfId="1719" xr:uid="{6E465410-4154-4E6D-AD68-FD57828845CF}"/>
    <cellStyle name="40% - Accent2 15 2 2" xfId="3239" xr:uid="{1CBC001A-9610-4C65-856B-75D3DED056C1}"/>
    <cellStyle name="40% - Accent2 15 2 3" xfId="3040" xr:uid="{8AF18EB9-BCD1-46C3-879A-CCDCACE2602A}"/>
    <cellStyle name="40% - Accent2 15 3" xfId="2578" xr:uid="{09A17E9D-D623-4C5C-85EF-DFEE1A11B14E}"/>
    <cellStyle name="40% - Accent2 15 3 2" xfId="3240" xr:uid="{6F7B5A08-487F-4697-8584-B37FE0552FD3}"/>
    <cellStyle name="40% - Accent2 15 4" xfId="2904" xr:uid="{096FEE33-D439-49AE-8A58-8A1F74FCA3E4}"/>
    <cellStyle name="40% - Accent2 16" xfId="1540" xr:uid="{13915929-A52B-4F32-A296-6DA867DDFF9E}"/>
    <cellStyle name="40% - Accent2 16 2" xfId="1761" xr:uid="{8AB0A806-9E34-42C0-905B-742ED926C784}"/>
    <cellStyle name="40% - Accent2 16 2 2" xfId="3241" xr:uid="{D489F2A5-8DFF-4FFD-A60F-0B825116AC58}"/>
    <cellStyle name="40% - Accent2 16 2 3" xfId="3081" xr:uid="{FAB79CD3-0971-4E42-A276-04153CD50050}"/>
    <cellStyle name="40% - Accent2 16 3" xfId="3242" xr:uid="{B13B5646-FFA1-4C73-AF17-EE52F9BEEEED}"/>
    <cellStyle name="40% - Accent2 16 4" xfId="2944" xr:uid="{DA5B53FB-6BBA-4791-87A3-89F7A0D03B8A}"/>
    <cellStyle name="40% - Accent2 17" xfId="1557" xr:uid="{C89E4D89-3E6F-4286-9A20-521AE5723E9D}"/>
    <cellStyle name="40% - Accent2 17 2" xfId="1774" xr:uid="{9C51D272-D760-4919-91E0-5E9A69DDE739}"/>
    <cellStyle name="40% - Accent2 17 2 2" xfId="3243" xr:uid="{715D3F38-BB43-4B59-A599-ACD38C8FB1E0}"/>
    <cellStyle name="40% - Accent2 17 2 3" xfId="3094" xr:uid="{B598CB93-FE76-473C-895B-4BE5C1AC136C}"/>
    <cellStyle name="40% - Accent2 17 3" xfId="3244" xr:uid="{38BBA806-161B-4EDA-9D9F-3F2347D42B69}"/>
    <cellStyle name="40% - Accent2 17 4" xfId="2957" xr:uid="{957E1B93-E4FE-4D6A-B43B-1B3BDD00A038}"/>
    <cellStyle name="40% - Accent2 18" xfId="1579" xr:uid="{E7BC1B44-5F96-4BA9-B62B-E6920CFEA15A}"/>
    <cellStyle name="40% - Accent2 18 2" xfId="1794" xr:uid="{E38AA396-0D31-4F34-969B-6A154C85FD6C}"/>
    <cellStyle name="40% - Accent2 18 2 2" xfId="3245" xr:uid="{599DE1BC-BDF8-433F-A598-A652E48778CB}"/>
    <cellStyle name="40% - Accent2 18 2 3" xfId="3113" xr:uid="{BBE04075-90BF-4B39-A69F-8D6DB12E70C9}"/>
    <cellStyle name="40% - Accent2 18 3" xfId="2683" xr:uid="{5ED486F1-5D19-40A7-9BFA-FAE3DADF4D4D}"/>
    <cellStyle name="40% - Accent2 19" xfId="1600" xr:uid="{DC00DADF-E0D0-4A04-BDDC-F9AB503BCE36}"/>
    <cellStyle name="40% - Accent2 19 2" xfId="1814" xr:uid="{742DE255-10F6-44D9-9422-57661A82A275}"/>
    <cellStyle name="40% - Accent2 19 3" xfId="2781" xr:uid="{7076C74D-9004-4D56-AF47-B1271FB7B642}"/>
    <cellStyle name="40% - Accent2 2" xfId="779" xr:uid="{137000AC-A83B-4DE8-B763-542CE8A16613}"/>
    <cellStyle name="40% - Accent2 2 2" xfId="2137" xr:uid="{3AC3BD1E-26F0-4EFD-B94C-97DB842206F5}"/>
    <cellStyle name="40% - Accent2 2 2 2" xfId="2473" xr:uid="{C72D5259-2279-4679-93E8-17125E7039BB}"/>
    <cellStyle name="40% - Accent2 2 3" xfId="2248" xr:uid="{FA426194-21D2-4C73-ACC7-5B071A0C931D}"/>
    <cellStyle name="40% - Accent2 2 4" xfId="1907" xr:uid="{DAF068F9-77FD-48F0-BEA0-F0AF4437BE35}"/>
    <cellStyle name="40% - Accent2 20" xfId="1622" xr:uid="{33B71FEE-8734-4A03-923D-B26B858DB528}"/>
    <cellStyle name="40% - Accent2 21" xfId="1661" xr:uid="{1EEFE22D-4C62-451E-B9F9-21027FC5307C}"/>
    <cellStyle name="40% - Accent2 22" xfId="1834" xr:uid="{42E90A5C-6B26-44D8-B445-F66B10787E83}"/>
    <cellStyle name="40% - Accent2 23" xfId="1361" xr:uid="{9B1DBF20-6BCB-4CC6-AC17-79DD0E4ACB52}"/>
    <cellStyle name="40% - Accent2 3" xfId="780" xr:uid="{749579A4-8144-4DF2-9FA2-394C76BB6D79}"/>
    <cellStyle name="40% - Accent2 3 2" xfId="2138" xr:uid="{3C11A939-1BAF-44CF-BF19-9D03318BB97D}"/>
    <cellStyle name="40% - Accent2 3 2 2" xfId="2474" xr:uid="{2F26AE87-AF93-4D69-840B-717722E7EE10}"/>
    <cellStyle name="40% - Accent2 3 3" xfId="2261" xr:uid="{3D899766-AF2B-4980-8998-DE9D5DD5090A}"/>
    <cellStyle name="40% - Accent2 3 4" xfId="1921" xr:uid="{CCC7DF3C-BB66-46A1-8091-22B81F7AC3A7}"/>
    <cellStyle name="40% - Accent2 4" xfId="781" xr:uid="{5E9ABFE3-AF3C-4D37-8F43-79EE44A87DFD}"/>
    <cellStyle name="40% - Accent2 4 2" xfId="2139" xr:uid="{21406E34-DC96-4BE3-B818-06D1B015A5C3}"/>
    <cellStyle name="40% - Accent2 4 2 2" xfId="2475" xr:uid="{780A1481-AEDC-4EA2-8F97-76B11E8AD42A}"/>
    <cellStyle name="40% - Accent2 4 3" xfId="2274" xr:uid="{9AA98570-6B5B-45C7-B5C9-C9F498903D9A}"/>
    <cellStyle name="40% - Accent2 4 4" xfId="1934" xr:uid="{5089CC1C-51D0-41E9-8551-9ABCB24D8BA2}"/>
    <cellStyle name="40% - Accent2 5" xfId="782" xr:uid="{495190EC-5850-4518-BE06-94BCDF929281}"/>
    <cellStyle name="40% - Accent2 5 2" xfId="2140" xr:uid="{7EF186DF-A5A0-407A-B1BF-863CC7CF7062}"/>
    <cellStyle name="40% - Accent2 5 2 2" xfId="2476" xr:uid="{0B27FF68-B19F-4C5D-973D-48BEB78E0508}"/>
    <cellStyle name="40% - Accent2 5 3" xfId="2287" xr:uid="{E4ECE977-9AE1-463C-B611-526103CAB705}"/>
    <cellStyle name="40% - Accent2 5 4" xfId="1948" xr:uid="{BFDB9F9D-9B9D-4276-A9DA-DB407FC3E1F7}"/>
    <cellStyle name="40% - Accent2 6" xfId="783" xr:uid="{41580B25-4496-49DF-8D1D-EC51A8B71840}"/>
    <cellStyle name="40% - Accent2 6 2" xfId="2141" xr:uid="{F9847EB9-CFEB-434C-B796-6B8021CE41E3}"/>
    <cellStyle name="40% - Accent2 6 2 2" xfId="2477" xr:uid="{99619C2A-FCCC-46E7-BCB6-9A30B4713DB3}"/>
    <cellStyle name="40% - Accent2 6 3" xfId="2300" xr:uid="{1B087447-E7A6-4CC9-8FEB-AF62E27A28C7}"/>
    <cellStyle name="40% - Accent2 6 4" xfId="1961" xr:uid="{AB63469B-FCBF-4E6B-96F1-924C954D5117}"/>
    <cellStyle name="40% - Accent2 7" xfId="784" xr:uid="{6F50591E-90F4-4937-A957-A750C3245CCE}"/>
    <cellStyle name="40% - Accent2 7 2" xfId="2142" xr:uid="{044837D5-FB3F-41BE-A3E1-FE4D8E76814A}"/>
    <cellStyle name="40% - Accent2 7 2 2" xfId="2478" xr:uid="{6276A714-E2B5-461D-9F0A-7D26A8D0F913}"/>
    <cellStyle name="40% - Accent2 7 3" xfId="2313" xr:uid="{89458A71-2235-4050-9492-361F5A212D2A}"/>
    <cellStyle name="40% - Accent2 7 4" xfId="1974" xr:uid="{1B184EE3-15CD-427A-8CDF-DC5DB45D72B0}"/>
    <cellStyle name="40% - Accent2 8" xfId="785" xr:uid="{7EF3469D-39DB-4280-A377-09E2C8883220}"/>
    <cellStyle name="40% - Accent2 8 2" xfId="2143" xr:uid="{3549A42B-3DB5-4340-8426-F6367DAEF888}"/>
    <cellStyle name="40% - Accent2 8 2 2" xfId="2479" xr:uid="{26B156C1-C59D-4453-A260-4F388ADB663D}"/>
    <cellStyle name="40% - Accent2 8 3" xfId="2326" xr:uid="{54758AAA-DD95-44D5-975C-1D67A43DC77F}"/>
    <cellStyle name="40% - Accent2 8 4" xfId="1987" xr:uid="{D34CC675-A925-4510-A477-77CFB9369910}"/>
    <cellStyle name="40% - Accent2 9" xfId="786" xr:uid="{F704C8FB-8A4D-4A61-88BB-53B33C188385}"/>
    <cellStyle name="40% - Accent2 9 2" xfId="2144" xr:uid="{07DA70C9-8DDB-4EEE-B912-FDF4D16C32A9}"/>
    <cellStyle name="40% - Accent2 9 2 2" xfId="2480" xr:uid="{DEE5392E-94EC-4C05-9BDE-977E7C328CF5}"/>
    <cellStyle name="40% - Accent2 9 3" xfId="2339" xr:uid="{DFAE8CD1-519D-4514-9BE6-457995541975}"/>
    <cellStyle name="40% - Accent2 9 4" xfId="2000" xr:uid="{62A3531A-BC03-4AE5-86DB-BA4D6B1406B9}"/>
    <cellStyle name="40% - Accent3 10" xfId="787" xr:uid="{242A170C-5B83-40DC-B1A8-B4E128C6ABEA}"/>
    <cellStyle name="40% - Accent3 10 2" xfId="2146" xr:uid="{08E7AD70-81FB-462D-8BE5-F16061EB738E}"/>
    <cellStyle name="40% - Accent3 10 2 2" xfId="2482" xr:uid="{1D5303C6-1FBE-4CC6-BE79-197E7EB0A6B4}"/>
    <cellStyle name="40% - Accent3 10 3" xfId="2353" xr:uid="{66737458-04B2-4285-A0FE-FE74E34983F1}"/>
    <cellStyle name="40% - Accent3 10 4" xfId="2014" xr:uid="{ECED0531-40A4-4618-894A-35D9CB5A3563}"/>
    <cellStyle name="40% - Accent3 11" xfId="788" xr:uid="{F5C38BA3-D3F1-4845-A562-40B26E4FE5C2}"/>
    <cellStyle name="40% - Accent3 11 2" xfId="2147" xr:uid="{21A8187E-11FD-4A9D-A9B0-33C88581BDF8}"/>
    <cellStyle name="40% - Accent3 11 2 2" xfId="2483" xr:uid="{4096C940-3564-4BEE-AC33-ABC55B8C9F5A}"/>
    <cellStyle name="40% - Accent3 11 3" xfId="2366" xr:uid="{C1A1EB98-4859-4430-8EC2-9707404EE3A2}"/>
    <cellStyle name="40% - Accent3 11 4" xfId="2028" xr:uid="{58F44B28-B5F7-43A8-9139-414A4C0F6EC9}"/>
    <cellStyle name="40% - Accent3 12" xfId="1395" xr:uid="{C01CE3B8-04CA-4474-BC62-D1796A125B5F}"/>
    <cellStyle name="40% - Accent3 12 2" xfId="1513" xr:uid="{8728FC9F-C59B-421A-892A-3436FAE0156C}"/>
    <cellStyle name="40% - Accent3 12 2 2" xfId="1734" xr:uid="{4D2C6133-2EB7-4D37-8B17-8222F13BE18B}"/>
    <cellStyle name="40% - Accent3 12 2 2 2" xfId="2484" xr:uid="{14793BCD-C447-4AF2-813E-9B5E09E53AE3}"/>
    <cellStyle name="40% - Accent3 12 2 2 2 2" xfId="3246" xr:uid="{24FE3045-2668-461A-8551-1E68B815875D}"/>
    <cellStyle name="40% - Accent3 12 2 2 3" xfId="3054" xr:uid="{9EABDC9A-B18D-4B0A-AB89-85C741CD6643}"/>
    <cellStyle name="40% - Accent3 12 2 3" xfId="2148" xr:uid="{20C62310-4ED4-4F5E-A4DB-C8AEFB9F191B}"/>
    <cellStyle name="40% - Accent3 12 2 3 2" xfId="3247" xr:uid="{31D7AD94-EF7F-4ECD-A829-64001D47D005}"/>
    <cellStyle name="40% - Accent3 12 2 4" xfId="2918" xr:uid="{7F9AB1A8-A5C1-44BA-8749-C2B1BD2A4A67}"/>
    <cellStyle name="40% - Accent3 12 3" xfId="1687" xr:uid="{BBED3829-4AE2-4FCC-88A5-97873591EEF0}"/>
    <cellStyle name="40% - Accent3 12 3 2" xfId="2379" xr:uid="{250571A3-3520-4104-B507-DF8E517C70AA}"/>
    <cellStyle name="40% - Accent3 12 3 2 2" xfId="3248" xr:uid="{3FD19DDE-1644-4AE2-8F9B-142B9C898B9E}"/>
    <cellStyle name="40% - Accent3 12 3 3" xfId="3008" xr:uid="{87A8F8F3-01F1-4D81-AD22-D689567FF698}"/>
    <cellStyle name="40% - Accent3 12 4" xfId="2042" xr:uid="{03C21B44-B2CE-4CDB-BF6E-26686135BC56}"/>
    <cellStyle name="40% - Accent3 12 4 2" xfId="3249" xr:uid="{DA0BF0CD-975C-43D6-BEB4-579F2315D982}"/>
    <cellStyle name="40% - Accent3 12 5" xfId="2873" xr:uid="{D0523EAD-279B-441C-A80F-A95644AB646D}"/>
    <cellStyle name="40% - Accent3 13" xfId="1439" xr:uid="{52E2D5BA-20E7-4EF3-9369-0939C64608EE}"/>
    <cellStyle name="40% - Accent3 13 2" xfId="1527" xr:uid="{EF362A58-063B-4960-A3C4-FA855EF65C07}"/>
    <cellStyle name="40% - Accent3 13 2 2" xfId="1748" xr:uid="{19A7516C-03B7-4346-AD11-1607A78D2C51}"/>
    <cellStyle name="40% - Accent3 13 2 2 2" xfId="3250" xr:uid="{55F33B9F-CFB8-4B69-B3C8-11EFD34409A3}"/>
    <cellStyle name="40% - Accent3 13 2 2 3" xfId="3068" xr:uid="{A1E3D737-9A5D-4C66-BBB8-C8616E6B54F3}"/>
    <cellStyle name="40% - Accent3 13 2 3" xfId="2481" xr:uid="{BE132954-BA7A-4939-968B-E9A743BDF05E}"/>
    <cellStyle name="40% - Accent3 13 2 3 2" xfId="3251" xr:uid="{639F47F7-C94A-42B8-BB57-453607AC4020}"/>
    <cellStyle name="40% - Accent3 13 2 4" xfId="2932" xr:uid="{384F6CBD-4804-414E-ACF4-92835DC32D67}"/>
    <cellStyle name="40% - Accent3 13 3" xfId="1701" xr:uid="{950B284D-6A03-49DF-9A6B-FFB9EF5FF9C9}"/>
    <cellStyle name="40% - Accent3 13 3 2" xfId="3252" xr:uid="{7C501633-C968-4827-836A-A7DF0A04ECAE}"/>
    <cellStyle name="40% - Accent3 13 3 3" xfId="3022" xr:uid="{C5BCE617-F114-4225-82DE-DF7B9F7C1595}"/>
    <cellStyle name="40% - Accent3 13 4" xfId="2145" xr:uid="{FC86A1A3-11D8-4A93-8FDA-38571D1BBB50}"/>
    <cellStyle name="40% - Accent3 13 4 2" xfId="3253" xr:uid="{EDCBE493-E547-493C-B1C5-636B2F9CE9CB}"/>
    <cellStyle name="40% - Accent3 13 5" xfId="2887" xr:uid="{F841BBCD-B082-4106-9E20-FEC49C10B87B}"/>
    <cellStyle name="40% - Accent3 14" xfId="1491" xr:uid="{0209F638-A54A-42A8-AF86-2687C1AF3FA8}"/>
    <cellStyle name="40% - Accent3 14 2" xfId="2233" xr:uid="{EA52E9B7-02F5-4AF0-8DB8-44A906D08FE8}"/>
    <cellStyle name="40% - Accent3 15" xfId="1457" xr:uid="{A4429A94-0458-4644-AEEA-5B23C00A0439}"/>
    <cellStyle name="40% - Accent3 15 2" xfId="1720" xr:uid="{90542408-08C8-452E-9DEE-6B195A89491D}"/>
    <cellStyle name="40% - Accent3 15 2 2" xfId="3254" xr:uid="{AB9D528B-7B19-4F9D-A7E5-EE91E35D47FC}"/>
    <cellStyle name="40% - Accent3 15 2 3" xfId="3041" xr:uid="{0740324A-442E-44AB-98C9-CD66CD94A2B2}"/>
    <cellStyle name="40% - Accent3 15 3" xfId="2579" xr:uid="{4F8DBCFD-E8FC-47E4-B4EB-56B27440FFC9}"/>
    <cellStyle name="40% - Accent3 15 3 2" xfId="3255" xr:uid="{2346EEDD-DFB3-4671-A97B-2705C1CD3FB2}"/>
    <cellStyle name="40% - Accent3 15 4" xfId="2905" xr:uid="{D9525EFB-94AA-4177-9EE7-4AF3FD3FA008}"/>
    <cellStyle name="40% - Accent3 16" xfId="1541" xr:uid="{936DA572-3FDE-4AE8-A7A0-5A6A89EC7CA9}"/>
    <cellStyle name="40% - Accent3 16 2" xfId="1762" xr:uid="{97B1B187-C352-4B6C-96C6-A344C57998FB}"/>
    <cellStyle name="40% - Accent3 16 2 2" xfId="3256" xr:uid="{E5089EBD-04AE-4E68-AADC-0FA53F77DBEC}"/>
    <cellStyle name="40% - Accent3 16 2 3" xfId="3082" xr:uid="{DF013C6D-9250-40C4-A843-F20DD0F71E6C}"/>
    <cellStyle name="40% - Accent3 16 3" xfId="3257" xr:uid="{5EEF1606-C752-454A-A1B2-E05280D05C2B}"/>
    <cellStyle name="40% - Accent3 16 4" xfId="2945" xr:uid="{CB278241-3DF2-46C6-A071-453638A43FA4}"/>
    <cellStyle name="40% - Accent3 17" xfId="1558" xr:uid="{726010B9-D9BE-42FC-BACE-A8FA9406E238}"/>
    <cellStyle name="40% - Accent3 17 2" xfId="1775" xr:uid="{7A95A5AC-C510-4A16-9999-C5F258BFC111}"/>
    <cellStyle name="40% - Accent3 17 2 2" xfId="3258" xr:uid="{88973E7C-160A-4678-8AE6-FE38B812B22E}"/>
    <cellStyle name="40% - Accent3 17 2 3" xfId="3095" xr:uid="{AC5046BD-2757-4D89-BFC2-7F6FF823A071}"/>
    <cellStyle name="40% - Accent3 17 3" xfId="3259" xr:uid="{5ECCC593-A01A-41C9-B373-67CE3995AA34}"/>
    <cellStyle name="40% - Accent3 17 4" xfId="2958" xr:uid="{8A0D4CF5-B839-482D-A75A-C5459D79306D}"/>
    <cellStyle name="40% - Accent3 18" xfId="1580" xr:uid="{C00D4216-51B4-43CE-9567-644E06B53E3F}"/>
    <cellStyle name="40% - Accent3 18 2" xfId="1795" xr:uid="{5BDE01F3-5501-4D1F-8C2C-D8DDD2DE925A}"/>
    <cellStyle name="40% - Accent3 18 2 2" xfId="3260" xr:uid="{143638FB-0715-4812-8B0F-74F1211B4EF9}"/>
    <cellStyle name="40% - Accent3 18 2 3" xfId="3114" xr:uid="{7224EE2C-CD3A-4393-8C26-600F748E9E3E}"/>
    <cellStyle name="40% - Accent3 18 3" xfId="2660" xr:uid="{6CCD00F1-7196-4FDF-8AEA-E3B6FBC48CB5}"/>
    <cellStyle name="40% - Accent3 19" xfId="1601" xr:uid="{9F17A42F-B04D-44FA-B736-51E91F085BBA}"/>
    <cellStyle name="40% - Accent3 19 2" xfId="1815" xr:uid="{7A991DFA-A1AE-4ED7-AEAA-EC5399149C2D}"/>
    <cellStyle name="40% - Accent3 19 3" xfId="2770" xr:uid="{6E248F16-2EF7-470F-B389-1C7687ED9F5F}"/>
    <cellStyle name="40% - Accent3 2" xfId="789" xr:uid="{A828C58C-7E8D-4ADB-A79E-FA4B832DEA85}"/>
    <cellStyle name="40% - Accent3 2 2" xfId="2149" xr:uid="{C682A30B-EF92-46D8-8656-35DF50931C78}"/>
    <cellStyle name="40% - Accent3 2 2 2" xfId="2485" xr:uid="{8794E4B6-39D3-4FC4-9C91-359E7F011F27}"/>
    <cellStyle name="40% - Accent3 2 3" xfId="2249" xr:uid="{A00B9906-D540-4B5A-9031-C8942FD3C8B7}"/>
    <cellStyle name="40% - Accent3 2 4" xfId="1908" xr:uid="{DF6AADD4-505B-4EF8-A346-7B0CFE8B2465}"/>
    <cellStyle name="40% - Accent3 20" xfId="1623" xr:uid="{80B53B84-C6FE-4B0E-8E38-956D18A4AD18}"/>
    <cellStyle name="40% - Accent3 21" xfId="1665" xr:uid="{3253F76A-8273-4109-83F5-DFB4F139A0A6}"/>
    <cellStyle name="40% - Accent3 22" xfId="1837" xr:uid="{69F0E128-CC38-4849-BDDE-A3A3A9CEBAAD}"/>
    <cellStyle name="40% - Accent3 23" xfId="1365" xr:uid="{091321B5-1B9F-4920-BD5F-D548819A4E81}"/>
    <cellStyle name="40% - Accent3 3" xfId="790" xr:uid="{24FC5C92-1812-4308-8A47-A6198D838A56}"/>
    <cellStyle name="40% - Accent3 3 2" xfId="2150" xr:uid="{A257E007-8F4F-400C-B9AD-8AEB756F3FE6}"/>
    <cellStyle name="40% - Accent3 3 2 2" xfId="2486" xr:uid="{15038979-24C8-44F4-929C-0BE506FA2155}"/>
    <cellStyle name="40% - Accent3 3 3" xfId="2262" xr:uid="{B4E8266F-ABDE-4DE8-89CD-06D4DF290C2F}"/>
    <cellStyle name="40% - Accent3 3 4" xfId="1922" xr:uid="{2CCAAC78-8399-4AAE-8A4B-A7C4ADA90142}"/>
    <cellStyle name="40% - Accent3 4" xfId="791" xr:uid="{81D0FC3D-AF68-4091-BB7A-A7AA41F3E0C0}"/>
    <cellStyle name="40% - Accent3 4 2" xfId="2151" xr:uid="{BF737163-FEA2-447F-9B76-4F48EBA8F9B0}"/>
    <cellStyle name="40% - Accent3 4 2 2" xfId="2487" xr:uid="{BC993D10-623C-4528-B756-8B4D8736F3D3}"/>
    <cellStyle name="40% - Accent3 4 3" xfId="2275" xr:uid="{CA0B4F4B-B5D3-48AD-AF84-82821C449B3F}"/>
    <cellStyle name="40% - Accent3 4 4" xfId="1935" xr:uid="{B831D37B-98AA-466B-AE00-87FBA09E0B11}"/>
    <cellStyle name="40% - Accent3 5" xfId="792" xr:uid="{7F9EC4D7-2711-45E1-B63E-EDA84AB736AA}"/>
    <cellStyle name="40% - Accent3 5 2" xfId="2152" xr:uid="{D06B00A2-323F-4097-A618-30BB020B4462}"/>
    <cellStyle name="40% - Accent3 5 2 2" xfId="2488" xr:uid="{4A4224DA-4894-4D2A-8320-9F38AF86E5FC}"/>
    <cellStyle name="40% - Accent3 5 3" xfId="2288" xr:uid="{032F366C-6E9E-4EEF-8338-A3E2FAB74280}"/>
    <cellStyle name="40% - Accent3 5 4" xfId="1949" xr:uid="{9CF8E153-D221-4263-9AC7-8AB5D8C3156C}"/>
    <cellStyle name="40% - Accent3 6" xfId="793" xr:uid="{D84C4D0A-AC25-46F2-A433-B8652966A6C3}"/>
    <cellStyle name="40% - Accent3 6 2" xfId="2153" xr:uid="{2FC389D5-7EAB-41DC-B945-C58507E12184}"/>
    <cellStyle name="40% - Accent3 6 2 2" xfId="2489" xr:uid="{1BACE0F4-7862-4BE1-A3A0-E31F5947E9A1}"/>
    <cellStyle name="40% - Accent3 6 3" xfId="2301" xr:uid="{4AFFE738-1809-4C25-A1B9-97C6ABA5985F}"/>
    <cellStyle name="40% - Accent3 6 4" xfId="1962" xr:uid="{AED79022-54DF-4309-8FAF-7D0D37157622}"/>
    <cellStyle name="40% - Accent3 7" xfId="794" xr:uid="{A6745A93-5331-42EC-BD08-C285F184601A}"/>
    <cellStyle name="40% - Accent3 7 2" xfId="2154" xr:uid="{38626D81-2137-4C18-9FDB-0949CA628829}"/>
    <cellStyle name="40% - Accent3 7 2 2" xfId="2490" xr:uid="{A62A8484-CA7B-45C0-AD2A-8C09E6A7F366}"/>
    <cellStyle name="40% - Accent3 7 3" xfId="2314" xr:uid="{79D42481-2E90-4C06-8F9C-FFA4F063E479}"/>
    <cellStyle name="40% - Accent3 7 4" xfId="1975" xr:uid="{E36E502C-1598-41BE-B245-DCA3DFF6CD26}"/>
    <cellStyle name="40% - Accent3 8" xfId="795" xr:uid="{A0EACC2D-1426-4CFD-AFC1-6A89645A1EB4}"/>
    <cellStyle name="40% - Accent3 8 2" xfId="2155" xr:uid="{88025970-345C-41A7-A885-46179FEF0EA3}"/>
    <cellStyle name="40% - Accent3 8 2 2" xfId="2491" xr:uid="{A694B4E7-2CA6-4E04-8A98-9FA67CB7AA95}"/>
    <cellStyle name="40% - Accent3 8 3" xfId="2327" xr:uid="{3BC9E0B8-D3ED-4DBD-A08D-37B4998D2F90}"/>
    <cellStyle name="40% - Accent3 8 4" xfId="1988" xr:uid="{B76D6F67-7930-49FF-B514-1BEF053799EB}"/>
    <cellStyle name="40% - Accent3 9" xfId="796" xr:uid="{2FB62252-2594-453E-96D2-13114EB20253}"/>
    <cellStyle name="40% - Accent3 9 2" xfId="2156" xr:uid="{E7E23742-44B3-4097-B9BF-64D6F854BD59}"/>
    <cellStyle name="40% - Accent3 9 2 2" xfId="2492" xr:uid="{35356200-CA08-4925-92F6-F9907E26D975}"/>
    <cellStyle name="40% - Accent3 9 3" xfId="2340" xr:uid="{A16D6A1A-E173-498B-85DA-5A0574C169D6}"/>
    <cellStyle name="40% - Accent3 9 4" xfId="2001" xr:uid="{A1A2B619-34CB-4F1C-B560-24871D96FD55}"/>
    <cellStyle name="40% - Accent4 10" xfId="797" xr:uid="{2E535320-9F6E-41B5-A299-CDE0ED6E96DF}"/>
    <cellStyle name="40% - Accent4 10 2" xfId="2158" xr:uid="{7A402287-F4DD-4FCB-ABD1-C8E0E4170406}"/>
    <cellStyle name="40% - Accent4 10 2 2" xfId="2494" xr:uid="{247DE034-7A84-49E4-9F71-39C4898A0301}"/>
    <cellStyle name="40% - Accent4 10 3" xfId="2354" xr:uid="{1EF2890E-411D-4B70-899C-4DF285C2D0CD}"/>
    <cellStyle name="40% - Accent4 10 4" xfId="2015" xr:uid="{9201A3F6-210A-4304-A03E-0197DDBEF8F3}"/>
    <cellStyle name="40% - Accent4 11" xfId="798" xr:uid="{53D584F6-2D13-419D-80BC-CEB3998E5AAA}"/>
    <cellStyle name="40% - Accent4 11 2" xfId="2159" xr:uid="{236E7D06-4119-4096-8ED5-AAF28DDE7EA7}"/>
    <cellStyle name="40% - Accent4 11 2 2" xfId="2495" xr:uid="{BDC75B46-CA96-46F1-8D5E-CB03CAD94CC0}"/>
    <cellStyle name="40% - Accent4 11 3" xfId="2367" xr:uid="{DCE736EB-79C3-49D8-9AEE-F034856AF1B3}"/>
    <cellStyle name="40% - Accent4 11 4" xfId="2029" xr:uid="{FD162194-ECF1-4C2A-A814-ED303B9544DD}"/>
    <cellStyle name="40% - Accent4 12" xfId="1396" xr:uid="{9378CDA8-3D45-4F0B-8913-2943A7016020}"/>
    <cellStyle name="40% - Accent4 12 2" xfId="1514" xr:uid="{956BD21A-386A-4918-9ED7-278E2E3003B9}"/>
    <cellStyle name="40% - Accent4 12 2 2" xfId="1735" xr:uid="{C84A0A9B-E5D6-40F1-B81D-CB9B432300E3}"/>
    <cellStyle name="40% - Accent4 12 2 2 2" xfId="2496" xr:uid="{1E605884-E17A-49D4-8BF4-64780DB351DC}"/>
    <cellStyle name="40% - Accent4 12 2 2 2 2" xfId="3261" xr:uid="{DAA63EAC-41B2-44F3-A439-208137E7AA09}"/>
    <cellStyle name="40% - Accent4 12 2 2 3" xfId="3055" xr:uid="{E2964CAB-9123-4259-8AAB-45695D7B0658}"/>
    <cellStyle name="40% - Accent4 12 2 3" xfId="2160" xr:uid="{F0944BB2-B367-4904-9FBD-FC9D161FE812}"/>
    <cellStyle name="40% - Accent4 12 2 3 2" xfId="3262" xr:uid="{792C60D2-9E68-4C10-867E-CC30D93C5FA4}"/>
    <cellStyle name="40% - Accent4 12 2 4" xfId="2919" xr:uid="{C00429DE-E02E-444F-BDC2-29F2671E45E7}"/>
    <cellStyle name="40% - Accent4 12 3" xfId="1688" xr:uid="{AB3B3EB5-C883-49BC-9287-A83036D6F9B3}"/>
    <cellStyle name="40% - Accent4 12 3 2" xfId="2380" xr:uid="{F2DADF1F-2124-4DE1-AB9D-E20D6340E229}"/>
    <cellStyle name="40% - Accent4 12 3 2 2" xfId="3263" xr:uid="{80D25786-353F-4B95-8ED2-E1AE28DEAA94}"/>
    <cellStyle name="40% - Accent4 12 3 3" xfId="3009" xr:uid="{6F973958-FFD6-4102-8EBB-9B78F395B96E}"/>
    <cellStyle name="40% - Accent4 12 4" xfId="2043" xr:uid="{7373ECF8-CDCB-4684-BE9B-9F18269949B4}"/>
    <cellStyle name="40% - Accent4 12 4 2" xfId="3264" xr:uid="{9AE61389-AE7D-4FDF-BF0A-8E06ACC9EA09}"/>
    <cellStyle name="40% - Accent4 12 5" xfId="2874" xr:uid="{8D780349-A908-45A8-B153-5786841D8E2B}"/>
    <cellStyle name="40% - Accent4 13" xfId="1440" xr:uid="{10A1579F-68DB-42F2-87D4-164698C3FE8F}"/>
    <cellStyle name="40% - Accent4 13 2" xfId="1528" xr:uid="{AEAEC9E6-129D-4645-97BD-49080042B6C2}"/>
    <cellStyle name="40% - Accent4 13 2 2" xfId="1749" xr:uid="{7643EDA6-EE36-41B4-B0F3-1562309D0E35}"/>
    <cellStyle name="40% - Accent4 13 2 2 2" xfId="3265" xr:uid="{3F63EC85-A448-498F-B2AA-CFEE6A2A552E}"/>
    <cellStyle name="40% - Accent4 13 2 2 3" xfId="3069" xr:uid="{6D751C87-3D61-4D47-ADDD-4A19141F9606}"/>
    <cellStyle name="40% - Accent4 13 2 3" xfId="2493" xr:uid="{84DEEC2D-9D51-4B94-B06B-62044F9A916F}"/>
    <cellStyle name="40% - Accent4 13 2 3 2" xfId="3266" xr:uid="{9B890B1F-E398-47E7-B3D7-69689ED811AC}"/>
    <cellStyle name="40% - Accent4 13 2 4" xfId="2933" xr:uid="{4175722E-65D1-4F9C-8B55-0D78CD3BA5CB}"/>
    <cellStyle name="40% - Accent4 13 3" xfId="1702" xr:uid="{2E465C71-030E-420A-B5F3-845127757B06}"/>
    <cellStyle name="40% - Accent4 13 3 2" xfId="3267" xr:uid="{639691AA-75B4-4DDA-9A3F-71E47E2A2138}"/>
    <cellStyle name="40% - Accent4 13 3 3" xfId="3023" xr:uid="{761BA869-FFF0-4291-9802-98D4F1B93377}"/>
    <cellStyle name="40% - Accent4 13 4" xfId="2157" xr:uid="{64DD92CF-76B1-4609-99D7-C7CB00B9F2F7}"/>
    <cellStyle name="40% - Accent4 13 4 2" xfId="3268" xr:uid="{507A95C7-98C7-45E1-ABEF-4C41B5265B8E}"/>
    <cellStyle name="40% - Accent4 13 5" xfId="2888" xr:uid="{7C36C10C-8944-41B2-A2D1-AE11F5CF3A56}"/>
    <cellStyle name="40% - Accent4 14" xfId="1495" xr:uid="{9773EB5A-B88C-4AD7-9C69-73D9F1148275}"/>
    <cellStyle name="40% - Accent4 14 2" xfId="2235" xr:uid="{211CDE9C-F34F-4981-A5BF-E7DC675865BA}"/>
    <cellStyle name="40% - Accent4 15" xfId="1458" xr:uid="{B9A1FB52-D999-4C14-BB44-6D03E525BE80}"/>
    <cellStyle name="40% - Accent4 15 2" xfId="1721" xr:uid="{3B812B4C-69F6-4031-A49D-7B5F38CCD9A3}"/>
    <cellStyle name="40% - Accent4 15 2 2" xfId="3269" xr:uid="{13B63FBF-5B0C-41AE-A331-5FA60AE95801}"/>
    <cellStyle name="40% - Accent4 15 2 3" xfId="3042" xr:uid="{5C2C3A76-3613-4D9E-8957-B905284EB87B}"/>
    <cellStyle name="40% - Accent4 15 3" xfId="2580" xr:uid="{C6BAD2F3-5D11-4519-8AD7-752DB229E759}"/>
    <cellStyle name="40% - Accent4 15 3 2" xfId="3270" xr:uid="{7FE8D1F3-32D5-4CD1-90DA-06599615051C}"/>
    <cellStyle name="40% - Accent4 15 4" xfId="2906" xr:uid="{B25DDA1E-F4E3-4768-958A-0CDE4C2467A4}"/>
    <cellStyle name="40% - Accent4 16" xfId="1542" xr:uid="{BD390115-1A2D-4DE2-BC97-98652DDB5FFB}"/>
    <cellStyle name="40% - Accent4 16 2" xfId="1763" xr:uid="{2CBCC896-1D96-4373-AE6E-8DD2A4FFD8F9}"/>
    <cellStyle name="40% - Accent4 16 2 2" xfId="3271" xr:uid="{E7CA4A74-F768-4EFD-9B46-3F2B17A96845}"/>
    <cellStyle name="40% - Accent4 16 2 3" xfId="3083" xr:uid="{CA74B7D3-830F-4D97-833E-E52AB5914AC8}"/>
    <cellStyle name="40% - Accent4 16 3" xfId="3272" xr:uid="{67F2E1AA-99F7-435A-902D-FFC9DCF294FD}"/>
    <cellStyle name="40% - Accent4 16 4" xfId="2946" xr:uid="{8EC8F6A3-305C-404C-9BC3-19A5E47E6416}"/>
    <cellStyle name="40% - Accent4 17" xfId="1559" xr:uid="{95F1B375-FF5B-486B-9824-5CC6323D550B}"/>
    <cellStyle name="40% - Accent4 17 2" xfId="1776" xr:uid="{1A5BDE67-50CD-4BEB-BC1C-E45E4FDD1266}"/>
    <cellStyle name="40% - Accent4 17 2 2" xfId="3273" xr:uid="{AC76B598-0628-452A-B567-C582BD6AF305}"/>
    <cellStyle name="40% - Accent4 17 2 3" xfId="3096" xr:uid="{3222F5D6-23FC-41F5-9525-89D810580FB4}"/>
    <cellStyle name="40% - Accent4 17 3" xfId="3274" xr:uid="{6826F373-45D2-4730-998C-E9A4DEC5E53B}"/>
    <cellStyle name="40% - Accent4 17 4" xfId="2959" xr:uid="{A1A3D355-53CE-42B6-AA00-18BCCC574DA7}"/>
    <cellStyle name="40% - Accent4 18" xfId="1581" xr:uid="{509CD1EE-88A9-4991-8494-7861D6070A45}"/>
    <cellStyle name="40% - Accent4 18 2" xfId="1796" xr:uid="{154C852A-AC63-43C6-AB0D-E055E851C1E6}"/>
    <cellStyle name="40% - Accent4 18 2 2" xfId="3275" xr:uid="{C9412108-028B-434D-87C7-216C69CFB402}"/>
    <cellStyle name="40% - Accent4 18 2 3" xfId="3115" xr:uid="{921C077A-F276-4CD1-AB24-5DB45C34FF57}"/>
    <cellStyle name="40% - Accent4 18 3" xfId="2634" xr:uid="{7C8C5855-3FFE-4E5C-BE75-D20BD769ACDF}"/>
    <cellStyle name="40% - Accent4 19" xfId="1602" xr:uid="{568D1B84-6152-4AF5-832F-946DB59C821F}"/>
    <cellStyle name="40% - Accent4 19 2" xfId="1816" xr:uid="{D07B3218-E91B-4136-9821-B885310DE827}"/>
    <cellStyle name="40% - Accent4 19 3" xfId="2613" xr:uid="{C7F4AB9A-2AA2-49AA-A7F1-3A560852186A}"/>
    <cellStyle name="40% - Accent4 2" xfId="799" xr:uid="{3F05DC5C-9605-4BC4-8697-9124CC1574CF}"/>
    <cellStyle name="40% - Accent4 2 2" xfId="2161" xr:uid="{9E7E73AB-680D-44B0-AB74-FA3E549F98CB}"/>
    <cellStyle name="40% - Accent4 2 2 2" xfId="2497" xr:uid="{CC188628-F70E-409B-95B9-E8E62477C9F8}"/>
    <cellStyle name="40% - Accent4 2 3" xfId="2250" xr:uid="{DA5C5148-C482-4A54-8981-5337EDBB3DB9}"/>
    <cellStyle name="40% - Accent4 2 4" xfId="1909" xr:uid="{D7A150EB-D1B0-471C-B79F-75694CBE74A1}"/>
    <cellStyle name="40% - Accent4 20" xfId="1624" xr:uid="{117D5526-8917-41F3-945A-DF3DEC3C51D2}"/>
    <cellStyle name="40% - Accent4 21" xfId="1669" xr:uid="{FA9EB07C-33BC-4037-864C-DE95C2CB56FB}"/>
    <cellStyle name="40% - Accent4 22" xfId="1840" xr:uid="{A890A87F-3D48-4B00-9F57-8ED8307BBE8F}"/>
    <cellStyle name="40% - Accent4 23" xfId="1369" xr:uid="{36A89666-6A92-43DC-B991-58CF9B741EE1}"/>
    <cellStyle name="40% - Accent4 3" xfId="800" xr:uid="{D67E4E1D-798F-461D-B106-FEED91AA8A77}"/>
    <cellStyle name="40% - Accent4 3 2" xfId="2162" xr:uid="{1CEC71BC-E6A6-4ED6-9689-78344062FB47}"/>
    <cellStyle name="40% - Accent4 3 2 2" xfId="2498" xr:uid="{004284D2-3241-47D0-850A-9D694B9E1BAD}"/>
    <cellStyle name="40% - Accent4 3 3" xfId="2263" xr:uid="{41F0F66B-8879-4F86-9402-C5D124FE094B}"/>
    <cellStyle name="40% - Accent4 3 4" xfId="1923" xr:uid="{402037AF-D77F-4A1B-B194-D7A31B299FC3}"/>
    <cellStyle name="40% - Accent4 4" xfId="801" xr:uid="{BB36E232-4826-430B-96B7-D6EE1A1DAC8F}"/>
    <cellStyle name="40% - Accent4 4 2" xfId="2163" xr:uid="{58B1BA3F-A13F-4DC1-A266-17855A38B8F9}"/>
    <cellStyle name="40% - Accent4 4 2 2" xfId="2499" xr:uid="{FD1C0192-6774-4A0D-B95D-8D81CBA9CB14}"/>
    <cellStyle name="40% - Accent4 4 3" xfId="2276" xr:uid="{69341367-614B-4143-9873-37929CFE2FF1}"/>
    <cellStyle name="40% - Accent4 4 4" xfId="1936" xr:uid="{1FF6E693-C4AA-4F9B-9DF9-7AE1F52DA717}"/>
    <cellStyle name="40% - Accent4 5" xfId="802" xr:uid="{6A8911E1-FB70-40C6-A111-F57A6FD8AF29}"/>
    <cellStyle name="40% - Accent4 5 2" xfId="2164" xr:uid="{A10FC3A7-91ED-47C0-8D0B-E406A3598D99}"/>
    <cellStyle name="40% - Accent4 5 2 2" xfId="2500" xr:uid="{B479DA49-9DF8-4F0C-975C-00F79EFEA3E1}"/>
    <cellStyle name="40% - Accent4 5 3" xfId="2289" xr:uid="{79406D22-15C2-4BCE-984C-088153C32F61}"/>
    <cellStyle name="40% - Accent4 5 4" xfId="1950" xr:uid="{B583D8DE-4890-4597-8373-6DE016E0F4BF}"/>
    <cellStyle name="40% - Accent4 6" xfId="803" xr:uid="{227BDFA6-1F10-4D93-9D55-C45CF8BE51D3}"/>
    <cellStyle name="40% - Accent4 6 2" xfId="2165" xr:uid="{80E66822-58EC-4B84-9ADC-8FDE6704BA94}"/>
    <cellStyle name="40% - Accent4 6 2 2" xfId="2501" xr:uid="{8FFFCB17-6980-454D-B9D9-73703A1AF035}"/>
    <cellStyle name="40% - Accent4 6 3" xfId="2302" xr:uid="{1FD9FD4C-54BA-4C05-9A6F-4065D0D0DEB9}"/>
    <cellStyle name="40% - Accent4 6 4" xfId="1963" xr:uid="{DB182849-3673-439D-8346-31952F333B1D}"/>
    <cellStyle name="40% - Accent4 7" xfId="804" xr:uid="{952CF5A2-823C-4946-8DE4-7332499CA94E}"/>
    <cellStyle name="40% - Accent4 7 2" xfId="2166" xr:uid="{1D04F1E5-49D1-4033-A55E-3ACB00BFBCA7}"/>
    <cellStyle name="40% - Accent4 7 2 2" xfId="2502" xr:uid="{E5C651CF-B2F4-4A37-92AA-D5E9A2C582BC}"/>
    <cellStyle name="40% - Accent4 7 3" xfId="2315" xr:uid="{0B386787-1BFB-49DC-ACE8-461E7A80C5E2}"/>
    <cellStyle name="40% - Accent4 7 4" xfId="1976" xr:uid="{AFC7C843-044A-4AD2-A531-9DC09B6A14D7}"/>
    <cellStyle name="40% - Accent4 8" xfId="805" xr:uid="{D1E977C1-F7A4-43C3-977F-435C692F497F}"/>
    <cellStyle name="40% - Accent4 8 2" xfId="2167" xr:uid="{FD6EDAD9-F427-49EF-BFEC-2AA012B86F09}"/>
    <cellStyle name="40% - Accent4 8 2 2" xfId="2503" xr:uid="{16FC1934-4798-4BCF-A24A-ECBBB6594CA1}"/>
    <cellStyle name="40% - Accent4 8 3" xfId="2328" xr:uid="{B8D1681F-C55F-40F2-9FFF-F60D2A498617}"/>
    <cellStyle name="40% - Accent4 8 4" xfId="1989" xr:uid="{84051BAB-5ACC-49F6-8490-6F78C624A283}"/>
    <cellStyle name="40% - Accent4 9" xfId="806" xr:uid="{F2663564-6CA5-4762-AB87-0131CA6F792B}"/>
    <cellStyle name="40% - Accent4 9 2" xfId="2168" xr:uid="{42911D46-4CD1-475E-8484-3D5DF0B52F6F}"/>
    <cellStyle name="40% - Accent4 9 2 2" xfId="2504" xr:uid="{CDC18477-775A-40CB-AAA5-CFF981A55F69}"/>
    <cellStyle name="40% - Accent4 9 3" xfId="2341" xr:uid="{B95978FF-4E69-4B6D-87BC-F4F510FA5626}"/>
    <cellStyle name="40% - Accent4 9 4" xfId="2002" xr:uid="{1E488000-8816-44BB-A1E4-2B4E9A72FFE0}"/>
    <cellStyle name="40% - Accent5 10" xfId="807" xr:uid="{F037B49A-C430-4204-A51F-5EEE0F916717}"/>
    <cellStyle name="40% - Accent5 10 2" xfId="2170" xr:uid="{553E2A6E-CB83-44F5-8625-47136A48987E}"/>
    <cellStyle name="40% - Accent5 10 2 2" xfId="2506" xr:uid="{02FA182C-457B-4080-95B9-A46DAA2F8595}"/>
    <cellStyle name="40% - Accent5 10 3" xfId="2355" xr:uid="{70F9EBEF-D9C7-4984-A41C-A871CFCDE5C0}"/>
    <cellStyle name="40% - Accent5 10 4" xfId="2016" xr:uid="{79C12861-C8C5-47E9-9DCB-114C66B01E5E}"/>
    <cellStyle name="40% - Accent5 11" xfId="808" xr:uid="{C7F1C57E-15AF-4D58-86BF-87FFAFCF94FA}"/>
    <cellStyle name="40% - Accent5 11 2" xfId="2171" xr:uid="{6F5870B5-368A-416C-AF2C-87A8C3A78FDB}"/>
    <cellStyle name="40% - Accent5 11 2 2" xfId="2507" xr:uid="{8CD1BCF4-FCC3-446E-8A39-B00ECE6B8C6D}"/>
    <cellStyle name="40% - Accent5 11 3" xfId="2368" xr:uid="{71A49370-35D1-45D8-B00B-584906D93606}"/>
    <cellStyle name="40% - Accent5 11 4" xfId="2030" xr:uid="{F559065E-3AF2-4B0A-B223-31E1BA495FA0}"/>
    <cellStyle name="40% - Accent5 12" xfId="1397" xr:uid="{6627485E-EE9B-4F4F-8EC1-FF48B4B3F658}"/>
    <cellStyle name="40% - Accent5 12 2" xfId="1515" xr:uid="{74D21B67-A26A-4F31-9CD9-667DF9A6A565}"/>
    <cellStyle name="40% - Accent5 12 2 2" xfId="1736" xr:uid="{962CD876-9B9A-41D1-9793-74AE7BEFF15F}"/>
    <cellStyle name="40% - Accent5 12 2 2 2" xfId="2508" xr:uid="{036284C2-3847-48F9-8C75-8EFB67F217A3}"/>
    <cellStyle name="40% - Accent5 12 2 2 2 2" xfId="3276" xr:uid="{96A72487-EAB5-4692-BD47-819EDE77205C}"/>
    <cellStyle name="40% - Accent5 12 2 2 3" xfId="3056" xr:uid="{48A4AF0D-C11D-43F5-A8D6-633C2DC7B036}"/>
    <cellStyle name="40% - Accent5 12 2 3" xfId="2172" xr:uid="{D6D0D9A5-7146-453F-B5E9-05ACE280BBBB}"/>
    <cellStyle name="40% - Accent5 12 2 3 2" xfId="3277" xr:uid="{FDED70A1-A77C-4155-93A8-55FA724FEBE0}"/>
    <cellStyle name="40% - Accent5 12 2 4" xfId="2920" xr:uid="{D2FD50F5-9830-4227-A345-12EF08AEA7D0}"/>
    <cellStyle name="40% - Accent5 12 3" xfId="1689" xr:uid="{B01D5AC4-13E2-4293-8F55-5021FC998ABB}"/>
    <cellStyle name="40% - Accent5 12 3 2" xfId="2381" xr:uid="{64DEC262-E134-4D23-AD12-FCA1729032A0}"/>
    <cellStyle name="40% - Accent5 12 3 2 2" xfId="3278" xr:uid="{82EA568D-2ADB-4D21-98CB-53D67C265809}"/>
    <cellStyle name="40% - Accent5 12 3 3" xfId="3010" xr:uid="{0F39EAF1-2A7B-4210-8486-490340508738}"/>
    <cellStyle name="40% - Accent5 12 4" xfId="2044" xr:uid="{4550B31F-0723-4955-8615-580B5999FAF8}"/>
    <cellStyle name="40% - Accent5 12 4 2" xfId="3279" xr:uid="{24536A42-B031-4702-93EB-93DB120F074A}"/>
    <cellStyle name="40% - Accent5 12 5" xfId="2875" xr:uid="{D7567E11-A460-4C90-BD95-C656C6009C2F}"/>
    <cellStyle name="40% - Accent5 13" xfId="1441" xr:uid="{72342D15-5D81-4170-B291-0113B7A0B9F1}"/>
    <cellStyle name="40% - Accent5 13 2" xfId="1529" xr:uid="{44BBEF01-C8D6-46EE-AEF3-FC796BD0A91D}"/>
    <cellStyle name="40% - Accent5 13 2 2" xfId="1750" xr:uid="{657A169D-5E13-4DCC-8FDE-365B75A26583}"/>
    <cellStyle name="40% - Accent5 13 2 2 2" xfId="3280" xr:uid="{9A588136-C923-450F-BD01-1DA35B389463}"/>
    <cellStyle name="40% - Accent5 13 2 2 3" xfId="3070" xr:uid="{785EDF8E-D72A-4945-9F73-A462F06801BC}"/>
    <cellStyle name="40% - Accent5 13 2 3" xfId="2505" xr:uid="{ED5AA2A4-D308-4C70-88C6-6E4D5336E62A}"/>
    <cellStyle name="40% - Accent5 13 2 3 2" xfId="3281" xr:uid="{782A2121-B539-40FF-905B-FD8AAD9F9EE7}"/>
    <cellStyle name="40% - Accent5 13 2 4" xfId="2934" xr:uid="{83AF8A74-488A-452A-9358-993D3F3F60F2}"/>
    <cellStyle name="40% - Accent5 13 3" xfId="1703" xr:uid="{9E1EEB08-84F4-4B9B-96BA-7237A0CF60C2}"/>
    <cellStyle name="40% - Accent5 13 3 2" xfId="3282" xr:uid="{C9528AA5-F44A-4C9A-BE10-597E66A2C025}"/>
    <cellStyle name="40% - Accent5 13 3 3" xfId="3024" xr:uid="{087BBE84-146C-4D82-950E-BA2E94B8AE1C}"/>
    <cellStyle name="40% - Accent5 13 4" xfId="2169" xr:uid="{51B3D62A-53AF-48DD-B60E-255BFFE3E81E}"/>
    <cellStyle name="40% - Accent5 13 4 2" xfId="3283" xr:uid="{D80F197E-6C2C-49D4-8B4E-385891773115}"/>
    <cellStyle name="40% - Accent5 13 5" xfId="2889" xr:uid="{85059DE4-07F8-4DAB-A0B6-445B2C0DE1E9}"/>
    <cellStyle name="40% - Accent5 14" xfId="1499" xr:uid="{B9EE3518-7DBE-4275-B80E-4C2953CAAE3E}"/>
    <cellStyle name="40% - Accent5 14 2" xfId="2237" xr:uid="{690135FA-2915-4B54-BD09-9E63918DD467}"/>
    <cellStyle name="40% - Accent5 15" xfId="1459" xr:uid="{D15457A5-CFCC-4A29-AA1C-248766903520}"/>
    <cellStyle name="40% - Accent5 15 2" xfId="1722" xr:uid="{61BDBEAE-C5B5-4759-B61B-085A5855F71E}"/>
    <cellStyle name="40% - Accent5 15 2 2" xfId="3284" xr:uid="{DFA07EAD-E6E3-4694-8512-BA2DAF419501}"/>
    <cellStyle name="40% - Accent5 15 2 3" xfId="3043" xr:uid="{205EDCB1-3A7A-41BB-9291-A65CAB82814E}"/>
    <cellStyle name="40% - Accent5 15 3" xfId="2581" xr:uid="{DA2C6A89-ADD7-4C7C-A2BF-1282324FDD76}"/>
    <cellStyle name="40% - Accent5 15 3 2" xfId="3285" xr:uid="{2434F094-C26E-4CF6-A27C-1FC35AF683B0}"/>
    <cellStyle name="40% - Accent5 15 4" xfId="2907" xr:uid="{7D6CD5D0-4B8B-4A1E-903F-E71D29F8DDF1}"/>
    <cellStyle name="40% - Accent5 16" xfId="1543" xr:uid="{FAD6D03F-96FB-4E7E-87A5-5207A48047F9}"/>
    <cellStyle name="40% - Accent5 16 2" xfId="1764" xr:uid="{68A5E2F2-3EEE-4956-AE7B-19C82CD1B164}"/>
    <cellStyle name="40% - Accent5 16 2 2" xfId="3286" xr:uid="{94E28365-B957-49B8-84FB-92B9CDFD21CE}"/>
    <cellStyle name="40% - Accent5 16 2 3" xfId="3084" xr:uid="{A0C5FBE4-36C1-448B-A636-074F763F321B}"/>
    <cellStyle name="40% - Accent5 16 3" xfId="3287" xr:uid="{C2685B54-D418-4172-9879-87C49BFEA0A8}"/>
    <cellStyle name="40% - Accent5 16 4" xfId="2947" xr:uid="{16C7436B-FEAC-4F53-9704-1B9F7A341DBF}"/>
    <cellStyle name="40% - Accent5 17" xfId="1560" xr:uid="{2F583955-1700-4144-A2FB-8D4CDA03096D}"/>
    <cellStyle name="40% - Accent5 17 2" xfId="1777" xr:uid="{E44BF9D5-B630-4DCC-9BB2-2DC94D76FED6}"/>
    <cellStyle name="40% - Accent5 17 2 2" xfId="3288" xr:uid="{31592BEB-DB3B-4188-8DB4-DE3064459BCD}"/>
    <cellStyle name="40% - Accent5 17 2 3" xfId="3097" xr:uid="{BAA729D1-6EDA-42AC-BB77-C78FBBF1F9C7}"/>
    <cellStyle name="40% - Accent5 17 3" xfId="3289" xr:uid="{7D644E4C-0F27-479B-9665-210A717B5693}"/>
    <cellStyle name="40% - Accent5 17 4" xfId="2960" xr:uid="{2CD881B7-7FAE-487A-B1F9-B48F6762BAA1}"/>
    <cellStyle name="40% - Accent5 18" xfId="1582" xr:uid="{6BDE071B-22BD-45F6-85EC-5C50F31E7265}"/>
    <cellStyle name="40% - Accent5 18 2" xfId="1797" xr:uid="{69F412A5-3B48-40B8-A504-3C20A5FA7A0B}"/>
    <cellStyle name="40% - Accent5 18 2 2" xfId="3290" xr:uid="{06594C83-3843-498B-A866-3DB235724815}"/>
    <cellStyle name="40% - Accent5 18 2 3" xfId="3116" xr:uid="{9C2417D0-97E5-4CF3-B85D-B81D0536ED82}"/>
    <cellStyle name="40% - Accent5 18 3" xfId="2725" xr:uid="{AE47A660-19F5-4816-9FF2-824A90337834}"/>
    <cellStyle name="40% - Accent5 19" xfId="1603" xr:uid="{9C78A468-EBD7-4F5A-817D-78EEC841CA9D}"/>
    <cellStyle name="40% - Accent5 19 2" xfId="1817" xr:uid="{FF1340AF-22AB-46DD-A59E-1836438D72A8}"/>
    <cellStyle name="40% - Accent5 19 3" xfId="2751" xr:uid="{6EF4DC99-A18F-4601-BE51-0B0122F14404}"/>
    <cellStyle name="40% - Accent5 2" xfId="809" xr:uid="{223D81CC-8D4D-45D2-9D03-3DCE50A01ECD}"/>
    <cellStyle name="40% - Accent5 2 2" xfId="2173" xr:uid="{1C58233D-AD4D-4D32-8F21-392595A0F412}"/>
    <cellStyle name="40% - Accent5 2 2 2" xfId="2509" xr:uid="{3AEBE8DD-DFF6-430D-A623-E6326E28E1A5}"/>
    <cellStyle name="40% - Accent5 2 3" xfId="2251" xr:uid="{2ECC6FB5-AB16-4C93-BAF3-D57D3F4F5031}"/>
    <cellStyle name="40% - Accent5 2 4" xfId="1910" xr:uid="{69584A5B-90F0-4F30-A9C1-E39CF27455EE}"/>
    <cellStyle name="40% - Accent5 20" xfId="1625" xr:uid="{A713795A-7F43-4312-A034-7101FA511C75}"/>
    <cellStyle name="40% - Accent5 21" xfId="1673" xr:uid="{FCF26575-EF50-4AA7-BEC0-00693A4BDFDC}"/>
    <cellStyle name="40% - Accent5 22" xfId="1843" xr:uid="{C824D564-A469-4934-8182-E05D9F7C7573}"/>
    <cellStyle name="40% - Accent5 23" xfId="1373" xr:uid="{8CF21D7C-29A9-4227-B995-D70996A654D1}"/>
    <cellStyle name="40% - Accent5 3" xfId="810" xr:uid="{8F3D4270-47C3-4973-B451-EDA67E9F3454}"/>
    <cellStyle name="40% - Accent5 3 2" xfId="2174" xr:uid="{82AD54F7-FDDD-40CD-9F26-C3C03799899B}"/>
    <cellStyle name="40% - Accent5 3 2 2" xfId="2510" xr:uid="{4076DFDD-BEF4-4C0F-829B-2EECB152B621}"/>
    <cellStyle name="40% - Accent5 3 3" xfId="2264" xr:uid="{3B6E9FC2-0670-4CE2-BED9-5CEEC30F6F31}"/>
    <cellStyle name="40% - Accent5 3 4" xfId="1924" xr:uid="{761E4258-493F-433C-AD9C-674446F79598}"/>
    <cellStyle name="40% - Accent5 4" xfId="811" xr:uid="{8D1961B2-EF02-45AA-B985-CB0D74536C2E}"/>
    <cellStyle name="40% - Accent5 4 2" xfId="2175" xr:uid="{34ED97C3-8298-438D-BD54-065224C5C237}"/>
    <cellStyle name="40% - Accent5 4 2 2" xfId="2511" xr:uid="{2696F029-B40E-416A-8665-9F2192494B0E}"/>
    <cellStyle name="40% - Accent5 4 3" xfId="2277" xr:uid="{58A42386-F303-4223-889F-910251943BFD}"/>
    <cellStyle name="40% - Accent5 4 4" xfId="1937" xr:uid="{846F9FE1-EB7C-4A22-8882-8FC4447A8663}"/>
    <cellStyle name="40% - Accent5 5" xfId="812" xr:uid="{97FB123B-D1BD-4E34-AD31-12E4C26DD94A}"/>
    <cellStyle name="40% - Accent5 5 2" xfId="2176" xr:uid="{C79C6FF4-777E-4062-AD48-B4121BBCD7E8}"/>
    <cellStyle name="40% - Accent5 5 2 2" xfId="2512" xr:uid="{D231BDD8-DF4E-46B2-9063-834115A0501C}"/>
    <cellStyle name="40% - Accent5 5 3" xfId="2290" xr:uid="{FC106431-F093-473F-B328-7ECE3ACC06A3}"/>
    <cellStyle name="40% - Accent5 5 4" xfId="1951" xr:uid="{33F94D63-32B1-45F3-AD95-AB31D565A10C}"/>
    <cellStyle name="40% - Accent5 6" xfId="813" xr:uid="{77E2367E-2BC3-41E5-ABEE-04C7C79D2606}"/>
    <cellStyle name="40% - Accent5 6 2" xfId="2177" xr:uid="{01BB2C33-834E-4B84-8559-0A052F456F1D}"/>
    <cellStyle name="40% - Accent5 6 2 2" xfId="2513" xr:uid="{45BC58D2-EEA3-4B69-BE6A-BAAF0F1607F9}"/>
    <cellStyle name="40% - Accent5 6 3" xfId="2303" xr:uid="{0EE8155B-DC59-4B67-A21E-0208E40B4954}"/>
    <cellStyle name="40% - Accent5 6 4" xfId="1964" xr:uid="{21F7B52F-04CD-4F6C-A6A7-0F22ACB87C95}"/>
    <cellStyle name="40% - Accent5 7" xfId="814" xr:uid="{92AD6033-8041-4698-BFF5-3248CC2274C1}"/>
    <cellStyle name="40% - Accent5 7 2" xfId="2178" xr:uid="{0A85C23F-C1FE-4DCB-B75C-4E89827CA79D}"/>
    <cellStyle name="40% - Accent5 7 2 2" xfId="2514" xr:uid="{02C8A5A9-78EB-4D58-B35C-5900A9F6FA65}"/>
    <cellStyle name="40% - Accent5 7 3" xfId="2316" xr:uid="{5CBF0C66-9839-44CD-918B-3CA76EE24DF0}"/>
    <cellStyle name="40% - Accent5 7 4" xfId="1977" xr:uid="{7E154171-DB11-431E-ADE6-50616E7C5240}"/>
    <cellStyle name="40% - Accent5 8" xfId="815" xr:uid="{030CA659-08C0-446B-AD52-4142F40A740A}"/>
    <cellStyle name="40% - Accent5 8 2" xfId="2179" xr:uid="{B0F0118A-10E0-446E-8021-39D1AE41CD1F}"/>
    <cellStyle name="40% - Accent5 8 2 2" xfId="2515" xr:uid="{D0367A5A-1DD6-476E-8625-3E3E4B90E4B0}"/>
    <cellStyle name="40% - Accent5 8 3" xfId="2329" xr:uid="{0B436F34-DEDC-4D24-9B1C-A7F2FC91331B}"/>
    <cellStyle name="40% - Accent5 8 4" xfId="1990" xr:uid="{827887FC-1B3E-453A-AAF5-8E8B029D1E4F}"/>
    <cellStyle name="40% - Accent5 9" xfId="816" xr:uid="{2FDA57CA-1539-4909-9F4C-E5D9D83049F9}"/>
    <cellStyle name="40% - Accent5 9 2" xfId="2180" xr:uid="{ACF37AA6-500C-4F59-9CE3-A81BC17F209A}"/>
    <cellStyle name="40% - Accent5 9 2 2" xfId="2516" xr:uid="{2A9C8052-0B10-4CD4-8208-500DCDA04C61}"/>
    <cellStyle name="40% - Accent5 9 3" xfId="2342" xr:uid="{938F44DF-7C3A-4B64-9E13-60064E594FC3}"/>
    <cellStyle name="40% - Accent5 9 4" xfId="2003" xr:uid="{6DCE57B5-6AC6-4EF3-80EA-EC4C9203913D}"/>
    <cellStyle name="40% - Accent6 10" xfId="817" xr:uid="{D54617FE-3E9E-4A95-88D9-29E3DEA4310D}"/>
    <cellStyle name="40% - Accent6 10 2" xfId="2182" xr:uid="{84BB3421-6844-483B-897A-155F39545DB2}"/>
    <cellStyle name="40% - Accent6 10 2 2" xfId="2518" xr:uid="{6A55BD0C-3BA8-4A9D-85D1-911DB86A0D9D}"/>
    <cellStyle name="40% - Accent6 10 3" xfId="2356" xr:uid="{A5A4B92D-F9FF-4825-B173-CCE6C5C456F8}"/>
    <cellStyle name="40% - Accent6 10 4" xfId="2017" xr:uid="{F296D36D-18CA-4BAA-A5BF-67CF6DA1DEE5}"/>
    <cellStyle name="40% - Accent6 11" xfId="818" xr:uid="{E6E9DE9D-95C5-4C7A-B8E5-63D16F0366F6}"/>
    <cellStyle name="40% - Accent6 11 2" xfId="2183" xr:uid="{FB58F02F-3871-4C66-AEE3-D6F5C3FC07D2}"/>
    <cellStyle name="40% - Accent6 11 2 2" xfId="2519" xr:uid="{0AFE4BFB-62FB-4760-B31F-A92A69052A48}"/>
    <cellStyle name="40% - Accent6 11 3" xfId="2369" xr:uid="{C87F053F-D011-4E0B-897A-C489E85994C3}"/>
    <cellStyle name="40% - Accent6 11 4" xfId="2031" xr:uid="{230C7DD4-24D3-4F2E-8C38-1419FF1E188C}"/>
    <cellStyle name="40% - Accent6 12" xfId="1398" xr:uid="{56427984-5A10-48F0-8CB8-77CB7BFD89C0}"/>
    <cellStyle name="40% - Accent6 12 2" xfId="1516" xr:uid="{B2CB767A-DDE6-43DB-B0E2-B53BE8E74B21}"/>
    <cellStyle name="40% - Accent6 12 2 2" xfId="1737" xr:uid="{00A6D372-3E00-465E-BD6E-2E5C772B4D80}"/>
    <cellStyle name="40% - Accent6 12 2 2 2" xfId="2520" xr:uid="{9629ED86-B99A-4335-A3F3-A4151DE40D1B}"/>
    <cellStyle name="40% - Accent6 12 2 2 2 2" xfId="3291" xr:uid="{D28E934B-A322-457A-AE50-3830129D9C91}"/>
    <cellStyle name="40% - Accent6 12 2 2 3" xfId="3057" xr:uid="{C4373221-4844-4F3C-8D7B-0D7747D33A81}"/>
    <cellStyle name="40% - Accent6 12 2 3" xfId="2184" xr:uid="{3667DD60-5747-4A57-9B18-A3F2ED418CEE}"/>
    <cellStyle name="40% - Accent6 12 2 3 2" xfId="3292" xr:uid="{ED3108FA-98B1-4A6E-8A68-69E515729D87}"/>
    <cellStyle name="40% - Accent6 12 2 4" xfId="2921" xr:uid="{C0B194AE-EC3C-4A70-8574-C4858BF79210}"/>
    <cellStyle name="40% - Accent6 12 3" xfId="1690" xr:uid="{D811B176-CECE-4194-A2FF-D67CE1BEDC0C}"/>
    <cellStyle name="40% - Accent6 12 3 2" xfId="2382" xr:uid="{1B5DE63F-5723-4A22-AEE4-EDF0A5F08F17}"/>
    <cellStyle name="40% - Accent6 12 3 2 2" xfId="3293" xr:uid="{FF66DF92-3D67-46DF-8F05-BA1880BCD813}"/>
    <cellStyle name="40% - Accent6 12 3 3" xfId="3011" xr:uid="{08C909BD-FD3D-4749-8893-BC1A0C597F9C}"/>
    <cellStyle name="40% - Accent6 12 4" xfId="2045" xr:uid="{DF541EBB-0439-497F-B9F5-AA1D64D5A81A}"/>
    <cellStyle name="40% - Accent6 12 4 2" xfId="3294" xr:uid="{A3D28370-817D-4ADD-8F3B-DAE3BB79E530}"/>
    <cellStyle name="40% - Accent6 12 5" xfId="2876" xr:uid="{0B282DD2-D02E-4131-9845-45C781AA8C04}"/>
    <cellStyle name="40% - Accent6 13" xfId="1442" xr:uid="{DFAA811C-52CE-4740-9B61-37E0CAAAD982}"/>
    <cellStyle name="40% - Accent6 13 2" xfId="1530" xr:uid="{E1472488-03DD-49A1-9EB2-DF27A86D4BD8}"/>
    <cellStyle name="40% - Accent6 13 2 2" xfId="1751" xr:uid="{E1482803-D768-4053-8A74-EC9254AD9054}"/>
    <cellStyle name="40% - Accent6 13 2 2 2" xfId="3295" xr:uid="{40E15493-FC95-426D-884E-598E136291D7}"/>
    <cellStyle name="40% - Accent6 13 2 2 3" xfId="3071" xr:uid="{42499065-C64F-44E0-80D8-3A3AAF9A38A9}"/>
    <cellStyle name="40% - Accent6 13 2 3" xfId="2517" xr:uid="{ADD3B6DB-84B8-4290-9029-E044E59A8B96}"/>
    <cellStyle name="40% - Accent6 13 2 3 2" xfId="3296" xr:uid="{401EF4E4-E49B-4AD7-B6B6-C940738E7B36}"/>
    <cellStyle name="40% - Accent6 13 2 4" xfId="2935" xr:uid="{F2041A1C-3B56-4C64-A726-11FBE708DADF}"/>
    <cellStyle name="40% - Accent6 13 3" xfId="1704" xr:uid="{25DC198F-9FEF-4184-BD6B-589F515A1F0B}"/>
    <cellStyle name="40% - Accent6 13 3 2" xfId="3297" xr:uid="{4D14C395-832B-4686-A9D3-BB74CD91B646}"/>
    <cellStyle name="40% - Accent6 13 3 3" xfId="3025" xr:uid="{AFD51578-54CE-4C46-A294-5478EEABC0E0}"/>
    <cellStyle name="40% - Accent6 13 4" xfId="2181" xr:uid="{A0E6762F-7ADE-4F62-B1F0-036AFB564424}"/>
    <cellStyle name="40% - Accent6 13 4 2" xfId="3298" xr:uid="{5C6CCD0D-E26B-4EE4-9A3B-09CB041F1ECB}"/>
    <cellStyle name="40% - Accent6 13 5" xfId="2890" xr:uid="{AEEDC8EF-FF75-41BE-952B-A62C3D464DA1}"/>
    <cellStyle name="40% - Accent6 14" xfId="1503" xr:uid="{383917AB-98C9-4FD9-8267-BCD89089D470}"/>
    <cellStyle name="40% - Accent6 14 2" xfId="2239" xr:uid="{03DFE147-A1B7-418A-90F7-37432F3C9658}"/>
    <cellStyle name="40% - Accent6 15" xfId="1460" xr:uid="{D0D30CD8-74F2-47BB-9EC7-4C6C0502E18B}"/>
    <cellStyle name="40% - Accent6 15 2" xfId="1723" xr:uid="{1F3618BD-4F38-47DC-8BB2-849FBBC44B3B}"/>
    <cellStyle name="40% - Accent6 15 2 2" xfId="3299" xr:uid="{0E31C653-6227-41FD-B82E-72C74DB5CE5D}"/>
    <cellStyle name="40% - Accent6 15 2 3" xfId="3044" xr:uid="{9E2F1099-0FE7-4161-891B-B9783BA0BCBF}"/>
    <cellStyle name="40% - Accent6 15 3" xfId="2582" xr:uid="{F6ADD777-DFEF-4580-A513-4B2307874890}"/>
    <cellStyle name="40% - Accent6 15 3 2" xfId="3300" xr:uid="{221D712C-FED8-4F7C-8135-E77616835213}"/>
    <cellStyle name="40% - Accent6 15 4" xfId="2908" xr:uid="{3E04B20D-197C-4BEA-94DF-1E5BE99E01B0}"/>
    <cellStyle name="40% - Accent6 16" xfId="1544" xr:uid="{6105829F-B845-4164-AE79-CCE40B34AD24}"/>
    <cellStyle name="40% - Accent6 16 2" xfId="1765" xr:uid="{6CB9D0BC-3861-482B-9FD9-6C5BA60A2DDF}"/>
    <cellStyle name="40% - Accent6 16 2 2" xfId="3301" xr:uid="{A1C5366A-AAA6-4249-8F7C-B88352B1A560}"/>
    <cellStyle name="40% - Accent6 16 2 3" xfId="3085" xr:uid="{3BEF42D9-0D94-45CC-B4D0-712949149E8C}"/>
    <cellStyle name="40% - Accent6 16 3" xfId="3302" xr:uid="{9CBDB728-04EA-4AB1-9522-66C4B71097A7}"/>
    <cellStyle name="40% - Accent6 16 4" xfId="2948" xr:uid="{061888E7-A879-4AA2-B06C-6AAF3C916E1C}"/>
    <cellStyle name="40% - Accent6 17" xfId="1561" xr:uid="{DDFAB0C7-04AF-4BF3-8EB9-940A29D063ED}"/>
    <cellStyle name="40% - Accent6 17 2" xfId="1778" xr:uid="{28F9FF49-9C3B-4CDA-9799-36A89EBC2C4B}"/>
    <cellStyle name="40% - Accent6 17 2 2" xfId="3303" xr:uid="{71E5D0E6-EA55-4C30-9ED9-071323A2F5C5}"/>
    <cellStyle name="40% - Accent6 17 2 3" xfId="3098" xr:uid="{AB96A472-51D6-4FFA-9C61-AEA0C63C5C6F}"/>
    <cellStyle name="40% - Accent6 17 3" xfId="3304" xr:uid="{F1157BFA-9C8C-4B02-886E-18D5239F652C}"/>
    <cellStyle name="40% - Accent6 17 4" xfId="2961" xr:uid="{DAB96EC6-B8C3-4824-9922-55437E2CACA4}"/>
    <cellStyle name="40% - Accent6 18" xfId="1583" xr:uid="{14318DB1-81F4-49D0-801B-432EF16164F1}"/>
    <cellStyle name="40% - Accent6 18 2" xfId="1798" xr:uid="{99E0B17C-0A7C-40B9-B0E8-668B594E5476}"/>
    <cellStyle name="40% - Accent6 18 2 2" xfId="3305" xr:uid="{B2CD7CE7-F49A-496C-812F-33CFD345E940}"/>
    <cellStyle name="40% - Accent6 18 2 3" xfId="3117" xr:uid="{606B4121-4032-447A-9554-36103322EE7C}"/>
    <cellStyle name="40% - Accent6 18 3" xfId="2709" xr:uid="{9E90A387-3610-4065-BBAB-227C4AD410B0}"/>
    <cellStyle name="40% - Accent6 19" xfId="1604" xr:uid="{1BEEB72F-8A4D-4B9E-AF23-838D06B496D0}"/>
    <cellStyle name="40% - Accent6 19 2" xfId="1818" xr:uid="{8E511A5A-01DE-44D9-90FF-47B4C4E9D5F4}"/>
    <cellStyle name="40% - Accent6 19 3" xfId="2723" xr:uid="{3F587379-4BF6-4DB9-A68B-AEE24E2AC00D}"/>
    <cellStyle name="40% - Accent6 2" xfId="819" xr:uid="{0603F635-9380-4737-B6AF-DB60D0EA3BF4}"/>
    <cellStyle name="40% - Accent6 2 2" xfId="2185" xr:uid="{434661A6-E8EB-4770-BE45-83E250C080DF}"/>
    <cellStyle name="40% - Accent6 2 2 2" xfId="2521" xr:uid="{99B38B52-102D-4EB0-A3FC-D66E4BC09DCF}"/>
    <cellStyle name="40% - Accent6 2 3" xfId="2252" xr:uid="{15E03D22-BB9F-4F15-9569-3D35E2450542}"/>
    <cellStyle name="40% - Accent6 2 4" xfId="1911" xr:uid="{F29B6825-DD90-476B-900E-8C1B1012FF7F}"/>
    <cellStyle name="40% - Accent6 20" xfId="1626" xr:uid="{8A964261-69CE-4531-8C02-00EBF1C7E914}"/>
    <cellStyle name="40% - Accent6 21" xfId="1677" xr:uid="{450301A1-60DF-4155-A03E-00FD85D43059}"/>
    <cellStyle name="40% - Accent6 22" xfId="1846" xr:uid="{8C510BB6-4007-4374-BA7D-3E706260B8D3}"/>
    <cellStyle name="40% - Accent6 23" xfId="1377" xr:uid="{160EE4C2-FA6F-4303-AAC3-1A2BB8ADE232}"/>
    <cellStyle name="40% - Accent6 3" xfId="820" xr:uid="{78259FFA-2A8F-407F-955E-7D537183B8D4}"/>
    <cellStyle name="40% - Accent6 3 2" xfId="2186" xr:uid="{D2F6A497-612F-4148-8181-D59CEB95A36E}"/>
    <cellStyle name="40% - Accent6 3 2 2" xfId="2522" xr:uid="{BE62323E-DD70-45F6-869F-EFD831449801}"/>
    <cellStyle name="40% - Accent6 3 3" xfId="2265" xr:uid="{8A8C3A9A-46FC-4485-AD1F-5E704EA60633}"/>
    <cellStyle name="40% - Accent6 3 4" xfId="1925" xr:uid="{C14F0C11-7178-4C70-8E09-79A6E89BC15D}"/>
    <cellStyle name="40% - Accent6 4" xfId="821" xr:uid="{CFF27202-3374-48F2-BD32-02F8BD2EC904}"/>
    <cellStyle name="40% - Accent6 4 2" xfId="2187" xr:uid="{3F1EEEE1-3725-4165-98A6-DDF887AADE10}"/>
    <cellStyle name="40% - Accent6 4 2 2" xfId="2523" xr:uid="{50FB14B1-6078-4F88-B434-98D5AC5A915E}"/>
    <cellStyle name="40% - Accent6 4 3" xfId="2278" xr:uid="{1E6317E1-9F3C-4E04-A2AE-8AF9B91880F9}"/>
    <cellStyle name="40% - Accent6 4 4" xfId="1938" xr:uid="{7B2105BD-FDFA-40B3-80CF-531275FD710C}"/>
    <cellStyle name="40% - Accent6 5" xfId="822" xr:uid="{2E26CAB1-00FB-4B4D-BEDC-2D1672F2CB4E}"/>
    <cellStyle name="40% - Accent6 5 2" xfId="2188" xr:uid="{588D2496-613D-4F98-A01C-91CE5B9DCAE2}"/>
    <cellStyle name="40% - Accent6 5 2 2" xfId="2524" xr:uid="{DA20F16A-C745-4031-9340-7BE1C2D3DB84}"/>
    <cellStyle name="40% - Accent6 5 3" xfId="2291" xr:uid="{FF801F45-F5D6-49AB-ADB1-44DB90DC5101}"/>
    <cellStyle name="40% - Accent6 5 4" xfId="1952" xr:uid="{AF8ECE47-3AC9-4A91-BD23-168BF0951007}"/>
    <cellStyle name="40% - Accent6 6" xfId="823" xr:uid="{E996CC63-DC59-4D74-902D-337CE1EA3944}"/>
    <cellStyle name="40% - Accent6 6 2" xfId="2189" xr:uid="{24B30FA3-77FD-450A-9956-0DC664F87321}"/>
    <cellStyle name="40% - Accent6 6 2 2" xfId="2525" xr:uid="{7D78E14B-F220-43CD-8E47-4A0B1B8FDB6C}"/>
    <cellStyle name="40% - Accent6 6 3" xfId="2304" xr:uid="{6342183A-9430-4A84-A6CD-9C6968A17687}"/>
    <cellStyle name="40% - Accent6 6 4" xfId="1965" xr:uid="{5805E71D-5BA6-49C9-AD40-E1B5CB7E8B0E}"/>
    <cellStyle name="40% - Accent6 7" xfId="824" xr:uid="{17E049D8-C5EB-4CBA-9ACC-58ABEBA45B5D}"/>
    <cellStyle name="40% - Accent6 7 2" xfId="2190" xr:uid="{960E8ED5-F596-47EC-965A-926FB0A95C7A}"/>
    <cellStyle name="40% - Accent6 7 2 2" xfId="2526" xr:uid="{9A727F47-59EE-48C4-8814-7C0A6F61B538}"/>
    <cellStyle name="40% - Accent6 7 3" xfId="2317" xr:uid="{B327F343-7A89-4BEE-8DFA-58237809BF9E}"/>
    <cellStyle name="40% - Accent6 7 4" xfId="1978" xr:uid="{7A3E07BE-9C29-4DAB-8905-470D22FCADA8}"/>
    <cellStyle name="40% - Accent6 8" xfId="825" xr:uid="{60341BE2-D710-40A2-A1C7-4E0002216C14}"/>
    <cellStyle name="40% - Accent6 8 2" xfId="2191" xr:uid="{F4136E07-F218-44A9-9C54-4875B02F3B26}"/>
    <cellStyle name="40% - Accent6 8 2 2" xfId="2527" xr:uid="{928E7314-A11A-4581-8CC4-508BA1B6BC06}"/>
    <cellStyle name="40% - Accent6 8 3" xfId="2330" xr:uid="{EB127C17-B97E-4F8F-B3C5-3895DEA4CAAF}"/>
    <cellStyle name="40% - Accent6 8 4" xfId="1991" xr:uid="{A0E70B3F-5659-41C3-9F00-90D033F3FBD1}"/>
    <cellStyle name="40% - Accent6 9" xfId="826" xr:uid="{EC8CCA92-66FB-473D-9840-9B1546D858B2}"/>
    <cellStyle name="40% - Accent6 9 2" xfId="2192" xr:uid="{E91264F8-715F-4251-B4CA-E739A9CE21E7}"/>
    <cellStyle name="40% - Accent6 9 2 2" xfId="2528" xr:uid="{2529D306-ADAE-4068-BEE4-8D6E3E3A0B31}"/>
    <cellStyle name="40% - Accent6 9 3" xfId="2343" xr:uid="{9F7E91E3-282B-4293-98F5-2156E22835B0}"/>
    <cellStyle name="40% - Accent6 9 4" xfId="2004" xr:uid="{25FFB478-EF33-46BA-9C49-DCE617E3146A}"/>
    <cellStyle name="60% - Accent1 10" xfId="827" xr:uid="{920BF7A3-B1DA-4E7E-8696-5B0AAE18BBD2}"/>
    <cellStyle name="60% - Accent1 11" xfId="828" xr:uid="{69BD82A7-C270-46B4-8F38-6B5A53E1C328}"/>
    <cellStyle name="60% - Accent1 12" xfId="1399" xr:uid="{C9D4F68D-5923-403C-BD5E-4FE9D15B5B38}"/>
    <cellStyle name="60% - Accent1 13" xfId="1484" xr:uid="{C884EB61-C798-43D5-B150-A7584CA09800}"/>
    <cellStyle name="60% - Accent1 14" xfId="1562" xr:uid="{AC1A03DA-FDB5-494A-9A18-FF821325279D}"/>
    <cellStyle name="60% - Accent1 14 2" xfId="1779" xr:uid="{1406BDF4-3CEF-4A6E-99EE-05C0BAD03E22}"/>
    <cellStyle name="60% - Accent1 14 2 2" xfId="3306" xr:uid="{327C894B-D9F7-4E98-9902-9F8AF9249208}"/>
    <cellStyle name="60% - Accent1 14 2 3" xfId="3099" xr:uid="{0C5D37DD-4D51-487D-AB2F-516A001C1CC2}"/>
    <cellStyle name="60% - Accent1 14 3" xfId="3307" xr:uid="{B664FDF0-43D4-43CD-81D1-94C99F9BCC7F}"/>
    <cellStyle name="60% - Accent1 14 4" xfId="2962" xr:uid="{E5D4D321-218D-4DFF-9A46-0CA83ED24E7C}"/>
    <cellStyle name="60% - Accent1 15" xfId="1584" xr:uid="{83593670-73D0-4360-A6E2-30F2A0675740}"/>
    <cellStyle name="60% - Accent1 15 2" xfId="1799" xr:uid="{FCB79FA9-BA61-4594-ADED-38C2B0113593}"/>
    <cellStyle name="60% - Accent1 15 2 2" xfId="3308" xr:uid="{3D5BA81F-B867-470D-A13C-A218DA979247}"/>
    <cellStyle name="60% - Accent1 15 2 3" xfId="3118" xr:uid="{72E843D6-5651-4F55-88E6-A20D3BD31BEC}"/>
    <cellStyle name="60% - Accent1 15 3" xfId="2642" xr:uid="{01D17150-A862-4992-BA91-D87068ED8032}"/>
    <cellStyle name="60% - Accent1 16" xfId="1605" xr:uid="{B85D63E6-D7DA-4559-989E-0B70EFC756CD}"/>
    <cellStyle name="60% - Accent1 16 2" xfId="1819" xr:uid="{7A5F7435-69ED-44A3-8CE8-60DA157C8908}"/>
    <cellStyle name="60% - Accent1 16 2 2" xfId="2630" xr:uid="{86E454C5-9755-4931-92A1-ABEF3C077354}"/>
    <cellStyle name="60% - Accent1 16 3" xfId="3309" xr:uid="{7373FAC1-38B9-4DE8-AA65-5D2492823244}"/>
    <cellStyle name="60% - Accent1 16 4" xfId="2829" xr:uid="{D8F60A33-6D9E-4795-83DC-2A4BB2E8AFE1}"/>
    <cellStyle name="60% - Accent1 17" xfId="1627" xr:uid="{373FF1CE-6EDE-44AB-9ACE-76419CA784F5}"/>
    <cellStyle name="60% - Accent1 18" xfId="1658" xr:uid="{6070A2F0-2686-4970-BE2E-0CC54AFA0A25}"/>
    <cellStyle name="60% - Accent1 19" xfId="1832" xr:uid="{77786E35-4E29-49EA-98D7-4618E0AA2ABA}"/>
    <cellStyle name="60% - Accent1 2" xfId="829" xr:uid="{BE5AC827-3EC0-4DCB-A795-0F7C5C643828}"/>
    <cellStyle name="60% - Accent1 2 2" xfId="2552" xr:uid="{B2DB261D-3DBB-4543-87FA-420BAF3640EA}"/>
    <cellStyle name="60% - Accent1 2 3" xfId="1892" xr:uid="{2E587819-D1CA-48F2-BAB0-37457733B2A9}"/>
    <cellStyle name="60% - Accent1 20" xfId="1358" xr:uid="{DE1F5A0A-A30E-4816-B2FF-0E0598E35093}"/>
    <cellStyle name="60% - Accent1 3" xfId="830" xr:uid="{063F6799-E17A-4520-B653-3BFB9A8CBEC4}"/>
    <cellStyle name="60% - Accent1 3 2" xfId="2568" xr:uid="{42FD4F54-34CC-48E0-8624-3A282564596F}"/>
    <cellStyle name="60% - Accent1 4" xfId="831" xr:uid="{2525C33C-BD10-487D-92D4-584229B54F3F}"/>
    <cellStyle name="60% - Accent1 4 2" xfId="2583" xr:uid="{6F1513CC-524E-43A7-B737-FE27416354F4}"/>
    <cellStyle name="60% - Accent1 5" xfId="832" xr:uid="{BD05A810-8144-48DA-8AF0-7D539082205F}"/>
    <cellStyle name="60% - Accent1 6" xfId="833" xr:uid="{08ACF4A1-2243-4EDE-ABA1-B84488F26BB0}"/>
    <cellStyle name="60% - Accent1 7" xfId="834" xr:uid="{E035F272-9505-4288-9AB7-A8E732C58776}"/>
    <cellStyle name="60% - Accent1 8" xfId="835" xr:uid="{65911BC5-0066-4C94-8B37-20A60C2999D1}"/>
    <cellStyle name="60% - Accent1 9" xfId="836" xr:uid="{CFA3A1F5-6DD6-492B-85E2-26CF3990737B}"/>
    <cellStyle name="60% - Accent2 10" xfId="837" xr:uid="{91D2A257-910D-4B58-8E2D-2BFD671D3868}"/>
    <cellStyle name="60% - Accent2 11" xfId="838" xr:uid="{8E16DE3F-2F9B-4569-9551-FD9919DF634F}"/>
    <cellStyle name="60% - Accent2 12" xfId="1400" xr:uid="{F003C862-2DA9-48AF-961B-E7CFCAE7B98D}"/>
    <cellStyle name="60% - Accent2 13" xfId="1488" xr:uid="{9A0DF26F-9063-4D1F-A790-DD3CBE0B9377}"/>
    <cellStyle name="60% - Accent2 14" xfId="1563" xr:uid="{E170D379-7006-4150-812E-66D72F6447EC}"/>
    <cellStyle name="60% - Accent2 14 2" xfId="1780" xr:uid="{9844953D-F4BA-4F2D-8E74-D3882C63F229}"/>
    <cellStyle name="60% - Accent2 14 2 2" xfId="3310" xr:uid="{9BFBFAC9-1E45-4A7B-82DA-95C8034DD4EB}"/>
    <cellStyle name="60% - Accent2 14 2 3" xfId="3100" xr:uid="{FC463C8A-983D-4BB7-9853-C43A13D0A2F1}"/>
    <cellStyle name="60% - Accent2 14 3" xfId="3311" xr:uid="{550DD02E-114F-41F9-9DFF-54F5DFC06888}"/>
    <cellStyle name="60% - Accent2 14 4" xfId="2963" xr:uid="{C2EA6E91-E6B9-482F-B9E6-322697BBC5B9}"/>
    <cellStyle name="60% - Accent2 15" xfId="1585" xr:uid="{3C95599C-1D87-4718-AEE6-AF728A928726}"/>
    <cellStyle name="60% - Accent2 15 2" xfId="1800" xr:uid="{9B36D100-D0A9-4C53-99E4-7338F5E11C93}"/>
    <cellStyle name="60% - Accent2 15 2 2" xfId="3312" xr:uid="{7463757E-2CF2-4513-BD0D-7E2A01E0608D}"/>
    <cellStyle name="60% - Accent2 15 2 3" xfId="3119" xr:uid="{6E2D8439-9C7B-4619-8534-64A464662394}"/>
    <cellStyle name="60% - Accent2 15 3" xfId="2612" xr:uid="{939410B9-7515-4D90-A95A-6667D299B416}"/>
    <cellStyle name="60% - Accent2 16" xfId="1606" xr:uid="{A1F79E16-2D8E-4645-B826-F809D87B6BFD}"/>
    <cellStyle name="60% - Accent2 16 2" xfId="1820" xr:uid="{3629DD8E-6DA5-43AE-98BE-E175A4180CCD}"/>
    <cellStyle name="60% - Accent2 16 3" xfId="2749" xr:uid="{851F1592-DCB5-42F6-BC4D-AA7193650FBB}"/>
    <cellStyle name="60% - Accent2 17" xfId="1628" xr:uid="{E50ACC11-94A6-4FA1-A636-ADDCA6F04C51}"/>
    <cellStyle name="60% - Accent2 18" xfId="1662" xr:uid="{9C562034-283F-4C2C-8F88-BAB7C52876CB}"/>
    <cellStyle name="60% - Accent2 19" xfId="1835" xr:uid="{7BFFF360-45CA-4A92-BB72-B121867B5758}"/>
    <cellStyle name="60% - Accent2 2" xfId="839" xr:uid="{E494C653-3A08-4BD7-BE6D-29C99971E2C5}"/>
    <cellStyle name="60% - Accent2 2 2" xfId="2559" xr:uid="{AE583964-8BD5-40BD-88AD-EB69081F8184}"/>
    <cellStyle name="60% - Accent2 2 3" xfId="1893" xr:uid="{06665D7B-57FD-4674-9C40-E8EB9055E573}"/>
    <cellStyle name="60% - Accent2 20" xfId="1362" xr:uid="{D6D95703-547D-4E2B-85AF-A935E61B5C5F}"/>
    <cellStyle name="60% - Accent2 3" xfId="840" xr:uid="{94DE1D6D-47E8-448E-8AFB-259EAC4997E9}"/>
    <cellStyle name="60% - Accent2 3 2" xfId="2564" xr:uid="{525CBC5D-CD17-4F42-AEAF-0201A3A83243}"/>
    <cellStyle name="60% - Accent2 4" xfId="841" xr:uid="{33B5591F-BAAF-4BE7-B21E-613238255341}"/>
    <cellStyle name="60% - Accent2 4 2" xfId="2584" xr:uid="{6F4BE61B-048E-466F-9A54-D28E0D4174FB}"/>
    <cellStyle name="60% - Accent2 5" xfId="842" xr:uid="{425E0C62-BAA2-42F8-881F-1856760E0E06}"/>
    <cellStyle name="60% - Accent2 6" xfId="843" xr:uid="{E0472D9B-7EA6-4D37-A72A-A9C560D03083}"/>
    <cellStyle name="60% - Accent2 7" xfId="844" xr:uid="{7DA4C99F-E7C4-4DA1-89E1-D46E6BE82B22}"/>
    <cellStyle name="60% - Accent2 8" xfId="845" xr:uid="{30C67A6A-E9F1-43F6-BD04-B4BB14CF3DFE}"/>
    <cellStyle name="60% - Accent2 9" xfId="846" xr:uid="{46F746CD-7D27-4C66-AD3B-6962742060FB}"/>
    <cellStyle name="60% - Accent3 10" xfId="847" xr:uid="{CCC44EA2-4EDD-4E9C-A609-F28AA62338D7}"/>
    <cellStyle name="60% - Accent3 11" xfId="848" xr:uid="{B08A1874-054E-4DCC-AC06-70A8500D7142}"/>
    <cellStyle name="60% - Accent3 12" xfId="1401" xr:uid="{63F8EA92-BA83-463B-A4B4-ACAB54BB57B0}"/>
    <cellStyle name="60% - Accent3 13" xfId="1492" xr:uid="{AAAE5F04-DDB9-416C-A9CB-643646F1B188}"/>
    <cellStyle name="60% - Accent3 14" xfId="1564" xr:uid="{3DD991BC-92AC-47E1-A1C3-02A1ABD1FF00}"/>
    <cellStyle name="60% - Accent3 14 2" xfId="1781" xr:uid="{98EA2CAB-3E6B-4DEF-B273-ECA084F2975C}"/>
    <cellStyle name="60% - Accent3 14 2 2" xfId="3313" xr:uid="{F054C144-13CB-4E91-831C-89BAB8BBFF46}"/>
    <cellStyle name="60% - Accent3 14 2 3" xfId="3101" xr:uid="{66B35F32-F753-4BD2-99B8-947337F5DA64}"/>
    <cellStyle name="60% - Accent3 14 3" xfId="3314" xr:uid="{54401852-BC40-4735-AC14-9A63A4CF3431}"/>
    <cellStyle name="60% - Accent3 14 4" xfId="2964" xr:uid="{3917C317-6A31-41E0-AAE4-F1C7A6E00472}"/>
    <cellStyle name="60% - Accent3 15" xfId="1586" xr:uid="{0C557BF0-814A-4AC6-97A5-E745C340DAD4}"/>
    <cellStyle name="60% - Accent3 15 2" xfId="1801" xr:uid="{F1A78C61-5313-4C5C-AE0B-E8CA7578D661}"/>
    <cellStyle name="60% - Accent3 15 2 2" xfId="3315" xr:uid="{03DDA4ED-9725-4FC7-9055-43A9AD0F3211}"/>
    <cellStyle name="60% - Accent3 15 2 3" xfId="3120" xr:uid="{A31265D7-E443-4271-BBBC-6715A0B7F4B6}"/>
    <cellStyle name="60% - Accent3 15 3" xfId="2693" xr:uid="{2383E845-7E4F-4DED-9703-4B1C3D7C909E}"/>
    <cellStyle name="60% - Accent3 16" xfId="1607" xr:uid="{6BB92FA2-D9F9-4522-997B-344EE7B884AB}"/>
    <cellStyle name="60% - Accent3 16 2" xfId="1821" xr:uid="{DF41BB52-A252-414E-8190-C27A4E3EBFB8}"/>
    <cellStyle name="60% - Accent3 16 3" xfId="2699" xr:uid="{F7D02E83-C028-459E-9703-64B8BBED51F8}"/>
    <cellStyle name="60% - Accent3 17" xfId="1629" xr:uid="{1EA2BFD5-6805-4387-97A1-F86DFC6DDEE2}"/>
    <cellStyle name="60% - Accent3 18" xfId="1666" xr:uid="{AEE3DF79-B991-4BA0-9F8F-354F23067C9A}"/>
    <cellStyle name="60% - Accent3 19" xfId="1838" xr:uid="{578C8627-E03F-4333-85B8-1D8664C6AA5D}"/>
    <cellStyle name="60% - Accent3 2" xfId="849" xr:uid="{473B7418-06D7-41C7-A97E-E60854472017}"/>
    <cellStyle name="60% - Accent3 2 2" xfId="2561" xr:uid="{6F1AF6AA-A323-4368-A4C5-E9CDBE898A7F}"/>
    <cellStyle name="60% - Accent3 2 3" xfId="1894" xr:uid="{AD1F6774-1DE0-4C13-A959-E33026E22168}"/>
    <cellStyle name="60% - Accent3 20" xfId="1366" xr:uid="{75780457-5332-473F-B06C-C68B2204AB1C}"/>
    <cellStyle name="60% - Accent3 3" xfId="850" xr:uid="{170C95F3-279D-4FBD-B6D4-F577B87BF880}"/>
    <cellStyle name="60% - Accent3 3 2" xfId="2567" xr:uid="{8E02CEAA-B4CC-4336-8818-53A2F321F638}"/>
    <cellStyle name="60% - Accent3 4" xfId="851" xr:uid="{D388A78A-A723-42E6-84D7-E863DE9F8E82}"/>
    <cellStyle name="60% - Accent3 4 2" xfId="2585" xr:uid="{05C91A36-F114-410E-AB6E-CBE7E0F7DE44}"/>
    <cellStyle name="60% - Accent3 5" xfId="852" xr:uid="{AE1D028F-BC2A-4227-ADB0-123B68FC59E5}"/>
    <cellStyle name="60% - Accent3 6" xfId="853" xr:uid="{F3033238-E111-46D3-92FE-7D93D57D2149}"/>
    <cellStyle name="60% - Accent3 7" xfId="854" xr:uid="{368F1D6A-AD55-48F0-9389-3AB5945DA6CE}"/>
    <cellStyle name="60% - Accent3 8" xfId="855" xr:uid="{90328EED-1414-47BC-9C74-644F15321AA8}"/>
    <cellStyle name="60% - Accent3 9" xfId="856" xr:uid="{ABF5683D-BE63-467A-B8F3-8CF416113739}"/>
    <cellStyle name="60% - Accent4 10" xfId="857" xr:uid="{C700266B-CC4C-4A91-B4B5-DCCA90958503}"/>
    <cellStyle name="60% - Accent4 11" xfId="858" xr:uid="{6634DE27-024F-46DF-AF49-2E63843EF255}"/>
    <cellStyle name="60% - Accent4 12" xfId="1402" xr:uid="{5960AB06-6E1B-45C1-96D9-88B1F44793C4}"/>
    <cellStyle name="60% - Accent4 13" xfId="1496" xr:uid="{1F24B5A1-72EE-4EAE-99C4-DAA818BD287B}"/>
    <cellStyle name="60% - Accent4 14" xfId="1565" xr:uid="{E8C814C1-C4E3-416E-8975-2B40F3893487}"/>
    <cellStyle name="60% - Accent4 14 2" xfId="1782" xr:uid="{063C3C20-6C3C-4C43-B3F5-48822ACEA7F1}"/>
    <cellStyle name="60% - Accent4 14 2 2" xfId="3316" xr:uid="{CF8C490A-6DEC-4DCD-B3C2-C87AD75980F9}"/>
    <cellStyle name="60% - Accent4 14 2 3" xfId="3102" xr:uid="{F3E137D5-AC5C-4236-8081-500CD25FEA00}"/>
    <cellStyle name="60% - Accent4 14 3" xfId="3317" xr:uid="{98A5D07C-275E-45B9-A748-2BBA7308D8DF}"/>
    <cellStyle name="60% - Accent4 14 4" xfId="2965" xr:uid="{D70944FF-1950-48C4-822F-32CF808BDD26}"/>
    <cellStyle name="60% - Accent4 15" xfId="1587" xr:uid="{586D2731-8378-421F-B6C6-53B5957543E0}"/>
    <cellStyle name="60% - Accent4 15 2" xfId="1802" xr:uid="{B22457CC-221B-4D3A-9D88-0CE1D7C53F4A}"/>
    <cellStyle name="60% - Accent4 15 2 2" xfId="3318" xr:uid="{B1552CBB-99CD-4C6B-900B-C6FBA28EB7F7}"/>
    <cellStyle name="60% - Accent4 15 2 3" xfId="3121" xr:uid="{B763039D-BB5E-4815-853E-9E3979EB68FE}"/>
    <cellStyle name="60% - Accent4 15 3" xfId="2762" xr:uid="{9C55ECE9-B52C-4461-8152-75A07B0EF0B6}"/>
    <cellStyle name="60% - Accent4 16" xfId="1608" xr:uid="{31E0F136-DDDC-4551-89CF-7D413892DBF0}"/>
    <cellStyle name="60% - Accent4 16 2" xfId="1822" xr:uid="{7C0F04D1-2FFA-4B99-AE46-1B9EDB8068F5}"/>
    <cellStyle name="60% - Accent4 16 3" xfId="2633" xr:uid="{91A719C2-312A-4F4B-BF20-A04A1001D23A}"/>
    <cellStyle name="60% - Accent4 17" xfId="1630" xr:uid="{387176E0-E01B-42A8-A0E7-EA6BF872E123}"/>
    <cellStyle name="60% - Accent4 18" xfId="1670" xr:uid="{16CE6F41-30C5-49EC-A85B-65137F913323}"/>
    <cellStyle name="60% - Accent4 19" xfId="1841" xr:uid="{9EDD1F5D-AD82-4ACC-812C-311EF3243AB5}"/>
    <cellStyle name="60% - Accent4 2" xfId="859" xr:uid="{76F158BE-CE2F-4881-A41A-199EB1593916}"/>
    <cellStyle name="60% - Accent4 2 2" xfId="2554" xr:uid="{92BDF786-969D-4C1F-A526-88DE332FA544}"/>
    <cellStyle name="60% - Accent4 2 3" xfId="1895" xr:uid="{C452F018-2830-48A7-8937-E923F87143F9}"/>
    <cellStyle name="60% - Accent4 20" xfId="1370" xr:uid="{A856C6E5-70E3-49B4-B3DD-0575F3174EEE}"/>
    <cellStyle name="60% - Accent4 3" xfId="860" xr:uid="{4D618F4A-19FF-4305-BC5E-AC7DAD35A6A3}"/>
    <cellStyle name="60% - Accent4 3 2" xfId="2562" xr:uid="{EDBEAC9C-5B71-4F85-BCF4-293F4DB107F7}"/>
    <cellStyle name="60% - Accent4 4" xfId="861" xr:uid="{E4EE1E3A-AD9E-47B4-A4EE-D1CD8E02E8F8}"/>
    <cellStyle name="60% - Accent4 4 2" xfId="2586" xr:uid="{C91BFF26-6E73-4706-8825-7DB03E6A3439}"/>
    <cellStyle name="60% - Accent4 5" xfId="862" xr:uid="{3DB25954-E71A-49D0-B49F-1D53F97C986B}"/>
    <cellStyle name="60% - Accent4 6" xfId="863" xr:uid="{70D42081-ACCD-44AD-911E-02CD679B70D1}"/>
    <cellStyle name="60% - Accent4 7" xfId="864" xr:uid="{C8513155-E363-4246-82E1-11E13A309157}"/>
    <cellStyle name="60% - Accent4 8" xfId="865" xr:uid="{EF594D64-F8D3-4E90-9689-AFF793321B68}"/>
    <cellStyle name="60% - Accent4 9" xfId="866" xr:uid="{8FDC63CF-1216-41B2-9A39-F0E12F482B0F}"/>
    <cellStyle name="60% - Accent5 10" xfId="867" xr:uid="{C014FDC0-2790-4D2F-B8A4-153F28FCA106}"/>
    <cellStyle name="60% - Accent5 11" xfId="868" xr:uid="{1B3797D1-BBD7-48D0-B768-55BDE371ED27}"/>
    <cellStyle name="60% - Accent5 12" xfId="1403" xr:uid="{E8FF239D-0C16-47FA-8056-B3668D326CCB}"/>
    <cellStyle name="60% - Accent5 13" xfId="1500" xr:uid="{B967F021-D0A5-4C6C-B81F-33B4BCDAC761}"/>
    <cellStyle name="60% - Accent5 14" xfId="1566" xr:uid="{B83F30A9-A958-42D7-974D-DC10107BB926}"/>
    <cellStyle name="60% - Accent5 14 2" xfId="1783" xr:uid="{45434D4D-6928-4965-8BF5-52CF4E689D75}"/>
    <cellStyle name="60% - Accent5 14 2 2" xfId="3319" xr:uid="{0E3B4BAB-2B20-4B68-B8C2-C5FE2B6FC246}"/>
    <cellStyle name="60% - Accent5 14 2 3" xfId="3103" xr:uid="{0488B502-F093-4D65-9E91-9C253B191460}"/>
    <cellStyle name="60% - Accent5 14 3" xfId="3320" xr:uid="{F583AF31-1670-430F-9E67-6B55CFE5CC8D}"/>
    <cellStyle name="60% - Accent5 14 4" xfId="2966" xr:uid="{A3947A90-D3FC-4571-99F2-233840A3EBED}"/>
    <cellStyle name="60% - Accent5 15" xfId="1588" xr:uid="{1DF302D6-512E-445D-A33D-634F7981C964}"/>
    <cellStyle name="60% - Accent5 15 2" xfId="1803" xr:uid="{8981782C-90CD-4D4A-93D7-DE10F974B787}"/>
    <cellStyle name="60% - Accent5 15 2 2" xfId="3321" xr:uid="{FD051C13-B834-4A70-812A-E8AF97C8F4DB}"/>
    <cellStyle name="60% - Accent5 15 2 3" xfId="3122" xr:uid="{288623B1-BD9D-47BD-AB80-3CC2884843A2}"/>
    <cellStyle name="60% - Accent5 15 3" xfId="2608" xr:uid="{A74BCD6F-1D15-4B39-A54F-2F7691285C2D}"/>
    <cellStyle name="60% - Accent5 16" xfId="1609" xr:uid="{C9231531-2250-4E97-853F-00BD0665C715}"/>
    <cellStyle name="60% - Accent5 16 2" xfId="1823" xr:uid="{E7AC3C8B-6C89-4B30-BF97-DB40E1BA1B95}"/>
    <cellStyle name="60% - Accent5 16 3" xfId="2775" xr:uid="{14E08758-6721-4BD8-A19A-164C2625D3B6}"/>
    <cellStyle name="60% - Accent5 17" xfId="1631" xr:uid="{7B4A7757-33FB-4AE4-9740-591A21BDAAC6}"/>
    <cellStyle name="60% - Accent5 18" xfId="1674" xr:uid="{881DDA58-0730-4F1B-8812-CE6604D37824}"/>
    <cellStyle name="60% - Accent5 19" xfId="1844" xr:uid="{D944B46C-6961-4F9C-916D-62BB793A13AF}"/>
    <cellStyle name="60% - Accent5 2" xfId="869" xr:uid="{C09AC940-F2A9-4B53-9B28-BC2A7DD6929C}"/>
    <cellStyle name="60% - Accent5 2 2" xfId="2551" xr:uid="{D944CBE3-E4EC-4440-B91A-62E5B79A58DF}"/>
    <cellStyle name="60% - Accent5 2 3" xfId="1896" xr:uid="{3A5B1A84-D5FC-4E5D-BC57-5D8EDD951E6C}"/>
    <cellStyle name="60% - Accent5 20" xfId="1374" xr:uid="{53792477-54F4-4893-A992-70C9CE9F5CD0}"/>
    <cellStyle name="60% - Accent5 3" xfId="870" xr:uid="{F27C62BE-4018-4DA2-A358-4BC0137CF2A0}"/>
    <cellStyle name="60% - Accent5 3 2" xfId="2566" xr:uid="{A0CAE181-0B85-4F01-BBB0-1767574B0D54}"/>
    <cellStyle name="60% - Accent5 4" xfId="871" xr:uid="{4FC58163-5C6A-4AE5-A0E8-732DA2BB1835}"/>
    <cellStyle name="60% - Accent5 4 2" xfId="2587" xr:uid="{4D6C8D2C-50AB-417C-9D6F-7258805F1832}"/>
    <cellStyle name="60% - Accent5 5" xfId="872" xr:uid="{8BBA7873-DB47-474F-9ABC-D69856EB60C1}"/>
    <cellStyle name="60% - Accent5 6" xfId="873" xr:uid="{F05A8FAB-A715-4A73-B709-1229B2D19F21}"/>
    <cellStyle name="60% - Accent5 7" xfId="874" xr:uid="{4E32CA19-697D-4B80-8A39-2EA820F86356}"/>
    <cellStyle name="60% - Accent5 8" xfId="875" xr:uid="{937E699A-D0F1-48D4-9B71-0DF7FECA21DB}"/>
    <cellStyle name="60% - Accent5 9" xfId="876" xr:uid="{47C7C104-BC9C-4CD4-B353-BAE5CAC805FA}"/>
    <cellStyle name="60% - Accent6 10" xfId="877" xr:uid="{90B57088-2101-4353-826D-358002423488}"/>
    <cellStyle name="60% - Accent6 11" xfId="878" xr:uid="{69B4E7F2-F360-423C-B5A5-1FD244A64396}"/>
    <cellStyle name="60% - Accent6 12" xfId="1404" xr:uid="{1D8EF471-1E9C-4778-88E8-7492DB22F6CE}"/>
    <cellStyle name="60% - Accent6 13" xfId="1504" xr:uid="{B8DCA852-A808-46B4-9135-791CDDCD6782}"/>
    <cellStyle name="60% - Accent6 14" xfId="1567" xr:uid="{84C9720F-9911-4771-A86B-4A0EEB277F51}"/>
    <cellStyle name="60% - Accent6 14 2" xfId="1784" xr:uid="{9B63358B-F8E0-424C-89F7-81323A8588C2}"/>
    <cellStyle name="60% - Accent6 14 2 2" xfId="3322" xr:uid="{1BF7C518-1BF6-4337-9398-FB1C17691279}"/>
    <cellStyle name="60% - Accent6 14 2 3" xfId="3104" xr:uid="{A4C48FAD-F5BA-431B-AF86-C3AC7361E0D4}"/>
    <cellStyle name="60% - Accent6 14 3" xfId="3323" xr:uid="{9561DB07-ED1F-439A-BE20-5B741650ECF9}"/>
    <cellStyle name="60% - Accent6 14 4" xfId="2967" xr:uid="{9619C916-B84B-4908-AC08-BCA52EAFD11B}"/>
    <cellStyle name="60% - Accent6 15" xfId="1589" xr:uid="{BDE8DB1C-38DC-447F-AF32-C9023B66D5D2}"/>
    <cellStyle name="60% - Accent6 15 2" xfId="1804" xr:uid="{CBE6A959-F786-4D96-A009-3DD54379E2A1}"/>
    <cellStyle name="60% - Accent6 15 2 2" xfId="3324" xr:uid="{2E94125D-3AEF-489C-9F04-1D8F4BEC6861}"/>
    <cellStyle name="60% - Accent6 15 2 3" xfId="3123" xr:uid="{A8CD723E-1E11-4923-96D2-321D4F34C62E}"/>
    <cellStyle name="60% - Accent6 15 3" xfId="2674" xr:uid="{B76A153C-5826-41D3-9762-93C6922BFFC8}"/>
    <cellStyle name="60% - Accent6 16" xfId="1610" xr:uid="{656CDAAF-60D9-4956-9D9C-9D4324BF65BE}"/>
    <cellStyle name="60% - Accent6 16 2" xfId="1824" xr:uid="{0282339E-0072-4309-8E8E-F676D2659578}"/>
    <cellStyle name="60% - Accent6 16 3" xfId="2667" xr:uid="{D13B6433-C575-4265-9CAA-A6CC3AF26A84}"/>
    <cellStyle name="60% - Accent6 17" xfId="1632" xr:uid="{04F0B622-668E-455E-8452-16110FFB9523}"/>
    <cellStyle name="60% - Accent6 18" xfId="1678" xr:uid="{95D8B5D1-1E5B-45B5-898D-61150ACEA762}"/>
    <cellStyle name="60% - Accent6 19" xfId="1847" xr:uid="{5074F347-6D09-410D-9F88-78EFC3051168}"/>
    <cellStyle name="60% - Accent6 2" xfId="879" xr:uid="{344FC8D8-BDCD-4D30-A45D-5DF2A1B6F401}"/>
    <cellStyle name="60% - Accent6 2 2" xfId="2558" xr:uid="{A18208F4-6240-4FCC-BBA1-AACD11373EB4}"/>
    <cellStyle name="60% - Accent6 2 3" xfId="1897" xr:uid="{6E9439F8-33EF-4214-BF5A-309BE62698A4}"/>
    <cellStyle name="60% - Accent6 20" xfId="1378" xr:uid="{FC8A64A1-0E45-4D6A-80A5-ADC8D53965C6}"/>
    <cellStyle name="60% - Accent6 3" xfId="880" xr:uid="{72AD1A29-9D34-4BF7-99F8-43C3237F76D6}"/>
    <cellStyle name="60% - Accent6 3 2" xfId="2557" xr:uid="{F9171E9B-7FC1-4C5A-916C-0A85548E62CB}"/>
    <cellStyle name="60% - Accent6 4" xfId="881" xr:uid="{9E13F812-131A-429F-B2B2-271FD6FC86BA}"/>
    <cellStyle name="60% - Accent6 4 2" xfId="2588" xr:uid="{B1DEB883-C7CD-4552-8D18-0F1ED16F07F7}"/>
    <cellStyle name="60% - Accent6 5" xfId="882" xr:uid="{22527A07-CE2F-48B6-B6AF-077C92962171}"/>
    <cellStyle name="60% - Accent6 6" xfId="883" xr:uid="{205D2DB9-B062-4E9E-A6E9-856EC609F1B4}"/>
    <cellStyle name="60% - Accent6 7" xfId="884" xr:uid="{082114A3-98CF-40D0-AC72-F7AF62D2B1D5}"/>
    <cellStyle name="60% - Accent6 8" xfId="885" xr:uid="{C76FFC81-4F89-4FED-96DB-6C8471FE5D0F}"/>
    <cellStyle name="60% - Accent6 9" xfId="886" xr:uid="{7512C184-C22D-4EEB-BD02-C55AECD73337}"/>
    <cellStyle name="Accent1 10" xfId="887" xr:uid="{A92E95FE-0D02-422A-A403-CFF49A655CDF}"/>
    <cellStyle name="Accent1 11" xfId="888" xr:uid="{8605C25A-1CF5-4168-962B-E107073E8A72}"/>
    <cellStyle name="Accent1 12" xfId="1405" xr:uid="{D457D9F6-730C-4069-A4B9-B2B7A4D71012}"/>
    <cellStyle name="Accent1 13" xfId="1481" xr:uid="{1D154CDE-84C9-43CF-AFE0-2157912658AA}"/>
    <cellStyle name="Accent1 14" xfId="1655" xr:uid="{9B93F2E8-6EAD-4913-8FC0-A0A1CFDF8E3A}"/>
    <cellStyle name="Accent1 15" xfId="1355" xr:uid="{52412676-6DDF-4248-ADF4-AB07C3145831}"/>
    <cellStyle name="Accent1 2" xfId="889" xr:uid="{0327C947-3422-41E9-A85E-02D8B06E19BD}"/>
    <cellStyle name="Accent1 3" xfId="890" xr:uid="{9173BE30-6C4A-4DDB-90F7-71873B7A1BD6}"/>
    <cellStyle name="Accent1 4" xfId="891" xr:uid="{8E2A008D-CAFF-43EC-9E3F-15422B4F6115}"/>
    <cellStyle name="Accent1 5" xfId="892" xr:uid="{3CABB88B-9063-41A7-AF2D-07ABE15874EF}"/>
    <cellStyle name="Accent1 6" xfId="893" xr:uid="{96DA2258-20FF-44CF-9811-DE9BC919BE14}"/>
    <cellStyle name="Accent1 7" xfId="894" xr:uid="{D0A5466C-73A9-4CCC-B8BB-533AAD861FB5}"/>
    <cellStyle name="Accent1 8" xfId="895" xr:uid="{834F3F8F-E429-47AF-8D21-516E3CC2E1AD}"/>
    <cellStyle name="Accent1 9" xfId="896" xr:uid="{531DFBF1-A172-4854-8B0F-C2171535543E}"/>
    <cellStyle name="Accent2 10" xfId="897" xr:uid="{91EAA518-4ADA-4FDC-B725-DAA832386C75}"/>
    <cellStyle name="Accent2 11" xfId="898" xr:uid="{7D477FD2-36A1-4B82-A232-64F8C5F34F06}"/>
    <cellStyle name="Accent2 12" xfId="1406" xr:uid="{833A5864-431A-4631-A506-9F284C224E38}"/>
    <cellStyle name="Accent2 13" xfId="1485" xr:uid="{A95B7F83-BD4A-47FC-B617-A2DC43236EF3}"/>
    <cellStyle name="Accent2 14" xfId="1659" xr:uid="{50855BF7-A8DA-4BC9-A43F-789D939830CE}"/>
    <cellStyle name="Accent2 15" xfId="1359" xr:uid="{BBAA5B7B-0033-478E-91E5-B8401AC600D4}"/>
    <cellStyle name="Accent2 2" xfId="899" xr:uid="{7A42CC8B-6B4E-4585-A90A-248B63CE0005}"/>
    <cellStyle name="Accent2 3" xfId="900" xr:uid="{B08B97B9-8135-4085-B9B5-921D01983BAA}"/>
    <cellStyle name="Accent2 4" xfId="901" xr:uid="{7A373F41-71CD-454D-A753-03A5F9179FBF}"/>
    <cellStyle name="Accent2 5" xfId="902" xr:uid="{CF3A0F42-1276-4BC4-8B81-C4B65BDF076E}"/>
    <cellStyle name="Accent2 6" xfId="903" xr:uid="{CDA59994-4BC8-4EA8-B7E0-D63BE75405BB}"/>
    <cellStyle name="Accent2 7" xfId="904" xr:uid="{FD46C3AF-6CF3-4E94-A38D-86A7D3C75D9D}"/>
    <cellStyle name="Accent2 8" xfId="905" xr:uid="{2D875BB7-62C3-4143-BD05-68E6752C7A9E}"/>
    <cellStyle name="Accent2 9" xfId="906" xr:uid="{14F159FD-736C-47ED-8ECD-3A7FC6CE6124}"/>
    <cellStyle name="Accent3 10" xfId="907" xr:uid="{DAD1507B-D84B-40BA-AA55-142FCB091921}"/>
    <cellStyle name="Accent3 11" xfId="908" xr:uid="{65F4D582-6B54-4BF9-99EF-0429DB0E10D3}"/>
    <cellStyle name="Accent3 12" xfId="1407" xr:uid="{0FB1B6EB-E038-4ED1-897E-AC73F6902514}"/>
    <cellStyle name="Accent3 13" xfId="1489" xr:uid="{DCF11307-1688-4B41-8C6B-AE51C96BE981}"/>
    <cellStyle name="Accent3 14" xfId="1663" xr:uid="{E5FDC1B5-22D3-4F14-9F11-0240AFECEDCE}"/>
    <cellStyle name="Accent3 15" xfId="1363" xr:uid="{D7AF1F71-FFED-4B0C-AC5D-84880104F209}"/>
    <cellStyle name="Accent3 2" xfId="909" xr:uid="{2F14CCE1-65A6-4153-8198-B636E4672730}"/>
    <cellStyle name="Accent3 3" xfId="910" xr:uid="{78B1C4B0-8982-4DB0-913C-6604AB7830A3}"/>
    <cellStyle name="Accent3 4" xfId="911" xr:uid="{64E9B42D-5C25-433B-813F-A7B813662E84}"/>
    <cellStyle name="Accent3 5" xfId="912" xr:uid="{B00428C5-7433-497E-9284-A551834BE755}"/>
    <cellStyle name="Accent3 6" xfId="913" xr:uid="{F728784F-2758-4448-8F98-44DACE03B36C}"/>
    <cellStyle name="Accent3 7" xfId="914" xr:uid="{EAE8EC85-C528-4611-A5FE-7A81EF817C86}"/>
    <cellStyle name="Accent3 8" xfId="915" xr:uid="{F470E4AD-9EC2-4CC0-BC01-03136C6BBCD3}"/>
    <cellStyle name="Accent3 9" xfId="916" xr:uid="{F4873083-009C-4453-902E-B91E1A722DAD}"/>
    <cellStyle name="Accent4 10" xfId="917" xr:uid="{06C31C26-E490-4E23-A64A-90E559186AC1}"/>
    <cellStyle name="Accent4 11" xfId="918" xr:uid="{20EEE838-E63D-4CEF-B41C-28DE4CBAA580}"/>
    <cellStyle name="Accent4 12" xfId="1408" xr:uid="{EFCC8D62-2197-49DC-B021-B67FD0000AE5}"/>
    <cellStyle name="Accent4 13" xfId="1493" xr:uid="{DBD97D7F-6559-4AC8-BBEA-70733C08B5BB}"/>
    <cellStyle name="Accent4 14" xfId="1667" xr:uid="{B234FDD2-DA3C-4F14-AC82-15D5DBEEE539}"/>
    <cellStyle name="Accent4 15" xfId="1367" xr:uid="{1EF6FE5B-AC3C-4BDB-8AA6-529ACCF03157}"/>
    <cellStyle name="Accent4 2" xfId="919" xr:uid="{0F24498D-12C3-457A-93F4-C2AFFF129531}"/>
    <cellStyle name="Accent4 3" xfId="920" xr:uid="{F348F015-175D-498C-B3A8-71CC00AE9FB1}"/>
    <cellStyle name="Accent4 4" xfId="921" xr:uid="{95551FCF-5A28-49FB-B1EB-984D62B45AC8}"/>
    <cellStyle name="Accent4 5" xfId="922" xr:uid="{1723D745-17BF-447F-ACEB-1702ED068CB6}"/>
    <cellStyle name="Accent4 6" xfId="923" xr:uid="{198382C5-B12D-4DF0-835C-3710EE5A772E}"/>
    <cellStyle name="Accent4 7" xfId="924" xr:uid="{8755C02B-C17F-4CA5-BD2F-95084CDB4DE8}"/>
    <cellStyle name="Accent4 8" xfId="925" xr:uid="{F36A6FED-FEC4-4DD4-A731-476E90CFF5E6}"/>
    <cellStyle name="Accent4 9" xfId="926" xr:uid="{A01A4467-98E8-4F0E-8D26-E803700F036E}"/>
    <cellStyle name="Accent5 10" xfId="927" xr:uid="{B1EBEE91-0B3C-41C6-BA00-59729FFB52B2}"/>
    <cellStyle name="Accent5 11" xfId="928" xr:uid="{78581CD1-C92E-40C6-9FC7-E251DDE20A02}"/>
    <cellStyle name="Accent5 12" xfId="1409" xr:uid="{B2CC719F-36CF-40AE-8001-41C2FAA475F4}"/>
    <cellStyle name="Accent5 13" xfId="1497" xr:uid="{25426631-CF18-4AEC-A66A-BE1CC0121A55}"/>
    <cellStyle name="Accent5 14" xfId="1671" xr:uid="{FD4530F8-E230-473C-BBB8-939A9D1C961C}"/>
    <cellStyle name="Accent5 15" xfId="1371" xr:uid="{6273BB12-B74E-4BC6-8DDF-AF695DDB23F1}"/>
    <cellStyle name="Accent5 2" xfId="929" xr:uid="{ECB5E7F5-54CA-4FF5-80D4-8B9EEF921251}"/>
    <cellStyle name="Accent5 3" xfId="930" xr:uid="{6C2EB579-F017-409C-8454-C28157BD28FD}"/>
    <cellStyle name="Accent5 4" xfId="931" xr:uid="{331455DC-1947-4EDD-96C0-0A31552407D3}"/>
    <cellStyle name="Accent5 5" xfId="932" xr:uid="{8C96EAEB-B156-4D9E-AEFB-DA59B25213CE}"/>
    <cellStyle name="Accent5 6" xfId="933" xr:uid="{FF55D555-A2C5-4156-8FE4-644E77F245A1}"/>
    <cellStyle name="Accent5 7" xfId="934" xr:uid="{590A7A41-3E6A-4AE9-8F2B-61FEA34C0E32}"/>
    <cellStyle name="Accent5 8" xfId="935" xr:uid="{11DC33D3-90A7-4397-A2A8-3376391AD762}"/>
    <cellStyle name="Accent5 9" xfId="936" xr:uid="{7A958EF0-88DC-491E-8B06-BCC39EEB88CE}"/>
    <cellStyle name="Accent6 10" xfId="937" xr:uid="{ABD2A8C6-8428-41E7-91AC-D406A39BC96F}"/>
    <cellStyle name="Accent6 11" xfId="938" xr:uid="{D7A87714-8028-4A88-B742-5D83D1D2089B}"/>
    <cellStyle name="Accent6 12" xfId="1410" xr:uid="{4B63C8E3-EC92-48C2-9B8C-FCA4B42EF745}"/>
    <cellStyle name="Accent6 13" xfId="1501" xr:uid="{8306DC3D-0607-4B18-8627-8FB5AC936805}"/>
    <cellStyle name="Accent6 14" xfId="1675" xr:uid="{8B699E03-C920-47E0-B13A-1CAD4492B77E}"/>
    <cellStyle name="Accent6 15" xfId="1375" xr:uid="{37EDA5F9-3260-444E-BC84-ED8332760695}"/>
    <cellStyle name="Accent6 2" xfId="607" xr:uid="{38E02A77-6A1B-4299-8BCE-2E31F08D5E92}"/>
    <cellStyle name="Accent6 2 2" xfId="939" xr:uid="{9F6E70F9-4236-45F7-96AA-AD2D4691DF15}"/>
    <cellStyle name="Accent6 3" xfId="940" xr:uid="{8C0B6730-578A-43D6-8DB2-E9F2DB4C6345}"/>
    <cellStyle name="Accent6 4" xfId="941" xr:uid="{4E964765-E915-4BC4-ABAB-B65664A560C6}"/>
    <cellStyle name="Accent6 5" xfId="942" xr:uid="{ED209CDD-CD73-4D66-935C-59AA515DAA4E}"/>
    <cellStyle name="Accent6 6" xfId="943" xr:uid="{219B44C1-AF38-4E29-8B04-536FF85D270A}"/>
    <cellStyle name="Accent6 7" xfId="944" xr:uid="{2FD5AF12-7B2C-415F-A2B2-81FD3D59FB59}"/>
    <cellStyle name="Accent6 8" xfId="945" xr:uid="{7F08D518-F5F2-4BDE-9017-F681C0B86594}"/>
    <cellStyle name="Accent6 9" xfId="946" xr:uid="{0BEC7CE0-5A64-4EB8-A281-AB72A5395D2A}"/>
    <cellStyle name="ÅëÈ­ [0]_¿ì¹°Åë" xfId="1127" xr:uid="{D74042A7-3DD1-4406-A600-2070C42D231F}"/>
    <cellStyle name="AeE­ [0]_INQUIRY ¿µ¾÷AßAø " xfId="1128" xr:uid="{400DE16C-D7D0-48D1-93AA-1371872823AF}"/>
    <cellStyle name="ÅëÈ­_¿ì¹°Åë" xfId="1129" xr:uid="{31B6B90C-CA14-415F-888F-0C2A3DE5F06A}"/>
    <cellStyle name="AeE­_INQUIRY ¿µ¾÷AßAø " xfId="1130" xr:uid="{CE459383-FEDC-4CEF-9F9F-6F51F85EED7F}"/>
    <cellStyle name="ÄÞ¸¶ [0]_¿ì¹°Åë" xfId="1131" xr:uid="{F3762D69-32EB-43B0-9222-6A8BFF9F6A2E}"/>
    <cellStyle name="AÞ¸¶ [0]_INQUIRY ¿?¾÷AßAø " xfId="1132" xr:uid="{8BD98302-0490-46A6-A72D-CD8A1E90EBFB}"/>
    <cellStyle name="ÄÞ¸¶_¿ì¹°Åë" xfId="1133" xr:uid="{8026BFD6-6140-4FFC-B8D3-04E569D4D60F}"/>
    <cellStyle name="AÞ¸¶_INQUIRY ¿?¾÷AßAø " xfId="1134" xr:uid="{4B46462C-19BB-4A14-80C1-47C689182D55}"/>
    <cellStyle name="Bad 10" xfId="947" xr:uid="{A2F20BCA-DDD5-4354-B0AB-82FBDAA5CDB3}"/>
    <cellStyle name="Bad 11" xfId="948" xr:uid="{C8D96AE8-6903-4F37-817C-50EED380B4F6}"/>
    <cellStyle name="Bad 12" xfId="1411" xr:uid="{5EA29B1E-5D61-40B4-A460-B132FE10A091}"/>
    <cellStyle name="Bad 13" xfId="1471" xr:uid="{BC3F3955-7682-4520-A2D3-E4BDAD348251}"/>
    <cellStyle name="Bad 14" xfId="1645" xr:uid="{7907795C-0213-4AE3-9C00-34BEB0EBDDAE}"/>
    <cellStyle name="Bad 15" xfId="1345" xr:uid="{92A933B0-6A7C-4105-90ED-E839E06DAF25}"/>
    <cellStyle name="Bad 2" xfId="949" xr:uid="{AC181AF7-3E5D-4465-A928-C95A1EDFA764}"/>
    <cellStyle name="Bad 2 2" xfId="2752" xr:uid="{28E021DD-DA0B-4B6D-8B54-F4821E184743}"/>
    <cellStyle name="Bad 2 3" xfId="2765" xr:uid="{EA2CE824-BBFB-4CD7-A41B-70A45875DB04}"/>
    <cellStyle name="Bad 3" xfId="950" xr:uid="{73E1810C-CA59-4393-ABAE-ACC340E97339}"/>
    <cellStyle name="Bad 4" xfId="951" xr:uid="{E7F246AE-39A0-4761-843C-BB97DF9DA1FD}"/>
    <cellStyle name="Bad 5" xfId="952" xr:uid="{E974DE9C-CF80-42CF-928A-F778C20D93A8}"/>
    <cellStyle name="Bad 6" xfId="953" xr:uid="{D97708D2-F3CD-472C-9BBE-3CED766B16BE}"/>
    <cellStyle name="Bad 7" xfId="954" xr:uid="{A31E9DC5-6F81-484D-A191-B1170C7FF90A}"/>
    <cellStyle name="Bad 8" xfId="955" xr:uid="{642185F4-E848-42F2-9294-8555B68C04CC}"/>
    <cellStyle name="Bad 9" xfId="956" xr:uid="{F0C3C8A1-963E-4261-9357-325B4A166BB0}"/>
    <cellStyle name="Bình thường 2" xfId="2047" xr:uid="{FAB1FD1C-8143-424B-A0B5-68B354A199C3}"/>
    <cellStyle name="Bình thường 2 2" xfId="2384" xr:uid="{9F9657B9-BF61-414F-9443-71C560B152B4}"/>
    <cellStyle name="Bình thường 2 3" xfId="2555" xr:uid="{55686263-EC81-46E7-8D0D-FEDDFBB8BBA1}"/>
    <cellStyle name="Bình thường 3" xfId="1887" xr:uid="{F3BAEF29-8B97-4133-84E2-6D939DC9A51F}"/>
    <cellStyle name="Bình thường 3 2" xfId="2570" xr:uid="{4D726243-0B63-401F-80B7-877FA40AB9C9}"/>
    <cellStyle name="Bình thường 4" xfId="2556" xr:uid="{C6B02E1E-95EB-4E05-AAA3-386F740A84C0}"/>
    <cellStyle name="Bình thường 4 2" xfId="2569" xr:uid="{E217ABEE-F12C-4706-862A-88155BF26976}"/>
    <cellStyle name="Bình thường 5" xfId="2553" xr:uid="{4FA97094-7D54-4E23-8F8C-2A5D1A59533C}"/>
    <cellStyle name="C?AØ_¿?¾÷CoE² " xfId="1135" xr:uid="{29E34C2E-4BD8-4201-94BF-6ED591718331}"/>
    <cellStyle name="Ç¥ÁØ_´çÃÊ±¸ÀÔ»ý»ê" xfId="1136" xr:uid="{54065773-8C56-4930-87F5-52FF25225161}"/>
    <cellStyle name="C￥AØ_¿μ¾÷CoE² " xfId="1137" xr:uid="{7E979451-1DA2-4D42-AE5A-1265710D325A}"/>
    <cellStyle name="Calc Currency (0)" xfId="1138" xr:uid="{17B98F6B-CF93-4EB6-B03F-831C271E250D}"/>
    <cellStyle name="Calc Currency (2)" xfId="1139" xr:uid="{B724D52D-EE8D-4BBB-B2A8-93C5AD695E4C}"/>
    <cellStyle name="Calc Percent (0)" xfId="1140" xr:uid="{253417BC-E284-4F23-A259-0612873E35AD}"/>
    <cellStyle name="Calc Percent (1)" xfId="1141" xr:uid="{9FAB100C-AA2E-4006-A373-8B8312857F59}"/>
    <cellStyle name="Calc Percent (2)" xfId="1142" xr:uid="{AC5BC96A-32AE-4619-BB80-2C02020B4B2A}"/>
    <cellStyle name="Calc Units (0)" xfId="1143" xr:uid="{1E08190A-D442-4A1C-B283-8FEE669BAACD}"/>
    <cellStyle name="Calc Units (1)" xfId="1144" xr:uid="{D4099406-4278-4CF6-AD15-D57A134A03A1}"/>
    <cellStyle name="Calc Units (2)" xfId="1145" xr:uid="{28FABD6A-5E7B-4A88-BC4C-2A69938DD4CC}"/>
    <cellStyle name="Calculation 10" xfId="957" xr:uid="{4148D60E-D3CF-4D6F-8C5D-A1955FA9B47A}"/>
    <cellStyle name="Calculation 11" xfId="958" xr:uid="{5613AE45-DA40-4C9F-87B9-9E4A7DAE94D3}"/>
    <cellStyle name="Calculation 12" xfId="1412" xr:uid="{C4125DA0-0558-4E8B-8227-CF6218F783BC}"/>
    <cellStyle name="Calculation 13" xfId="1475" xr:uid="{D358A2AB-7F49-4777-A2AA-5EC95DAC1F42}"/>
    <cellStyle name="Calculation 14" xfId="1649" xr:uid="{7C293FB0-9CBD-4E74-B420-BECB93F99ADC}"/>
    <cellStyle name="Calculation 15" xfId="1349" xr:uid="{19E17455-8E58-4D0B-B91B-F6080399B791}"/>
    <cellStyle name="Calculation 2" xfId="959" xr:uid="{4DAD8FC4-6702-4922-B2AB-ED1BE8A7C9D6}"/>
    <cellStyle name="Calculation 3" xfId="960" xr:uid="{4BA141A9-8A9B-4E70-9ADC-83B809FBB65B}"/>
    <cellStyle name="Calculation 4" xfId="961" xr:uid="{A5441066-9057-4B0A-8E47-E6200C5DEDDA}"/>
    <cellStyle name="Calculation 5" xfId="962" xr:uid="{B4A090AD-6A33-4ADF-BA10-62F68B2A487F}"/>
    <cellStyle name="Calculation 6" xfId="963" xr:uid="{77ADC24F-0DB7-4204-B7C2-B8FF0C54EB31}"/>
    <cellStyle name="Calculation 7" xfId="964" xr:uid="{47E73E52-6B68-4805-8099-962E3A74069F}"/>
    <cellStyle name="Calculation 8" xfId="965" xr:uid="{3886D82E-309A-4C11-8D0C-5CFC8432C8C2}"/>
    <cellStyle name="Calculation 9" xfId="966" xr:uid="{4D992C07-3785-407E-821C-A0D42427E5CD}"/>
    <cellStyle name="category" xfId="1146" xr:uid="{3786FC83-169F-413C-9938-8CA1F578C2F7}"/>
    <cellStyle name="Centered Heading" xfId="1147" xr:uid="{A0B7F9B0-D3C2-4ADA-83FF-8261B632C34D}"/>
    <cellStyle name="Change A&amp;ll" xfId="1148" xr:uid="{20165780-0EC8-4733-8A3D-0A8E5934E0DC}"/>
    <cellStyle name="Change A&amp;ll 2" xfId="2710" xr:uid="{E83C03BF-B1C7-44AB-8702-1E18B52C0D3D}"/>
    <cellStyle name="Change A&amp;ll 2 2" xfId="3325" xr:uid="{E440BBF7-CC55-4FC0-ADEA-C85D707D5746}"/>
    <cellStyle name="Change A&amp;ll 2 3" xfId="3326" xr:uid="{18A7D353-849D-4B07-B5A4-98CA41AF6920}"/>
    <cellStyle name="Change A&amp;ll 2 4" xfId="3327" xr:uid="{0E139F9E-1496-42E0-ADAB-5E64BA8EF214}"/>
    <cellStyle name="Change A&amp;ll 3" xfId="2780" xr:uid="{1AC9D79C-3A4F-4066-B8F9-1953F9F91AD3}"/>
    <cellStyle name="Change A&amp;ll 3 2" xfId="3328" xr:uid="{B51FB0F9-4C9C-4B24-B264-7D0B62246494}"/>
    <cellStyle name="Change A&amp;ll 4" xfId="3329" xr:uid="{38DFFBB3-15A1-4D6D-8C8F-53DB0FBF18E0}"/>
    <cellStyle name="Change A&amp;ll 5" xfId="2833" xr:uid="{06206674-C387-4D07-95DE-EE7847DF08B1}"/>
    <cellStyle name="Check Cell 10" xfId="967" xr:uid="{C93066BF-AA82-41A3-98F5-FE85516FDA7F}"/>
    <cellStyle name="Check Cell 11" xfId="968" xr:uid="{8BE9C61A-602E-48E5-A5DE-3DC8DEA46737}"/>
    <cellStyle name="Check Cell 12" xfId="1413" xr:uid="{EC0EFAD1-B5B0-4AF4-963B-8429BA81276A}"/>
    <cellStyle name="Check Cell 13" xfId="1477" xr:uid="{BD19188E-22EC-4A74-A124-5045B14DBEC2}"/>
    <cellStyle name="Check Cell 14" xfId="1651" xr:uid="{99A9E968-AFC1-4538-A9DA-7D1BCA464A6D}"/>
    <cellStyle name="Check Cell 15" xfId="1351" xr:uid="{9DABFF9C-7091-4196-8FA4-72ED62893465}"/>
    <cellStyle name="Check Cell 2" xfId="969" xr:uid="{EEF2EB26-D59D-46EA-AA73-C334D42B4D73}"/>
    <cellStyle name="Check Cell 3" xfId="970" xr:uid="{C53C14CF-B4C6-4292-9ACE-1F0FAF0731CF}"/>
    <cellStyle name="Check Cell 4" xfId="971" xr:uid="{81FB6664-7805-4DDC-B24E-213B01DA00D2}"/>
    <cellStyle name="Check Cell 5" xfId="972" xr:uid="{B103D101-265B-4841-81E4-550C2C8EC050}"/>
    <cellStyle name="Check Cell 6" xfId="973" xr:uid="{3E1ED779-6DC4-496B-B350-8C9F85FF4967}"/>
    <cellStyle name="Check Cell 7" xfId="974" xr:uid="{D92FB712-D709-4388-B2D7-C911B37283CF}"/>
    <cellStyle name="Check Cell 8" xfId="975" xr:uid="{1288806A-28A7-4478-9AF3-CE6F0A26BC49}"/>
    <cellStyle name="Check Cell 9" xfId="976" xr:uid="{FCA52C5F-06CC-43E8-95FF-38D57D3D9268}"/>
    <cellStyle name="CHUONG" xfId="1149" xr:uid="{56B67FCB-E64F-471C-ADEB-8B948E353137}"/>
    <cellStyle name="Column_Title" xfId="1150" xr:uid="{435CBD89-B7D7-4C70-992C-8E63AE607427}"/>
    <cellStyle name="ColumnHeaderFillStyle" xfId="5" xr:uid="{84C2757A-024F-4378-9507-2473F4CBB995}"/>
    <cellStyle name="Comma" xfId="1" builtinId="3"/>
    <cellStyle name="Comma %" xfId="1151" xr:uid="{62C88BAD-8B43-456B-AC0E-5925483720AF}"/>
    <cellStyle name="Comma [0] 2" xfId="649" xr:uid="{3722247E-EF5C-4586-8D64-079DA54ED9AF}"/>
    <cellStyle name="Comma [0] 2 2" xfId="1867" xr:uid="{E131BAF3-D3C6-45FB-BEA3-A106BC0B7893}"/>
    <cellStyle name="Comma [0] 2 3" xfId="2806" xr:uid="{F96E9CB3-2149-4450-9705-E128180605CC}"/>
    <cellStyle name="Comma [0] 3" xfId="604" xr:uid="{736D0CC2-22D6-4FDB-B7A6-9EF34C7486A8}"/>
    <cellStyle name="Comma [0] 3 2" xfId="705" xr:uid="{1C7C9CF9-9348-46D4-87B5-850993A687BD}"/>
    <cellStyle name="Comma [0] 5" xfId="585" xr:uid="{0CF8CBD5-7D67-45EA-AD61-F6ACC9C05B88}"/>
    <cellStyle name="Comma [00]" xfId="1152" xr:uid="{27AF4051-641E-4047-A30A-0374C8BC4CBF}"/>
    <cellStyle name="Comma 0.0" xfId="1153" xr:uid="{B94E5E08-657F-4B75-A01A-C1FA37B33CBF}"/>
    <cellStyle name="Comma 0.0%" xfId="1154" xr:uid="{A6551A78-464E-4161-BA56-99815AD32F96}"/>
    <cellStyle name="Comma 0.00" xfId="1155" xr:uid="{1D83B430-3DD2-4045-8348-205621180ACC}"/>
    <cellStyle name="Comma 0.00%" xfId="1156" xr:uid="{6A4ED2C1-627A-41EC-BC98-4C085BE25B77}"/>
    <cellStyle name="Comma 0.000" xfId="1157" xr:uid="{6F3695DF-31CE-47F8-A712-CDB64A5C6918}"/>
    <cellStyle name="Comma 0.000%" xfId="1158" xr:uid="{20E59D26-3263-40BD-9578-52E6F3601FDB}"/>
    <cellStyle name="Comma 10" xfId="7" xr:uid="{A742467B-6BA5-449D-BF23-BD05E9862091}"/>
    <cellStyle name="Comma 10 10 2 2 2 2" xfId="576" xr:uid="{6C917053-DBD0-463A-8F63-F034F3062EFC}"/>
    <cellStyle name="Comma 10 2" xfId="138" xr:uid="{618CF2AA-0DF3-44B0-98EE-338FB4713A43}"/>
    <cellStyle name="Comma 10 2 2" xfId="503" xr:uid="{4369636F-84E6-490A-BD90-2B99BFD718D3}"/>
    <cellStyle name="Comma 10 2 2 2" xfId="3870" xr:uid="{1D898E4E-4BA8-4BA7-AEF1-053F8812575C}"/>
    <cellStyle name="Comma 10 2 2 3" xfId="597" xr:uid="{E43D79D8-5918-41D4-A35D-EF53F558B363}"/>
    <cellStyle name="Comma 10 2 3" xfId="3828" xr:uid="{AC8390F5-B713-48A8-A200-403AC30A5824}"/>
    <cellStyle name="Comma 10 2 4" xfId="1882" xr:uid="{7026F3B6-8916-48F6-9F1A-A19342C86EC7}"/>
    <cellStyle name="Comma 10 3" xfId="493" xr:uid="{1454897F-44E2-4382-8A10-EA3973CDA7A8}"/>
    <cellStyle name="Comma 10 3 2" xfId="3865" xr:uid="{471AA85D-43D4-4137-BD09-A5227D55021F}"/>
    <cellStyle name="Comma 10 3 3" xfId="3330" xr:uid="{8C6D5535-9ACC-4158-9143-57998B899CB6}"/>
    <cellStyle name="Comma 10 4" xfId="478" xr:uid="{00D20645-73C3-4274-B734-82475C00C34B}"/>
    <cellStyle name="Comma 10 4 2" xfId="3855" xr:uid="{41CA8857-69D3-4081-BDFB-360B6EECB671}"/>
    <cellStyle name="Comma 10 4 3" xfId="695" xr:uid="{6F647F78-63B0-4D10-9587-BCE099F55C71}"/>
    <cellStyle name="Comma 10 5" xfId="539" xr:uid="{4F8FA452-B060-447A-B1DB-E73D0DB4448F}"/>
    <cellStyle name="Comma 10 5 2" xfId="3901" xr:uid="{B78EF951-C44E-408D-A58D-ABF39A1E73AB}"/>
    <cellStyle name="Comma 10 5 3" xfId="3690" xr:uid="{447F8E4B-0AAE-4E7E-ABDC-B39F7FF9F5F3}"/>
    <cellStyle name="Comma 10 6" xfId="557" xr:uid="{B6203756-D795-44E1-BE4B-B7A333697764}"/>
    <cellStyle name="Comma 10 7" xfId="40" xr:uid="{0CCF5889-435C-4176-92B2-B6ED9A125C0A}"/>
    <cellStyle name="Comma 10 8" xfId="657" xr:uid="{A5F105D7-C5BD-46A5-AADB-9415BF65637B}"/>
    <cellStyle name="Comma 11" xfId="8" xr:uid="{C27F7A23-B224-4389-B186-52C0B04E6A2D}"/>
    <cellStyle name="Comma 11 2" xfId="47" xr:uid="{62FFF2A8-08A0-410C-B854-DBE892814307}"/>
    <cellStyle name="Comma 11 2 2" xfId="495" xr:uid="{97E75D2E-F411-4E35-8D73-B3C3C4AE67AC}"/>
    <cellStyle name="Comma 11 2 3" xfId="573" xr:uid="{922648A3-5D39-492B-AFCA-5F44F917E1F8}"/>
    <cellStyle name="Comma 11 3" xfId="9" xr:uid="{CF02D27C-D8FA-4F9E-ADDB-EF57B4F91179}"/>
    <cellStyle name="Comma 11 3 2" xfId="549" xr:uid="{9C2BA9FE-76DF-4FDD-8C49-D3DA97492F58}"/>
    <cellStyle name="Comma 11 3 2 2" xfId="3609" xr:uid="{33DA2F43-6EFA-4471-8DAA-BEA3872F7C64}"/>
    <cellStyle name="Comma 11 3 3" xfId="565" xr:uid="{E8415E50-7402-4D59-9CB8-512A2B230140}"/>
    <cellStyle name="Comma 11 3 3 2" xfId="3907" xr:uid="{841515C3-70C5-4574-8270-05F5E6C25A7C}"/>
    <cellStyle name="Comma 11 3 4" xfId="2529" xr:uid="{6D97269B-3EF0-4195-8605-9AE2F4ADBEEF}"/>
    <cellStyle name="Comma 11 4" xfId="561" xr:uid="{F258D1F5-8B3C-49D4-8150-25B8E9F8CA63}"/>
    <cellStyle name="Comma 11 4 2" xfId="3916" xr:uid="{C0BB2D2C-21E2-4AD6-91BF-4978F6D9AE3F}"/>
    <cellStyle name="Comma 11 4 3" xfId="2193" xr:uid="{70B999FB-D9A5-4629-9723-7D64CE9D6230}"/>
    <cellStyle name="Comma 11 5" xfId="238" xr:uid="{43B8A0DF-C66C-4811-98A4-EB6AAF81DB5B}"/>
    <cellStyle name="Comma 11 5 2" xfId="3331" xr:uid="{03A07CD3-3124-427F-8FE4-DB1176DA98D5}"/>
    <cellStyle name="Comma 11 6" xfId="563" xr:uid="{847B7AA6-DF54-44A8-84DC-18416A30B730}"/>
    <cellStyle name="Comma 11 6 2" xfId="1853" xr:uid="{AE0FD6BC-2466-4325-8328-AC9042DD0E92}"/>
    <cellStyle name="Comma 11 7" xfId="3617" xr:uid="{4DDEA842-8A4A-454A-8BEF-696307CB4477}"/>
    <cellStyle name="Comma 11 8" xfId="3723" xr:uid="{CDBCB971-EDC0-4E52-AB5E-394434FD2010}"/>
    <cellStyle name="Comma 11 9" xfId="655" xr:uid="{38CAB34E-B588-4477-9A9E-4A7FAE47F6C5}"/>
    <cellStyle name="Comma 12" xfId="249" xr:uid="{32087127-1574-4109-AC6A-06A8676C5162}"/>
    <cellStyle name="Comma 12 2" xfId="602" xr:uid="{E65E6DC1-EB5F-4DF4-8A9D-A0B60AE59607}"/>
    <cellStyle name="Comma 12 2 2" xfId="3332" xr:uid="{4AD8DBEC-D8EB-4013-A1B9-0CEA1B430935}"/>
    <cellStyle name="Comma 12 3" xfId="1884" xr:uid="{C29A1F31-77F5-40CC-B6EA-809E99DA2C1B}"/>
    <cellStyle name="Comma 12 4" xfId="3724" xr:uid="{CE6AF226-5449-4B39-AFF0-AF1B8DE0E375}"/>
    <cellStyle name="Comma 12 5" xfId="653" xr:uid="{AEEEBF8F-EE53-4AEF-8770-2939B661AC5A}"/>
    <cellStyle name="Comma 13" xfId="248" xr:uid="{F7B34055-6769-4B5A-B024-6DBA3B0427DF}"/>
    <cellStyle name="Comma 13 2" xfId="265" xr:uid="{761AF14B-B523-482E-9DDB-77A07BF0D6DC}"/>
    <cellStyle name="Comma 13 2 2" xfId="511" xr:uid="{503B2B8F-13CE-4A3A-B9BD-2A6568EDECB5}"/>
    <cellStyle name="Comma 13 2 2 2" xfId="3877" xr:uid="{E9B0FFF4-BFCE-4750-9CFB-AB102FE530FE}"/>
    <cellStyle name="Comma 13 2 2 3" xfId="3599" xr:uid="{4D28CE37-9842-4397-8F01-CE2A38F702B9}"/>
    <cellStyle name="Comma 13 2 3" xfId="468" xr:uid="{DC04653E-8A54-4797-8431-C097E6B1F62E}"/>
    <cellStyle name="Comma 13 2 4" xfId="3833" xr:uid="{51E55C5F-D42A-4EFF-80C6-E805A8EB8CB9}"/>
    <cellStyle name="Comma 13 2 5" xfId="3578" xr:uid="{45B12280-A4DC-4121-84AE-F636B7A6A06B}"/>
    <cellStyle name="Comma 13 3" xfId="508" xr:uid="{AB43D7E8-96B1-46AF-A7AC-2FC8A323C920}"/>
    <cellStyle name="Comma 13 3 2" xfId="3874" xr:uid="{B329BA35-8110-42E8-9DA7-125C639D2AC5}"/>
    <cellStyle name="Comma 13 3 3" xfId="1885" xr:uid="{662FD092-7A4A-4EE7-8C42-23C6C6A4E1EB}"/>
    <cellStyle name="Comma 13 4" xfId="470" xr:uid="{68BE9A45-6198-441A-B3A8-BC4357F1047E}"/>
    <cellStyle name="Comma 13 5" xfId="3831" xr:uid="{53E79FC6-087D-4957-AF8B-DF43102E24E1}"/>
    <cellStyle name="Comma 13 6" xfId="608" xr:uid="{1B5ABD91-F199-4A02-B543-2E83D5E639CB}"/>
    <cellStyle name="Comma 14" xfId="257" xr:uid="{3701CA68-9540-4605-A476-C929A3694AC1}"/>
    <cellStyle name="Comma 14 2" xfId="331" xr:uid="{D4CB9E0F-13E9-428E-818A-913A53CE8496}"/>
    <cellStyle name="Comma 14 2 2" xfId="512" xr:uid="{2743294A-A406-4D94-A364-0003F872CFF1}"/>
    <cellStyle name="Comma 14 2 2 2" xfId="3878" xr:uid="{F29DFD86-1A85-4DE0-B63A-2CC2C6478ED4}"/>
    <cellStyle name="Comma 14 2 2 3" xfId="3727" xr:uid="{842C7DDE-FBEB-4580-B07B-131D408E369C}"/>
    <cellStyle name="Comma 14 2 3" xfId="486" xr:uid="{0F7E81A4-FA3D-49F4-BFFA-AA25D79B0589}"/>
    <cellStyle name="Comma 14 2 4" xfId="3834" xr:uid="{8B143865-8533-4D77-9441-0A0C2434472D}"/>
    <cellStyle name="Comma 14 2 5" xfId="3581" xr:uid="{85EDA3B4-515A-4E95-B6C2-8D7909D0A6A4}"/>
    <cellStyle name="Comma 14 3" xfId="510" xr:uid="{145AB5F1-C9D8-4EE9-9D0B-D87666CA21AD}"/>
    <cellStyle name="Comma 14 3 2" xfId="3775" xr:uid="{DE39121A-0172-4CE8-91FC-389ACA527442}"/>
    <cellStyle name="Comma 14 3 3" xfId="3876" xr:uid="{2F8567F0-D0D7-4ABA-A580-865B60BF5A9E}"/>
    <cellStyle name="Comma 14 3 4" xfId="1886" xr:uid="{84A13DA0-8508-4E8A-98CD-1ACC4FA3208E}"/>
    <cellStyle name="Comma 14 4" xfId="469" xr:uid="{41516BDB-4941-4A9F-A294-C03D62C58217}"/>
    <cellStyle name="Comma 14 4 2" xfId="3850" xr:uid="{2E6F3016-4B1A-4482-A4D3-FDA6513CE93D}"/>
    <cellStyle name="Comma 14 4 3" xfId="3726" xr:uid="{BF1E0B7B-7B47-41E0-A859-D19380E8585F}"/>
    <cellStyle name="Comma 14 5" xfId="3832" xr:uid="{CC57DFF2-8BF7-4730-8000-E8E19E74203B}"/>
    <cellStyle name="Comma 14 6" xfId="650" xr:uid="{8EE5A77F-C354-4123-ABFD-A3198CB0E15A}"/>
    <cellStyle name="Comma 15" xfId="51" xr:uid="{C98129CC-0BEF-4C66-983B-8B1B0D1332B2}"/>
    <cellStyle name="Comma 15 2" xfId="2592" xr:uid="{BED260F4-0D84-4934-A59A-6596999C725F}"/>
    <cellStyle name="Comma 15 3" xfId="3773" xr:uid="{E43A1FA3-002C-43D8-B5E7-CB1793803DAD}"/>
    <cellStyle name="Comma 15 4" xfId="3818" xr:uid="{F88F4A85-7EA8-4D95-AF3C-A47331207B06}"/>
    <cellStyle name="Comma 15 5" xfId="658" xr:uid="{6C8F932D-2FC4-432F-9038-18BCC9A45F0B}"/>
    <cellStyle name="Comma 16" xfId="471" xr:uid="{4A075FBA-AB24-40FD-9A3F-16FF78938452}"/>
    <cellStyle name="Comma 16 2" xfId="2591" xr:uid="{FBCC74C8-0F06-4CDF-A262-0E0629683723}"/>
    <cellStyle name="Comma 16 2 2" xfId="3797" xr:uid="{E9A4F5AD-2CEC-441D-B966-899CEF6F2897}"/>
    <cellStyle name="Comma 16 3" xfId="3793" xr:uid="{A03910ED-803C-4375-A54B-5E82DB94E9DE}"/>
    <cellStyle name="Comma 16 4" xfId="3851" xr:uid="{7586E536-1D10-45AE-B38A-D06F680720E9}"/>
    <cellStyle name="Comma 16 5" xfId="651" xr:uid="{66E6A591-2A5B-4A13-A2FB-4841535197C3}"/>
    <cellStyle name="Comma 17" xfId="519" xr:uid="{7FD995C9-BDDC-4EC0-8F9F-52027225D9E7}"/>
    <cellStyle name="Comma 17 2" xfId="2593" xr:uid="{727D8EAD-5311-46CC-A091-16D726E2AB73}"/>
    <cellStyle name="Comma 17 3" xfId="3801" xr:uid="{ED3A7642-68D2-486B-9A43-77262141A254}"/>
    <cellStyle name="Comma 17 4" xfId="3884" xr:uid="{DD63488A-F673-4D65-895B-7F29D3D6E06A}"/>
    <cellStyle name="Comma 17 5" xfId="652" xr:uid="{551B1630-A03D-4519-B043-DCE7D1F8C0F4}"/>
    <cellStyle name="Comma 18" xfId="569" xr:uid="{8904425C-DF83-4A4B-842D-1206B300B499}"/>
    <cellStyle name="Comma 18 2" xfId="2590" xr:uid="{60F72F88-188E-4EC8-BED6-B50EA883F0CD}"/>
    <cellStyle name="Comma 18 3" xfId="656" xr:uid="{8B7220C8-1AD8-4DF4-84D2-96F813DFA1F0}"/>
    <cellStyle name="Comma 19" xfId="581" xr:uid="{D4A33E5B-1268-4922-BE60-9E0D5DDD13A8}"/>
    <cellStyle name="Comma 19 2" xfId="2645" xr:uid="{5047A80E-A41E-43D9-94F3-CCE742280ABA}"/>
    <cellStyle name="Comma 19 3" xfId="659" xr:uid="{FC974EB5-CB4F-4975-94EA-747AEDB8A572}"/>
    <cellStyle name="Comma 2" xfId="4" xr:uid="{DE6ED3F5-F9CA-487E-AF1F-182751D61475}"/>
    <cellStyle name="Comma 2 10" xfId="568" xr:uid="{C681B4A7-5C8C-49E9-82DA-3B97F3685036}"/>
    <cellStyle name="Comma 2 10 2" xfId="45" xr:uid="{ABFF656A-A0EA-4BB4-8C77-2208A5071506}"/>
    <cellStyle name="Comma 2 10 2 2" xfId="494" xr:uid="{3BA677B5-897D-47DD-959A-4DD5344EE870}"/>
    <cellStyle name="Comma 2 10 2 3" xfId="3607" xr:uid="{5AD3EBF2-9C54-4261-8538-7A5A351A8768}"/>
    <cellStyle name="Comma 2 11" xfId="3820" xr:uid="{402633E1-ED97-4241-836D-7D3E9272C526}"/>
    <cellStyle name="Comma 2 14" xfId="112" xr:uid="{EFF6494B-8E05-40B5-9E18-63916E0FFA55}"/>
    <cellStyle name="Comma 2 14 2" xfId="453" xr:uid="{E46FFBB9-5D93-4706-AE52-40A017641AAD}"/>
    <cellStyle name="Comma 2 141" xfId="586" xr:uid="{AC65F9A6-9AEB-47C9-A09C-B1FAE686CBBC}"/>
    <cellStyle name="Comma 2 2" xfId="10" xr:uid="{820B9CAF-7035-487F-99D7-E7B62194F50E}"/>
    <cellStyle name="Comma 2 2 10" xfId="588" xr:uid="{553A9269-CF29-40A3-B678-3FC10D8FE6C4}"/>
    <cellStyle name="Comma 2 2 2" xfId="203" xr:uid="{8F614466-434B-49A0-A6F7-B61494C1F010}"/>
    <cellStyle name="Comma 2 2 2 2" xfId="507" xr:uid="{08099103-F9A1-4FA2-B060-468147FCA318}"/>
    <cellStyle name="Comma 2 2 2 2 2" xfId="3873" xr:uid="{DDD15F3C-5751-4822-A988-2DAA3E07EA90}"/>
    <cellStyle name="Comma 2 2 2 2 3" xfId="3333" xr:uid="{9F31B18C-0927-43C6-A6E9-9D2B3E9BC3AC}"/>
    <cellStyle name="Comma 2 2 2 3" xfId="473" xr:uid="{950F9D0F-EC45-4890-A460-254DC3D08374}"/>
    <cellStyle name="Comma 2 2 2 3 2" xfId="3852" xr:uid="{8A9A71E6-0E96-4642-9C53-31EA2263E062}"/>
    <cellStyle name="Comma 2 2 2 3 3" xfId="2531" xr:uid="{FF2D85C0-50E2-47ED-A95A-3B345366B11E}"/>
    <cellStyle name="Comma 2 2 2 4" xfId="3710" xr:uid="{A5859422-A505-4FA1-AA43-D381C089A071}"/>
    <cellStyle name="Comma 2 2 2 5" xfId="3830" xr:uid="{5F5A7019-EF0A-4122-85B9-3D2F2A7E2C26}"/>
    <cellStyle name="Comma 2 2 2 6" xfId="638" xr:uid="{FE051FF9-2D5B-4804-B639-79B98FCBBC17}"/>
    <cellStyle name="Comma 2 2 27" xfId="587" xr:uid="{A1669EAC-DDC6-4E64-872A-C17C4047763D}"/>
    <cellStyle name="Comma 2 2 3" xfId="500" xr:uid="{CBFE388C-986D-4F4F-A00C-71B9FF834CC4}"/>
    <cellStyle name="Comma 2 2 3 2" xfId="3334" xr:uid="{3EE104C9-E4CE-4623-A429-1F5A453DDFA5}"/>
    <cellStyle name="Comma 2 2 3 3" xfId="3868" xr:uid="{C41CD107-7AF6-47CE-87A0-59AA0F0F2DE7}"/>
    <cellStyle name="Comma 2 2 3 4" xfId="2194" xr:uid="{42193FF6-5C62-4EB4-99F7-F76C7C0117F6}"/>
    <cellStyle name="Comma 2 2 4" xfId="481" xr:uid="{D84AB34D-2C61-428C-8960-6332E4A5B213}"/>
    <cellStyle name="Comma 2 2 4 2" xfId="2196" xr:uid="{425D0CBF-FCFB-4AE4-8B25-83D768E14927}"/>
    <cellStyle name="Comma 2 2 4 2 2" xfId="2533" xr:uid="{A2B988C1-2BE0-4832-81B5-8CA62E77D419}"/>
    <cellStyle name="Comma 2 2 4 3" xfId="2532" xr:uid="{065968E1-3013-4B60-B250-E109CCD5B8B0}"/>
    <cellStyle name="Comma 2 2 4 4" xfId="3857" xr:uid="{F61932DD-0BE7-4F93-B33E-9D6415EB5FDA}"/>
    <cellStyle name="Comma 2 2 4 5" xfId="2195" xr:uid="{D10734C3-1CF5-4A6D-B082-734AF4F6462A}"/>
    <cellStyle name="Comma 2 2 5" xfId="537" xr:uid="{A646DE96-9DD6-42AA-92CD-F9354C25ED77}"/>
    <cellStyle name="Comma 2 2 5 2" xfId="3899" xr:uid="{5F0924BD-CAD9-45B7-B31A-20A5258A22E5}"/>
    <cellStyle name="Comma 2 2 5 3" xfId="2772" xr:uid="{B168EC59-F204-47F5-8988-6AA07A06FC05}"/>
    <cellStyle name="Comma 2 2 6" xfId="551" xr:uid="{420D95F2-43F0-4F4E-8D34-ADC3142A228A}"/>
    <cellStyle name="Comma 2 2 7" xfId="63" xr:uid="{50BFA3F2-9A35-435A-A246-384403A8D765}"/>
    <cellStyle name="Comma 2 2 7 2" xfId="3631" xr:uid="{40EBF31F-6CD4-476A-BFB9-C1E48EBB4BAA}"/>
    <cellStyle name="Comma 2 2 8" xfId="566" xr:uid="{B622406C-48A7-4073-9115-03B486CED7B9}"/>
    <cellStyle name="Comma 2 2 8 2" xfId="3653" xr:uid="{C574203F-62DE-4581-B564-2DA7FF756E6A}"/>
    <cellStyle name="Comma 2 2 9" xfId="3823" xr:uid="{3A6D003E-59E2-4DD6-8226-2D60D76F3E25}"/>
    <cellStyle name="Comma 2 3" xfId="11" xr:uid="{03648A08-0709-47E6-AC3C-F03EA42DB08C}"/>
    <cellStyle name="Comma 2 3 2" xfId="205" xr:uid="{5F919E2F-E22F-4264-9E28-092243190087}"/>
    <cellStyle name="Comma 2 3 2 2" xfId="455" xr:uid="{B2F232E4-703F-4066-A51D-1FE3EE56410C}"/>
    <cellStyle name="Comma 2 3 2 3" xfId="2534" xr:uid="{222D86D6-BD4B-4142-8588-1054CD978811}"/>
    <cellStyle name="Comma 2 3 3" xfId="454" xr:uid="{818C6DD9-1181-4781-85FA-A0D42FC6CDA3}"/>
    <cellStyle name="Comma 2 3 3 2" xfId="3847" xr:uid="{6E55C474-EDBE-4ACE-8FDF-A401126E190A}"/>
    <cellStyle name="Comma 2 3 3 3" xfId="2695" xr:uid="{3180204C-A0B8-409D-B786-3B7A59D7EE8A}"/>
    <cellStyle name="Comma 2 3 4" xfId="93" xr:uid="{F299D5C3-915D-4CBD-9982-7C20319EDDF5}"/>
    <cellStyle name="Comma 2 3 5" xfId="648" xr:uid="{96EB6D30-543A-4582-AE24-0169E2B69CAE}"/>
    <cellStyle name="Comma 2 4" xfId="446" xr:uid="{4310F252-1E9E-4B65-9E15-BFB8895ED925}"/>
    <cellStyle name="Comma 2 4 2" xfId="513" xr:uid="{312EF320-DF41-4F9F-B0F3-7A51E0CFA18D}"/>
    <cellStyle name="Comma 2 4 2 2" xfId="3879" xr:uid="{D9724D73-40F9-4C70-8AE2-C58C549C54F7}"/>
    <cellStyle name="Comma 2 4 2 3" xfId="3335" xr:uid="{91B8F709-72FC-4934-A61E-097A80E389DF}"/>
    <cellStyle name="Comma 2 4 3" xfId="2530" xr:uid="{87D50F0C-9803-4916-9841-CCCACDFA75A8}"/>
    <cellStyle name="Comma 2 4 4" xfId="3840" xr:uid="{46AC4B32-AAC1-4D5F-82E7-5F958BA3EE63}"/>
    <cellStyle name="Comma 2 4 5" xfId="629" xr:uid="{C08DF684-1DC3-4355-B736-C25E7B57E47F}"/>
    <cellStyle name="Comma 2 5" xfId="12" xr:uid="{2FB78D35-0A78-472E-855D-432520AC56C2}"/>
    <cellStyle name="Comma 2 5 2" xfId="556" xr:uid="{E13D599F-6FFD-4C2C-82AB-0EA9FAE04637}"/>
    <cellStyle name="Comma 2 5 2 2" xfId="3912" xr:uid="{5FDC39BC-C608-45B8-87BA-3D7A3E3DCB95}"/>
    <cellStyle name="Comma 2 5 2 3" xfId="1851" xr:uid="{E8C780A5-2DC0-458E-A100-71FA7F38E53B}"/>
    <cellStyle name="Comma 2 5 3" xfId="498" xr:uid="{24D02CD7-6044-4D7D-AF6B-8FDEE037EC1F}"/>
    <cellStyle name="Comma 2 5 3 2" xfId="3614" xr:uid="{5CAD19D8-2B1A-4E55-B1EB-C9FE88412506}"/>
    <cellStyle name="Comma 2 5 4" xfId="3867" xr:uid="{FBB7A0D1-80E3-497B-8A6D-A4229DD174F6}"/>
    <cellStyle name="Comma 2 5 5" xfId="617" xr:uid="{127F54E6-B558-4A07-9F0C-C3D519E6F9FD}"/>
    <cellStyle name="Comma 2 6" xfId="483" xr:uid="{2458E623-E787-461A-BE9E-D758E0AE5AD2}"/>
    <cellStyle name="Comma 2 6 2" xfId="3858" xr:uid="{C398E350-CEB6-4C32-93E0-2821D79B3E8B}"/>
    <cellStyle name="Comma 2 6 3" xfId="2794" xr:uid="{CA9F4A15-5251-498E-81CC-02E2657D6726}"/>
    <cellStyle name="Comma 2 7" xfId="526" xr:uid="{40625BAA-FA4E-4D75-93B6-D7C0D24BB92E}"/>
    <cellStyle name="Comma 2 7 2" xfId="3890" xr:uid="{D006D87E-0EFE-424B-8348-69EDEDBF268C}"/>
    <cellStyle name="Comma 2 7 3" xfId="3589" xr:uid="{B856857C-1051-4D3B-8A16-38AE2ABEE3F1}"/>
    <cellStyle name="Comma 2 8" xfId="548" xr:uid="{BD08EDCF-D10D-40C7-AD70-BD30AC848012}"/>
    <cellStyle name="Comma 2 8 2" xfId="3906" xr:uid="{A2905777-2F17-4580-907E-EE8C88CF6A41}"/>
    <cellStyle name="Comma 2 8 3" xfId="612" xr:uid="{80E0E2BA-14B6-4564-992B-70196C703E59}"/>
    <cellStyle name="Comma 2 9" xfId="53" xr:uid="{CA270BF8-663F-4282-A6A8-9439C9ADDE21}"/>
    <cellStyle name="Comma 2 9 2" xfId="572" xr:uid="{9D44F07D-E561-4A00-8B61-687EF37779EA}"/>
    <cellStyle name="Comma 2 9 3" xfId="3645" xr:uid="{C813EE33-9196-4404-8697-E66DD0082F9A}"/>
    <cellStyle name="Comma 2_Giao dịch mua bán" xfId="191" xr:uid="{2C021F94-46D4-4A6E-9988-143225296FF5}"/>
    <cellStyle name="Comma 20" xfId="654" xr:uid="{573E3143-F5B8-4A51-B9B4-BD9C2E8FC97F}"/>
    <cellStyle name="Comma 20 2" xfId="2617" xr:uid="{0D1B7E39-6E21-4C62-BDD7-E47363AD00CD}"/>
    <cellStyle name="Comma 21" xfId="660" xr:uid="{7384CB4F-DA5D-47DF-9A23-72296E8E4F54}"/>
    <cellStyle name="Comma 21 2" xfId="2739" xr:uid="{BBBB414D-F83D-4A95-B351-BDBDA58C0321}"/>
    <cellStyle name="Comma 22" xfId="661" xr:uid="{4FF97E36-2D47-46D2-B54A-C542CD3608D0}"/>
    <cellStyle name="Comma 22 2" xfId="2604" xr:uid="{7ABBEB82-5BCD-4956-83DB-ED15B8258F6C}"/>
    <cellStyle name="Comma 23" xfId="662" xr:uid="{65C84D2F-58E4-4CF5-81DD-E80AD9750D83}"/>
    <cellStyle name="Comma 23 2" xfId="2720" xr:uid="{7AE23437-9AF7-4717-B8C0-5C59EFE464FA}"/>
    <cellStyle name="Comma 24" xfId="2767" xr:uid="{38343A41-B8C8-4B13-8F39-411F20045E1B}"/>
    <cellStyle name="Comma 25" xfId="2740" xr:uid="{5E70B6D7-F1AA-457C-8316-7E67D15E3A2F}"/>
    <cellStyle name="Comma 26" xfId="2766" xr:uid="{54295C72-2B53-4DA3-8A5D-1909806DB4D6}"/>
    <cellStyle name="Comma 27" xfId="700" xr:uid="{DBC425DF-51D4-4717-A6A7-951D3099FDE1}"/>
    <cellStyle name="Comma 28" xfId="149" xr:uid="{76D38920-DCD5-420B-91CF-467515ABBB88}"/>
    <cellStyle name="Comma 28 2" xfId="456" xr:uid="{4144D64B-23A7-4339-B939-DC8CAE0B6487}"/>
    <cellStyle name="Comma 28 3" xfId="90" xr:uid="{75CEDB26-FBBF-4B0A-9706-DFB968847378}"/>
    <cellStyle name="Comma 28 3 2" xfId="457" xr:uid="{718B8FB2-9530-400E-9FEF-CAD78684B80A}"/>
    <cellStyle name="Comma 29" xfId="148" xr:uid="{BB891027-0665-43FC-9171-65A3FCD5D557}"/>
    <cellStyle name="Comma 29 2" xfId="87" xr:uid="{FB504963-DF2F-4C43-8CFB-CCDFD4AF4AAE}"/>
    <cellStyle name="Comma 29 2 2" xfId="459" xr:uid="{D57BDBD0-1CAE-4652-8850-D3B881CD47F7}"/>
    <cellStyle name="Comma 29 3" xfId="458" xr:uid="{72F195CF-203C-48DE-AF56-87FEACA6551F}"/>
    <cellStyle name="Comma 29 4" xfId="2792" xr:uid="{893B1559-FE3A-42BE-B421-ED057D8CC39B}"/>
    <cellStyle name="Comma 3" xfId="13" xr:uid="{C023D76C-DE6D-4D8B-A24F-FC41CF63C3F1}"/>
    <cellStyle name="Comma 3 2" xfId="136" xr:uid="{888A6431-4BED-4E4C-AFE9-556D717FC960}"/>
    <cellStyle name="Comma 3 2 2" xfId="502" xr:uid="{EC2DCAE2-A193-49A1-9610-617B3D9978CA}"/>
    <cellStyle name="Comma 3 2 2 2" xfId="3336" xr:uid="{7F37E0A1-9D1D-4153-B612-56F5590E519B}"/>
    <cellStyle name="Comma 3 2 3" xfId="479" xr:uid="{0144737D-91CA-4979-A012-754E9CFDF971}"/>
    <cellStyle name="Comma 3 2 3 2" xfId="3856" xr:uid="{1D7CF7D7-F7D1-4F23-9994-655911C05385}"/>
    <cellStyle name="Comma 3 2 3 3" xfId="2827" xr:uid="{4C19C9CC-D4BA-4B10-8DE2-4A91793894B2}"/>
    <cellStyle name="Comma 3 2 4" xfId="1855" xr:uid="{4430EDDA-84AA-499C-A2F1-C48E6531F106}"/>
    <cellStyle name="Comma 3 2 5" xfId="592" xr:uid="{35C35CE0-1016-441A-8D56-7095DD99B4EF}"/>
    <cellStyle name="Comma 3 21" xfId="601" xr:uid="{56F89EE1-11D4-429A-AEFB-43B62BB2E6FE}"/>
    <cellStyle name="Comma 3 3" xfId="95" xr:uid="{D5C6C763-E8FA-4BA6-A081-110ACA129FF4}"/>
    <cellStyle name="Comma 3 3 2" xfId="460" xr:uid="{33A3D5CB-1A7A-4F40-9D10-328057DF6563}"/>
    <cellStyle name="Comma 3 3 2 2" xfId="3848" xr:uid="{64783CE6-0918-4EBD-9B37-DB545AD0ADD3}"/>
    <cellStyle name="Comma 3 3 2 3" xfId="2686" xr:uid="{932B5513-CEEA-417E-BE0F-91401AD0968E}"/>
    <cellStyle name="Comma 3 3 3" xfId="3670" xr:uid="{1BAEC69B-4354-4FCE-991A-B75093557606}"/>
    <cellStyle name="Comma 3 3 4" xfId="624" xr:uid="{09228637-607D-4643-8E6D-A01392D4CBE9}"/>
    <cellStyle name="Comma 3 4" xfId="529" xr:uid="{402DE454-A079-43AF-8D5E-0695D7F63A3A}"/>
    <cellStyle name="Comma 3 4 2" xfId="3337" xr:uid="{75720589-CA3D-49B0-A23B-2BB91BC29385}"/>
    <cellStyle name="Comma 3 4 3" xfId="3892" xr:uid="{F2562D4C-CC91-43B1-BCDC-0F9BC4BE1337}"/>
    <cellStyle name="Comma 3 4 4" xfId="1639" xr:uid="{0D352CC9-B807-49CA-A11D-2BD74E8DC8C5}"/>
    <cellStyle name="Comma 3 5" xfId="141" xr:uid="{19D8BD89-2941-4D44-BB40-C4BCE344571F}"/>
    <cellStyle name="Comma 3 5 2" xfId="505" xr:uid="{53DC374A-0A05-40E1-9195-83D0F8BB8A07}"/>
    <cellStyle name="Comma 3 5 2 2" xfId="3871" xr:uid="{2526DC2B-FDE9-4A1A-B72B-DC18AC4084D0}"/>
    <cellStyle name="Comma 3 5 2 3" xfId="3338" xr:uid="{065A863D-2839-4446-A049-9FB52D88F2CF}"/>
    <cellStyle name="Comma 3 5 3" xfId="476" xr:uid="{F3DB676E-A2E0-42F8-8432-9CD43764C0CF}"/>
    <cellStyle name="Comma 3 5 4" xfId="3829" xr:uid="{3C5FC0E7-EEF9-4C82-A0A2-8AD4465D43FE}"/>
    <cellStyle name="Comma 3 5 5" xfId="2797" xr:uid="{B2E17860-C3D8-4DEC-A3FE-3146E86EAC07}"/>
    <cellStyle name="Comma 3 6" xfId="61" xr:uid="{00244737-C83E-4DBA-BF64-4E9F5D9CF7E1}"/>
    <cellStyle name="Comma 3 6 2" xfId="3626" xr:uid="{CBBDAEB6-2119-4706-9984-1157A4A05D42}"/>
    <cellStyle name="Comma 3 7" xfId="564" xr:uid="{55DFCBFA-D13A-495B-94BD-B3DF53EBCBA8}"/>
    <cellStyle name="Comma 3 7 2" xfId="3651" xr:uid="{AF322609-8F88-40B3-B5A7-13FDFD597A3F}"/>
    <cellStyle name="Comma 3 8" xfId="590" xr:uid="{BD91B5F3-4EB8-4B64-85A2-5D1EDFDD921B}"/>
    <cellStyle name="Comma 3_Giao dịch mua bán" xfId="192" xr:uid="{D83102B3-B17C-49D9-A624-6ADFB1D3E146}"/>
    <cellStyle name="Comma 30" xfId="88" xr:uid="{B428F35C-A15D-4257-ADA0-0256A463A4F2}"/>
    <cellStyle name="Comma 30 2" xfId="116" xr:uid="{AC21A1E6-CC36-49E4-930E-4FAF959CE1C6}"/>
    <cellStyle name="Comma 30 2 2" xfId="462" xr:uid="{3BEB6B37-0ACF-499B-A094-9D5FF8F1C04F}"/>
    <cellStyle name="Comma 30 3" xfId="461" xr:uid="{61AA4FA7-DD11-468D-8167-1F166596BFF1}"/>
    <cellStyle name="Comma 30 4" xfId="2814" xr:uid="{42A2101F-F746-462B-AA35-9FECA4A7B0A6}"/>
    <cellStyle name="Comma 31" xfId="164" xr:uid="{7EFD4F41-0A15-4A7F-BCF4-EFD16DFAE2C0}"/>
    <cellStyle name="Comma 31 2" xfId="506" xr:uid="{10AFA8F5-0DB4-497F-A8D7-9B811F85A122}"/>
    <cellStyle name="Comma 31 2 2" xfId="3872" xr:uid="{DBB5F9DE-D1B0-4AB0-A493-D8A9C7E1F0E6}"/>
    <cellStyle name="Comma 31 2 3" xfId="3700" xr:uid="{EC55D2D7-6C1B-4FDC-9D49-39D18EBAD191}"/>
    <cellStyle name="Comma 31 3" xfId="475" xr:uid="{C2BD72C9-46B1-4345-AC6F-70CCC0A986AF}"/>
    <cellStyle name="Comma 32" xfId="143" xr:uid="{5113D7F7-F5E2-465D-B869-054C61AEFA7B}"/>
    <cellStyle name="Comma 32 2" xfId="166" xr:uid="{A6698BCC-AAFC-4C5C-B100-5997A928000E}"/>
    <cellStyle name="Comma 32 2 2" xfId="464" xr:uid="{57F60AE1-EE76-471D-BD3F-DF69BA556DD0}"/>
    <cellStyle name="Comma 32 3" xfId="463" xr:uid="{0DB766E3-521F-45DF-A11B-BA49F9DBEAB9}"/>
    <cellStyle name="Comma 32 4" xfId="671" xr:uid="{7781BE26-5677-47A6-A0DF-5276D422D5BF}"/>
    <cellStyle name="Comma 33" xfId="611" xr:uid="{A0645AE0-CA5A-45BE-874F-A804199E1C26}"/>
    <cellStyle name="Comma 34" xfId="98" xr:uid="{6154D680-F0D7-42F9-8DF8-45015E4EAC26}"/>
    <cellStyle name="Comma 34 2" xfId="501" xr:uid="{383682FD-1C61-4B79-B6C6-C1DE7C055CF2}"/>
    <cellStyle name="Comma 34 2 2" xfId="3869" xr:uid="{CCAB14A7-AF71-4F21-82A8-343BF09BC9B1}"/>
    <cellStyle name="Comma 34 2 3" xfId="3673" xr:uid="{99B87A79-6FDB-4DE1-9C5C-8139782CEF3F}"/>
    <cellStyle name="Comma 34 3" xfId="480" xr:uid="{74F1A93B-0940-431F-B19E-8A3B042679CE}"/>
    <cellStyle name="Comma 34 4" xfId="3826" xr:uid="{12291856-10A4-4A36-81A3-BADB6F2B0AAD}"/>
    <cellStyle name="Comma 34 5" xfId="3598" xr:uid="{651F1E52-47DF-4C2E-96D8-E795995E5DD1}"/>
    <cellStyle name="Comma 35" xfId="110" xr:uid="{25AF661A-3B40-415F-9110-6705AEA537F9}"/>
    <cellStyle name="Comma 35 2" xfId="465" xr:uid="{2E6EDC5F-C0D4-4CB5-A970-0A0C8D59F3D1}"/>
    <cellStyle name="Comma 35 3" xfId="3619" xr:uid="{1C7ADDA6-EF53-4C9F-8A85-4E5A2826EDB3}"/>
    <cellStyle name="Comma 36" xfId="3638" xr:uid="{B657D085-2FA3-4E69-BEA2-239613FD64D2}"/>
    <cellStyle name="Comma 37" xfId="118" xr:uid="{6A2A45EA-8E20-4387-87B5-23EB7925751E}"/>
    <cellStyle name="Comma 37 2" xfId="466" xr:uid="{D511A723-B177-473D-A530-2C14CD9ABB8C}"/>
    <cellStyle name="Comma 37 3" xfId="3639" xr:uid="{7D57E42C-0A38-43BF-9AE6-1901A056D26D}"/>
    <cellStyle name="Comma 38" xfId="3643" xr:uid="{675DD3D1-E4CB-41E0-B0F1-C9E363EC5053}"/>
    <cellStyle name="Comma 39" xfId="613" xr:uid="{0B2028EE-84E1-4369-BA97-03C8D3C2E8AA}"/>
    <cellStyle name="Comma 4" xfId="57" xr:uid="{9148FB8A-5075-48C9-B4E2-67CF14830D82}"/>
    <cellStyle name="Comma 4 18" xfId="162" xr:uid="{21245FF2-454F-4F12-9ACA-B36EC02C4791}"/>
    <cellStyle name="Comma 4 2" xfId="31" xr:uid="{C213EE42-2E7A-432F-ADD5-581218205522}"/>
    <cellStyle name="Comma 4 2 2" xfId="504" xr:uid="{46E4BA7E-47CB-4388-AEC9-415DD8481917}"/>
    <cellStyle name="Comma 4 2 3" xfId="477" xr:uid="{FD314195-7CA6-48B2-834E-5DE1824D75D2}"/>
    <cellStyle name="Comma 4 2 3 2" xfId="3854" xr:uid="{F98DD8B6-0C8D-4531-BAA2-BA2BA3FF6B9B}"/>
    <cellStyle name="Comma 4 2 3 3" xfId="682" xr:uid="{8BC3CF2A-7A14-414B-BF57-A35BEBC643A5}"/>
    <cellStyle name="Comma 4 2 4" xfId="140" xr:uid="{A57554FD-6FEE-4DF8-8EB0-5A6A4E7AF540}"/>
    <cellStyle name="Comma 4 2 5" xfId="567" xr:uid="{A9025075-404B-4802-8D40-C605C56DE1F1}"/>
    <cellStyle name="Comma 4 2 6" xfId="639" xr:uid="{586E43E9-4C38-4723-9117-38F9F294AFFE}"/>
    <cellStyle name="Comma 4 3" xfId="14" xr:uid="{3ABD5D63-3078-4161-B42A-CE70D5E243BA}"/>
    <cellStyle name="Comma 4 3 2" xfId="555" xr:uid="{BF83C228-51DD-43AF-9717-3394DDEED3FE}"/>
    <cellStyle name="Comma 4 3 2 2" xfId="3911" xr:uid="{55CC731F-78CA-4250-BA22-C71601EF8D5F}"/>
    <cellStyle name="Comma 4 3 2 3" xfId="2649" xr:uid="{5DB81515-3D4B-4A3A-A41B-0321EAAB295E}"/>
    <cellStyle name="Comma 4 3 3" xfId="105" xr:uid="{DF44AA2F-4A9D-4B8D-BA51-6E315B081533}"/>
    <cellStyle name="Comma 4 3 3 2" xfId="3613" xr:uid="{FAD64C30-507E-4347-BA93-975D2128DDF4}"/>
    <cellStyle name="Comma 4 3 4" xfId="3679" xr:uid="{B5A1C467-913A-486F-B710-0FBE5371D082}"/>
    <cellStyle name="Comma 4 3 5" xfId="628" xr:uid="{D14B5445-6242-4D03-9B95-A0DC931EB54E}"/>
    <cellStyle name="Comma 4 4" xfId="499" xr:uid="{71EC2FF1-886C-4799-B8A4-F7132774EC6B}"/>
    <cellStyle name="Comma 4 5" xfId="482" xr:uid="{D618196D-8B1A-4892-8AF4-2BBDB8340E1D}"/>
    <cellStyle name="Comma 4 6" xfId="531" xr:uid="{C84CDEC6-F5CD-434F-8B1A-EE2BD54BE93B}"/>
    <cellStyle name="Comma 4 6 2" xfId="3894" xr:uid="{0E721F04-10C9-430C-AFB4-E2CD9FC5B6EC}"/>
    <cellStyle name="Comma 4 6 3" xfId="3628" xr:uid="{EBDF8CFB-1E48-45BE-8074-2463E0E592BB}"/>
    <cellStyle name="Comma 4 7" xfId="3648" xr:uid="{C19670C2-3F6C-4CF0-868C-6F2148A4FAEE}"/>
    <cellStyle name="Comma 4_Giao dịch mua bán" xfId="182" xr:uid="{2A78219A-4158-47D9-B86C-9401BE2EF5F3}"/>
    <cellStyle name="Comma 40" xfId="3707" xr:uid="{BB8F2769-AE20-460C-AC6F-C450015F311E}"/>
    <cellStyle name="Comma 41" xfId="3811" xr:uid="{23931742-533F-4826-90A3-649F6E1ED094}"/>
    <cellStyle name="Comma 42" xfId="3810" xr:uid="{35ED5C19-8E6F-47AB-91C0-88259BCC73EC}"/>
    <cellStyle name="Comma 43" xfId="3923" xr:uid="{D29C5257-4126-4A37-8E89-6101A5503399}"/>
    <cellStyle name="Comma 5" xfId="200" xr:uid="{B068BCF3-D9CF-4E2C-B7C9-5DB65A260262}"/>
    <cellStyle name="Comma 5 2" xfId="15" xr:uid="{25C8FB4B-CA31-4E3A-8816-00731BC7A211}"/>
    <cellStyle name="Comma 5 2 2" xfId="553" xr:uid="{8D5368E2-5014-4552-8F38-8EABC43A36F4}"/>
    <cellStyle name="Comma 5 2 2 2" xfId="3909" xr:uid="{81C844B8-6765-4EFA-90A9-5D88991EDBF8}"/>
    <cellStyle name="Comma 5 2 2 3" xfId="3339" xr:uid="{42DB2FE2-2DE7-41A9-B751-06B02143F100}"/>
    <cellStyle name="Comma 5 2 3" xfId="467" xr:uid="{02CF6000-539C-4108-AFF9-76917D88F4FA}"/>
    <cellStyle name="Comma 5 2 3 2" xfId="2832" xr:uid="{3B42596D-BD39-41C6-A6F1-4723283E02EF}"/>
    <cellStyle name="Comma 5 2 4" xfId="2700" xr:uid="{6B6E7198-1475-4201-B44B-7A442640AC80}"/>
    <cellStyle name="Comma 5 2 5" xfId="3610" xr:uid="{B0DCB7F5-0E6F-415A-84AD-7AA17E3864EC}"/>
    <cellStyle name="Comma 5 2 6" xfId="3849" xr:uid="{49CD9620-9423-4F73-888B-07FFABF54FD9}"/>
    <cellStyle name="Comma 5 2 7" xfId="632" xr:uid="{27196FB7-7103-43E4-9FE1-170ED8835061}"/>
    <cellStyle name="Comma 5 3" xfId="533" xr:uid="{6FEEBBB0-E337-4448-AB7B-0A3EAA15AFE3}"/>
    <cellStyle name="Comma 5 3 2" xfId="3896" xr:uid="{93FF2C29-385B-4066-99C6-BA6DC1695406}"/>
    <cellStyle name="Comma 5 3 3" xfId="2744" xr:uid="{DBD6DD1E-34AA-46E5-9F28-AB7FCA3CB0FF}"/>
    <cellStyle name="Comma 5 4" xfId="1860" xr:uid="{81644B75-C765-456E-8C06-120335A6CBA4}"/>
    <cellStyle name="Comma 5 4 2" xfId="3340" xr:uid="{DDBE9CFB-4DE7-4318-AFFC-72C6722F8ED6}"/>
    <cellStyle name="Comma 5 5" xfId="2800" xr:uid="{2304DD23-2A99-4566-9192-17029ED57241}"/>
    <cellStyle name="Comma 5 6" xfId="678" xr:uid="{9BDED71E-3FE1-4154-8432-44EAED09E08F}"/>
    <cellStyle name="Comma 5 7" xfId="618" xr:uid="{8BBCD648-084C-4A5B-8D49-AD04F7A44926}"/>
    <cellStyle name="Comma 6" xfId="33" xr:uid="{D7B204B5-D3CC-40A7-B6DF-5E1FAFF1C40D}"/>
    <cellStyle name="Comma 6 10" xfId="3623" xr:uid="{99F797F7-6CA9-47B4-A4F6-EEA83A67D864}"/>
    <cellStyle name="Comma 6 11" xfId="635" xr:uid="{09DBB968-1910-4D40-85AE-935E45099D5F}"/>
    <cellStyle name="Comma 6 2" xfId="108" xr:uid="{7E6D9A2D-14E7-4FCC-A992-F44199B1AD87}"/>
    <cellStyle name="Comma 6 2 2" xfId="3341" xr:uid="{B110E10C-1236-4BA6-8C05-B2FB5ADEB00E}"/>
    <cellStyle name="Comma 6 2 3" xfId="2970" xr:uid="{ED6FBB33-2EF2-46EC-A1C9-05D29BD33A51}"/>
    <cellStyle name="Comma 6 2 4" xfId="3827" xr:uid="{22AF8F83-7CDB-4BB3-8D9F-86EAA216E7A6}"/>
    <cellStyle name="Comma 6 2 5" xfId="2653" xr:uid="{037655D4-5A32-4685-B5CA-F8CE4FA9776A}"/>
    <cellStyle name="Comma 6 3" xfId="488" xr:uid="{9B4B3307-43BE-4571-A70F-44F8534C0468}"/>
    <cellStyle name="Comma 6 4" xfId="574" xr:uid="{E43ECDF8-EA66-43EB-B711-05723780DE61}"/>
    <cellStyle name="Comma 6 4 2" xfId="3342" xr:uid="{6009C5C6-0894-4411-B889-11B023F68447}"/>
    <cellStyle name="Comma 6 4 3" xfId="2647" xr:uid="{45639FC7-1D47-423E-85AB-25BC730CEBC7}"/>
    <cellStyle name="Comma 6 5" xfId="1865" xr:uid="{A864795C-BF2C-400A-B536-A446E6925773}"/>
    <cellStyle name="Comma 6 6" xfId="2804" xr:uid="{508F48BA-A3D6-4A57-9099-BB7CE986C15C}"/>
    <cellStyle name="Comma 6 7" xfId="2822" xr:uid="{4CA9975C-39E9-4567-B823-3AB780A14E4F}"/>
    <cellStyle name="Comma 6 8" xfId="670" xr:uid="{654C021B-A5F4-45F0-9CF2-8DB9A71DE8F3}"/>
    <cellStyle name="Comma 6 9" xfId="3603" xr:uid="{524ED5EB-24AC-4957-A82E-DB2E115D311B}"/>
    <cellStyle name="Comma 7" xfId="229" xr:uid="{5487F636-0224-42C9-836C-EF018B3F3767}"/>
    <cellStyle name="Comma 7 2" xfId="575" xr:uid="{549A6239-EF71-4E38-ABDE-E79A12D2030C}"/>
    <cellStyle name="Comma 7 2 2" xfId="3343" xr:uid="{0FBCCA37-5B23-4710-8834-89DFAE4C8D6A}"/>
    <cellStyle name="Comma 7 2 3" xfId="2972" xr:uid="{F2221FE4-C93D-47DF-922C-F155BFC774FD}"/>
    <cellStyle name="Comma 7 2 4" xfId="2712" xr:uid="{F5846D07-A385-4ABF-908F-6EE78D51F0CF}"/>
    <cellStyle name="Comma 7 3" xfId="2738" xr:uid="{3A839E5E-4612-4A93-9189-0333A36E9192}"/>
    <cellStyle name="Comma 7 4" xfId="2760" xr:uid="{EB83DE68-F698-42C8-BA90-BCEAB90C1135}"/>
    <cellStyle name="Comma 7 4 2" xfId="3344" xr:uid="{830871CA-C452-4915-90DE-86E7C4C047D2}"/>
    <cellStyle name="Comma 7 5" xfId="2824" xr:uid="{769D0B99-B214-4DE8-9B52-A861D341CCF3}"/>
    <cellStyle name="Comma 7 6" xfId="667" xr:uid="{08BF55D5-7250-4985-A764-49D638DBF4F7}"/>
    <cellStyle name="Comma 7 7" xfId="3721" xr:uid="{DA4E17D1-3C3B-4BEF-A5E5-467D4901E303}"/>
    <cellStyle name="Comma 7 8" xfId="591" xr:uid="{B330B655-97DB-437A-B9BC-FD6C95F99410}"/>
    <cellStyle name="Comma 8" xfId="16" xr:uid="{FC1CFEAA-5AFB-4449-BB87-88B7C58FDFBB}"/>
    <cellStyle name="Comma 8 2" xfId="2607" xr:uid="{13EAE532-51B4-4E21-B511-BE328544E304}"/>
    <cellStyle name="Comma 8 2 2" xfId="3345" xr:uid="{9D8F6148-94F9-4EEE-9D67-67BEDBB30091}"/>
    <cellStyle name="Comma 8 3" xfId="1872" xr:uid="{96570647-C3AA-4903-88F5-F25ED5BF6F02}"/>
    <cellStyle name="Comma 8 4" xfId="2811" xr:uid="{05AB2A4F-A8D5-4BE3-AD55-2749BC9D257B}"/>
    <cellStyle name="Comma 8 5" xfId="2999" xr:uid="{7E9A172D-851A-421B-A8F0-A1447EA301AD}"/>
    <cellStyle name="Comma 8 6" xfId="684" xr:uid="{967CF5D7-C3DD-4ABD-8D6D-24076FB0F11E}"/>
    <cellStyle name="Comma 8 7" xfId="3611" xr:uid="{35A8912D-1729-40DC-BE22-6C98425925D7}"/>
    <cellStyle name="Comma 8 8" xfId="619" xr:uid="{8F8F1AFB-AEA2-443F-AEAC-09B445DE174B}"/>
    <cellStyle name="Comma 9" xfId="235" xr:uid="{7A3B490B-55CE-42FE-BBBC-7E70D842C45A}"/>
    <cellStyle name="Comma 9 2" xfId="579" xr:uid="{949EFF18-4A49-4B45-AF7F-80E0176CE9CF}"/>
    <cellStyle name="Comma 9 2 2" xfId="689" xr:uid="{4A8C8C9D-D2D6-4AA5-937A-309FA1805770}"/>
    <cellStyle name="Comma 9 3" xfId="3722" xr:uid="{8D7358B5-D15E-46BF-AEBE-C1F64048B671}"/>
    <cellStyle name="Comma 9 4" xfId="609" xr:uid="{9C198E1F-D174-4CEB-AB5F-CFC09203E148}"/>
    <cellStyle name="comma zerodec" xfId="1159" xr:uid="{6A61FEB4-4D56-4D01-8479-51F4197A5636}"/>
    <cellStyle name="Comma0" xfId="1160" xr:uid="{8D7170E2-6F94-466D-83FC-CF1E96CAC551}"/>
    <cellStyle name="Company Name" xfId="1161" xr:uid="{A74EEB79-EB28-4F41-9A8B-F975A42A3A03}"/>
    <cellStyle name="CR Comma" xfId="1162" xr:uid="{0ABA6354-E623-4F94-8B21-3CE548ABF8AE}"/>
    <cellStyle name="CR Currency" xfId="1163" xr:uid="{407F53BA-7127-4054-B13A-F618AA3ED5B8}"/>
    <cellStyle name="Credit" xfId="1164" xr:uid="{9E8ABEF3-6AFF-4AFA-A624-F5217386A38F}"/>
    <cellStyle name="Credit subtotal" xfId="1165" xr:uid="{11B46F70-153D-469D-8E7B-2815A37D51EB}"/>
    <cellStyle name="Credit subtotal 2" xfId="2598" xr:uid="{CF0711EB-DD63-4599-AD76-5B822BC96E67}"/>
    <cellStyle name="Credit subtotal 2 2" xfId="3346" xr:uid="{C8720A3A-4EEC-40DA-9C4D-BBA6A41093ED}"/>
    <cellStyle name="Credit subtotal 2 3" xfId="3347" xr:uid="{422F614F-B9C0-4C89-AED3-7F8B3AF4EA47}"/>
    <cellStyle name="Credit subtotal 2 4" xfId="3348" xr:uid="{85E902E7-557B-4BB5-832C-39C7F6DF89D9}"/>
    <cellStyle name="Credit subtotal 2 5" xfId="2973" xr:uid="{63056B28-7E46-452B-A56B-D5E1463D1DB3}"/>
    <cellStyle name="Credit subtotal 3" xfId="2681" xr:uid="{1244F2A3-6ABE-496E-9BDE-546B67F31282}"/>
    <cellStyle name="Credit subtotal 3 2" xfId="3349" xr:uid="{339A7D7F-DCC0-4EEA-B9DD-94D74E49DD36}"/>
    <cellStyle name="Credit subtotal 4" xfId="3350" xr:uid="{CDE6B7B6-5CCC-4C15-8B58-1FEC464D7751}"/>
    <cellStyle name="Credit subtotal 5" xfId="2834" xr:uid="{2207662F-F357-4BD0-8573-396FDAD3EF41}"/>
    <cellStyle name="Credit Total" xfId="1166" xr:uid="{748A6048-D83E-47C2-86CD-CD6960DE4ABA}"/>
    <cellStyle name="Credit Total 2" xfId="2677" xr:uid="{50978974-9996-4F98-B80E-BA994E915AB4}"/>
    <cellStyle name="Credit Total 2 2" xfId="3351" xr:uid="{F7CBF18E-4592-43D6-9D78-39E84112AC5C}"/>
    <cellStyle name="Credit Total 2 3" xfId="3352" xr:uid="{F16D9822-C354-4304-939D-70EA9D903E8A}"/>
    <cellStyle name="Credit Total 2 4" xfId="3353" xr:uid="{4455D8E8-2ABF-44D0-88A5-F0ED1B5D84FE}"/>
    <cellStyle name="Credit Total 3" xfId="2694" xr:uid="{48F647E0-932F-4285-8C78-FC6C79DA0DD1}"/>
    <cellStyle name="Credit Total 4" xfId="3354" xr:uid="{5282C185-27DD-459C-AA32-1F860808E9FE}"/>
    <cellStyle name="Currency %" xfId="1167" xr:uid="{20FF31D7-1A1F-43C0-84A5-E9586970C16E}"/>
    <cellStyle name="Currency [0] 2" xfId="135" xr:uid="{41C7DED1-13C1-4138-9301-026CBA68FE52}"/>
    <cellStyle name="Currency [00]" xfId="1168" xr:uid="{840F6AF5-5AB4-4EB3-8576-1459051F675A}"/>
    <cellStyle name="Currency 0.0" xfId="1169" xr:uid="{1D141DC5-32CE-417D-869D-2D2963CDDBE0}"/>
    <cellStyle name="Currency 0.0%" xfId="1170" xr:uid="{4CC21C0E-81C9-4144-8C05-EF4540811184}"/>
    <cellStyle name="Currency 0.00" xfId="1171" xr:uid="{C8171AD6-CE9F-48AE-BB9C-104A6A15D665}"/>
    <cellStyle name="Currency 0.00%" xfId="1172" xr:uid="{5ABE5CE0-28D2-486A-ABD1-2FBB5BA4596E}"/>
    <cellStyle name="Currency 0.000" xfId="1173" xr:uid="{B9D62B09-90F0-4858-AA22-F26860A64F56}"/>
    <cellStyle name="Currency 0.000%" xfId="1174" xr:uid="{B0B93928-C76A-415B-91B8-3E4C1D354EB1}"/>
    <cellStyle name="Currency 10" xfId="2671" xr:uid="{82473956-8164-4E46-87E1-616BAEAE98F5}"/>
    <cellStyle name="Currency 2" xfId="1464" xr:uid="{495C26A9-F04C-437C-96AE-5093431CA8BA}"/>
    <cellStyle name="Currency 2 2" xfId="1725" xr:uid="{7954BCBD-7BCC-4EE5-B78D-4E273A986C20}"/>
    <cellStyle name="Currency 3" xfId="1637" xr:uid="{D646FA8B-595C-4193-992F-AE45E749B9B5}"/>
    <cellStyle name="Currency 4" xfId="977" xr:uid="{C034A9EF-7D59-42F9-B198-64CC9FC52450}"/>
    <cellStyle name="Currency 5" xfId="2619" xr:uid="{F51BA06B-1FF1-4618-9D7D-FD446CE0AD4A}"/>
    <cellStyle name="Currency 6" xfId="2673" xr:uid="{7DEDDAC4-A226-49DD-ADCC-363F72D2ED5F}"/>
    <cellStyle name="Currency 7" xfId="2714" xr:uid="{70DB1E8A-0F31-4EDE-914C-E137DEB7C342}"/>
    <cellStyle name="Currency 8" xfId="2764" xr:uid="{D6ABCE41-008E-44DA-8372-16B950FDE011}"/>
    <cellStyle name="Currency 9" xfId="2713" xr:uid="{0FF7E492-F2DB-40FB-B2DA-B45429FD45F6}"/>
    <cellStyle name="Currency0" xfId="1175" xr:uid="{88B906E8-6F4B-4C0A-82DB-085F9E6049E9}"/>
    <cellStyle name="Currency1" xfId="1176" xr:uid="{3B770403-CFA2-4734-B29B-9FC40B21DE56}"/>
    <cellStyle name="Dan" xfId="1177" xr:uid="{594464F0-89EB-4FBD-99D8-748D87894E85}"/>
    <cellStyle name="Date" xfId="1178" xr:uid="{D6EF3F75-5AEC-41FA-AAFB-D8D39451ECBD}"/>
    <cellStyle name="Date Short" xfId="1179" xr:uid="{2C20CFEA-8911-44E8-9DCF-652567B3B1D2}"/>
    <cellStyle name="Date_Bao Cao Kiem Tra  trung bay Ke milk-yomilk CK 2" xfId="1180" xr:uid="{59505580-0825-4F42-BA8C-2C05EEF457ED}"/>
    <cellStyle name="Dấu phẩy 2" xfId="2198" xr:uid="{60EA5CBC-9B4E-4382-8868-2A5FC894C7EB}"/>
    <cellStyle name="Dấu phẩy 2 2" xfId="2536" xr:uid="{A26BFCE6-4197-4D7F-8A39-5FBDBD60E082}"/>
    <cellStyle name="Dấu phẩy 3" xfId="2199" xr:uid="{918DB2DF-3A75-4C05-ACAB-9B5F171952F4}"/>
    <cellStyle name="Dấu phẩy 3 2" xfId="2537" xr:uid="{65D0E88E-ADDE-44CC-8AD3-EBC45CB23A26}"/>
    <cellStyle name="Dấu phẩy 4" xfId="2197" xr:uid="{63C519E0-9D2B-4BF3-AF48-A7F129D7A388}"/>
    <cellStyle name="Dấu phẩy 4 2" xfId="2535" xr:uid="{61021F9A-EB00-4C7B-AEE3-258863E4CD03}"/>
    <cellStyle name="Dấu phẩy 5" xfId="2227" xr:uid="{2F34B971-87A9-4521-9ACB-D68233E1F4AF}"/>
    <cellStyle name="Dấu phẩy 6" xfId="1888" xr:uid="{5F4E1016-EDE2-4E61-A47A-F40292EC72AA}"/>
    <cellStyle name="Debit" xfId="1181" xr:uid="{2287EA77-406C-4564-B9BA-937FF3349689}"/>
    <cellStyle name="Debit subtotal" xfId="1182" xr:uid="{80418FAD-EA36-4AE3-8CFB-7C85BB0A42C6}"/>
    <cellStyle name="Debit subtotal 2" xfId="2721" xr:uid="{16D3CAF7-BFBC-413C-8BD0-6C1E4328A4EE}"/>
    <cellStyle name="Debit subtotal 2 2" xfId="3355" xr:uid="{8021F77F-9142-4250-A031-8E82B23301BA}"/>
    <cellStyle name="Debit subtotal 2 3" xfId="3356" xr:uid="{3C1EDD3B-6768-497E-BA17-5C7B1A3016EA}"/>
    <cellStyle name="Debit subtotal 2 4" xfId="3357" xr:uid="{4DB32C28-0DA4-499B-A7FD-6E8CB1134624}"/>
    <cellStyle name="Debit subtotal 2 5" xfId="2974" xr:uid="{D71336E5-C737-4449-81E0-A72DAEA6EC8C}"/>
    <cellStyle name="Debit subtotal 3" xfId="2624" xr:uid="{A15B9596-2E89-45D6-B835-00B2DEC4FC8C}"/>
    <cellStyle name="Debit subtotal 3 2" xfId="3358" xr:uid="{0CCAB72B-8217-4EE9-85FE-9D8D7B1F836D}"/>
    <cellStyle name="Debit subtotal 4" xfId="3359" xr:uid="{75D65F35-E09B-4C75-A864-3F072E7C2175}"/>
    <cellStyle name="Debit subtotal 5" xfId="2835" xr:uid="{2D6D935F-7ACB-4F11-8858-58AD2E1295B9}"/>
    <cellStyle name="Debit Total" xfId="1183" xr:uid="{D43FCA3F-1322-4628-8457-52789D20A689}"/>
    <cellStyle name="Debit Total 2" xfId="2701" xr:uid="{5EFD9506-EC15-4E84-8BF8-C65A3D2C0DD8}"/>
    <cellStyle name="Debit Total 2 2" xfId="3360" xr:uid="{78FEF52E-DFA2-4A74-AF99-BE41A796D783}"/>
    <cellStyle name="Debit Total 2 3" xfId="3361" xr:uid="{361891A0-96AD-40F7-988B-B5D5B97FF5C6}"/>
    <cellStyle name="Debit Total 2 4" xfId="3362" xr:uid="{2EA8D07E-28C6-44B7-A8C7-532B0EBB4660}"/>
    <cellStyle name="Debit Total 3" xfId="2603" xr:uid="{0139AD33-3225-4C5D-9250-10E59637D6DB}"/>
    <cellStyle name="Debit Total 4" xfId="3363" xr:uid="{7D3EB6C0-F0A2-48B9-BD3B-9C21FBBB1E3B}"/>
    <cellStyle name="DELTA" xfId="1184" xr:uid="{C2ACF077-6EBC-4E0C-8882-58C15B4DEF75}"/>
    <cellStyle name="Dezimal [0]_68574_Materialbedarfsliste" xfId="1185" xr:uid="{317440B7-5D97-4BA8-8CED-16C0D5AA0CA2}"/>
    <cellStyle name="Dezimal_68574_Materialbedarfsliste" xfId="1186" xr:uid="{97209DE7-9299-404A-91EC-B90422F53264}"/>
    <cellStyle name="Dollar (zero dec)" xfId="1187" xr:uid="{4759948A-9061-40E9-A11D-C56FF5191459}"/>
    <cellStyle name="Enter Currency (0)" xfId="1188" xr:uid="{3B9E5486-3498-4EB3-9FCB-EA2042C1AF5A}"/>
    <cellStyle name="Enter Currency (2)" xfId="1189" xr:uid="{9D83001F-1DE9-4D9D-A860-1478609E1A42}"/>
    <cellStyle name="Enter Units (0)" xfId="1190" xr:uid="{3F586F48-F8BE-4921-95A5-CDE073A17C36}"/>
    <cellStyle name="Enter Units (1)" xfId="1191" xr:uid="{968E3D6B-52D0-469B-8BB6-76B4281A9E11}"/>
    <cellStyle name="Enter Units (2)" xfId="1192" xr:uid="{10DEA6CC-C4B3-45B3-B66C-3BC18F1DE207}"/>
    <cellStyle name="Euro" xfId="1193" xr:uid="{74013D36-6A52-419B-AC14-DF5F6F33C7FA}"/>
    <cellStyle name="Explanatory Text 10" xfId="978" xr:uid="{4A64CF03-05C6-4CC3-A72D-92C3400CD043}"/>
    <cellStyle name="Explanatory Text 11" xfId="979" xr:uid="{A9131F86-DA19-485B-A8D6-470861FFC7E4}"/>
    <cellStyle name="Explanatory Text 12" xfId="1414" xr:uid="{8A96A39C-5256-4A02-B1CB-A28B9F855ACF}"/>
    <cellStyle name="Explanatory Text 13" xfId="1479" xr:uid="{E09F34E3-145C-4B23-831B-FC56999B9293}"/>
    <cellStyle name="Explanatory Text 14" xfId="1653" xr:uid="{BDC38C00-D87D-46DC-9C5B-33B0C8994DDE}"/>
    <cellStyle name="Explanatory Text 15" xfId="1353" xr:uid="{8CAB59E2-7C29-4D5D-AAB7-0A94B06611FC}"/>
    <cellStyle name="Explanatory Text 2" xfId="980" xr:uid="{79CF5CC9-7E26-4B7A-BC1A-455AFD813D23}"/>
    <cellStyle name="Explanatory Text 3" xfId="981" xr:uid="{8CB7BC2E-6D67-47AF-870D-145CDEF96CC1}"/>
    <cellStyle name="Explanatory Text 4" xfId="982" xr:uid="{8F3A9814-1C75-4B20-9B8B-DBBAEE629CF2}"/>
    <cellStyle name="Explanatory Text 5" xfId="983" xr:uid="{72702358-0773-4862-8A8D-549EE3B26F20}"/>
    <cellStyle name="Explanatory Text 6" xfId="984" xr:uid="{62502DAE-5AD0-4E9D-9E3F-F59D8FFDCBCD}"/>
    <cellStyle name="Explanatory Text 7" xfId="985" xr:uid="{0F345C87-8931-452A-8012-2A4CF1733B84}"/>
    <cellStyle name="Explanatory Text 8" xfId="986" xr:uid="{F601282F-1A89-4C73-9C2F-71BF48B51423}"/>
    <cellStyle name="Explanatory Text 9" xfId="987" xr:uid="{88E4FD86-3EA5-40AA-91AD-C6F0398FA4E4}"/>
    <cellStyle name="F2" xfId="1194" xr:uid="{FD9EAA7C-1410-4F91-ACB4-935B71FF7EA2}"/>
    <cellStyle name="F3" xfId="1195" xr:uid="{48F14195-C0D3-40DE-94BC-52E38CF5D8C7}"/>
    <cellStyle name="F4" xfId="1196" xr:uid="{EE39CCDE-2DB4-4074-BCB1-A163631EC549}"/>
    <cellStyle name="F5" xfId="1197" xr:uid="{3659C68B-AD5A-4920-B14B-370842418F4F}"/>
    <cellStyle name="F6" xfId="1198" xr:uid="{7E3308C8-5217-4775-B4DD-634981D3E2D3}"/>
    <cellStyle name="F7" xfId="1199" xr:uid="{034A4A2C-4994-4E29-B798-ED25ED0D4220}"/>
    <cellStyle name="F8" xfId="1200" xr:uid="{08339A50-5A59-4114-AAC6-CC7592F60F79}"/>
    <cellStyle name="Fixed" xfId="1201" xr:uid="{838A12EE-7D7D-4540-92CE-A2262D94DA62}"/>
    <cellStyle name="Ghi chú 2" xfId="2565" xr:uid="{F5AA03C7-60F2-4CBD-9B6B-67CEE87D4789}"/>
    <cellStyle name="Good 10" xfId="988" xr:uid="{3A5F6DC3-EE86-4122-A9EF-C46CC4429DA1}"/>
    <cellStyle name="Good 11" xfId="989" xr:uid="{10CDB568-BCA0-43BC-938E-6417EF16F97B}"/>
    <cellStyle name="Good 12" xfId="1415" xr:uid="{E7205727-AFF1-4680-89CB-EE3DA908A1B1}"/>
    <cellStyle name="Good 13" xfId="1470" xr:uid="{B8AD913C-EB3E-400C-98AD-D49655E98196}"/>
    <cellStyle name="Good 14" xfId="1644" xr:uid="{AF75273B-FE26-40DF-B4CE-359569A52DEA}"/>
    <cellStyle name="Good 15" xfId="1344" xr:uid="{B861D32D-EBB4-4C88-9156-6ABABB88CCF1}"/>
    <cellStyle name="Good 2" xfId="990" xr:uid="{CE332077-CCDF-47AE-8957-5C483612A202}"/>
    <cellStyle name="Good 3" xfId="991" xr:uid="{90D28CC9-4E3C-488A-9E89-D6D5A604DC92}"/>
    <cellStyle name="Good 4" xfId="992" xr:uid="{42DD85C0-812F-4B9E-91BF-5BEBC2C914BA}"/>
    <cellStyle name="Good 5" xfId="993" xr:uid="{582245E6-7371-4F83-98F6-268FAE544213}"/>
    <cellStyle name="Good 6" xfId="994" xr:uid="{4285F574-C6E3-4738-90D0-39B4D319A6AC}"/>
    <cellStyle name="Good 7" xfId="995" xr:uid="{0B4CF2B9-91DD-4348-A3B5-2CEB5714B0E7}"/>
    <cellStyle name="Good 8" xfId="996" xr:uid="{222B9CDB-33FE-4197-B8B4-B151709C3A5A}"/>
    <cellStyle name="Good 9" xfId="997" xr:uid="{D149D4DE-F3D7-464F-87B3-8C33B062A2A1}"/>
    <cellStyle name="Grey" xfId="1202" xr:uid="{C7957AED-B4BF-41C8-89C0-932044222EA0}"/>
    <cellStyle name="ha" xfId="1203" xr:uid="{B1B67EF2-C30B-443B-99C7-D8E29F458C7B}"/>
    <cellStyle name="HEADER" xfId="1204" xr:uid="{30555CF6-A93D-41EB-8788-7A93D6A886D9}"/>
    <cellStyle name="Header1" xfId="1205" xr:uid="{138EB15E-AFDE-45FA-A38B-69761F0F9699}"/>
    <cellStyle name="Header2" xfId="1206" xr:uid="{5DBD5526-4915-4764-AE42-4D4865CED1B4}"/>
    <cellStyle name="Header2 2" xfId="2679" xr:uid="{7BBDDCC2-A432-4143-98FE-1C9AD93628FC}"/>
    <cellStyle name="Header2 2 2" xfId="3364" xr:uid="{450949AF-6C54-4A53-8D6B-7892201B6298}"/>
    <cellStyle name="Header2 2 3" xfId="3365" xr:uid="{7A1E0585-47A6-43D4-9D60-04D2AE61DBB2}"/>
    <cellStyle name="Header2 2 4" xfId="3366" xr:uid="{86711798-7236-40BA-BB69-2C2413F72E99}"/>
    <cellStyle name="Header2 2 5" xfId="2975" xr:uid="{B6BFD30E-052A-4595-87DC-9E842521A37D}"/>
    <cellStyle name="Header2 3" xfId="2610" xr:uid="{1615FDAC-2C62-4DA3-8990-A46EF94FFADC}"/>
    <cellStyle name="Header2 3 2" xfId="3367" xr:uid="{050BC84E-1CBA-45B1-8DE1-F9FD2B1BFAF7}"/>
    <cellStyle name="Header2 4" xfId="3368" xr:uid="{1F42AB9D-A729-48B4-B7C7-9D92EC3496C9}"/>
    <cellStyle name="Header2 5" xfId="2836" xr:uid="{DFF0ADEA-17CB-4BA2-929F-53740E0277BC}"/>
    <cellStyle name="Heading" xfId="1207" xr:uid="{529B3BA5-79C9-454E-B411-1F5B626E60C5}"/>
    <cellStyle name="Heading 1 10" xfId="998" xr:uid="{F5559336-4C06-4F29-9C7D-43344C672610}"/>
    <cellStyle name="Heading 1 11" xfId="999" xr:uid="{AB400CA6-20EB-41BF-BFDB-522009A018BE}"/>
    <cellStyle name="Heading 1 12" xfId="1416" xr:uid="{ADB157B6-D4A6-4688-9133-C9B383519B60}"/>
    <cellStyle name="Heading 1 13" xfId="1466" xr:uid="{CD5570B2-1D22-4A63-ABFC-22C185C6120A}"/>
    <cellStyle name="Heading 1 14" xfId="1640" xr:uid="{8A98C485-EA81-41C1-9233-99273F1D7088}"/>
    <cellStyle name="Heading 1 15" xfId="1340" xr:uid="{67FAC4F5-B03C-47F9-A81F-78BA0111519E}"/>
    <cellStyle name="Heading 1 2" xfId="640" xr:uid="{95D0FA9E-339C-441C-BF8D-49BA15BE06B6}"/>
    <cellStyle name="Heading 1 2 2" xfId="524" xr:uid="{842FC582-E72F-4B88-A722-2D04501881FF}"/>
    <cellStyle name="Heading 1 2 2 11" xfId="42" xr:uid="{970F8078-B895-4EDB-A113-698643617589}"/>
    <cellStyle name="Heading 1 2 2 2" xfId="1000" xr:uid="{9E7ED19C-997F-4C44-B25A-2EE9574FAF43}"/>
    <cellStyle name="Heading 1 3" xfId="1001" xr:uid="{A7604E8C-25F4-4FC9-B067-BA60791EB57C}"/>
    <cellStyle name="Heading 1 4" xfId="1002" xr:uid="{982BC721-58EF-4512-AF67-3132AF42DF49}"/>
    <cellStyle name="Heading 1 5" xfId="1003" xr:uid="{D0B75E53-96D7-4ABD-A6F2-D2A6EC115E27}"/>
    <cellStyle name="Heading 1 6" xfId="1004" xr:uid="{B559E0E5-B1BA-4B61-BE74-A2E1E3057D8B}"/>
    <cellStyle name="Heading 1 7" xfId="1005" xr:uid="{B133CEAE-77F8-438D-8160-362B4BD68F25}"/>
    <cellStyle name="Heading 1 8" xfId="1006" xr:uid="{A04C877E-E774-424A-8293-85FB62CA7BE2}"/>
    <cellStyle name="Heading 1 9" xfId="1007" xr:uid="{BBA3787D-C331-4DE2-B888-DE0688B7D8DA}"/>
    <cellStyle name="Heading 2 10" xfId="1008" xr:uid="{26DF7B42-D7E9-4EBA-9C4F-E7E57AE99DCE}"/>
    <cellStyle name="Heading 2 11" xfId="1009" xr:uid="{9F993256-8061-4EC4-A8CA-260A2A32BB21}"/>
    <cellStyle name="Heading 2 12" xfId="1417" xr:uid="{A1AE1364-3921-4FA5-A4B4-87DC80D67E70}"/>
    <cellStyle name="Heading 2 13" xfId="1467" xr:uid="{EEB2E556-0D8B-45FF-A2A8-F15674B7879F}"/>
    <cellStyle name="Heading 2 14" xfId="1641" xr:uid="{30791A7B-0F9F-4885-BDD1-0832806AD119}"/>
    <cellStyle name="Heading 2 15" xfId="1341" xr:uid="{6F540227-0074-493C-BA82-2AB061BC6FFD}"/>
    <cellStyle name="Heading 2 2" xfId="641" xr:uid="{D3C984FB-46E7-46EE-AE77-30A155407CDD}"/>
    <cellStyle name="Heading 2 2 2" xfId="1010" xr:uid="{1859BC92-7C65-4D78-9252-AF5FE6A8310D}"/>
    <cellStyle name="Heading 2 3" xfId="1011" xr:uid="{45BA9AB1-EF5F-4127-9B4A-A1536F4C086F}"/>
    <cellStyle name="Heading 2 4" xfId="1012" xr:uid="{9242E1CA-1EF3-4AE2-A0C1-19644500577E}"/>
    <cellStyle name="Heading 2 5" xfId="1013" xr:uid="{803970F9-EAAD-4780-9F8C-9AA82884D215}"/>
    <cellStyle name="Heading 2 6" xfId="1014" xr:uid="{CD7CBAB8-6FB7-470C-A075-4019E3D82AEE}"/>
    <cellStyle name="Heading 2 7" xfId="1015" xr:uid="{0AFDA2B1-32E9-4528-AC28-E4B9B4D9B179}"/>
    <cellStyle name="Heading 2 8" xfId="1016" xr:uid="{23F113AF-0C13-4765-952A-364A87ECB9A8}"/>
    <cellStyle name="Heading 2 9" xfId="1017" xr:uid="{390D00FF-F50C-4E93-B270-4F7595266746}"/>
    <cellStyle name="Heading 3 10" xfId="1018" xr:uid="{DAD3793A-DD3E-4058-8640-B11AEA73D8F3}"/>
    <cellStyle name="Heading 3 11" xfId="1019" xr:uid="{6FF503B8-D655-4A1A-AF6B-EA81535CA7D7}"/>
    <cellStyle name="Heading 3 12" xfId="1418" xr:uid="{354294A1-D374-4CD6-BC8E-2548153526EB}"/>
    <cellStyle name="Heading 3 13" xfId="1468" xr:uid="{6D4008DC-C134-44B4-A3A3-0F336ED1D5E8}"/>
    <cellStyle name="Heading 3 14" xfId="1642" xr:uid="{173630E6-8A5D-4EE8-A340-78C851F6C5C6}"/>
    <cellStyle name="Heading 3 15" xfId="1342" xr:uid="{532DF069-A269-4F64-8B9E-FC57AC93226B}"/>
    <cellStyle name="Heading 3 2" xfId="1020" xr:uid="{CA98E89C-B1CD-4E7D-A765-E2122096EE55}"/>
    <cellStyle name="Heading 3 3" xfId="1021" xr:uid="{E046B618-9CD5-4EF5-BB38-8B07F7BFF71A}"/>
    <cellStyle name="Heading 3 4" xfId="1022" xr:uid="{F3281336-E43D-4696-943F-09AFB6102623}"/>
    <cellStyle name="Heading 3 5" xfId="1023" xr:uid="{F929C58B-E59D-4CAF-A1B0-CD2866AEED55}"/>
    <cellStyle name="Heading 3 6" xfId="1024" xr:uid="{3D66BB08-F77A-40A0-99DD-0A599F5CE6DC}"/>
    <cellStyle name="Heading 3 7" xfId="1025" xr:uid="{E1A4E9A6-E8E3-40E0-B3D7-D52DD913C0EA}"/>
    <cellStyle name="Heading 3 8" xfId="1026" xr:uid="{DF9BCD90-BF24-44D6-B2F1-A40E5B8160D5}"/>
    <cellStyle name="Heading 3 9" xfId="1027" xr:uid="{7999F0A5-EE10-4BA5-BB57-F34B047DFC90}"/>
    <cellStyle name="Heading 4 10" xfId="1028" xr:uid="{41F2246E-A7F6-4F3F-BC36-28D54795D8E0}"/>
    <cellStyle name="Heading 4 11" xfId="1029" xr:uid="{047C3C8B-5788-4D0D-B55B-08157F892C97}"/>
    <cellStyle name="Heading 4 12" xfId="1419" xr:uid="{510ADFA9-B111-4A5C-BCC2-DAB6D392333D}"/>
    <cellStyle name="Heading 4 13" xfId="1469" xr:uid="{BDD23278-340A-46FA-914C-7874F3E34988}"/>
    <cellStyle name="Heading 4 14" xfId="1643" xr:uid="{143C4F55-BC47-4980-8673-B58E07BBB2C1}"/>
    <cellStyle name="Heading 4 15" xfId="1343" xr:uid="{DBC260F4-E938-45E4-B24F-F0188D879F0C}"/>
    <cellStyle name="Heading 4 2" xfId="1030" xr:uid="{400761D3-868D-4EF2-9953-D363F72B9EFA}"/>
    <cellStyle name="Heading 4 3" xfId="1031" xr:uid="{979A8753-F44F-4B81-A0FD-91551D13B265}"/>
    <cellStyle name="Heading 4 4" xfId="1032" xr:uid="{3E2C1F8B-B5B4-44B3-8D59-BA50E713BF5D}"/>
    <cellStyle name="Heading 4 5" xfId="1033" xr:uid="{A4D005FB-070A-497A-862B-B5225739FC8A}"/>
    <cellStyle name="Heading 4 6" xfId="1034" xr:uid="{24CFB1D5-C631-44AE-915C-0FB2D3C97D16}"/>
    <cellStyle name="Heading 4 7" xfId="1035" xr:uid="{A2D472F5-B5F1-4FFC-9EA5-556F0342E489}"/>
    <cellStyle name="Heading 4 8" xfId="1036" xr:uid="{026E7FC7-D53F-4E3B-8184-62466929DFA5}"/>
    <cellStyle name="Heading 4 9" xfId="1037" xr:uid="{70143353-EE26-4052-8162-4F2D6E2FFC7F}"/>
    <cellStyle name="Heading No Underline" xfId="1208" xr:uid="{5540F04A-26F0-4944-BCBF-C1A49A48B290}"/>
    <cellStyle name="Heading With Underline" xfId="1209" xr:uid="{72867470-94AB-4061-91E2-468F8C5F3FAA}"/>
    <cellStyle name="Heading With Underline 2" xfId="2837" xr:uid="{8D0AC1C6-115C-4C14-B4B1-1103F6F2C623}"/>
    <cellStyle name="HEADING1" xfId="1210" xr:uid="{21C32023-D64C-4674-9B7D-A72230A24C8E}"/>
    <cellStyle name="HEADING2" xfId="1211" xr:uid="{293119BE-2C56-43A7-B9CD-B6481C388D1B}"/>
    <cellStyle name="headoption" xfId="1212" xr:uid="{259FEB06-CF05-4ECC-90A6-1B6D85B25C0F}"/>
    <cellStyle name="headoption 2" xfId="2651" xr:uid="{46BF2A6E-E2CF-44A4-AF4B-2E9BDA812478}"/>
    <cellStyle name="headoption 2 2" xfId="3369" xr:uid="{A2AD43D1-78C9-41B2-B675-95170F003271}"/>
    <cellStyle name="headoption 2 3" xfId="3370" xr:uid="{58E6841D-C9E2-4E68-B31F-6D610B98DDF1}"/>
    <cellStyle name="headoption 2 4" xfId="3371" xr:uid="{06FBD63E-FA0C-4BEF-86F2-89045AD9C216}"/>
    <cellStyle name="headoption 3" xfId="2606" xr:uid="{C8CB3C6A-8DA1-4213-ACB2-54271D4145A4}"/>
    <cellStyle name="headoption 3 2" xfId="3372" xr:uid="{16A5F6B7-7B11-4FC7-AE19-148C40D15F9A}"/>
    <cellStyle name="headoption 4" xfId="3373" xr:uid="{4242B4F8-01F3-4E53-B360-91FBEBD0D6A9}"/>
    <cellStyle name="headoption 5" xfId="2838" xr:uid="{A0122B20-372C-49B9-8E69-D4A6AC61C5C7}"/>
    <cellStyle name="Hoa-Scholl" xfId="1213" xr:uid="{743347E2-BB28-4935-B0C5-5EBCFF66C75C}"/>
    <cellStyle name="Hoa-Scholl 2" xfId="2769" xr:uid="{31E5C2E2-866C-4487-A8E7-813FDCDA94EC}"/>
    <cellStyle name="Hoa-Scholl 2 2" xfId="3374" xr:uid="{95C38B69-4A60-48B3-A536-9C7CCE8D7412}"/>
    <cellStyle name="Hoa-Scholl 2 3" xfId="3375" xr:uid="{D0C19913-D6F0-4889-B8A7-4FC783CBC6AB}"/>
    <cellStyle name="Hoa-Scholl 2 4" xfId="3376" xr:uid="{45A3532B-6880-4F5E-8EC1-4FDB06EEBF5D}"/>
    <cellStyle name="Hoa-Scholl 3" xfId="2754" xr:uid="{A2945972-E319-4852-BD7F-4F36395501AF}"/>
    <cellStyle name="Hoa-Scholl 3 2" xfId="3377" xr:uid="{1ACBCDA0-F878-4AA9-A8F7-7FEF84EA6984}"/>
    <cellStyle name="Hoa-Scholl 4" xfId="3378" xr:uid="{6A75194E-38CB-4F98-88D7-CD4012D146DD}"/>
    <cellStyle name="Hoa-Scholl 5" xfId="2839" xr:uid="{B4803D1F-AA79-4066-AB93-F896DE2BD83B}"/>
    <cellStyle name="Hyperlink" xfId="582" builtinId="8"/>
    <cellStyle name="Hyperlink 2" xfId="546" xr:uid="{B21BBE85-2D90-400E-9C2F-E7C8FDF8CEBB}"/>
    <cellStyle name="Hyperlink 2 2" xfId="3588" xr:uid="{56F6CF38-F48C-4F92-84F5-762A99E82795}"/>
    <cellStyle name="Hyperlink 2 3" xfId="2735" xr:uid="{127AA130-4D76-4010-94AC-214E6C951692}"/>
    <cellStyle name="Hyperlink 2 4" xfId="3905" xr:uid="{9E0101CB-E7EC-4D87-BB6A-AEFAC4E41564}"/>
    <cellStyle name="Hyperlink 2 5" xfId="614" xr:uid="{63F85BC8-43EE-45CA-883E-89DEE489D772}"/>
    <cellStyle name="Hyperlink 3" xfId="647" xr:uid="{307F296F-B411-4C6C-A75A-94B5A8D8EFDF}"/>
    <cellStyle name="Hyperlink 3 2" xfId="2650" xr:uid="{D0E26556-8B51-495A-A712-8E3042AE130E}"/>
    <cellStyle name="Hyperlink 4" xfId="610" xr:uid="{3E44E1D8-5AA0-4739-BE3E-0D2F1EC972DE}"/>
    <cellStyle name="Hyperlink 5" xfId="3587" xr:uid="{3B2DEFE1-2118-44AF-8846-9C640B852DBD}"/>
    <cellStyle name="Indent" xfId="1214" xr:uid="{C62792E6-F0A2-48E1-BD0F-F8E7480B1EC6}"/>
    <cellStyle name="Input [yellow]" xfId="1215" xr:uid="{82D2B40B-18FD-445D-9E63-DF9A128D92E7}"/>
    <cellStyle name="Input [yellow] 2" xfId="2678" xr:uid="{6AA8BA7B-EE15-4F0A-8FB6-01CCEFCD1A43}"/>
    <cellStyle name="Input [yellow] 2 2" xfId="3379" xr:uid="{79482AD6-A70A-42E1-BE3E-45D610FF1E13}"/>
    <cellStyle name="Input [yellow] 2 3" xfId="3380" xr:uid="{775F5F87-04A6-43E1-97D9-8554C8E4A0AE}"/>
    <cellStyle name="Input [yellow] 2 4" xfId="3381" xr:uid="{1480D291-C2F7-4D1E-B935-491AA9F28DE1}"/>
    <cellStyle name="Input [yellow] 3" xfId="2657" xr:uid="{2F5CFEAC-ADBB-488A-9230-75E47F3311D3}"/>
    <cellStyle name="Input [yellow] 3 2" xfId="3382" xr:uid="{EC0DFC66-40CE-441F-AE43-6CE78DE052D6}"/>
    <cellStyle name="Input [yellow] 4" xfId="3383" xr:uid="{111E1A84-D5A3-4F6E-B408-7B3D9920FA65}"/>
    <cellStyle name="Input [yellow] 5" xfId="2840" xr:uid="{230EA60E-EE24-4E03-BD77-1280C3E8133F}"/>
    <cellStyle name="Input 10" xfId="1038" xr:uid="{BDDB9FDC-EC9B-4499-8907-1E07F34AB09D}"/>
    <cellStyle name="Input 11" xfId="1039" xr:uid="{8C8E6BE0-43BE-4CF9-8B07-D0AC90EC948E}"/>
    <cellStyle name="Input 12" xfId="1420" xr:uid="{489F3D05-1A98-4AC6-8A99-3DEC9904DEB3}"/>
    <cellStyle name="Input 13" xfId="1428" xr:uid="{025ADEC4-9B34-4367-A877-6452842C9522}"/>
    <cellStyle name="Input 14" xfId="1443" xr:uid="{9110361B-9FE5-4F65-A75D-119865137EF8}"/>
    <cellStyle name="Input 15" xfId="1473" xr:uid="{97A2A631-B338-415E-9D32-F99E2D82A075}"/>
    <cellStyle name="Input 16" xfId="1461" xr:uid="{AFCE7001-6C7D-4268-A34D-D7ACD2EDE9A7}"/>
    <cellStyle name="Input 17" xfId="1546" xr:uid="{DAAB5446-7DCE-4B2C-B7E4-F7DFF8E2C9C4}"/>
    <cellStyle name="Input 18" xfId="1548" xr:uid="{045A140E-7CA4-45FC-8D52-348A803094AF}"/>
    <cellStyle name="Input 19" xfId="1568" xr:uid="{30E2CC30-C736-4731-849C-0F722D55A24F}"/>
    <cellStyle name="Input 2" xfId="1040" xr:uid="{3269EAD3-D463-480E-AE50-FCC7FE4C7C1C}"/>
    <cellStyle name="Input 20" xfId="1590" xr:uid="{7ABB1DB8-84E3-44D6-9C3E-8D7F417D21F2}"/>
    <cellStyle name="Input 20 2" xfId="2670" xr:uid="{4FEFEC8F-8B39-454C-8233-C9A78DB20B0B}"/>
    <cellStyle name="Input 20 3" xfId="2682" xr:uid="{35E2C57B-4A3C-4FA0-BA41-2FB7074E1502}"/>
    <cellStyle name="Input 21" xfId="1611" xr:uid="{46D0A2FC-8501-4FA3-AF4D-DA6B825D1D3D}"/>
    <cellStyle name="Input 21 2" xfId="2724" xr:uid="{F9342C13-2366-4F8A-854F-D64AAEC55B42}"/>
    <cellStyle name="Input 22" xfId="1633" xr:uid="{A1CB6D01-E79F-44C6-BEF9-CD737A214357}"/>
    <cellStyle name="Input 22 2" xfId="2736" xr:uid="{1FB12367-D8B0-4558-AB3C-34356DC8D5C1}"/>
    <cellStyle name="Input 23" xfId="1647" xr:uid="{CE57DEA2-F90A-4639-B38A-BE61A89FDDCD}"/>
    <cellStyle name="Input 24" xfId="1635" xr:uid="{9722A528-DCB3-471D-8F94-ADBBCBD68345}"/>
    <cellStyle name="Input 24 2" xfId="2747" xr:uid="{56C9E1E4-48F4-4726-B00F-5D1E5371D2AA}"/>
    <cellStyle name="Input 25" xfId="1828" xr:uid="{E9A21BCD-AA43-4A1B-8563-35D3E88195F7}"/>
    <cellStyle name="Input 25 2" xfId="2768" xr:uid="{F76B0FCF-3E00-443A-B856-5DB82787747E}"/>
    <cellStyle name="Input 26" xfId="1347" xr:uid="{B81332C2-6F53-4C52-B24E-30BA10F056CB}"/>
    <cellStyle name="Input 27" xfId="2646" xr:uid="{2564312E-5493-4474-8B80-7BF627F42BC3}"/>
    <cellStyle name="Input 28" xfId="2615" xr:uid="{4720621F-548F-4514-96EC-1729DB8C3AFD}"/>
    <cellStyle name="Input 29" xfId="2663" xr:uid="{B20FFC2F-E978-4EDF-A5DE-E5A579AB8983}"/>
    <cellStyle name="Input 3" xfId="1041" xr:uid="{CED3591F-C886-4139-B4B9-B2818C8ABF24}"/>
    <cellStyle name="Input 30" xfId="2689" xr:uid="{90A31C41-F7A5-4A55-9DD1-D9EE7C141981}"/>
    <cellStyle name="Input 31" xfId="2697" xr:uid="{0AFD0190-AF71-4799-A77D-C47737A3AC54}"/>
    <cellStyle name="Input 32" xfId="2711" xr:uid="{F9F707B0-9AA0-4E8A-A543-4C699F720409}"/>
    <cellStyle name="Input 4" xfId="1042" xr:uid="{3CBD3EFC-1802-483D-A9BB-C098F3D1C307}"/>
    <cellStyle name="Input 5" xfId="1043" xr:uid="{0F1FBC98-F35D-49ED-B4B1-D61709AB50D1}"/>
    <cellStyle name="Input 6" xfId="1044" xr:uid="{406B10FB-0D76-4FDA-9A4A-AD7C7384F073}"/>
    <cellStyle name="Input 7" xfId="1045" xr:uid="{031F2AB2-C1B0-488D-95EA-FA0520A80332}"/>
    <cellStyle name="Input 8" xfId="1046" xr:uid="{C66D9C1A-DD07-4398-A275-0162252D13DB}"/>
    <cellStyle name="Input 9" xfId="1047" xr:uid="{3384A5C6-79D0-4AC1-8188-6DB938683250}"/>
    <cellStyle name="Ledger 17 x 11 in" xfId="1216" xr:uid="{23395954-C3A1-4B3D-B6AC-EC020A9FDEE9}"/>
    <cellStyle name="Line" xfId="1217" xr:uid="{1AABB460-7724-4703-B58F-61E3665387A6}"/>
    <cellStyle name="Link Currency (0)" xfId="1218" xr:uid="{0FAFE920-2C9B-4038-9265-84B394E216FA}"/>
    <cellStyle name="Link Currency (2)" xfId="1219" xr:uid="{2C5A4CE1-758E-4E9A-B117-BC95EC8CFA04}"/>
    <cellStyle name="Link Units (0)" xfId="1220" xr:uid="{F5A678B3-36B0-426E-95A5-069A7CDFEE0D}"/>
    <cellStyle name="Link Units (1)" xfId="1221" xr:uid="{6752BE3B-6A22-40C8-AC29-FB558BE2070E}"/>
    <cellStyle name="Link Units (2)" xfId="1222" xr:uid="{C876810B-23C4-4D5F-A962-BC0EC65C4ED8}"/>
    <cellStyle name="Linked Cell 10" xfId="1048" xr:uid="{00D9EB46-5432-4A41-897C-6D728126E604}"/>
    <cellStyle name="Linked Cell 11" xfId="1049" xr:uid="{D60D84B0-BE99-4311-95B4-3285C175BC09}"/>
    <cellStyle name="Linked Cell 12" xfId="1421" xr:uid="{39E19D5F-EC93-402E-8CCD-F3F9465DDF32}"/>
    <cellStyle name="Linked Cell 13" xfId="1476" xr:uid="{FFB61AE4-26BF-459C-8FB1-B7DFB6BF283D}"/>
    <cellStyle name="Linked Cell 14" xfId="1650" xr:uid="{3A8B82FB-4E7D-4171-958B-A65BF0DD2F7C}"/>
    <cellStyle name="Linked Cell 15" xfId="1350" xr:uid="{FE8D3DAE-09CA-4EC0-86B8-AC2B519BFC0C}"/>
    <cellStyle name="Linked Cell 2" xfId="1050" xr:uid="{1FB3366B-CB24-4330-94EF-CAB7525EA6AB}"/>
    <cellStyle name="Linked Cell 3" xfId="1051" xr:uid="{E2A9AD4B-0919-4B62-AC7E-1F204EBAF6E3}"/>
    <cellStyle name="Linked Cell 4" xfId="1052" xr:uid="{39314F77-4D33-427D-BA5D-77E87A890026}"/>
    <cellStyle name="Linked Cell 5" xfId="1053" xr:uid="{D7B3FAE9-5988-45B1-99F9-AC2C8FED9E20}"/>
    <cellStyle name="Linked Cell 6" xfId="1054" xr:uid="{30434E24-B2F1-4794-BF66-EC067E325FA4}"/>
    <cellStyle name="Linked Cell 7" xfId="1055" xr:uid="{2AF36802-B7A5-4888-A6CF-6F62D34321F4}"/>
    <cellStyle name="Linked Cell 8" xfId="1056" xr:uid="{FFC9D596-6307-45DA-A3FF-3C12845F0B4D}"/>
    <cellStyle name="Linked Cell 9" xfId="1057" xr:uid="{8F041693-D690-4D9B-9113-4FEDF981EBB8}"/>
    <cellStyle name="Millares [0]_Well Timing" xfId="1223" xr:uid="{3FDC48DB-A0B0-48B3-9DB9-B89D13FD0FA3}"/>
    <cellStyle name="Millares_Well Timing" xfId="1224" xr:uid="{F694F1B8-31BF-42C2-A5CC-28C24D8D969F}"/>
    <cellStyle name="Model" xfId="1225" xr:uid="{F7DBC4A3-7E77-4654-9083-19F983B5185E}"/>
    <cellStyle name="Moneda [0]_Well Timing" xfId="1226" xr:uid="{CD1AF676-E23D-47E6-9821-D7A4AA95DDF4}"/>
    <cellStyle name="Moneda_Well Timing" xfId="1227" xr:uid="{0D0B8BFE-250B-4D9B-A480-0F4602EF2E94}"/>
    <cellStyle name="Monétaire [0]_TARIFFS DB" xfId="1228" xr:uid="{35911E6E-8927-4CEA-8EA6-1EFBF3392F9B}"/>
    <cellStyle name="Monétaire_TARIFFS DB" xfId="1229" xr:uid="{65BBEB1D-4388-4759-8A34-62918C84DAE1}"/>
    <cellStyle name="n" xfId="1230" xr:uid="{EE54F906-FEE1-44F2-BEC9-0EB4CFE8F425}"/>
    <cellStyle name="Neutral 10" xfId="1058" xr:uid="{8BC350E4-0C91-4DBE-BFCB-38FF2114C256}"/>
    <cellStyle name="Neutral 11" xfId="1059" xr:uid="{6ECF1061-F28D-4F5D-8A04-C4BDACC790CD}"/>
    <cellStyle name="Neutral 12" xfId="1422" xr:uid="{A4B653CD-CFC3-4743-A827-F7E9DBC31ACC}"/>
    <cellStyle name="Neutral 13" xfId="1472" xr:uid="{D24F576C-A097-494A-99A3-18DCE660D343}"/>
    <cellStyle name="Neutral 14" xfId="1569" xr:uid="{415CDE15-B00B-492E-8757-04A01C9F273A}"/>
    <cellStyle name="Neutral 15" xfId="1646" xr:uid="{DB41F9ED-8C68-4B62-8A7E-37F2BC8C2862}"/>
    <cellStyle name="Neutral 16" xfId="1346" xr:uid="{54CBFF64-4175-4CCF-85C4-7477D356CAD3}"/>
    <cellStyle name="Neutral 2" xfId="1060" xr:uid="{9618F32F-3EEB-451F-83F0-2D74353ADBEC}"/>
    <cellStyle name="Neutral 3" xfId="1061" xr:uid="{D28677D1-B512-4157-8117-9CF297FFD808}"/>
    <cellStyle name="Neutral 4" xfId="1062" xr:uid="{D4D0227D-0996-47AE-A3B7-1334B54A15ED}"/>
    <cellStyle name="Neutral 5" xfId="1063" xr:uid="{06D0625B-547E-4596-9C84-5D7ABD4C6636}"/>
    <cellStyle name="Neutral 6" xfId="1064" xr:uid="{8630CE1D-080A-4830-A44B-221DBB49F511}"/>
    <cellStyle name="Neutral 7" xfId="1065" xr:uid="{8E33AB7E-E3FC-4302-8AC0-39C99B2558CB}"/>
    <cellStyle name="Neutral 8" xfId="1066" xr:uid="{9C640CCE-3200-43FA-AF1A-1B7B14778667}"/>
    <cellStyle name="Neutral 9" xfId="1067" xr:uid="{F5F41B2F-C483-4155-847E-04ACAAB98416}"/>
    <cellStyle name="New Times Roman" xfId="1231" xr:uid="{23A21F0B-75A0-403E-B14D-96292225B7AB}"/>
    <cellStyle name="no dec" xfId="1232" xr:uid="{0369F7FE-6D35-4B42-B297-7D02C426C691}"/>
    <cellStyle name="ÑONVÒ" xfId="1233" xr:uid="{29094791-9E2A-411D-A9D6-4F79C106DCFC}"/>
    <cellStyle name="ÑONVÒ 2" xfId="2652" xr:uid="{751F1C36-DD6A-42E7-8A1D-3B0B393F7E76}"/>
    <cellStyle name="ÑONVÒ 2 2" xfId="3384" xr:uid="{EC17148B-91A0-4025-BB43-F68327F9F7D7}"/>
    <cellStyle name="ÑONVÒ 2 3" xfId="3385" xr:uid="{402DB47A-36E6-4ABA-AE23-FFF2E42EE12D}"/>
    <cellStyle name="ÑONVÒ 2 4" xfId="3386" xr:uid="{24EDB620-EC08-47CA-9489-ED900D96B031}"/>
    <cellStyle name="ÑONVÒ 3" xfId="2696" xr:uid="{11B136C9-80FD-448E-8451-CF980D55E714}"/>
    <cellStyle name="ÑONVÒ 3 2" xfId="3387" xr:uid="{D5B9E3EC-D714-4D40-9158-FA4C52FB17D8}"/>
    <cellStyle name="ÑONVÒ 4" xfId="3388" xr:uid="{82B9057D-68F3-4F80-8B31-E970DD18D290}"/>
    <cellStyle name="ÑONVÒ 5" xfId="2841" xr:uid="{E4D7102D-7F79-4664-89DD-C45628679382}"/>
    <cellStyle name="Normal" xfId="0" builtinId="0"/>
    <cellStyle name="Normal - Style1" xfId="1234" xr:uid="{E2A86D18-FE0F-430A-ABEC-81C477D18ADC}"/>
    <cellStyle name="Normal - Style1 2 2" xfId="2" xr:uid="{4429A931-3F19-46C9-B7EC-C5891759219D}"/>
    <cellStyle name="Normal - 유형1" xfId="1235" xr:uid="{6E27D760-B2D6-4CA6-9567-FBA07E08FA05}"/>
    <cellStyle name="Normal 10" xfId="71" xr:uid="{13B57969-D56F-486E-AD36-4206B6A7CBF9}"/>
    <cellStyle name="Normal 10 2" xfId="119" xr:uid="{8EA237D6-20B2-4941-80C6-C8D6299542F5}"/>
    <cellStyle name="Normal 10 2 2" xfId="2609" xr:uid="{12AE7CC1-C211-4E9F-BCB1-6CE2E95E9096}"/>
    <cellStyle name="Normal 10 2 3" xfId="3681" xr:uid="{E7EF2FA0-327C-49E3-B37D-98C46F5B97FB}"/>
    <cellStyle name="Normal 10 2 4" xfId="1863" xr:uid="{E344ACC6-5231-4899-AAD4-B42FC0150802}"/>
    <cellStyle name="Normal 10 3" xfId="2661" xr:uid="{3560A309-5945-4C44-981E-0DD88DF0F860}"/>
    <cellStyle name="Normal 10 3 2" xfId="3389" xr:uid="{B98E6ACC-17FC-474B-BAF2-5D31C54497D1}"/>
    <cellStyle name="Normal 10 4" xfId="1384" xr:uid="{764199D8-422A-47F1-933E-5823A324F730}"/>
    <cellStyle name="Normal 10 4 2" xfId="3390" xr:uid="{5F816F9F-B11B-4A93-9908-8EA943852B76}"/>
    <cellStyle name="Normal 10 5" xfId="2819" xr:uid="{EBC459F3-A076-4EB0-833E-E31C2184814B}"/>
    <cellStyle name="Normal 10 6" xfId="664" xr:uid="{CBCBC455-9BD7-4601-BC41-17F2CA6D9AAF}"/>
    <cellStyle name="Normal 10 7" xfId="3658" xr:uid="{64B35893-8509-4773-8324-2FC0CD9ED548}"/>
    <cellStyle name="Normal 10_Giao dịch mua bán" xfId="195" xr:uid="{75F54F93-1E10-45F5-BE03-0E564FF6C5A1}"/>
    <cellStyle name="Normal 100" xfId="251" xr:uid="{43D135CA-8004-41C8-A3BE-C9C904D639AF}"/>
    <cellStyle name="Normal 100 2" xfId="364" xr:uid="{79015BBC-0727-41E4-8764-0E5EF601953B}"/>
    <cellStyle name="Normal 100 3" xfId="396" xr:uid="{38E259E5-1656-40FE-83B5-B6ED968097C7}"/>
    <cellStyle name="Normal 101" xfId="255" xr:uid="{66BF0497-FA7F-4EF1-A461-08024EBDD30E}"/>
    <cellStyle name="Normal 101 2" xfId="362" xr:uid="{4D4AA591-1A5D-422C-8C39-FE1BEBE37A9C}"/>
    <cellStyle name="Normal 101 3" xfId="378" xr:uid="{E0936C08-EB20-4E25-AB2B-808C94DE90E4}"/>
    <cellStyle name="Normal 102" xfId="256" xr:uid="{DF312207-A299-4AF9-8A5D-67896796665E}"/>
    <cellStyle name="Normal 102 2" xfId="282" xr:uid="{576B077F-1A8A-4415-B8C7-D35BF9D7CD99}"/>
    <cellStyle name="Normal 102 3" xfId="361" xr:uid="{12583F30-3A15-434A-9D09-223E463AB4BB}"/>
    <cellStyle name="Normal 102 4" xfId="390" xr:uid="{77B764A8-E0FC-4619-A3C3-2E24FAF62D17}"/>
    <cellStyle name="Normal 103" xfId="261" xr:uid="{CCA23C44-F415-4899-9259-F1040F782BB7}"/>
    <cellStyle name="Normal 103 2" xfId="283" xr:uid="{76A6AA88-2C09-4425-A43D-D60814A51220}"/>
    <cellStyle name="Normal 103 3" xfId="357" xr:uid="{C258D2FC-1532-476A-9C6D-4171CE41EE4F}"/>
    <cellStyle name="Normal 103 4" xfId="380" xr:uid="{2F9AEAC2-2AB5-4288-9DB4-4DDEFE5747F2}"/>
    <cellStyle name="Normal 104" xfId="260" xr:uid="{1EB74226-DCA5-4CE6-AA18-0C3CEDC3A479}"/>
    <cellStyle name="Normal 104 2" xfId="284" xr:uid="{A1E1F68C-22F3-4803-9725-B9045602C1CA}"/>
    <cellStyle name="Normal 104 3" xfId="358" xr:uid="{3613AD86-CE8F-44DA-9D0D-8390AA855AF3}"/>
    <cellStyle name="Normal 104 4" xfId="391" xr:uid="{4FC0EFA9-B5B2-41C0-92DF-DC0C40ABD799}"/>
    <cellStyle name="Normal 105" xfId="262" xr:uid="{43F7BF2C-D717-4FAE-B0C5-0D1E3111EFCC}"/>
    <cellStyle name="Normal 105 2" xfId="285" xr:uid="{37C3951F-12AB-496F-80BA-31639D3DAAF0}"/>
    <cellStyle name="Normal 105 3" xfId="356" xr:uid="{4582C754-B3B2-40DC-A836-6844EDC491BE}"/>
    <cellStyle name="Normal 105 4" xfId="387" xr:uid="{376EF6FC-32B6-4BE2-8FA7-D97A7F43C5BF}"/>
    <cellStyle name="Normal 106" xfId="258" xr:uid="{F4234335-A94E-4E04-86C1-F1FCFD6CF212}"/>
    <cellStyle name="Normal 106 2" xfId="286" xr:uid="{20A2C091-376F-4722-B032-5A6F16EE802A}"/>
    <cellStyle name="Normal 106 3" xfId="360" xr:uid="{7F1CFF80-652E-4308-A5EC-6E59A76D3F42}"/>
    <cellStyle name="Normal 106 4" xfId="395" xr:uid="{9F0DA357-5271-4312-8590-01CB0A89AC70}"/>
    <cellStyle name="Normal 107" xfId="259" xr:uid="{0B975837-BD03-4A6F-85CE-770172E218E2}"/>
    <cellStyle name="Normal 107 2" xfId="287" xr:uid="{F26E3AE9-948B-495F-8866-A00B591540C0}"/>
    <cellStyle name="Normal 107 3" xfId="359" xr:uid="{BA66144E-60E9-43F3-A6CD-3447C4268FA3}"/>
    <cellStyle name="Normal 107 4" xfId="393" xr:uid="{16170DA6-5AC8-4FA2-8424-FF9341775DD5}"/>
    <cellStyle name="Normal 108" xfId="263" xr:uid="{33D3A86A-138D-47C3-8578-649070F15F51}"/>
    <cellStyle name="Normal 108 2" xfId="288" xr:uid="{5EC5D8AB-C37E-4616-9D7D-08A7934FA835}"/>
    <cellStyle name="Normal 108 3" xfId="355" xr:uid="{1CDBEEA8-9EAA-48F2-B8E7-E040E228DAE4}"/>
    <cellStyle name="Normal 108 4" xfId="394" xr:uid="{B580363B-2E5C-47D6-B39B-384CB80029C5}"/>
    <cellStyle name="Normal 109" xfId="267" xr:uid="{816EAFF8-9776-4B6B-AFC2-9A660AB63831}"/>
    <cellStyle name="Normal 109 2" xfId="354" xr:uid="{70B2AA71-EDA2-49A0-BB2A-BF6B6BEC1A67}"/>
    <cellStyle name="Normal 109 3" xfId="382" xr:uid="{C6B38F3F-BDEC-4A0B-8E5A-0CBAFBD0B0DA}"/>
    <cellStyle name="Normal 11" xfId="73" xr:uid="{224A449C-639C-48CF-97F8-00B6F3C90E6D}"/>
    <cellStyle name="Normal 11 2" xfId="139" xr:uid="{51461FA2-BF12-4068-A554-4642E1FADE16}"/>
    <cellStyle name="Normal 11 2 2" xfId="2779" xr:uid="{E450B6DA-6216-40D1-8B1A-6D68D967EA7A}"/>
    <cellStyle name="Normal 11 2 3" xfId="3691" xr:uid="{908D9E93-0368-4C34-85E7-B6F3DA16B468}"/>
    <cellStyle name="Normal 11 2 4" xfId="1881" xr:uid="{FC4B54AE-3161-415C-B66C-566850BA3B84}"/>
    <cellStyle name="Normal 11 3" xfId="120" xr:uid="{B6A321CA-25DC-40C2-89D7-9718B88EA5C6}"/>
    <cellStyle name="Normal 11 3 2" xfId="3391" xr:uid="{3EDA75B7-FFB8-4F19-90F0-EE6D0488EC1E}"/>
    <cellStyle name="Normal 11 4" xfId="528" xr:uid="{B7E1B1EB-6478-499D-AEF2-168C82415DBB}"/>
    <cellStyle name="Normal 11 4 2" xfId="3891" xr:uid="{24ED3B3F-49CB-4A08-BEF3-9EF02733079B}"/>
    <cellStyle name="Normal 11 4 3" xfId="1385" xr:uid="{18237F76-AD63-4987-A9D9-BCCFBA293446}"/>
    <cellStyle name="Normal 11 5" xfId="578" xr:uid="{9FCDF598-FE9E-477D-95D2-40E828E92E41}"/>
    <cellStyle name="Normal 11 5 2" xfId="2821" xr:uid="{CCB7493D-2809-440C-A36C-C4E9762242B9}"/>
    <cellStyle name="Normal 11 6" xfId="3625" xr:uid="{E40F1025-C925-439C-99D3-B04825F0CE83}"/>
    <cellStyle name="Normal 11 7" xfId="3660" xr:uid="{C45B4E78-E378-449C-BE80-D1220450AF9B}"/>
    <cellStyle name="Normal 11 8" xfId="694" xr:uid="{C60E6031-B1A5-4354-B8AC-6D986C12643C}"/>
    <cellStyle name="Normal 11_Giao dịch mua bán" xfId="185" xr:uid="{9A7AACF4-F04A-4B13-928D-0803B256D825}"/>
    <cellStyle name="Normal 110" xfId="289" xr:uid="{2AAC1A42-C2E3-48BE-A19D-7853493B2B0F}"/>
    <cellStyle name="Normal 110 2" xfId="351" xr:uid="{60C1BC83-52E3-4AB6-A9D7-D969ED273F7A}"/>
    <cellStyle name="Normal 110 3" xfId="379" xr:uid="{8C6CC8CE-16E7-436D-9447-F4CA9261B92C}"/>
    <cellStyle name="Normal 111" xfId="290" xr:uid="{3675A1FB-D72C-4B54-864B-E65DE9FEB155}"/>
    <cellStyle name="Normal 111 2" xfId="350" xr:uid="{199C9C2F-1C93-44B6-9FA9-8BC7E76C5FA6}"/>
    <cellStyle name="Normal 111 3" xfId="376" xr:uid="{EB868CF4-399F-475F-AE1B-9552322D7D77}"/>
    <cellStyle name="Normal 112" xfId="291" xr:uid="{C6ADBF27-0522-4D59-9651-369FCD4677FC}"/>
    <cellStyle name="Normal 112 2" xfId="349" xr:uid="{11AE9463-6346-415B-B970-52F0E084CF5D}"/>
    <cellStyle name="Normal 112 3" xfId="388" xr:uid="{5106E6C7-93CC-40FA-B954-2795867AF8A8}"/>
    <cellStyle name="Normal 113" xfId="292" xr:uid="{96E42BC4-8099-4CFD-A7C5-219791359174}"/>
    <cellStyle name="Normal 113 2" xfId="348" xr:uid="{C50895FD-C5E4-49C8-A975-54A7349C023B}"/>
    <cellStyle name="Normal 113 3" xfId="384" xr:uid="{5EE89285-2270-43A3-9F39-BE47F3CD9454}"/>
    <cellStyle name="Normal 114" xfId="293" xr:uid="{3A311A07-6383-4CA3-B9A5-33BE8B3E40E6}"/>
    <cellStyle name="Normal 114 2" xfId="347" xr:uid="{8D582075-671F-4EA5-8F10-383EF471D44A}"/>
    <cellStyle name="Normal 114 3" xfId="377" xr:uid="{3208D877-E3F4-4807-9760-87716C6BC33E}"/>
    <cellStyle name="Normal 115" xfId="294" xr:uid="{739EEA80-079F-4A30-890D-E0BBA8A89D3E}"/>
    <cellStyle name="Normal 115 2" xfId="346" xr:uid="{AD549439-577F-4D40-94F4-4788F08B0C78}"/>
    <cellStyle name="Normal 115 3" xfId="392" xr:uid="{AA6E16FA-D0FF-4083-8EC7-9DC49AFBAA9F}"/>
    <cellStyle name="Normal 116" xfId="295" xr:uid="{15EB0206-3F1E-49AB-B82D-6E2C8D87642C}"/>
    <cellStyle name="Normal 116 2" xfId="345" xr:uid="{A38B5429-2F2D-4623-9A0E-AB0209734EA9}"/>
    <cellStyle name="Normal 116 3" xfId="375" xr:uid="{132161D8-4505-48B3-9C08-7E5F92819570}"/>
    <cellStyle name="Normal 117" xfId="296" xr:uid="{D77A9B9D-40FE-4BE8-9B70-885D3F723648}"/>
    <cellStyle name="Normal 117 2" xfId="3776" xr:uid="{01D3063E-5857-47B8-894D-13F64187B9B5}"/>
    <cellStyle name="Normal 118" xfId="297" xr:uid="{461CAA95-97F3-4ABE-B58E-D5E4016413DC}"/>
    <cellStyle name="Normal 118 2" xfId="3777" xr:uid="{C075E0B8-E249-4FDB-B957-A35FCA8D3755}"/>
    <cellStyle name="Normal 119" xfId="298" xr:uid="{6EFF0A37-19FF-4054-8573-06E56A61806D}"/>
    <cellStyle name="Normal 119 2" xfId="3778" xr:uid="{C238AC85-58C9-42C1-8A79-82AD4C1F8A37}"/>
    <cellStyle name="Normal 12" xfId="74" xr:uid="{732514DA-6737-408C-A21A-5FE4FA02B010}"/>
    <cellStyle name="Normal 12 2" xfId="97" xr:uid="{A737AA82-F3B6-41F2-83EF-D7118DFD28CD}"/>
    <cellStyle name="Normal 12 2 2" xfId="2665" xr:uid="{C3F3A23A-F3EB-4A37-B56C-E0F989FC7512}"/>
    <cellStyle name="Normal 12 2 3" xfId="3672" xr:uid="{3B0705B0-AF73-4CB5-B2D3-F0CD37A343A8}"/>
    <cellStyle name="Normal 12 2 4" xfId="1848" xr:uid="{DF246BF4-E259-4A81-ACE8-8FE4AED32A70}"/>
    <cellStyle name="Normal 12 3" xfId="530" xr:uid="{0290DABC-BC87-49E0-8C14-A73993172AA4}"/>
    <cellStyle name="Normal 12 3 2" xfId="3392" xr:uid="{9E9E5F28-8CE4-4B18-BBF3-F8392F864D6A}"/>
    <cellStyle name="Normal 12 3 3" xfId="3893" xr:uid="{81F7A86E-6349-4A1C-907E-FCBAFD2DCB8C}"/>
    <cellStyle name="Normal 12 3 4" xfId="2629" xr:uid="{5D17F2CE-8DE3-4E94-93F3-30DB0DC33317}"/>
    <cellStyle name="Normal 12 4" xfId="580" xr:uid="{0CB569BB-79CE-417E-A335-7757011359C2}"/>
    <cellStyle name="Normal 12 4 2" xfId="2823" xr:uid="{84C745CC-8160-466D-AF22-2C92B3F21F89}"/>
    <cellStyle name="Normal 12 5" xfId="1386" xr:uid="{4BA1335D-41B3-4125-AF9A-2F9063BC7EDC}"/>
    <cellStyle name="Normal 12 6" xfId="3627" xr:uid="{B1D1F391-8455-44E9-A2F6-BD8B39BDCC44}"/>
    <cellStyle name="Normal 12 7" xfId="3661" xr:uid="{9436377B-8A05-4F2E-83DF-6748125C8B8B}"/>
    <cellStyle name="Normal 12 8" xfId="663" xr:uid="{9C857AB0-FE07-4124-910E-2126EB8FA2D2}"/>
    <cellStyle name="Normal 12_Giao dịch mua bán" xfId="190" xr:uid="{04C35AE9-497A-4573-967D-672A8220C1B1}"/>
    <cellStyle name="Normal 120" xfId="299" xr:uid="{2D87A9C9-61B8-44A8-9E80-9D421ED73871}"/>
    <cellStyle name="Normal 120 2" xfId="3779" xr:uid="{F1DD644B-F951-40D5-A77F-087850251739}"/>
    <cellStyle name="Normal 121" xfId="300" xr:uid="{2021CD56-B8B6-4CAD-8ADE-19CA1CA64CFB}"/>
    <cellStyle name="Normal 121 2" xfId="3780" xr:uid="{CF587872-DE8B-4B53-A7E7-A73FE4D8586F}"/>
    <cellStyle name="Normal 122" xfId="301" xr:uid="{1C534E1F-6913-407C-BAB3-F8F01B2C1F0B}"/>
    <cellStyle name="Normal 122 2" xfId="3781" xr:uid="{78748E10-85ED-4DE9-8FB7-64BC09292578}"/>
    <cellStyle name="Normal 123" xfId="302" xr:uid="{8B594A50-1856-4267-8DFC-94F5F8D5EF31}"/>
    <cellStyle name="Normal 123 2" xfId="3782" xr:uid="{D2784381-F6C5-4464-A7A9-565D86C079F9}"/>
    <cellStyle name="Normal 124" xfId="303" xr:uid="{25EBBCD0-F83B-4FC5-AE1C-F1036A21DBA3}"/>
    <cellStyle name="Normal 124 2" xfId="3783" xr:uid="{96086101-953C-41B3-825B-20FD5D22F0B2}"/>
    <cellStyle name="Normal 125" xfId="304" xr:uid="{BA6ACD86-43CE-4B9C-83E9-F35374BDC058}"/>
    <cellStyle name="Normal 125 2" xfId="3784" xr:uid="{273F92AD-60BD-4860-A3C9-E2B5F6DBF8BE}"/>
    <cellStyle name="Normal 126" xfId="305" xr:uid="{DEA3A420-B4F9-4CF4-A715-399B913973B5}"/>
    <cellStyle name="Normal 126 2" xfId="3785" xr:uid="{C04DF9D2-6D96-4CF2-957F-55E424DF43FC}"/>
    <cellStyle name="Normal 127" xfId="306" xr:uid="{624CBE2B-BFD1-40D7-860C-F31C46B4B3F5}"/>
    <cellStyle name="Normal 127 2" xfId="3786" xr:uid="{89732608-B5A6-438D-91E5-1BFAB6CCF9E2}"/>
    <cellStyle name="Normal 128" xfId="307" xr:uid="{7D666C95-CDC9-4FE0-94C0-D7C605909B5D}"/>
    <cellStyle name="Normal 129" xfId="308" xr:uid="{D5DD38F4-7562-44E6-A00E-5059E7258369}"/>
    <cellStyle name="Normal 13" xfId="69" xr:uid="{3157C8D2-4F4B-4BB7-9B52-29C64A23BE41}"/>
    <cellStyle name="Normal 13 2" xfId="121" xr:uid="{BB365236-07F8-403C-9F79-07E1B4BECC01}"/>
    <cellStyle name="Normal 13 3" xfId="3657" xr:uid="{CA60F199-4818-4179-BC2D-154ECFC0F4EB}"/>
    <cellStyle name="Normal 13 4" xfId="1425" xr:uid="{580325DA-B81E-4052-BC9B-347716234DA9}"/>
    <cellStyle name="Normal 13_Giao dịch mua bán" xfId="186" xr:uid="{E100007B-32CA-4D97-A638-B0C8D926E23B}"/>
    <cellStyle name="Normal 130" xfId="309" xr:uid="{D2C44610-AD00-42B2-8651-07A8A24C3592}"/>
    <cellStyle name="Normal 131" xfId="310" xr:uid="{7FAC9297-86C0-4556-9A7E-A41AB826C9A9}"/>
    <cellStyle name="Normal 132" xfId="311" xr:uid="{48B6B74E-823D-4043-A3F1-98CBC5119DAC}"/>
    <cellStyle name="Normal 133" xfId="312" xr:uid="{22D641E1-B2BF-4BE5-9FCF-D87B5A7D24CE}"/>
    <cellStyle name="Normal 134" xfId="313" xr:uid="{8349259C-5970-4D62-AC9B-8AB15F1C5146}"/>
    <cellStyle name="Normal 135" xfId="314" xr:uid="{C95C0333-218E-47C3-AB76-0A3BA2FA940C}"/>
    <cellStyle name="Normal 136" xfId="315" xr:uid="{5E1C7541-0873-4D53-8435-BBB737A338BB}"/>
    <cellStyle name="Normal 137" xfId="316" xr:uid="{D2894749-F51A-4350-BAF4-FD307C995F5E}"/>
    <cellStyle name="Normal 137 2" xfId="3787" xr:uid="{62C4EBEE-2D62-4F49-AA27-642CDED620B3}"/>
    <cellStyle name="Normal 138" xfId="317" xr:uid="{F2EE6D78-C77C-41BF-A6DC-48EDA618DAF1}"/>
    <cellStyle name="Normal 139" xfId="318" xr:uid="{FC703FBB-5CA0-49AE-B367-113979739EF0}"/>
    <cellStyle name="Normal 14" xfId="77" xr:uid="{2DBE2424-B06C-428D-8B0A-0EE9208F7909}"/>
    <cellStyle name="Normal 14 2" xfId="122" xr:uid="{F3253344-65F5-439E-B4B2-F4975DC3495B}"/>
    <cellStyle name="Normal 14 3" xfId="17" xr:uid="{140EEE04-A772-487B-A2E7-5560454D6A18}"/>
    <cellStyle name="Normal 14 3 2" xfId="3608" xr:uid="{9B25E3E8-CB41-4B34-8235-354C6471567D}"/>
    <cellStyle name="Normal 14 3 3" xfId="2783" xr:uid="{2236DB56-0127-47B4-8177-8BFFD084D334}"/>
    <cellStyle name="Normal 14 4" xfId="3664" xr:uid="{77C4A9E5-BDBA-4B60-900A-312A6E4A04CE}"/>
    <cellStyle name="Normal 14 5" xfId="688" xr:uid="{0EAFD00E-ECEC-4C9F-A659-8C0AE30210AA}"/>
    <cellStyle name="Normal 14_Giao dịch mua bán" xfId="184" xr:uid="{E672E453-27A7-4FC4-B3FE-B97D9650B730}"/>
    <cellStyle name="Normal 140" xfId="319" xr:uid="{1C3A3421-7B92-420D-9368-EACF1373F422}"/>
    <cellStyle name="Normal 141" xfId="320" xr:uid="{60EAD29A-B5AD-4FFB-99F3-7BEB19C34E6F}"/>
    <cellStyle name="Normal 142" xfId="321" xr:uid="{205AAF5A-5B5B-42A3-8484-235F65AB7EDE}"/>
    <cellStyle name="Normal 143" xfId="322" xr:uid="{B5BC5381-A571-4737-9EC7-F048345BF477}"/>
    <cellStyle name="Normal 144" xfId="323" xr:uid="{098691B4-3B8E-4121-918D-0159D863783C}"/>
    <cellStyle name="Normal 145" xfId="324" xr:uid="{B495B69C-0EF7-498A-BA43-960BCCF23B5C}"/>
    <cellStyle name="Normal 146" xfId="325" xr:uid="{3D15B54E-4F44-476A-890B-3FDDC7BC2A6D}"/>
    <cellStyle name="Normal 147" xfId="326" xr:uid="{51566076-D74D-4FD7-8E55-349A131E178C}"/>
    <cellStyle name="Normal 148" xfId="327" xr:uid="{69B0BD56-91E0-4D19-95A1-DFA8843DBD0C}"/>
    <cellStyle name="Normal 148 2" xfId="3774" xr:uid="{B2AA8A64-54AE-4F1D-8128-DD00E07136D8}"/>
    <cellStyle name="Normal 149" xfId="328" xr:uid="{0D6EF82C-673A-4632-85F7-A9F07CE5AA5E}"/>
    <cellStyle name="Normal 149 2" xfId="3772" xr:uid="{18DA9DD4-B130-4EC0-814F-7B5B06C33F2E}"/>
    <cellStyle name="Normal 15" xfId="78" xr:uid="{C1F6F668-EC33-4360-9C6D-7E43DBE3A0EE}"/>
    <cellStyle name="Normal 15 2" xfId="123" xr:uid="{1A112773-C3FC-4E8B-AA76-BC14F4687C69}"/>
    <cellStyle name="Normal 15 2 2" xfId="1739" xr:uid="{2C6F160D-E24F-4742-ADF3-22DC2AE888B4}"/>
    <cellStyle name="Normal 15 2 2 2" xfId="3393" xr:uid="{CD6B1831-B99D-4F5C-88AC-BA2034F2B5D6}"/>
    <cellStyle name="Normal 15 2 2 3" xfId="3059" xr:uid="{92D36EC1-77DA-4E1B-81CB-7699FC2AAEF3}"/>
    <cellStyle name="Normal 15 2 3" xfId="3394" xr:uid="{F3BC6FBD-E0DC-414F-930C-B2C9D81099C2}"/>
    <cellStyle name="Normal 15 2 4" xfId="2923" xr:uid="{4E0394F0-EA9A-450F-8C12-C15B464F4F17}"/>
    <cellStyle name="Normal 15 3" xfId="1692" xr:uid="{741542F4-D80C-4EAD-BB8B-1B107151E545}"/>
    <cellStyle name="Normal 15 3 2" xfId="3395" xr:uid="{45ED76C1-396A-4361-BDCC-78F3F4D9B045}"/>
    <cellStyle name="Normal 15 3 3" xfId="3013" xr:uid="{7C1A8CE6-3FC4-48DA-9F3E-B9D0DD417281}"/>
    <cellStyle name="Normal 15 4" xfId="3396" xr:uid="{6FB8472D-DC43-474C-8248-2E5B6F8B0969}"/>
    <cellStyle name="Normal 15 5" xfId="2878" xr:uid="{643D699B-CE25-4831-8DBC-E97689885AA2}"/>
    <cellStyle name="Normal 15 6" xfId="3665" xr:uid="{AA96BAE9-A94E-4886-99C8-65AD02E28978}"/>
    <cellStyle name="Normal 15_Giao dịch mua bán" xfId="197" xr:uid="{ACDF07D2-3F9A-4463-8D91-75C07324A090}"/>
    <cellStyle name="Normal 150" xfId="329" xr:uid="{F3CF5234-60EC-4704-95EB-2421412BF46E}"/>
    <cellStyle name="Normal 150 2" xfId="3788" xr:uid="{EB2C276A-CAB0-448A-B568-A141C71AEAF7}"/>
    <cellStyle name="Normal 151" xfId="330" xr:uid="{AC08BC4D-BDD0-477F-8122-AF9D0860C9C3}"/>
    <cellStyle name="Normal 151 2" xfId="3789" xr:uid="{44DF017B-FF88-496C-8945-7AF0955B6BD8}"/>
    <cellStyle name="Normal 152" xfId="332" xr:uid="{F6F5887D-2CEE-4E9C-9BBC-439297516C8E}"/>
    <cellStyle name="Normal 152 2" xfId="423" xr:uid="{8BF0B8CA-6F87-4C8B-BD61-13363C5EB859}"/>
    <cellStyle name="Normal 152 3" xfId="374" xr:uid="{A527A618-DABC-44DE-B94A-370EF3A0D944}"/>
    <cellStyle name="Normal 152 4" xfId="3790" xr:uid="{800BCB2E-B48C-4C81-B04A-772CC36E3C9E}"/>
    <cellStyle name="Normal 153" xfId="333" xr:uid="{739C1B53-EAB5-4ED1-B2A5-6FBFDCAC1A51}"/>
    <cellStyle name="Normal 153 2" xfId="425" xr:uid="{B607B0B3-E21F-4D07-B26A-BC509ABAFD93}"/>
    <cellStyle name="Normal 153 3" xfId="372" xr:uid="{469BF4C6-3A86-466E-8E87-A0E921A903B4}"/>
    <cellStyle name="Normal 154" xfId="334" xr:uid="{59C5E8FC-F78A-4E31-BB2E-72187BA2E4BC}"/>
    <cellStyle name="Normal 154 2" xfId="426" xr:uid="{509DF6A1-8278-4DED-81F5-331776C4248C}"/>
    <cellStyle name="Normal 154 3" xfId="373" xr:uid="{527429E9-2BAD-4D4A-BA5B-8FEB88007C6D}"/>
    <cellStyle name="Normal 155" xfId="335" xr:uid="{907DC93C-D963-4957-A4D9-B1311B96980D}"/>
    <cellStyle name="Normal 155 2" xfId="427" xr:uid="{C16E8C0A-B072-49D6-AF28-A41A7404A007}"/>
    <cellStyle name="Normal 155 3" xfId="420" xr:uid="{B008E806-CEAA-4917-B5DF-70222AF8F245}"/>
    <cellStyle name="Normal 156" xfId="336" xr:uid="{CF83ACFE-B330-4A61-9CBF-348DE8E35C90}"/>
    <cellStyle name="Normal 156 2" xfId="428" xr:uid="{404AC470-6E14-4374-93EB-99D3404AFD58}"/>
    <cellStyle name="Normal 156 3" xfId="421" xr:uid="{0CD00943-B5CC-4B64-93EF-2818E82DDD39}"/>
    <cellStyle name="Normal 157" xfId="337" xr:uid="{96899203-8CAF-4A9C-AB02-AB3EE36768F3}"/>
    <cellStyle name="Normal 157 2" xfId="429" xr:uid="{A86EA4FA-EE52-468F-9C33-696957976B4A}"/>
    <cellStyle name="Normal 157 3" xfId="422" xr:uid="{FCC8CF1B-BC0B-456B-9318-446FB2E40296}"/>
    <cellStyle name="Normal 158" xfId="338" xr:uid="{E7ED42BC-7B6A-4053-90FE-C725D6F0360C}"/>
    <cellStyle name="Normal 158 2" xfId="3791" xr:uid="{E4798ACE-1502-4747-87CC-9921DF15F3A7}"/>
    <cellStyle name="Normal 159" xfId="339" xr:uid="{5F341311-90CB-4557-8597-08C79D743B75}"/>
    <cellStyle name="Normal 16" xfId="18" xr:uid="{3DAB3B81-3313-4557-91AB-646A20E17C43}"/>
    <cellStyle name="Normal 16 2" xfId="124" xr:uid="{0383AD73-9385-4EC3-910B-D80F88408F07}"/>
    <cellStyle name="Normal 16 2 2" xfId="3682" xr:uid="{A2D0625B-499E-41F1-A4E5-88B452620AE1}"/>
    <cellStyle name="Normal 16 2 3" xfId="1518" xr:uid="{D58072C3-93E1-4110-8FD6-6CFE8DA5F2A3}"/>
    <cellStyle name="Normal 16 3" xfId="547" xr:uid="{B531AF08-96F6-40CB-A333-52AE71E82155}"/>
    <cellStyle name="Normal 16 4" xfId="70" xr:uid="{43C72324-EE1A-4738-99D5-B814BCE8E04A}"/>
    <cellStyle name="Normal 16 5" xfId="1430" xr:uid="{3C4E0C25-E1CC-4D2E-999B-4F6D549C7ACB}"/>
    <cellStyle name="Normal 16_Giao dịch mua bán" xfId="189" xr:uid="{687D90AF-F7D4-4CBD-853A-C6799CDD9C23}"/>
    <cellStyle name="Normal 160" xfId="340" xr:uid="{6E5F556D-7DA2-4EC6-A2F2-64FDC1509A2C}"/>
    <cellStyle name="Normal 161" xfId="341" xr:uid="{8F89BDB3-497E-41D7-AF24-FCD2DA32F509}"/>
    <cellStyle name="Normal 162" xfId="342" xr:uid="{36B49EED-6AC0-426E-8039-06FA63A70CFF}"/>
    <cellStyle name="Normal 162 2" xfId="3796" xr:uid="{8A4E5557-2047-43D9-8E78-C90618D1E4C2}"/>
    <cellStyle name="Normal 162 3" xfId="3792" xr:uid="{A7470C5C-95F0-48D9-A6CC-E4C1E561255C}"/>
    <cellStyle name="Normal 163" xfId="343" xr:uid="{ACCBB47F-98D6-4D3F-BA18-61E9497AADA9}"/>
    <cellStyle name="Normal 163 2" xfId="3798" xr:uid="{F21617E0-6E11-4B85-BEEE-86C51F6CCB86}"/>
    <cellStyle name="Normal 163 3" xfId="3794" xr:uid="{C04D1083-0A36-454A-BF81-34DA0C75E229}"/>
    <cellStyle name="Normal 164" xfId="344" xr:uid="{25176E42-A6A9-4BF3-AAA9-C93E03F7CF37}"/>
    <cellStyle name="Normal 164 2" xfId="424" xr:uid="{1E1E08FA-9033-4C59-816D-B50F48BDAF58}"/>
    <cellStyle name="Normal 164 2 2" xfId="3799" xr:uid="{54276F0F-23DE-40B5-99CF-9976CC9356C7}"/>
    <cellStyle name="Normal 164 3" xfId="3795" xr:uid="{2C724992-8EA5-4E68-B547-005C720A68A2}"/>
    <cellStyle name="Normal 165" xfId="417" xr:uid="{6104A729-1439-410D-A281-231DB7F8D120}"/>
    <cellStyle name="Normal 165 2" xfId="430" xr:uid="{6D4BA2B2-5F4A-4953-97EA-C83FAEC4A816}"/>
    <cellStyle name="Normal 165 3" xfId="3800" xr:uid="{78F95D6F-52AD-455F-9774-14C8CE662DCB}"/>
    <cellStyle name="Normal 166" xfId="418" xr:uid="{C29AE57C-32E2-4905-96C4-8C6913629B16}"/>
    <cellStyle name="Normal 166 2" xfId="431" xr:uid="{50AD2D78-33DF-47A3-8A77-4EA5924DDB8D}"/>
    <cellStyle name="Normal 166 3" xfId="3802" xr:uid="{613FF5E1-7A9B-4B4C-AD3A-9A41935A8FB9}"/>
    <cellStyle name="Normal 167" xfId="432" xr:uid="{E169840C-EA09-46AE-B77F-EE7DC4BFD216}"/>
    <cellStyle name="Normal 167 2" xfId="3803" xr:uid="{3C62EC47-C358-4A26-AB68-B9BED4C75E3E}"/>
    <cellStyle name="Normal 168" xfId="419" xr:uid="{F1FD736B-25CA-42E6-814F-8F743D7F30E9}"/>
    <cellStyle name="Normal 169" xfId="403" xr:uid="{C7EE7A35-BBD7-4BF3-9898-D9DB649BC83E}"/>
    <cellStyle name="Normal 17" xfId="64" xr:uid="{AEB06ACC-010E-4B5C-A310-1D0CF5CCB09F}"/>
    <cellStyle name="Normal 17 2" xfId="3654" xr:uid="{15074989-F2CA-4D4D-A841-B73E7AE0F749}"/>
    <cellStyle name="Normal 17 3" xfId="1463" xr:uid="{117C7438-C4CE-4862-ABA3-06F055541166}"/>
    <cellStyle name="Normal 170" xfId="407" xr:uid="{E3BD3EFC-4F85-48FE-9A54-4AD2AD76E4AC}"/>
    <cellStyle name="Normal 171" xfId="352" xr:uid="{13E8A07B-A8C5-4E67-8FD7-EEED74D921A6}"/>
    <cellStyle name="Normal 172" xfId="402" xr:uid="{FB41DDDC-41F9-4747-B86E-EE2AD03F3BD1}"/>
    <cellStyle name="Normal 173" xfId="412" xr:uid="{FE219D15-212A-49DB-8C4D-F9837438B05D}"/>
    <cellStyle name="Normal 174" xfId="353" xr:uid="{C4333FBF-BB64-4737-A834-5748802D7BDC}"/>
    <cellStyle name="Normal 175" xfId="405" xr:uid="{50FFACD0-541A-4D11-93F6-8B7B32C1B21D}"/>
    <cellStyle name="Normal 175 2" xfId="3805" xr:uid="{2319D626-9E79-4F28-8D78-2938CEA4CFBF}"/>
    <cellStyle name="Normal 176" xfId="433" xr:uid="{03009027-92DF-4462-B0EA-EDF51E51AD81}"/>
    <cellStyle name="Normal 176 2" xfId="3806" xr:uid="{60BE58F2-8814-4C5A-A3D4-E486072269DA}"/>
    <cellStyle name="Normal 177" xfId="434" xr:uid="{6E1654A0-DCF8-49F8-920D-29E810FB3502}"/>
    <cellStyle name="Normal 177 2" xfId="3807" xr:uid="{EBA2FA09-1295-47D3-9BF6-CC4A9DA3EDA2}"/>
    <cellStyle name="Normal 178" xfId="408" xr:uid="{C1C2CBE6-A6A5-41BC-85A6-BCE948812D27}"/>
    <cellStyle name="Normal 179" xfId="415" xr:uid="{F15743DE-186B-4B58-98B4-2A16B6C046FB}"/>
    <cellStyle name="Normal 18" xfId="65" xr:uid="{D4E2C86B-8DFE-4215-BEC6-7F276700B1C0}"/>
    <cellStyle name="Normal 18 2" xfId="134" xr:uid="{FABA68A5-61A3-4679-A268-EB7E5E7B7F8E}"/>
    <cellStyle name="Normal 18 2 2" xfId="202" xr:uid="{AC256BC7-11D4-4718-8DA5-E72B5AECFF2D}"/>
    <cellStyle name="Normal 18 2 3" xfId="3689" xr:uid="{A1E430AB-D035-411D-95EA-935018707E10}"/>
    <cellStyle name="Normal 18 2 4" xfId="2639" xr:uid="{686435C2-A8D1-4087-BFBB-459D63FCC538}"/>
    <cellStyle name="Normal 18 2_Giao dịch mua bán" xfId="193" xr:uid="{25E21AC2-B7E2-4965-A219-F6F85B515D87}"/>
    <cellStyle name="Normal 18 3" xfId="2776" xr:uid="{2B9ADEF4-A1A9-486F-9FB8-D196AC88734A}"/>
    <cellStyle name="Normal 18 4" xfId="3655" xr:uid="{87E891A2-B646-4D0B-960F-DC3C9632BDF8}"/>
    <cellStyle name="Normal 18 5" xfId="1448" xr:uid="{8A4DB1BB-E71B-4FE5-9EBE-059E216B1FEE}"/>
    <cellStyle name="Normal 18_Giao dịch mua bán" xfId="196" xr:uid="{BC531612-2463-4158-B345-7B91A6317A13}"/>
    <cellStyle name="Normal 180" xfId="404" xr:uid="{F75CC48A-30D1-47D5-966C-811865916D87}"/>
    <cellStyle name="Normal 181" xfId="414" xr:uid="{693D2F68-C962-4C6F-BE59-A751A23BCB59}"/>
    <cellStyle name="Normal 182" xfId="435" xr:uid="{E14D240C-8943-4F0C-ADDA-BC571E29CF7C}"/>
    <cellStyle name="Normal 183" xfId="436" xr:uid="{61DC2A55-7348-44C5-BC65-A8A23D740788}"/>
    <cellStyle name="Normal 184" xfId="437" xr:uid="{9A35188F-05D5-4740-8EFC-66FC85792DCA}"/>
    <cellStyle name="Normal 185" xfId="438" xr:uid="{B6DAC410-7F54-45EA-879D-7C325415E127}"/>
    <cellStyle name="Normal 186" xfId="439" xr:uid="{FC1340BC-BBE5-4229-9BD6-5EE039FBC187}"/>
    <cellStyle name="Normal 187" xfId="50" xr:uid="{3110C3AC-CB0A-4F7B-980E-D57A205665F0}"/>
    <cellStyle name="Normal 187 2" xfId="3817" xr:uid="{37F06297-72EC-4128-83FA-BA5AF53D9A14}"/>
    <cellStyle name="Normal 187 3" xfId="3732" xr:uid="{DA417466-05BE-454E-9342-19BF9153AB91}"/>
    <cellStyle name="Normal 188" xfId="19" xr:uid="{D0BC9EA5-7F8B-4740-86D7-C612C915D227}"/>
    <cellStyle name="Normal 188 2" xfId="562" xr:uid="{82A11EEC-6AD4-4116-858D-A50E3B658550}"/>
    <cellStyle name="Normal 188 3" xfId="440" xr:uid="{5E1D3F37-403E-4945-96A5-27B75AFD80C4}"/>
    <cellStyle name="Normal 189" xfId="444" xr:uid="{2E0B7F19-20F9-4ABE-AE52-8B56601EC9FC}"/>
    <cellStyle name="Normal 189 2" xfId="3838" xr:uid="{97147516-844B-45A3-968E-95390F3F1C4C}"/>
    <cellStyle name="Normal 189 3" xfId="3741" xr:uid="{A7FCAA47-2CB9-4AC7-87D9-E7ED2D36F1D7}"/>
    <cellStyle name="Normal 19" xfId="83" xr:uid="{FE724AEA-F329-44BD-BAAB-2A1D9A48D208}"/>
    <cellStyle name="Normal 19 2" xfId="1706" xr:uid="{E65C48E7-6491-43DA-801A-45143D37B350}"/>
    <cellStyle name="Normal 19 2 2" xfId="3397" xr:uid="{407B7FCF-98E6-4388-A2AB-359683FF06B1}"/>
    <cellStyle name="Normal 19 2 3" xfId="3027" xr:uid="{2624202B-23BE-4FD2-9E1E-AE085C9E8236}"/>
    <cellStyle name="Normal 19 3" xfId="3398" xr:uid="{D4489CB9-5BD7-4864-9387-2FD410DA6D1A}"/>
    <cellStyle name="Normal 19 4" xfId="2892" xr:uid="{7E6B09C5-55BA-4644-983F-8B10D828B708}"/>
    <cellStyle name="Normal 190" xfId="442" xr:uid="{1D57D37A-DECA-48F0-9ED7-28F55C1DDF6E}"/>
    <cellStyle name="Normal 190 2" xfId="3836" xr:uid="{DDB780C4-F239-4B9A-B216-78C1750E1C89}"/>
    <cellStyle name="Normal 190 3" xfId="3742" xr:uid="{E020521A-C99C-4193-9FA8-41986733AC88}"/>
    <cellStyle name="Normal 191" xfId="447" xr:uid="{1FE9EE9C-E042-4B5A-A33A-B57EC047BCD8}"/>
    <cellStyle name="Normal 191 2" xfId="3841" xr:uid="{A9A32A0A-6F79-47D8-B446-585F9170D76D}"/>
    <cellStyle name="Normal 191 3" xfId="3743" xr:uid="{30D497A8-E961-4D51-AF0F-7A42AE6C4F12}"/>
    <cellStyle name="Normal 192" xfId="448" xr:uid="{1E8A6FDE-CACF-4602-9936-9BF6A9220174}"/>
    <cellStyle name="Normal 192 2" xfId="3842" xr:uid="{2601F11B-5644-4075-9823-E8C4EF61B7C3}"/>
    <cellStyle name="Normal 192 3" xfId="3744" xr:uid="{500CC1BF-6190-43E1-A5FF-3303FB807298}"/>
    <cellStyle name="Normal 193" xfId="449" xr:uid="{636C851B-629B-4D16-BF56-2A7087ED656A}"/>
    <cellStyle name="Normal 193 2" xfId="3843" xr:uid="{E01EC081-0905-4EE5-8CE3-369FB038B835}"/>
    <cellStyle name="Normal 193 3" xfId="3745" xr:uid="{5853B342-C446-4742-B0AF-3633F14F72E0}"/>
    <cellStyle name="Normal 194" xfId="450" xr:uid="{CFB63F05-3404-4F88-A031-0898B52BD72D}"/>
    <cellStyle name="Normal 194 2" xfId="3844" xr:uid="{C1CE89EF-C921-4F31-8834-CD9CBB508614}"/>
    <cellStyle name="Normal 194 3" xfId="3746" xr:uid="{118EECF0-D250-4819-AE5E-1D9443FF872F}"/>
    <cellStyle name="Normal 195" xfId="451" xr:uid="{BACA9AED-0E19-44D2-89D1-1015CDFBD5C2}"/>
    <cellStyle name="Normal 195 2" xfId="3845" xr:uid="{099CD174-E25F-48AE-BC8C-D9BDBD4A08B9}"/>
    <cellStyle name="Normal 195 3" xfId="3747" xr:uid="{250C8390-8BD7-4D4C-9B85-88D9F286E95F}"/>
    <cellStyle name="Normal 196" xfId="452" xr:uid="{D3DCD4C8-F708-4701-AC35-65EDDF20376A}"/>
    <cellStyle name="Normal 196 2" xfId="3846" xr:uid="{82C12343-E8D7-43EF-B97D-3A891E021811}"/>
    <cellStyle name="Normal 196 3" xfId="3748" xr:uid="{F1DEB8D9-D47C-458B-B51E-1E6DA5FA2E55}"/>
    <cellStyle name="Normal 197" xfId="509" xr:uid="{AE1715A2-D0E9-49ED-919B-E59025F9675F}"/>
    <cellStyle name="Normal 197 2" xfId="3875" xr:uid="{091FAE0E-38EF-44BF-86D8-B2AB3F8E2610}"/>
    <cellStyle name="Normal 197 3" xfId="3749" xr:uid="{B5FF14A2-A161-4AB4-BD40-D3DECFC0C35F}"/>
    <cellStyle name="Normal 198" xfId="485" xr:uid="{BA651421-35FB-486E-B8B5-0A800599B317}"/>
    <cellStyle name="Normal 198 2" xfId="3860" xr:uid="{FEBB02B0-1A80-4992-9C00-5D4F75589692}"/>
    <cellStyle name="Normal 198 3" xfId="3750" xr:uid="{1B0F1230-FF39-41D4-A1C5-BE4EC7BA23B0}"/>
    <cellStyle name="Normal 199" xfId="487" xr:uid="{F4D0B16E-896E-4BBE-8C33-DCA6FA8B6142}"/>
    <cellStyle name="Normal 199 2" xfId="3861" xr:uid="{D1F011E3-5454-4935-B90E-8DE4C9E02ACB}"/>
    <cellStyle name="Normal 199 3" xfId="3757" xr:uid="{7B625064-6861-4C1A-8EF8-7B1481625637}"/>
    <cellStyle name="Normal 2" xfId="3" xr:uid="{C717EAFA-19AE-4EEE-99B3-A8F813C3B993}"/>
    <cellStyle name="Normal 2 10" xfId="445" xr:uid="{4434221C-BAD1-4CFF-80A8-3A359F8AFAE2}"/>
    <cellStyle name="Normal 2 10 2" xfId="679" xr:uid="{C4B41AB4-20D9-44DC-943B-0A1BF78EAD0C}"/>
    <cellStyle name="Normal 2 10 2 2" xfId="2704" xr:uid="{6B921F9D-1239-469C-A47C-D972E57E1E2C}"/>
    <cellStyle name="Normal 2 10 2 3" xfId="1864" xr:uid="{5026ADCB-4DD1-4E4F-A6D2-513C6823A8B7}"/>
    <cellStyle name="Normal 2 10 2 4" xfId="2803" xr:uid="{86A781C7-8BFB-4062-8A31-A690F70E10F0}"/>
    <cellStyle name="Normal 2 10 2 5" xfId="3596" xr:uid="{9126C0F4-9954-4642-9499-290879D5D1E5}"/>
    <cellStyle name="Normal 2 10 3" xfId="699" xr:uid="{925E1C08-7134-4C5A-9473-9A906B4D69C0}"/>
    <cellStyle name="Normal 2 10 4" xfId="3740" xr:uid="{39A8BBE7-42E5-4D1A-8C2A-459BC7E46F82}"/>
    <cellStyle name="Normal 2 10 5" xfId="3839" xr:uid="{3F62DA97-A37D-456F-A16E-A962B4F2CA58}"/>
    <cellStyle name="Normal 2 10 6" xfId="623" xr:uid="{169DB890-294C-4A3C-ADC0-6824E468E140}"/>
    <cellStyle name="Normal 2 11" xfId="489" xr:uid="{FFCA1472-064F-472A-A889-17BDACC9BE49}"/>
    <cellStyle name="Normal 2 11 2" xfId="3862" xr:uid="{13370A36-5497-4C73-8DF3-90B2D0AE571D}"/>
    <cellStyle name="Normal 2 11 3" xfId="2790" xr:uid="{61E6FF01-7EDC-4022-A9F3-EFDE81D75402}"/>
    <cellStyle name="Normal 2 12" xfId="550" xr:uid="{62018723-C6D7-47BD-916E-9A0909C580BE}"/>
    <cellStyle name="Normal 2 12 2" xfId="3908" xr:uid="{6EE7760D-6CD9-477A-944E-A00C8963FAF1}"/>
    <cellStyle name="Normal 2 12 3" xfId="2793" xr:uid="{AB1E7B62-8E35-4FC5-A7F2-4263F799C0FD}"/>
    <cellStyle name="Normal 2 13" xfId="35" xr:uid="{B4262E69-D837-46D1-819A-40559B409D1F}"/>
    <cellStyle name="Normal 2 13 2" xfId="674" xr:uid="{FE89D5DB-8DAC-41BC-92DE-31D6DCAD59AD}"/>
    <cellStyle name="Normal 2 14" xfId="3604" xr:uid="{06A5881A-9EB1-4351-ABE0-D2AEE49FB523}"/>
    <cellStyle name="Normal 2 15" xfId="3644" xr:uid="{C7597D39-0D79-4FAC-883B-62747F7B879C}"/>
    <cellStyle name="Normal 2 16" xfId="2201" xr:uid="{617D23EE-AB9A-45CA-BBE8-19F1C1B35206}"/>
    <cellStyle name="Normal 2 2" xfId="20" xr:uid="{37505A35-124C-46B3-9E85-85039FCF5165}"/>
    <cellStyle name="Normal 2 2 2" xfId="126" xr:uid="{F8E70299-B3C4-4646-95A7-B311BFBEFF9C}"/>
    <cellStyle name="Normal 2 2 2 2" xfId="534" xr:uid="{1BF848CB-7A8C-4D94-83AA-6735B8E6650C}"/>
    <cellStyle name="Normal 2 2 2 2 2" xfId="3897" xr:uid="{489718C4-86D5-43A5-8687-28F4F92D5556}"/>
    <cellStyle name="Normal 2 2 2 2 3" xfId="3595" xr:uid="{8142E100-9B8C-4979-9C5E-34CC7DDEA4DE}"/>
    <cellStyle name="Normal 2 2 2 3" xfId="2202" xr:uid="{116229D6-F7BF-4AA4-AD3E-739B7779B4C0}"/>
    <cellStyle name="Normal 2 2 2 4" xfId="3683" xr:uid="{D236F00E-9A17-404B-9266-4283C070CB39}"/>
    <cellStyle name="Normal 2 2 2 5" xfId="603" xr:uid="{633B3F81-6FE0-4124-B2C3-BE1AC7B4A502}"/>
    <cellStyle name="Normal 2 2 3" xfId="522" xr:uid="{4C112B74-20A9-4882-9699-B32C52414B36}"/>
    <cellStyle name="Normal 2 2 3 2" xfId="2773" xr:uid="{95FFB7A4-3E26-4366-8736-969B75FD0074}"/>
    <cellStyle name="Normal 2 2 3 3" xfId="1850" xr:uid="{D7D7C8D1-970A-4B09-8B5E-FD2C1996A2DC}"/>
    <cellStyle name="Normal 2 2 3 4" xfId="3887" xr:uid="{9120B822-B108-454A-9E43-0C61E7185BBB}"/>
    <cellStyle name="Normal 2 2 3 5" xfId="634" xr:uid="{4423B287-4109-4B29-8B35-C7B3C4C172BD}"/>
    <cellStyle name="Normal 2 2 4" xfId="554" xr:uid="{DD79B76F-E9AD-454C-B513-E96346A85BC1}"/>
    <cellStyle name="Normal 2 2 4 2" xfId="3399" xr:uid="{68382563-F1EA-4FF4-A890-E9108B3AAF1B}"/>
    <cellStyle name="Normal 2 2 4 3" xfId="3910" xr:uid="{04EE9696-68A7-4519-9920-E3AC5DD99CDB}"/>
    <cellStyle name="Normal 2 2 4 4" xfId="630" xr:uid="{6A83A6B8-2951-4D34-AF31-99FA203D2893}"/>
    <cellStyle name="Normal 2 2 5" xfId="54" xr:uid="{1A3BE855-FF6B-4367-BECA-B2110BE5B8AF}"/>
    <cellStyle name="Normal 2 2 5 2" xfId="3612" xr:uid="{64CFEA79-00FA-46AD-B645-50F6A5684CCA}"/>
    <cellStyle name="Normal 2 2 6" xfId="3622" xr:uid="{F7C20AFB-4D74-4BE3-A1E9-633C6C5C2CB6}"/>
    <cellStyle name="Normal 2 2 7" xfId="3646" xr:uid="{2109271E-912B-4407-8E01-925AC1E3EF0C}"/>
    <cellStyle name="Normal 2 2 8" xfId="593" xr:uid="{27B88E46-BBE4-430F-8208-F2D603BD132C}"/>
    <cellStyle name="Normal 2 3" xfId="21" xr:uid="{62FAA05E-AA2F-4B5B-8DE5-0F196CEFBCDB}"/>
    <cellStyle name="Normal 2 3 10" xfId="645" xr:uid="{BE46DC16-D8A8-46C4-B8F1-4943A54E2875}"/>
    <cellStyle name="Normal 2 3 2" xfId="22" xr:uid="{10A33F50-B8B0-4AF1-B146-596A128B76E1}"/>
    <cellStyle name="Normal 2 3 2 2" xfId="541" xr:uid="{19C5BF25-7C6D-4382-BE0D-2EBBECFC11ED}"/>
    <cellStyle name="Normal 2 3 2 2 2" xfId="3902" xr:uid="{90574EEC-A6FD-4040-A5C6-6869BFC76090}"/>
    <cellStyle name="Normal 2 3 2 2 3" xfId="3616" xr:uid="{3DD51A61-2060-415E-88FB-7618384868A6}"/>
    <cellStyle name="Normal 2 3 2 3" xfId="560" xr:uid="{2B223F77-E83E-47C7-9D42-2829714E500C}"/>
    <cellStyle name="Normal 2 3 2 3 2" xfId="3915" xr:uid="{60AC89FC-5B50-4803-8A03-2D7F2B7F6B2B}"/>
    <cellStyle name="Normal 2 3 2 3 3" xfId="3633" xr:uid="{3859E8CB-49F9-4843-ADC7-3C10681A3CE9}"/>
    <cellStyle name="Normal 2 3 2 4" xfId="125" xr:uid="{49F0198F-572B-48B7-B585-169B6D109220}"/>
    <cellStyle name="Normal 2 3 2 5" xfId="693" xr:uid="{768D0AF6-8466-43FF-B29E-401697DECE20}"/>
    <cellStyle name="Normal 2 3 3" xfId="538" xr:uid="{8EAD37BE-DD4D-403C-9866-191933D8A610}"/>
    <cellStyle name="Normal 2 3 3 2" xfId="3900" xr:uid="{629C6C16-DC63-444C-96C1-969AFFA5858D}"/>
    <cellStyle name="Normal 2 3 3 3" xfId="2203" xr:uid="{4412C9A0-02E6-47DE-B5BF-04CD4B2C8FC8}"/>
    <cellStyle name="Normal 2 3 4" xfId="62" xr:uid="{564F6C3F-F63A-461E-A0B9-0747B8C52B51}"/>
    <cellStyle name="Normal 2 3 4 2" xfId="1857" xr:uid="{2D419386-456F-4422-BE62-6F66F4EC55D8}"/>
    <cellStyle name="Normal 2 3 5" xfId="2638" xr:uid="{E0145B97-A0D3-4B0E-9110-058DE6D131B0}"/>
    <cellStyle name="Normal 2 3 6" xfId="2798" xr:uid="{1D2D1FD0-2ADE-43FF-9498-1AE1D1013B26}"/>
    <cellStyle name="Normal 2 3 7" xfId="636" xr:uid="{A415EEF9-118F-4D07-B2FA-5D8559905E1A}"/>
    <cellStyle name="Normal 2 3 8" xfId="3632" xr:uid="{7C6073A9-2A98-4C2B-BE13-E26D41450838}"/>
    <cellStyle name="Normal 2 3 9" xfId="3652" xr:uid="{E9E57A10-CC77-4F2A-BA87-5E480D53969A}"/>
    <cellStyle name="Normal 2 3_Giao dịch mua bán" xfId="188" xr:uid="{7F745891-40D2-4A82-95C2-88189FECF044}"/>
    <cellStyle name="Normal 2 4" xfId="37" xr:uid="{2E2E95D6-B223-4E21-B86E-CC8E74637E11}"/>
    <cellStyle name="Normal 2 4 2" xfId="156" xr:uid="{B88FF053-686C-4AF5-9218-7AE496D90CF3}"/>
    <cellStyle name="Normal 2 4 2 2" xfId="2691" xr:uid="{7CE57687-901C-4DEA-BF73-3891958BE738}"/>
    <cellStyle name="Normal 2 4 2 3" xfId="3696" xr:uid="{2B624FBB-D8A4-42CA-957A-C4F09D11053F}"/>
    <cellStyle name="Normal 2 4 2 4" xfId="2200" xr:uid="{65413B6E-0250-4057-87F9-5D162C4706B3}"/>
    <cellStyle name="Normal 2 4 3" xfId="56" xr:uid="{82C472AD-2E63-4129-AFA5-03A25EC0CFAF}"/>
    <cellStyle name="Normal 2 4 3 2" xfId="3400" xr:uid="{5F9AD261-307F-4A77-A727-C87CEB3D1436}"/>
    <cellStyle name="Normal 2 4 3 3" xfId="3822" xr:uid="{51D1B141-9AD9-4EDD-A3D9-8CB7C64199EF}"/>
    <cellStyle name="Normal 2 4 3 4" xfId="1861" xr:uid="{C3FAB847-9A83-449D-8E45-51CDFAD36059}"/>
    <cellStyle name="Normal 2 4 4" xfId="491" xr:uid="{10CE35BD-63A6-4469-9AB7-FF0ABA3911C9}"/>
    <cellStyle name="Normal 2 4 4 2" xfId="3401" xr:uid="{6F7E5170-F566-47E6-BE73-25D7D1FE9E17}"/>
    <cellStyle name="Normal 2 4 4 3" xfId="3863" xr:uid="{9A956029-2F0C-4821-8043-C491BB347224}"/>
    <cellStyle name="Normal 2 4 4 4" xfId="2599" xr:uid="{68D5A58E-F311-4A05-950F-7B70B6D7A557}"/>
    <cellStyle name="Normal 2 4 5" xfId="1445" xr:uid="{174AE9B9-25D5-4FF8-BD13-3A222FBCE38D}"/>
    <cellStyle name="Normal 2 4 6" xfId="2801" xr:uid="{998F4FE1-3362-4703-BDFF-C031B31A107B}"/>
    <cellStyle name="Normal 2 4 7" xfId="675" xr:uid="{74607814-7D9F-448A-8C92-44BB4EE4915B}"/>
    <cellStyle name="Normal 2 4 8" xfId="3647" xr:uid="{FDADE7E9-480F-49D3-B3AB-B0BCED3948BD}"/>
    <cellStyle name="Normal 2 4 9" xfId="620" xr:uid="{9A0C5689-281E-4DE6-8A62-3DF7EAE0BC54}"/>
    <cellStyle name="Normal 2 4_Giao dịch mua bán" xfId="198" xr:uid="{158DEEFE-888B-4A0B-876A-C22F7845A513}"/>
    <cellStyle name="Normal 2 5" xfId="94" xr:uid="{AFDE7B0F-F3A0-4490-AC20-4439B13954E7}"/>
    <cellStyle name="Normal 2 5 2" xfId="474" xr:uid="{F6581E85-C628-4450-95E7-EE96CF1E32A0}"/>
    <cellStyle name="Normal 2 5 2 2" xfId="3853" xr:uid="{8C3DF749-C5FA-49F9-A0CE-5BD7A7026402}"/>
    <cellStyle name="Normal 2 5 2 3" xfId="2662" xr:uid="{5A82F335-5245-4BC7-A040-42210854C090}"/>
    <cellStyle name="Normal 2 5 3" xfId="535" xr:uid="{B50B41BD-A4AC-4990-A7EC-4EFE1E3504B9}"/>
    <cellStyle name="Normal 2 5 4" xfId="3669" xr:uid="{DD281507-DACC-45F4-9EE2-D81231E64910}"/>
    <cellStyle name="Normal 2 5 5" xfId="683" xr:uid="{9A53D806-03B7-4CE7-8E42-B0419822CEF2}"/>
    <cellStyle name="Normal 2 6" xfId="216" xr:uid="{8FE9BBA2-D678-4104-86E2-4086F87015D8}"/>
    <cellStyle name="Normal 2 6 2" xfId="1873" xr:uid="{A9B74A6D-E18C-4ABD-AA04-0CC87591B3F8}"/>
    <cellStyle name="Normal 2 6 3" xfId="2812" xr:uid="{03B0EA16-DE9F-42DC-B24B-20334779CDC8}"/>
    <cellStyle name="Normal 2 6 4" xfId="3402" xr:uid="{6D99BEBB-463D-4EA3-841D-E570F79973F3}"/>
    <cellStyle name="Normal 2 6 5" xfId="3716" xr:uid="{E1B0CA4D-2191-463E-BB23-5F68831F5B1A}"/>
    <cellStyle name="Normal 2 6 6" xfId="685" xr:uid="{C359E387-894D-488F-947D-84B06C27DB3A}"/>
    <cellStyle name="Normal 2 7" xfId="52" xr:uid="{3A747958-1688-4CA9-B2C5-514475B0AC28}"/>
    <cellStyle name="Normal 2 7 2" xfId="3733" xr:uid="{3DEE7E0D-060D-4F01-8816-707016BE2297}"/>
    <cellStyle name="Normal 2 7 3" xfId="3819" xr:uid="{25B31EF2-E17C-4045-9D8A-E1CB07722A3B}"/>
    <cellStyle name="Normal 2 7 4" xfId="1849" xr:uid="{060D5DDE-CE3B-44CC-95DB-B7053FC17E85}"/>
    <cellStyle name="Normal 2 8" xfId="441" xr:uid="{C4AC6E45-058F-44AD-9D2F-EEB1297E2AED}"/>
    <cellStyle name="Normal 2 8 2" xfId="3739" xr:uid="{07029A3A-94B0-4A8B-924A-6F38E0C82C0A}"/>
    <cellStyle name="Normal 2 8 3" xfId="3835" xr:uid="{159DA711-F3AE-411D-ADF9-A42336ED71AF}"/>
    <cellStyle name="Normal 2 8 4" xfId="1068" xr:uid="{55948B92-34B8-458C-9183-D7DCB3AC4356}"/>
    <cellStyle name="Normal 2 9" xfId="443" xr:uid="{FF8F8780-EA80-4BC9-B61E-FD06F9297F4E}"/>
    <cellStyle name="Normal 2 9 2" xfId="3738" xr:uid="{B3050D43-6789-4969-8CC6-465C224C74FC}"/>
    <cellStyle name="Normal 2 9 3" xfId="3837" xr:uid="{C9C65CE9-B06B-4117-B54A-570AEEA44AD6}"/>
    <cellStyle name="Normal 2 9 4" xfId="2600" xr:uid="{7E32A15D-DE23-442A-9242-FC394DE5B906}"/>
    <cellStyle name="Normal 2_Giao dịch mua bán" xfId="183" xr:uid="{75287519-6EF9-42B1-BE73-E6FA9D24CC87}"/>
    <cellStyle name="Normal 20" xfId="67" xr:uid="{7C7751FE-4AFF-454B-82B2-B90BE0A3826B}"/>
    <cellStyle name="Normal 20 2" xfId="1707" xr:uid="{83F19154-73C3-46BC-A184-B3FE9F869E2C}"/>
    <cellStyle name="Normal 20 2 2" xfId="3403" xr:uid="{32E58536-CFE2-47D7-A567-CAECAEB12C7C}"/>
    <cellStyle name="Normal 20 2 3" xfId="3028" xr:uid="{E8F798F3-2C47-4695-80B9-65F0A9D43DE8}"/>
    <cellStyle name="Normal 20 3" xfId="3404" xr:uid="{1F1A341A-0584-4C89-BF3B-7562EE838F32}"/>
    <cellStyle name="Normal 20 4" xfId="2893" xr:uid="{7A2682D2-FD93-48C8-936F-0E75F13F2E16}"/>
    <cellStyle name="Normal 200" xfId="514" xr:uid="{6DD38AAD-32F7-4F17-9B8C-E0A22026E516}"/>
    <cellStyle name="Normal 200 2" xfId="3880" xr:uid="{3C9CF429-3723-4989-82FE-D78E6195838E}"/>
    <cellStyle name="Normal 200 3" xfId="3758" xr:uid="{B88B27C1-F711-4187-B1BA-BAB0A37228F6}"/>
    <cellStyle name="Normal 201" xfId="515" xr:uid="{C3629363-5861-4BB3-BC19-DDA79745BE2E}"/>
    <cellStyle name="Normal 201 2" xfId="3881" xr:uid="{90FF4DE4-9E80-41EF-B2CA-A866DC70B7BE}"/>
    <cellStyle name="Normal 201 3" xfId="3756" xr:uid="{593EC855-4B19-463B-9E2A-BE9E63BD7AEB}"/>
    <cellStyle name="Normal 202" xfId="523" xr:uid="{A1219AD8-FBC9-48CB-B071-61341FCD002C}"/>
    <cellStyle name="Normal 202 2" xfId="3888" xr:uid="{2508A235-DD8D-4B53-8065-D287FA03D96D}"/>
    <cellStyle name="Normal 202 3" xfId="3751" xr:uid="{EDEE81C7-8C5A-4676-8604-F542EEDF5095}"/>
    <cellStyle name="Normal 203" xfId="570" xr:uid="{8936A192-EE50-41CD-A034-6CE165742FFB}"/>
    <cellStyle name="Normal 203 2" xfId="3917" xr:uid="{C929D095-774E-45AC-963A-F551F42F390D}"/>
    <cellStyle name="Normal 203 3" xfId="3761" xr:uid="{2D119BA7-3E0A-4CD2-812C-81803784D76C}"/>
    <cellStyle name="Normal 204" xfId="577" xr:uid="{AE156441-662A-40C4-A476-76D59E9422A2}"/>
    <cellStyle name="Normal 204 2" xfId="3762" xr:uid="{F8DFE51C-B13E-4F74-BEBE-83CDAC9FFE74}"/>
    <cellStyle name="Normal 205" xfId="3760" xr:uid="{19CC4CCA-9104-459C-A7C8-49D2D42C7358}"/>
    <cellStyle name="Normal 206" xfId="3763" xr:uid="{BB5CA24C-87CC-4EAE-B618-0980EA4ED37E}"/>
    <cellStyle name="Normal 207" xfId="3759" xr:uid="{17D8A6EB-1D12-4E54-BFBA-A06913359441}"/>
    <cellStyle name="Normal 208" xfId="3755" xr:uid="{B5DAD19E-5B03-478B-B2A1-E2487915B4EB}"/>
    <cellStyle name="Normal 209" xfId="3754" xr:uid="{D45027EA-F4BE-4934-B2B6-0E5B9B3CE73C}"/>
    <cellStyle name="Normal 21" xfId="79" xr:uid="{6DF0940B-2453-43A2-8C53-E6C410704B9E}"/>
    <cellStyle name="Normal 21 2" xfId="1708" xr:uid="{45F3A124-EF50-4B28-8E62-C3CBA1E05972}"/>
    <cellStyle name="Normal 21 2 2" xfId="3405" xr:uid="{BDD8313D-1B1A-4972-91DB-F71AE81678B7}"/>
    <cellStyle name="Normal 21 2 3" xfId="3029" xr:uid="{0BAC3BCE-97DD-4F62-B129-54B8C2F8FBE9}"/>
    <cellStyle name="Normal 21 3" xfId="3406" xr:uid="{479E3C4A-1283-49E9-8284-28BA6FCD8300}"/>
    <cellStyle name="Normal 21 4" xfId="2894" xr:uid="{B96AA232-F8CF-466B-A56B-7DCBA5BED91A}"/>
    <cellStyle name="Normal 210" xfId="3753" xr:uid="{CED6E070-4BC4-40DD-9E98-FFBFD0D1296E}"/>
    <cellStyle name="Normal 211" xfId="3752" xr:uid="{95C1CFEC-DC93-4CE9-8994-D10119F9AC54}"/>
    <cellStyle name="Normal 212" xfId="3764" xr:uid="{580823DF-8EC8-43D1-B9E5-5A605796548A}"/>
    <cellStyle name="Normal 213" xfId="3765" xr:uid="{8297A035-A36E-467A-99B6-A306525BC531}"/>
    <cellStyle name="Normal 214" xfId="3766" xr:uid="{46C4ED43-3A54-4E1E-BD0C-0D28414F4F1F}"/>
    <cellStyle name="Normal 215" xfId="3767" xr:uid="{C45D9D9F-C62B-4158-96F1-DB7AEDEA74FB}"/>
    <cellStyle name="Normal 216" xfId="3768" xr:uid="{0030F723-6416-4B43-A246-A5049C3CC994}"/>
    <cellStyle name="Normal 217" xfId="3769" xr:uid="{6F22E580-BC07-4CBD-91D1-896EFCF1161E}"/>
    <cellStyle name="Normal 218" xfId="3770" xr:uid="{2683F6B0-C0F8-42D9-9A18-384258972A9E}"/>
    <cellStyle name="Normal 219" xfId="3771" xr:uid="{8F50BF97-BDEF-49E2-B8FB-5E0030C1C913}"/>
    <cellStyle name="Normal 22" xfId="82" xr:uid="{184BAB2A-03B1-450B-A124-F41B6629DAE4}"/>
    <cellStyle name="Normal 22 2" xfId="1709" xr:uid="{FC3E4EB6-4612-4147-A966-43344251BDD0}"/>
    <cellStyle name="Normal 22 2 2" xfId="3407" xr:uid="{A9EDE642-1E3C-4407-9145-6F3D029C07CA}"/>
    <cellStyle name="Normal 22 2 3" xfId="3030" xr:uid="{81BDA9DA-FE92-4E9B-BBB2-B92DBA47ED87}"/>
    <cellStyle name="Normal 22 3" xfId="3408" xr:uid="{65E8C7A5-69C5-4FCD-AC47-B6DDA78F42C8}"/>
    <cellStyle name="Normal 22 4" xfId="2895" xr:uid="{C101B457-01A0-4485-A6E6-F9FADDB787BA}"/>
    <cellStyle name="Normal 220" xfId="3804" xr:uid="{C090973C-0692-4D2E-88E2-3BD57DA6647A}"/>
    <cellStyle name="Normal 221" xfId="3808" xr:uid="{7A482D9B-786C-4BF8-9772-39920BAE7DCA}"/>
    <cellStyle name="Normal 222" xfId="3809" xr:uid="{47E6F709-26A2-4D25-960B-F378E07479E0}"/>
    <cellStyle name="Normal 223" xfId="3642" xr:uid="{A867BCCD-790F-43BF-B08E-FA66C1279B1F}"/>
    <cellStyle name="Normal 224" xfId="3725" xr:uid="{5C2AC82F-B3A0-4C0B-9610-447FF732DB03}"/>
    <cellStyle name="Normal 225" xfId="3812" xr:uid="{976AEF75-5CCC-4CE3-AD13-C2C57135FCE8}"/>
    <cellStyle name="Normal 226" xfId="3815" xr:uid="{9A62A835-690A-4A9F-A44C-09744C308479}"/>
    <cellStyle name="Normal 227" xfId="3813" xr:uid="{8A8D8ACC-2A39-4940-92A1-14406EE81342}"/>
    <cellStyle name="Normal 228" xfId="3816" xr:uid="{B0B3122C-7628-42AE-ADDB-1D88C733D623}"/>
    <cellStyle name="Normal 229" xfId="3814" xr:uid="{20E51C57-5295-454A-81B2-52C12AF594DE}"/>
    <cellStyle name="Normal 23" xfId="80" xr:uid="{E04D5557-AA4E-44F9-A82D-EA20CB51DEA6}"/>
    <cellStyle name="Normal 23 2" xfId="1710" xr:uid="{636F904D-9DF3-4905-B7A2-0C32DEB50925}"/>
    <cellStyle name="Normal 23 2 2" xfId="3409" xr:uid="{8C938383-C570-41EB-9B7C-7C607432FD14}"/>
    <cellStyle name="Normal 23 2 3" xfId="3031" xr:uid="{1E055F71-9518-4C4F-8DF5-25CDF3C89215}"/>
    <cellStyle name="Normal 23 3" xfId="1869" xr:uid="{B49E7554-F854-4D96-9CFF-C8DDC5883795}"/>
    <cellStyle name="Normal 23 3 2" xfId="3410" xr:uid="{32FB4177-C76C-4CEB-9AF7-29187B7C1D4A}"/>
    <cellStyle name="Normal 23 4" xfId="1446" xr:uid="{B2EFE640-7250-45D8-84A4-2AF98E1DFF3E}"/>
    <cellStyle name="Normal 23 5" xfId="2808" xr:uid="{49F910DC-75CD-4CAA-B126-40A3C8B557DA}"/>
    <cellStyle name="Normal 230" xfId="3920" xr:uid="{CBEDEE0C-37CB-4C63-9F06-8CA43F666027}"/>
    <cellStyle name="Normal 231" xfId="3919" xr:uid="{A2E1F202-F9EA-4D38-98E0-8A60BE4D5205}"/>
    <cellStyle name="Normal 232" xfId="3921" xr:uid="{27F01136-74D6-46FC-BF69-C9382B858F54}"/>
    <cellStyle name="Normal 233" xfId="3922" xr:uid="{4855933A-755A-4EB5-8207-4FD3B8469F17}"/>
    <cellStyle name="Normal 24" xfId="81" xr:uid="{56E9B051-034C-43AF-B5C0-5294862AA915}"/>
    <cellStyle name="Normal 24 2" xfId="1711" xr:uid="{EAB9B901-0024-4A78-AA1C-C7E00D651C60}"/>
    <cellStyle name="Normal 24 2 2" xfId="3411" xr:uid="{9705AE32-3661-458E-881A-4D101F454BA0}"/>
    <cellStyle name="Normal 24 2 3" xfId="2896" xr:uid="{D663DD03-4621-4894-A86E-11B8C682691F}"/>
    <cellStyle name="Normal 24 3" xfId="1870" xr:uid="{2096740A-D699-4BF7-BDC4-9EFC415677AB}"/>
    <cellStyle name="Normal 24 3 2" xfId="3412" xr:uid="{A66B8B34-3A45-47D1-8C5C-8208ACFA0CFE}"/>
    <cellStyle name="Normal 24 3 3" xfId="3032" xr:uid="{CAD841D9-19CF-4CBA-9281-52046664B2F6}"/>
    <cellStyle name="Normal 24 4" xfId="1447" xr:uid="{20B0DC1A-31AD-4544-AEE3-8D1332A0DFF3}"/>
    <cellStyle name="Normal 24 4 2" xfId="3413" xr:uid="{CADBC1BF-0573-40D4-BDB0-A855A4446800}"/>
    <cellStyle name="Normal 24 5" xfId="2809" xr:uid="{2213E77B-7B56-482B-A6B6-04E15655D722}"/>
    <cellStyle name="Normal 25" xfId="66" xr:uid="{AA34F7C2-3323-4273-9848-73EFE3721650}"/>
    <cellStyle name="Normal 25 2" xfId="1753" xr:uid="{5CADF730-0E6B-46F9-995A-B99CFC244052}"/>
    <cellStyle name="Normal 25 2 2" xfId="3414" xr:uid="{2AC7C2DA-649C-4638-A29C-45B1B1349533}"/>
    <cellStyle name="Normal 25 2 3" xfId="3073" xr:uid="{AED1D34E-F041-4542-BFD4-C09DC2BFA9AC}"/>
    <cellStyle name="Normal 25 3" xfId="1871" xr:uid="{CB172CA9-0A09-4D20-9EAA-0444F7724391}"/>
    <cellStyle name="Normal 25 3 2" xfId="3415" xr:uid="{146634F6-0770-428F-9ECB-55636CF209AC}"/>
    <cellStyle name="Normal 25 4" xfId="1532" xr:uid="{EF3776A6-D74A-4EB3-ACA5-A4CAA85980CC}"/>
    <cellStyle name="Normal 25 5" xfId="2810" xr:uid="{088D6DB0-D42B-4414-883D-0A90548961B8}"/>
    <cellStyle name="Normal 26" xfId="58" xr:uid="{D2350F12-0240-41E1-BADE-F0A0480BC2A0}"/>
    <cellStyle name="Normal 26 2" xfId="3649" xr:uid="{95E0C264-A5BA-4FF3-B832-9F6012969A3D}"/>
    <cellStyle name="Normal 26 3" xfId="691" xr:uid="{8E324888-9525-4C44-8ABA-E4F34800567D}"/>
    <cellStyle name="Normal 27" xfId="84" xr:uid="{E8EBA504-4D61-41E9-8017-A65A527F1623}"/>
    <cellStyle name="Normal 27 2" xfId="3666" xr:uid="{15E3A579-991C-463C-A199-93B73603A68B}"/>
    <cellStyle name="Normal 27 3" xfId="687" xr:uid="{26782B2E-0438-4A70-B8A3-E765BAF171C8}"/>
    <cellStyle name="Normal 28" xfId="91" xr:uid="{3593C8CD-1BD4-46A7-9BD7-8FAA1016D442}"/>
    <cellStyle name="Normal 28 2" xfId="3667" xr:uid="{AFCE3BDE-48FF-4E1F-900E-70BC8CCC51F7}"/>
    <cellStyle name="Normal 28 3" xfId="1545" xr:uid="{2ACEA9F6-ECB4-413E-A313-3E9FBB0058EF}"/>
    <cellStyle name="Normal 29" xfId="92" xr:uid="{B23A1DFE-7741-4392-A810-C1518C4668ED}"/>
    <cellStyle name="Normal 29 2" xfId="3668" xr:uid="{D126702D-9229-41DA-BE61-2D822325DFE7}"/>
    <cellStyle name="Normal 29 3" xfId="1549" xr:uid="{CDC6A35C-1E37-4B50-8B08-BA884ABBF739}"/>
    <cellStyle name="Normal 3" xfId="60" xr:uid="{5D48D8AE-F698-4F00-843D-A288E1787630}"/>
    <cellStyle name="Normal 3 10" xfId="3704" xr:uid="{808BB655-B189-4EB7-8243-CEBBAAF85A24}"/>
    <cellStyle name="Normal 3 11" xfId="584" xr:uid="{E996277C-E247-4536-B0B8-2EE855B3C12E}"/>
    <cellStyle name="Normal 3 2" xfId="29" xr:uid="{DA03F9C3-5019-4A13-8138-AF58ACDE60FF}"/>
    <cellStyle name="Normal 3 2 2" xfId="542" xr:uid="{1CC6D7FB-67CB-4B9D-A6BA-355BC5202F28}"/>
    <cellStyle name="Normal 3 2 20" xfId="137" xr:uid="{8DB60CD9-6598-49D8-B0DB-E6574095B737}"/>
    <cellStyle name="Normal 3 2 3" xfId="127" xr:uid="{39554A09-5E4B-4DD7-B74D-5F6256413BC0}"/>
    <cellStyle name="Normal 3 2 3 2" xfId="2782" xr:uid="{7889C0BC-4834-4DFF-9D46-A8E0D8BDC6F8}"/>
    <cellStyle name="Normal 3 2 4" xfId="3592" xr:uid="{DBA1DCEB-F5A6-456E-929C-8EECA017110A}"/>
    <cellStyle name="Normal 3 2 5" xfId="2205" xr:uid="{CA8ED519-EAB3-4DD8-8BEE-18FECBAAB38F}"/>
    <cellStyle name="Normal 3 2 6" xfId="626" xr:uid="{EB7145E0-0FBD-4B7E-9ED4-B19ECC018E93}"/>
    <cellStyle name="Normal 3 2_Giao dịch mua bán" xfId="187" xr:uid="{9FAFC3A3-69FD-4AC1-BB7B-C68EF8E9FB6E}"/>
    <cellStyle name="Normal 3 3" xfId="23" xr:uid="{8FA20849-1BCF-405D-AAC4-B58AF1F07EE4}"/>
    <cellStyle name="Normal 3 3 2" xfId="406" xr:uid="{3FC9641F-72FF-428E-B51A-70A4D628D6E6}"/>
    <cellStyle name="Normal 3 3 2 2" xfId="3729" xr:uid="{599A2F74-E8A4-47CC-9F14-26592365F08B}"/>
    <cellStyle name="Normal 3 3 2 3" xfId="3416" xr:uid="{C9EF2FCE-0704-4C81-8CAC-F73C1F8D1415}"/>
    <cellStyle name="Normal 3 3 3" xfId="536" xr:uid="{334542A0-C07F-44D1-B208-A1018334C9F8}"/>
    <cellStyle name="Normal 3 3 3 2" xfId="3898" xr:uid="{DE997D1B-6F35-4D9F-AE34-738EE752C9F4}"/>
    <cellStyle name="Normal 3 3 3 3" xfId="2204" xr:uid="{0B6FD522-16EF-4587-B5D3-7FD8CC24F51E}"/>
    <cellStyle name="Normal 3 3 4" xfId="552" xr:uid="{0CD59E5F-15D6-46D2-A38A-99B8F1E30432}"/>
    <cellStyle name="Normal 3 3 5" xfId="99" xr:uid="{5EE2ACBC-5053-450B-BEBA-92B62BB9D1AB}"/>
    <cellStyle name="Normal 3 3 5 2" xfId="3630" xr:uid="{0BCEE155-BE66-4378-AECD-87B4B9DF0DA7}"/>
    <cellStyle name="Normal 3 3 6" xfId="3674" xr:uid="{363A9205-90C9-4404-A8E9-8565A733E9E4}"/>
    <cellStyle name="Normal 3 3 7" xfId="633" xr:uid="{69508D80-D83C-48A3-BE3C-5581DC6F6FDE}"/>
    <cellStyle name="Normal 3 4" xfId="520" xr:uid="{2E5A215F-D3DD-4C6D-8E60-48FC8790F0F7}"/>
    <cellStyle name="Normal 3 4 2" xfId="3417" xr:uid="{C2AEFABF-F5C3-4510-8E9B-527AB8327B4D}"/>
    <cellStyle name="Normal 3 4 3" xfId="669" xr:uid="{AF2BE695-813D-41E2-A260-FCB8BDB8DBDA}"/>
    <cellStyle name="Normal 3 4 4" xfId="3734" xr:uid="{E0B4A2FA-A72C-420D-93DB-2A48BC3C8A38}"/>
    <cellStyle name="Normal 3 4 5" xfId="3885" xr:uid="{0A73BA1F-BA3F-4854-B28A-66CA7F349B55}"/>
    <cellStyle name="Normal 3 4 6" xfId="621" xr:uid="{ABCC0DFC-849D-4F07-A9AE-E673F5B66350}"/>
    <cellStyle name="Normal 3 5" xfId="516" xr:uid="{11DFF490-21A9-454A-9F97-6B756DA1B375}"/>
    <cellStyle name="Normal 3 5 2" xfId="1899" xr:uid="{62219B59-0CFF-4096-8A58-78BC5A95F54D}"/>
    <cellStyle name="Normal 3 5 3" xfId="3735" xr:uid="{8109D72B-AC40-4666-A659-AAADA6BDF8A5}"/>
    <cellStyle name="Normal 3 5 4" xfId="3882" xr:uid="{CD743636-D18D-4685-BB12-A101EF874EA6}"/>
    <cellStyle name="Normal 3 5 5" xfId="616" xr:uid="{C410C97E-C4DD-4BC7-8F70-D05CD16F86D6}"/>
    <cellStyle name="Normal 3 6" xfId="571" xr:uid="{AE587125-67DD-42D7-9A58-1A561149A7C2}"/>
    <cellStyle name="Normal 3 6 2" xfId="1069" xr:uid="{696391D0-B803-4CFC-9CF7-E2F554595302}"/>
    <cellStyle name="Normal 3 6 3" xfId="3737" xr:uid="{4DB26BE9-A346-4BCD-9D19-19BF26600E35}"/>
    <cellStyle name="Normal 3 6 4" xfId="3918" xr:uid="{24074D65-E857-4C01-9263-FBFC02018488}"/>
    <cellStyle name="Normal 3 6 5" xfId="596" xr:uid="{074DE562-D293-494C-8168-118600787313}"/>
    <cellStyle name="Normal 3 7" xfId="3620" xr:uid="{4022D09F-C951-469E-88FC-6010E23A5D67}"/>
    <cellStyle name="Normal 3 7 2" xfId="3736" xr:uid="{7997F8B2-376A-41ED-AC21-4C1C60BA560F}"/>
    <cellStyle name="Normal 3 8" xfId="3650" xr:uid="{004DA6C3-A096-45DB-BDBA-338EA2A0A5CC}"/>
    <cellStyle name="Normal 3 9" xfId="518" xr:uid="{B650222D-9594-4403-A925-9C8B6AD310A5}"/>
    <cellStyle name="Normal 3 9 2" xfId="600" xr:uid="{CB1593AD-67B9-4E9C-9F16-91BEF1455297}"/>
    <cellStyle name="Normal 3_Giao dịch mua bán" xfId="199" xr:uid="{71F439FE-C1E1-4E93-A21A-3685292ADAF3}"/>
    <cellStyle name="Normal 30" xfId="115" xr:uid="{6E452C03-F75E-4EF9-AED5-FA251AE9C9F9}"/>
    <cellStyle name="Normal 30 2" xfId="1786" xr:uid="{E86C0275-2F1C-442B-B9BC-D485741B19E4}"/>
    <cellStyle name="Normal 30 2 2" xfId="2675" xr:uid="{637D4906-1994-4FDB-B99D-9625ACD547F7}"/>
    <cellStyle name="Normal 30 2 2 2" xfId="3418" xr:uid="{789E4BE1-1662-4143-AAE4-689E308B5C36}"/>
    <cellStyle name="Normal 30 2 3" xfId="2969" xr:uid="{83F8C509-1C45-499C-9CFA-707F03CF3547}"/>
    <cellStyle name="Normal 30 3" xfId="1571" xr:uid="{D7DF872B-3299-4E99-BE9E-315C0F9E294D}"/>
    <cellStyle name="Normal 31" xfId="145" xr:uid="{3A5FD878-BDC0-4484-98C2-E01C35B9EF30}"/>
    <cellStyle name="Normal 31 2" xfId="1806" xr:uid="{AB59AE2B-7501-4A72-B437-8F126B408DBA}"/>
    <cellStyle name="Normal 31 2 2" xfId="3419" xr:uid="{70FB540A-AB22-4C23-89BD-DE2B517C848F}"/>
    <cellStyle name="Normal 31 2 3" xfId="2971" xr:uid="{449D5BA6-C7A5-4F15-A4B7-0DA15F02BBE7}"/>
    <cellStyle name="Normal 31 3" xfId="1877" xr:uid="{524A38A4-223D-4907-A553-E1A046CF1477}"/>
    <cellStyle name="Normal 31 3 2" xfId="3420" xr:uid="{8BCA73B5-87F4-44D5-B13F-C8E06388861C}"/>
    <cellStyle name="Normal 31 3 3" xfId="3125" xr:uid="{94CD146D-3D65-4D17-AB7A-31C975251DA8}"/>
    <cellStyle name="Normal 31 4" xfId="701" xr:uid="{1CD8F604-013C-4B67-B0DF-79D8F9D607BF}"/>
    <cellStyle name="Normal 31 4 2" xfId="3421" xr:uid="{C9F6D15B-F8D0-4D24-BBD3-81DA8D440D8F}"/>
    <cellStyle name="Normal 31 5" xfId="2785" xr:uid="{CE5ED33A-94AC-4257-83D7-D3ED7872DCD0}"/>
    <cellStyle name="Normal 31 5 2" xfId="3583" xr:uid="{77894B37-8FD6-40F3-8BA7-C94A1F373BD4}"/>
    <cellStyle name="Normal 31 6" xfId="2825" xr:uid="{C4241293-8A57-4321-B005-81FAE260956A}"/>
    <cellStyle name="Normal 32" xfId="144" xr:uid="{F139ADE3-8014-4F23-8134-4A2F0A18E31D}"/>
    <cellStyle name="Normal 32 2" xfId="2705" xr:uid="{B1F68734-CB08-4138-88B1-C0E7E6250B42}"/>
    <cellStyle name="Normal 32 3" xfId="3693" xr:uid="{B25B811D-E603-4BD2-9128-32FB143C736B}"/>
    <cellStyle name="Normal 32 4" xfId="1592" xr:uid="{DB78BB97-0091-4B56-9C67-00292025CE6B}"/>
    <cellStyle name="Normal 33" xfId="146" xr:uid="{C4B435BB-54B1-43C9-96B3-C0A8CC1A1359}"/>
    <cellStyle name="Normal 33 2" xfId="1825" xr:uid="{C3FC9ED0-5A6E-4BC1-9D67-5CF0A5BB5767}"/>
    <cellStyle name="Normal 33 2 2" xfId="3422" xr:uid="{2A46396A-27C6-4FC1-BC4A-B18E1001841A}"/>
    <cellStyle name="Normal 33 3" xfId="1878" xr:uid="{AB8FA0D4-E77C-4E0D-84F6-FD8C20E4D17B}"/>
    <cellStyle name="Normal 33 3 2" xfId="3423" xr:uid="{1D075BA7-B15A-4C3C-8872-311107B1EC19}"/>
    <cellStyle name="Normal 33 4" xfId="2746" xr:uid="{B4953D7F-F314-4A14-8F1E-EB1BEA32F0F7}"/>
    <cellStyle name="Normal 33 4 2" xfId="3584" xr:uid="{B161593E-714D-4559-A1FB-529DF730847A}"/>
    <cellStyle name="Normal 33 5" xfId="702" xr:uid="{0F820AEC-D19F-48FD-89D4-38FC2B729B25}"/>
    <cellStyle name="Normal 33 6" xfId="2786" xr:uid="{998A40B1-5B23-4AD9-9F41-487543AC6276}"/>
    <cellStyle name="Normal 34" xfId="150" xr:uid="{49B9C75C-BE8D-4E15-BB98-A1203C646987}"/>
    <cellStyle name="Normal 34 2" xfId="1827" xr:uid="{D4D1E33B-978D-4CAB-AFC4-B5C39F3E147C}"/>
    <cellStyle name="Normal 34 2 2" xfId="3424" xr:uid="{FD32DEE3-518D-4A9F-8BAC-BD95251B23E8}"/>
    <cellStyle name="Normal 34 3" xfId="1879" xr:uid="{1AE6A03C-2D7D-47A7-8C3C-9B6D93148F8C}"/>
    <cellStyle name="Normal 34 3 2" xfId="3425" xr:uid="{7C728AEB-0525-4FD2-8309-629EE0E98F37}"/>
    <cellStyle name="Normal 34 4" xfId="2648" xr:uid="{39403810-A5BD-4768-BEA7-877D421DB027}"/>
    <cellStyle name="Normal 34 4 2" xfId="3582" xr:uid="{517B8E24-6B95-4245-B02A-A4B24AFB9C84}"/>
    <cellStyle name="Normal 34 5" xfId="703" xr:uid="{FC76B40B-D6CC-4958-875A-38872918D230}"/>
    <cellStyle name="Normal 34 6" xfId="2787" xr:uid="{9D4C466D-4A48-4E50-9E03-52A4E7A14854}"/>
    <cellStyle name="Normal 35" xfId="151" xr:uid="{F47F7F8B-203B-4779-B7EF-B755B7491081}"/>
    <cellStyle name="Normal 35 2" xfId="1880" xr:uid="{ECF30F5D-0744-4239-9603-2AC52215B986}"/>
    <cellStyle name="Normal 35 2 2" xfId="3426" xr:uid="{533D6E7B-431F-4FF9-809A-006AF3AD60D5}"/>
    <cellStyle name="Normal 35 3" xfId="2654" xr:uid="{F71CEB29-C78A-40FE-9328-C12FE2AE3749}"/>
    <cellStyle name="Normal 35 3 2" xfId="3427" xr:uid="{316D6661-74EC-43C7-9DD1-7BEB35DA6391}"/>
    <cellStyle name="Normal 35 4" xfId="704" xr:uid="{42CC4D3B-6AC6-438A-93A8-A8875501F715}"/>
    <cellStyle name="Normal 35 4 2" xfId="3585" xr:uid="{0C33377D-DECC-4D00-BFFF-9A9EB2502D56}"/>
    <cellStyle name="Normal 35 5" xfId="2788" xr:uid="{A10BC561-DBBA-4FA6-81DB-4075AEB70A18}"/>
    <cellStyle name="Normal 36" xfId="152" xr:uid="{0307E0E3-3F40-406F-B395-07103ED2E1C3}"/>
    <cellStyle name="Normal 36 2" xfId="1875" xr:uid="{3AA1C944-59F5-40EF-B104-ED5A68FEC2C8}"/>
    <cellStyle name="Normal 36 3" xfId="1614" xr:uid="{E6350C3E-4F1F-4E48-B9E6-4FC435DCE061}"/>
    <cellStyle name="Normal 36 4" xfId="3694" xr:uid="{5FEE20BC-EBAC-412D-B4E6-D20CA654ABA1}"/>
    <cellStyle name="Normal 36 5" xfId="690" xr:uid="{D6C70B6A-5CE3-4B29-A638-C7AEE0E0549B}"/>
    <cellStyle name="Normal 37" xfId="38" xr:uid="{2966676D-0F2F-483C-B455-A5BA50449043}"/>
    <cellStyle name="Normal 37 2" xfId="153" xr:uid="{7619919A-6CC2-4139-8AF7-6908E5C646D3}"/>
    <cellStyle name="Normal 37 2 2" xfId="3428" xr:uid="{84448551-B0DA-4C11-85E4-0C929AB5273A}"/>
    <cellStyle name="Normal 37 3" xfId="492" xr:uid="{56E2B1DD-BD59-4222-9461-9BDBF22C7131}"/>
    <cellStyle name="Normal 37 3 2" xfId="3864" xr:uid="{8A001BBC-34F5-42FC-A35F-BEF28041E603}"/>
    <cellStyle name="Normal 37 3 3" xfId="2998" xr:uid="{ECDAE877-DCC8-4B87-9562-39FA60B4B965}"/>
    <cellStyle name="Normal 37 4" xfId="3606" xr:uid="{B9664C56-10A6-4342-B360-B65BA8E73291}"/>
    <cellStyle name="Normal 37 5" xfId="1636" xr:uid="{855C1AD1-D641-4B08-B080-DBFD40E424D2}"/>
    <cellStyle name="Normal 38" xfId="154" xr:uid="{4D081681-9806-48B4-90B9-F06981BC1C49}"/>
    <cellStyle name="Normal 38 2" xfId="3695" xr:uid="{A4AB5C0F-9831-4AF9-8DDC-6781F49ECCA1}"/>
    <cellStyle name="Normal 38 3" xfId="698" xr:uid="{8ECDC561-C5D3-49D3-8782-D30F7B1F8BC1}"/>
    <cellStyle name="Normal 39" xfId="155" xr:uid="{163C4C84-39EE-4726-A022-D3C1976DAAC4}"/>
    <cellStyle name="Normal 39 2" xfId="3429" xr:uid="{05CA18C8-65E6-44D4-AFDC-A76712FD8E27}"/>
    <cellStyle name="Normal 4" xfId="30" xr:uid="{F8707DEA-CF5F-4EA7-8783-EE2C8DD0B80B}"/>
    <cellStyle name="Normal 4 10" xfId="583" xr:uid="{D875CA4A-E745-4766-BD0E-30997D02C6FB}"/>
    <cellStyle name="Normal 4 2" xfId="32" xr:uid="{93ED0E0D-4CB6-4656-95B2-8F449B0395CF}"/>
    <cellStyle name="Normal 4 2 2" xfId="128" xr:uid="{4BF3076D-DF54-4719-8308-AAEC78AA2E8C}"/>
    <cellStyle name="Normal 4 2 2 2" xfId="2207" xr:uid="{7274DFBA-D5E0-4290-AA6C-9871E154E74F}"/>
    <cellStyle name="Normal 4 2 2 3" xfId="622" xr:uid="{ED2E86AC-CF45-4BC8-AB43-0B966B48B45E}"/>
    <cellStyle name="Normal 4 2 3" xfId="2636" xr:uid="{03CBD1CA-D073-4142-A1CC-307CE37A109A}"/>
    <cellStyle name="Normal 4 2 4" xfId="677" xr:uid="{9C30C12A-6A5F-4BD0-805D-92EDFDC8C154}"/>
    <cellStyle name="Normal 4 2 5" xfId="3684" xr:uid="{4771177F-46BD-4E45-9F66-B67FC2C93EC8}"/>
    <cellStyle name="Normal 4 2 6" xfId="606" xr:uid="{A9CC465B-2418-4CFA-A860-E92641DEF73A}"/>
    <cellStyle name="Normal 4 3" xfId="100" xr:uid="{281518CF-7AA2-40D3-AAF2-E4D217BA99BB}"/>
    <cellStyle name="Normal 4 3 2" xfId="409" xr:uid="{9F3AEF8E-8640-435D-9967-240285D560C1}"/>
    <cellStyle name="Normal 4 3 2 2" xfId="3730" xr:uid="{F45CE5E6-2102-4E44-87B1-E1DD3DAAE023}"/>
    <cellStyle name="Normal 4 3 2 3" xfId="2206" xr:uid="{C8D2C52D-BB4B-48D2-9426-3592BF9A6C6F}"/>
    <cellStyle name="Normal 4 3 3" xfId="3675" xr:uid="{232F4268-72B6-40D4-AD65-8F68FA65D057}"/>
    <cellStyle name="Normal 4 3 4" xfId="598" xr:uid="{3C825951-A08C-4A56-B6AA-BA0C00E0CE9F}"/>
    <cellStyle name="Normal 4 4" xfId="55" xr:uid="{8B0289D6-A933-43DA-916E-C5D39D00A519}"/>
    <cellStyle name="Normal 4 4 2" xfId="3430" xr:uid="{AA713FCC-C2D7-4745-8D00-69D26FD67F56}"/>
    <cellStyle name="Normal 4 4 3" xfId="3821" xr:uid="{5E703D7B-9A10-4455-9C60-7BBACB14797E}"/>
    <cellStyle name="Normal 4 4 4" xfId="1913" xr:uid="{C99CC8B9-CC79-4057-B2CC-779A6604AA76}"/>
    <cellStyle name="Normal 4 5" xfId="497" xr:uid="{36A2B6DD-A9B7-432A-B727-4D559557286C}"/>
    <cellStyle name="Normal 4 5 2" xfId="3431" xr:uid="{8EF57EF3-8650-4BCA-BF62-43FB5E082FBF}"/>
    <cellStyle name="Normal 4 5 3" xfId="3866" xr:uid="{0C0451FC-CCC2-406B-B14F-D563BA5EBB23}"/>
    <cellStyle name="Normal 4 5 4" xfId="1852" xr:uid="{9DA72FAE-FAFD-4875-B111-741F0CED31B9}"/>
    <cellStyle name="Normal 4 6" xfId="1070" xr:uid="{3085DF7C-3229-49EC-9152-FFA71AC4980E}"/>
    <cellStyle name="Normal 4 7" xfId="2795" xr:uid="{DE234AA3-185F-4B72-BAA7-1FE29D4862E5}"/>
    <cellStyle name="Normal 4 8" xfId="3591" xr:uid="{812B89AC-2905-480F-A967-F420148DA94B}"/>
    <cellStyle name="Normal 4 9" xfId="666" xr:uid="{172A2DBF-BA08-426A-B5D5-DE77E8BF02C6}"/>
    <cellStyle name="Normal 4_Giao dịch mua bán" xfId="194" xr:uid="{0F42BB74-512D-4E61-9AC2-DF8540519259}"/>
    <cellStyle name="Normal 40" xfId="157" xr:uid="{41120069-CB05-4E8F-B041-673E1BE94850}"/>
    <cellStyle name="Normal 40 2" xfId="3432" xr:uid="{F864205B-C0D8-4D66-BEB3-1171902229C8}"/>
    <cellStyle name="Normal 40 3" xfId="3697" xr:uid="{90FD5A29-A1DE-48DC-9D39-89E393E563EC}"/>
    <cellStyle name="Normal 40 4" xfId="1613" xr:uid="{8428133F-B914-46D5-8A24-7FBC73938974}"/>
    <cellStyle name="Normal 41" xfId="158" xr:uid="{95350A61-80F5-4B32-81C3-DF70F8431B3F}"/>
    <cellStyle name="Normal 41 2" xfId="3433" xr:uid="{39EB77AB-DE7F-4942-A983-E6AF678A87FB}"/>
    <cellStyle name="Normal 41 3" xfId="2644" xr:uid="{6575C1FB-533D-4D5C-9BDD-F9531EE0B7A3}"/>
    <cellStyle name="Normal 42" xfId="159" xr:uid="{A89249F8-3DEB-4AB8-AE46-6C74FD0B7017}"/>
    <cellStyle name="Normal 42 2" xfId="3577" xr:uid="{6AB2197C-DEB8-4B30-96EF-239FE148A33B}"/>
    <cellStyle name="Normal 42 3" xfId="3698" xr:uid="{0C04BA9C-E706-484B-A551-2133CAB3168C}"/>
    <cellStyle name="Normal 42 4" xfId="2618" xr:uid="{EA824E0B-DF29-45B0-9DF5-03FD193A0A29}"/>
    <cellStyle name="Normal 43" xfId="160" xr:uid="{15973360-762A-4294-A03D-9A1308763884}"/>
    <cellStyle name="Normal 43 2" xfId="3580" xr:uid="{327F3B22-8560-42F9-841F-1A18C359793C}"/>
    <cellStyle name="Normal 43 3" xfId="2621" xr:uid="{9F96DEE5-44BA-4662-BB94-B2C0FAFC0FE5}"/>
    <cellStyle name="Normal 44" xfId="163" xr:uid="{C3427B4F-8ECB-42E9-B77C-653090B4C864}"/>
    <cellStyle name="Normal 44 2" xfId="3699" xr:uid="{2A5F427F-41D7-41E3-90CA-A339BF39AF9A}"/>
    <cellStyle name="Normal 44 3" xfId="2737" xr:uid="{7D0E86AA-C491-48EE-A5C8-74C471A56876}"/>
    <cellStyle name="Normal 45" xfId="167" xr:uid="{25E8CBA6-B139-45AE-BE78-7742DE203254}"/>
    <cellStyle name="Normal 45 2" xfId="3701" xr:uid="{39F812A5-35CE-4D25-8A8B-0109C2DBC9AA}"/>
    <cellStyle name="Normal 45 3" xfId="2672" xr:uid="{E9539140-4BCA-4877-905B-424D9ECE7A17}"/>
    <cellStyle name="Normal 46" xfId="168" xr:uid="{303477AE-C5B7-4C4E-A76D-EDAF2D98F2D5}"/>
    <cellStyle name="Normal 46 2" xfId="3702" xr:uid="{9F72EE6B-0D45-494A-AC2A-C65890B350E8}"/>
    <cellStyle name="Normal 46 3" xfId="2722" xr:uid="{C722C9A9-ACDF-4CD6-8ACB-D821D17571B9}"/>
    <cellStyle name="Normal 47" xfId="169" xr:uid="{4F5EFD23-4143-424F-B28E-83DF3DAC204C}"/>
    <cellStyle name="Normal 47 2" xfId="2763" xr:uid="{853CC7C2-282F-49B4-A750-3A5626D46861}"/>
    <cellStyle name="Normal 48" xfId="170" xr:uid="{90CF6389-8DF6-4A76-920D-9C8DD2E5D760}"/>
    <cellStyle name="Normal 48 2" xfId="2641" xr:uid="{496B92AF-866D-4A38-8D99-EB779194C898}"/>
    <cellStyle name="Normal 49" xfId="172" xr:uid="{2D7E089C-83C0-4FB1-9511-C2545A50231A}"/>
    <cellStyle name="Normal 5" xfId="48" xr:uid="{FF57BE5F-FB71-4095-ACE0-8251ABA4E0A9}"/>
    <cellStyle name="Normal 5 10" xfId="589" xr:uid="{5663A3B1-7DD3-46A1-9BEE-E6D8C4524964}"/>
    <cellStyle name="Normal 5 2" xfId="24" xr:uid="{9D0EE4BB-F1D3-4C64-B591-5BE6FDD44AF6}"/>
    <cellStyle name="Normal 5 2 2" xfId="545" xr:uid="{D9388750-86B1-4C17-A381-E21B83AC0EB3}"/>
    <cellStyle name="Normal 5 2 2 2" xfId="3904" xr:uid="{22588EF0-3B1D-4855-ABEB-164013972E10}"/>
    <cellStyle name="Normal 5 2 2 3" xfId="2668" xr:uid="{D42E2FA3-5EF5-446B-83C6-4B2F3E3F1835}"/>
    <cellStyle name="Normal 5 2 3" xfId="558" xr:uid="{440866BF-2B56-4283-BA4B-397B18D45EAA}"/>
    <cellStyle name="Normal 5 2 3 2" xfId="3913" xr:uid="{BB6CDE18-4502-45A6-A8C5-17E1F9EC0482}"/>
    <cellStyle name="Normal 5 2 3 3" xfId="2208" xr:uid="{E3C7F58A-C1FF-4C6B-B1B6-7DEF584D84AE}"/>
    <cellStyle name="Normal 5 2 4" xfId="129" xr:uid="{B531AB12-95E7-43FE-93AB-4B898EE26B36}"/>
    <cellStyle name="Normal 5 2 4 2" xfId="3635" xr:uid="{F5406552-BB0C-482D-9DCE-F9DD3D43905D}"/>
    <cellStyle name="Normal 5 2 5" xfId="3685" xr:uid="{B38865C9-A199-43F2-86F2-4F93D21A2BC1}"/>
    <cellStyle name="Normal 5 2 6" xfId="625" xr:uid="{F020A6C2-78D4-4F36-85A9-AA4CDD196DBA}"/>
    <cellStyle name="Normal 5 3" xfId="101" xr:uid="{896B8A0C-1997-44D4-87F9-795E857BEAA5}"/>
    <cellStyle name="Normal 5 3 2" xfId="410" xr:uid="{68122E7F-3DDA-4921-AD33-3000CDFBC4DE}"/>
    <cellStyle name="Normal 5 3 3" xfId="3676" xr:uid="{F58E98D9-FE09-4804-ACDD-D281FE701F27}"/>
    <cellStyle name="Normal 5 3 4" xfId="1940" xr:uid="{EF3F0E34-9D4A-4ED4-BF1A-83EAD48BB67D}"/>
    <cellStyle name="Normal 5 4" xfId="68" xr:uid="{9B24106F-2AD2-4E76-9DB1-3E9BCB10C2F7}"/>
    <cellStyle name="Normal 5 4 2" xfId="3824" xr:uid="{BC36C156-CCCF-4F9F-A939-16D959E919FC}"/>
    <cellStyle name="Normal 5 4 3" xfId="1854" xr:uid="{0D3702B8-32ED-43A0-B24E-5BD45889FAFE}"/>
    <cellStyle name="Normal 5 5" xfId="496" xr:uid="{B6905D31-5427-4A59-92E8-770C422270AE}"/>
    <cellStyle name="Normal 5 6" xfId="2789" xr:uid="{48756554-A3F2-485B-8473-0D37201ACCFC}"/>
    <cellStyle name="Normal 5 7" xfId="2796" xr:uid="{0BF3F31A-6009-4B18-8924-2D0ED7E11938}"/>
    <cellStyle name="Normal 5 8" xfId="673" xr:uid="{0A23A044-EDD6-441E-B5B4-ED5F57F67B85}"/>
    <cellStyle name="Normal 5 9" xfId="3656" xr:uid="{15D6A03D-C5AB-4541-A8AF-96C45D1A9CCD}"/>
    <cellStyle name="Normal 5_Giao dịch mua bán" xfId="206" xr:uid="{AEF5617B-54B1-4A5D-8C4B-AE5E97693CF2}"/>
    <cellStyle name="Normal 50" xfId="176" xr:uid="{32AF9A55-2D65-4D19-8C9E-EB915F797538}"/>
    <cellStyle name="Normal 51" xfId="177" xr:uid="{D8560E9C-E930-4017-9A6E-17D9C55349E3}"/>
    <cellStyle name="Normal 52" xfId="175" xr:uid="{0912F80E-423E-4CAB-AC62-63CB5570CB3D}"/>
    <cellStyle name="Normal 53" xfId="171" xr:uid="{5C153458-B34C-4FD6-822F-5461258D8B28}"/>
    <cellStyle name="Normal 53 2" xfId="3703" xr:uid="{5321AC76-2702-45AC-8D0F-D43F9B506E18}"/>
    <cellStyle name="Normal 53 3" xfId="2815" xr:uid="{4BAFB6A0-9526-4AD0-A2BD-EC7A844D5C3A}"/>
    <cellStyle name="Normal 54" xfId="173" xr:uid="{E4F3CB55-1A51-48AE-AA03-1074926F9E7E}"/>
    <cellStyle name="Normal 54 2" xfId="3705" xr:uid="{FC8F6A02-3CA3-4830-8FB7-CFB229BDD9BD}"/>
    <cellStyle name="Normal 54 3" xfId="3586" xr:uid="{B37B92F0-6ABB-484D-A561-2D55024AA959}"/>
    <cellStyle name="Normal 55" xfId="174" xr:uid="{295D0EBC-9F9C-4094-9D40-572AEDB01EE0}"/>
    <cellStyle name="Normal 56" xfId="178" xr:uid="{6E9E0263-F01A-4122-BEFD-32CDF83BDC58}"/>
    <cellStyle name="Normal 56 2" xfId="3706" xr:uid="{556C8658-074D-4A73-9821-9612095A376B}"/>
    <cellStyle name="Normal 56 3" xfId="3597" xr:uid="{756B694F-0B37-4CEE-9100-11773EF495AF}"/>
    <cellStyle name="Normal 57" xfId="181" xr:uid="{8C6E6419-58EA-4467-9F4C-112AF1AC93BF}"/>
    <cellStyle name="Normal 57 2" xfId="3708" xr:uid="{D3D32619-EE3E-43DB-A0CD-3EDFD54E9E54}"/>
    <cellStyle name="Normal 57 3" xfId="680" xr:uid="{8EECB0C0-453C-4F79-A390-F9E39973A4B5}"/>
    <cellStyle name="Normal 58" xfId="212" xr:uid="{D47073D2-E36B-4473-B2D6-39679D4D5A73}"/>
    <cellStyle name="Normal 58 2" xfId="3712" xr:uid="{9085A6FB-866E-41CE-A1E7-D6DF10AD9F3C}"/>
    <cellStyle name="Normal 58 3" xfId="686" xr:uid="{4FD08D3D-A747-4736-8B40-641D31BD1F92}"/>
    <cellStyle name="Normal 59" xfId="213" xr:uid="{19CCBE03-60F0-4FA8-81D0-AA1D86D978FA}"/>
    <cellStyle name="Normal 59 2" xfId="3713" xr:uid="{4ED785CE-28AA-47F3-BB10-67DB91D7B9D4}"/>
    <cellStyle name="Normal 59 3" xfId="672" xr:uid="{7E20EFC4-2D70-41F4-B212-0818BE1CC7BC}"/>
    <cellStyle name="Normal 6" xfId="25" xr:uid="{CEEB93EB-FABD-4D7C-BEF7-FBB11C90042F}"/>
    <cellStyle name="Normal 6 17" xfId="39" xr:uid="{345F5DA8-7C84-4F08-A25B-CD4D9047F8D0}"/>
    <cellStyle name="Normal 6 2" xfId="130" xr:uid="{A3143181-4234-41B5-ADA2-BFB4935E9377}"/>
    <cellStyle name="Normal 6 2 2" xfId="525" xr:uid="{721ACD5A-89CC-491F-AB19-4B13961AF7DF}"/>
    <cellStyle name="Normal 6 2 2 2" xfId="3889" xr:uid="{4AB2D043-00C1-4E53-9248-47386856B270}"/>
    <cellStyle name="Normal 6 2 2 3" xfId="2209" xr:uid="{77A927B0-3FDA-41E4-9607-80F1DA84C260}"/>
    <cellStyle name="Normal 6 2 3" xfId="2643" xr:uid="{6FC33A91-4CAA-4B7D-864D-2783E5693F8E}"/>
    <cellStyle name="Normal 6 2 4" xfId="1866" xr:uid="{E666D8BF-29A7-4434-BF40-4108FE248461}"/>
    <cellStyle name="Normal 6 2 5" xfId="2805" xr:uid="{F2EAEDC8-1898-4C97-B265-BF4ED175441C}"/>
    <cellStyle name="Normal 6 2 6" xfId="668" xr:uid="{C051D24C-688F-406B-B250-1EABB8BC334F}"/>
    <cellStyle name="Normal 6 2 7" xfId="3624" xr:uid="{3D13CC59-766C-431A-ABEB-5E03E4193BD9}"/>
    <cellStyle name="Normal 6 2 8" xfId="627" xr:uid="{8A17DD48-8A81-4944-9996-99191B530E55}"/>
    <cellStyle name="Normal 6 3" xfId="521" xr:uid="{3F5A5E8B-DA87-4024-B71C-6F2D57F047A9}"/>
    <cellStyle name="Normal 6 3 2" xfId="2626" xr:uid="{E54C56EF-2E3E-43DB-AD54-24650E9B3D3A}"/>
    <cellStyle name="Normal 6 3 2 2" xfId="3434" xr:uid="{470400C3-E63D-4DC5-B0E1-03E1B56D1D27}"/>
    <cellStyle name="Normal 6 3 3" xfId="2826" xr:uid="{6D54FEDB-B7A3-4C77-8814-9A5E67E35E1C}"/>
    <cellStyle name="Normal 6 3 4" xfId="3886" xr:uid="{5B01CFCD-F108-4D3A-B92B-6286B11989C9}"/>
    <cellStyle name="Normal 6 3 5" xfId="615" xr:uid="{A8D36462-8E09-4DA7-8BBC-6C67580EC7FC}"/>
    <cellStyle name="Normal 6 4" xfId="559" xr:uid="{D2FF00F7-6AF4-4A47-A2FC-1AC9047E3B95}"/>
    <cellStyle name="Normal 6 4 2" xfId="3435" xr:uid="{9946EBC5-DEF8-4EC5-B660-71DE22A65E64}"/>
    <cellStyle name="Normal 6 4 3" xfId="3914" xr:uid="{A525112A-9760-4697-9DEC-63FF6E25EB99}"/>
    <cellStyle name="Normal 6 4 4" xfId="1856" xr:uid="{45D12CC6-51CE-4E93-96C6-F10DD45EAF7A}"/>
    <cellStyle name="Normal 6 5" xfId="59" xr:uid="{77A6660B-8241-461D-9A74-EA412BF5B6A2}"/>
    <cellStyle name="Normal 6 5 2" xfId="1379" xr:uid="{3A7CBA20-27A2-4096-AA7D-FD3A078D1C78}"/>
    <cellStyle name="Normal 6 6" xfId="676" xr:uid="{2AA218CF-BD92-48C1-80A8-5EEF0E14DBD6}"/>
    <cellStyle name="Normal 6 7" xfId="3615" xr:uid="{0C4EB3C4-5724-44A3-83F2-CFCEDDFB7AAA}"/>
    <cellStyle name="Normal 6 8" xfId="3621" xr:uid="{DD602AF7-9F8F-4DE8-BAC6-563C75864391}"/>
    <cellStyle name="Normal 6 9" xfId="594" xr:uid="{A0F87346-ED95-4909-AD6B-FE8FA7288CB4}"/>
    <cellStyle name="Normal 6_Giao dịch mua bán" xfId="207" xr:uid="{59757322-B8CF-4267-A240-D64FF68A22E2}"/>
    <cellStyle name="Normal 60" xfId="214" xr:uid="{75CC2FAF-E3BD-4646-9433-BEDE690F7BD3}"/>
    <cellStyle name="Normal 60 2" xfId="275" xr:uid="{DDC3082D-22F3-4E84-969D-CF0424192EDA}"/>
    <cellStyle name="Normal 60 3" xfId="268" xr:uid="{10615294-4629-407B-BE42-6B2B12DFA3A3}"/>
    <cellStyle name="Normal 60 4" xfId="3714" xr:uid="{93C1DAE6-1A58-4D67-ACEE-8F834D2B53CF}"/>
    <cellStyle name="Normal 60 5" xfId="3600" xr:uid="{F56BC14B-E50B-4FE3-9CB8-10A21C60567A}"/>
    <cellStyle name="Normal 61" xfId="215" xr:uid="{45B19AD7-CD6F-41DA-9B37-122B36B39AED}"/>
    <cellStyle name="Normal 61 2" xfId="3715" xr:uid="{3F94DD8F-A3C0-48CF-A11A-B3E26A85EB6B}"/>
    <cellStyle name="Normal 61 3" xfId="3601" xr:uid="{E46CBF8E-9D31-4BE7-A5E5-1A6642453402}"/>
    <cellStyle name="Normal 62" xfId="217" xr:uid="{C01C8721-A39E-45BE-B086-08C327F7BAF8}"/>
    <cellStyle name="Normal 62 2" xfId="3717" xr:uid="{F82EA6AA-F989-45DF-ACB9-516866FA6353}"/>
    <cellStyle name="Normal 62 3" xfId="3602" xr:uid="{B2D1509A-87C0-4C8E-BC26-254E47982FBA}"/>
    <cellStyle name="Normal 63" xfId="218" xr:uid="{6CAF5D2B-0E43-450F-AEC4-65AC5408203C}"/>
    <cellStyle name="Normal 63 2" xfId="3718" xr:uid="{2DF108D7-12FA-48A9-8C22-A0B34BE45048}"/>
    <cellStyle name="Normal 63 3" xfId="3618" xr:uid="{E17F112E-5624-41DF-BC55-245B1C406E03}"/>
    <cellStyle name="Normal 64" xfId="219" xr:uid="{B1B6DACE-C49C-454C-8945-3972F16EC30A}"/>
    <cellStyle name="Normal 64 2" xfId="3719" xr:uid="{058E8618-5EBB-4DEF-92F5-E9FA59279D24}"/>
    <cellStyle name="Normal 64 3" xfId="3636" xr:uid="{C7EB31B3-BE8F-4395-8B8F-A9BDA8759CE7}"/>
    <cellStyle name="Normal 65" xfId="220" xr:uid="{8680C52E-E97E-4248-A889-6B4A04BBA1A0}"/>
    <cellStyle name="Normal 65 2" xfId="3720" xr:uid="{9DE9946A-EBF0-4DE0-8F57-5E0837AB6549}"/>
    <cellStyle name="Normal 65 3" xfId="3637" xr:uid="{9B3E9B13-4A50-4DD2-A760-5CA0AF28D58F}"/>
    <cellStyle name="Normal 66" xfId="221" xr:uid="{5DF2B62C-4954-4143-B681-F2095F549010}"/>
    <cellStyle name="Normal 67" xfId="222" xr:uid="{AF905EF9-B879-4114-80BA-FB8283449B04}"/>
    <cellStyle name="Normal 68" xfId="223" xr:uid="{7326521E-1591-4C97-AC9C-821DC02EFAAA}"/>
    <cellStyle name="Normal 68 2" xfId="276" xr:uid="{270034CA-B625-42A8-A4DC-0924007E2357}"/>
    <cellStyle name="Normal 68 3" xfId="269" xr:uid="{5B704D10-D4D1-48F5-B1DF-5DB4B905BA82}"/>
    <cellStyle name="Normal 69" xfId="103" xr:uid="{11B2C66A-8A31-4E88-8EB8-D58041B529D5}"/>
    <cellStyle name="Normal 7" xfId="34" xr:uid="{759810E3-EE39-4AB9-B07E-1C43F66DA061}"/>
    <cellStyle name="Normal 7 10" xfId="3659" xr:uid="{43121FE6-699C-401A-8D3F-9E0CDA3E299D}"/>
    <cellStyle name="Normal 7 11" xfId="595" xr:uid="{EA8E4FB4-3746-4E94-BE6D-8148D67B5455}"/>
    <cellStyle name="Normal 7 2" xfId="131" xr:uid="{F6BE49B5-CFFC-4562-8E35-D62CD7C8449A}"/>
    <cellStyle name="Normal 7 2 2" xfId="2687" xr:uid="{A4F1ECB4-7397-443A-996F-ED9F0A94288F}"/>
    <cellStyle name="Normal 7 2 3" xfId="2210" xr:uid="{D630329F-B90F-4B6D-941D-BE57AB612683}"/>
    <cellStyle name="Normal 7 2 4" xfId="3686" xr:uid="{5B8B2C6D-65E9-4296-970D-6A58C7527319}"/>
    <cellStyle name="Normal 7 2 5" xfId="631" xr:uid="{7100B519-DEAB-4AE2-AACB-CAEFC3E65B39}"/>
    <cellStyle name="Normal 7 3" xfId="102" xr:uid="{F2EE81B4-941A-4B1E-9246-D9C4E8582024}"/>
    <cellStyle name="Normal 7 3 2" xfId="411" xr:uid="{9EC0C95F-9924-4DE5-99EE-78677DA92D92}"/>
    <cellStyle name="Normal 7 3 2 2" xfId="3436" xr:uid="{31E8552E-49F6-47CE-B0B9-8E158F8F1D94}"/>
    <cellStyle name="Normal 7 3 2 3" xfId="3731" xr:uid="{2DED2D3B-1398-4139-A4ED-4B619D3EA749}"/>
    <cellStyle name="Normal 7 3 2 4" xfId="2750" xr:uid="{BA817A2E-C9D3-4771-B97F-E51E09EB3246}"/>
    <cellStyle name="Normal 7 3 3" xfId="2830" xr:uid="{986489BD-B371-4335-A70A-7CF55437B5D4}"/>
    <cellStyle name="Normal 7 3 4" xfId="3677" xr:uid="{47CDA281-BA67-4A61-A30B-6F706B189CA0}"/>
    <cellStyle name="Normal 7 3 5" xfId="2019" xr:uid="{DB5AE940-ABF4-40E8-941A-3591F8DFD1A2}"/>
    <cellStyle name="Normal 7 4" xfId="72" xr:uid="{86052B07-A1FF-496C-BA7C-25BC9F5C6868}"/>
    <cellStyle name="Normal 7 4 2" xfId="3437" xr:uid="{00CAAF45-7CBA-4DDB-9823-0406D0DE3118}"/>
    <cellStyle name="Normal 7 4 3" xfId="3825" xr:uid="{5A222E95-F8A4-4C93-8C97-43C7A9417CC7}"/>
    <cellStyle name="Normal 7 4 4" xfId="1859" xr:uid="{A7078D60-E4F0-46DA-8D72-C06C78A8B700}"/>
    <cellStyle name="Normal 7 5" xfId="2596" xr:uid="{CFB2B141-15AC-4C07-8F9C-E53F17EA93D7}"/>
    <cellStyle name="Normal 7 6" xfId="1381" xr:uid="{F361FA75-58A1-4B66-BDE2-D91CF6F779FC}"/>
    <cellStyle name="Normal 7 7" xfId="2791" xr:uid="{9BEDB0F0-258A-4FDB-8C5C-951287D4151A}"/>
    <cellStyle name="Normal 7 8" xfId="2816" xr:uid="{B9045D21-D644-464D-9D5B-98C59F0EA063}"/>
    <cellStyle name="Normal 7 9" xfId="665" xr:uid="{0F6AAAD6-F2E4-4717-AA2D-4B6013938830}"/>
    <cellStyle name="Normal 7_Giao dịch mua bán" xfId="208" xr:uid="{FDBB4B17-42C3-436F-80C1-BA43C0312E71}"/>
    <cellStyle name="Normal 70" xfId="224" xr:uid="{BE7BD897-408F-463F-9D63-1500EFF018F3}"/>
    <cellStyle name="Normal 71" xfId="147" xr:uid="{5EB45040-2260-417C-BBB8-24651E89274F}"/>
    <cellStyle name="Normal 71 2" xfId="85" xr:uid="{D6E22EDF-C76E-42A9-9281-94BA337F3D4A}"/>
    <cellStyle name="Normal 71 2 2" xfId="114" xr:uid="{54330DAD-1ACA-4485-A9C1-9945AF76D196}"/>
    <cellStyle name="Normal 72" xfId="225" xr:uid="{8F24DEFB-D8E9-447E-A74E-48C83CE44BDB}"/>
    <cellStyle name="Normal 73" xfId="226" xr:uid="{57FDE5E7-7C84-48A3-AB60-195BE546C4F8}"/>
    <cellStyle name="Normal 74" xfId="228" xr:uid="{77762FE8-AE0A-4317-BAC7-EB55BBD29B76}"/>
    <cellStyle name="Normal 74 2" xfId="277" xr:uid="{B6245B3D-2E8B-4AB4-9C40-FF9288A91CB9}"/>
    <cellStyle name="Normal 74 3" xfId="270" xr:uid="{57F77C1B-515B-4943-B921-84DFC777252A}"/>
    <cellStyle name="Normal 75" xfId="227" xr:uid="{7EC99D49-E8D8-4565-9297-FF1634D6AAB7}"/>
    <cellStyle name="Normal 76" xfId="109" xr:uid="{7B805580-0913-42E6-ADE7-996EB85F35B4}"/>
    <cellStyle name="Normal 76 2" xfId="161" xr:uid="{E0DB433E-0FDD-4EE8-BADE-306ACF8830F1}"/>
    <cellStyle name="Normal 76_Giao dịch mua bán" xfId="209" xr:uid="{466E532D-B417-4995-A258-A518443C7169}"/>
    <cellStyle name="Normal 77" xfId="113" xr:uid="{A519E701-91E4-4956-A82D-152391E1A98D}"/>
    <cellStyle name="Normal 78" xfId="232" xr:uid="{16C50D97-634F-4BDA-BD74-CB573AAB4DE5}"/>
    <cellStyle name="Normal 78 2" xfId="279" xr:uid="{D8A92D02-953C-40D4-A86C-9650207B376E}"/>
    <cellStyle name="Normal 78 3" xfId="271" xr:uid="{C41EDD00-4D4F-4B6C-BC10-6681380DE22E}"/>
    <cellStyle name="Normal 79" xfId="230" xr:uid="{A86934E3-2531-49C6-B6D6-873337664D9C}"/>
    <cellStyle name="Normal 79 2" xfId="278" xr:uid="{6D5ED86F-4038-42B5-9147-2C043A094969}"/>
    <cellStyle name="Normal 79 3" xfId="272" xr:uid="{31C615AF-836C-4B81-9615-BD4C8601CF88}"/>
    <cellStyle name="Normal 8" xfId="26" xr:uid="{4B2893DE-483E-4B45-9AAF-F3DFD5B676A4}"/>
    <cellStyle name="Normal 8 2" xfId="132" xr:uid="{D22107C4-D11E-4681-89C5-9F583B09E465}"/>
    <cellStyle name="Normal 8 2 2" xfId="2719" xr:uid="{3CB0A50A-8F93-47C5-A6D3-FF18E53470E2}"/>
    <cellStyle name="Normal 8 2 3" xfId="1890" xr:uid="{07DBFDEA-7B96-482B-B8C7-498138CF5286}"/>
    <cellStyle name="Normal 8 2 4" xfId="3687" xr:uid="{FB2BBB57-8CFF-4A54-82E4-80859DF66BD3}"/>
    <cellStyle name="Normal 8 2 5" xfId="637" xr:uid="{5812131E-63CF-410D-B4CC-4E9460FE5DC0}"/>
    <cellStyle name="Normal 8 3" xfId="104" xr:uid="{95C46184-4F4D-4FA5-A469-7D2759E20202}"/>
    <cellStyle name="Normal 8 3 2" xfId="3678" xr:uid="{8B42A949-CF12-4A87-BC90-C721EA524CD5}"/>
    <cellStyle name="Normal 8 3 3" xfId="1868" xr:uid="{421963E8-BC55-41BD-874C-CE027E6C0C88}"/>
    <cellStyle name="Normal 8 4" xfId="75" xr:uid="{3AD07658-2C13-4C08-9B88-CE4A87E1262F}"/>
    <cellStyle name="Normal 8 4 2" xfId="1380" xr:uid="{62216924-24E6-4D18-852B-75F7C41D71C1}"/>
    <cellStyle name="Normal 8 5" xfId="2807" xr:uid="{47B11556-C1D8-4798-BE1A-70AA65A91688}"/>
    <cellStyle name="Normal 8 6" xfId="3662" xr:uid="{C6001E32-9EE2-43CA-AC85-E87E6D5BD79C}"/>
    <cellStyle name="Normal 8_Giao dịch mua bán" xfId="210" xr:uid="{F43C10DD-1391-4424-A67C-F6205F5D36CE}"/>
    <cellStyle name="Normal 80" xfId="233" xr:uid="{8A513626-13A7-4C98-B414-97F6BAFA35BD}"/>
    <cellStyle name="Normal 80 2" xfId="280" xr:uid="{1079CBCE-3163-4070-A664-EE92D602E356}"/>
    <cellStyle name="Normal 80 3" xfId="273" xr:uid="{2F8854B2-9EF8-4942-9F2D-41E2C4F056F2}"/>
    <cellStyle name="Normal 81" xfId="234" xr:uid="{6C71E72D-653B-4008-83FA-2A761DE2AB36}"/>
    <cellStyle name="Normal 81 2" xfId="281" xr:uid="{2737127F-0DF6-451B-A64B-852030B98D23}"/>
    <cellStyle name="Normal 81 3" xfId="274" xr:uid="{F3656B72-0680-405B-AF34-19F3821A8A05}"/>
    <cellStyle name="Normal 82" xfId="231" xr:uid="{08C08F61-DA64-4C31-91D4-A4AA4EC375B9}"/>
    <cellStyle name="Normal 82 2" xfId="3579" xr:uid="{310B61FA-8726-49DB-A239-DC5EE9CB5AD3}"/>
    <cellStyle name="Normal 83" xfId="237" xr:uid="{82D3AEAB-E489-4107-8753-05C247F2837A}"/>
    <cellStyle name="Normal 84" xfId="239" xr:uid="{3FE4486A-C0ED-467C-91BE-87BFA5D183B0}"/>
    <cellStyle name="Normal 85" xfId="236" xr:uid="{8C4E1604-ACA7-4BAC-920F-9F15E365FA7E}"/>
    <cellStyle name="Normal 86" xfId="240" xr:uid="{B3AE125C-54CF-4E7E-B0C1-3C25F71BEC11}"/>
    <cellStyle name="Normal 86 2" xfId="371" xr:uid="{9DAD6265-762E-48BC-A4F2-E2875477EA13}"/>
    <cellStyle name="Normal 86 2 2" xfId="3728" xr:uid="{389D859B-8863-459F-9E71-900C962B37B1}"/>
    <cellStyle name="Normal 86 2 3" xfId="2702" xr:uid="{58A92C35-32E2-432E-BDEE-975A69C293DB}"/>
    <cellStyle name="Normal 86 3" xfId="401" xr:uid="{36BE126F-3B55-4113-971E-C40253512CEE}"/>
    <cellStyle name="Normal 87" xfId="111" xr:uid="{9B42272C-B7D0-4997-B734-EC6602FEEB3F}"/>
    <cellStyle name="Normal 88" xfId="27" xr:uid="{F020A901-AF08-4928-8B21-EDAB164AF63A}"/>
    <cellStyle name="Normal 88 2" xfId="370" xr:uid="{9E793440-C42B-454A-9A21-156566DEF607}"/>
    <cellStyle name="Normal 88 3" xfId="400" xr:uid="{9BBC72C7-27B0-4677-8AAC-0BFA320F43A8}"/>
    <cellStyle name="Normal 88 4" xfId="241" xr:uid="{F4ED5329-E8BB-4296-BD26-EDFE632B3121}"/>
    <cellStyle name="Normal 89" xfId="242" xr:uid="{959693E9-0397-4D12-9E23-C8E8F7E4D684}"/>
    <cellStyle name="Normal 89 2" xfId="413" xr:uid="{A3EDEE07-943A-45C5-81EA-29FA88B1B32A}"/>
    <cellStyle name="Normal 89 3" xfId="399" xr:uid="{337370E0-CED5-40A4-A60F-C17F396AD629}"/>
    <cellStyle name="Normal 9" xfId="76" xr:uid="{64BAA179-076A-4B1D-BB5C-E4A06A7A8F2C}"/>
    <cellStyle name="Normal 9 10" xfId="646" xr:uid="{B5C3AF33-1D69-4114-81B5-EE2ECDD05842}"/>
    <cellStyle name="Normal 9 2" xfId="133" xr:uid="{70E98263-0CD8-4713-983F-33280069C34A}"/>
    <cellStyle name="Normal 9 2 2" xfId="543" xr:uid="{DF72DD6C-DF78-41F4-B502-FA47BCAE42E3}"/>
    <cellStyle name="Normal 9 2 2 2" xfId="3903" xr:uid="{3D579BB6-7C5E-4994-A496-101E9CB18DB2}"/>
    <cellStyle name="Normal 9 2 2 3" xfId="2692" xr:uid="{B5E55333-2FD2-4D14-B646-570517D43B1C}"/>
    <cellStyle name="Normal 9 2 3" xfId="3634" xr:uid="{9B3018DA-2E64-454E-8192-86B82A5C1E5A}"/>
    <cellStyle name="Normal 9 2 4" xfId="3688" xr:uid="{B80E3E13-47A7-4305-B997-EF6985FF28CB}"/>
    <cellStyle name="Normal 9 2 5" xfId="2211" xr:uid="{61EF05A8-44D5-45F0-8C92-329E0DAE87CE}"/>
    <cellStyle name="Normal 9 3" xfId="544" xr:uid="{33AE9E3F-B096-4408-9369-4945B0CD915A}"/>
    <cellStyle name="Normal 9 3 2" xfId="1429" xr:uid="{BAFF3F03-81B0-49A4-84C6-2D34B77DEC75}"/>
    <cellStyle name="Normal 9 3 2 2" xfId="3438" xr:uid="{0B8D76F9-8487-4B67-B6AF-0EFD9F3B6CDF}"/>
    <cellStyle name="Normal 9 3 3" xfId="2831" xr:uid="{F391CBCD-C934-4573-8E35-39C31A6F7557}"/>
    <cellStyle name="Normal 9 3 4" xfId="2033" xr:uid="{4A23D3FC-4BA5-41C8-BB4C-444E6D168FA9}"/>
    <cellStyle name="Normal 9 3 5" xfId="599" xr:uid="{77EEE314-C1FF-4E3A-8D22-B67BF82D36A3}"/>
    <cellStyle name="Normal 9 4" xfId="517" xr:uid="{63B380D2-A3FE-4AE5-9C3D-646D7CB6413A}"/>
    <cellStyle name="Normal 9 4 2" xfId="3439" xr:uid="{8BBB4808-C79A-41FB-BC4D-A2CBC64A51C4}"/>
    <cellStyle name="Normal 9 4 3" xfId="3883" xr:uid="{B29B1CD4-73E7-452E-987C-D536217B63AB}"/>
    <cellStyle name="Normal 9 4 4" xfId="1876" xr:uid="{AB968B6F-1C39-4A0B-A290-7C3DECF4FB09}"/>
    <cellStyle name="Normal 9 5" xfId="2715" xr:uid="{2CB28007-E599-4F4D-8669-80CA4F01271B}"/>
    <cellStyle name="Normal 9 5 2" xfId="3440" xr:uid="{BD84CAE7-7BA6-4770-8E64-7E11D421293A}"/>
    <cellStyle name="Normal 9 6" xfId="1383" xr:uid="{60CF22EA-EBD8-4CF2-996F-129C5098A2B0}"/>
    <cellStyle name="Normal 9 7" xfId="2818" xr:uid="{EC499D65-8818-4F74-8DD1-86C97BA2D755}"/>
    <cellStyle name="Normal 9 8" xfId="692" xr:uid="{7805B3BC-B6B6-4B21-9DDA-096C762D731D}"/>
    <cellStyle name="Normal 9 9" xfId="3663" xr:uid="{EFB58590-1536-41CD-9E5C-69676974657C}"/>
    <cellStyle name="Normal 9_Giao dịch mua bán" xfId="211" xr:uid="{BAB2FDD9-6FF8-409F-BC82-4E057A5CD973}"/>
    <cellStyle name="Normal 90" xfId="89" xr:uid="{2AFD12F0-221E-43A0-9697-4408D27E5E07}"/>
    <cellStyle name="Normal 91" xfId="243" xr:uid="{6511C954-B13B-4516-980A-2B03674EC71D}"/>
    <cellStyle name="Normal 91 2" xfId="369" xr:uid="{B349D821-C78E-45D0-B8C0-71F485E6E565}"/>
    <cellStyle name="Normal 91 3" xfId="383" xr:uid="{1BD30478-E5BA-43AC-BC42-11070AD5281D}"/>
    <cellStyle name="Normal 92" xfId="244" xr:uid="{51AC3FB2-79F9-459B-A079-ACFDA3B94999}"/>
    <cellStyle name="Normal 92 2" xfId="368" xr:uid="{74BC7688-9035-4725-9003-A212487FC261}"/>
    <cellStyle name="Normal 92 3" xfId="397" xr:uid="{C3F8EFFB-0DCB-43E2-9F2F-61B3B332DDE5}"/>
    <cellStyle name="Normal 93" xfId="165" xr:uid="{4DC3B3ED-B3BF-468A-B93A-8B7B9D5B93CF}"/>
    <cellStyle name="Normal 94" xfId="245" xr:uid="{B5D361DD-FE0B-4ED9-BC55-2129BE99CD58}"/>
    <cellStyle name="Normal 94 2" xfId="367" xr:uid="{4C4801E4-E2B3-4D0F-8D35-C6C991E185BC}"/>
    <cellStyle name="Normal 94 3" xfId="389" xr:uid="{B884461C-68B8-4E53-AA3B-4E0F1D8E651A}"/>
    <cellStyle name="Normal 95" xfId="246" xr:uid="{0E7AAF56-08CB-4B36-A80A-D4D72922C064}"/>
    <cellStyle name="Normal 95 2" xfId="366" xr:uid="{8F2B3DAD-7DA2-4DB1-87C3-ECC406EE7502}"/>
    <cellStyle name="Normal 95 3" xfId="398" xr:uid="{624B4D9E-5487-4930-85FE-BE2A45B0ED55}"/>
    <cellStyle name="Normal 96" xfId="252" xr:uid="{BDDE3F11-3B66-45D4-8ED4-386402967078}"/>
    <cellStyle name="Normal 97" xfId="247" xr:uid="{B1F78681-867E-442A-87CB-A5488E59D258}"/>
    <cellStyle name="Normal 97 2" xfId="264" xr:uid="{2970AEC2-DF69-4503-A9EA-DF29CC49BF5E}"/>
    <cellStyle name="Normal 97 3" xfId="416" xr:uid="{F716D5E7-8056-4DD5-9399-0BA5F38D6429}"/>
    <cellStyle name="Normal 97 4" xfId="381" xr:uid="{D2F24422-2EB8-4645-9767-E2A31E8A4C73}"/>
    <cellStyle name="Normal 98" xfId="253" xr:uid="{53CB5436-8286-4BCF-AA0B-C3B76D02BDE7}"/>
    <cellStyle name="Normal 98 2" xfId="266" xr:uid="{5B4EA422-9F96-4FAF-B42A-532EEC8C4132}"/>
    <cellStyle name="Normal 98 3" xfId="363" xr:uid="{976DB602-7E88-48CE-9214-19A648351E56}"/>
    <cellStyle name="Normal 98 4" xfId="385" xr:uid="{82C06C81-5D71-41F6-AF1A-6A876BDF5481}"/>
    <cellStyle name="Normal 99" xfId="250" xr:uid="{11951A27-C256-4F14-8E63-9C25F1F9692C}"/>
    <cellStyle name="Normal 99 2" xfId="365" xr:uid="{62AB638A-99AF-4A8B-B58E-5FCA3A7E5AC4}"/>
    <cellStyle name="Normal 99 3" xfId="386" xr:uid="{6737160D-E523-4E05-92BC-B8FB10534266}"/>
    <cellStyle name="Note 10" xfId="1071" xr:uid="{237FE4D0-8476-469F-A46F-D2DF5FC95E8B}"/>
    <cellStyle name="Note 10 2" xfId="2212" xr:uid="{BBB4E970-3A25-4A96-88EE-12EB23ADA02A}"/>
    <cellStyle name="Note 10 2 2" xfId="2538" xr:uid="{6A32F95D-0731-48B2-89EC-A27DCDFC2B1B}"/>
    <cellStyle name="Note 10 3" xfId="2344" xr:uid="{4C366D7E-7E16-480E-A57A-0AC7330BA0E9}"/>
    <cellStyle name="Note 10 4" xfId="2005" xr:uid="{7992C456-2624-4272-8131-171C7F9369DF}"/>
    <cellStyle name="Note 11" xfId="1072" xr:uid="{75888927-9034-4F31-AC1F-2B184CECC487}"/>
    <cellStyle name="Note 11 2" xfId="2213" xr:uid="{5FA53CD0-7670-41B4-A76B-0F00F633063E}"/>
    <cellStyle name="Note 11 2 2" xfId="2539" xr:uid="{7E47F697-DAF6-48FA-A076-EF4D6D743E7B}"/>
    <cellStyle name="Note 11 3" xfId="2357" xr:uid="{837E74B4-4093-4DA6-AD45-84539E3829D7}"/>
    <cellStyle name="Note 11 4" xfId="2018" xr:uid="{2281F5FB-7267-4EC7-B80C-E4128C36AAD2}"/>
    <cellStyle name="Note 12" xfId="1382" xr:uid="{0B9FF5E0-B851-44C7-B810-D5C01A40DBAC}"/>
    <cellStyle name="Note 12 2" xfId="2214" xr:uid="{66346857-629F-4A21-AAEA-62C88A1F8093}"/>
    <cellStyle name="Note 12 2 2" xfId="2540" xr:uid="{801BE0F6-D8A3-4CDA-90AB-9B8803832E8C}"/>
    <cellStyle name="Note 12 3" xfId="2370" xr:uid="{E383A606-79DB-4412-9180-61D0270F32D0}"/>
    <cellStyle name="Note 12 4" xfId="2032" xr:uid="{95F3E0B6-C958-431A-B471-5D8C38FF8AC6}"/>
    <cellStyle name="Note 13" xfId="1423" xr:uid="{DF3D40EB-ACE9-482C-AC4B-3304235D5466}"/>
    <cellStyle name="Note 13 2" xfId="1517" xr:uid="{3969808F-705B-4AC5-A77D-2A35380760A7}"/>
    <cellStyle name="Note 13 2 2" xfId="1738" xr:uid="{AFD5B0AF-BDC9-44D3-A9BF-78DAE658E215}"/>
    <cellStyle name="Note 13 2 2 2" xfId="2541" xr:uid="{920ECE96-FD59-49AC-B5C6-E98CB5729CF0}"/>
    <cellStyle name="Note 13 2 2 2 2" xfId="3441" xr:uid="{6FE7E6A3-F8A2-4D94-86DB-46B613C3B1DD}"/>
    <cellStyle name="Note 13 2 2 3" xfId="3058" xr:uid="{8479D8EC-37FA-4732-82BE-5B24A5F5DA04}"/>
    <cellStyle name="Note 13 2 3" xfId="2215" xr:uid="{A2D5F5EF-D750-492F-9043-92956FFC1913}"/>
    <cellStyle name="Note 13 2 3 2" xfId="3442" xr:uid="{613613E5-CBAD-4E4C-9D4D-60867EAD8315}"/>
    <cellStyle name="Note 13 2 4" xfId="2922" xr:uid="{17B745B2-BB9F-4160-A7BD-6E53BAE64C74}"/>
    <cellStyle name="Note 13 3" xfId="1691" xr:uid="{09DB4085-5884-49E3-8E40-6ACE30E823C2}"/>
    <cellStyle name="Note 13 3 2" xfId="2383" xr:uid="{3166047B-B89C-49DD-9E98-5B68AF45A9C5}"/>
    <cellStyle name="Note 13 3 2 2" xfId="3443" xr:uid="{7034158A-7898-4658-BBC6-0AE8BF181C77}"/>
    <cellStyle name="Note 13 3 3" xfId="3012" xr:uid="{298EF481-F348-48F7-8823-22FEF8B65825}"/>
    <cellStyle name="Note 13 4" xfId="2046" xr:uid="{4446A10B-546C-4689-8958-F4D9EBFFF4DF}"/>
    <cellStyle name="Note 13 4 2" xfId="3444" xr:uid="{DA256082-BBA4-4125-8C81-2FC851096285}"/>
    <cellStyle name="Note 13 5" xfId="2877" xr:uid="{3133A1B5-5C85-4676-8095-108E78FB3B08}"/>
    <cellStyle name="Note 14" xfId="1444" xr:uid="{C949470F-49FF-49F5-9908-8629BB0C9D0E}"/>
    <cellStyle name="Note 14 2" xfId="1531" xr:uid="{A7DE2AE4-7863-4C11-9BBC-485E16B4EB13}"/>
    <cellStyle name="Note 14 2 2" xfId="1752" xr:uid="{71C3BF4C-9046-44A9-BF40-637B0AD6F802}"/>
    <cellStyle name="Note 14 2 2 2" xfId="3445" xr:uid="{BBA94955-42A2-4B60-BD87-92F34F1FF1E1}"/>
    <cellStyle name="Note 14 2 2 3" xfId="3072" xr:uid="{A5D738B8-B6B7-4653-AC89-BDD2677C267D}"/>
    <cellStyle name="Note 14 2 3" xfId="3446" xr:uid="{6934415F-E97B-40E7-BBE9-DE150A19A403}"/>
    <cellStyle name="Note 14 2 4" xfId="2936" xr:uid="{D4F44300-0FD6-4884-AA2A-C22023EBCF9F}"/>
    <cellStyle name="Note 14 3" xfId="1705" xr:uid="{67C2EE1F-38B9-41FB-B025-84B25A27BC96}"/>
    <cellStyle name="Note 14 3 2" xfId="3447" xr:uid="{D5473E27-BAC8-40B9-BE3D-B9F862785031}"/>
    <cellStyle name="Note 14 3 3" xfId="3026" xr:uid="{D6A4C569-8207-4687-B32B-5A9A7D77537A}"/>
    <cellStyle name="Note 14 4" xfId="2589" xr:uid="{46147550-3E96-4A1B-A755-0ACC91D8C1EE}"/>
    <cellStyle name="Note 14 4 2" xfId="3448" xr:uid="{371943B9-C7CD-4014-B8AE-0C39BD8206CB}"/>
    <cellStyle name="Note 14 5" xfId="2891" xr:uid="{0AC0E4EA-ADD6-4D7A-A741-CA1F4BBAEA6E}"/>
    <cellStyle name="Note 15" xfId="1462" xr:uid="{8C55F57A-603A-4B55-9A0C-344548F2062A}"/>
    <cellStyle name="Note 15 2" xfId="1724" xr:uid="{B6B0CC14-618B-45A3-A5BF-2A11F862BD8C}"/>
    <cellStyle name="Note 15 2 2" xfId="3449" xr:uid="{93C63FC7-01CF-4F72-869F-887CFBD4BF2B}"/>
    <cellStyle name="Note 15 2 3" xfId="3045" xr:uid="{A443E567-A7CF-4D28-9B64-E4D772B13C54}"/>
    <cellStyle name="Note 15 3" xfId="3450" xr:uid="{36F27E79-7DAD-4D3D-BDB1-26C5F9CBBB65}"/>
    <cellStyle name="Note 15 4" xfId="2909" xr:uid="{1D171B36-D2AA-4885-87B9-A36492DE70AE}"/>
    <cellStyle name="Note 16" xfId="1547" xr:uid="{DF0571CD-FC82-48A1-9730-F50406DC6553}"/>
    <cellStyle name="Note 16 2" xfId="1766" xr:uid="{E6CC6884-4C64-4AEA-A893-0B5E1753298F}"/>
    <cellStyle name="Note 16 2 2" xfId="3451" xr:uid="{977C41BB-99F9-4E1D-A6D2-71EFA15BEDC1}"/>
    <cellStyle name="Note 16 2 3" xfId="3086" xr:uid="{C6FB9DEB-FC4A-4487-BAE6-3427663A7E06}"/>
    <cellStyle name="Note 16 3" xfId="3452" xr:uid="{2519FA6B-02EC-4F64-8BFF-26D1814BE3F5}"/>
    <cellStyle name="Note 16 4" xfId="2949" xr:uid="{9E67DC4A-8222-4E14-992B-06D23C7A68AD}"/>
    <cellStyle name="Note 17" xfId="1570" xr:uid="{324F1C80-0091-436E-9678-85A8FF7A1844}"/>
    <cellStyle name="Note 17 2" xfId="1785" xr:uid="{998EDAB7-4575-4FF7-8276-D811A835A0F2}"/>
    <cellStyle name="Note 17 2 2" xfId="3453" xr:uid="{D4BDA7D5-2EE9-48C2-9338-3F138C3982DE}"/>
    <cellStyle name="Note 17 2 3" xfId="3105" xr:uid="{8D70E9BF-CA41-46BD-A982-E49B3DC5C2A9}"/>
    <cellStyle name="Note 17 3" xfId="3454" xr:uid="{45B4C46E-AF45-431A-A7AE-EB7824B18FCE}"/>
    <cellStyle name="Note 17 4" xfId="2968" xr:uid="{369BDB6F-CDD3-4B6B-9D60-D2D37134029A}"/>
    <cellStyle name="Note 18" xfId="1591" xr:uid="{0E538305-95C2-4F7F-8500-0B881CA1B391}"/>
    <cellStyle name="Note 18 2" xfId="1805" xr:uid="{104C1343-0037-4B8D-AC40-263131856343}"/>
    <cellStyle name="Note 18 2 2" xfId="3455" xr:uid="{CD4835F9-6ADC-430E-A1C9-A106130F844C}"/>
    <cellStyle name="Note 18 3" xfId="3124" xr:uid="{2D386CFF-B865-462E-910A-CA1D8A62A1D0}"/>
    <cellStyle name="Note 19" xfId="1612" xr:uid="{25F7D7D1-76DE-4DF7-838E-4A53B6EE3D4B}"/>
    <cellStyle name="Note 19 2" xfId="1826" xr:uid="{29630D5C-3784-47EB-99C0-BE7953EF5CA2}"/>
    <cellStyle name="Note 2" xfId="1073" xr:uid="{39AF8618-60A4-410F-9C39-2D53F07B3791}"/>
    <cellStyle name="Note 2 2" xfId="2216" xr:uid="{9FE2C7B6-C3E0-4F84-89A2-95E8F55786B4}"/>
    <cellStyle name="Note 2 2 2" xfId="2542" xr:uid="{C79A4A65-FFCC-44AA-90A2-194C21499830}"/>
    <cellStyle name="Note 2 3" xfId="2240" xr:uid="{C5713EB4-BB8C-452F-B251-07C6CE871D0C}"/>
    <cellStyle name="Note 2 4" xfId="1898" xr:uid="{FFE54E2E-B23D-433C-A1AC-C2462EA63B0E}"/>
    <cellStyle name="Note 20" xfId="1634" xr:uid="{FCD54E05-CEE0-418C-9E89-F025B0327CB1}"/>
    <cellStyle name="Note 21" xfId="1829" xr:uid="{D423395C-5E52-4063-A37B-17CA4101F077}"/>
    <cellStyle name="Note 3" xfId="1074" xr:uid="{FF6CE1E5-7D0C-4BC3-921B-E04481ADD330}"/>
    <cellStyle name="Note 3 2" xfId="2217" xr:uid="{473AD2B0-6C71-4745-9C22-46310499A1A7}"/>
    <cellStyle name="Note 3 2 2" xfId="2543" xr:uid="{1FABCF69-6504-4E1A-88F8-525BE5CD7D57}"/>
    <cellStyle name="Note 3 3" xfId="2253" xr:uid="{BD4AC5D4-6FEB-403D-92D8-7FD6E374A963}"/>
    <cellStyle name="Note 3 4" xfId="1912" xr:uid="{F82787CB-0214-4CA4-A9FA-78F3CE245743}"/>
    <cellStyle name="Note 4" xfId="1075" xr:uid="{F998AA32-D80B-42BD-AB38-6D6288615534}"/>
    <cellStyle name="Note 4 2" xfId="2218" xr:uid="{DFC812B8-353E-4E59-8F28-0F92B6BD21CA}"/>
    <cellStyle name="Note 4 2 2" xfId="2544" xr:uid="{09BD6866-2EDB-4696-8020-7965D9E20DF1}"/>
    <cellStyle name="Note 4 3" xfId="2266" xr:uid="{3C7B685D-F0AE-4C81-AFE3-3F64F60862D8}"/>
    <cellStyle name="Note 4 4" xfId="1926" xr:uid="{7B79E280-957D-43DD-BDCA-47630D40B2CD}"/>
    <cellStyle name="Note 5" xfId="1076" xr:uid="{161CED44-B6EB-4118-BCC4-CA8F4F13A771}"/>
    <cellStyle name="Note 5 2" xfId="2219" xr:uid="{6C1CE488-3E46-4DDB-974C-60364417FC73}"/>
    <cellStyle name="Note 5 2 2" xfId="2545" xr:uid="{B7596546-9C97-437E-8522-6EEAB89D8FDD}"/>
    <cellStyle name="Note 5 3" xfId="2279" xr:uid="{382E2A47-2DB9-4028-8679-304C28F46C3B}"/>
    <cellStyle name="Note 5 4" xfId="1939" xr:uid="{F6A55333-34DD-4C4B-A5A0-071623EA58E5}"/>
    <cellStyle name="Note 6" xfId="1077" xr:uid="{03EBD691-B4D7-4E26-9224-F8110273551A}"/>
    <cellStyle name="Note 6 2" xfId="2220" xr:uid="{35472FF7-2A53-4653-82C6-4549817D35D9}"/>
    <cellStyle name="Note 6 2 2" xfId="2546" xr:uid="{1E7900F7-7C34-4290-8637-E89704844FD0}"/>
    <cellStyle name="Note 6 3" xfId="2292" xr:uid="{B7EC24CB-DD2F-4CE2-93B7-7E411F14A83D}"/>
    <cellStyle name="Note 6 4" xfId="1953" xr:uid="{6EBB866A-885E-48B9-A90D-61AE411B2A38}"/>
    <cellStyle name="Note 7" xfId="1078" xr:uid="{64F0AAE6-E2B6-4C46-9B8D-AF67BEB1EA9F}"/>
    <cellStyle name="Note 7 2" xfId="2221" xr:uid="{61DF008D-7037-4C3C-9B0C-165008AA6623}"/>
    <cellStyle name="Note 7 2 2" xfId="2547" xr:uid="{4B2B1B56-933B-463B-997F-53071C47719F}"/>
    <cellStyle name="Note 7 3" xfId="2305" xr:uid="{5AA8F1CA-89A5-4123-BEBD-318729BCC68A}"/>
    <cellStyle name="Note 7 4" xfId="1966" xr:uid="{24DE06EA-F7B9-47BA-8295-B408439D3D6C}"/>
    <cellStyle name="Note 8" xfId="1079" xr:uid="{351D5E21-17BD-4575-836C-95B50F64BBA4}"/>
    <cellStyle name="Note 8 2" xfId="2222" xr:uid="{5E9D5E65-E6E6-4537-B181-61E12FFBA29F}"/>
    <cellStyle name="Note 8 2 2" xfId="2548" xr:uid="{A1214A02-A827-467B-860C-B212134FC3FD}"/>
    <cellStyle name="Note 8 3" xfId="2318" xr:uid="{83BAFDB7-9771-40BD-82D8-EFD5B39A1D42}"/>
    <cellStyle name="Note 8 4" xfId="1979" xr:uid="{DE1E35AF-9E52-48FA-9BB2-80E85919A49A}"/>
    <cellStyle name="Note 9" xfId="1080" xr:uid="{0DC7E844-F9E9-4FB9-9EF6-264776F0C91E}"/>
    <cellStyle name="Note 9 2" xfId="2223" xr:uid="{896FAF34-D4BE-4408-95A5-DC5A075E6038}"/>
    <cellStyle name="Note 9 2 2" xfId="2549" xr:uid="{868B3069-50A5-4369-854F-7CD797EB04D5}"/>
    <cellStyle name="Note 9 3" xfId="2331" xr:uid="{2F9C6FD8-EB76-44C0-BA44-7F6E4AC955A0}"/>
    <cellStyle name="Note 9 4" xfId="1992" xr:uid="{30CDA05E-87B2-488D-B3F3-FA72F1134FE3}"/>
    <cellStyle name="oft Excel]_x000d__x000a_Comment=open=/f ‚ðw’è‚·‚é‚ÆAƒ†[ƒU[’è‹`ŠÖ”‚ðŠÖ”“\‚è•t‚¯‚Ìˆê——‚É“o˜^‚·‚é‚±‚Æ‚ª‚Å‚«‚Ü‚·B_x000d__x000a_Maximized" xfId="1236" xr:uid="{799586FB-1A1E-45E5-ADA7-3F4878EB50CB}"/>
    <cellStyle name="omma [0]_Mktg Prog" xfId="1237" xr:uid="{BE986559-C3E1-4B5D-8B76-0DFD5A829447}"/>
    <cellStyle name="ormal_Sheet1_1" xfId="1238" xr:uid="{131681AD-90FC-4C5A-B09D-AFB9591FD1DC}"/>
    <cellStyle name="Output 10" xfId="1081" xr:uid="{73F41995-D470-4FAB-822D-7884254A030C}"/>
    <cellStyle name="Output 11" xfId="1082" xr:uid="{7A69F6A2-DA45-4B40-9349-E7F109CE5E7F}"/>
    <cellStyle name="Output 12" xfId="1424" xr:uid="{1F4DCF90-B041-444F-B599-85493A6F1804}"/>
    <cellStyle name="Output 13" xfId="1474" xr:uid="{EF551756-985A-4B15-896F-74389EE068E0}"/>
    <cellStyle name="Output 14" xfId="1648" xr:uid="{5D1D0829-AAC8-4EA5-8E6C-1583D674E209}"/>
    <cellStyle name="Output 15" xfId="1348" xr:uid="{6433308D-0744-4E17-9403-270D5AC53BF2}"/>
    <cellStyle name="Output 2" xfId="1083" xr:uid="{1D9D329E-2FF9-43BD-BF7D-BF8384E93257}"/>
    <cellStyle name="Output 3" xfId="1084" xr:uid="{7383DC49-F234-492E-9A08-B81D3CF4F9C6}"/>
    <cellStyle name="Output 4" xfId="1085" xr:uid="{BA3D1FE0-1E16-4F9E-BD85-CCAC59B39F83}"/>
    <cellStyle name="Output 5" xfId="1086" xr:uid="{62D4196B-D9E2-4B3E-A0A5-42F47A7EFD18}"/>
    <cellStyle name="Output 6" xfId="1087" xr:uid="{DDD20EE8-45D5-43B9-8BF0-D61FD06F02EA}"/>
    <cellStyle name="Output 7" xfId="1088" xr:uid="{2D4B8CEF-7913-4A7F-8EF4-A7CD51E256CD}"/>
    <cellStyle name="Output 8" xfId="1089" xr:uid="{486FB77C-76AB-4B65-9D19-93F4DD93D421}"/>
    <cellStyle name="Output 9" xfId="1090" xr:uid="{9FCCD345-4B07-4E9A-BC10-DECD24402734}"/>
    <cellStyle name="paint" xfId="1239" xr:uid="{E7DDA6EB-5307-4FD7-B5AB-028A93ACEB0F}"/>
    <cellStyle name="Percent" xfId="6" builtinId="5"/>
    <cellStyle name="Percent %" xfId="1240" xr:uid="{53F612DC-514F-416A-876A-03B56761C4E1}"/>
    <cellStyle name="Percent % Long Underline" xfId="1241" xr:uid="{3023D155-D1AB-4BA9-B3F2-EF92A10B74A1}"/>
    <cellStyle name="Percent %_Worksheet in  US Financial Statements Ref. Workbook - Single Co" xfId="1242" xr:uid="{5E30264F-A52C-40E2-8D29-43C6D23AFF1E}"/>
    <cellStyle name="Percent (0)" xfId="1243" xr:uid="{FB36643C-5925-4889-B033-E5781A223E46}"/>
    <cellStyle name="Percent [0]" xfId="1244" xr:uid="{7CBC1A2C-2197-4C21-A37B-A4AF5B89DC81}"/>
    <cellStyle name="Percent [00]" xfId="1245" xr:uid="{09CBD7F3-3D72-4A49-9BB3-3DEEAEC5B9C4}"/>
    <cellStyle name="Percent [2]" xfId="1246" xr:uid="{47714A15-E585-40CE-9FAB-667AA0458C87}"/>
    <cellStyle name="Percent 0.0%" xfId="1247" xr:uid="{7800DC3F-439E-4B3F-B9DA-F28EB92492EF}"/>
    <cellStyle name="Percent 0.0% Long Underline" xfId="1248" xr:uid="{F7B0DF34-E718-4C70-8BFE-42224C269D74}"/>
    <cellStyle name="Percent 0.00%" xfId="1249" xr:uid="{3D01307E-B695-4ED6-A6D6-9C0F3BE69FBB}"/>
    <cellStyle name="Percent 0.00% Long Underline" xfId="1250" xr:uid="{324D3BD0-FD2A-42BC-B1F5-06A0D8FB73BF}"/>
    <cellStyle name="Percent 0.000%" xfId="1251" xr:uid="{E1BB2C85-55E2-4843-975D-006EC6FEEF97}"/>
    <cellStyle name="Percent 0.000% Long Underline" xfId="1252" xr:uid="{ADA194A2-69DA-430C-8C52-03462E7C7C71}"/>
    <cellStyle name="Percent 10" xfId="706" xr:uid="{CCB1CE61-18DA-4A62-B7CA-FC7989CE6DBF}"/>
    <cellStyle name="Percent 10 2" xfId="3456" xr:uid="{F64A171A-43C2-4BCA-A11D-90340E4DB86E}"/>
    <cellStyle name="Percent 10 3" xfId="28" xr:uid="{E0E4E559-7E61-45EA-BD77-994DE3173AAC}"/>
    <cellStyle name="Percent 11" xfId="2817" xr:uid="{8D935C95-7693-43B5-B050-5387C0C4B933}"/>
    <cellStyle name="Percent 12" xfId="3593" xr:uid="{881B50A0-6052-4D8A-833B-8BBFBBEF630D}"/>
    <cellStyle name="Percent 13" xfId="696" xr:uid="{6E4BB479-83FF-4929-B67E-78ED4E4BF9F7}"/>
    <cellStyle name="Percent 14" xfId="3629" xr:uid="{60742B1C-DB19-4358-A17B-56D30A99854B}"/>
    <cellStyle name="Percent 15" xfId="3640" xr:uid="{E9A1C5BE-3E0A-4857-9351-DF55578F22AF}"/>
    <cellStyle name="Percent 16" xfId="3641" xr:uid="{430E6519-E770-4AFC-A6EC-22AD71586D86}"/>
    <cellStyle name="Percent 2" xfId="96" xr:uid="{70237C20-A12E-440D-9A37-0E8758DF8999}"/>
    <cellStyle name="Percent 2 2" xfId="106" xr:uid="{FC8887C4-5441-401F-8641-4A2E7B746DB1}"/>
    <cellStyle name="Percent 2 2 2" xfId="36" xr:uid="{0C6B8B1F-8EBF-4BAC-8666-43E257889558}"/>
    <cellStyle name="Percent 2 2 2 2" xfId="46" xr:uid="{2BB9C76C-A71E-4BB3-B2F3-3B5CF403EC25}"/>
    <cellStyle name="Percent 2 2 2 3" xfId="490" xr:uid="{407EC3B3-A6A7-45C1-80D1-22D64CE826AD}"/>
    <cellStyle name="Percent 2 2 2 3 2" xfId="3605" xr:uid="{34BA0C18-79C6-45D9-B508-324672152010}"/>
    <cellStyle name="Percent 2 2 2 4" xfId="2716" xr:uid="{92E01A6B-7ACA-4891-8ADC-DAD8B563E055}"/>
    <cellStyle name="Percent 2 2 3" xfId="2224" xr:uid="{2CB24C67-F7F5-4064-BD61-E18E9D0D1D9F}"/>
    <cellStyle name="Percent 2 3" xfId="201" xr:uid="{DFFCCC0F-F6E1-4280-8D51-0B14074382B7}"/>
    <cellStyle name="Percent 2 3 2" xfId="3457" xr:uid="{5601ABFE-0479-4C92-9160-4D27673E39B6}"/>
    <cellStyle name="Percent 2 3 3" xfId="2828" xr:uid="{007C66E0-7CC3-4D3C-9C24-9812BAD802B3}"/>
    <cellStyle name="Percent 2 3 4" xfId="3709" xr:uid="{2614844B-D2F7-4071-8D96-BBB1AC4CF8C5}"/>
    <cellStyle name="Percent 2 3 5" xfId="2774" xr:uid="{01429036-65D0-4A44-8A11-2D588C390FC0}"/>
    <cellStyle name="Percent 2 4" xfId="484" xr:uid="{003DC57E-E02E-4419-9605-741C9C95E758}"/>
    <cellStyle name="Percent 2 4 2" xfId="3458" xr:uid="{C1F0D670-42A4-45DC-B9A6-7B7A7625E372}"/>
    <cellStyle name="Percent 2 4 3" xfId="3859" xr:uid="{2B609DC6-70B6-4925-9322-238EB3E15E75}"/>
    <cellStyle name="Percent 2 4 4" xfId="1858" xr:uid="{7C069AAC-8955-4FD2-96FB-1A6C80B2D95B}"/>
    <cellStyle name="Percent 2 5" xfId="2799" xr:uid="{6DFAC947-72AF-4D3B-8D2E-79E954E01F56}"/>
    <cellStyle name="Percent 2 6" xfId="142" xr:uid="{13B3F8D0-46FA-4863-BA64-CB91BDBD5F58}"/>
    <cellStyle name="Percent 2 6 2" xfId="3692" xr:uid="{B2BF8044-A7DB-404E-A62F-2290DD85B4B1}"/>
    <cellStyle name="Percent 2 6 3" xfId="3590" xr:uid="{A4AA9901-103A-4664-A2C8-A8F56370540B}"/>
    <cellStyle name="Percent 2 7" xfId="681" xr:uid="{87A48AD4-F3B3-4419-A4CE-F91A49545867}"/>
    <cellStyle name="Percent 2 8" xfId="3671" xr:uid="{7F5CC374-E01F-4A4B-8B78-82B23231889A}"/>
    <cellStyle name="Percent 20" xfId="44" xr:uid="{344727E3-7B77-49E7-BCAE-9673AD3004FF}"/>
    <cellStyle name="Percent 20 2" xfId="86" xr:uid="{F8A102FA-26B4-4CA1-B21D-AA6C4B89AEE0}"/>
    <cellStyle name="Percent 21" xfId="180" xr:uid="{D0F268DA-04BB-4761-9E40-F17E381AFB07}"/>
    <cellStyle name="Percent 22" xfId="117" xr:uid="{BA6B1FC4-4748-4FA5-8313-230556CA9358}"/>
    <cellStyle name="Percent 3" xfId="107" xr:uid="{4ADB1FA6-29B8-4BAB-AE79-B0B2DD2A645E}"/>
    <cellStyle name="Percent 3 2" xfId="204" xr:uid="{31E4D64A-487A-4B0F-A253-3105D78978C9}"/>
    <cellStyle name="Percent 3 2 2" xfId="3711" xr:uid="{EDFD3C50-D853-4B11-AC63-3B3E6B92829B}"/>
    <cellStyle name="Percent 3 2 3" xfId="2659" xr:uid="{1918EDB4-8C26-492F-8401-1155B7088BF5}"/>
    <cellStyle name="Percent 3 3" xfId="1862" xr:uid="{A6FA1AAC-9C6D-4A2C-AD2F-24F7B7F6FD2E}"/>
    <cellStyle name="Percent 3 4" xfId="2802" xr:uid="{69019DE2-663C-409F-A421-3B8A1E11E52A}"/>
    <cellStyle name="Percent 3 5" xfId="3594" xr:uid="{091CB0BB-2775-4186-A081-4BDB50D44EF5}"/>
    <cellStyle name="Percent 3 6" xfId="3680" xr:uid="{ED8EDF5B-0A2D-4A43-8159-64A879C5001D}"/>
    <cellStyle name="Percent 4" xfId="179" xr:uid="{8F010E18-B04D-487A-860E-22E471790308}"/>
    <cellStyle name="Percent 4 2" xfId="540" xr:uid="{98CAECCE-D1A0-4C5F-B4E9-6A78E38D08C6}"/>
    <cellStyle name="Percent 5" xfId="254" xr:uid="{7B32B398-95FD-4957-975A-E449B703E609}"/>
    <cellStyle name="Percent 5 2" xfId="1874" xr:uid="{DFE2CA7E-E637-42FC-AFFA-DFCFBFC34DE3}"/>
    <cellStyle name="Percent 5 2 2" xfId="3459" xr:uid="{C71DECC6-361B-4EB9-A7EB-50D58DD19D65}"/>
    <cellStyle name="Percent 5 3" xfId="2813" xr:uid="{A8A06EC2-5B3C-4DBB-9A23-B8FE8A971AAC}"/>
    <cellStyle name="Percent 6" xfId="472" xr:uid="{8E9A0ABA-F975-4CEA-A771-F361AA53D389}"/>
    <cellStyle name="Percent 6 2" xfId="2742" xr:uid="{480F1869-E54D-4D02-85F0-D4F3A1F59281}"/>
    <cellStyle name="Percent 6 2 2" xfId="3460" xr:uid="{53873C2B-BA12-4F21-BB9A-E30FB8701062}"/>
    <cellStyle name="Percent 6 3" xfId="2820" xr:uid="{56A73CA9-5717-4FB8-8899-3E76CA653E87}"/>
    <cellStyle name="Percent 6 4" xfId="1883" xr:uid="{94FC81A6-9A24-4176-A112-F7ABCE95CE7B}"/>
    <cellStyle name="Percent 6 5" xfId="605" xr:uid="{F35CF8E8-1FCF-4688-B0E5-0643B7E48609}"/>
    <cellStyle name="Percent 7" xfId="532" xr:uid="{C5FCA036-FAEF-45F2-A4A4-5C461B5E800C}"/>
    <cellStyle name="Percent 7 2" xfId="3461" xr:uid="{24A468C9-5A87-4394-A9D8-1C6B95F43633}"/>
    <cellStyle name="Percent 7 3" xfId="2997" xr:uid="{36023CDD-5E7D-4FF9-95A9-3A27B8AF0A9B}"/>
    <cellStyle name="Percent 7 4" xfId="3895" xr:uid="{CFFF1157-D7AD-4E9C-B11E-B4927B5DEAD4}"/>
    <cellStyle name="Percent 7 5" xfId="2688" xr:uid="{5CA5CD58-F0C7-48B8-BB04-149FADEE865D}"/>
    <cellStyle name="Percent 8" xfId="2628" xr:uid="{F224B3D1-3DE3-4080-BC36-CCCAE933BFEF}"/>
    <cellStyle name="Percent 9" xfId="2756" xr:uid="{237AA101-2D2B-4701-8570-7955CAB01710}"/>
    <cellStyle name="Phần trăm 2" xfId="2225" xr:uid="{1AF9854D-23E3-435B-BE87-3656A7A84EDA}"/>
    <cellStyle name="Phần trăm 2 2" xfId="2550" xr:uid="{D419A1F5-8373-499C-95E3-3B0F4396EB5A}"/>
    <cellStyle name="Phần trăm 3" xfId="1889" xr:uid="{DEC730F9-14A0-4EA9-BB9E-12F053E4FF54}"/>
    <cellStyle name="PrePop Currency (0)" xfId="1253" xr:uid="{6076BDA6-3840-4FD6-99FF-D7F65E3656C6}"/>
    <cellStyle name="PrePop Currency (2)" xfId="1254" xr:uid="{A4FAE4CC-1A20-479B-B732-8EB4E44A4E92}"/>
    <cellStyle name="PrePop Units (0)" xfId="1255" xr:uid="{C6FBCAA6-1EC6-42A5-95C7-FD6308A1D94C}"/>
    <cellStyle name="PrePop Units (1)" xfId="1256" xr:uid="{D7523A7D-1A30-4C9E-8720-039CB2566103}"/>
    <cellStyle name="PrePop Units (2)" xfId="1257" xr:uid="{EA24FB51-DB8E-46E0-A57E-F824D5B2B82D}"/>
    <cellStyle name="pricing" xfId="1258" xr:uid="{7BA2CF2C-7CB9-4604-B244-18E129E15252}"/>
    <cellStyle name="PSChar" xfId="1259" xr:uid="{30793270-B1BD-4850-988D-6CC4A80CF95B}"/>
    <cellStyle name="PSHeading" xfId="1260" xr:uid="{5E58465C-9C7A-45BD-8F25-D654A19599CB}"/>
    <cellStyle name="Siêu kết nối 2" xfId="2226" xr:uid="{864B9486-66FD-4D3B-9557-067108F5FF0E}"/>
    <cellStyle name="Standard_Anpassen der Amortisation" xfId="1261" xr:uid="{370C7AAD-F142-434C-9EB7-2A4D7D32B142}"/>
    <cellStyle name="Style 1" xfId="642" xr:uid="{5B4986BC-4138-4E98-889C-F1B7B3BCAB7B}"/>
    <cellStyle name="Style 1 2" xfId="1262" xr:uid="{E7395BA2-A7D5-48F4-84B9-FB5CF704177D}"/>
    <cellStyle name="Style 2" xfId="643" xr:uid="{29E78776-B295-4B50-9219-0457ADB82074}"/>
    <cellStyle name="subhead" xfId="1263" xr:uid="{D92D3749-6B98-4FC4-9647-FE8A61710D72}"/>
    <cellStyle name="SubHeading" xfId="1264" xr:uid="{F7997F33-4D58-440F-BEF2-99F5084C4D0F}"/>
    <cellStyle name="T" xfId="1265" xr:uid="{9D6E18A5-E534-4029-B0D1-F7689A1B668A}"/>
    <cellStyle name="T 2" xfId="2655" xr:uid="{E9B45DCD-3EB3-4A26-BA59-B383A8CC956C}"/>
    <cellStyle name="T 2 2" xfId="3462" xr:uid="{230BFA71-67EA-4E8B-9AA7-B281C7E4CFAD}"/>
    <cellStyle name="T 2 3" xfId="3463" xr:uid="{523369D2-80F6-4B38-AAD5-908402CBDB90}"/>
    <cellStyle name="T 2 4" xfId="3464" xr:uid="{EFCB7A51-02DA-4197-846C-E6DB990CD3EF}"/>
    <cellStyle name="T 2 5" xfId="2976" xr:uid="{B72A1444-8900-43FA-B9C6-E2D9785C7CB5}"/>
    <cellStyle name="T 3" xfId="2620" xr:uid="{D1D8C40E-AAA1-4D8C-9333-39DDDF99B457}"/>
    <cellStyle name="T 3 2" xfId="3465" xr:uid="{098F72DD-B002-4188-A2C9-1ABD16BF023D}"/>
    <cellStyle name="T 4" xfId="3466" xr:uid="{07471944-417C-49AB-9E4D-7F5CA1185503}"/>
    <cellStyle name="T 5" xfId="2842" xr:uid="{2FD030DF-2730-48F5-923D-D6C84CBD0F4E}"/>
    <cellStyle name="T_Bao cao kttb milk yomilkYAO-mien bac" xfId="1266" xr:uid="{2757FBA8-B43B-4234-B2CD-61C75AF5A060}"/>
    <cellStyle name="T_Bao cao kttb milk yomilkYAO-mien bac 2" xfId="2717" xr:uid="{25C05909-94B8-4B65-8FE4-64FC2716E94E}"/>
    <cellStyle name="T_Bao cao kttb milk yomilkYAO-mien bac 2 2" xfId="3467" xr:uid="{86D7A8B5-C396-4E47-BDD6-74EC62694044}"/>
    <cellStyle name="T_Bao cao kttb milk yomilkYAO-mien bac 2 3" xfId="3468" xr:uid="{15447FEB-E77B-40B1-ABAA-C7157FEB54F8}"/>
    <cellStyle name="T_Bao cao kttb milk yomilkYAO-mien bac 2 4" xfId="3469" xr:uid="{4288C810-F420-4CCB-90FA-CFDC70E646BE}"/>
    <cellStyle name="T_Bao cao kttb milk yomilkYAO-mien bac 2 5" xfId="2977" xr:uid="{9B7693B1-C0D4-4257-80EB-940718A9C473}"/>
    <cellStyle name="T_Bao cao kttb milk yomilkYAO-mien bac 3" xfId="2718" xr:uid="{08B3131C-656D-41B5-ABE6-2DD085ADDFD2}"/>
    <cellStyle name="T_Bao cao kttb milk yomilkYAO-mien bac 3 2" xfId="3470" xr:uid="{725F79FD-ACE4-41C2-AF07-E4F78AA2FC7D}"/>
    <cellStyle name="T_Bao cao kttb milk yomilkYAO-mien bac 4" xfId="3471" xr:uid="{3DB2D45F-18A1-444D-A044-62BD7CC37544}"/>
    <cellStyle name="T_Bao cao kttb milk yomilkYAO-mien bac 5" xfId="2843" xr:uid="{56C7B6E8-C654-4365-AB68-07F7F604BEBE}"/>
    <cellStyle name="T_bc_km_ngay" xfId="1267" xr:uid="{352E9693-9DD7-4F4C-8004-D55899AE5B4D}"/>
    <cellStyle name="T_bc_km_ngay 2" xfId="2632" xr:uid="{58738363-6364-490C-86CC-DAFD2320D94A}"/>
    <cellStyle name="T_bc_km_ngay 2 2" xfId="3472" xr:uid="{F75DC551-CB74-433E-BFB3-5D4B95E28AAE}"/>
    <cellStyle name="T_bc_km_ngay 2 3" xfId="3473" xr:uid="{94439B19-0131-4B4A-85D8-5DD37CAF3C46}"/>
    <cellStyle name="T_bc_km_ngay 2 4" xfId="3474" xr:uid="{A9B66296-4A04-4CCE-944E-9D7DAE5FB813}"/>
    <cellStyle name="T_bc_km_ngay 2 5" xfId="2978" xr:uid="{8E53ABC5-CD86-4F6A-8804-83E8DF07A74A}"/>
    <cellStyle name="T_bc_km_ngay 3" xfId="2734" xr:uid="{405726AC-99CB-4969-966A-9BA0398A3150}"/>
    <cellStyle name="T_bc_km_ngay 3 2" xfId="3475" xr:uid="{4A57AB15-280D-483A-AC31-390FD46FDEEC}"/>
    <cellStyle name="T_bc_km_ngay 4" xfId="3476" xr:uid="{F41B3086-9F02-4C40-8247-0A56EB4E8EE8}"/>
    <cellStyle name="T_bc_km_ngay 5" xfId="2844" xr:uid="{7E0FA0C6-CD68-44BA-B3C8-1A47784D5405}"/>
    <cellStyle name="T_Book1" xfId="1268" xr:uid="{D035216E-01E7-406A-9E50-A84049980C3C}"/>
    <cellStyle name="T_Book1 2" xfId="2771" xr:uid="{CC4C6A29-4EE9-4BAC-90A8-6A5E4E23A837}"/>
    <cellStyle name="T_Book1 2 2" xfId="3477" xr:uid="{8E4A638E-349C-489F-9128-978447646E91}"/>
    <cellStyle name="T_Book1 2 3" xfId="3478" xr:uid="{0648D8FD-D69D-4D66-A293-1815A8DB0B14}"/>
    <cellStyle name="T_Book1 2 4" xfId="3479" xr:uid="{38806094-E364-409C-BDDB-070E9E128FFA}"/>
    <cellStyle name="T_Book1 2 5" xfId="2979" xr:uid="{1A36BE13-6355-4316-848C-0361DC24E609}"/>
    <cellStyle name="T_Book1 3" xfId="2727" xr:uid="{D8A4B392-5D93-479A-BDE3-BA695A286AC0}"/>
    <cellStyle name="T_Book1 3 2" xfId="3480" xr:uid="{A5348A55-9446-4088-8262-22B67CC11A0F}"/>
    <cellStyle name="T_Book1 4" xfId="3481" xr:uid="{5E41E9B5-21B8-4595-A6B4-B8AA9FA664A1}"/>
    <cellStyle name="T_Book1 5" xfId="2845" xr:uid="{C62836DE-E561-4A4B-A65A-6D202B2D060A}"/>
    <cellStyle name="T_Cac bao cao TB  Milk-Yomilk-co Ke- CK 1-Vinh Thang" xfId="1269" xr:uid="{EA2B2FAB-1C79-4FA6-89DE-6348EF263775}"/>
    <cellStyle name="T_Cac bao cao TB  Milk-Yomilk-co Ke- CK 1-Vinh Thang 2" xfId="2753" xr:uid="{2D19AD8D-1FA4-4415-9686-30B92B02A9D2}"/>
    <cellStyle name="T_Cac bao cao TB  Milk-Yomilk-co Ke- CK 1-Vinh Thang 2 2" xfId="3482" xr:uid="{E88E3E08-1697-4786-94DE-358853C876B3}"/>
    <cellStyle name="T_Cac bao cao TB  Milk-Yomilk-co Ke- CK 1-Vinh Thang 2 3" xfId="3483" xr:uid="{8393CE98-A0FD-421A-BEB3-3F5178067F6C}"/>
    <cellStyle name="T_Cac bao cao TB  Milk-Yomilk-co Ke- CK 1-Vinh Thang 2 4" xfId="3484" xr:uid="{3A252FA8-F9DA-4E76-B90A-6A12D88390BD}"/>
    <cellStyle name="T_Cac bao cao TB  Milk-Yomilk-co Ke- CK 1-Vinh Thang 2 5" xfId="2980" xr:uid="{E271AEF4-AE30-4EA2-837C-FB4CB3ABA503}"/>
    <cellStyle name="T_Cac bao cao TB  Milk-Yomilk-co Ke- CK 1-Vinh Thang 3" xfId="2611" xr:uid="{CBE7C1E7-AA6E-455C-960E-2D6E9F9B82A3}"/>
    <cellStyle name="T_Cac bao cao TB  Milk-Yomilk-co Ke- CK 1-Vinh Thang 3 2" xfId="3485" xr:uid="{0D58A1BC-276F-4804-9067-9D1F4317F25A}"/>
    <cellStyle name="T_Cac bao cao TB  Milk-Yomilk-co Ke- CK 1-Vinh Thang 4" xfId="3486" xr:uid="{4C5E6033-70A9-45E8-B244-EB5A9233E11A}"/>
    <cellStyle name="T_Cac bao cao TB  Milk-Yomilk-co Ke- CK 1-Vinh Thang 5" xfId="2846" xr:uid="{0D2CAC02-AC8F-4A26-8764-F71C8907C07E}"/>
    <cellStyle name="T_cham diem Milk chu ky2-ANH MINH" xfId="1270" xr:uid="{888ECF95-3EED-489F-83CD-EFDB212886A4}"/>
    <cellStyle name="T_cham diem Milk chu ky2-ANH MINH 2" xfId="2684" xr:uid="{885E69CF-5C10-4DA3-B478-F088E5ED7A81}"/>
    <cellStyle name="T_cham diem Milk chu ky2-ANH MINH 2 2" xfId="3487" xr:uid="{8833192E-741D-4CAE-B0D0-A2D77F9CC1EC}"/>
    <cellStyle name="T_cham diem Milk chu ky2-ANH MINH 2 3" xfId="3488" xr:uid="{C3B2E6B7-7152-414E-8F3A-36AEA40FF728}"/>
    <cellStyle name="T_cham diem Milk chu ky2-ANH MINH 2 4" xfId="3489" xr:uid="{BFF680A2-9DC9-4365-84B0-B963C2905ADD}"/>
    <cellStyle name="T_cham diem Milk chu ky2-ANH MINH 2 5" xfId="2981" xr:uid="{319E832A-36AA-44D3-AA9C-7500A9BC3B86}"/>
    <cellStyle name="T_cham diem Milk chu ky2-ANH MINH 3" xfId="2745" xr:uid="{F900397E-C9A5-4311-8992-AC5B00567C9E}"/>
    <cellStyle name="T_cham diem Milk chu ky2-ANH MINH 3 2" xfId="3490" xr:uid="{10529205-49FD-4BDB-A1CD-66FFB1482897}"/>
    <cellStyle name="T_cham diem Milk chu ky2-ANH MINH 4" xfId="3491" xr:uid="{8F16F7CF-4A9B-4C4A-ACED-6CA740EF1958}"/>
    <cellStyle name="T_cham diem Milk chu ky2-ANH MINH 5" xfId="2847" xr:uid="{0FC758A0-EA86-4515-BE44-4DEC1F192BA4}"/>
    <cellStyle name="T_cham trung bay ck 1 m.Bac milk co ke 2" xfId="1271" xr:uid="{5DB72E8C-9B8C-4397-ADDA-2307478B228D}"/>
    <cellStyle name="T_cham trung bay ck 1 m.Bac milk co ke 2 2" xfId="2728" xr:uid="{3AF8BE69-DC84-49E9-AA0F-D503576EB4D6}"/>
    <cellStyle name="T_cham trung bay ck 1 m.Bac milk co ke 2 2 2" xfId="3492" xr:uid="{E41C17B7-DBCC-4D7A-88A2-3A2C24C6D7EA}"/>
    <cellStyle name="T_cham trung bay ck 1 m.Bac milk co ke 2 2 3" xfId="3493" xr:uid="{D5D508D7-77CF-41EE-BEED-BFA68E16C3F1}"/>
    <cellStyle name="T_cham trung bay ck 1 m.Bac milk co ke 2 2 4" xfId="3494" xr:uid="{DCAEAC02-E449-4283-8D2E-355E78D62D9D}"/>
    <cellStyle name="T_cham trung bay ck 1 m.Bac milk co ke 2 2 5" xfId="2982" xr:uid="{4B662234-9240-4BF1-A871-DE330DB3B8B9}"/>
    <cellStyle name="T_cham trung bay ck 1 m.Bac milk co ke 2 3" xfId="2690" xr:uid="{E7CBE4FB-1FFD-4A31-9228-0A7D94C5408B}"/>
    <cellStyle name="T_cham trung bay ck 1 m.Bac milk co ke 2 3 2" xfId="3495" xr:uid="{1359B6F8-D537-4D6A-98C8-E7D6BE2F8A65}"/>
    <cellStyle name="T_cham trung bay ck 1 m.Bac milk co ke 2 4" xfId="3496" xr:uid="{413FA194-8EFD-44AD-90EE-0EDF3BA138DA}"/>
    <cellStyle name="T_cham trung bay ck 1 m.Bac milk co ke 2 5" xfId="2848" xr:uid="{CBF8D4A8-ADD0-42A8-B5AB-222186A57141}"/>
    <cellStyle name="T_cham trung bay yao smart milk ck 2 mien Bac" xfId="1272" xr:uid="{464CA359-A253-4029-B711-92D32516118A}"/>
    <cellStyle name="T_cham trung bay yao smart milk ck 2 mien Bac 2" xfId="2601" xr:uid="{2AC9F6EF-FD3F-420F-BB86-757C23875256}"/>
    <cellStyle name="T_cham trung bay yao smart milk ck 2 mien Bac 2 2" xfId="3497" xr:uid="{0DECC4C7-2953-4F9E-8F0D-15A307C71A03}"/>
    <cellStyle name="T_cham trung bay yao smart milk ck 2 mien Bac 2 3" xfId="3498" xr:uid="{DBCC88F4-10C0-4F44-90F7-B68A88861FFC}"/>
    <cellStyle name="T_cham trung bay yao smart milk ck 2 mien Bac 2 4" xfId="3499" xr:uid="{053BBCE5-C27F-41AD-92C5-D18306907821}"/>
    <cellStyle name="T_cham trung bay yao smart milk ck 2 mien Bac 2 5" xfId="2983" xr:uid="{EC185893-3905-461B-BD4C-338533F27A43}"/>
    <cellStyle name="T_cham trung bay yao smart milk ck 2 mien Bac 3" xfId="2731" xr:uid="{742BA877-1D16-452D-9B4C-3009AC716E03}"/>
    <cellStyle name="T_cham trung bay yao smart milk ck 2 mien Bac 3 2" xfId="3500" xr:uid="{A9B403F5-6128-4525-AF7E-4EDA8FBBF495}"/>
    <cellStyle name="T_cham trung bay yao smart milk ck 2 mien Bac 4" xfId="3501" xr:uid="{FD0DED70-70A4-40C5-ACB2-193D0D7F3547}"/>
    <cellStyle name="T_cham trung bay yao smart milk ck 2 mien Bac 5" xfId="2849" xr:uid="{804CB45F-DD3A-4069-ABBC-7871C87707AC}"/>
    <cellStyle name="T_danh sach chua nop bcao trung bay sua chua  tinh den 1-3-06" xfId="1273" xr:uid="{7303E274-5EBE-4B6D-A5BD-05DD99243358}"/>
    <cellStyle name="T_danh sach chua nop bcao trung bay sua chua  tinh den 1-3-06 2" xfId="2631" xr:uid="{EA073F01-6DD2-4C7A-BF96-AD855F8CCA5B}"/>
    <cellStyle name="T_danh sach chua nop bcao trung bay sua chua  tinh den 1-3-06 2 2" xfId="3502" xr:uid="{2FBECE88-4666-4304-9F6F-4543404DA0D5}"/>
    <cellStyle name="T_danh sach chua nop bcao trung bay sua chua  tinh den 1-3-06 2 3" xfId="3503" xr:uid="{8924EC01-0A6B-4284-9894-BBE757FF74C5}"/>
    <cellStyle name="T_danh sach chua nop bcao trung bay sua chua  tinh den 1-3-06 2 4" xfId="3504" xr:uid="{F8B268FC-4FC7-4288-A950-6618D6692D3E}"/>
    <cellStyle name="T_danh sach chua nop bcao trung bay sua chua  tinh den 1-3-06 2 5" xfId="2984" xr:uid="{C0408B4F-E269-43B9-A9FF-53B3018D4513}"/>
    <cellStyle name="T_danh sach chua nop bcao trung bay sua chua  tinh den 1-3-06 3" xfId="2595" xr:uid="{FFFF4DD6-2F55-4688-808E-B9F65EDB38DB}"/>
    <cellStyle name="T_danh sach chua nop bcao trung bay sua chua  tinh den 1-3-06 3 2" xfId="3505" xr:uid="{81954C92-E7FB-445C-B65B-6B18FC5A7DA9}"/>
    <cellStyle name="T_danh sach chua nop bcao trung bay sua chua  tinh den 1-3-06 4" xfId="3506" xr:uid="{42758C7E-1D8B-4AB0-9D17-87FB0F998A03}"/>
    <cellStyle name="T_danh sach chua nop bcao trung bay sua chua  tinh den 1-3-06 5" xfId="2850" xr:uid="{5DA41861-A0A1-4E16-BE46-CD0CADBABE19}"/>
    <cellStyle name="T_Danh sach KH TB MilkYomilk Yao  Smart chu ky 2-Vinh Thang" xfId="1274" xr:uid="{793C788F-7EC2-419C-AADA-3F6520D2C0CC}"/>
    <cellStyle name="T_Danh sach KH TB MilkYomilk Yao  Smart chu ky 2-Vinh Thang 2" xfId="2778" xr:uid="{02723F4C-C189-4502-8774-7FB6CD1A5951}"/>
    <cellStyle name="T_Danh sach KH TB MilkYomilk Yao  Smart chu ky 2-Vinh Thang 2 2" xfId="3507" xr:uid="{5CC4D7DE-AF6C-496F-B1D4-695E75B5674F}"/>
    <cellStyle name="T_Danh sach KH TB MilkYomilk Yao  Smart chu ky 2-Vinh Thang 2 3" xfId="3508" xr:uid="{4FE115A6-8A3C-43AE-97DE-28436C80807C}"/>
    <cellStyle name="T_Danh sach KH TB MilkYomilk Yao  Smart chu ky 2-Vinh Thang 2 4" xfId="3509" xr:uid="{A055974F-6BD3-4D43-9E8F-8A7420089F33}"/>
    <cellStyle name="T_Danh sach KH TB MilkYomilk Yao  Smart chu ky 2-Vinh Thang 2 5" xfId="2985" xr:uid="{C06F69CD-1ABE-406E-BEFA-701D5BAC5B10}"/>
    <cellStyle name="T_Danh sach KH TB MilkYomilk Yao  Smart chu ky 2-Vinh Thang 3" xfId="2758" xr:uid="{19CA1A3B-7C24-4656-96D0-B90D2C62C796}"/>
    <cellStyle name="T_Danh sach KH TB MilkYomilk Yao  Smart chu ky 2-Vinh Thang 3 2" xfId="3510" xr:uid="{32A8460A-8BAD-4286-AE30-7B438F2461AE}"/>
    <cellStyle name="T_Danh sach KH TB MilkYomilk Yao  Smart chu ky 2-Vinh Thang 4" xfId="3511" xr:uid="{90FA832C-DE16-47FE-9D6A-268AED51CFBB}"/>
    <cellStyle name="T_Danh sach KH TB MilkYomilk Yao  Smart chu ky 2-Vinh Thang 5" xfId="2851" xr:uid="{7032780E-E434-46C8-87C4-C1A11B57F27D}"/>
    <cellStyle name="T_Danh sach KH trung bay MilkYomilk co ke chu ky 2-Vinh Thang" xfId="1275" xr:uid="{B87CE694-7A03-4F3F-A64C-EF43C36C1BD0}"/>
    <cellStyle name="T_Danh sach KH trung bay MilkYomilk co ke chu ky 2-Vinh Thang 2" xfId="2623" xr:uid="{908AF4CB-BBB5-4EF1-BAE9-67991F058670}"/>
    <cellStyle name="T_Danh sach KH trung bay MilkYomilk co ke chu ky 2-Vinh Thang 2 2" xfId="3512" xr:uid="{9631421C-A2D1-4C5A-963C-03DA2F0C0241}"/>
    <cellStyle name="T_Danh sach KH trung bay MilkYomilk co ke chu ky 2-Vinh Thang 2 3" xfId="3513" xr:uid="{8F477720-8949-4753-86A1-F14A27DEAD7D}"/>
    <cellStyle name="T_Danh sach KH trung bay MilkYomilk co ke chu ky 2-Vinh Thang 2 4" xfId="3514" xr:uid="{F632BAB0-40F7-44C1-8D52-064955ADDE4E}"/>
    <cellStyle name="T_Danh sach KH trung bay MilkYomilk co ke chu ky 2-Vinh Thang 2 5" xfId="2986" xr:uid="{7979CA19-93EC-4DEF-A4D1-506BE593B855}"/>
    <cellStyle name="T_Danh sach KH trung bay MilkYomilk co ke chu ky 2-Vinh Thang 3" xfId="2733" xr:uid="{813444DE-69F9-4E9A-BFAA-44BF47BE8792}"/>
    <cellStyle name="T_Danh sach KH trung bay MilkYomilk co ke chu ky 2-Vinh Thang 3 2" xfId="3515" xr:uid="{31528B61-248A-47DE-A891-68090B242404}"/>
    <cellStyle name="T_Danh sach KH trung bay MilkYomilk co ke chu ky 2-Vinh Thang 4" xfId="3516" xr:uid="{8511DD3A-25CD-4EC7-BBFC-2F6AE3E746BC}"/>
    <cellStyle name="T_Danh sach KH trung bay MilkYomilk co ke chu ky 2-Vinh Thang 5" xfId="2852" xr:uid="{590EE1A4-A756-4E8C-B85A-F0412AA1CB43}"/>
    <cellStyle name="T_DSACH MILK YO MILK CK 2 M.BAC" xfId="1276" xr:uid="{3FE8DFA2-A178-446F-8FE0-3823B526DCB7}"/>
    <cellStyle name="T_DSACH MILK YO MILK CK 2 M.BAC 2" xfId="2656" xr:uid="{E8DB7C42-4A67-432C-8769-6FCD587FA628}"/>
    <cellStyle name="T_DSACH MILK YO MILK CK 2 M.BAC 2 2" xfId="3517" xr:uid="{F9D45095-7220-49A4-ADC3-552BCFF7960B}"/>
    <cellStyle name="T_DSACH MILK YO MILK CK 2 M.BAC 2 3" xfId="3518" xr:uid="{AC1F105A-EB06-4ACB-8174-C6713F83344B}"/>
    <cellStyle name="T_DSACH MILK YO MILK CK 2 M.BAC 2 4" xfId="3519" xr:uid="{A1FEF927-C1A8-4F90-BE74-D59CD3D2CF7B}"/>
    <cellStyle name="T_DSACH MILK YO MILK CK 2 M.BAC 2 5" xfId="2987" xr:uid="{5EFEE5C9-701E-4B32-86E0-DEB60BBEDDB7}"/>
    <cellStyle name="T_DSACH MILK YO MILK CK 2 M.BAC 3" xfId="2625" xr:uid="{A2C5982F-9935-440B-B203-234311E41D42}"/>
    <cellStyle name="T_DSACH MILK YO MILK CK 2 M.BAC 3 2" xfId="3520" xr:uid="{390BBCE2-EEE7-46D4-B422-B7E1FBF66C4B}"/>
    <cellStyle name="T_DSACH MILK YO MILK CK 2 M.BAC 4" xfId="3521" xr:uid="{8D7CE0C5-F9D3-43B2-A262-1B341222E47F}"/>
    <cellStyle name="T_DSACH MILK YO MILK CK 2 M.BAC 5" xfId="2853" xr:uid="{83315345-E5DA-43CC-8C9C-9E895A7540A6}"/>
    <cellStyle name="T_DSKH Tbay Milk , Yomilk CK 2 Vu Thi Hanh" xfId="1277" xr:uid="{5A027C78-756E-4968-AD75-D8F9AF6B541C}"/>
    <cellStyle name="T_DSKH Tbay Milk , Yomilk CK 2 Vu Thi Hanh 2" xfId="2685" xr:uid="{829B036B-CE37-442B-A20C-C4AA19C2ABED}"/>
    <cellStyle name="T_DSKH Tbay Milk , Yomilk CK 2 Vu Thi Hanh 2 2" xfId="3522" xr:uid="{B85F45A6-C928-41FC-BE5B-839BA8D8D8E0}"/>
    <cellStyle name="T_DSKH Tbay Milk , Yomilk CK 2 Vu Thi Hanh 2 3" xfId="3523" xr:uid="{53BB376C-FCD3-4B33-AC16-978AF955D5E5}"/>
    <cellStyle name="T_DSKH Tbay Milk , Yomilk CK 2 Vu Thi Hanh 2 4" xfId="3524" xr:uid="{8CF483E3-F0ED-4256-A848-07E634E2ED7E}"/>
    <cellStyle name="T_DSKH Tbay Milk , Yomilk CK 2 Vu Thi Hanh 2 5" xfId="2988" xr:uid="{E4CCEB65-28B7-4B33-8F37-4EB1B634781B}"/>
    <cellStyle name="T_DSKH Tbay Milk , Yomilk CK 2 Vu Thi Hanh 3" xfId="2755" xr:uid="{FB264123-618E-4DC2-B4DF-E2F02660AF2A}"/>
    <cellStyle name="T_DSKH Tbay Milk , Yomilk CK 2 Vu Thi Hanh 3 2" xfId="3525" xr:uid="{66B29C72-E4B9-4E5D-9245-56142AC3515E}"/>
    <cellStyle name="T_DSKH Tbay Milk , Yomilk CK 2 Vu Thi Hanh 4" xfId="3526" xr:uid="{C39D3740-7219-48F3-8687-6AA40A89358A}"/>
    <cellStyle name="T_DSKH Tbay Milk , Yomilk CK 2 Vu Thi Hanh 5" xfId="2854" xr:uid="{C6C6F730-14D4-41F6-86AC-FC12826BE0DC}"/>
    <cellStyle name="T_form ton kho CK 2 tuan 8" xfId="1278" xr:uid="{CFEB39B1-3BC7-41D8-BDD6-0A6C3F6D71C2}"/>
    <cellStyle name="T_form ton kho CK 2 tuan 8 2" xfId="2614" xr:uid="{FEF50841-0311-404B-BF45-5ECDE60DE1E8}"/>
    <cellStyle name="T_form ton kho CK 2 tuan 8 2 2" xfId="3527" xr:uid="{0B62569D-E617-4E27-AE74-E9ED5C0540C9}"/>
    <cellStyle name="T_form ton kho CK 2 tuan 8 2 3" xfId="3528" xr:uid="{9EB37BB5-52B7-48F0-B14B-EF75F162A83C}"/>
    <cellStyle name="T_form ton kho CK 2 tuan 8 2 4" xfId="3529" xr:uid="{C1DC85D6-BACB-4304-8A48-7CC036AD084A}"/>
    <cellStyle name="T_form ton kho CK 2 tuan 8 2 5" xfId="2989" xr:uid="{E9E5B629-6ADB-4A11-B6CD-51DDAC84BDDD}"/>
    <cellStyle name="T_form ton kho CK 2 tuan 8 3" xfId="2761" xr:uid="{5B2E348C-222A-4510-B9AA-9C7EACBF1E7A}"/>
    <cellStyle name="T_form ton kho CK 2 tuan 8 3 2" xfId="3530" xr:uid="{2389B5BC-E2C5-4600-9206-3845C1961281}"/>
    <cellStyle name="T_form ton kho CK 2 tuan 8 4" xfId="3531" xr:uid="{AF7DB87E-4C39-4C58-87A1-BEE833D45EB7}"/>
    <cellStyle name="T_form ton kho CK 2 tuan 8 5" xfId="2855" xr:uid="{B2BC33AF-14C4-45E9-99A1-21AC17C528AF}"/>
    <cellStyle name="T_NPP Khanh Vinh Thai Nguyen - BC KTTB_CTrinh_TB__20_loc__Milk_Yomilk_CK1" xfId="1279" xr:uid="{0E765D3C-1488-4B95-B2B8-66A28D952FF4}"/>
    <cellStyle name="T_NPP Khanh Vinh Thai Nguyen - BC KTTB_CTrinh_TB__20_loc__Milk_Yomilk_CK1 2" xfId="2605" xr:uid="{940E0666-8DBD-4F2C-8289-33B6B43B0334}"/>
    <cellStyle name="T_NPP Khanh Vinh Thai Nguyen - BC KTTB_CTrinh_TB__20_loc__Milk_Yomilk_CK1 2 2" xfId="3532" xr:uid="{20FB9B50-F9FB-4EC2-A046-2E1F20555565}"/>
    <cellStyle name="T_NPP Khanh Vinh Thai Nguyen - BC KTTB_CTrinh_TB__20_loc__Milk_Yomilk_CK1 2 3" xfId="3533" xr:uid="{FEE83981-977A-4DA9-967D-C6B6E201FFE2}"/>
    <cellStyle name="T_NPP Khanh Vinh Thai Nguyen - BC KTTB_CTrinh_TB__20_loc__Milk_Yomilk_CK1 2 4" xfId="3534" xr:uid="{6996CE52-32B2-480C-805A-F6800A9A11FB}"/>
    <cellStyle name="T_NPP Khanh Vinh Thai Nguyen - BC KTTB_CTrinh_TB__20_loc__Milk_Yomilk_CK1 2 5" xfId="2990" xr:uid="{C8778BB7-564F-435B-BBB0-FDE4951A684C}"/>
    <cellStyle name="T_NPP Khanh Vinh Thai Nguyen - BC KTTB_CTrinh_TB__20_loc__Milk_Yomilk_CK1 3" xfId="2622" xr:uid="{A7D6875D-2014-45A4-904D-79F1FEBA0AF4}"/>
    <cellStyle name="T_NPP Khanh Vinh Thai Nguyen - BC KTTB_CTrinh_TB__20_loc__Milk_Yomilk_CK1 3 2" xfId="3535" xr:uid="{FCCC644B-1F43-4C73-A5F5-9F9406559048}"/>
    <cellStyle name="T_NPP Khanh Vinh Thai Nguyen - BC KTTB_CTrinh_TB__20_loc__Milk_Yomilk_CK1 4" xfId="3536" xr:uid="{59DE0433-CE76-429D-8156-9D3BF6F875D3}"/>
    <cellStyle name="T_NPP Khanh Vinh Thai Nguyen - BC KTTB_CTrinh_TB__20_loc__Milk_Yomilk_CK1 5" xfId="2856" xr:uid="{8EB202A5-63F8-4179-BA81-47F82C9ECBAB}"/>
    <cellStyle name="T_Sheet1" xfId="1280" xr:uid="{743317D0-A83D-416E-8DA4-FF9AE13A8BD7}"/>
    <cellStyle name="T_Sheet1 2" xfId="2602" xr:uid="{A959B498-C48D-4773-B08E-57577DC401B8}"/>
    <cellStyle name="T_Sheet1 2 2" xfId="3537" xr:uid="{0E391650-59D8-47B9-BD36-93D98004A609}"/>
    <cellStyle name="T_Sheet1 2 3" xfId="3538" xr:uid="{73AC5426-ABCD-4A03-ABBD-1AF1D9E86B6F}"/>
    <cellStyle name="T_Sheet1 2 4" xfId="3539" xr:uid="{AC5038B9-30AD-4693-A781-48D3FD1A5730}"/>
    <cellStyle name="T_Sheet1 2 5" xfId="2991" xr:uid="{658061C9-EA93-47D9-84F1-B37ADBF65134}"/>
    <cellStyle name="T_Sheet1 3" xfId="2784" xr:uid="{5F4855E5-7747-43D4-8CA5-085D90A6AF3C}"/>
    <cellStyle name="T_Sheet1 3 2" xfId="3540" xr:uid="{7CBA0423-ED78-4748-BC1C-0A5D0FF224E7}"/>
    <cellStyle name="T_Sheet1 4" xfId="3541" xr:uid="{B1FE752B-2637-417C-B2B7-A7476CF43E05}"/>
    <cellStyle name="T_Sheet1 5" xfId="2857" xr:uid="{051D2F10-E4C1-4D04-9AA3-F78A6BC60391}"/>
    <cellStyle name="T_sua chua cham trung bay  mien Bac" xfId="1281" xr:uid="{F9F032EC-94A7-4128-90C1-2C2C5909CC69}"/>
    <cellStyle name="T_sua chua cham trung bay  mien Bac 2" xfId="2664" xr:uid="{1B8B928D-9D43-4E40-B573-B6B8E0CC8680}"/>
    <cellStyle name="T_sua chua cham trung bay  mien Bac 2 2" xfId="3542" xr:uid="{7C5214BC-7EAC-409A-BA45-457D21A2A827}"/>
    <cellStyle name="T_sua chua cham trung bay  mien Bac 2 3" xfId="3543" xr:uid="{A93EF398-151F-426B-94C9-CE80B91DCAFE}"/>
    <cellStyle name="T_sua chua cham trung bay  mien Bac 2 4" xfId="3544" xr:uid="{B207C538-0106-45FF-B54D-475BB73553CC}"/>
    <cellStyle name="T_sua chua cham trung bay  mien Bac 2 5" xfId="2992" xr:uid="{25B598F8-A257-48FB-AA26-4A5DC5D37DA3}"/>
    <cellStyle name="T_sua chua cham trung bay  mien Bac 3" xfId="2707" xr:uid="{102ADEA1-6D75-48C8-AD90-059692B14DEF}"/>
    <cellStyle name="T_sua chua cham trung bay  mien Bac 3 2" xfId="3545" xr:uid="{19B80E56-A5B2-4E79-9323-045A88D5230C}"/>
    <cellStyle name="T_sua chua cham trung bay  mien Bac 4" xfId="3546" xr:uid="{BC4B06B6-611E-4232-80EB-9C4405DA555B}"/>
    <cellStyle name="T_sua chua cham trung bay  mien Bac 5" xfId="2858" xr:uid="{7ACC6BAE-D856-42D2-803D-C88AB5DB3A6A}"/>
    <cellStyle name="Text Indent A" xfId="1282" xr:uid="{B99611A2-CE96-4ED3-A647-66869A9A5051}"/>
    <cellStyle name="Text Indent B" xfId="1283" xr:uid="{877DCF19-B8C4-439B-A442-05EC39F5A221}"/>
    <cellStyle name="Text Indent C" xfId="1284" xr:uid="{1A5FCAE6-2DBA-4978-9D38-3B0998DFEA8E}"/>
    <cellStyle name="Text Snip" xfId="49" xr:uid="{D5FCF396-1090-4EB6-A0F4-5C9000021780}"/>
    <cellStyle name="th" xfId="1285" xr:uid="{D88FC65C-422E-410B-97D2-3029EEBF0B3E}"/>
    <cellStyle name="th 2" xfId="2698" xr:uid="{AF35263E-6AEF-480D-8F58-57005CB91D17}"/>
    <cellStyle name="th 2 2" xfId="3547" xr:uid="{CCDC2B25-722F-474F-A840-90638F4B60B7}"/>
    <cellStyle name="th 2 3" xfId="3548" xr:uid="{8520AE32-F585-4F27-B175-19960E0BE939}"/>
    <cellStyle name="th 2 4" xfId="3549" xr:uid="{C220BF36-FD02-45F1-B296-693A6A4015A2}"/>
    <cellStyle name="th 2 5" xfId="2993" xr:uid="{5DD3461F-CEDA-4946-A5C6-51B01AC88469}"/>
    <cellStyle name="th 3" xfId="2597" xr:uid="{4BD3C017-8A05-498D-ADC5-C4055008B68B}"/>
    <cellStyle name="th 3 2" xfId="3550" xr:uid="{9549F907-F81D-492D-9DEB-071C9BFA17AD}"/>
    <cellStyle name="th 4" xfId="3551" xr:uid="{0B45A6E7-AD66-4B19-A597-0D2C576B09D5}"/>
    <cellStyle name="th 5" xfId="2859" xr:uid="{232083F2-A6CB-444B-BB97-00F48E9221F4}"/>
    <cellStyle name="þ_x001d_ð¤_x000c_¯þ_x0014__x000d_¨þU_x0001_À_x0004_ _x0015__x000f__x0001_" xfId="1286" xr:uid="{6035211A-F49F-466C-82DB-A678D35D2E1B}"/>
    <cellStyle name="þ_x001d_ð¤_x000c_¯þ_x0014__x000d_¨þU_x0001_À_x0004_ _x0015__x000f__x0001__x0001_" xfId="1287" xr:uid="{072A3E66-37FE-491B-A3A1-31ADAE67239A}"/>
    <cellStyle name="þ_x001d_ðK_x000c_Fý_x001b__x000d_9ýU_x0001_Ð_x0008_¦)_x0007__x0001__x0001_" xfId="1288" xr:uid="{3B193BF9-3C0C-40FF-99C5-9E220ADB5F4E}"/>
    <cellStyle name="Tickmark" xfId="1289" xr:uid="{0EA84F9D-90BC-4127-930E-171032F548DA}"/>
    <cellStyle name="Title 2" xfId="644" xr:uid="{D815D55E-8320-4D34-A517-3BF4ADAC495B}"/>
    <cellStyle name="Title 2 2" xfId="527" xr:uid="{93F00FF6-B547-4480-A430-D0CEB79F7A08}"/>
    <cellStyle name="Title 2 2 2" xfId="41" xr:uid="{B73D7698-A638-4268-80ED-8FC68AF0EB73}"/>
    <cellStyle name="Title 2 2 3" xfId="697" xr:uid="{F31EF7A6-DB1E-46E3-B667-712C51A4E6EC}"/>
    <cellStyle name="Title 3" xfId="1465" xr:uid="{D84A43C3-5F12-40FE-B7D1-0396BC14DFE9}"/>
    <cellStyle name="Title 4" xfId="1638" xr:uid="{02F79723-8E7A-4F71-AEA8-FA2A9DAED06B}"/>
    <cellStyle name="Title 5" xfId="1091" xr:uid="{87B0D777-DA40-46BF-92DC-30B796103044}"/>
    <cellStyle name="Total 10" xfId="1092" xr:uid="{CDAAB540-50B0-4832-AA95-FDA7F1CD59F1}"/>
    <cellStyle name="Total 11" xfId="1093" xr:uid="{94B9CF85-BBAA-49DD-9B64-73EAC0A267C0}"/>
    <cellStyle name="Total 12" xfId="1426" xr:uid="{E3A3FC4C-50DE-4CA5-B133-B64A4D3AE432}"/>
    <cellStyle name="Total 13" xfId="1480" xr:uid="{F6BA7BE8-C9DE-4390-B143-34E1938895D2}"/>
    <cellStyle name="Total 14" xfId="1654" xr:uid="{182415A0-F113-478E-8E8B-ABC72A4EE00C}"/>
    <cellStyle name="Total 15" xfId="1354" xr:uid="{91910E0B-E57D-4EBB-86D2-4E76489AB312}"/>
    <cellStyle name="Total 2" xfId="1094" xr:uid="{EB3F015C-3E91-47FF-8409-C91881E3407D}"/>
    <cellStyle name="Total 3" xfId="1095" xr:uid="{A62E8466-647C-4979-AFB0-409167E1C056}"/>
    <cellStyle name="Total 4" xfId="1096" xr:uid="{0EDB0FD7-73FF-4916-AFDA-FABA7833B74A}"/>
    <cellStyle name="Total 5" xfId="1097" xr:uid="{64F17F89-C93F-415A-8522-BEDDCD230D73}"/>
    <cellStyle name="Total 6" xfId="1098" xr:uid="{292BAE76-77A8-49F2-9FDD-AA0B501321F0}"/>
    <cellStyle name="Total 7" xfId="1099" xr:uid="{33EAC612-075B-436B-8007-89067079E735}"/>
    <cellStyle name="Total 8" xfId="1100" xr:uid="{F07FA3BA-C515-4FC1-9B62-D5032F3EFD74}"/>
    <cellStyle name="Total 9" xfId="1101" xr:uid="{3344AD06-0833-44B0-A91E-48CF6C8B6153}"/>
    <cellStyle name="Trung lập 2" xfId="1891" xr:uid="{EE412923-33E5-4D6A-A1E4-ABF186239346}"/>
    <cellStyle name="Trung lập 2 2" xfId="2560" xr:uid="{8320D298-827B-42D9-A57A-4C9AA483876C}"/>
    <cellStyle name="Trung lập 3" xfId="2563" xr:uid="{F8B8A100-9AFA-4C95-8ECD-DB620195CC67}"/>
    <cellStyle name="viet" xfId="1290" xr:uid="{7CE625CC-BE94-47AF-BE13-55BC9CA0A657}"/>
    <cellStyle name="viet2" xfId="1291" xr:uid="{42FEB8D7-E0BE-41E8-8DC0-B3F436099BC9}"/>
    <cellStyle name="viet2 2" xfId="2726" xr:uid="{A45628C6-AA15-40A7-80FE-7AF6BA0942DF}"/>
    <cellStyle name="viet2 2 2" xfId="3552" xr:uid="{20485E23-4087-413C-BC0E-CF1CAFDF7291}"/>
    <cellStyle name="viet2 2 3" xfId="3553" xr:uid="{2DA291B2-E81B-4DE4-8312-C33EBF20A966}"/>
    <cellStyle name="viet2 2 4" xfId="3554" xr:uid="{B54426D9-CA0D-4A82-9302-231E6920B682}"/>
    <cellStyle name="viet2 3" xfId="2640" xr:uid="{C6DD9A6E-7FC8-4B08-97C9-85D5F76AD4F4}"/>
    <cellStyle name="viet2 3 2" xfId="3555" xr:uid="{940E991C-C66F-4264-BB3E-42604C103D74}"/>
    <cellStyle name="viet2 4" xfId="3556" xr:uid="{ECBA7C77-0A47-4518-8BEE-68D5ACF85BEF}"/>
    <cellStyle name="viet2 5" xfId="2860" xr:uid="{8E9543B4-8D34-463B-A85F-5CE5A9575F8C}"/>
    <cellStyle name="VN new romanNormal" xfId="1292" xr:uid="{9F01D836-86DE-44C2-8CF4-882ACD540B9F}"/>
    <cellStyle name="VN time new roman" xfId="1293" xr:uid="{CE9A0538-510A-4A1B-AFCE-5F6C8D83B9D4}"/>
    <cellStyle name="vnbo" xfId="1294" xr:uid="{9F9ADA02-531A-4E27-ABA5-E2A3121E7BB7}"/>
    <cellStyle name="vnbo 2" xfId="2616" xr:uid="{DDAB7820-2AB3-4F23-AF2F-A5FB9DACEE1F}"/>
    <cellStyle name="vnbo 2 2" xfId="3557" xr:uid="{49ABE06E-E3EC-406B-9E3C-40D2FF564C0F}"/>
    <cellStyle name="vnbo 2 3" xfId="3558" xr:uid="{40F4C75A-4262-4B64-90A8-825592A268A0}"/>
    <cellStyle name="vnbo 2 4" xfId="3559" xr:uid="{FCF63FE7-B059-49BE-86BE-7D22AF6A94A3}"/>
    <cellStyle name="vnbo 2 5" xfId="2994" xr:uid="{64503234-E39A-4DF0-A9A6-1538A9552800}"/>
    <cellStyle name="vnbo 3" xfId="2748" xr:uid="{8DD3532D-B3BB-4D84-B907-F1CFFFF83705}"/>
    <cellStyle name="vnbo 3 2" xfId="3560" xr:uid="{0A95F580-B9C9-4109-8063-C6F1E45CA055}"/>
    <cellStyle name="vnbo 4" xfId="3561" xr:uid="{7B57429D-2AE0-4107-A688-F99560FDA10C}"/>
    <cellStyle name="vnbo 5" xfId="2861" xr:uid="{CB76FA9F-566E-4148-891A-E5FC86A1B4D1}"/>
    <cellStyle name="vnhead1" xfId="1295" xr:uid="{65BF7F22-E332-41C4-A3B1-4605AF4D7085}"/>
    <cellStyle name="vnhead1 2" xfId="2730" xr:uid="{326ABC37-6A9D-4381-8A45-4F814E2D5FBB}"/>
    <cellStyle name="vnhead1 2 2" xfId="3562" xr:uid="{D3453F08-E835-47FE-A285-64CCAF218329}"/>
    <cellStyle name="vnhead1 2 3" xfId="3563" xr:uid="{8BBF2C6E-DE58-44F0-87C3-478E2A5339CC}"/>
    <cellStyle name="vnhead1 2 4" xfId="3564" xr:uid="{6C8512C6-FCBD-4906-8C5C-9609E965FAC1}"/>
    <cellStyle name="vnhead1 3" xfId="2680" xr:uid="{7C124E5E-1F9A-464D-8692-C3DC606020DB}"/>
    <cellStyle name="vnhead1 3 2" xfId="3565" xr:uid="{39017D3E-BB0E-468A-8C82-0FBB537BCFB8}"/>
    <cellStyle name="vnhead1 4" xfId="3566" xr:uid="{13A41B1E-7356-486E-BB7A-21E9478D49B5}"/>
    <cellStyle name="vnhead1 5" xfId="2862" xr:uid="{CA961D49-05F6-4A2C-AAC6-D772EF209739}"/>
    <cellStyle name="vnhead2" xfId="1296" xr:uid="{9E76B39B-0621-44B2-9C53-216AF3CB1E81}"/>
    <cellStyle name="vnhead2 2" xfId="2706" xr:uid="{2D75D84B-E2E7-4741-BD32-4D666DB1C5EF}"/>
    <cellStyle name="vnhead2 2 2" xfId="3567" xr:uid="{451061EE-01AF-4760-8FC8-C12595E1D98F}"/>
    <cellStyle name="vnhead2 2 3" xfId="3568" xr:uid="{E5F8A1AF-BB6E-4DC2-8FBC-C4810B6443B4}"/>
    <cellStyle name="vnhead2 2 4" xfId="3569" xr:uid="{5C1AE52D-ABC6-465C-8FD0-8E69B03F66BB}"/>
    <cellStyle name="vnhead2 2 5" xfId="2995" xr:uid="{79146251-B581-4205-B8BB-DA80B0C82685}"/>
    <cellStyle name="vnhead2 3" xfId="2703" xr:uid="{3D296732-145D-49AF-B545-23B8773F092D}"/>
    <cellStyle name="vnhead2 3 2" xfId="3570" xr:uid="{A9157153-C182-491A-B137-01571708A5EE}"/>
    <cellStyle name="vnhead2 4" xfId="3571" xr:uid="{80083FDB-7AB6-4691-9E88-8184296E7AD7}"/>
    <cellStyle name="vnhead2 5" xfId="2863" xr:uid="{C58CC371-F3FF-4C05-B0B0-759F6EDE2033}"/>
    <cellStyle name="vnhead3" xfId="1297" xr:uid="{A2768C3B-07A5-4FD6-943E-96F98FD1F3AB}"/>
    <cellStyle name="vnhead3 2" xfId="2637" xr:uid="{8DB9A632-F719-4567-B46F-B7905B32A654}"/>
    <cellStyle name="vnhead3 2 2" xfId="3572" xr:uid="{9B8F548A-7F99-46E8-9B9E-982D263A720C}"/>
    <cellStyle name="vnhead3 2 3" xfId="3573" xr:uid="{EEA5EB47-B9A9-40AA-8C24-707E5BD5B9A8}"/>
    <cellStyle name="vnhead3 2 4" xfId="3574" xr:uid="{E9FFFA53-388F-40BF-9FC8-1CA68706577F}"/>
    <cellStyle name="vnhead3 2 5" xfId="2996" xr:uid="{19BE1AE6-9F2C-47F5-B60F-94ABED336B5E}"/>
    <cellStyle name="vnhead3 3" xfId="2708" xr:uid="{C53D839E-AAF8-4FE5-9DC4-0FB385699187}"/>
    <cellStyle name="vnhead3 3 2" xfId="3575" xr:uid="{5E2399E0-D0FE-42E5-8551-DCD56C6C8EBF}"/>
    <cellStyle name="vnhead3 4" xfId="3576" xr:uid="{A4464DD9-1F23-472C-98F5-F6F058113B0A}"/>
    <cellStyle name="vnhead3 5" xfId="2864" xr:uid="{75E0F07C-8F59-4A28-810D-B50373187767}"/>
    <cellStyle name="vnhead4" xfId="1298" xr:uid="{0E721D29-C2D6-4F6B-8CEC-7D070A4745E8}"/>
    <cellStyle name="vntxt1" xfId="1299" xr:uid="{303F8CC9-F571-4F55-9F98-EBF2B3AC3FA5}"/>
    <cellStyle name="vntxt2" xfId="1300" xr:uid="{5E3C367C-CD2F-4D11-AA2C-F4F30CE0C296}"/>
    <cellStyle name="Währung [0]_68574_Materialbedarfsliste" xfId="1301" xr:uid="{8DD190B8-D98E-40E6-8DC5-FFCE04E69160}"/>
    <cellStyle name="Währung_68574_Materialbedarfsliste" xfId="1302" xr:uid="{D5FABE27-0B15-40FC-98DF-8E4EAEFC7012}"/>
    <cellStyle name="Warning Text 10" xfId="1102" xr:uid="{E7433B9E-1809-471A-B658-4EDCFACBC2A2}"/>
    <cellStyle name="Warning Text 11" xfId="1103" xr:uid="{FB155AC2-B072-45A5-8938-2EA717ABC5F4}"/>
    <cellStyle name="Warning Text 12" xfId="1427" xr:uid="{09E1EE5B-7C54-4D61-AB85-43B2ECD49374}"/>
    <cellStyle name="Warning Text 13" xfId="1478" xr:uid="{AD78E289-999A-44EC-971F-C06675713BEA}"/>
    <cellStyle name="Warning Text 14" xfId="1652" xr:uid="{3FB5B2B0-8D59-453E-9A92-45FED1FCF069}"/>
    <cellStyle name="Warning Text 15" xfId="1352" xr:uid="{24CB694D-C32A-487D-A275-CC919F9D74D0}"/>
    <cellStyle name="Warning Text 2" xfId="1104" xr:uid="{5C781010-859E-4DF4-9B2F-5313BD0DB251}"/>
    <cellStyle name="Warning Text 3" xfId="1105" xr:uid="{CB0753DF-F127-4918-902C-6DEFBE542978}"/>
    <cellStyle name="Warning Text 4" xfId="1106" xr:uid="{92571B12-7EF1-4ABD-B414-7B3FBA9D0055}"/>
    <cellStyle name="Warning Text 5" xfId="1107" xr:uid="{08FA2268-83E4-4FDB-8763-4C7B76B43028}"/>
    <cellStyle name="Warning Text 6" xfId="1108" xr:uid="{72E9A214-3917-4C88-8D5C-E78C93FE6EAA}"/>
    <cellStyle name="Warning Text 7" xfId="1109" xr:uid="{74ED8FD8-F132-4F8E-AD5A-1122860C71CA}"/>
    <cellStyle name="Warning Text 8" xfId="1110" xr:uid="{81E48B2A-1C9F-46C0-A9FE-33A167EE23F2}"/>
    <cellStyle name="Warning Text 9" xfId="1111" xr:uid="{ABB53C0C-591C-4124-A43C-98545DE30F08}"/>
    <cellStyle name="xuan" xfId="1303" xr:uid="{9DD9F170-3028-43EB-8410-93718BF70437}"/>
    <cellStyle name="เครื่องหมายสกุลเงิน [0]_FTC_OFFER" xfId="1304" xr:uid="{EC2A901A-5FFA-4709-B1CF-D923BD8C9477}"/>
    <cellStyle name="เครื่องหมายสกุลเงิน_FTC_OFFER" xfId="1305" xr:uid="{9E440BB8-4453-436A-AE4C-0B08C07807B2}"/>
    <cellStyle name="ปกติ_FTC_OFFER" xfId="1306" xr:uid="{94F19418-1953-4014-A11E-9F3A7BA5AACA}"/>
    <cellStyle name=" [0.00]_ Att. 1- Cover" xfId="1307" xr:uid="{821345CB-923B-4350-99F2-547955E010AC}"/>
    <cellStyle name="_ Att. 1- Cover" xfId="1308" xr:uid="{D1C8469D-115F-408E-8B2E-C12F2A54B5E1}"/>
    <cellStyle name="?_ Att. 1- Cover" xfId="1309" xr:uid="{621014D8-38C2-4BBC-A237-966DC7201045}"/>
    <cellStyle name="똿뗦먛귟 [0.00]_PRODUCT DETAIL Q1" xfId="1310" xr:uid="{50A44684-25B2-45B3-9908-7B29B6EEB1F3}"/>
    <cellStyle name="똿뗦먛귟_PRODUCT DETAIL Q1" xfId="1311" xr:uid="{D696EE5C-AFA6-4B74-9CFE-8AE586982CB0}"/>
    <cellStyle name="믅됞 [0.00]_PRODUCT DETAIL Q1" xfId="1312" xr:uid="{5AF1AB48-A1AA-4E7B-9FAB-D01097F5A245}"/>
    <cellStyle name="믅됞_PRODUCT DETAIL Q1" xfId="1313" xr:uid="{200E0623-959E-4989-93F1-D008BA553903}"/>
    <cellStyle name="백분율_95" xfId="1314" xr:uid="{A9A2AA86-3158-4617-B9B0-88565558636B}"/>
    <cellStyle name="뷭?_BOOKSHIP" xfId="1315" xr:uid="{F492F465-6CB4-45B4-898C-98503B9553DE}"/>
    <cellStyle name="콤마 [ - 유형1" xfId="1316" xr:uid="{77AF9C1E-3209-4ABE-B76D-C5539ED2C13C}"/>
    <cellStyle name="콤마 [ - 유형2" xfId="1317" xr:uid="{DCB74200-7510-46BF-A47E-63836F23B6BC}"/>
    <cellStyle name="콤마 [ - 유형3" xfId="1318" xr:uid="{336E6FF9-8FA0-400B-8369-C16C590EF509}"/>
    <cellStyle name="콤마 [ - 유형4" xfId="1319" xr:uid="{8BC31FCB-4B35-4A53-A94E-F374AE1727BB}"/>
    <cellStyle name="콤마 [ - 유형5" xfId="1320" xr:uid="{71A633AA-5DC9-4900-9115-811238B2F09B}"/>
    <cellStyle name="콤마 [ - 유형6" xfId="1321" xr:uid="{5D567BF7-81BE-4716-A090-46266E66A141}"/>
    <cellStyle name="콤마 [ - 유형7" xfId="1322" xr:uid="{7785C44C-8483-4BA5-AE5D-DDE55A6A7A5F}"/>
    <cellStyle name="콤마 [ - 유형8" xfId="1323" xr:uid="{589A7AA1-A21B-484C-B42C-FF16F3439241}"/>
    <cellStyle name="콤마 [0]_ 비목별 월별기술 " xfId="1324" xr:uid="{C20D226B-72C8-4FEA-8E32-FEA38D37FF0D}"/>
    <cellStyle name="콤마_ 비목별 월별기술 " xfId="1325" xr:uid="{28B82773-1E2E-4CA6-9F31-DEC0198AA8FE}"/>
    <cellStyle name="통화 [0]_1202" xfId="1326" xr:uid="{78FB8774-C4EC-49B7-9D3D-E1612F9F8ACD}"/>
    <cellStyle name="통화_1202" xfId="1327" xr:uid="{4ECA677C-0B4F-4218-9F09-A866FEF655FD}"/>
    <cellStyle name="표준_(정보부문)월별인원계획" xfId="1328" xr:uid="{CE3BAFB5-DFE4-41F6-BBDA-E6DDEFAD9BC7}"/>
    <cellStyle name="一般_00Q3902REV.1" xfId="1329" xr:uid="{F6472698-8A21-44B4-B563-A8A14263EE6C}"/>
    <cellStyle name="千分位[0]_00Q3902REV.1" xfId="1330" xr:uid="{00C599F5-97A5-4D21-B733-30D877759560}"/>
    <cellStyle name="千分位_00Q3902REV.1" xfId="1331" xr:uid="{253F7E67-E4FD-4F7B-8144-FCA2A36EA10B}"/>
    <cellStyle name="桁区切り [0.00]_List-dwg瑩畳䵜楡" xfId="1332" xr:uid="{28A73EAE-DC4E-4B37-9E23-2BD78F056BDB}"/>
    <cellStyle name="桁区切り_List-dwgist-" xfId="1333" xr:uid="{44E55039-CE68-4365-B96E-C0C511A9AACB}"/>
    <cellStyle name="標準_hinagata_SDV2003" xfId="1334" xr:uid="{BDF37D82-5078-4E42-AA54-13736A96324C}"/>
    <cellStyle name="貨幣 [0]_00Q3902REV.1" xfId="1335" xr:uid="{F1D01D3E-C7C5-48B6-91D6-937C1D942D01}"/>
    <cellStyle name="貨幣[0]_BRE" xfId="1336" xr:uid="{01409912-6D93-45DF-B6DC-F4487D85DD99}"/>
    <cellStyle name="貨幣_00Q3902REV.1" xfId="1337" xr:uid="{19F9E872-F865-4191-A762-3472C2965E6D}"/>
    <cellStyle name="通貨 [0.00]_List-dwgwg" xfId="1338" xr:uid="{202EBD57-FFCE-4A2C-A066-5AC233E2A0F3}"/>
    <cellStyle name="通貨_List-dwgis" xfId="1339" xr:uid="{39EF4588-D33F-4034-AA72-450DCAFBF9DD}"/>
  </cellStyles>
  <dxfs count="190">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theme="4"/>
        </patternFill>
      </fill>
    </dxf>
    <dxf>
      <fill>
        <patternFill>
          <bgColor rgb="FF92D050"/>
        </patternFill>
      </fill>
    </dxf>
    <dxf>
      <fill>
        <patternFill>
          <bgColor rgb="FFFF0000"/>
        </patternFill>
      </fill>
    </dxf>
    <dxf>
      <font>
        <color rgb="FF9C0006"/>
      </font>
      <fill>
        <patternFill>
          <bgColor rgb="FFFFC7CE"/>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theme="3" tint="0.39994506668294322"/>
        </patternFill>
      </fill>
    </dxf>
    <dxf>
      <fill>
        <patternFill>
          <bgColor theme="3" tint="0.39994506668294322"/>
        </patternFill>
      </fill>
    </dxf>
    <dxf>
      <fill>
        <patternFill>
          <bgColor theme="3" tint="0.39994506668294322"/>
        </patternFill>
      </fill>
    </dxf>
    <dxf>
      <fill>
        <patternFill>
          <bgColor theme="3" tint="0.39994506668294322"/>
        </patternFill>
      </fill>
    </dxf>
    <dxf>
      <fill>
        <patternFill>
          <bgColor theme="3" tint="0.39994506668294322"/>
        </patternFill>
      </fill>
    </dxf>
    <dxf>
      <fill>
        <patternFill>
          <bgColor theme="4"/>
        </patternFill>
      </fill>
    </dxf>
    <dxf>
      <fill>
        <patternFill>
          <bgColor theme="3" tint="0.39994506668294322"/>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FF0000"/>
      </font>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FF0000"/>
      </font>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ill>
        <patternFill>
          <bgColor theme="7" tint="0.79998168889431442"/>
        </patternFill>
      </fill>
    </dxf>
    <dxf>
      <fill>
        <patternFill>
          <bgColor theme="7" tint="0.79998168889431442"/>
        </patternFill>
      </fill>
    </dxf>
    <dxf>
      <fill>
        <patternFill>
          <bgColor theme="7" tint="0.7999816888943144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s>
  <tableStyles count="0" defaultTableStyle="TableStyleMedium2" defaultPivotStyle="PivotStyleLight16"/>
  <colors>
    <mruColors>
      <color rgb="FF9999FF"/>
      <color rgb="FFFFE7E7"/>
      <color rgb="FF1F2544"/>
      <color rgb="FFF3EEEA"/>
      <color rgb="FF944E63"/>
      <color rgb="FFCCCCFF"/>
      <color rgb="FF666699"/>
      <color rgb="FFFFD0EC"/>
      <color rgb="FFFFFFCC"/>
      <color rgb="FFFFBE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pivotCacheDefinition" Target="pivotCache/pivotCacheDefinition10.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pivotCacheDefinition" Target="pivotCache/pivotCacheDefinition5.xml"/><Relationship Id="rId5" Type="http://schemas.openxmlformats.org/officeDocument/2006/relationships/worksheet" Target="worksheets/sheet5.xml"/><Relationship Id="rId90" Type="http://schemas.microsoft.com/office/2017/10/relationships/person" Target="persons/person.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80" Type="http://schemas.openxmlformats.org/officeDocument/2006/relationships/pivotCacheDefinition" Target="pivotCache/pivotCacheDefinition6.xml"/><Relationship Id="rId85" Type="http://schemas.openxmlformats.org/officeDocument/2006/relationships/pivotCacheDefinition" Target="pivotCache/pivotCacheDefinition11.xml"/><Relationship Id="rId93"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4.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7.xml"/><Relationship Id="rId70" Type="http://schemas.openxmlformats.org/officeDocument/2006/relationships/externalLink" Target="externalLinks/externalLink15.xml"/><Relationship Id="rId75" Type="http://schemas.openxmlformats.org/officeDocument/2006/relationships/pivotCacheDefinition" Target="pivotCache/pivotCacheDefinition1.xml"/><Relationship Id="rId83" Type="http://schemas.openxmlformats.org/officeDocument/2006/relationships/pivotCacheDefinition" Target="pivotCache/pivotCacheDefinition9.xml"/><Relationship Id="rId88" Type="http://schemas.openxmlformats.org/officeDocument/2006/relationships/styles" Target="styles.xml"/><Relationship Id="rId9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pivotCacheDefinition" Target="pivotCache/pivotCacheDefinition4.xml"/><Relationship Id="rId81" Type="http://schemas.openxmlformats.org/officeDocument/2006/relationships/pivotCacheDefinition" Target="pivotCache/pivotCacheDefinition7.xml"/><Relationship Id="rId86" Type="http://schemas.openxmlformats.org/officeDocument/2006/relationships/pivotCacheDefinition" Target="pivotCache/pivotCacheDefinition1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pivotCacheDefinition" Target="pivotCache/pivotCacheDefinition2.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customXml" Target="../customXml/item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theme" Target="theme/theme1.xml"/><Relationship Id="rId61" Type="http://schemas.openxmlformats.org/officeDocument/2006/relationships/externalLink" Target="externalLinks/externalLink6.xml"/><Relationship Id="rId82" Type="http://schemas.openxmlformats.org/officeDocument/2006/relationships/pivotCacheDefinition" Target="pivotCache/pivotCacheDefinition8.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pivotCacheDefinition" Target="pivotCache/pivotCacheDefinition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11</xdr:col>
      <xdr:colOff>98986</xdr:colOff>
      <xdr:row>0</xdr:row>
      <xdr:rowOff>131669</xdr:rowOff>
    </xdr:from>
    <xdr:to>
      <xdr:col>18</xdr:col>
      <xdr:colOff>266399</xdr:colOff>
      <xdr:row>21</xdr:row>
      <xdr:rowOff>76573</xdr:rowOff>
    </xdr:to>
    <xdr:pic>
      <xdr:nvPicPr>
        <xdr:cNvPr id="2" name="Picture 1">
          <a:extLst>
            <a:ext uri="{FF2B5EF4-FFF2-40B4-BE49-F238E27FC236}">
              <a16:creationId xmlns:a16="http://schemas.microsoft.com/office/drawing/2014/main" id="{49738631-2EA8-E9B1-06EF-930A70E2A3DC}"/>
            </a:ext>
          </a:extLst>
        </xdr:cNvPr>
        <xdr:cNvPicPr>
          <a:picLocks noChangeAspect="1"/>
        </xdr:cNvPicPr>
      </xdr:nvPicPr>
      <xdr:blipFill>
        <a:blip xmlns:r="http://schemas.openxmlformats.org/officeDocument/2006/relationships" r:embed="rId1"/>
        <a:stretch>
          <a:fillRect/>
        </a:stretch>
      </xdr:blipFill>
      <xdr:spPr>
        <a:xfrm>
          <a:off x="12141574" y="131669"/>
          <a:ext cx="4664707" cy="3433669"/>
        </a:xfrm>
        <a:prstGeom prst="rect">
          <a:avLst/>
        </a:prstGeom>
        <a:ln>
          <a:solidFill>
            <a:sysClr val="windowText" lastClr="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1</xdr:row>
      <xdr:rowOff>7620</xdr:rowOff>
    </xdr:from>
    <xdr:to>
      <xdr:col>13</xdr:col>
      <xdr:colOff>363888</xdr:colOff>
      <xdr:row>2</xdr:row>
      <xdr:rowOff>45720</xdr:rowOff>
    </xdr:to>
    <xdr:sp macro="" textlink="" fLocksText="0">
      <xdr:nvSpPr>
        <xdr:cNvPr id="2" name="Text Box 1">
          <a:extLst>
            <a:ext uri="{FF2B5EF4-FFF2-40B4-BE49-F238E27FC236}">
              <a16:creationId xmlns:a16="http://schemas.microsoft.com/office/drawing/2014/main" id="{43D93B7F-506C-44BA-8F69-CCC07587A44F}"/>
            </a:ext>
          </a:extLst>
        </xdr:cNvPr>
        <xdr:cNvSpPr txBox="1">
          <a:spLocks noChangeArrowheads="1"/>
        </xdr:cNvSpPr>
      </xdr:nvSpPr>
      <xdr:spPr bwMode="auto">
        <a:xfrm>
          <a:off x="7620" y="83820"/>
          <a:ext cx="1030795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ctr" upright="1"/>
        <a:lstStyle/>
        <a:p>
          <a:pPr algn="ctr" rtl="0">
            <a:defRPr sz="1000"/>
          </a:pPr>
          <a:r>
            <a:rPr lang="en-US" sz="1425" b="1" i="0" u="none" strike="noStrike" baseline="0">
              <a:solidFill>
                <a:srgbClr val="000000"/>
              </a:solidFill>
              <a:latin typeface="Times New Roman"/>
              <a:cs typeface="Times New Roman"/>
            </a:rPr>
            <a:t>BẢNG CÂN ĐỐI SỐ PHÁT SINH</a:t>
          </a:r>
        </a:p>
      </xdr:txBody>
    </xdr:sp>
    <xdr:clientData/>
  </xdr:twoCellAnchor>
  <xdr:twoCellAnchor editAs="oneCell">
    <xdr:from>
      <xdr:col>0</xdr:col>
      <xdr:colOff>7620</xdr:colOff>
      <xdr:row>2</xdr:row>
      <xdr:rowOff>7620</xdr:rowOff>
    </xdr:from>
    <xdr:to>
      <xdr:col>13</xdr:col>
      <xdr:colOff>363888</xdr:colOff>
      <xdr:row>3</xdr:row>
      <xdr:rowOff>13970</xdr:rowOff>
    </xdr:to>
    <xdr:sp macro="" textlink="" fLocksText="0">
      <xdr:nvSpPr>
        <xdr:cNvPr id="3" name="Text Box 2">
          <a:extLst>
            <a:ext uri="{FF2B5EF4-FFF2-40B4-BE49-F238E27FC236}">
              <a16:creationId xmlns:a16="http://schemas.microsoft.com/office/drawing/2014/main" id="{477537FE-B611-4E04-BA1D-2D0425CD7308}"/>
            </a:ext>
          </a:extLst>
        </xdr:cNvPr>
        <xdr:cNvSpPr txBox="1">
          <a:spLocks noChangeArrowheads="1"/>
        </xdr:cNvSpPr>
      </xdr:nvSpPr>
      <xdr:spPr bwMode="auto">
        <a:xfrm>
          <a:off x="7620" y="350520"/>
          <a:ext cx="1030795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ctr" upright="1"/>
        <a:lstStyle/>
        <a:p>
          <a:pPr algn="ctr" rtl="0">
            <a:defRPr sz="1000"/>
          </a:pPr>
          <a:r>
            <a:rPr lang="en-US" sz="1000" b="1" i="1" u="none" strike="noStrike" baseline="0">
              <a:solidFill>
                <a:srgbClr val="000000"/>
              </a:solidFill>
              <a:latin typeface="Times New Roman"/>
              <a:cs typeface="Times New Roman"/>
            </a:rPr>
            <a:t>Từ ngày 01/01/24 đến ngày 31/12/24</a:t>
          </a:r>
        </a:p>
      </xdr:txBody>
    </xdr:sp>
    <xdr:clientData/>
  </xdr:twoCellAnchor>
  <xdr:twoCellAnchor editAs="oneCell">
    <xdr:from>
      <xdr:col>7</xdr:col>
      <xdr:colOff>144780</xdr:colOff>
      <xdr:row>356</xdr:row>
      <xdr:rowOff>7620</xdr:rowOff>
    </xdr:from>
    <xdr:to>
      <xdr:col>10</xdr:col>
      <xdr:colOff>659483</xdr:colOff>
      <xdr:row>357</xdr:row>
      <xdr:rowOff>71121</xdr:rowOff>
    </xdr:to>
    <xdr:sp macro="" textlink="" fLocksText="0">
      <xdr:nvSpPr>
        <xdr:cNvPr id="4" name="Text Box 3">
          <a:extLst>
            <a:ext uri="{FF2B5EF4-FFF2-40B4-BE49-F238E27FC236}">
              <a16:creationId xmlns:a16="http://schemas.microsoft.com/office/drawing/2014/main" id="{73C672AD-A0AE-42B8-9C84-A45AEA2CBADB}"/>
            </a:ext>
          </a:extLst>
        </xdr:cNvPr>
        <xdr:cNvSpPr txBox="1">
          <a:spLocks noChangeArrowheads="1"/>
        </xdr:cNvSpPr>
      </xdr:nvSpPr>
      <xdr:spPr bwMode="auto">
        <a:xfrm>
          <a:off x="7688580" y="63815595"/>
          <a:ext cx="278701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b" upright="1"/>
        <a:lstStyle/>
        <a:p>
          <a:pPr algn="ctr" rtl="0">
            <a:defRPr sz="1000"/>
          </a:pPr>
          <a:r>
            <a:rPr lang="en-US" sz="1000" b="0" i="1" u="none" strike="noStrike" baseline="0">
              <a:solidFill>
                <a:srgbClr val="000000"/>
              </a:solidFill>
              <a:latin typeface="Times New Roman"/>
              <a:cs typeface="Times New Roman"/>
            </a:rPr>
            <a:t>Ngày . . . . . tháng . . . . . năm . . . . . . .</a:t>
          </a:r>
        </a:p>
      </xdr:txBody>
    </xdr:sp>
    <xdr:clientData/>
  </xdr:twoCellAnchor>
  <xdr:twoCellAnchor editAs="oneCell">
    <xdr:from>
      <xdr:col>0</xdr:col>
      <xdr:colOff>7620</xdr:colOff>
      <xdr:row>357</xdr:row>
      <xdr:rowOff>7620</xdr:rowOff>
    </xdr:from>
    <xdr:to>
      <xdr:col>4</xdr:col>
      <xdr:colOff>774584</xdr:colOff>
      <xdr:row>357</xdr:row>
      <xdr:rowOff>179070</xdr:rowOff>
    </xdr:to>
    <xdr:sp macro="" textlink="" fLocksText="0">
      <xdr:nvSpPr>
        <xdr:cNvPr id="5" name="Text Box 4">
          <a:extLst>
            <a:ext uri="{FF2B5EF4-FFF2-40B4-BE49-F238E27FC236}">
              <a16:creationId xmlns:a16="http://schemas.microsoft.com/office/drawing/2014/main" id="{22817CE3-622C-44BC-99A0-0C457266C0C3}"/>
            </a:ext>
          </a:extLst>
        </xdr:cNvPr>
        <xdr:cNvSpPr txBox="1">
          <a:spLocks noChangeArrowheads="1"/>
        </xdr:cNvSpPr>
      </xdr:nvSpPr>
      <xdr:spPr bwMode="auto">
        <a:xfrm>
          <a:off x="7620" y="64063245"/>
          <a:ext cx="282321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t" upright="1"/>
        <a:lstStyle/>
        <a:p>
          <a:pPr algn="ctr" rtl="0">
            <a:defRPr sz="1000"/>
          </a:pPr>
          <a:r>
            <a:rPr lang="en-US" sz="1000" b="1" i="0" u="none" strike="noStrike" baseline="0">
              <a:solidFill>
                <a:srgbClr val="000000"/>
              </a:solidFill>
              <a:latin typeface="Times New Roman"/>
              <a:cs typeface="Times New Roman"/>
            </a:rPr>
            <a:t>Người lập</a:t>
          </a:r>
        </a:p>
      </xdr:txBody>
    </xdr:sp>
    <xdr:clientData/>
  </xdr:twoCellAnchor>
  <xdr:twoCellAnchor editAs="oneCell">
    <xdr:from>
      <xdr:col>7</xdr:col>
      <xdr:colOff>144780</xdr:colOff>
      <xdr:row>357</xdr:row>
      <xdr:rowOff>7620</xdr:rowOff>
    </xdr:from>
    <xdr:to>
      <xdr:col>10</xdr:col>
      <xdr:colOff>659483</xdr:colOff>
      <xdr:row>357</xdr:row>
      <xdr:rowOff>179070</xdr:rowOff>
    </xdr:to>
    <xdr:sp macro="" textlink="" fLocksText="0">
      <xdr:nvSpPr>
        <xdr:cNvPr id="6" name="Text Box 5">
          <a:extLst>
            <a:ext uri="{FF2B5EF4-FFF2-40B4-BE49-F238E27FC236}">
              <a16:creationId xmlns:a16="http://schemas.microsoft.com/office/drawing/2014/main" id="{363DBDC5-51D8-42DE-89F1-0ECAE7D6FDC0}"/>
            </a:ext>
          </a:extLst>
        </xdr:cNvPr>
        <xdr:cNvSpPr txBox="1">
          <a:spLocks noChangeArrowheads="1"/>
        </xdr:cNvSpPr>
      </xdr:nvSpPr>
      <xdr:spPr bwMode="auto">
        <a:xfrm>
          <a:off x="7688580" y="64063245"/>
          <a:ext cx="278701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t" upright="1"/>
        <a:lstStyle/>
        <a:p>
          <a:pPr algn="ctr" rtl="0">
            <a:defRPr sz="1000"/>
          </a:pPr>
          <a:r>
            <a:rPr lang="en-US" sz="1000" b="1" i="0" u="none" strike="noStrike" baseline="0">
              <a:solidFill>
                <a:srgbClr val="000000"/>
              </a:solidFill>
              <a:latin typeface="Times New Roman"/>
              <a:cs typeface="Times New Roman"/>
            </a:rPr>
            <a:t>Kế toán trưởng</a:t>
          </a:r>
        </a:p>
      </xdr:txBody>
    </xdr:sp>
    <xdr:clientData/>
  </xdr:twoCellAnchor>
  <xdr:twoCellAnchor editAs="oneCell">
    <xdr:from>
      <xdr:col>0</xdr:col>
      <xdr:colOff>7620</xdr:colOff>
      <xdr:row>358</xdr:row>
      <xdr:rowOff>7620</xdr:rowOff>
    </xdr:from>
    <xdr:to>
      <xdr:col>4</xdr:col>
      <xdr:colOff>774584</xdr:colOff>
      <xdr:row>359</xdr:row>
      <xdr:rowOff>90171</xdr:rowOff>
    </xdr:to>
    <xdr:sp macro="" textlink="" fLocksText="0">
      <xdr:nvSpPr>
        <xdr:cNvPr id="7" name="Text Box 6">
          <a:extLst>
            <a:ext uri="{FF2B5EF4-FFF2-40B4-BE49-F238E27FC236}">
              <a16:creationId xmlns:a16="http://schemas.microsoft.com/office/drawing/2014/main" id="{9F80BB63-6AEB-48AC-A48F-67E512B1F6F3}"/>
            </a:ext>
          </a:extLst>
        </xdr:cNvPr>
        <xdr:cNvSpPr txBox="1">
          <a:spLocks noChangeArrowheads="1"/>
        </xdr:cNvSpPr>
      </xdr:nvSpPr>
      <xdr:spPr bwMode="auto">
        <a:xfrm>
          <a:off x="7620" y="64234695"/>
          <a:ext cx="282321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t" upright="1"/>
        <a:lstStyle/>
        <a:p>
          <a:pPr algn="ctr" rtl="0">
            <a:defRPr sz="1000"/>
          </a:pPr>
          <a:r>
            <a:rPr lang="en-US" sz="1000" b="0" i="1" u="none" strike="noStrike" baseline="0">
              <a:solidFill>
                <a:srgbClr val="000000"/>
              </a:solidFill>
              <a:latin typeface="Times New Roman"/>
              <a:cs typeface="Times New Roman"/>
            </a:rPr>
            <a:t>(Ký, họ tên)</a:t>
          </a:r>
        </a:p>
      </xdr:txBody>
    </xdr:sp>
    <xdr:clientData/>
  </xdr:twoCellAnchor>
  <xdr:twoCellAnchor editAs="oneCell">
    <xdr:from>
      <xdr:col>7</xdr:col>
      <xdr:colOff>144780</xdr:colOff>
      <xdr:row>358</xdr:row>
      <xdr:rowOff>7620</xdr:rowOff>
    </xdr:from>
    <xdr:to>
      <xdr:col>10</xdr:col>
      <xdr:colOff>659483</xdr:colOff>
      <xdr:row>359</xdr:row>
      <xdr:rowOff>90171</xdr:rowOff>
    </xdr:to>
    <xdr:sp macro="" textlink="" fLocksText="0">
      <xdr:nvSpPr>
        <xdr:cNvPr id="8" name="Text Box 7">
          <a:extLst>
            <a:ext uri="{FF2B5EF4-FFF2-40B4-BE49-F238E27FC236}">
              <a16:creationId xmlns:a16="http://schemas.microsoft.com/office/drawing/2014/main" id="{929DF250-2A3D-49D7-AC26-0554E2E50A8E}"/>
            </a:ext>
          </a:extLst>
        </xdr:cNvPr>
        <xdr:cNvSpPr txBox="1">
          <a:spLocks noChangeArrowheads="1"/>
        </xdr:cNvSpPr>
      </xdr:nvSpPr>
      <xdr:spPr bwMode="auto">
        <a:xfrm>
          <a:off x="7688580" y="64234695"/>
          <a:ext cx="278701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t" upright="1"/>
        <a:lstStyle/>
        <a:p>
          <a:pPr algn="ctr" rtl="0">
            <a:defRPr sz="1000"/>
          </a:pPr>
          <a:r>
            <a:rPr lang="en-US" sz="1000" b="0" i="1" u="none" strike="noStrike" baseline="0">
              <a:solidFill>
                <a:srgbClr val="000000"/>
              </a:solidFill>
              <a:latin typeface="Times New Roman"/>
              <a:cs typeface="Times New Roman"/>
            </a:rPr>
            <a:t>(Ký, họ tên)</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33</xdr:row>
      <xdr:rowOff>74706</xdr:rowOff>
    </xdr:from>
    <xdr:to>
      <xdr:col>3</xdr:col>
      <xdr:colOff>595734</xdr:colOff>
      <xdr:row>61</xdr:row>
      <xdr:rowOff>3813</xdr:rowOff>
    </xdr:to>
    <xdr:pic>
      <xdr:nvPicPr>
        <xdr:cNvPr id="2" name="Picture 1">
          <a:extLst>
            <a:ext uri="{FF2B5EF4-FFF2-40B4-BE49-F238E27FC236}">
              <a16:creationId xmlns:a16="http://schemas.microsoft.com/office/drawing/2014/main" id="{A70590F5-967F-C615-2D7B-60E48CBFEACE}"/>
            </a:ext>
          </a:extLst>
        </xdr:cNvPr>
        <xdr:cNvPicPr>
          <a:picLocks noChangeAspect="1"/>
        </xdr:cNvPicPr>
      </xdr:nvPicPr>
      <xdr:blipFill>
        <a:blip xmlns:r="http://schemas.openxmlformats.org/officeDocument/2006/relationships" r:embed="rId1"/>
        <a:stretch>
          <a:fillRect/>
        </a:stretch>
      </xdr:blipFill>
      <xdr:spPr>
        <a:xfrm>
          <a:off x="0" y="5251824"/>
          <a:ext cx="5541263" cy="43173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285750</xdr:colOff>
      <xdr:row>764</xdr:row>
      <xdr:rowOff>161925</xdr:rowOff>
    </xdr:from>
    <xdr:to>
      <xdr:col>12</xdr:col>
      <xdr:colOff>681990</xdr:colOff>
      <xdr:row>769</xdr:row>
      <xdr:rowOff>135255</xdr:rowOff>
    </xdr:to>
    <xdr:pic>
      <xdr:nvPicPr>
        <xdr:cNvPr id="3" name="Picture 1">
          <a:extLst>
            <a:ext uri="{FF2B5EF4-FFF2-40B4-BE49-F238E27FC236}">
              <a16:creationId xmlns:a16="http://schemas.microsoft.com/office/drawing/2014/main" id="{2DCE5736-D756-50CC-9A0A-570E6BB0C72A}"/>
            </a:ext>
          </a:extLst>
        </xdr:cNvPr>
        <xdr:cNvPicPr>
          <a:picLocks noChangeAspect="1"/>
        </xdr:cNvPicPr>
      </xdr:nvPicPr>
      <xdr:blipFill>
        <a:blip xmlns:r="http://schemas.openxmlformats.org/officeDocument/2006/relationships" r:embed="rId1"/>
        <a:stretch>
          <a:fillRect/>
        </a:stretch>
      </xdr:blipFill>
      <xdr:spPr>
        <a:xfrm>
          <a:off x="15001875" y="138693525"/>
          <a:ext cx="4572000" cy="1314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405694</xdr:colOff>
      <xdr:row>193</xdr:row>
      <xdr:rowOff>61736</xdr:rowOff>
    </xdr:from>
    <xdr:to>
      <xdr:col>15</xdr:col>
      <xdr:colOff>1354917</xdr:colOff>
      <xdr:row>215</xdr:row>
      <xdr:rowOff>149175</xdr:rowOff>
    </xdr:to>
    <xdr:pic>
      <xdr:nvPicPr>
        <xdr:cNvPr id="2" name="Picture 1">
          <a:extLst>
            <a:ext uri="{FF2B5EF4-FFF2-40B4-BE49-F238E27FC236}">
              <a16:creationId xmlns:a16="http://schemas.microsoft.com/office/drawing/2014/main" id="{888627CF-8810-72A1-6880-9EAFB8D6DBEE}"/>
            </a:ext>
          </a:extLst>
        </xdr:cNvPr>
        <xdr:cNvPicPr>
          <a:picLocks noChangeAspect="1"/>
        </xdr:cNvPicPr>
      </xdr:nvPicPr>
      <xdr:blipFill>
        <a:blip xmlns:r="http://schemas.openxmlformats.org/officeDocument/2006/relationships" r:embed="rId1"/>
        <a:stretch>
          <a:fillRect/>
        </a:stretch>
      </xdr:blipFill>
      <xdr:spPr>
        <a:xfrm>
          <a:off x="18564930" y="33549167"/>
          <a:ext cx="5129642" cy="366006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My%20Documents\NTCUONG\NHA%20MAY%20CON%20XUAN%20LOC\@Kehoach-duan\PHUMY_2-1\chieu_24-11\DAUTHAU\DANG_TRIEN_KHAI\diendamcamau\ammonia%20storage\6823%20PS%2017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n-han3941\4%20ORANGES\Mr%20Somsak\Production%20Report\Documents%20and%20Settings\user\My%20Documents\Tienchai\process%20record\expo%20repor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duction%20Report/4%20ORANGES/Mr%20Somsak/Production%20Report/Documents%20and%20Settings/user/My%20Documents/Tienchai/process%20record/expo%20repor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26.0.230\ipaam\IPAAM\Accounting\1.B&#225;o%20c&#225;o%20t&#224;i%20ch&#237;nh\OTW_Mau%20BCTC%202017_v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26.0.230\ipaam\IPAAM\Accounting\1.B&#225;o%20c&#225;o%20t&#224;i%20ch&#237;nh\HOP%20NHAT%20IPA\Hop%20nhat%2031.12.16\Ong%20TW\OTW_31122016_2%2001_BCKT_0602201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Administrator/AppData/Roaming/Microsoft/Excel/TNHH%20Anvie_31122016_2%2001_Audit%20Report_hop%20nh&#226;t%20(version%201).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ersonal/hoang_nguyen1_vn_ey_com/Documents/Documents/Finhay%20JSC%20-%2031.12.2023%20-%20Section%20K%20-%20TPD%2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KeToanKiemSoat/Ketoan_kiemsoat/BAO%20CAO%20TAI%20CHINH/IVND/2021/Q4.2021/iVND%20-%20BCTC%20Q3..202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1.Work/2.KIEMTOAN/KT%20n&#259;m%202015/11.M3/Mau%20bieu%20BCTC%20TT200_v20150930#R_Viettel.xlsb"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HaiNV/AppData/Roaming/Skype/My%20Skype%20Received%20Files/2014_2.01_AASC.xlsb"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ay_07\c\GtntPmu18\DNTC_Nghean.xls" TargetMode="External"/></Relationships>
</file>

<file path=xl/externalLinks/_rels/externalLink13.xml.rels><?xml version="1.0" encoding="UTF-8" standalone="yes"?>
<Relationships xmlns="http://schemas.openxmlformats.org/package/2006/relationships"><Relationship Id="rId2" Type="http://schemas.openxmlformats.org/officeDocument/2006/relationships/externalLinkPath" Target="https://people.ey.com/personal/hai_quang_le_vn_ey_com/Documents/Documents/2024/1.%20Standard%20Chartered/7.%20WTB/1.%20SCB%2031Dec2023_WTB_v1.xlsx" TargetMode="External"/><Relationship Id="rId1" Type="http://schemas.openxmlformats.org/officeDocument/2006/relationships/externalLinkPath" Target="/personal/hai_quang_le_vn_ey_com/Documents/Documents/2024/1.%20Standard%20Chartered/7.%20WTB/1.%20SCB%2031Dec2023_WTB_v1.xlsx" TargetMode="External"/></Relationships>
</file>

<file path=xl/externalLinks/_rels/externalLink14.xml.rels><?xml version="1.0" encoding="UTF-8" standalone="yes"?>
<Relationships xmlns="http://schemas.openxmlformats.org/package/2006/relationships"><Relationship Id="rId2" Type="http://schemas.openxmlformats.org/officeDocument/2006/relationships/externalLinkPath" Target="https://people.ey.com/personal/hai_quang_le_vn_ey_com/Documents/Documents/2024/5.%20Finhay%20HY2024/0.%20Previous%20Years/9.%20Finhay%20YE23%20-%20VAS/8.%20WTB/1.%20Sent%20to%20Client/Finhay%20YE23%20-%20WTB%20Consol%20%20-%20v5.4%20-%20Sent%20to%20Client.xlsx" TargetMode="External"/><Relationship Id="rId1" Type="http://schemas.openxmlformats.org/officeDocument/2006/relationships/externalLinkPath" Target="/personal/hai_quang_le_vn_ey_com/Documents/Documents/2024/5.%20Finhay%20HY2024/0.%20Previous%20Years/9.%20Finhay%20YE23%20-%20VAS/8.%20WTB/1.%20Sent%20to%20Client/Finhay%20YE23%20-%20WTB%20Consol%20%20-%20v5.4%20-%20Sent%20to%20Client.xlsx" TargetMode="External"/></Relationships>
</file>

<file path=xl/externalLinks/_rels/externalLink15.xml.rels><?xml version="1.0" encoding="UTF-8" standalone="yes"?>
<Relationships xmlns="http://schemas.openxmlformats.org/package/2006/relationships"><Relationship Id="rId2" Type="http://schemas.openxmlformats.org/officeDocument/2006/relationships/externalLinkPath" Target="https://people.ey.com/personal/hai_quang_le_vn_ey_com/Documents/Documents/2024/5.%20Finhay%20HY2024/0.%20Previous%20Years/9.%20Finhay%20YE23%20-%20VAS/8.%20WTB/Finhay%20YE23%20-%20WTB%20Consol%20%20-%20v5.3.xlsx" TargetMode="External"/><Relationship Id="rId1" Type="http://schemas.openxmlformats.org/officeDocument/2006/relationships/externalLinkPath" Target="/personal/hai_quang_le_vn_ey_com/Documents/Documents/2024/5.%20Finhay%20HY2024/0.%20Previous%20Years/9.%20Finhay%20YE23%20-%20VAS/8.%20WTB/Finhay%20YE23%20-%20WTB%20Consol%20%20-%20v5.3.xlsx" TargetMode="External"/></Relationships>
</file>

<file path=xl/externalLinks/_rels/externalLink16.xml.rels><?xml version="1.0" encoding="UTF-8" standalone="yes"?>
<Relationships xmlns="http://schemas.openxmlformats.org/package/2006/relationships"><Relationship Id="rId2" Type="http://schemas.openxmlformats.org/officeDocument/2006/relationships/externalLinkPath" Target="https://people.ey.com/personal/hai_quang_le_vn_ey_com/Documents/Documents/2026/1.Finhay%20HY25/4.%20WTB/1.%20Finhay%20HY25%20-%20WTB%20IFRS%20-%20v3.xlsb" TargetMode="External"/><Relationship Id="rId1" Type="http://schemas.openxmlformats.org/officeDocument/2006/relationships/externalLinkPath" Target="/personal/hai_quang_le_vn_ey_com/Documents/Documents/2026/1.Finhay%20HY25/4.%20WTB/1.%20Finhay%20HY25%20-%20WTB%20IFRS%20-%20v3.xlsb" TargetMode="External"/></Relationships>
</file>

<file path=xl/externalLinks/_rels/externalLink17.xml.rels><?xml version="1.0" encoding="UTF-8" standalone="yes"?>
<Relationships xmlns="http://schemas.openxmlformats.org/package/2006/relationships"><Relationship Id="rId2" Type="http://schemas.openxmlformats.org/officeDocument/2006/relationships/externalLinkPath" Target="https://people.ey.com/personal/hai_quang_le_vn_ey_com/Documents/Documents/2025/2.%20Finhay%20FY24/4.%20WTB/3.%20VNSC/VNSC%2031.12.2024%20-%20WTB%20-%20v3.xlsb" TargetMode="External"/><Relationship Id="rId1" Type="http://schemas.openxmlformats.org/officeDocument/2006/relationships/externalLinkPath" Target="/personal/hai_quang_le_vn_ey_com/Documents/Documents/2025/2.%20Finhay%20FY24/4.%20WTB/3.%20VNSC/VNSC%2031.12.2024%20-%20WTB%20-%20v3.xlsb" TargetMode="External"/></Relationships>
</file>

<file path=xl/externalLinks/_rels/externalLink18.xml.rels><?xml version="1.0" encoding="UTF-8" standalone="yes"?>
<Relationships xmlns="http://schemas.openxmlformats.org/package/2006/relationships"><Relationship Id="rId2" Type="http://schemas.openxmlformats.org/officeDocument/2006/relationships/externalLinkPath" Target="https://people.ey.com/personal/hai_quang_le_vn_ey_com/Documents/Documents/2025/2.%20Finhay%20FY24/4.%20WTB/1.%20VAS/B&#250;t%20to&#225;n%20&#273;&#225;nh%20gi&#225;%20l&#7841;i%20FY24%20-%20to%20Finhay.xlsb" TargetMode="External"/><Relationship Id="rId1" Type="http://schemas.openxmlformats.org/officeDocument/2006/relationships/externalLinkPath" Target="B&#250;t%20to&#225;n%20&#273;&#225;nh%20gi&#225;%20l&#7841;i%20FY24%20-%20to%20Finhay.xlsb" TargetMode="External"/></Relationships>
</file>

<file path=xl/externalLinks/_rels/externalLink19.xml.rels><?xml version="1.0" encoding="UTF-8" standalone="yes"?>
<Relationships xmlns="http://schemas.openxmlformats.org/package/2006/relationships"><Relationship Id="rId2" Type="http://schemas.openxmlformats.org/officeDocument/2006/relationships/externalLinkPath" Target="https://people.ey.com/personal/hai_quang_le_vn_ey_com/Documents/Documents/2025/2.%20Finhay%20FY24/3.%20PBC%20Finhay/1.%20Finhay%20CTM/E.%20Ch&#7913;ng%20t&#7915;%20kh&#225;c/AUM/Copy%20of%20D14_&#272;&#225;nh%20gi&#225;%2031.12.2024.xlsx" TargetMode="External"/><Relationship Id="rId1" Type="http://schemas.openxmlformats.org/officeDocument/2006/relationships/externalLinkPath" Target="/personal/hai_quang_le_vn_ey_com/Documents/Documents/2025/2.%20Finhay%20FY24/3.%20PBC%20Finhay/1.%20Finhay%20CTM/E.%20Ch&#7913;ng%20t&#7915;%20kh&#225;c/AUM/Copy%20of%20D14_&#272;&#225;nh%20gi&#225;%2031.12.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Sheet2"/>
      <sheetName val="Quantity"/>
      <sheetName val="6823 PS 1700"/>
      <sheetName val="PU_ITALY "/>
      <sheetName val="Module1"/>
      <sheetName val="Module2"/>
      <sheetName val="KP_LIST"/>
    </sheetNames>
    <sheetDataSet>
      <sheetData sheetId="0"/>
      <sheetData sheetId="1"/>
      <sheetData sheetId="2"/>
      <sheetData sheetId="3"/>
      <sheetData sheetId="4"/>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mtd yied"/>
      <sheetName val="Month"/>
      <sheetName val="DAI"/>
      <sheetName val="year"/>
      <sheetName val="MAN"/>
      <sheetName val="G"/>
      <sheetName val="Perform1"/>
      <sheetName val="Yield2"/>
      <sheetName val="Recon3"/>
      <sheetName val="com. pro4"/>
      <sheetName val="N+15"/>
      <sheetName val="ROUTING6"/>
      <sheetName val="RFT17"/>
      <sheetName val="RFT1 (2)8"/>
      <sheetName val="last ye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
          <cell r="L6">
            <v>1192248.5049999999</v>
          </cell>
          <cell r="M6">
            <v>12254771.8654</v>
          </cell>
          <cell r="Q6" t="str">
            <v>JAN</v>
          </cell>
        </row>
        <row r="7">
          <cell r="Q7" t="str">
            <v>FEB</v>
          </cell>
        </row>
        <row r="8">
          <cell r="Q8" t="str">
            <v>MAR</v>
          </cell>
        </row>
        <row r="9">
          <cell r="Q9" t="str">
            <v>APR</v>
          </cell>
        </row>
        <row r="10">
          <cell r="Q10" t="str">
            <v>MAY</v>
          </cell>
        </row>
        <row r="11">
          <cell r="Q11" t="str">
            <v>JUN</v>
          </cell>
        </row>
        <row r="12">
          <cell r="Q12" t="str">
            <v>JUL</v>
          </cell>
        </row>
        <row r="13">
          <cell r="Q13" t="str">
            <v>AUG</v>
          </cell>
        </row>
        <row r="14">
          <cell r="Q14" t="str">
            <v>SEP</v>
          </cell>
        </row>
        <row r="15">
          <cell r="Q15" t="str">
            <v>OCT</v>
          </cell>
        </row>
        <row r="16">
          <cell r="Q16" t="str">
            <v>NOV</v>
          </cell>
        </row>
        <row r="17">
          <cell r="Q17" t="str">
            <v>DEC</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mtd yied"/>
      <sheetName val="Month"/>
      <sheetName val="DAI"/>
      <sheetName val="year"/>
      <sheetName val="MAN"/>
      <sheetName val="G"/>
      <sheetName val="Perform1"/>
      <sheetName val="Yield2"/>
      <sheetName val="Recon3"/>
      <sheetName val="com. pro4"/>
      <sheetName val="N+15"/>
      <sheetName val="ROUTING6"/>
      <sheetName val="RFT17"/>
      <sheetName val="RFT1 (2)8"/>
      <sheetName val="last year"/>
      <sheetName val="1.Perso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
          <cell r="L6">
            <v>1192248.5049999999</v>
          </cell>
          <cell r="M6">
            <v>12254771.8654</v>
          </cell>
          <cell r="Q6" t="str">
            <v>JAN</v>
          </cell>
          <cell r="R6">
            <v>182.78788750975039</v>
          </cell>
        </row>
        <row r="7">
          <cell r="Q7" t="str">
            <v>FEB</v>
          </cell>
          <cell r="R7">
            <v>241.82728136531364</v>
          </cell>
        </row>
        <row r="8">
          <cell r="Q8" t="str">
            <v>MAR</v>
          </cell>
          <cell r="R8">
            <v>245.14475437815375</v>
          </cell>
        </row>
        <row r="9">
          <cell r="Q9" t="str">
            <v>APR</v>
          </cell>
          <cell r="R9">
            <v>236.4477824605452</v>
          </cell>
        </row>
        <row r="10">
          <cell r="Q10" t="str">
            <v>MAY</v>
          </cell>
          <cell r="R10">
            <v>257.78259985167921</v>
          </cell>
        </row>
        <row r="11">
          <cell r="Q11" t="str">
            <v>JUN</v>
          </cell>
          <cell r="R11">
            <v>202.68046957964603</v>
          </cell>
        </row>
        <row r="12">
          <cell r="Q12" t="str">
            <v>JUL</v>
          </cell>
          <cell r="R12">
            <v>160.30491291727139</v>
          </cell>
        </row>
        <row r="13">
          <cell r="Q13" t="str">
            <v>AUG</v>
          </cell>
          <cell r="R13">
            <v>209.15710496550165</v>
          </cell>
        </row>
        <row r="14">
          <cell r="Q14" t="str">
            <v>SEP</v>
          </cell>
          <cell r="R14">
            <v>231.85042928717832</v>
          </cell>
        </row>
        <row r="15">
          <cell r="Q15" t="str">
            <v>OCT</v>
          </cell>
          <cell r="R15">
            <v>235.0144333072451</v>
          </cell>
        </row>
        <row r="16">
          <cell r="Q16" t="str">
            <v>NOV</v>
          </cell>
          <cell r="R16">
            <v>242.47478238763478</v>
          </cell>
        </row>
        <row r="17">
          <cell r="Q17" t="str">
            <v>DEC</v>
          </cell>
          <cell r="R17">
            <v>246.91661839332747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xz"/>
      <sheetName val="Danh mục"/>
      <sheetName val="DM"/>
      <sheetName val="Tong_hop"/>
      <sheetName val="BiaBC"/>
      <sheetName val="TM_P.L"/>
      <sheetName val="TM_B.S"/>
      <sheetName val="BCTC"/>
      <sheetName val="LCTT"/>
    </sheetNames>
    <sheetDataSet>
      <sheetData sheetId="0" refreshError="1"/>
      <sheetData sheetId="1">
        <row r="10">
          <cell r="B10" t="str">
            <v>cho kì kế toán kết thúc ngày 31.01.2017</v>
          </cell>
        </row>
      </sheetData>
      <sheetData sheetId="2">
        <row r="2">
          <cell r="D2" t="str">
            <v>MaTK</v>
          </cell>
          <cell r="O2" t="e">
            <v>#REF!</v>
          </cell>
          <cell r="P2" t="e">
            <v>#REF!</v>
          </cell>
          <cell r="Q2" t="e">
            <v>#REF!</v>
          </cell>
          <cell r="R2" t="e">
            <v>#REF!</v>
          </cell>
          <cell r="S2" t="e">
            <v>#REF!</v>
          </cell>
          <cell r="T2" t="e">
            <v>#REF!</v>
          </cell>
          <cell r="U2" t="e">
            <v>#REF!</v>
          </cell>
          <cell r="V2" t="e">
            <v>#REF!</v>
          </cell>
          <cell r="W2" t="e">
            <v>#REF!</v>
          </cell>
          <cell r="X2" t="e">
            <v>#REF!</v>
          </cell>
          <cell r="Y2" t="e">
            <v>#REF!</v>
          </cell>
          <cell r="Z2" t="e">
            <v>#REF!</v>
          </cell>
          <cell r="AA2" t="e">
            <v>#REF!</v>
          </cell>
          <cell r="AB2" t="e">
            <v>#REF!</v>
          </cell>
          <cell r="AC2" t="e">
            <v>#REF!</v>
          </cell>
          <cell r="AD2" t="e">
            <v>#REF!</v>
          </cell>
          <cell r="AE2" t="e">
            <v>#REF!</v>
          </cell>
          <cell r="AF2" t="e">
            <v>#REF!</v>
          </cell>
          <cell r="AG2" t="e">
            <v>#REF!</v>
          </cell>
          <cell r="AH2" t="e">
            <v>#REF!</v>
          </cell>
          <cell r="AI2" t="e">
            <v>#REF!</v>
          </cell>
          <cell r="AJ2" t="e">
            <v>#REF!</v>
          </cell>
          <cell r="AK2" t="e">
            <v>#REF!</v>
          </cell>
          <cell r="AL2" t="e">
            <v>#REF!</v>
          </cell>
          <cell r="AM2" t="e">
            <v>#REF!</v>
          </cell>
          <cell r="AN2" t="e">
            <v>#REF!</v>
          </cell>
          <cell r="AO2" t="e">
            <v>#REF!</v>
          </cell>
          <cell r="AP2" t="e">
            <v>#REF!</v>
          </cell>
          <cell r="AQ2" t="e">
            <v>#REF!</v>
          </cell>
          <cell r="AR2" t="e">
            <v>#REF!</v>
          </cell>
          <cell r="AS2" t="e">
            <v>#REF!</v>
          </cell>
          <cell r="AT2" t="e">
            <v>#REF!</v>
          </cell>
          <cell r="AU2" t="e">
            <v>#REF!</v>
          </cell>
          <cell r="AV2" t="e">
            <v>#REF!</v>
          </cell>
          <cell r="AW2" t="e">
            <v>#REF!</v>
          </cell>
          <cell r="AX2" t="e">
            <v>#REF!</v>
          </cell>
          <cell r="AY2" t="e">
            <v>#REF!</v>
          </cell>
          <cell r="AZ2" t="e">
            <v>#REF!</v>
          </cell>
          <cell r="BA2" t="e">
            <v>#REF!</v>
          </cell>
          <cell r="BB2" t="e">
            <v>#REF!</v>
          </cell>
          <cell r="BC2" t="e">
            <v>#REF!</v>
          </cell>
          <cell r="BD2" t="e">
            <v>#REF!</v>
          </cell>
          <cell r="BE2" t="e">
            <v>#REF!</v>
          </cell>
          <cell r="BF2" t="e">
            <v>#REF!</v>
          </cell>
          <cell r="BG2" t="e">
            <v>#REF!</v>
          </cell>
          <cell r="BH2" t="e">
            <v>#REF!</v>
          </cell>
          <cell r="BI2" t="e">
            <v>#REF!</v>
          </cell>
          <cell r="BJ2" t="e">
            <v>#REF!</v>
          </cell>
          <cell r="BK2" t="e">
            <v>#REF!</v>
          </cell>
        </row>
        <row r="3">
          <cell r="D3" t="str">
            <v>1111</v>
          </cell>
          <cell r="F3" t="str">
            <v>x</v>
          </cell>
          <cell r="H3" t="str">
            <v>01</v>
          </cell>
          <cell r="I3" t="str">
            <v>1. Doanh thu bán hàng và cung cấp dịch vụ</v>
          </cell>
          <cell r="K3" t="str">
            <v>TK</v>
          </cell>
          <cell r="M3" t="str">
            <v>BTDC</v>
          </cell>
          <cell r="O3" t="str">
            <v>11.01</v>
          </cell>
          <cell r="AA3" t="str">
            <v>12.01</v>
          </cell>
          <cell r="AM3" t="str">
            <v>13.01</v>
          </cell>
          <cell r="BA3" t="str">
            <v>25.01</v>
          </cell>
        </row>
        <row r="4">
          <cell r="D4" t="str">
            <v>1112</v>
          </cell>
          <cell r="F4" t="str">
            <v>S</v>
          </cell>
          <cell r="H4" t="str">
            <v>02</v>
          </cell>
          <cell r="I4" t="str">
            <v>2. Các khoản giảm trừ doanh thu</v>
          </cell>
          <cell r="K4" t="str">
            <v>CT</v>
          </cell>
          <cell r="M4" t="str">
            <v>BTTH</v>
          </cell>
          <cell r="O4" t="str">
            <v>11.02</v>
          </cell>
          <cell r="AA4" t="str">
            <v>12.02</v>
          </cell>
          <cell r="AM4" t="str">
            <v>13.02</v>
          </cell>
          <cell r="BA4" t="str">
            <v>25.02</v>
          </cell>
        </row>
        <row r="5">
          <cell r="D5" t="str">
            <v>1113</v>
          </cell>
          <cell r="F5" t="str">
            <v>o</v>
          </cell>
          <cell r="H5" t="str">
            <v>10</v>
          </cell>
          <cell r="I5" t="str">
            <v>3. Doanh thu thuần về bán hàng và cung cấp dịch vụ</v>
          </cell>
          <cell r="O5" t="str">
            <v>11.03</v>
          </cell>
          <cell r="AA5" t="str">
            <v>12.03</v>
          </cell>
          <cell r="AM5" t="str">
            <v>13.03</v>
          </cell>
          <cell r="BA5" t="str">
            <v>25.03</v>
          </cell>
        </row>
        <row r="6">
          <cell r="D6" t="str">
            <v>1121</v>
          </cell>
          <cell r="F6" t="str">
            <v>.</v>
          </cell>
          <cell r="H6" t="str">
            <v>11</v>
          </cell>
          <cell r="I6" t="str">
            <v>4. Giá vốn hàng bán</v>
          </cell>
          <cell r="O6" t="str">
            <v>11.04</v>
          </cell>
          <cell r="AA6" t="str">
            <v>12.04</v>
          </cell>
          <cell r="AM6" t="str">
            <v>13.04</v>
          </cell>
          <cell r="BA6" t="str">
            <v>25.04</v>
          </cell>
        </row>
        <row r="7">
          <cell r="D7" t="str">
            <v>1122</v>
          </cell>
          <cell r="H7" t="str">
            <v>20</v>
          </cell>
          <cell r="I7" t="str">
            <v>5. Lợi nhuận gộp về bán hàng và cung cấp dịch vụ</v>
          </cell>
          <cell r="O7" t="str">
            <v>11.05</v>
          </cell>
          <cell r="AA7" t="str">
            <v>12.05</v>
          </cell>
          <cell r="AM7" t="str">
            <v>13.05</v>
          </cell>
          <cell r="BA7" t="str">
            <v>25.05</v>
          </cell>
        </row>
        <row r="8">
          <cell r="D8" t="str">
            <v>1123</v>
          </cell>
          <cell r="H8" t="str">
            <v>21</v>
          </cell>
          <cell r="I8" t="str">
            <v>6. Doanh thu hoạt động tài chính</v>
          </cell>
          <cell r="O8" t="str">
            <v>11.06</v>
          </cell>
          <cell r="AA8" t="str">
            <v>12.06</v>
          </cell>
          <cell r="AM8" t="str">
            <v>13.06</v>
          </cell>
          <cell r="BA8" t="str">
            <v>25.06</v>
          </cell>
        </row>
        <row r="9">
          <cell r="D9" t="str">
            <v>1131</v>
          </cell>
          <cell r="H9" t="str">
            <v>22</v>
          </cell>
          <cell r="I9" t="str">
            <v>7. Chi phí tài chính</v>
          </cell>
          <cell r="O9" t="str">
            <v>11.07</v>
          </cell>
          <cell r="AA9" t="str">
            <v>12.07</v>
          </cell>
          <cell r="AM9" t="str">
            <v>13.07</v>
          </cell>
          <cell r="BA9" t="str">
            <v>25.07</v>
          </cell>
        </row>
        <row r="10">
          <cell r="D10" t="str">
            <v>1132</v>
          </cell>
          <cell r="H10" t="str">
            <v>23</v>
          </cell>
          <cell r="I10" t="str">
            <v xml:space="preserve"> - Trong đó: Chi phí lãi vay</v>
          </cell>
          <cell r="O10" t="str">
            <v>11.08</v>
          </cell>
          <cell r="AA10" t="str">
            <v>12.08</v>
          </cell>
          <cell r="AM10" t="str">
            <v>13.08</v>
          </cell>
          <cell r="BA10" t="str">
            <v>25.08</v>
          </cell>
        </row>
        <row r="11">
          <cell r="D11" t="str">
            <v>1211</v>
          </cell>
          <cell r="H11" t="str">
            <v>24</v>
          </cell>
          <cell r="I11" t="str">
            <v>8. Chi phí bán hàng</v>
          </cell>
          <cell r="O11" t="str">
            <v>11.09</v>
          </cell>
          <cell r="AA11" t="str">
            <v>12.09</v>
          </cell>
          <cell r="AM11" t="str">
            <v>13.09</v>
          </cell>
          <cell r="BA11" t="str">
            <v>25.09</v>
          </cell>
        </row>
        <row r="12">
          <cell r="D12" t="str">
            <v>1212</v>
          </cell>
          <cell r="H12" t="str">
            <v>25</v>
          </cell>
          <cell r="I12" t="str">
            <v>9. Chi phí quản lý doanh nghiệp</v>
          </cell>
          <cell r="O12" t="str">
            <v>11.10</v>
          </cell>
          <cell r="AA12" t="str">
            <v>12.10</v>
          </cell>
          <cell r="AM12" t="str">
            <v>13.10</v>
          </cell>
          <cell r="BA12" t="str">
            <v>25.10</v>
          </cell>
        </row>
        <row r="13">
          <cell r="D13" t="str">
            <v>1218</v>
          </cell>
          <cell r="H13" t="str">
            <v>30</v>
          </cell>
          <cell r="I13" t="str">
            <v xml:space="preserve">10. Lợi nhuận thuần từ hoạt động kinh doanh </v>
          </cell>
          <cell r="O13" t="str">
            <v>11.11</v>
          </cell>
          <cell r="AA13" t="str">
            <v>12.11</v>
          </cell>
          <cell r="AM13" t="str">
            <v>13.11</v>
          </cell>
          <cell r="BA13" t="str">
            <v>25.11</v>
          </cell>
        </row>
        <row r="14">
          <cell r="D14" t="str">
            <v>121t</v>
          </cell>
          <cell r="H14" t="str">
            <v>31</v>
          </cell>
          <cell r="I14" t="str">
            <v>11. Thu nhập khác</v>
          </cell>
          <cell r="O14" t="str">
            <v>11.12</v>
          </cell>
          <cell r="AA14" t="str">
            <v>12.12</v>
          </cell>
          <cell r="AM14" t="str">
            <v>13.12</v>
          </cell>
          <cell r="BA14" t="str">
            <v>25.12</v>
          </cell>
        </row>
        <row r="15">
          <cell r="D15" t="str">
            <v>128</v>
          </cell>
          <cell r="H15" t="str">
            <v>32</v>
          </cell>
          <cell r="I15" t="str">
            <v xml:space="preserve">12. Chi phí khác </v>
          </cell>
          <cell r="O15" t="str">
            <v>11.13</v>
          </cell>
        </row>
        <row r="16">
          <cell r="D16" t="str">
            <v>1281n</v>
          </cell>
          <cell r="H16" t="str">
            <v>40</v>
          </cell>
          <cell r="I16" t="str">
            <v>13. Lợi nhuận khác</v>
          </cell>
        </row>
        <row r="17">
          <cell r="D17" t="str">
            <v>1281d</v>
          </cell>
          <cell r="H17" t="str">
            <v>50</v>
          </cell>
          <cell r="I17" t="str">
            <v xml:space="preserve">14. Tổng lợi nhuận kế toán trước thuế </v>
          </cell>
        </row>
        <row r="18">
          <cell r="D18" t="str">
            <v>1282n</v>
          </cell>
          <cell r="H18" t="str">
            <v>51</v>
          </cell>
          <cell r="I18" t="str">
            <v>15. Chi phí thuế TNDN hiện hành</v>
          </cell>
        </row>
        <row r="19">
          <cell r="D19" t="str">
            <v>1282d</v>
          </cell>
          <cell r="H19" t="str">
            <v>52</v>
          </cell>
          <cell r="I19" t="str">
            <v>16. Chi phí thuế TNDN hoãn lại</v>
          </cell>
        </row>
        <row r="20">
          <cell r="D20" t="str">
            <v>1283n</v>
          </cell>
          <cell r="H20" t="str">
            <v>60</v>
          </cell>
          <cell r="I20" t="str">
            <v>17. Lợi nhuận sau thuế TNDN</v>
          </cell>
        </row>
        <row r="21">
          <cell r="D21" t="str">
            <v>1283d</v>
          </cell>
          <cell r="H21" t="str">
            <v>70</v>
          </cell>
          <cell r="I21" t="str">
            <v>18. Lãi cơ bản trên cổ phiếu</v>
          </cell>
        </row>
        <row r="22">
          <cell r="D22" t="str">
            <v>1288n</v>
          </cell>
          <cell r="H22" t="str">
            <v>100</v>
          </cell>
          <cell r="I22" t="str">
            <v>A. TÀI SẢN NGẮN HẠN</v>
          </cell>
        </row>
        <row r="23">
          <cell r="D23" t="str">
            <v>1288d</v>
          </cell>
          <cell r="H23" t="str">
            <v>110</v>
          </cell>
          <cell r="I23" t="str">
            <v>I. Tiền và các khoản tương đương tiền</v>
          </cell>
        </row>
        <row r="24">
          <cell r="D24" t="str">
            <v>1281t</v>
          </cell>
          <cell r="H24" t="str">
            <v>111</v>
          </cell>
          <cell r="I24" t="str">
            <v>1. Tiền</v>
          </cell>
        </row>
        <row r="25">
          <cell r="D25" t="str">
            <v>1288t</v>
          </cell>
          <cell r="H25" t="str">
            <v>112</v>
          </cell>
          <cell r="I25" t="str">
            <v>2. Các khoản tương đương tiền</v>
          </cell>
        </row>
        <row r="26">
          <cell r="D26" t="str">
            <v>131an</v>
          </cell>
          <cell r="H26" t="str">
            <v>120</v>
          </cell>
          <cell r="I26" t="str">
            <v>II. Các khoản đầu tư tài chính ngắn hạn</v>
          </cell>
        </row>
        <row r="27">
          <cell r="D27" t="str">
            <v>131ad</v>
          </cell>
          <cell r="H27" t="str">
            <v>121</v>
          </cell>
          <cell r="I27" t="str">
            <v>1. Đầu tư ngắn hạn</v>
          </cell>
        </row>
        <row r="28">
          <cell r="D28" t="str">
            <v>131bn</v>
          </cell>
          <cell r="H28" t="str">
            <v>129</v>
          </cell>
          <cell r="I28" t="str">
            <v>2. Dự phòng giảm giá đầu tư ngắn hạn (*)</v>
          </cell>
        </row>
        <row r="29">
          <cell r="D29" t="str">
            <v>131bd</v>
          </cell>
          <cell r="H29" t="str">
            <v>130</v>
          </cell>
          <cell r="I29" t="str">
            <v>III. Các khoản phải thu ngắn hạn</v>
          </cell>
        </row>
        <row r="30">
          <cell r="D30" t="str">
            <v>1331a</v>
          </cell>
          <cell r="H30" t="str">
            <v>131</v>
          </cell>
          <cell r="I30" t="str">
            <v>1. Phải thu khách hàng</v>
          </cell>
        </row>
        <row r="31">
          <cell r="D31" t="str">
            <v>1331b</v>
          </cell>
          <cell r="H31" t="str">
            <v>132</v>
          </cell>
          <cell r="I31" t="str">
            <v>2. Trả trước cho người bán</v>
          </cell>
        </row>
        <row r="32">
          <cell r="D32" t="str">
            <v>1332a</v>
          </cell>
          <cell r="H32" t="str">
            <v>133</v>
          </cell>
          <cell r="I32" t="str">
            <v>3. Phải thu nội bộ ngắn hạn</v>
          </cell>
        </row>
        <row r="33">
          <cell r="D33" t="str">
            <v>1332b</v>
          </cell>
          <cell r="H33" t="str">
            <v>134</v>
          </cell>
          <cell r="I33" t="str">
            <v>4. Phải thu theo tiến độ kế hoạch HĐXD</v>
          </cell>
        </row>
      </sheetData>
      <sheetData sheetId="3">
        <row r="8">
          <cell r="D8" t="str">
            <v>1</v>
          </cell>
        </row>
      </sheetData>
      <sheetData sheetId="4">
        <row r="21">
          <cell r="B21" t="str">
            <v>BÁO CÁO TÀI CHÍNH</v>
          </cell>
        </row>
      </sheetData>
      <sheetData sheetId="5">
        <row r="2">
          <cell r="A2">
            <v>1</v>
          </cell>
        </row>
      </sheetData>
      <sheetData sheetId="6">
        <row r="174">
          <cell r="A174">
            <v>1</v>
          </cell>
        </row>
      </sheetData>
      <sheetData sheetId="7">
        <row r="66">
          <cell r="T66">
            <v>0</v>
          </cell>
        </row>
      </sheetData>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xz"/>
      <sheetName val="Menu"/>
      <sheetName val="DM_Sheet"/>
      <sheetName val="Thong_tin"/>
      <sheetName val="Danh_muc"/>
      <sheetName val="DM"/>
      <sheetName val="3.03.1"/>
      <sheetName val="3.03.2"/>
      <sheetName val="3.03.2 N"/>
      <sheetName val="Chi_tiet"/>
      <sheetName val="Soat_xet"/>
      <sheetName val="Tong_hop"/>
      <sheetName val="BiaBC"/>
      <sheetName val="BCBGD"/>
      <sheetName val="BCKT"/>
      <sheetName val="Cac Y kien kitoan"/>
      <sheetName val="BCSX"/>
      <sheetName val="Cac Y kien SX"/>
      <sheetName val="CDKT"/>
      <sheetName val="KQKD"/>
      <sheetName val="TM_DTTC"/>
      <sheetName val="TM_TSCDTTC"/>
      <sheetName val="TM_TSCDVH"/>
      <sheetName val="TM_BĐSĐT"/>
      <sheetName val="LCGT"/>
      <sheetName val="Thuyet_minh"/>
      <sheetName val="TM_TSCDHH"/>
      <sheetName val="TM_Vay"/>
      <sheetName val="TM_Thue"/>
      <sheetName val="TM_VCSH"/>
      <sheetName val="Trong_yeu"/>
      <sheetName val="TM_BCBPKD"/>
      <sheetName val="TM_BCBPDL"/>
      <sheetName val="TM SLSS "/>
      <sheetName val="LaiTCP"/>
      <sheetName val="KN_CPBQ"/>
      <sheetName val="KT_CPBQ"/>
      <sheetName val="QTTNDN"/>
      <sheetName val="CT_LCGT"/>
      <sheetName val="Doi_chieu"/>
      <sheetName val="Phan_tich"/>
      <sheetName val="TM_ChenhLechTK"/>
      <sheetName val="TM_ChenhLechCT"/>
    </sheetNames>
    <sheetDataSet>
      <sheetData sheetId="0"/>
      <sheetData sheetId="1"/>
      <sheetData sheetId="2"/>
      <sheetData sheetId="3">
        <row r="7">
          <cell r="E7" t="str">
            <v>ABC CORPORATION</v>
          </cell>
        </row>
      </sheetData>
      <sheetData sheetId="4">
        <row r="5">
          <cell r="A5" t="str">
            <v>TKTB</v>
          </cell>
        </row>
      </sheetData>
      <sheetData sheetId="5">
        <row r="2">
          <cell r="D2" t="str">
            <v>MaTK</v>
          </cell>
        </row>
        <row r="3">
          <cell r="B3" t="str">
            <v>OK</v>
          </cell>
          <cell r="H3" t="str">
            <v>01</v>
          </cell>
          <cell r="I3" t="str">
            <v>1. Doanh thu bán hàng và cung cấp dịch vụ</v>
          </cell>
          <cell r="M3" t="str">
            <v>BTDC</v>
          </cell>
        </row>
        <row r="4">
          <cell r="B4" t="str">
            <v>Refuse</v>
          </cell>
          <cell r="H4" t="str">
            <v>02</v>
          </cell>
          <cell r="I4" t="str">
            <v>2. Các khoản giảm trừ doanh thu</v>
          </cell>
          <cell r="M4" t="str">
            <v>BTTH</v>
          </cell>
        </row>
        <row r="5">
          <cell r="H5" t="str">
            <v>10</v>
          </cell>
          <cell r="I5" t="str">
            <v>3. Doanh thu thuần về bán hàng và cung cấp dịch vụ</v>
          </cell>
        </row>
        <row r="6">
          <cell r="H6" t="str">
            <v>11</v>
          </cell>
          <cell r="I6" t="str">
            <v>4. Giá vốn hàng bán</v>
          </cell>
        </row>
        <row r="7">
          <cell r="H7" t="str">
            <v>20</v>
          </cell>
          <cell r="I7" t="str">
            <v>5. Lợi nhuận gộp về bán hàng và cung cấp dịch vụ</v>
          </cell>
        </row>
        <row r="8">
          <cell r="H8" t="str">
            <v>21</v>
          </cell>
          <cell r="I8" t="str">
            <v>6. Doanh thu hoạt động tài chính</v>
          </cell>
        </row>
        <row r="9">
          <cell r="H9" t="str">
            <v>22</v>
          </cell>
          <cell r="I9" t="str">
            <v>7. Chi phí tài chính</v>
          </cell>
        </row>
        <row r="10">
          <cell r="H10" t="str">
            <v>23</v>
          </cell>
          <cell r="I10" t="str">
            <v xml:space="preserve"> - Trong đó: Chi phí lãi vay</v>
          </cell>
        </row>
        <row r="11">
          <cell r="H11" t="str">
            <v>24</v>
          </cell>
          <cell r="I11" t="str">
            <v>8. Chi phí bán hàng</v>
          </cell>
        </row>
        <row r="12">
          <cell r="H12" t="str">
            <v>25</v>
          </cell>
          <cell r="I12" t="str">
            <v>9. Chi phí quản lý doanh nghiệp</v>
          </cell>
        </row>
        <row r="13">
          <cell r="H13" t="str">
            <v>30</v>
          </cell>
          <cell r="I13" t="str">
            <v xml:space="preserve">10. Lợi nhuận thuần từ hoạt động kinh doanh </v>
          </cell>
        </row>
        <row r="14">
          <cell r="H14" t="str">
            <v>31</v>
          </cell>
          <cell r="I14" t="str">
            <v>11. Thu nhập khác</v>
          </cell>
        </row>
        <row r="15">
          <cell r="H15" t="str">
            <v>32</v>
          </cell>
          <cell r="I15" t="str">
            <v xml:space="preserve">12. Chi phí khác </v>
          </cell>
        </row>
        <row r="16">
          <cell r="H16" t="str">
            <v>40</v>
          </cell>
          <cell r="I16" t="str">
            <v>13. Lợi nhuận khác</v>
          </cell>
        </row>
        <row r="17">
          <cell r="H17" t="str">
            <v>50</v>
          </cell>
          <cell r="I17" t="str">
            <v xml:space="preserve">14. Tổng lợi nhuận kế toán trước thuế </v>
          </cell>
        </row>
        <row r="18">
          <cell r="H18" t="str">
            <v>51</v>
          </cell>
          <cell r="I18" t="str">
            <v>15. Chi phí thuế TNDN hiện hành</v>
          </cell>
        </row>
        <row r="19">
          <cell r="H19" t="str">
            <v>52</v>
          </cell>
          <cell r="I19" t="str">
            <v>16. Chi phí thuế TNDN hoãn lại</v>
          </cell>
        </row>
        <row r="20">
          <cell r="H20" t="str">
            <v>60</v>
          </cell>
          <cell r="I20" t="str">
            <v>17. Lợi nhuận sau thuế TNDN</v>
          </cell>
        </row>
        <row r="21">
          <cell r="H21" t="str">
            <v>70</v>
          </cell>
          <cell r="I21" t="str">
            <v>18. Lãi cơ bản trên cổ phiếu</v>
          </cell>
        </row>
        <row r="22">
          <cell r="H22" t="str">
            <v>100</v>
          </cell>
          <cell r="I22" t="str">
            <v>A. TÀI SẢN NGẮN HẠN</v>
          </cell>
        </row>
        <row r="23">
          <cell r="H23" t="str">
            <v>110</v>
          </cell>
          <cell r="I23" t="str">
            <v>I. Tiền và các khoản tương đương tiền</v>
          </cell>
        </row>
        <row r="24">
          <cell r="H24" t="str">
            <v>111</v>
          </cell>
          <cell r="I24" t="str">
            <v>1. Tiền</v>
          </cell>
        </row>
        <row r="25">
          <cell r="H25" t="str">
            <v>112</v>
          </cell>
          <cell r="I25" t="str">
            <v>2. Các khoản tương đương tiền</v>
          </cell>
        </row>
        <row r="26">
          <cell r="H26" t="str">
            <v>120</v>
          </cell>
          <cell r="I26" t="str">
            <v>II. Các khoản đầu tư tài chính ngắn hạn</v>
          </cell>
        </row>
        <row r="27">
          <cell r="H27" t="str">
            <v>121</v>
          </cell>
          <cell r="I27" t="str">
            <v>1. Đầu tư ngắn hạn</v>
          </cell>
        </row>
        <row r="28">
          <cell r="H28" t="str">
            <v>129</v>
          </cell>
          <cell r="I28" t="str">
            <v>2. Dự phòng giảm giá đầu tư ngắn hạn (*)</v>
          </cell>
        </row>
        <row r="29">
          <cell r="H29" t="str">
            <v>130</v>
          </cell>
          <cell r="I29" t="str">
            <v>III. Các khoản phải thu ngắn hạn</v>
          </cell>
        </row>
        <row r="30">
          <cell r="H30" t="str">
            <v>131</v>
          </cell>
          <cell r="I30" t="str">
            <v>1. Phải thu khách hàng</v>
          </cell>
        </row>
        <row r="31">
          <cell r="H31" t="str">
            <v>132</v>
          </cell>
          <cell r="I31" t="str">
            <v>2. Trả trước cho người bán</v>
          </cell>
        </row>
        <row r="32">
          <cell r="H32" t="str">
            <v>133</v>
          </cell>
          <cell r="I32" t="str">
            <v>3. Phải thu nội bộ ngắn hạn</v>
          </cell>
        </row>
        <row r="33">
          <cell r="H33" t="str">
            <v>134</v>
          </cell>
          <cell r="I33" t="str">
            <v>4. Phải thu theo tiến độ kế hoạch HĐXD</v>
          </cell>
        </row>
        <row r="34">
          <cell r="H34" t="str">
            <v>135</v>
          </cell>
          <cell r="I34" t="str">
            <v>5. Các khoản phải thu khác</v>
          </cell>
        </row>
        <row r="35">
          <cell r="H35" t="str">
            <v>139</v>
          </cell>
          <cell r="I35" t="str">
            <v>6. Dự phòng phải thu ngắn hạn khó đòi (*)</v>
          </cell>
        </row>
        <row r="36">
          <cell r="H36" t="str">
            <v>140</v>
          </cell>
          <cell r="I36" t="str">
            <v>IV. Hàng tồn kho</v>
          </cell>
        </row>
        <row r="37">
          <cell r="H37" t="str">
            <v>141</v>
          </cell>
          <cell r="I37" t="str">
            <v>1. Hàng tồn kho</v>
          </cell>
        </row>
        <row r="38">
          <cell r="H38" t="str">
            <v>149</v>
          </cell>
          <cell r="I38" t="str">
            <v>2. Dự phòng giảm giá hàng tồn kho (*)</v>
          </cell>
        </row>
        <row r="39">
          <cell r="H39" t="str">
            <v>150</v>
          </cell>
          <cell r="I39" t="str">
            <v>V. Tài sản ngắn hạn khác</v>
          </cell>
        </row>
        <row r="40">
          <cell r="H40" t="str">
            <v>151</v>
          </cell>
          <cell r="I40" t="str">
            <v>1. Chi phí trả trước ngắn hạn</v>
          </cell>
        </row>
        <row r="41">
          <cell r="H41" t="str">
            <v>152</v>
          </cell>
          <cell r="I41" t="str">
            <v>2. Thuế GTGT được khấu trừ</v>
          </cell>
        </row>
        <row r="42">
          <cell r="H42" t="str">
            <v>154</v>
          </cell>
          <cell r="I42" t="str">
            <v>3. Thuế và các khoản phải thu Nhà nước</v>
          </cell>
        </row>
        <row r="43">
          <cell r="H43" t="str">
            <v>157</v>
          </cell>
          <cell r="I43" t="str">
            <v>4. Giao dịch mua bán lại trái phiếu Chính phủ</v>
          </cell>
        </row>
        <row r="44">
          <cell r="H44" t="str">
            <v>158</v>
          </cell>
          <cell r="I44" t="str">
            <v>5. Tài sản ngắn hạn khác</v>
          </cell>
        </row>
        <row r="45">
          <cell r="H45" t="str">
            <v>200</v>
          </cell>
          <cell r="I45" t="str">
            <v>B. TÀI SẢN DÀI HẠN</v>
          </cell>
        </row>
        <row r="46">
          <cell r="H46" t="str">
            <v>210</v>
          </cell>
          <cell r="I46" t="str">
            <v>I. Các khoản phải thu dài hạn</v>
          </cell>
        </row>
        <row r="47">
          <cell r="H47" t="str">
            <v>211</v>
          </cell>
          <cell r="I47" t="str">
            <v>1. Phải thu dài hạn của khách hàng</v>
          </cell>
        </row>
        <row r="48">
          <cell r="H48" t="str">
            <v>212</v>
          </cell>
          <cell r="I48" t="str">
            <v>2. Vốn kinh doanh ở đơn vị trực thuộc</v>
          </cell>
        </row>
        <row r="49">
          <cell r="H49" t="str">
            <v>213</v>
          </cell>
          <cell r="I49" t="str">
            <v>3. Phải thu dài hạn nội bộ</v>
          </cell>
        </row>
        <row r="50">
          <cell r="H50" t="str">
            <v>218</v>
          </cell>
          <cell r="I50" t="str">
            <v>4. Phải thu dài hạn khác</v>
          </cell>
        </row>
        <row r="51">
          <cell r="H51" t="str">
            <v>219</v>
          </cell>
          <cell r="I51" t="str">
            <v>5. Dự phòng phải thu dài hạn khó đòi (*)</v>
          </cell>
        </row>
        <row r="52">
          <cell r="H52" t="str">
            <v>220</v>
          </cell>
          <cell r="I52" t="str">
            <v>II. Tài sản cố định</v>
          </cell>
        </row>
        <row r="53">
          <cell r="H53" t="str">
            <v>221</v>
          </cell>
          <cell r="I53" t="str">
            <v>1. Tài sản cố định hữu hình</v>
          </cell>
        </row>
        <row r="54">
          <cell r="H54" t="str">
            <v>222</v>
          </cell>
          <cell r="I54" t="str">
            <v xml:space="preserve"> - Nguyên giá</v>
          </cell>
        </row>
        <row r="55">
          <cell r="H55" t="str">
            <v>223</v>
          </cell>
          <cell r="I55" t="str">
            <v xml:space="preserve"> - Giá trị hao mòn lũy kế (*)</v>
          </cell>
        </row>
        <row r="56">
          <cell r="H56" t="str">
            <v>224</v>
          </cell>
          <cell r="I56" t="str">
            <v>2. Tài sản cố định thuê tài chính</v>
          </cell>
        </row>
        <row r="57">
          <cell r="H57" t="str">
            <v>225</v>
          </cell>
          <cell r="I57" t="str">
            <v xml:space="preserve"> - Nguyên giá</v>
          </cell>
        </row>
        <row r="58">
          <cell r="H58" t="str">
            <v>226</v>
          </cell>
          <cell r="I58" t="str">
            <v xml:space="preserve"> - Giá trị hao mòn lũy kế (*)</v>
          </cell>
        </row>
        <row r="59">
          <cell r="H59" t="str">
            <v>227</v>
          </cell>
          <cell r="I59" t="str">
            <v>3. Tài sản cố định vô hình</v>
          </cell>
        </row>
        <row r="60">
          <cell r="H60" t="str">
            <v>228</v>
          </cell>
          <cell r="I60" t="str">
            <v xml:space="preserve"> - Nguyên giá</v>
          </cell>
        </row>
        <row r="61">
          <cell r="H61" t="str">
            <v>229</v>
          </cell>
          <cell r="I61" t="str">
            <v xml:space="preserve"> - Giá trị hao mòn lũy kế (*)</v>
          </cell>
        </row>
        <row r="62">
          <cell r="H62" t="str">
            <v>230</v>
          </cell>
          <cell r="I62" t="str">
            <v>4. Chi phí xây dựng cơ bản dở dang</v>
          </cell>
        </row>
        <row r="63">
          <cell r="H63" t="str">
            <v>240</v>
          </cell>
          <cell r="I63" t="str">
            <v>III. Bất động sản đầu tư</v>
          </cell>
        </row>
        <row r="64">
          <cell r="H64" t="str">
            <v>241</v>
          </cell>
          <cell r="I64" t="str">
            <v xml:space="preserve"> - Nguyên giá</v>
          </cell>
        </row>
        <row r="65">
          <cell r="H65" t="str">
            <v>242</v>
          </cell>
          <cell r="I65" t="str">
            <v xml:space="preserve"> - Giá trị hao mòn lũy kế (*)</v>
          </cell>
        </row>
        <row r="66">
          <cell r="H66" t="str">
            <v>250</v>
          </cell>
          <cell r="I66" t="str">
            <v>IV. Các khoản đầu tư tài chính dài hạn</v>
          </cell>
        </row>
        <row r="67">
          <cell r="H67" t="str">
            <v>251</v>
          </cell>
          <cell r="I67" t="str">
            <v>1. Đầu tư vào công ty con</v>
          </cell>
        </row>
        <row r="68">
          <cell r="H68" t="str">
            <v>252</v>
          </cell>
          <cell r="I68" t="str">
            <v>2. Đầu tư vào công ty liên kết, liên doanh</v>
          </cell>
        </row>
        <row r="69">
          <cell r="H69" t="str">
            <v>258</v>
          </cell>
          <cell r="I69" t="str">
            <v>3. Đầu tư dài hạn khác</v>
          </cell>
        </row>
        <row r="70">
          <cell r="H70" t="str">
            <v>259</v>
          </cell>
          <cell r="I70" t="str">
            <v xml:space="preserve">4. Dự phòng giảm giá đầu tư tài chính dài hạn (*) </v>
          </cell>
        </row>
        <row r="71">
          <cell r="H71" t="str">
            <v>260</v>
          </cell>
          <cell r="I71" t="str">
            <v>V. Tài sản dài hạn khác</v>
          </cell>
        </row>
        <row r="72">
          <cell r="H72" t="str">
            <v>261</v>
          </cell>
          <cell r="I72" t="str">
            <v>1. Chi phí trả trước dài hạn</v>
          </cell>
        </row>
        <row r="73">
          <cell r="H73" t="str">
            <v>262</v>
          </cell>
          <cell r="I73" t="str">
            <v>2. Tài sản thuế thu nhập hoãn lại</v>
          </cell>
        </row>
        <row r="74">
          <cell r="H74" t="str">
            <v>268</v>
          </cell>
          <cell r="I74" t="str">
            <v>3. Tài sản dài hạn khác</v>
          </cell>
        </row>
        <row r="75">
          <cell r="H75" t="str">
            <v>270</v>
          </cell>
          <cell r="I75" t="str">
            <v>TỔNG CỘNG TÀI SẢN</v>
          </cell>
        </row>
        <row r="76">
          <cell r="H76" t="str">
            <v>300</v>
          </cell>
          <cell r="I76" t="str">
            <v>A. NỢ PHẢI TRẢ</v>
          </cell>
        </row>
        <row r="77">
          <cell r="H77" t="str">
            <v>310</v>
          </cell>
          <cell r="I77" t="str">
            <v>I. Nợ ngắn hạn</v>
          </cell>
        </row>
        <row r="78">
          <cell r="H78" t="str">
            <v>311</v>
          </cell>
          <cell r="I78" t="str">
            <v>1. Vay và nợ ngắn hạn</v>
          </cell>
        </row>
        <row r="79">
          <cell r="H79" t="str">
            <v>312</v>
          </cell>
          <cell r="I79" t="str">
            <v>2. Phải trả người bán</v>
          </cell>
        </row>
        <row r="80">
          <cell r="H80" t="str">
            <v>313</v>
          </cell>
          <cell r="I80" t="str">
            <v>3. Người mua trả tiền trước</v>
          </cell>
        </row>
        <row r="81">
          <cell r="H81" t="str">
            <v>314</v>
          </cell>
          <cell r="I81" t="str">
            <v xml:space="preserve">4. Thuế và các khoản phải nộp Nhà nước </v>
          </cell>
        </row>
        <row r="82">
          <cell r="H82" t="str">
            <v>315</v>
          </cell>
          <cell r="I82" t="str">
            <v>5. Phải trả người lao động</v>
          </cell>
        </row>
        <row r="83">
          <cell r="H83" t="str">
            <v>316</v>
          </cell>
          <cell r="I83" t="str">
            <v>6. Chi phí phải trả</v>
          </cell>
        </row>
        <row r="84">
          <cell r="H84" t="str">
            <v>317</v>
          </cell>
          <cell r="I84" t="str">
            <v>7. Phải trả nội bộ</v>
          </cell>
        </row>
        <row r="85">
          <cell r="H85" t="str">
            <v>318</v>
          </cell>
          <cell r="I85" t="str">
            <v>8. Phải trả theo tiến độ kế hoạch HĐXD</v>
          </cell>
        </row>
        <row r="86">
          <cell r="H86" t="str">
            <v>319</v>
          </cell>
          <cell r="I86" t="str">
            <v>9. Các khoản phải trả, phải nộp ngắn hạn khác</v>
          </cell>
        </row>
        <row r="87">
          <cell r="H87" t="str">
            <v>320</v>
          </cell>
          <cell r="I87" t="str">
            <v>10. Dự phòng phải trả ngắn hạn</v>
          </cell>
        </row>
        <row r="88">
          <cell r="H88" t="str">
            <v>323</v>
          </cell>
          <cell r="I88" t="str">
            <v>11. Quỹ khen thưởng phúc lợi</v>
          </cell>
        </row>
        <row r="89">
          <cell r="H89" t="str">
            <v>327</v>
          </cell>
          <cell r="I89" t="str">
            <v>12. Giao dịch mua bán lại trái phiếu chính phủ</v>
          </cell>
        </row>
        <row r="90">
          <cell r="H90" t="str">
            <v>330</v>
          </cell>
          <cell r="I90" t="str">
            <v>II. Nợ dài hạn</v>
          </cell>
        </row>
        <row r="91">
          <cell r="H91" t="str">
            <v>331</v>
          </cell>
          <cell r="I91" t="str">
            <v>1. Phải trả dài hạn người bán</v>
          </cell>
        </row>
        <row r="92">
          <cell r="H92" t="str">
            <v>332</v>
          </cell>
          <cell r="I92" t="str">
            <v>2. Phải trả dài hạn nội bộ</v>
          </cell>
        </row>
        <row r="93">
          <cell r="H93" t="str">
            <v>333</v>
          </cell>
          <cell r="I93" t="str">
            <v>3. Phải trả dài hạn khác</v>
          </cell>
        </row>
        <row r="94">
          <cell r="H94" t="str">
            <v>334</v>
          </cell>
          <cell r="I94" t="str">
            <v>4. Vay và nợ dài hạn</v>
          </cell>
        </row>
        <row r="95">
          <cell r="H95" t="str">
            <v>335</v>
          </cell>
          <cell r="I95" t="str">
            <v>5. Thuế thu nhập hoãn lại phải trả</v>
          </cell>
        </row>
        <row r="96">
          <cell r="H96" t="str">
            <v>336</v>
          </cell>
          <cell r="I96" t="str">
            <v>6. Dự phòng trợ cấp mất việc làm</v>
          </cell>
        </row>
        <row r="97">
          <cell r="H97" t="str">
            <v>337</v>
          </cell>
          <cell r="I97" t="str">
            <v>7. Dự phòng phải trả dài hạn</v>
          </cell>
        </row>
        <row r="98">
          <cell r="H98" t="str">
            <v>338</v>
          </cell>
          <cell r="I98" t="str">
            <v>8. Doanh thu chưa thực hiện</v>
          </cell>
        </row>
        <row r="99">
          <cell r="H99" t="str">
            <v>339</v>
          </cell>
          <cell r="I99" t="str">
            <v>9. Quỹ phát triển khoa học công nghệ</v>
          </cell>
        </row>
        <row r="100">
          <cell r="H100" t="str">
            <v>400</v>
          </cell>
          <cell r="I100" t="str">
            <v>B. VỐN CHỦ SỞ HỮU</v>
          </cell>
        </row>
        <row r="101">
          <cell r="H101" t="str">
            <v>410</v>
          </cell>
          <cell r="I101" t="str">
            <v>I. Vốn chủ sở hữu</v>
          </cell>
        </row>
        <row r="102">
          <cell r="H102" t="str">
            <v>411</v>
          </cell>
          <cell r="I102" t="str">
            <v>1. Vốn đầu tư của chủ sở hữu</v>
          </cell>
        </row>
        <row r="103">
          <cell r="H103" t="str">
            <v>412</v>
          </cell>
          <cell r="I103" t="str">
            <v>2. Thặng dư vốn cổ phần</v>
          </cell>
        </row>
        <row r="104">
          <cell r="H104" t="str">
            <v>413</v>
          </cell>
          <cell r="I104" t="str">
            <v>3. Vốn khác của chủ sở hữu</v>
          </cell>
        </row>
        <row r="105">
          <cell r="H105" t="str">
            <v>414</v>
          </cell>
          <cell r="I105" t="str">
            <v>4. Cổ phiếu quỹ (*)</v>
          </cell>
        </row>
        <row r="106">
          <cell r="H106" t="str">
            <v>415</v>
          </cell>
          <cell r="I106" t="str">
            <v>5. Chênh lệch đánh giá lại tài sản</v>
          </cell>
        </row>
        <row r="107">
          <cell r="H107" t="str">
            <v>416</v>
          </cell>
          <cell r="I107" t="str">
            <v>6. Chênh lệch tỷ giá hối đoái</v>
          </cell>
        </row>
        <row r="108">
          <cell r="H108" t="str">
            <v>417</v>
          </cell>
          <cell r="I108" t="str">
            <v>7. Quỹ đầu tư phát triển</v>
          </cell>
        </row>
        <row r="109">
          <cell r="H109" t="str">
            <v>418</v>
          </cell>
          <cell r="I109" t="str">
            <v>8. Quỹ dự phòng tài chính</v>
          </cell>
        </row>
        <row r="110">
          <cell r="H110" t="str">
            <v>419</v>
          </cell>
          <cell r="I110" t="str">
            <v>9. Quỹ khác thuộc vốn chủ sở hữu</v>
          </cell>
        </row>
        <row r="111">
          <cell r="H111" t="str">
            <v>420</v>
          </cell>
          <cell r="I111" t="str">
            <v>10. Lợi nhuận sau thuế chưa phân phối</v>
          </cell>
        </row>
        <row r="112">
          <cell r="H112" t="str">
            <v>421</v>
          </cell>
          <cell r="I112" t="str">
            <v>11. Nguồn vốn đầu tư XDCB</v>
          </cell>
        </row>
        <row r="113">
          <cell r="H113" t="str">
            <v>422</v>
          </cell>
          <cell r="I113" t="str">
            <v>12. Quỹ hỗ trợ sắp xếp doanh nghiệp</v>
          </cell>
        </row>
        <row r="114">
          <cell r="H114" t="str">
            <v>430</v>
          </cell>
          <cell r="I114" t="str">
            <v>II. Nguồn kinh phí và các quỹ khác</v>
          </cell>
        </row>
        <row r="115">
          <cell r="H115" t="str">
            <v>432</v>
          </cell>
          <cell r="I115" t="str">
            <v>2. Nguồn kinh phí</v>
          </cell>
        </row>
        <row r="116">
          <cell r="H116" t="str">
            <v>433</v>
          </cell>
          <cell r="I116" t="str">
            <v>3. Nguồn kinh phí đã hình thành TSCĐ</v>
          </cell>
        </row>
        <row r="117">
          <cell r="H117" t="str">
            <v>440</v>
          </cell>
          <cell r="I117" t="str">
            <v>TỔNG CỘNG NGUỒN VỐN</v>
          </cell>
        </row>
      </sheetData>
      <sheetData sheetId="6">
        <row r="11">
          <cell r="F11" t="str">
            <v>1122</v>
          </cell>
        </row>
      </sheetData>
      <sheetData sheetId="7"/>
      <sheetData sheetId="8"/>
      <sheetData sheetId="9"/>
      <sheetData sheetId="10"/>
      <sheetData sheetId="11">
        <row r="7">
          <cell r="F7" t="str">
            <v>Văn phòng</v>
          </cell>
        </row>
      </sheetData>
      <sheetData sheetId="12"/>
      <sheetData sheetId="13">
        <row r="20">
          <cell r="AG20">
            <v>5</v>
          </cell>
        </row>
      </sheetData>
      <sheetData sheetId="14"/>
      <sheetData sheetId="15"/>
      <sheetData sheetId="16"/>
      <sheetData sheetId="17"/>
      <sheetData sheetId="18"/>
      <sheetData sheetId="19"/>
      <sheetData sheetId="20"/>
      <sheetData sheetId="21">
        <row r="8">
          <cell r="D8" t="str">
            <v>21211</v>
          </cell>
        </row>
      </sheetData>
      <sheetData sheetId="22">
        <row r="8">
          <cell r="D8" t="str">
            <v>2131</v>
          </cell>
        </row>
      </sheetData>
      <sheetData sheetId="23">
        <row r="8">
          <cell r="D8" t="str">
            <v>2171</v>
          </cell>
        </row>
      </sheetData>
      <sheetData sheetId="24">
        <row r="13">
          <cell r="B13" t="str">
            <v>I. LƯU CHUYỂN TIỀN TỪ HOẠT ĐỘNG KINH DOANH</v>
          </cell>
        </row>
      </sheetData>
      <sheetData sheetId="25">
        <row r="55">
          <cell r="B55" t="str">
            <v>.</v>
          </cell>
        </row>
      </sheetData>
      <sheetData sheetId="26">
        <row r="8">
          <cell r="D8" t="str">
            <v>2111</v>
          </cell>
        </row>
      </sheetData>
      <sheetData sheetId="27"/>
      <sheetData sheetId="28"/>
      <sheetData sheetId="29">
        <row r="10">
          <cell r="D10" t="str">
            <v>4111</v>
          </cell>
        </row>
      </sheetData>
      <sheetData sheetId="30">
        <row r="41">
          <cell r="D41">
            <v>504715509.47000003</v>
          </cell>
        </row>
      </sheetData>
      <sheetData sheetId="31"/>
      <sheetData sheetId="32"/>
      <sheetData sheetId="33"/>
      <sheetData sheetId="34">
        <row r="38">
          <cell r="B38">
            <v>-4229</v>
          </cell>
        </row>
      </sheetData>
      <sheetData sheetId="35"/>
      <sheetData sheetId="36"/>
      <sheetData sheetId="37"/>
      <sheetData sheetId="38">
        <row r="4">
          <cell r="A4" t="str">
            <v>Dk</v>
          </cell>
        </row>
      </sheetData>
      <sheetData sheetId="39"/>
      <sheetData sheetId="40"/>
      <sheetData sheetId="41">
        <row r="9">
          <cell r="B9" t="str">
            <v>111</v>
          </cell>
        </row>
      </sheetData>
      <sheetData sheetId="42">
        <row r="9">
          <cell r="B9" t="str">
            <v>111</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M_Sheet"/>
      <sheetName val="Thong_tin"/>
      <sheetName val="Danh_muc"/>
      <sheetName val="DM"/>
      <sheetName val="Dieu_chinh"/>
      <sheetName val="Sai_sotKDC"/>
      <sheetName val="Chi_tiet"/>
      <sheetName val="Soat_xet"/>
      <sheetName val="Tong_hop"/>
      <sheetName val="BiaBC"/>
      <sheetName val="BCBGD"/>
      <sheetName val="BCKT"/>
      <sheetName val="Cac Y kien"/>
      <sheetName val="CDKT"/>
      <sheetName val="KQKD"/>
      <sheetName val="LCGT"/>
      <sheetName val="LCTT"/>
      <sheetName val="Thuyet_minh"/>
      <sheetName val="TM_DTTC"/>
      <sheetName val="TM_TSCDHH"/>
      <sheetName val="TM_TSCDTTC"/>
      <sheetName val="TM_TSCDVH"/>
      <sheetName val="TM_BĐSĐT"/>
      <sheetName val="TM_Vay "/>
      <sheetName val="TM_Thue"/>
      <sheetName val="TM_VCSH"/>
      <sheetName val="TM_BCBPKD"/>
      <sheetName val="TM_BCBPDL"/>
      <sheetName val="LaiTCP"/>
      <sheetName val="KN_CPBQ"/>
      <sheetName val="KT_CPBQ"/>
      <sheetName val="CT_LCGT"/>
      <sheetName val="QTTNDN"/>
      <sheetName val="Doi_chieu"/>
      <sheetName val="Phan_tich"/>
      <sheetName val="Trong_yeu"/>
      <sheetName val="TM_ChenhLechTK"/>
      <sheetName val="TM_ChenhLechCT"/>
    </sheetNames>
    <sheetDataSet>
      <sheetData sheetId="0" refreshError="1"/>
      <sheetData sheetId="1" refreshError="1"/>
      <sheetData sheetId="2" refreshError="1">
        <row r="9">
          <cell r="D9" t="str">
            <v>Công ty TNHH Bất động sản Anvie</v>
          </cell>
        </row>
      </sheetData>
      <sheetData sheetId="3" refreshError="1"/>
      <sheetData sheetId="4" refreshError="1">
        <row r="2">
          <cell r="D2" t="str">
            <v>MaTK</v>
          </cell>
        </row>
        <row r="3">
          <cell r="D3" t="str">
            <v>1111</v>
          </cell>
          <cell r="F3" t="str">
            <v>x</v>
          </cell>
        </row>
        <row r="4">
          <cell r="D4" t="str">
            <v>1112</v>
          </cell>
          <cell r="F4" t="str">
            <v>S</v>
          </cell>
        </row>
        <row r="5">
          <cell r="D5" t="str">
            <v>1113</v>
          </cell>
          <cell r="F5" t="str">
            <v>o</v>
          </cell>
        </row>
        <row r="6">
          <cell r="D6" t="str">
            <v>1121</v>
          </cell>
          <cell r="F6" t="str">
            <v>.</v>
          </cell>
        </row>
        <row r="7">
          <cell r="D7" t="str">
            <v>1122</v>
          </cell>
        </row>
        <row r="8">
          <cell r="D8" t="str">
            <v>1123</v>
          </cell>
        </row>
        <row r="9">
          <cell r="D9" t="str">
            <v>1131</v>
          </cell>
        </row>
        <row r="10">
          <cell r="D10" t="str">
            <v>1132</v>
          </cell>
        </row>
        <row r="11">
          <cell r="D11" t="str">
            <v>1211</v>
          </cell>
        </row>
        <row r="12">
          <cell r="D12" t="str">
            <v>1212</v>
          </cell>
        </row>
        <row r="13">
          <cell r="D13" t="str">
            <v>1218</v>
          </cell>
        </row>
        <row r="14">
          <cell r="D14" t="str">
            <v>121t</v>
          </cell>
        </row>
        <row r="15">
          <cell r="D15" t="str">
            <v>128</v>
          </cell>
        </row>
        <row r="16">
          <cell r="D16" t="str">
            <v>1281n</v>
          </cell>
        </row>
        <row r="17">
          <cell r="D17" t="str">
            <v>1281d</v>
          </cell>
        </row>
        <row r="18">
          <cell r="D18" t="str">
            <v>1282n</v>
          </cell>
        </row>
        <row r="19">
          <cell r="D19" t="str">
            <v>1282d</v>
          </cell>
        </row>
        <row r="20">
          <cell r="D20" t="str">
            <v>1283n</v>
          </cell>
        </row>
        <row r="21">
          <cell r="D21" t="str">
            <v>1283d</v>
          </cell>
        </row>
        <row r="22">
          <cell r="D22" t="str">
            <v>1288n</v>
          </cell>
        </row>
        <row r="23">
          <cell r="D23" t="str">
            <v>1288d</v>
          </cell>
        </row>
        <row r="24">
          <cell r="D24" t="str">
            <v>1281t</v>
          </cell>
        </row>
        <row r="25">
          <cell r="D25" t="str">
            <v>1288t</v>
          </cell>
        </row>
        <row r="26">
          <cell r="D26" t="str">
            <v>131an</v>
          </cell>
        </row>
        <row r="27">
          <cell r="D27" t="str">
            <v>131ad</v>
          </cell>
        </row>
        <row r="28">
          <cell r="D28" t="str">
            <v>131bn</v>
          </cell>
        </row>
        <row r="29">
          <cell r="D29" t="str">
            <v>131bd</v>
          </cell>
        </row>
        <row r="30">
          <cell r="D30" t="str">
            <v>1331a</v>
          </cell>
        </row>
        <row r="31">
          <cell r="D31" t="str">
            <v>1331b</v>
          </cell>
        </row>
        <row r="32">
          <cell r="D32" t="str">
            <v>1332a</v>
          </cell>
        </row>
        <row r="33">
          <cell r="D33" t="str">
            <v>1332b</v>
          </cell>
        </row>
        <row r="34">
          <cell r="D34" t="str">
            <v>1361</v>
          </cell>
        </row>
        <row r="35">
          <cell r="D35" t="str">
            <v>1362n</v>
          </cell>
        </row>
        <row r="36">
          <cell r="D36" t="str">
            <v>1362d</v>
          </cell>
        </row>
        <row r="37">
          <cell r="D37" t="str">
            <v>1363n</v>
          </cell>
        </row>
        <row r="38">
          <cell r="D38" t="str">
            <v>1363d</v>
          </cell>
        </row>
        <row r="39">
          <cell r="D39" t="str">
            <v>1368n</v>
          </cell>
        </row>
        <row r="40">
          <cell r="D40" t="str">
            <v>1368d</v>
          </cell>
        </row>
        <row r="41">
          <cell r="D41" t="str">
            <v>1381</v>
          </cell>
        </row>
        <row r="42">
          <cell r="D42" t="str">
            <v>1385an</v>
          </cell>
        </row>
        <row r="43">
          <cell r="D43" t="str">
            <v>1385ad</v>
          </cell>
        </row>
        <row r="44">
          <cell r="D44" t="str">
            <v>1385bn</v>
          </cell>
        </row>
        <row r="45">
          <cell r="D45" t="str">
            <v>1385bd</v>
          </cell>
        </row>
        <row r="46">
          <cell r="D46" t="str">
            <v>1388an</v>
          </cell>
        </row>
        <row r="47">
          <cell r="D47" t="str">
            <v>1388bn</v>
          </cell>
        </row>
        <row r="48">
          <cell r="D48" t="str">
            <v>1388ad</v>
          </cell>
        </row>
        <row r="49">
          <cell r="D49" t="str">
            <v>1388bd</v>
          </cell>
        </row>
        <row r="50">
          <cell r="D50" t="str">
            <v>13881an</v>
          </cell>
        </row>
        <row r="51">
          <cell r="D51" t="str">
            <v>141n</v>
          </cell>
        </row>
        <row r="52">
          <cell r="D52" t="str">
            <v>141d</v>
          </cell>
        </row>
        <row r="53">
          <cell r="D53" t="str">
            <v>151</v>
          </cell>
        </row>
        <row r="54">
          <cell r="D54" t="str">
            <v>152</v>
          </cell>
        </row>
        <row r="55">
          <cell r="D55" t="str">
            <v>153</v>
          </cell>
        </row>
        <row r="56">
          <cell r="D56" t="str">
            <v>1531</v>
          </cell>
        </row>
        <row r="57">
          <cell r="D57" t="str">
            <v>1532</v>
          </cell>
        </row>
        <row r="58">
          <cell r="D58" t="str">
            <v>1533</v>
          </cell>
        </row>
        <row r="59">
          <cell r="D59" t="str">
            <v>1534n</v>
          </cell>
        </row>
        <row r="60">
          <cell r="D60" t="str">
            <v>1534d</v>
          </cell>
        </row>
        <row r="61">
          <cell r="D61" t="str">
            <v>154n</v>
          </cell>
        </row>
        <row r="62">
          <cell r="D62" t="str">
            <v>154d</v>
          </cell>
        </row>
        <row r="63">
          <cell r="D63" t="str">
            <v>155</v>
          </cell>
        </row>
        <row r="64">
          <cell r="D64" t="str">
            <v>1551</v>
          </cell>
        </row>
        <row r="65">
          <cell r="D65" t="str">
            <v>1557</v>
          </cell>
        </row>
        <row r="66">
          <cell r="D66" t="str">
            <v>1561</v>
          </cell>
        </row>
        <row r="67">
          <cell r="D67" t="str">
            <v>1562</v>
          </cell>
        </row>
        <row r="68">
          <cell r="D68" t="str">
            <v>1567</v>
          </cell>
        </row>
        <row r="69">
          <cell r="D69" t="str">
            <v>157</v>
          </cell>
        </row>
        <row r="70">
          <cell r="D70" t="str">
            <v>158</v>
          </cell>
        </row>
        <row r="71">
          <cell r="D71" t="str">
            <v>1611</v>
          </cell>
        </row>
        <row r="72">
          <cell r="D72" t="str">
            <v>1612</v>
          </cell>
        </row>
        <row r="73">
          <cell r="D73" t="str">
            <v>171a</v>
          </cell>
        </row>
        <row r="74">
          <cell r="D74" t="str">
            <v>171b</v>
          </cell>
        </row>
        <row r="75">
          <cell r="D75" t="str">
            <v>2111</v>
          </cell>
        </row>
        <row r="76">
          <cell r="D76" t="str">
            <v>2112</v>
          </cell>
        </row>
        <row r="77">
          <cell r="D77" t="str">
            <v>2113</v>
          </cell>
        </row>
        <row r="78">
          <cell r="D78" t="str">
            <v>2114</v>
          </cell>
        </row>
        <row r="79">
          <cell r="D79" t="str">
            <v>2115</v>
          </cell>
        </row>
        <row r="80">
          <cell r="D80" t="str">
            <v>2118</v>
          </cell>
        </row>
        <row r="81">
          <cell r="D81" t="str">
            <v>2121</v>
          </cell>
        </row>
        <row r="82">
          <cell r="D82" t="str">
            <v>21211</v>
          </cell>
        </row>
        <row r="83">
          <cell r="D83" t="str">
            <v>21212</v>
          </cell>
        </row>
        <row r="84">
          <cell r="D84" t="str">
            <v>21213</v>
          </cell>
        </row>
        <row r="85">
          <cell r="D85" t="str">
            <v>21214</v>
          </cell>
        </row>
        <row r="86">
          <cell r="D86" t="str">
            <v>2122</v>
          </cell>
        </row>
        <row r="87">
          <cell r="D87" t="str">
            <v>2131</v>
          </cell>
        </row>
        <row r="88">
          <cell r="D88" t="str">
            <v>2132</v>
          </cell>
        </row>
        <row r="89">
          <cell r="D89" t="str">
            <v>2133</v>
          </cell>
        </row>
        <row r="90">
          <cell r="D90" t="str">
            <v>2134</v>
          </cell>
        </row>
        <row r="91">
          <cell r="D91" t="str">
            <v>2135</v>
          </cell>
        </row>
        <row r="92">
          <cell r="D92" t="str">
            <v>2136</v>
          </cell>
        </row>
        <row r="93">
          <cell r="D93" t="str">
            <v>2138</v>
          </cell>
        </row>
        <row r="94">
          <cell r="D94" t="str">
            <v>21411</v>
          </cell>
        </row>
        <row r="95">
          <cell r="D95" t="str">
            <v>21412</v>
          </cell>
        </row>
        <row r="96">
          <cell r="D96" t="str">
            <v>21413</v>
          </cell>
        </row>
        <row r="97">
          <cell r="D97" t="str">
            <v>21414</v>
          </cell>
        </row>
        <row r="98">
          <cell r="D98" t="str">
            <v>21415</v>
          </cell>
        </row>
        <row r="99">
          <cell r="D99" t="str">
            <v>21418</v>
          </cell>
        </row>
        <row r="100">
          <cell r="D100" t="str">
            <v>21421</v>
          </cell>
        </row>
        <row r="101">
          <cell r="D101" t="str">
            <v>214211</v>
          </cell>
        </row>
        <row r="102">
          <cell r="D102" t="str">
            <v>214212</v>
          </cell>
        </row>
        <row r="103">
          <cell r="D103" t="str">
            <v>214213</v>
          </cell>
        </row>
        <row r="104">
          <cell r="D104" t="str">
            <v>214214</v>
          </cell>
        </row>
        <row r="105">
          <cell r="D105" t="str">
            <v>21422</v>
          </cell>
        </row>
        <row r="106">
          <cell r="D106" t="str">
            <v>21431</v>
          </cell>
        </row>
        <row r="107">
          <cell r="D107" t="str">
            <v>21432</v>
          </cell>
        </row>
        <row r="108">
          <cell r="D108" t="str">
            <v>21433</v>
          </cell>
        </row>
        <row r="109">
          <cell r="D109" t="str">
            <v>21434</v>
          </cell>
        </row>
        <row r="110">
          <cell r="D110" t="str">
            <v>21435</v>
          </cell>
        </row>
        <row r="111">
          <cell r="D111" t="str">
            <v>21436</v>
          </cell>
        </row>
        <row r="112">
          <cell r="D112" t="str">
            <v>21438</v>
          </cell>
        </row>
        <row r="113">
          <cell r="D113" t="str">
            <v>2147</v>
          </cell>
        </row>
        <row r="114">
          <cell r="D114" t="str">
            <v>217</v>
          </cell>
        </row>
        <row r="115">
          <cell r="D115" t="str">
            <v>221</v>
          </cell>
        </row>
        <row r="116">
          <cell r="D116" t="str">
            <v>222</v>
          </cell>
        </row>
        <row r="117">
          <cell r="D117" t="str">
            <v>2281</v>
          </cell>
        </row>
        <row r="118">
          <cell r="D118" t="str">
            <v>2288n</v>
          </cell>
        </row>
        <row r="119">
          <cell r="D119" t="str">
            <v>2288d</v>
          </cell>
        </row>
        <row r="120">
          <cell r="D120" t="str">
            <v>229</v>
          </cell>
        </row>
        <row r="121">
          <cell r="D121" t="str">
            <v>2291</v>
          </cell>
        </row>
        <row r="122">
          <cell r="D122" t="str">
            <v>2292</v>
          </cell>
        </row>
        <row r="123">
          <cell r="D123" t="str">
            <v>2293n</v>
          </cell>
        </row>
        <row r="124">
          <cell r="D124" t="str">
            <v>2293d</v>
          </cell>
        </row>
        <row r="125">
          <cell r="D125" t="str">
            <v>2294n</v>
          </cell>
        </row>
        <row r="126">
          <cell r="D126" t="str">
            <v>2294d153</v>
          </cell>
        </row>
        <row r="127">
          <cell r="D127" t="str">
            <v>2294d154</v>
          </cell>
        </row>
        <row r="128">
          <cell r="D128" t="str">
            <v>2411</v>
          </cell>
        </row>
        <row r="129">
          <cell r="D129" t="str">
            <v>2412</v>
          </cell>
        </row>
        <row r="130">
          <cell r="D130" t="str">
            <v>2413</v>
          </cell>
        </row>
        <row r="131">
          <cell r="D131" t="str">
            <v>2421</v>
          </cell>
        </row>
        <row r="132">
          <cell r="D132" t="str">
            <v>2422</v>
          </cell>
        </row>
        <row r="133">
          <cell r="D133" t="str">
            <v>2423</v>
          </cell>
        </row>
        <row r="134">
          <cell r="D134" t="str">
            <v>2424</v>
          </cell>
        </row>
        <row r="135">
          <cell r="D135" t="str">
            <v>2425</v>
          </cell>
        </row>
        <row r="136">
          <cell r="D136" t="str">
            <v>2426</v>
          </cell>
        </row>
        <row r="137">
          <cell r="D137" t="str">
            <v>2427</v>
          </cell>
        </row>
        <row r="138">
          <cell r="D138" t="str">
            <v>2431</v>
          </cell>
        </row>
        <row r="139">
          <cell r="D139" t="str">
            <v>2432</v>
          </cell>
        </row>
        <row r="140">
          <cell r="D140" t="str">
            <v>2433</v>
          </cell>
        </row>
        <row r="141">
          <cell r="D141" t="str">
            <v>2434</v>
          </cell>
        </row>
        <row r="142">
          <cell r="D142" t="str">
            <v>244</v>
          </cell>
        </row>
        <row r="143">
          <cell r="D143" t="str">
            <v>244n</v>
          </cell>
        </row>
        <row r="144">
          <cell r="D144" t="str">
            <v>244d</v>
          </cell>
        </row>
        <row r="145">
          <cell r="D145" t="str">
            <v>331an</v>
          </cell>
        </row>
        <row r="146">
          <cell r="D146" t="str">
            <v>331ad</v>
          </cell>
        </row>
        <row r="147">
          <cell r="D147" t="str">
            <v>331bn</v>
          </cell>
        </row>
        <row r="148">
          <cell r="D148" t="str">
            <v>331bd</v>
          </cell>
        </row>
        <row r="149">
          <cell r="D149" t="str">
            <v>33311a</v>
          </cell>
        </row>
        <row r="150">
          <cell r="D150" t="str">
            <v>33311b</v>
          </cell>
        </row>
        <row r="151">
          <cell r="D151" t="str">
            <v>33312a</v>
          </cell>
        </row>
        <row r="152">
          <cell r="D152" t="str">
            <v>33312b</v>
          </cell>
        </row>
        <row r="153">
          <cell r="D153" t="str">
            <v>3332a</v>
          </cell>
        </row>
        <row r="154">
          <cell r="D154" t="str">
            <v>3332b</v>
          </cell>
        </row>
        <row r="155">
          <cell r="D155" t="str">
            <v>3333a</v>
          </cell>
        </row>
        <row r="156">
          <cell r="D156" t="str">
            <v>3333b</v>
          </cell>
        </row>
        <row r="157">
          <cell r="D157" t="str">
            <v>3334a</v>
          </cell>
        </row>
        <row r="158">
          <cell r="D158" t="str">
            <v>3334b</v>
          </cell>
        </row>
        <row r="159">
          <cell r="D159" t="str">
            <v>3335a</v>
          </cell>
        </row>
        <row r="160">
          <cell r="D160" t="str">
            <v>3335b</v>
          </cell>
        </row>
        <row r="161">
          <cell r="D161" t="str">
            <v>3336a</v>
          </cell>
        </row>
        <row r="162">
          <cell r="D162" t="str">
            <v>3336b</v>
          </cell>
        </row>
        <row r="163">
          <cell r="D163" t="str">
            <v>3337a</v>
          </cell>
        </row>
        <row r="164">
          <cell r="D164" t="str">
            <v>3337b</v>
          </cell>
        </row>
        <row r="165">
          <cell r="D165" t="str">
            <v>3338a1</v>
          </cell>
        </row>
        <row r="166">
          <cell r="D166" t="str">
            <v>3338a2</v>
          </cell>
        </row>
        <row r="167">
          <cell r="D167" t="str">
            <v>3338b1</v>
          </cell>
        </row>
        <row r="168">
          <cell r="D168" t="str">
            <v>3338b2</v>
          </cell>
        </row>
        <row r="169">
          <cell r="D169" t="str">
            <v>3339a1</v>
          </cell>
        </row>
        <row r="170">
          <cell r="D170" t="str">
            <v>3339a2</v>
          </cell>
        </row>
        <row r="171">
          <cell r="D171" t="str">
            <v>3339b1</v>
          </cell>
        </row>
        <row r="172">
          <cell r="D172" t="str">
            <v>3339b2</v>
          </cell>
        </row>
        <row r="173">
          <cell r="D173" t="str">
            <v>3341an</v>
          </cell>
        </row>
        <row r="174">
          <cell r="D174" t="str">
            <v>3341ad</v>
          </cell>
        </row>
        <row r="175">
          <cell r="D175" t="str">
            <v>3341b</v>
          </cell>
        </row>
        <row r="176">
          <cell r="D176" t="str">
            <v>3348an</v>
          </cell>
        </row>
        <row r="177">
          <cell r="D177" t="str">
            <v>3348ad</v>
          </cell>
        </row>
        <row r="178">
          <cell r="D178" t="str">
            <v>3348b</v>
          </cell>
        </row>
        <row r="179">
          <cell r="D179" t="str">
            <v>335n</v>
          </cell>
        </row>
        <row r="180">
          <cell r="D180" t="str">
            <v>335d</v>
          </cell>
        </row>
        <row r="181">
          <cell r="D181" t="str">
            <v>3361</v>
          </cell>
        </row>
        <row r="182">
          <cell r="D182" t="str">
            <v>3362n</v>
          </cell>
        </row>
        <row r="183">
          <cell r="D183" t="str">
            <v>3362d</v>
          </cell>
        </row>
        <row r="184">
          <cell r="D184" t="str">
            <v>3363n</v>
          </cell>
        </row>
        <row r="185">
          <cell r="D185" t="str">
            <v>3363d</v>
          </cell>
        </row>
        <row r="186">
          <cell r="D186" t="str">
            <v>3368n</v>
          </cell>
        </row>
        <row r="187">
          <cell r="D187" t="str">
            <v>3368d</v>
          </cell>
        </row>
        <row r="188">
          <cell r="D188" t="str">
            <v>337a</v>
          </cell>
        </row>
        <row r="189">
          <cell r="D189" t="str">
            <v>337b</v>
          </cell>
        </row>
        <row r="190">
          <cell r="D190" t="str">
            <v>3381</v>
          </cell>
        </row>
        <row r="191">
          <cell r="D191" t="str">
            <v>3382a</v>
          </cell>
        </row>
        <row r="192">
          <cell r="D192" t="str">
            <v>3382b</v>
          </cell>
        </row>
        <row r="193">
          <cell r="D193" t="str">
            <v>3383a</v>
          </cell>
        </row>
        <row r="194">
          <cell r="D194" t="str">
            <v>3383b</v>
          </cell>
        </row>
        <row r="195">
          <cell r="D195" t="str">
            <v>3384a</v>
          </cell>
        </row>
        <row r="196">
          <cell r="D196" t="str">
            <v>3384b</v>
          </cell>
        </row>
        <row r="197">
          <cell r="D197" t="str">
            <v>3385a</v>
          </cell>
        </row>
        <row r="198">
          <cell r="D198" t="str">
            <v>3385b</v>
          </cell>
        </row>
        <row r="199">
          <cell r="D199" t="str">
            <v>3387an</v>
          </cell>
        </row>
        <row r="200">
          <cell r="D200" t="str">
            <v>3387ad</v>
          </cell>
        </row>
        <row r="201">
          <cell r="D201" t="str">
            <v>3387bn</v>
          </cell>
        </row>
        <row r="202">
          <cell r="D202" t="str">
            <v>3387bd</v>
          </cell>
        </row>
        <row r="203">
          <cell r="D203" t="str">
            <v>3388an</v>
          </cell>
        </row>
        <row r="204">
          <cell r="D204" t="str">
            <v>3388ad</v>
          </cell>
        </row>
        <row r="205">
          <cell r="D205" t="str">
            <v>3388bn</v>
          </cell>
        </row>
        <row r="206">
          <cell r="D206" t="str">
            <v>3388bd</v>
          </cell>
        </row>
        <row r="207">
          <cell r="D207" t="str">
            <v>3386a</v>
          </cell>
        </row>
        <row r="208">
          <cell r="D208" t="str">
            <v>3386b</v>
          </cell>
        </row>
        <row r="209">
          <cell r="D209" t="str">
            <v>3411n</v>
          </cell>
        </row>
        <row r="210">
          <cell r="D210" t="str">
            <v>3411d</v>
          </cell>
        </row>
        <row r="211">
          <cell r="D211" t="str">
            <v>3412n</v>
          </cell>
        </row>
        <row r="212">
          <cell r="D212" t="str">
            <v>3412d</v>
          </cell>
        </row>
        <row r="213">
          <cell r="D213" t="str">
            <v>3431</v>
          </cell>
        </row>
        <row r="214">
          <cell r="D214" t="str">
            <v>34311n</v>
          </cell>
        </row>
        <row r="215">
          <cell r="D215" t="str">
            <v>34311d</v>
          </cell>
        </row>
        <row r="216">
          <cell r="D216" t="str">
            <v>34312</v>
          </cell>
        </row>
        <row r="217">
          <cell r="D217" t="str">
            <v>34313</v>
          </cell>
        </row>
        <row r="218">
          <cell r="D218" t="str">
            <v>3432</v>
          </cell>
        </row>
        <row r="219">
          <cell r="D219" t="str">
            <v>344n</v>
          </cell>
        </row>
        <row r="220">
          <cell r="D220" t="str">
            <v>344d</v>
          </cell>
        </row>
        <row r="221">
          <cell r="D221" t="str">
            <v>3471</v>
          </cell>
        </row>
        <row r="222">
          <cell r="D222" t="str">
            <v>3472</v>
          </cell>
        </row>
        <row r="223">
          <cell r="D223" t="str">
            <v>3521n</v>
          </cell>
        </row>
        <row r="224">
          <cell r="D224" t="str">
            <v>3521d</v>
          </cell>
        </row>
        <row r="225">
          <cell r="D225" t="str">
            <v>3522n</v>
          </cell>
        </row>
        <row r="226">
          <cell r="D226" t="str">
            <v>3522d</v>
          </cell>
        </row>
        <row r="227">
          <cell r="D227" t="str">
            <v>3523n</v>
          </cell>
        </row>
        <row r="228">
          <cell r="D228" t="str">
            <v>3523d</v>
          </cell>
        </row>
        <row r="229">
          <cell r="D229" t="str">
            <v>3524n</v>
          </cell>
        </row>
        <row r="230">
          <cell r="D230" t="str">
            <v>3524d</v>
          </cell>
        </row>
        <row r="231">
          <cell r="D231" t="str">
            <v>3531</v>
          </cell>
        </row>
        <row r="232">
          <cell r="D232" t="str">
            <v>3532</v>
          </cell>
        </row>
        <row r="233">
          <cell r="D233" t="str">
            <v>3533</v>
          </cell>
        </row>
        <row r="234">
          <cell r="D234" t="str">
            <v>3534</v>
          </cell>
        </row>
        <row r="235">
          <cell r="D235" t="str">
            <v>3561</v>
          </cell>
        </row>
        <row r="236">
          <cell r="D236" t="str">
            <v>3562</v>
          </cell>
        </row>
        <row r="237">
          <cell r="D237" t="str">
            <v>357</v>
          </cell>
        </row>
        <row r="238">
          <cell r="D238" t="str">
            <v>4111</v>
          </cell>
        </row>
        <row r="239">
          <cell r="D239" t="str">
            <v>41111</v>
          </cell>
        </row>
        <row r="240">
          <cell r="D240" t="str">
            <v>411121</v>
          </cell>
        </row>
        <row r="241">
          <cell r="D241" t="str">
            <v>411122</v>
          </cell>
        </row>
        <row r="242">
          <cell r="D242" t="str">
            <v>4112</v>
          </cell>
        </row>
        <row r="243">
          <cell r="D243" t="str">
            <v>4113</v>
          </cell>
        </row>
        <row r="244">
          <cell r="D244" t="str">
            <v>4118</v>
          </cell>
        </row>
        <row r="245">
          <cell r="D245" t="str">
            <v>412</v>
          </cell>
        </row>
        <row r="246">
          <cell r="D246" t="str">
            <v>4131</v>
          </cell>
        </row>
        <row r="247">
          <cell r="D247" t="str">
            <v>4132</v>
          </cell>
        </row>
        <row r="248">
          <cell r="D248" t="str">
            <v>414</v>
          </cell>
        </row>
        <row r="249">
          <cell r="D249" t="str">
            <v>417</v>
          </cell>
        </row>
        <row r="250">
          <cell r="D250" t="str">
            <v>418</v>
          </cell>
        </row>
        <row r="251">
          <cell r="D251" t="str">
            <v>419</v>
          </cell>
        </row>
        <row r="252">
          <cell r="D252" t="str">
            <v>4211</v>
          </cell>
        </row>
        <row r="253">
          <cell r="D253" t="str">
            <v>4212</v>
          </cell>
        </row>
        <row r="254">
          <cell r="D254" t="str">
            <v>441</v>
          </cell>
        </row>
        <row r="255">
          <cell r="D255" t="str">
            <v>4611</v>
          </cell>
        </row>
        <row r="256">
          <cell r="D256" t="str">
            <v>4612</v>
          </cell>
        </row>
        <row r="257">
          <cell r="D257" t="str">
            <v>466</v>
          </cell>
        </row>
        <row r="258">
          <cell r="D258" t="str">
            <v>269</v>
          </cell>
        </row>
        <row r="259">
          <cell r="D259" t="str">
            <v>429</v>
          </cell>
        </row>
        <row r="260">
          <cell r="D260" t="str">
            <v>CT24</v>
          </cell>
        </row>
        <row r="261">
          <cell r="D261" t="str">
            <v>CT60</v>
          </cell>
        </row>
        <row r="262">
          <cell r="D262" t="str">
            <v>CT61</v>
          </cell>
        </row>
        <row r="263">
          <cell r="D263" t="str">
            <v>CT62</v>
          </cell>
        </row>
        <row r="264">
          <cell r="D264" t="str">
            <v>5111</v>
          </cell>
        </row>
        <row r="265">
          <cell r="D265" t="str">
            <v>5112</v>
          </cell>
        </row>
        <row r="266">
          <cell r="D266" t="str">
            <v>5113</v>
          </cell>
        </row>
        <row r="267">
          <cell r="D267" t="str">
            <v>5114</v>
          </cell>
        </row>
        <row r="268">
          <cell r="D268" t="str">
            <v>5117</v>
          </cell>
        </row>
        <row r="269">
          <cell r="D269" t="str">
            <v>5118</v>
          </cell>
        </row>
        <row r="270">
          <cell r="D270" t="str">
            <v>5151</v>
          </cell>
        </row>
        <row r="271">
          <cell r="D271" t="str">
            <v>5152</v>
          </cell>
        </row>
        <row r="272">
          <cell r="D272" t="str">
            <v>5153</v>
          </cell>
        </row>
        <row r="273">
          <cell r="D273" t="str">
            <v>5154</v>
          </cell>
        </row>
        <row r="274">
          <cell r="D274" t="str">
            <v>5155</v>
          </cell>
        </row>
        <row r="275">
          <cell r="D275" t="str">
            <v>5156</v>
          </cell>
        </row>
        <row r="276">
          <cell r="D276" t="str">
            <v>5157</v>
          </cell>
        </row>
        <row r="277">
          <cell r="D277" t="str">
            <v>5158</v>
          </cell>
        </row>
        <row r="278">
          <cell r="D278" t="str">
            <v>5211</v>
          </cell>
        </row>
        <row r="279">
          <cell r="D279" t="str">
            <v>5213</v>
          </cell>
        </row>
        <row r="280">
          <cell r="D280" t="str">
            <v>5212</v>
          </cell>
        </row>
        <row r="281">
          <cell r="D281" t="str">
            <v>VAT</v>
          </cell>
        </row>
        <row r="282">
          <cell r="D282" t="str">
            <v>TTDB</v>
          </cell>
        </row>
        <row r="283">
          <cell r="D283" t="str">
            <v>TXK</v>
          </cell>
        </row>
        <row r="284">
          <cell r="D284" t="str">
            <v>6111</v>
          </cell>
        </row>
        <row r="285">
          <cell r="D285" t="str">
            <v>6112</v>
          </cell>
        </row>
        <row r="286">
          <cell r="D286" t="str">
            <v>621</v>
          </cell>
        </row>
        <row r="287">
          <cell r="D287" t="str">
            <v>622</v>
          </cell>
        </row>
        <row r="288">
          <cell r="D288" t="str">
            <v>623</v>
          </cell>
        </row>
        <row r="289">
          <cell r="D289" t="str">
            <v>6231</v>
          </cell>
        </row>
        <row r="290">
          <cell r="D290" t="str">
            <v>6232</v>
          </cell>
        </row>
        <row r="291">
          <cell r="D291" t="str">
            <v>6233</v>
          </cell>
        </row>
        <row r="292">
          <cell r="D292" t="str">
            <v>6234</v>
          </cell>
        </row>
        <row r="293">
          <cell r="D293" t="str">
            <v>6237</v>
          </cell>
        </row>
        <row r="294">
          <cell r="D294" t="str">
            <v>6238</v>
          </cell>
        </row>
        <row r="295">
          <cell r="D295" t="str">
            <v>627</v>
          </cell>
        </row>
        <row r="296">
          <cell r="D296" t="str">
            <v>6271</v>
          </cell>
        </row>
        <row r="297">
          <cell r="D297" t="str">
            <v>6272</v>
          </cell>
        </row>
        <row r="298">
          <cell r="D298" t="str">
            <v>6273</v>
          </cell>
        </row>
        <row r="299">
          <cell r="D299" t="str">
            <v>6274</v>
          </cell>
        </row>
        <row r="300">
          <cell r="D300" t="str">
            <v>6277</v>
          </cell>
        </row>
        <row r="301">
          <cell r="D301" t="str">
            <v>6278</v>
          </cell>
        </row>
        <row r="302">
          <cell r="D302" t="str">
            <v>6321</v>
          </cell>
        </row>
        <row r="303">
          <cell r="D303" t="str">
            <v>6322</v>
          </cell>
        </row>
        <row r="304">
          <cell r="D304" t="str">
            <v>6323</v>
          </cell>
        </row>
        <row r="305">
          <cell r="D305" t="str">
            <v>6324</v>
          </cell>
        </row>
        <row r="306">
          <cell r="D306" t="str">
            <v>6325</v>
          </cell>
        </row>
        <row r="307">
          <cell r="D307" t="str">
            <v>6326</v>
          </cell>
        </row>
        <row r="308">
          <cell r="D308" t="str">
            <v>6327</v>
          </cell>
        </row>
        <row r="309">
          <cell r="D309" t="str">
            <v>6328</v>
          </cell>
        </row>
        <row r="310">
          <cell r="D310" t="str">
            <v>6329</v>
          </cell>
        </row>
        <row r="311">
          <cell r="D311" t="str">
            <v>6351</v>
          </cell>
        </row>
        <row r="312">
          <cell r="D312" t="str">
            <v>6352</v>
          </cell>
        </row>
        <row r="313">
          <cell r="D313" t="str">
            <v>6353</v>
          </cell>
        </row>
        <row r="314">
          <cell r="D314" t="str">
            <v>6354</v>
          </cell>
        </row>
        <row r="315">
          <cell r="D315" t="str">
            <v>6355</v>
          </cell>
        </row>
        <row r="316">
          <cell r="D316" t="str">
            <v>6356</v>
          </cell>
        </row>
        <row r="317">
          <cell r="D317" t="str">
            <v>6357</v>
          </cell>
        </row>
        <row r="318">
          <cell r="D318" t="str">
            <v>6358</v>
          </cell>
        </row>
        <row r="319">
          <cell r="D319" t="str">
            <v>641</v>
          </cell>
        </row>
        <row r="320">
          <cell r="D320" t="str">
            <v>6411</v>
          </cell>
        </row>
        <row r="321">
          <cell r="D321" t="str">
            <v>6412</v>
          </cell>
        </row>
        <row r="322">
          <cell r="D322" t="str">
            <v>6413</v>
          </cell>
        </row>
        <row r="323">
          <cell r="D323" t="str">
            <v>6414</v>
          </cell>
        </row>
        <row r="324">
          <cell r="D324" t="str">
            <v>6415</v>
          </cell>
        </row>
        <row r="325">
          <cell r="D325" t="str">
            <v>6417</v>
          </cell>
        </row>
        <row r="326">
          <cell r="D326" t="str">
            <v>6418</v>
          </cell>
        </row>
        <row r="327">
          <cell r="D327" t="str">
            <v>642</v>
          </cell>
        </row>
        <row r="328">
          <cell r="D328" t="str">
            <v>6421</v>
          </cell>
        </row>
        <row r="329">
          <cell r="D329" t="str">
            <v>6422</v>
          </cell>
        </row>
        <row r="330">
          <cell r="D330" t="str">
            <v>6423</v>
          </cell>
        </row>
        <row r="331">
          <cell r="D331" t="str">
            <v>6424</v>
          </cell>
        </row>
        <row r="332">
          <cell r="D332" t="str">
            <v>6425</v>
          </cell>
        </row>
        <row r="333">
          <cell r="D333" t="str">
            <v>6426</v>
          </cell>
        </row>
        <row r="334">
          <cell r="D334" t="str">
            <v>6427</v>
          </cell>
        </row>
        <row r="335">
          <cell r="D335" t="str">
            <v>6428</v>
          </cell>
        </row>
        <row r="336">
          <cell r="D336" t="str">
            <v>711</v>
          </cell>
        </row>
        <row r="337">
          <cell r="D337" t="str">
            <v>7111</v>
          </cell>
        </row>
        <row r="338">
          <cell r="D338" t="str">
            <v>7112</v>
          </cell>
        </row>
        <row r="339">
          <cell r="D339" t="str">
            <v>7113</v>
          </cell>
        </row>
        <row r="340">
          <cell r="D340" t="str">
            <v>811</v>
          </cell>
        </row>
        <row r="341">
          <cell r="D341" t="str">
            <v>8111</v>
          </cell>
        </row>
        <row r="342">
          <cell r="D342" t="str">
            <v>8112</v>
          </cell>
        </row>
        <row r="343">
          <cell r="D343" t="str">
            <v>8113</v>
          </cell>
        </row>
        <row r="344">
          <cell r="D344" t="str">
            <v>82111</v>
          </cell>
        </row>
        <row r="345">
          <cell r="D345" t="str">
            <v>82112</v>
          </cell>
        </row>
        <row r="346">
          <cell r="D346" t="str">
            <v>82121</v>
          </cell>
        </row>
        <row r="347">
          <cell r="D347" t="str">
            <v>82122</v>
          </cell>
        </row>
        <row r="348">
          <cell r="D348" t="str">
            <v>82123</v>
          </cell>
        </row>
        <row r="349">
          <cell r="D349" t="str">
            <v>82124</v>
          </cell>
        </row>
        <row r="350">
          <cell r="D350" t="str">
            <v>82125</v>
          </cell>
        </row>
        <row r="351">
          <cell r="D351" t="str">
            <v>911</v>
          </cell>
        </row>
        <row r="352">
          <cell r="D352" t="str">
            <v>001</v>
          </cell>
        </row>
        <row r="353">
          <cell r="D353" t="str">
            <v>002</v>
          </cell>
        </row>
        <row r="354">
          <cell r="D354" t="str">
            <v>003</v>
          </cell>
        </row>
        <row r="355">
          <cell r="D355" t="str">
            <v>004</v>
          </cell>
        </row>
        <row r="356">
          <cell r="D356" t="str">
            <v>007</v>
          </cell>
        </row>
        <row r="357">
          <cell r="D357" t="str">
            <v>0071</v>
          </cell>
        </row>
        <row r="358">
          <cell r="D358" t="str">
            <v>0072</v>
          </cell>
        </row>
        <row r="359">
          <cell r="D359" t="str">
            <v>0073</v>
          </cell>
        </row>
        <row r="360">
          <cell r="D360" t="str">
            <v>0074</v>
          </cell>
        </row>
        <row r="361">
          <cell r="D361" t="str">
            <v>0075</v>
          </cell>
        </row>
        <row r="362">
          <cell r="D362" t="str">
            <v>0076</v>
          </cell>
        </row>
        <row r="363">
          <cell r="D363" t="str">
            <v>008</v>
          </cell>
        </row>
        <row r="364">
          <cell r="D364" t="str">
            <v>LC01</v>
          </cell>
        </row>
        <row r="365">
          <cell r="D365" t="str">
            <v>LC02</v>
          </cell>
        </row>
        <row r="366">
          <cell r="D366" t="str">
            <v>LC03</v>
          </cell>
        </row>
        <row r="367">
          <cell r="D367" t="str">
            <v>LC04</v>
          </cell>
        </row>
        <row r="368">
          <cell r="D368" t="str">
            <v>LC05</v>
          </cell>
        </row>
        <row r="369">
          <cell r="D369" t="str">
            <v>LC06</v>
          </cell>
        </row>
        <row r="370">
          <cell r="D370" t="str">
            <v>LC07</v>
          </cell>
        </row>
        <row r="371">
          <cell r="D371" t="str">
            <v>LC21</v>
          </cell>
        </row>
        <row r="372">
          <cell r="D372" t="str">
            <v>LC22</v>
          </cell>
        </row>
        <row r="373">
          <cell r="D373" t="str">
            <v>LC23</v>
          </cell>
        </row>
        <row r="374">
          <cell r="D374" t="str">
            <v>LC24</v>
          </cell>
        </row>
        <row r="375">
          <cell r="D375" t="str">
            <v>LC25</v>
          </cell>
        </row>
        <row r="376">
          <cell r="D376" t="str">
            <v>LC26</v>
          </cell>
        </row>
        <row r="377">
          <cell r="D377" t="str">
            <v>LC27</v>
          </cell>
        </row>
        <row r="378">
          <cell r="D378" t="str">
            <v>LC31</v>
          </cell>
        </row>
        <row r="379">
          <cell r="D379" t="str">
            <v>LC32</v>
          </cell>
        </row>
        <row r="380">
          <cell r="D380" t="str">
            <v>LC33</v>
          </cell>
        </row>
        <row r="381">
          <cell r="D381" t="str">
            <v>LC34</v>
          </cell>
        </row>
        <row r="382">
          <cell r="D382" t="str">
            <v>LC35</v>
          </cell>
        </row>
        <row r="383">
          <cell r="D383" t="str">
            <v>LC36</v>
          </cell>
        </row>
        <row r="384">
          <cell r="D384" t="str">
            <v>LC61</v>
          </cell>
        </row>
      </sheetData>
      <sheetData sheetId="5" refreshError="1"/>
      <sheetData sheetId="6" refreshError="1"/>
      <sheetData sheetId="7" refreshError="1"/>
      <sheetData sheetId="8" refreshError="1"/>
      <sheetData sheetId="9" refreshError="1">
        <row r="14">
          <cell r="B14" t="str">
            <v>1111</v>
          </cell>
        </row>
        <row r="15">
          <cell r="B15" t="str">
            <v>1112</v>
          </cell>
        </row>
        <row r="16">
          <cell r="B16" t="str">
            <v>1113</v>
          </cell>
        </row>
        <row r="17">
          <cell r="B17" t="str">
            <v>1121</v>
          </cell>
        </row>
        <row r="18">
          <cell r="B18" t="str">
            <v>1122</v>
          </cell>
        </row>
        <row r="19">
          <cell r="B19" t="str">
            <v>1123</v>
          </cell>
        </row>
        <row r="20">
          <cell r="B20" t="str">
            <v>1131</v>
          </cell>
        </row>
        <row r="21">
          <cell r="B21" t="str">
            <v>1132</v>
          </cell>
        </row>
        <row r="23">
          <cell r="B23" t="str">
            <v>1281t</v>
          </cell>
        </row>
        <row r="24">
          <cell r="B24" t="str">
            <v>1288t</v>
          </cell>
        </row>
        <row r="28">
          <cell r="B28" t="str">
            <v>1211</v>
          </cell>
        </row>
        <row r="29">
          <cell r="B29" t="str">
            <v>1212</v>
          </cell>
        </row>
        <row r="30">
          <cell r="B30" t="str">
            <v>1218</v>
          </cell>
        </row>
        <row r="31">
          <cell r="B31" t="str">
            <v>2291</v>
          </cell>
        </row>
        <row r="32">
          <cell r="B32" t="str">
            <v>128</v>
          </cell>
        </row>
        <row r="33">
          <cell r="B33" t="str">
            <v>1281n</v>
          </cell>
        </row>
        <row r="34">
          <cell r="B34" t="str">
            <v>1282n</v>
          </cell>
        </row>
        <row r="35">
          <cell r="B35" t="str">
            <v>1288n</v>
          </cell>
        </row>
        <row r="38">
          <cell r="B38" t="str">
            <v>131an</v>
          </cell>
        </row>
        <row r="39">
          <cell r="B39" t="str">
            <v>331an</v>
          </cell>
        </row>
        <row r="41">
          <cell r="B41" t="str">
            <v>1362n</v>
          </cell>
        </row>
        <row r="42">
          <cell r="B42" t="str">
            <v>1363n</v>
          </cell>
        </row>
        <row r="43">
          <cell r="B43" t="str">
            <v>1368n</v>
          </cell>
        </row>
        <row r="44">
          <cell r="B44" t="str">
            <v>337a</v>
          </cell>
        </row>
        <row r="45">
          <cell r="B45" t="str">
            <v>1283n</v>
          </cell>
        </row>
        <row r="47">
          <cell r="B47" t="str">
            <v>1385an</v>
          </cell>
        </row>
        <row r="48">
          <cell r="B48" t="str">
            <v>13881an</v>
          </cell>
        </row>
        <row r="49">
          <cell r="B49" t="str">
            <v>141n</v>
          </cell>
        </row>
        <row r="50">
          <cell r="B50" t="str">
            <v>244n</v>
          </cell>
        </row>
        <row r="51">
          <cell r="B51" t="str">
            <v>1388an</v>
          </cell>
        </row>
        <row r="52">
          <cell r="B52" t="str">
            <v>3341an</v>
          </cell>
        </row>
        <row r="53">
          <cell r="B53" t="str">
            <v>3348an</v>
          </cell>
        </row>
        <row r="54">
          <cell r="B54" t="str">
            <v>3382a</v>
          </cell>
        </row>
        <row r="55">
          <cell r="B55" t="str">
            <v>3383a</v>
          </cell>
        </row>
        <row r="56">
          <cell r="B56" t="str">
            <v>3384a</v>
          </cell>
        </row>
        <row r="57">
          <cell r="B57" t="str">
            <v>3385a</v>
          </cell>
        </row>
        <row r="58">
          <cell r="B58" t="str">
            <v>3386a</v>
          </cell>
        </row>
        <row r="59">
          <cell r="B59" t="str">
            <v>3387an</v>
          </cell>
        </row>
        <row r="60">
          <cell r="B60" t="str">
            <v>3388an</v>
          </cell>
        </row>
        <row r="61">
          <cell r="B61" t="str">
            <v>2293n</v>
          </cell>
        </row>
        <row r="62">
          <cell r="B62" t="str">
            <v>1381</v>
          </cell>
        </row>
        <row r="66">
          <cell r="B66" t="str">
            <v>151</v>
          </cell>
        </row>
        <row r="67">
          <cell r="B67" t="str">
            <v>152</v>
          </cell>
        </row>
        <row r="68">
          <cell r="B68" t="str">
            <v>153</v>
          </cell>
        </row>
        <row r="69">
          <cell r="B69" t="str">
            <v>1531</v>
          </cell>
        </row>
        <row r="70">
          <cell r="B70" t="str">
            <v>1532</v>
          </cell>
        </row>
        <row r="71">
          <cell r="B71" t="str">
            <v>1533</v>
          </cell>
        </row>
        <row r="72">
          <cell r="B72" t="str">
            <v>1534n</v>
          </cell>
        </row>
        <row r="73">
          <cell r="B73" t="str">
            <v>154n</v>
          </cell>
        </row>
        <row r="74">
          <cell r="B74" t="str">
            <v>155</v>
          </cell>
        </row>
        <row r="75">
          <cell r="B75" t="str">
            <v>1561</v>
          </cell>
        </row>
        <row r="76">
          <cell r="B76" t="str">
            <v>1562</v>
          </cell>
        </row>
        <row r="77">
          <cell r="B77" t="str">
            <v>1567</v>
          </cell>
        </row>
        <row r="78">
          <cell r="B78" t="str">
            <v>157</v>
          </cell>
        </row>
        <row r="79">
          <cell r="B79" t="str">
            <v>158</v>
          </cell>
        </row>
        <row r="80">
          <cell r="B80" t="str">
            <v>2294n</v>
          </cell>
        </row>
        <row r="84">
          <cell r="B84" t="str">
            <v>2421</v>
          </cell>
        </row>
        <row r="85">
          <cell r="B85" t="str">
            <v>2422</v>
          </cell>
        </row>
        <row r="86">
          <cell r="B86" t="str">
            <v>2423</v>
          </cell>
        </row>
        <row r="87">
          <cell r="B87" t="str">
            <v>2424</v>
          </cell>
        </row>
        <row r="89">
          <cell r="B89" t="str">
            <v>1331a</v>
          </cell>
        </row>
        <row r="90">
          <cell r="B90" t="str">
            <v>1332a</v>
          </cell>
        </row>
        <row r="91">
          <cell r="B91" t="str">
            <v>1331b</v>
          </cell>
        </row>
        <row r="92">
          <cell r="B92" t="str">
            <v>1332b</v>
          </cell>
        </row>
        <row r="94">
          <cell r="B94" t="str">
            <v>33311a</v>
          </cell>
        </row>
        <row r="95">
          <cell r="B95" t="str">
            <v>33312a</v>
          </cell>
        </row>
        <row r="96">
          <cell r="B96" t="str">
            <v>3332a</v>
          </cell>
        </row>
        <row r="97">
          <cell r="B97" t="str">
            <v>3333a</v>
          </cell>
        </row>
        <row r="98">
          <cell r="B98" t="str">
            <v>3334a</v>
          </cell>
        </row>
        <row r="99">
          <cell r="B99" t="str">
            <v>3335a</v>
          </cell>
        </row>
        <row r="100">
          <cell r="B100" t="str">
            <v>3336a</v>
          </cell>
        </row>
        <row r="101">
          <cell r="B101" t="str">
            <v>3337a</v>
          </cell>
        </row>
        <row r="102">
          <cell r="B102" t="str">
            <v>3338a1</v>
          </cell>
        </row>
        <row r="103">
          <cell r="B103" t="str">
            <v>3338a2</v>
          </cell>
        </row>
        <row r="104">
          <cell r="B104" t="str">
            <v>3339a1</v>
          </cell>
        </row>
        <row r="105">
          <cell r="B105" t="str">
            <v>3339a2</v>
          </cell>
        </row>
        <row r="106">
          <cell r="B106" t="str">
            <v>171a</v>
          </cell>
        </row>
        <row r="108">
          <cell r="B108" t="str">
            <v>2288n</v>
          </cell>
        </row>
        <row r="113">
          <cell r="B113" t="str">
            <v>131ad</v>
          </cell>
        </row>
        <row r="114">
          <cell r="B114" t="str">
            <v>331ad</v>
          </cell>
        </row>
        <row r="115">
          <cell r="B115" t="str">
            <v>1361</v>
          </cell>
        </row>
        <row r="117">
          <cell r="B117" t="str">
            <v>1362d</v>
          </cell>
        </row>
        <row r="118">
          <cell r="B118" t="str">
            <v>1363d</v>
          </cell>
        </row>
        <row r="119">
          <cell r="B119" t="str">
            <v>1368d</v>
          </cell>
        </row>
        <row r="120">
          <cell r="B120" t="str">
            <v>1283d</v>
          </cell>
        </row>
        <row r="122">
          <cell r="B122" t="str">
            <v>1385ad</v>
          </cell>
        </row>
        <row r="123">
          <cell r="B123" t="str">
            <v>1388ad</v>
          </cell>
        </row>
        <row r="124">
          <cell r="B124" t="str">
            <v>3341ad</v>
          </cell>
        </row>
        <row r="125">
          <cell r="B125" t="str">
            <v>3348ad</v>
          </cell>
        </row>
        <row r="126">
          <cell r="B126" t="str">
            <v>3387ad</v>
          </cell>
        </row>
        <row r="127">
          <cell r="B127" t="str">
            <v>3388ad</v>
          </cell>
        </row>
        <row r="128">
          <cell r="B128" t="str">
            <v>141d</v>
          </cell>
        </row>
        <row r="129">
          <cell r="B129" t="str">
            <v>244d</v>
          </cell>
        </row>
        <row r="130">
          <cell r="B130" t="str">
            <v>2293d</v>
          </cell>
        </row>
        <row r="135">
          <cell r="B135" t="str">
            <v>2111</v>
          </cell>
        </row>
        <row r="136">
          <cell r="B136" t="str">
            <v>2112</v>
          </cell>
        </row>
        <row r="137">
          <cell r="B137" t="str">
            <v>2113</v>
          </cell>
        </row>
        <row r="138">
          <cell r="B138" t="str">
            <v>2114</v>
          </cell>
        </row>
        <row r="139">
          <cell r="B139" t="str">
            <v>2115</v>
          </cell>
        </row>
        <row r="140">
          <cell r="B140" t="str">
            <v>2118</v>
          </cell>
        </row>
        <row r="142">
          <cell r="B142" t="str">
            <v>21411</v>
          </cell>
        </row>
        <row r="143">
          <cell r="B143" t="str">
            <v>21412</v>
          </cell>
        </row>
        <row r="144">
          <cell r="B144" t="str">
            <v>21413</v>
          </cell>
        </row>
        <row r="145">
          <cell r="B145" t="str">
            <v>21414</v>
          </cell>
        </row>
        <row r="146">
          <cell r="B146" t="str">
            <v>21415</v>
          </cell>
        </row>
        <row r="147">
          <cell r="B147" t="str">
            <v>21418</v>
          </cell>
        </row>
        <row r="150">
          <cell r="B150" t="str">
            <v>21211</v>
          </cell>
        </row>
        <row r="151">
          <cell r="B151" t="str">
            <v>21212</v>
          </cell>
        </row>
        <row r="152">
          <cell r="B152" t="str">
            <v>21213</v>
          </cell>
        </row>
        <row r="153">
          <cell r="B153" t="str">
            <v>21214</v>
          </cell>
        </row>
        <row r="154">
          <cell r="B154" t="str">
            <v>2122</v>
          </cell>
        </row>
        <row r="156">
          <cell r="B156" t="str">
            <v>214211</v>
          </cell>
        </row>
        <row r="157">
          <cell r="B157" t="str">
            <v>214212</v>
          </cell>
        </row>
        <row r="158">
          <cell r="B158" t="str">
            <v>214213</v>
          </cell>
        </row>
        <row r="159">
          <cell r="B159" t="str">
            <v>214214</v>
          </cell>
        </row>
        <row r="160">
          <cell r="B160" t="str">
            <v>21422</v>
          </cell>
        </row>
        <row r="163">
          <cell r="B163" t="str">
            <v>2131</v>
          </cell>
        </row>
        <row r="164">
          <cell r="B164" t="str">
            <v>2132</v>
          </cell>
        </row>
        <row r="165">
          <cell r="B165" t="str">
            <v>2133</v>
          </cell>
        </row>
        <row r="166">
          <cell r="B166" t="str">
            <v>2134</v>
          </cell>
        </row>
        <row r="167">
          <cell r="B167" t="str">
            <v>2135</v>
          </cell>
        </row>
        <row r="168">
          <cell r="B168" t="str">
            <v>2136</v>
          </cell>
        </row>
        <row r="169">
          <cell r="B169" t="str">
            <v>2138</v>
          </cell>
        </row>
        <row r="171">
          <cell r="B171" t="str">
            <v>21431</v>
          </cell>
        </row>
        <row r="172">
          <cell r="B172" t="str">
            <v>21432</v>
          </cell>
        </row>
        <row r="173">
          <cell r="B173" t="str">
            <v>21433</v>
          </cell>
        </row>
        <row r="174">
          <cell r="B174" t="str">
            <v>21434</v>
          </cell>
        </row>
        <row r="175">
          <cell r="B175" t="str">
            <v>21435</v>
          </cell>
        </row>
        <row r="176">
          <cell r="B176" t="str">
            <v>21436</v>
          </cell>
        </row>
        <row r="177">
          <cell r="B177" t="str">
            <v>21438</v>
          </cell>
        </row>
        <row r="180">
          <cell r="B180" t="str">
            <v>217</v>
          </cell>
        </row>
        <row r="181">
          <cell r="B181" t="str">
            <v>2147</v>
          </cell>
        </row>
        <row r="185">
          <cell r="B185" t="str">
            <v>154d</v>
          </cell>
        </row>
        <row r="186">
          <cell r="B186" t="str">
            <v>2294d154</v>
          </cell>
        </row>
        <row r="188">
          <cell r="B188" t="str">
            <v>2411</v>
          </cell>
        </row>
        <row r="189">
          <cell r="B189" t="str">
            <v>2412</v>
          </cell>
        </row>
        <row r="190">
          <cell r="B190" t="str">
            <v>2413</v>
          </cell>
        </row>
        <row r="193">
          <cell r="B193" t="str">
            <v>221</v>
          </cell>
        </row>
        <row r="194">
          <cell r="B194" t="str">
            <v>222</v>
          </cell>
        </row>
        <row r="196">
          <cell r="B196" t="str">
            <v>2281</v>
          </cell>
        </row>
        <row r="197">
          <cell r="B197" t="str">
            <v>2292</v>
          </cell>
        </row>
        <row r="199">
          <cell r="B199" t="str">
            <v>1281d</v>
          </cell>
        </row>
        <row r="200">
          <cell r="B200" t="str">
            <v>1282d</v>
          </cell>
        </row>
        <row r="201">
          <cell r="B201" t="str">
            <v>1288d</v>
          </cell>
        </row>
        <row r="205">
          <cell r="B205" t="str">
            <v>2425</v>
          </cell>
        </row>
        <row r="206">
          <cell r="B206" t="str">
            <v>2426</v>
          </cell>
        </row>
        <row r="207">
          <cell r="B207" t="str">
            <v>2427</v>
          </cell>
        </row>
        <row r="209">
          <cell r="B209" t="str">
            <v>2431</v>
          </cell>
        </row>
        <row r="210">
          <cell r="B210" t="str">
            <v>2432</v>
          </cell>
        </row>
        <row r="211">
          <cell r="B211" t="str">
            <v>2433</v>
          </cell>
        </row>
        <row r="212">
          <cell r="B212" t="str">
            <v>2434</v>
          </cell>
        </row>
        <row r="214">
          <cell r="B214" t="str">
            <v>1534d</v>
          </cell>
        </row>
        <row r="215">
          <cell r="B215" t="str">
            <v>2294d153</v>
          </cell>
        </row>
        <row r="217">
          <cell r="B217" t="str">
            <v>2288d</v>
          </cell>
        </row>
        <row r="218">
          <cell r="B218" t="str">
            <v>269</v>
          </cell>
        </row>
        <row r="228">
          <cell r="B228" t="str">
            <v>331bn</v>
          </cell>
        </row>
        <row r="229">
          <cell r="B229" t="str">
            <v>131bn</v>
          </cell>
        </row>
        <row r="231">
          <cell r="B231" t="str">
            <v>33311b</v>
          </cell>
        </row>
        <row r="232">
          <cell r="B232" t="str">
            <v>33312b</v>
          </cell>
        </row>
        <row r="233">
          <cell r="B233" t="str">
            <v>3332b</v>
          </cell>
        </row>
        <row r="234">
          <cell r="B234" t="str">
            <v>3333b</v>
          </cell>
        </row>
        <row r="235">
          <cell r="B235" t="str">
            <v>3334b</v>
          </cell>
        </row>
        <row r="236">
          <cell r="B236" t="str">
            <v>3335b</v>
          </cell>
        </row>
        <row r="237">
          <cell r="B237" t="str">
            <v>3336b</v>
          </cell>
        </row>
        <row r="238">
          <cell r="B238" t="str">
            <v>3337b</v>
          </cell>
        </row>
        <row r="239">
          <cell r="B239" t="str">
            <v>3338b1</v>
          </cell>
        </row>
        <row r="240">
          <cell r="B240" t="str">
            <v>3338b2</v>
          </cell>
        </row>
        <row r="241">
          <cell r="B241" t="str">
            <v>3339b1</v>
          </cell>
        </row>
        <row r="242">
          <cell r="B242" t="str">
            <v>3339b2</v>
          </cell>
        </row>
        <row r="244">
          <cell r="B244" t="str">
            <v>3341b</v>
          </cell>
        </row>
        <row r="245">
          <cell r="B245" t="str">
            <v>3348b</v>
          </cell>
        </row>
        <row r="246">
          <cell r="B246" t="str">
            <v>335n</v>
          </cell>
        </row>
        <row r="248">
          <cell r="B248" t="str">
            <v>3362n</v>
          </cell>
        </row>
        <row r="249">
          <cell r="B249" t="str">
            <v>3363n</v>
          </cell>
        </row>
        <row r="250">
          <cell r="B250" t="str">
            <v>3368n</v>
          </cell>
        </row>
        <row r="251">
          <cell r="B251" t="str">
            <v>337b</v>
          </cell>
        </row>
        <row r="252">
          <cell r="B252" t="str">
            <v>3387bn</v>
          </cell>
        </row>
        <row r="254">
          <cell r="B254" t="str">
            <v>3381</v>
          </cell>
        </row>
        <row r="255">
          <cell r="B255" t="str">
            <v>3382b</v>
          </cell>
        </row>
        <row r="256">
          <cell r="B256" t="str">
            <v>3383b</v>
          </cell>
        </row>
        <row r="257">
          <cell r="B257" t="str">
            <v>3384b</v>
          </cell>
        </row>
        <row r="258">
          <cell r="B258" t="str">
            <v>3385b</v>
          </cell>
        </row>
        <row r="259">
          <cell r="B259" t="str">
            <v>3388bn</v>
          </cell>
        </row>
        <row r="260">
          <cell r="B260" t="str">
            <v>3386b</v>
          </cell>
        </row>
        <row r="261">
          <cell r="B261" t="str">
            <v>1385bn</v>
          </cell>
        </row>
        <row r="262">
          <cell r="B262" t="str">
            <v>1388bn</v>
          </cell>
        </row>
        <row r="263">
          <cell r="B263" t="str">
            <v>344n</v>
          </cell>
        </row>
        <row r="265">
          <cell r="B265" t="str">
            <v>3411n</v>
          </cell>
        </row>
        <row r="266">
          <cell r="B266" t="str">
            <v>3412n</v>
          </cell>
        </row>
        <row r="267">
          <cell r="B267" t="str">
            <v>34311n</v>
          </cell>
        </row>
        <row r="269">
          <cell r="B269" t="str">
            <v>3521n</v>
          </cell>
        </row>
        <row r="270">
          <cell r="B270" t="str">
            <v>3522n</v>
          </cell>
        </row>
        <row r="271">
          <cell r="B271" t="str">
            <v>3523n</v>
          </cell>
        </row>
        <row r="272">
          <cell r="B272" t="str">
            <v>3524n</v>
          </cell>
        </row>
        <row r="274">
          <cell r="B274" t="str">
            <v>3531</v>
          </cell>
        </row>
        <row r="275">
          <cell r="B275" t="str">
            <v>3532</v>
          </cell>
        </row>
        <row r="276">
          <cell r="B276" t="str">
            <v>3533</v>
          </cell>
        </row>
        <row r="277">
          <cell r="B277" t="str">
            <v>3534</v>
          </cell>
        </row>
        <row r="278">
          <cell r="B278" t="str">
            <v>357</v>
          </cell>
        </row>
        <row r="279">
          <cell r="B279" t="str">
            <v>171b</v>
          </cell>
        </row>
        <row r="282">
          <cell r="B282" t="str">
            <v>331bd</v>
          </cell>
        </row>
        <row r="283">
          <cell r="B283" t="str">
            <v>131bd</v>
          </cell>
        </row>
        <row r="284">
          <cell r="B284" t="str">
            <v>335d</v>
          </cell>
        </row>
        <row r="285">
          <cell r="B285" t="str">
            <v>3361</v>
          </cell>
        </row>
        <row r="287">
          <cell r="B287" t="str">
            <v>3362d</v>
          </cell>
        </row>
        <row r="288">
          <cell r="B288" t="str">
            <v>3363d</v>
          </cell>
        </row>
        <row r="289">
          <cell r="B289" t="str">
            <v>3368d</v>
          </cell>
        </row>
        <row r="290">
          <cell r="B290" t="str">
            <v>3387bd</v>
          </cell>
        </row>
        <row r="292">
          <cell r="B292" t="str">
            <v>3388bd</v>
          </cell>
        </row>
        <row r="293">
          <cell r="B293" t="str">
            <v>1385bd</v>
          </cell>
        </row>
        <row r="294">
          <cell r="B294" t="str">
            <v>1388bd</v>
          </cell>
        </row>
        <row r="295">
          <cell r="B295" t="str">
            <v>344d</v>
          </cell>
        </row>
        <row r="297">
          <cell r="B297" t="str">
            <v>3411d</v>
          </cell>
        </row>
        <row r="298">
          <cell r="B298" t="str">
            <v>3412d</v>
          </cell>
        </row>
        <row r="299">
          <cell r="B299" t="str">
            <v>34311d</v>
          </cell>
        </row>
        <row r="300">
          <cell r="B300" t="str">
            <v>34312</v>
          </cell>
        </row>
        <row r="301">
          <cell r="B301" t="str">
            <v>34313</v>
          </cell>
        </row>
        <row r="302">
          <cell r="B302" t="str">
            <v>3432</v>
          </cell>
        </row>
        <row r="303">
          <cell r="B303" t="str">
            <v>411122</v>
          </cell>
        </row>
        <row r="305">
          <cell r="B305" t="str">
            <v>3471</v>
          </cell>
        </row>
        <row r="306">
          <cell r="B306" t="str">
            <v>3472</v>
          </cell>
        </row>
        <row r="308">
          <cell r="B308" t="str">
            <v>3521d</v>
          </cell>
        </row>
        <row r="309">
          <cell r="B309" t="str">
            <v>3522d</v>
          </cell>
        </row>
        <row r="310">
          <cell r="B310" t="str">
            <v>3523d</v>
          </cell>
        </row>
        <row r="311">
          <cell r="B311" t="str">
            <v>3524d</v>
          </cell>
        </row>
        <row r="313">
          <cell r="B313" t="str">
            <v>3561</v>
          </cell>
        </row>
        <row r="314">
          <cell r="B314" t="str">
            <v>3562</v>
          </cell>
        </row>
        <row r="319">
          <cell r="B319" t="str">
            <v>4111</v>
          </cell>
        </row>
        <row r="320">
          <cell r="B320" t="str">
            <v>41111</v>
          </cell>
        </row>
        <row r="321">
          <cell r="B321" t="str">
            <v>411121</v>
          </cell>
        </row>
        <row r="322">
          <cell r="B322" t="str">
            <v>4112</v>
          </cell>
        </row>
        <row r="323">
          <cell r="B323" t="str">
            <v>4113</v>
          </cell>
        </row>
        <row r="324">
          <cell r="B324" t="str">
            <v>4118</v>
          </cell>
        </row>
        <row r="325">
          <cell r="B325" t="str">
            <v>419</v>
          </cell>
        </row>
        <row r="326">
          <cell r="B326" t="str">
            <v>412</v>
          </cell>
        </row>
        <row r="328">
          <cell r="B328" t="str">
            <v>4131</v>
          </cell>
        </row>
        <row r="329">
          <cell r="B329" t="str">
            <v>4132</v>
          </cell>
        </row>
        <row r="330">
          <cell r="B330" t="str">
            <v>414</v>
          </cell>
        </row>
        <row r="331">
          <cell r="B331" t="str">
            <v>417</v>
          </cell>
        </row>
        <row r="332">
          <cell r="B332" t="str">
            <v>418</v>
          </cell>
        </row>
        <row r="334">
          <cell r="B334" t="str">
            <v>4211</v>
          </cell>
        </row>
        <row r="335">
          <cell r="B335" t="str">
            <v>4212</v>
          </cell>
        </row>
        <row r="336">
          <cell r="B336" t="str">
            <v>441</v>
          </cell>
        </row>
        <row r="337">
          <cell r="B337" t="str">
            <v>429</v>
          </cell>
        </row>
        <row r="341">
          <cell r="B341" t="str">
            <v>4611</v>
          </cell>
        </row>
        <row r="342">
          <cell r="B342" t="str">
            <v>4612</v>
          </cell>
        </row>
        <row r="343">
          <cell r="B343" t="str">
            <v>1611</v>
          </cell>
        </row>
        <row r="344">
          <cell r="B344" t="str">
            <v>1612</v>
          </cell>
        </row>
        <row r="345">
          <cell r="B345" t="str">
            <v>466</v>
          </cell>
        </row>
        <row r="351">
          <cell r="B351" t="str">
            <v>001</v>
          </cell>
        </row>
        <row r="352">
          <cell r="B352" t="str">
            <v>002</v>
          </cell>
        </row>
        <row r="353">
          <cell r="B353" t="str">
            <v>003</v>
          </cell>
        </row>
        <row r="354">
          <cell r="B354" t="str">
            <v>004</v>
          </cell>
        </row>
        <row r="355">
          <cell r="B355" t="str">
            <v>007</v>
          </cell>
        </row>
        <row r="356">
          <cell r="B356" t="str">
            <v>0071</v>
          </cell>
        </row>
        <row r="357">
          <cell r="B357" t="str">
            <v>0072</v>
          </cell>
        </row>
        <row r="358">
          <cell r="B358" t="str">
            <v>0073</v>
          </cell>
        </row>
        <row r="359">
          <cell r="B359" t="str">
            <v>0074</v>
          </cell>
        </row>
        <row r="360">
          <cell r="B360" t="str">
            <v>0075</v>
          </cell>
        </row>
        <row r="361">
          <cell r="B361" t="str">
            <v>0076</v>
          </cell>
        </row>
        <row r="362">
          <cell r="B362" t="str">
            <v>008</v>
          </cell>
        </row>
        <row r="371">
          <cell r="B371" t="str">
            <v>5111</v>
          </cell>
        </row>
        <row r="372">
          <cell r="B372" t="str">
            <v>5112</v>
          </cell>
        </row>
        <row r="373">
          <cell r="B373" t="str">
            <v>5113</v>
          </cell>
        </row>
        <row r="374">
          <cell r="B374" t="str">
            <v>5114</v>
          </cell>
        </row>
        <row r="375">
          <cell r="B375" t="str">
            <v>5117</v>
          </cell>
        </row>
        <row r="376">
          <cell r="B376" t="str">
            <v>5118</v>
          </cell>
        </row>
        <row r="378">
          <cell r="B378" t="str">
            <v>5211</v>
          </cell>
        </row>
        <row r="379">
          <cell r="B379" t="str">
            <v>5213</v>
          </cell>
        </row>
        <row r="380">
          <cell r="B380" t="str">
            <v>5212</v>
          </cell>
        </row>
        <row r="381">
          <cell r="B381" t="str">
            <v>VAT</v>
          </cell>
        </row>
        <row r="382">
          <cell r="B382" t="str">
            <v>TTDB</v>
          </cell>
        </row>
        <row r="383">
          <cell r="B383" t="str">
            <v>TXK</v>
          </cell>
        </row>
        <row r="387">
          <cell r="B387" t="str">
            <v>6321</v>
          </cell>
        </row>
        <row r="388">
          <cell r="B388" t="str">
            <v>6322</v>
          </cell>
        </row>
        <row r="389">
          <cell r="B389" t="str">
            <v>6323</v>
          </cell>
        </row>
        <row r="390">
          <cell r="B390" t="str">
            <v>6329</v>
          </cell>
        </row>
        <row r="391">
          <cell r="B391" t="str">
            <v>6324</v>
          </cell>
        </row>
        <row r="392">
          <cell r="B392" t="str">
            <v>6325</v>
          </cell>
        </row>
        <row r="393">
          <cell r="B393" t="str">
            <v>6326</v>
          </cell>
        </row>
        <row r="394">
          <cell r="B394" t="str">
            <v>6327</v>
          </cell>
        </row>
        <row r="395">
          <cell r="B395" t="str">
            <v>6328</v>
          </cell>
        </row>
        <row r="399">
          <cell r="B399" t="str">
            <v>5151</v>
          </cell>
        </row>
        <row r="400">
          <cell r="B400" t="str">
            <v>5152</v>
          </cell>
        </row>
        <row r="401">
          <cell r="B401" t="str">
            <v>5153</v>
          </cell>
        </row>
        <row r="402">
          <cell r="B402" t="str">
            <v>5154</v>
          </cell>
        </row>
        <row r="403">
          <cell r="B403" t="str">
            <v>5155</v>
          </cell>
        </row>
        <row r="404">
          <cell r="B404" t="str">
            <v>5156</v>
          </cell>
        </row>
        <row r="405">
          <cell r="B405" t="str">
            <v>5157</v>
          </cell>
        </row>
        <row r="406">
          <cell r="B406" t="str">
            <v>5158</v>
          </cell>
        </row>
        <row r="408">
          <cell r="B408" t="str">
            <v>6351</v>
          </cell>
        </row>
        <row r="409">
          <cell r="B409" t="str">
            <v>6352</v>
          </cell>
        </row>
        <row r="410">
          <cell r="B410" t="str">
            <v>6353</v>
          </cell>
        </row>
        <row r="411">
          <cell r="B411" t="str">
            <v>6354</v>
          </cell>
        </row>
        <row r="412">
          <cell r="B412" t="str">
            <v>6355</v>
          </cell>
        </row>
        <row r="413">
          <cell r="B413" t="str">
            <v>6356</v>
          </cell>
        </row>
        <row r="414">
          <cell r="B414" t="str">
            <v>6357</v>
          </cell>
        </row>
        <row r="415">
          <cell r="B415" t="str">
            <v>6358</v>
          </cell>
        </row>
        <row r="417">
          <cell r="B417" t="str">
            <v>CT24</v>
          </cell>
        </row>
        <row r="419">
          <cell r="B419" t="str">
            <v>6411</v>
          </cell>
        </row>
        <row r="420">
          <cell r="B420" t="str">
            <v>6412</v>
          </cell>
        </row>
        <row r="421">
          <cell r="B421" t="str">
            <v>6413</v>
          </cell>
        </row>
        <row r="422">
          <cell r="B422" t="str">
            <v>6414</v>
          </cell>
        </row>
        <row r="423">
          <cell r="B423" t="str">
            <v>6415</v>
          </cell>
        </row>
        <row r="424">
          <cell r="B424" t="str">
            <v>6417</v>
          </cell>
        </row>
        <row r="425">
          <cell r="B425" t="str">
            <v>6418</v>
          </cell>
        </row>
        <row r="427">
          <cell r="B427" t="str">
            <v>6421</v>
          </cell>
        </row>
        <row r="428">
          <cell r="B428" t="str">
            <v>6422</v>
          </cell>
        </row>
        <row r="429">
          <cell r="B429" t="str">
            <v>6423</v>
          </cell>
        </row>
        <row r="430">
          <cell r="B430" t="str">
            <v>6424</v>
          </cell>
        </row>
        <row r="431">
          <cell r="B431" t="str">
            <v>6425</v>
          </cell>
        </row>
        <row r="432">
          <cell r="B432" t="str">
            <v>6426</v>
          </cell>
        </row>
        <row r="433">
          <cell r="B433" t="str">
            <v>6427</v>
          </cell>
        </row>
        <row r="434">
          <cell r="B434" t="str">
            <v>6428</v>
          </cell>
        </row>
        <row r="439">
          <cell r="B439" t="str">
            <v>7111</v>
          </cell>
        </row>
        <row r="440">
          <cell r="B440" t="str">
            <v>7112</v>
          </cell>
        </row>
        <row r="441">
          <cell r="B441" t="str">
            <v>7113</v>
          </cell>
        </row>
        <row r="443">
          <cell r="B443" t="str">
            <v>8111</v>
          </cell>
        </row>
        <row r="444">
          <cell r="B444" t="str">
            <v>8112</v>
          </cell>
        </row>
        <row r="445">
          <cell r="B445" t="str">
            <v>8113</v>
          </cell>
        </row>
        <row r="450">
          <cell r="B450" t="str">
            <v>82111</v>
          </cell>
        </row>
        <row r="451">
          <cell r="B451" t="str">
            <v>82112</v>
          </cell>
        </row>
        <row r="453">
          <cell r="B453" t="str">
            <v>82121</v>
          </cell>
        </row>
        <row r="454">
          <cell r="B454" t="str">
            <v>82122</v>
          </cell>
        </row>
        <row r="455">
          <cell r="B455" t="str">
            <v>82123</v>
          </cell>
        </row>
        <row r="456">
          <cell r="B456" t="str">
            <v>82124</v>
          </cell>
        </row>
        <row r="457">
          <cell r="B457" t="str">
            <v>82125</v>
          </cell>
        </row>
        <row r="458">
          <cell r="B458" t="str">
            <v>CT60</v>
          </cell>
        </row>
        <row r="459">
          <cell r="B459" t="str">
            <v>CT61</v>
          </cell>
        </row>
        <row r="460">
          <cell r="B460" t="str">
            <v>CT62</v>
          </cell>
        </row>
        <row r="462">
          <cell r="B462" t="str">
            <v>xxx</v>
          </cell>
        </row>
        <row r="471">
          <cell r="B471" t="str">
            <v>LC01</v>
          </cell>
        </row>
        <row r="472">
          <cell r="B472" t="str">
            <v>LC02</v>
          </cell>
        </row>
        <row r="473">
          <cell r="B473" t="str">
            <v>LC03</v>
          </cell>
        </row>
        <row r="474">
          <cell r="B474" t="str">
            <v>LC04</v>
          </cell>
        </row>
        <row r="475">
          <cell r="B475" t="str">
            <v>LC05</v>
          </cell>
        </row>
        <row r="476">
          <cell r="B476" t="str">
            <v>LC06</v>
          </cell>
        </row>
        <row r="477">
          <cell r="B477" t="str">
            <v>LC07</v>
          </cell>
        </row>
        <row r="481">
          <cell r="B481" t="str">
            <v>LC21</v>
          </cell>
        </row>
        <row r="482">
          <cell r="B482" t="str">
            <v>LC22</v>
          </cell>
        </row>
        <row r="483">
          <cell r="B483" t="str">
            <v>LC23</v>
          </cell>
        </row>
        <row r="484">
          <cell r="B484" t="str">
            <v>LC24</v>
          </cell>
        </row>
        <row r="485">
          <cell r="B485" t="str">
            <v>LC25</v>
          </cell>
        </row>
        <row r="486">
          <cell r="B486" t="str">
            <v>LC26</v>
          </cell>
        </row>
        <row r="487">
          <cell r="B487" t="str">
            <v>LC27</v>
          </cell>
        </row>
        <row r="491">
          <cell r="B491" t="str">
            <v>LC31</v>
          </cell>
        </row>
        <row r="492">
          <cell r="B492" t="str">
            <v>LC32</v>
          </cell>
        </row>
        <row r="493">
          <cell r="B493" t="str">
            <v>LC33</v>
          </cell>
        </row>
        <row r="494">
          <cell r="B494" t="str">
            <v>LC34</v>
          </cell>
        </row>
        <row r="495">
          <cell r="B495" t="str">
            <v>LC35</v>
          </cell>
        </row>
        <row r="496">
          <cell r="B496" t="str">
            <v>LC36</v>
          </cell>
        </row>
        <row r="501">
          <cell r="B501" t="str">
            <v>LC60</v>
          </cell>
        </row>
        <row r="502">
          <cell r="B502" t="str">
            <v>LC61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hay JSC - 31.12"/>
      <sheetName val="DM"/>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Quantity"/>
      <sheetName val="KP_List"/>
      <sheetName val="PU_ITALY "/>
      <sheetName val="Prices"/>
      <sheetName val="Module1"/>
      <sheetName val="Module2"/>
      <sheetName val="ptnc"/>
      <sheetName val="ptvl"/>
      <sheetName val="ptm"/>
      <sheetName val="XL4Poppy"/>
      <sheetName val="Source"/>
      <sheetName val="sochitiettaikhoan "/>
      <sheetName val="6787CWFASE2CASE2_00"/>
      <sheetName val="조명시설"/>
      <sheetName val="Sheet1"/>
      <sheetName val="SILICATE"/>
      <sheetName val="THDZ0,4"/>
      <sheetName val="TH DZ35"/>
      <sheetName val="THTram"/>
      <sheetName val="Tro giup"/>
      <sheetName val="DG"/>
      <sheetName val="RAB AR&amp;STR"/>
      <sheetName val="Earthwork"/>
      <sheetName val="Input"/>
      <sheetName val="DANHPHAP"/>
      <sheetName val="chi tiet TBA"/>
      <sheetName val="chi tiet C"/>
      <sheetName val="#REF"/>
      <sheetName val="내역서"/>
      <sheetName val="물량표S"/>
      <sheetName val="Don gia"/>
      <sheetName val="O20"/>
      <sheetName val="BG"/>
      <sheetName val="FitOutConfCentre"/>
      <sheetName val="공통가설"/>
      <sheetName val="DATA"/>
      <sheetName val="Customize Your Purchase Order"/>
      <sheetName val="KLHT"/>
      <sheetName val="CHITIET VL-NC-TT -1p"/>
      <sheetName val="CHITIET VL-NC-TT-3p"/>
      <sheetName val="TONG HOP VL-NC TT"/>
      <sheetName val="TDTKP1"/>
      <sheetName val="KPVC-BD "/>
      <sheetName val="VL,NC,MTC"/>
      <sheetName val="Mall"/>
      <sheetName val="CTG"/>
      <sheetName val="DC"/>
      <sheetName val="NL"/>
      <sheetName val="DON GIA TRAM (3)"/>
      <sheetName val="dongia"/>
      <sheetName val="TONGKE-HT"/>
      <sheetName val="DON GIA CAN THO"/>
      <sheetName val="DGTH"/>
      <sheetName val="Control"/>
      <sheetName val="THVATTU"/>
      <sheetName val="HĐ ngoài"/>
      <sheetName val="XT_Buoc 3"/>
      <sheetName val="dongia (2)"/>
      <sheetName val="Don gia chi tiet"/>
      <sheetName val="실행철강하도"/>
      <sheetName val="BETON"/>
      <sheetName val="24-ACMV"/>
      <sheetName val="PU_ITALY_"/>
      <sheetName val="Tro_giup"/>
      <sheetName val="RAB_AR&amp;STR"/>
      <sheetName val="chi_tiet_TBA"/>
      <sheetName val="chi_tiet_C"/>
      <sheetName val="TH_DZ35"/>
      <sheetName val="Customize_Your_Purchase_Order"/>
      <sheetName val="Shdet1"/>
      <sheetName val="402"/>
      <sheetName val="7606 DZ"/>
      <sheetName val="gvl"/>
      <sheetName val="So doi chieu LC"/>
      <sheetName val="S-curve "/>
      <sheetName val="phuluc1"/>
      <sheetName val="THVT"/>
      <sheetName val="dnc4"/>
      <sheetName val="TinhGiaMTC"/>
      <sheetName val="TinhGiaNC"/>
      <sheetName val="침하계"/>
      <sheetName val="project management"/>
      <sheetName val="Adix A"/>
      <sheetName val="갑지"/>
      <sheetName val="chitimc"/>
      <sheetName val="giathanh1"/>
      <sheetName val="CAT_5"/>
      <sheetName val="BQMP"/>
      <sheetName val="산근"/>
      <sheetName val="inter"/>
      <sheetName val="대비"/>
      <sheetName val="REINF."/>
      <sheetName val="SKETCH"/>
      <sheetName val="LOADS"/>
      <sheetName val="Titles"/>
      <sheetName val="Rates 2009"/>
      <sheetName val="DON_GIA_CAN_THO"/>
      <sheetName val="PU_ITALY_1"/>
      <sheetName val="TH_DZ351"/>
      <sheetName val="Tro_giup1"/>
      <sheetName val="DON_GIA_CAN_THO1"/>
      <sheetName val="DONVIBAN"/>
      <sheetName val="NGUON"/>
      <sheetName val="Du toan"/>
      <sheetName val="Keothep"/>
      <sheetName val="Re-bar"/>
      <sheetName val="P"/>
      <sheetName val="MAIN GATE HOUSE"/>
      <sheetName val="SL"/>
      <sheetName val="집계표"/>
      <sheetName val="Du_lieu"/>
      <sheetName val="CBKC-110"/>
      <sheetName val="DLDTLN"/>
      <sheetName val="PU_ITALY_2"/>
      <sheetName val="TH_DZ352"/>
      <sheetName val="Tro_giup2"/>
      <sheetName val="DON_GIA_CAN_THO2"/>
      <sheetName val="Don_gia_chi_tiet"/>
      <sheetName val="Commercial value"/>
      <sheetName val="VL"/>
      <sheetName val="NC"/>
      <sheetName val="Dulieu"/>
      <sheetName val="Ky Lam Bridge"/>
      <sheetName val="Provisional Sums Item"/>
      <sheetName val="Gas Pressure Welding"/>
      <sheetName val="General Item&amp;General Requiremen"/>
      <sheetName val="General Items"/>
      <sheetName val="Regenral Requirements"/>
      <sheetName val="차액보증"/>
      <sheetName val="SITE-E"/>
      <sheetName val="chiet tinh"/>
      <sheetName val="dg67-1"/>
      <sheetName val="Don_gia"/>
      <sheetName val="DON_GIA_TRAM_(3)"/>
      <sheetName val="7606_DZ"/>
      <sheetName val="TONG_HOP_VL-NC_TT"/>
      <sheetName val="CHITIET_VL-NC-TT_-1p"/>
      <sheetName val="KPVC-BD_"/>
      <sheetName val="Ng.hàng xà+bulong"/>
      <sheetName val="Bang KL"/>
      <sheetName val="TONG HOP VL-NC"/>
      <sheetName val="lam-moi"/>
      <sheetName val="ALLOWANCE"/>
      <sheetName val="MH RATE"/>
      <sheetName val="KPTH-T12"/>
      <sheetName val="Thamgia-T10"/>
      <sheetName val="TH_CNO"/>
      <sheetName val="NK_CHUNG"/>
      <sheetName val="BGD"/>
      <sheetName val="KCS"/>
      <sheetName val="KD"/>
      <sheetName val="KT"/>
      <sheetName val="KTNL"/>
      <sheetName val="KH"/>
      <sheetName val="PX-SX"/>
      <sheetName val="TC"/>
      <sheetName val="Lcau - Lxuc"/>
      <sheetName val="Config"/>
      <sheetName val="DMCP"/>
      <sheetName val="HS_TDT"/>
      <sheetName val="Sheet3"/>
      <sheetName val="DG-VL"/>
      <sheetName val="PTDGCT"/>
      <sheetName val="금융비용"/>
      <sheetName val="입찰안"/>
      <sheetName val="TBA"/>
      <sheetName val="DM 6061"/>
      <sheetName val="Gia"/>
      <sheetName val="dm366"/>
      <sheetName val="DG thep ma kem"/>
      <sheetName val="May"/>
      <sheetName val="RAB_AR&amp;STR1"/>
      <sheetName val="chi_tiet_TBA1"/>
      <sheetName val="chi_tiet_C1"/>
      <sheetName val="Customize_Your_Purchase_Order1"/>
      <sheetName val="CHITIET_VL-NC-TT-3p"/>
      <sheetName val="S-curve_"/>
      <sheetName val="So_doi_chieu_LC"/>
      <sheetName val="Adix_A"/>
      <sheetName val="HĐ_ngoài"/>
      <sheetName val="XT_Buoc_3"/>
      <sheetName val="dongia_(2)"/>
      <sheetName val="CT vat lieu"/>
      <sheetName val="vcdngan"/>
      <sheetName val="K95"/>
      <sheetName val="K98"/>
      <sheetName val="PTDG"/>
      <sheetName val="LaborPY"/>
      <sheetName val="LaborKH"/>
      <sheetName val="Equip "/>
      <sheetName val="Material"/>
      <sheetName val="A1.CN"/>
      <sheetName val="PROFILE"/>
      <sheetName val="Đầu vào"/>
      <sheetName val="Ts"/>
      <sheetName val="EXTERNAL"/>
      <sheetName val="Chi tiet XD TBA"/>
      <sheetName val="damgiua"/>
      <sheetName val="dgct"/>
      <sheetName val="Giá"/>
      <sheetName val="DM1776"/>
      <sheetName val="DM228"/>
      <sheetName val="DM4970"/>
      <sheetName val="Camay_DP"/>
      <sheetName val="DM6061"/>
      <sheetName val="Luong2"/>
      <sheetName val="WT-LIST"/>
      <sheetName val="366"/>
      <sheetName val="Trạm biến áp"/>
      <sheetName val="Đơn Giá "/>
      <sheetName val="CT-35"/>
      <sheetName val="CT-0.4KV"/>
      <sheetName val="ironmongery"/>
      <sheetName val="JP_List"/>
      <sheetName val="SUBS"/>
      <sheetName val="Feeds"/>
      <sheetName val="final list 2005"/>
      <sheetName val="final_list_2005"/>
      <sheetName val="WORKINGS"/>
      <sheetName val="LV data"/>
      <sheetName val="Chenh lech vat tu"/>
      <sheetName val="Diện tích"/>
      <sheetName val="1_Khái toán"/>
      <sheetName val="TONG HOP T5 1998"/>
      <sheetName val="KL Chi tiết Xây tô"/>
      <sheetName val="DM"/>
      <sheetName val="DG DZ"/>
      <sheetName val="DG TBA"/>
      <sheetName val="DGXD"/>
      <sheetName val="07Base Cost"/>
      <sheetName val="rate material"/>
      <sheetName val="DTOAN"/>
      <sheetName val="Chi tiet KL"/>
      <sheetName val="Tổng hợp KL"/>
      <sheetName val="Barrem"/>
      <sheetName val="BM"/>
      <sheetName val="Xay lapduongR3"/>
      <sheetName val="Equipment"/>
      <sheetName val="DT_THAU"/>
      <sheetName val="말뚝지지력산정"/>
      <sheetName val="04 - XUONG DET B"/>
      <sheetName val="CTGX"/>
      <sheetName val="CTG-1"/>
      <sheetName val="Bill 1_Quy dinh chung"/>
      <sheetName val="1.R18 BF"/>
      <sheetName val="A"/>
      <sheetName val="G"/>
      <sheetName val="F-B"/>
      <sheetName val="H-J"/>
      <sheetName val="6.External works-R18"/>
      <sheetName val="Phan khai KLuong"/>
      <sheetName val="Duphong"/>
      <sheetName val="01"/>
      <sheetName val="02"/>
      <sheetName val=" 03"/>
      <sheetName val="04"/>
      <sheetName val="05"/>
      <sheetName val="06"/>
      <sheetName val="07"/>
      <sheetName val="08"/>
      <sheetName val="09"/>
      <sheetName val="chieu day san"/>
      <sheetName val="Podium Concrete Works"/>
      <sheetName val="KLCT- TOWER"/>
      <sheetName val="KLCT- PODIUM"/>
      <sheetName val="CANDOI"/>
      <sheetName val="MATK"/>
      <sheetName val="NHATKY"/>
      <sheetName val="Standardwerte"/>
      <sheetName val="Gia thanh chuoi su"/>
      <sheetName val="Tiep dia"/>
      <sheetName val="Don gia vung III-Can Tho"/>
      <sheetName val="base"/>
      <sheetName val="DGG"/>
      <sheetName val="INDEX"/>
      <sheetName val="Area Cal"/>
      <sheetName val="Elect (3)"/>
      <sheetName val="B"/>
      <sheetName val="BQMPALOC"/>
      <sheetName val="NDOCBT"/>
      <sheetName val="basis"/>
      <sheetName val="E"/>
      <sheetName val="K"/>
      <sheetName val="수입"/>
      <sheetName val="eq_data"/>
      <sheetName val="plan&amp;section of foundation"/>
      <sheetName val="design criteria"/>
      <sheetName val="Bond 수수료 계산 포맷"/>
      <sheetName val="ITB COST"/>
      <sheetName val="PAGE 1"/>
      <sheetName val="BKBANRA"/>
      <sheetName val="BKMUAVAO"/>
      <sheetName val="INFO"/>
      <sheetName val="Summary"/>
      <sheetName val="Cp&gt;10-Ln&lt;10"/>
      <sheetName val="Ln&lt;20"/>
      <sheetName val="EIRR&gt;1&lt;1"/>
      <sheetName val="EIRR&gt; 2"/>
      <sheetName val="EIRR&lt;2"/>
      <sheetName val="Sheet2"/>
      <sheetName val="負荷集計（断熱不燃）"/>
      <sheetName val="GAEYO"/>
      <sheetName val="7606-TBA"/>
      <sheetName val="7606-ĐZ"/>
      <sheetName val="DM 67"/>
      <sheetName val="Đầu tư"/>
      <sheetName val="DL"/>
      <sheetName val="????"/>
      <sheetName val="CE(E)"/>
      <sheetName val="CE(M)"/>
      <sheetName val="Project Data"/>
      <sheetName val="chiettinh"/>
      <sheetName val="Data Input"/>
      <sheetName val="실행"/>
      <sheetName val="6787CWFASE2CASE2_00.xls"/>
      <sheetName val="T&amp;D"/>
      <sheetName val="list"/>
      <sheetName val="BIDDING-SUM"/>
      <sheetName val="Bill 02 - Xay gach-Pou "/>
      <sheetName val="Bill 03-Chống thấm-Pou"/>
      <sheetName val="Bill 04-Kim loại-Pou"/>
      <sheetName val="Bill 05 - Hoan thien-Pou "/>
      <sheetName val="Bill 02 - Xay gach-Tower"/>
      <sheetName val="Bill 03-Chống thấm-Tower"/>
      <sheetName val="Bill 04-Kim loại-Tower"/>
      <sheetName val="Bill 05 - Hoan thien-Tower"/>
      <sheetName val="KL- KHAC"/>
      <sheetName val="BILL 3 - KẾT CẤU HẦM"/>
      <sheetName val="PTĐG"/>
      <sheetName val="RATE"/>
      <sheetName val="DTC&amp;TP&amp;NCC"/>
      <sheetName val="PTĐG LTBT"/>
      <sheetName val="CTG-PRECHEx1.4"/>
      <sheetName val="CTG-AB (2)"/>
      <sheetName val="CTG-AB (3)"/>
      <sheetName val="CTG-PLP-1.08"/>
      <sheetName val="CTG-QUYCHE"/>
      <sheetName val="CTG-AB"/>
      <sheetName val="Pre Đội nhóm"/>
      <sheetName val="Vat tu XD"/>
      <sheetName val="database"/>
      <sheetName val="inpukeoI"/>
      <sheetName val="Tower - Concrete Works"/>
      <sheetName val="Duc_bk"/>
      <sheetName val="Bill-04 ket cau thap- UNI"/>
      <sheetName val="DTICH"/>
      <sheetName val="Loại Vật tư"/>
      <sheetName val="tonghop"/>
      <sheetName val="DATA2"/>
      <sheetName val="PEDESB"/>
      <sheetName val="TH Vat tu"/>
      <sheetName val="Cửa"/>
      <sheetName val="dg tphcm"/>
      <sheetName val="DUCVIETPQ"/>
      <sheetName val="INFOR-ST"/>
      <sheetName val="T.KÊ K.CẤU"/>
      <sheetName val="Bill 01 - CTN"/>
      <sheetName val="Bill 2.2 Villa 2 beds"/>
      <sheetName val="D&amp;W"/>
      <sheetName val="4.PTDG"/>
      <sheetName val="A1, May"/>
      <sheetName val="Máy"/>
      <sheetName val="Vat lieu"/>
      <sheetName val="Bang trong luong rieng thep"/>
      <sheetName val="갑지1"/>
      <sheetName val="LEGEND"/>
      <sheetName val="6PILE  (돌출)"/>
      <sheetName val="6MONTHS"/>
      <sheetName val="???S"/>
      <sheetName val="???"/>
      <sheetName val="??"/>
      <sheetName val="HÐ ngoài"/>
      <sheetName val="??????"/>
      <sheetName val="HÐ_ngoài"/>
      <sheetName val="DTXL"/>
      <sheetName val="gia cong tac"/>
      <sheetName val="____"/>
      <sheetName val="Measure 1306"/>
      <sheetName val="0"/>
      <sheetName val="PRI-LS"/>
      <sheetName val="NKC6"/>
      <sheetName val="Cước VC + ĐM CP Tư vấn"/>
      <sheetName val="Hệ số"/>
      <sheetName val="DTXD"/>
      <sheetName val="Door and window"/>
      <sheetName val="DETAIL "/>
      <sheetName val="GV1-D13 (Casement door)"/>
      <sheetName val="MTL$-INTER"/>
      <sheetName val="Gia vat tu"/>
      <sheetName val="bt19"/>
      <sheetName val="Btr25"/>
      <sheetName val="ESTI."/>
      <sheetName val="CPDDII"/>
      <sheetName val="NVL"/>
      <sheetName val="Note"/>
      <sheetName val="DLdauvao"/>
      <sheetName val="CẤP THOÁT NƯỚC"/>
      <sheetName val="TH MTC"/>
      <sheetName val="TH N.Cong"/>
      <sheetName val="PU_ITALY_3"/>
      <sheetName val="Tro_giup3"/>
      <sheetName val="TH_DZ353"/>
      <sheetName val="CHITIET_VL-NC-TT_-1p1"/>
      <sheetName val="TONG_HOP_VL-NC_TT1"/>
      <sheetName val="KPVC-BD_1"/>
      <sheetName val="Don_gia1"/>
      <sheetName val="DON_GIA_TRAM_(3)1"/>
      <sheetName val="DON_GIA_CAN_THO3"/>
      <sheetName val="Don_gia_chi_tiet1"/>
      <sheetName val="7606_DZ1"/>
      <sheetName val="project_management"/>
      <sheetName val="MAIN_GATE_HOUSE"/>
      <sheetName val="REINF_"/>
      <sheetName val="Rates_2009"/>
      <sheetName val="Du_toan"/>
      <sheetName val="Commercial_value"/>
      <sheetName val="Ky_Lam_Bridge"/>
      <sheetName val="Provisional_Sums_Item"/>
      <sheetName val="Gas_Pressure_Welding"/>
      <sheetName val="General_Item&amp;General_Requiremen"/>
      <sheetName val="General_Items"/>
      <sheetName val="Regenral_Requirements"/>
      <sheetName val="chiet_tinh"/>
      <sheetName val="Ng_hàng_xà+bulong"/>
      <sheetName val="TONG_HOP_VL-NC"/>
      <sheetName val="Bang_KL"/>
      <sheetName val="MH_RATE"/>
      <sheetName val="Lcau_-_Lxuc"/>
      <sheetName val="DG-TNHC-85"/>
      <sheetName val="Dia"/>
      <sheetName val="SP10"/>
      <sheetName val="THDT goi thau TB"/>
      <sheetName val="Tien do TV"/>
      <sheetName val="QD957"/>
      <sheetName val="Harga ME "/>
      <sheetName val="토공"/>
      <sheetName val="Alat"/>
      <sheetName val="Analisa Gabungan"/>
      <sheetName val="Sub"/>
      <sheetName val="dg7606"/>
      <sheetName val="DGsuyrong"/>
      <sheetName val="PhanTichVua"/>
      <sheetName val="PhanTichVT"/>
      <sheetName val="KhoiluongDT"/>
      <sheetName val="Sheet4"/>
      <sheetName val="Supplier"/>
      <sheetName val=" Bill.5-Earthing.2 - Add Works"/>
      <sheetName val="bridge # 1"/>
      <sheetName val="DK"/>
      <sheetName val="Isolasi Luar Dalam"/>
      <sheetName val="Isolasi Luar"/>
      <sheetName val="TK-COL"/>
      <sheetName val="02_Dulieu_Cua"/>
      <sheetName val="HMCV"/>
      <sheetName val="CauKien"/>
      <sheetName val="XD"/>
      <sheetName val="Cuongricc"/>
      <sheetName val="KL san lap"/>
      <sheetName val="Chi tiet"/>
      <sheetName val="DonGiaLD"/>
      <sheetName val="Active"/>
      <sheetName val="PMS"/>
      <sheetName val="Perform1"/>
      <sheetName val="DIL4"/>
      <sheetName val="Share price data"/>
      <sheetName val="Breadown-Nop"/>
      <sheetName val="B-111"/>
      <sheetName val="19.3"/>
      <sheetName val="20.3"/>
      <sheetName val="Chieu 4.3"/>
      <sheetName val="Cow req"/>
      <sheetName val="TỔNG HỢP"/>
      <sheetName val="14-LẦN 3-CHIỀU"/>
      <sheetName val="14-LẦN 1-SÁNG"/>
      <sheetName val="14-LẦN 2-TRƯA"/>
      <sheetName val="1.3+1.4-TOTAL - Ko IN"/>
      <sheetName val="2.1-LẦN 3-CHIỀU"/>
      <sheetName val="2.1-LẦN 1-SÁNG"/>
      <sheetName val="2.1-LẦN 2-TRƯA"/>
      <sheetName val="2.1-TOTAL-Ko IN"/>
      <sheetName val="1.3(TMR 4)"/>
      <sheetName val="CHO DE"/>
      <sheetName val="1.1+1.2+2.2+2.3(TMR 3)"/>
      <sheetName val="CK1+CK2"/>
      <sheetName val="CK1+CK2 (VS SAN CHOI 23)"/>
      <sheetName val="CK1+CK2 (2)"/>
      <sheetName val="CP-CK"/>
      <sheetName val="12-16 THÁNG"/>
      <sheetName val="CAN SỮA"/>
      <sheetName val="54+55+56(SAU CAI SỮA-6)"/>
      <sheetName val="BÊ 71-90 NGÀY"/>
      <sheetName val="BÊ 12-16 tháng"/>
      <sheetName val="BÊ 6-12"/>
      <sheetName val="BÊ 1-3"/>
      <sheetName val="F01-BC KHAU PHAN SANG 20.3"/>
      <sheetName val="F01-BC KHAU PHAN CHIEU 19.3"/>
      <sheetName val="dinh mưc cty"/>
      <sheetName val="Giá thành"/>
      <sheetName val="Thong ke"/>
      <sheetName val="MIFC"/>
      <sheetName val="Energy for milk prod"/>
      <sheetName val="DE NGHI XUAT "/>
      <sheetName val="phieu xuat mau"/>
      <sheetName val="PHIEU XUAT CHIEU"/>
      <sheetName val="11 rai them cỏ"/>
      <sheetName val="PHU LUC 02- HDSD CAC BIEU MAU"/>
      <sheetName val="PhU LUC 01- MA CAC NHOM BO"/>
      <sheetName val="F03-BC THUC TRON SANG 20.3"/>
      <sheetName val="F03-BC THUC TRON CHIEU 19.3"/>
      <sheetName val="F02-BC THEO DOI THUC AN DU"/>
      <sheetName val="Tham khao- Bao cao xuat thuc an"/>
      <sheetName val="Chenh lech ca may"/>
      <sheetName val="TLg CN&amp;Laixe"/>
      <sheetName val="TLg CN&amp;Laixe (2)"/>
      <sheetName val="TLg Laitau"/>
      <sheetName val="TLg Laitau (2)"/>
      <sheetName val="Bang 3_Chi tiet phan Dz"/>
      <sheetName val="KHOI LUONG"/>
      <sheetName val="CT_vat_lieu"/>
      <sheetName val="DM_6061"/>
      <sheetName val="DG_thep_ma_kem"/>
      <sheetName val="DG_DZ"/>
      <sheetName val="DG_TBA"/>
      <sheetName val="Data_Input"/>
      <sheetName val="DG1426"/>
      <sheetName val="KH-Q1,Q2,01"/>
      <sheetName val="Setting"/>
      <sheetName val="Settings"/>
      <sheetName val="Equipment list (PAC)"/>
      <sheetName val="計算条件"/>
      <sheetName val="TINH KHOI LUONG"/>
      <sheetName val="DATA BASE"/>
      <sheetName val="Mat_Source"/>
      <sheetName val="入力作成表"/>
      <sheetName val="CPA"/>
      <sheetName val="PS-Labour_M"/>
      <sheetName val="DG7606DZ"/>
      <sheetName val="BẢNG KHỐI LƯỢNG TỔNG HỢP"/>
      <sheetName val="VND"/>
      <sheetName val="Buy vs. Lease Car"/>
      <sheetName val="___S"/>
      <sheetName val="___"/>
      <sheetName val="__"/>
      <sheetName val="______"/>
      <sheetName val="GTTBA"/>
      <sheetName val="Hardware"/>
      <sheetName val="HWW"/>
      <sheetName val="TH_CPTB"/>
      <sheetName val="CP Khac cuoc VC"/>
      <sheetName val="新规"/>
      <sheetName val="Code"/>
      <sheetName val="Budget Code"/>
      <sheetName val="Master"/>
      <sheetName val="CTKL KTX HT"/>
      <sheetName val="2.Chiet tinh"/>
      <sheetName val="I-KAMAR"/>
      <sheetName val="daf-3(OK)"/>
      <sheetName val="daf-7(OK)"/>
      <sheetName val="subcon sched"/>
      <sheetName val="NHÀ NHẬP LIỆU"/>
      <sheetName val="MÓNG SILO"/>
      <sheetName val="PRE (E)"/>
      <sheetName val="HVAC.BLOCK B4"/>
      <sheetName val="SourceData"/>
      <sheetName val="SEX"/>
      <sheetName val="CT1"/>
      <sheetName val="Z"/>
      <sheetName val="Tong du toan"/>
      <sheetName val="Bill 2 - ketcau"/>
      <sheetName val="A1"/>
      <sheetName val="13-Cốt thép (10mm&lt;D≤18mm) FO16"/>
      <sheetName val="du lieu du toan"/>
      <sheetName val="IBASE"/>
      <sheetName val="DANHMUC"/>
      <sheetName val="RAB_AR&amp;STR2"/>
      <sheetName val="chi_tiet_TBA2"/>
      <sheetName val="chi_tiet_C2"/>
      <sheetName val="Customize_Your_Purchase_Order2"/>
      <sheetName val="CHITIET_VL-NC-TT-3p1"/>
      <sheetName val="HĐ_ngoài1"/>
      <sheetName val="XT_Buoc_31"/>
      <sheetName val="dongia_(2)1"/>
      <sheetName val="Adix_A1"/>
      <sheetName val="S-curve_1"/>
      <sheetName val="So_doi_chieu_LC1"/>
      <sheetName val="Equip_"/>
      <sheetName val="A1_CN"/>
      <sheetName val="Đầu_vào"/>
      <sheetName val="Trạm_biến_áp"/>
      <sheetName val="Đơn_Giá_"/>
      <sheetName val="Chenh_lech_vat_tu"/>
      <sheetName val="Diện_tích"/>
      <sheetName val="1_Khái_toán"/>
      <sheetName val="TONG_HOP_T5_1998"/>
      <sheetName val="Chi_tiet_XD_TBA"/>
      <sheetName val="CT-0_4KV"/>
      <sheetName val="Chi_tiet_KL"/>
      <sheetName val="Tổng_hợp_KL"/>
      <sheetName val="rate_material"/>
      <sheetName val="KL_Chi_tiết_Xây_tô"/>
      <sheetName val="04_-_XUONG_DET_B"/>
      <sheetName val="07Base_Cost"/>
      <sheetName val="_03"/>
      <sheetName val="chieu_day_san"/>
      <sheetName val="Podium_Concrete_Works"/>
      <sheetName val="KLCT-_TOWER"/>
      <sheetName val="KLCT-_PODIUM"/>
      <sheetName val="Gia_thanh_chuoi_su"/>
      <sheetName val="Tiep_dia"/>
      <sheetName val="Don_gia_vung_III-Can_Tho"/>
      <sheetName val="Bill_1_Quy_dinh_chung"/>
      <sheetName val="1_R18_BF"/>
      <sheetName val="6_External_works-R18"/>
      <sheetName val="Phan_khai_KLuong"/>
      <sheetName val="Area_Cal"/>
      <sheetName val="Elect_(3)"/>
      <sheetName val="plan&amp;section_of_foundation"/>
      <sheetName val="design_criteria"/>
      <sheetName val="Bond_수수료_계산_포맷"/>
      <sheetName val="ITB_COST"/>
      <sheetName val="PAGE_1"/>
      <sheetName val="Loại_Vật_tư"/>
      <sheetName val="DM_67"/>
      <sheetName val="Đầu_tư"/>
      <sheetName val="dg_tphcm"/>
      <sheetName val="T_KÊ_K_CẤU"/>
      <sheetName val="4_PTDG"/>
      <sheetName val="A1,_May"/>
      <sheetName val="Vat_lieu"/>
      <sheetName val="Door_and_window"/>
      <sheetName val="Project_Data"/>
      <sheetName val="EIRR&gt;_2"/>
      <sheetName val="6PILE__(돌출)"/>
      <sheetName val="HÐ_ngoài1"/>
      <sheetName val="Xay_lapduongR3"/>
      <sheetName val="wsLists"/>
      <sheetName val="Chi tiet lan can"/>
      <sheetName val="PU_ITALY_4"/>
      <sheetName val="Tro_giup4"/>
      <sheetName val="TH_DZ354"/>
      <sheetName val="CHITIET_VL-NC-TT_-1p2"/>
      <sheetName val="TONG_HOP_VL-NC_TT2"/>
      <sheetName val="KPVC-BD_2"/>
      <sheetName val="Don_gia2"/>
      <sheetName val="DON_GIA_CAN_THO4"/>
      <sheetName val="DON_GIA_TRAM_(3)2"/>
      <sheetName val="Don_gia_chi_tiet2"/>
      <sheetName val="7606_DZ2"/>
      <sheetName val="project_management1"/>
      <sheetName val="REINF_1"/>
      <sheetName val="Rates_20091"/>
      <sheetName val="Du_toan1"/>
      <sheetName val="MAIN_GATE_HOUSE1"/>
      <sheetName val="Commercial_value1"/>
      <sheetName val="Ky_Lam_Bridge1"/>
      <sheetName val="Provisional_Sums_Item1"/>
      <sheetName val="Gas_Pressure_Welding1"/>
      <sheetName val="General_Item&amp;General_Requireme1"/>
      <sheetName val="General_Items1"/>
      <sheetName val="Regenral_Requirements1"/>
      <sheetName val="chiet_tinh1"/>
      <sheetName val="Ng_hàng_xà+bulong1"/>
      <sheetName val="Bang_KL1"/>
      <sheetName val="TONG_HOP_VL-NC1"/>
      <sheetName val="MH_RATE1"/>
      <sheetName val="Lcau_-_Lxuc1"/>
      <sheetName val="6787CWFASE2CASE2_00_xls"/>
      <sheetName val="Bill_01_-_CTN"/>
      <sheetName val="Bill_2_2_Villa_2_beds"/>
      <sheetName val="CẤP_THOÁT_NƯỚC"/>
      <sheetName val="Cước_VC_+_ĐM_CP_Tư_vấn"/>
      <sheetName val="Hệ_số"/>
      <sheetName val="Vat_tu_XD"/>
      <sheetName val="Bill_02_-_Xay_gach-Pou_"/>
      <sheetName val="Bill_03-Chống_thấm-Pou"/>
      <sheetName val="Bill_04-Kim_loại-Pou"/>
      <sheetName val="Bill_05_-_Hoan_thien-Pou_"/>
      <sheetName val="Bill_02_-_Xay_gach-Tower"/>
      <sheetName val="Bill_03-Chống_thấm-Tower"/>
      <sheetName val="Bill_04-Kim_loại-Tower"/>
      <sheetName val="Bill_05_-_Hoan_thien-Tower"/>
      <sheetName val="KL-_KHAC"/>
      <sheetName val="BILL_3_-_KẾT_CẤU_HẦM"/>
      <sheetName val="PTĐG_LTBT"/>
      <sheetName val="CTG-PRECHEx1_4"/>
      <sheetName val="CTG-AB_(2)"/>
      <sheetName val="CTG-AB_(3)"/>
      <sheetName val="CTG-PLP-1_08"/>
      <sheetName val="Pre_Đội_nhóm"/>
      <sheetName val="Tower_-_Concrete_Works"/>
      <sheetName val="Bill-04_ket_cau_thap-_UNI"/>
      <sheetName val="TH_Vat_tu"/>
      <sheetName val="Bang_trong_luong_rieng_thep"/>
      <sheetName val="gia_cong_tac"/>
      <sheetName val="Measure_1306"/>
      <sheetName val="THDT_goi_thau_TB"/>
      <sheetName val="Tien_do_TV"/>
      <sheetName val="Harga_ME_"/>
      <sheetName val="Analisa_Gabungan"/>
      <sheetName val="GV1-D13_(Casement_door)"/>
      <sheetName val="Isolasi_Luar_Dalam"/>
      <sheetName val="Isolasi_Luar"/>
      <sheetName val="Buy_vs__Lease_Car"/>
      <sheetName val="bridge_#_1"/>
      <sheetName val="7606"/>
      <sheetName val="BOQ THAN"/>
      <sheetName val="DL ĐẦU VÀO"/>
      <sheetName val="CTEMCOST"/>
      <sheetName val="DongiaVL2"/>
      <sheetName val="1_MV"/>
      <sheetName val="D &amp; W sizes"/>
      <sheetName val="Analisa &amp; Upah"/>
      <sheetName val="Ktmo"/>
      <sheetName val="Unit_Div6"/>
      <sheetName val="Purchase Order"/>
      <sheetName val="Main"/>
      <sheetName val="경비2내역"/>
      <sheetName val="Du lieu"/>
      <sheetName val="Cash2"/>
      <sheetName val="dghn"/>
      <sheetName val="Markup"/>
      <sheetName val="BOQ건축"/>
      <sheetName val="Formwork"/>
      <sheetName val="DETAIL_"/>
      <sheetName val="BocXep"/>
      <sheetName val="VCBo"/>
      <sheetName val="VCThuy"/>
      <sheetName val="Phan tich"/>
      <sheetName val="Luong NII"/>
      <sheetName val="Cpbetong"/>
      <sheetName val="366fun"/>
      <sheetName val="DM_60606061"/>
      <sheetName val="DINH MUC THI NGHIEM"/>
      <sheetName val="CUOCVC"/>
      <sheetName val="Luong NI"/>
      <sheetName val="Vatlieu"/>
      <sheetName val="CT"/>
      <sheetName val="don_giaQB"/>
      <sheetName val="INPUT-STR"/>
      <sheetName val="REF"/>
      <sheetName val="CT Thang Mo"/>
      <sheetName val="CT  PL"/>
      <sheetName val="DTCTchung"/>
      <sheetName val="dongia _2_"/>
      <sheetName val="FAB별"/>
      <sheetName val="Thép CKN"/>
      <sheetName val="GOC-KO IN"/>
      <sheetName val="TMinh"/>
      <sheetName val="MAU 8A"/>
      <sheetName val="MAU 8B"/>
      <sheetName val="MAU 9"/>
      <sheetName val="MAU 10"/>
      <sheetName val="TLuong"/>
      <sheetName val="cash budget"/>
      <sheetName val="Criteria"/>
      <sheetName val="ICGSIP"/>
      <sheetName val="DM_60611"/>
      <sheetName val="DG_thep_ma_kem1"/>
      <sheetName val="CT_vat_lieu1"/>
      <sheetName val="DG_DZ1"/>
      <sheetName val="DG_TBA1"/>
      <sheetName val="_Bill_5-Earthing_2_-_Add_Works"/>
      <sheetName val="Data_Input1"/>
      <sheetName val="final_list_20051"/>
      <sheetName val="LV_data"/>
      <sheetName val="ESTI_"/>
      <sheetName val="KL_san_lap"/>
      <sheetName val="Equipment_list_(PAC)"/>
      <sheetName val="TINH_KHOI_LUONG"/>
      <sheetName val="DATA_BASE"/>
      <sheetName val="Gia_vat_tu"/>
      <sheetName val="Chenh_lech_ca_may"/>
      <sheetName val="TLg_CN&amp;Laixe"/>
      <sheetName val="TLg_CN&amp;Laixe_(2)"/>
      <sheetName val="TLg_Laitau"/>
      <sheetName val="TLg_Laitau_(2)"/>
      <sheetName val="Bang_3_Chi_tiet_phan_Dz"/>
      <sheetName val="KHOI_LUONG"/>
      <sheetName val="TH_MTC"/>
      <sheetName val="TH_N_Cong"/>
      <sheetName val="Chi_tiet"/>
      <sheetName val="PRE_(E)"/>
      <sheetName val="subcon_sched"/>
      <sheetName val="HVAC_BLOCK_B4"/>
      <sheetName val="SORT"/>
      <sheetName val="Dlieu dau vao"/>
      <sheetName val="OT"/>
      <sheetName val="外気負荷"/>
      <sheetName val="BANCO (2)"/>
      <sheetName val="MT DPin (2)"/>
      <sheetName val="CHI PHI"/>
      <sheetName val="MDA"/>
      <sheetName val="MKH"/>
      <sheetName val="DMNV"/>
      <sheetName val="DMNCC"/>
      <sheetName val="MHH"/>
      <sheetName val="02. PTDG"/>
      <sheetName val="Chiết tính"/>
      <sheetName val="DK1.Don gia"/>
      <sheetName val="Income Statement"/>
      <sheetName val="Shareholders' Equity"/>
      <sheetName val="VC.xd"/>
      <sheetName val="Gia.VLTB"/>
      <sheetName val="B.Luong"/>
      <sheetName val="C.May"/>
      <sheetName val="Gia_vat_tu1"/>
      <sheetName val="Income_Statement1"/>
      <sheetName val="Shareholders'_Equity1"/>
      <sheetName val="Income_Statement"/>
      <sheetName val="Shareholders'_Equity"/>
      <sheetName val="Don gia (khong in)"/>
      <sheetName val="1.MONG 1-2"/>
      <sheetName val="TB NẶNG"/>
      <sheetName val="Du tru CP-Bieu 01"/>
      <sheetName val="DM7606"/>
      <sheetName val="XDM22"/>
      <sheetName val="dm 366"/>
      <sheetName val="DM 6060"/>
      <sheetName val="DinhMuc"/>
      <sheetName val="Gvlch"/>
      <sheetName val="DGLX"/>
      <sheetName val="TK-TUBU"/>
      <sheetName val="DGIA"/>
      <sheetName val="TT"/>
      <sheetName val="DM_4970"/>
      <sheetName val="Dự thầu"/>
      <sheetName val="Nhap VT oto"/>
      <sheetName val="TK chi tiet"/>
      <sheetName val="MTL(AG)"/>
      <sheetName val="sochitiettaikhoan_"/>
      <sheetName val="Share_price_data"/>
      <sheetName val="19_3"/>
      <sheetName val="20_3"/>
      <sheetName val="Chieu_4_3"/>
      <sheetName val="Cow_req"/>
      <sheetName val="TỔNG_HỢP"/>
      <sheetName val="14-LẦN_3-CHIỀU"/>
      <sheetName val="14-LẦN_1-SÁNG"/>
      <sheetName val="14-LẦN_2-TRƯA"/>
      <sheetName val="1_3+1_4-TOTAL_-_Ko_IN"/>
      <sheetName val="2_1-LẦN_3-CHIỀU"/>
      <sheetName val="2_1-LẦN_1-SÁNG"/>
      <sheetName val="2_1-LẦN_2-TRƯA"/>
      <sheetName val="2_1-TOTAL-Ko_IN"/>
      <sheetName val="1_3(TMR_4)"/>
      <sheetName val="CHO_DE"/>
      <sheetName val="1_1+1_2+2_2+2_3(TMR_3)"/>
      <sheetName val="CK1+CK2_(VS_SAN_CHOI_23)"/>
      <sheetName val="CK1+CK2_(2)"/>
      <sheetName val="12-16_THÁNG"/>
      <sheetName val="CAN_SỮA"/>
      <sheetName val="54+55+56(SAU_CAI_SỮA-6)"/>
      <sheetName val="BÊ_71-90_NGÀY"/>
      <sheetName val="BÊ_12-16_tháng"/>
      <sheetName val="BÊ_6-12"/>
      <sheetName val="BÊ_1-3"/>
      <sheetName val="F01-BC_KHAU_PHAN_SANG_20_3"/>
      <sheetName val="F01-BC_KHAU_PHAN_CHIEU_19_3"/>
      <sheetName val="dinh_mưc_cty"/>
      <sheetName val="Giá_thành"/>
      <sheetName val="Thong_ke"/>
      <sheetName val="Energy_for_milk_prod"/>
      <sheetName val="DE_NGHI_XUAT_"/>
      <sheetName val="phieu_xuat_mau"/>
      <sheetName val="PHIEU_XUAT_CHIEU"/>
      <sheetName val="11_rai_them_cỏ"/>
      <sheetName val="PHU_LUC_02-_HDSD_CAC_BIEU_MAU"/>
      <sheetName val="PhU_LUC_01-_MA_CAC_NHOM_BO"/>
      <sheetName val="F03-BC_THUC_TRON_SANG_20_3"/>
      <sheetName val="F03-BC_THUC_TRON_CHIEU_19_3"/>
      <sheetName val="F02-BC_THEO_DOI_THUC_AN_DU"/>
      <sheetName val="Tham_khao-_Bao_cao_xuat_thuc_an"/>
      <sheetName val="BẢNG_KHỐI_LƯỢNG_TỔNG_HỢP"/>
      <sheetName val="CP_Khac_cuoc_VC"/>
      <sheetName val="Budget_Code"/>
      <sheetName val="CTKL_KTX_HT"/>
      <sheetName val="2_Chiet_tinh"/>
      <sheetName val="NHÀ_NHẬP_LIỆU"/>
      <sheetName val="MÓNG_SILO"/>
      <sheetName val="CDTK"/>
      <sheetName val="sort2"/>
      <sheetName val="소일위대가코드표"/>
      <sheetName val="DATA1"/>
      <sheetName val="TH TN"/>
      <sheetName val="Bill No.3 - Prov. Sum (Ph2&amp;3)"/>
      <sheetName val="PU_ITALY_5"/>
      <sheetName val="RAB_AR&amp;STR3"/>
      <sheetName val="chi_tiet_TBA3"/>
      <sheetName val="chi_tiet_C3"/>
      <sheetName val="Tro_giup5"/>
      <sheetName val="TH_DZ355"/>
      <sheetName val="Customize_Your_Purchase_Order3"/>
      <sheetName val="CHITIET_VL-NC-TT_-1p3"/>
      <sheetName val="CHITIET_VL-NC-TT-3p2"/>
      <sheetName val="TONG_HOP_VL-NC_TT3"/>
      <sheetName val="KPVC-BD_3"/>
      <sheetName val="Don_gia3"/>
      <sheetName val="DON_GIA_TRAM_(3)3"/>
      <sheetName val="DON_GIA_CAN_THO5"/>
      <sheetName val="HĐ_ngoài2"/>
      <sheetName val="XT_Buoc_32"/>
      <sheetName val="dongia_(2)2"/>
      <sheetName val="7606_DZ3"/>
      <sheetName val="project_management2"/>
      <sheetName val="Don_gia_chi_tiet3"/>
      <sheetName val="Adix_A2"/>
      <sheetName val="S-curve_2"/>
      <sheetName val="REINF_2"/>
      <sheetName val="Rates_20092"/>
      <sheetName val="So_doi_chieu_LC2"/>
      <sheetName val="MAIN_GATE_HOUSE2"/>
      <sheetName val="Du_toan2"/>
      <sheetName val="Commercial_value2"/>
      <sheetName val="Ky_Lam_Bridge2"/>
      <sheetName val="Provisional_Sums_Item2"/>
      <sheetName val="Gas_Pressure_Welding2"/>
      <sheetName val="General_Item&amp;General_Requireme2"/>
      <sheetName val="General_Items2"/>
      <sheetName val="Regenral_Requirements2"/>
      <sheetName val="TONG_HOP_VL-NC2"/>
      <sheetName val="MH_RATE2"/>
      <sheetName val="Ng_hàng_xà+bulong2"/>
      <sheetName val="chiet_tinh2"/>
      <sheetName val="Bang_KL2"/>
      <sheetName val="Equip_1"/>
      <sheetName val="A1_CN1"/>
      <sheetName val="DG_thep_ma_kem2"/>
      <sheetName val="Lcau_-_Lxuc2"/>
      <sheetName val="DM_60612"/>
      <sheetName val="Đầu_vào1"/>
      <sheetName val="CT_vat_lieu2"/>
      <sheetName val="Trạm_biến_áp1"/>
      <sheetName val="Đơn_Giá_1"/>
      <sheetName val="Chenh_lech_vat_tu1"/>
      <sheetName val="Diện_tích1"/>
      <sheetName val="1_Khái_toán1"/>
      <sheetName val="TONG_HOP_T5_19981"/>
      <sheetName val="Chi_tiet_XD_TBA1"/>
      <sheetName val="DG_DZ2"/>
      <sheetName val="DG_TBA2"/>
      <sheetName val="rate_material1"/>
      <sheetName val="CT-0_4KV1"/>
      <sheetName val="KL_Chi_tiết_Xây_tô1"/>
      <sheetName val="07Base_Cost1"/>
      <sheetName val="Chi_tiet_KL1"/>
      <sheetName val="Tổng_hợp_KL1"/>
      <sheetName val="Bill_1_Quy_dinh_chung1"/>
      <sheetName val="1_R18_BF1"/>
      <sheetName val="6_External_works-R181"/>
      <sheetName val="Phan_khai_KLuong1"/>
      <sheetName val="Measure_13061"/>
      <sheetName val="Area_Cal1"/>
      <sheetName val="gia_cong_tac1"/>
      <sheetName val="Isolasi_Luar_Dalam1"/>
      <sheetName val="Isolasi_Luar1"/>
      <sheetName val="Data_Input2"/>
      <sheetName val="Project_Data1"/>
      <sheetName val="GV1-D13_(Casement_door)1"/>
      <sheetName val="DM_671"/>
      <sheetName val="04_-_XUONG_DET_B1"/>
      <sheetName val="_031"/>
      <sheetName val="chieu_day_san1"/>
      <sheetName val="Podium_Concrete_Works1"/>
      <sheetName val="KLCT-_TOWER1"/>
      <sheetName val="KLCT-_PODIUM1"/>
      <sheetName val="Gia_thanh_chuoi_su1"/>
      <sheetName val="Tiep_dia1"/>
      <sheetName val="Don_gia_vung_III-Can_Tho1"/>
      <sheetName val="Elect_(3)1"/>
      <sheetName val="plan&amp;section_of_foundation1"/>
      <sheetName val="design_criteria1"/>
      <sheetName val="Bond_수수료_계산_포맷1"/>
      <sheetName val="ITB_COST1"/>
      <sheetName val="PAGE_11"/>
      <sheetName val="Đầu_tư1"/>
      <sheetName val="EIRR&gt;_21"/>
      <sheetName val="HÐ_ngoài2"/>
      <sheetName val="6PILE__(돌출)1"/>
      <sheetName val="Xay_lapduongR31"/>
      <sheetName val="dg_tphcm1"/>
      <sheetName val="Loại_Vật_tư1"/>
      <sheetName val="T_KÊ_K_CẤU1"/>
      <sheetName val="Analisa_Gabungan1"/>
      <sheetName val="Bill_01_-_CTN1"/>
      <sheetName val="Bill_2_2_Villa_2_beds1"/>
      <sheetName val="4_PTDG1"/>
      <sheetName val="6787CWFASE2CASE2_00_xls1"/>
      <sheetName val="Bill_02_-_Xay_gach-Pou_1"/>
      <sheetName val="Bill_03-Chống_thấm-Pou1"/>
      <sheetName val="Bill_04-Kim_loại-Pou1"/>
      <sheetName val="Bill_05_-_Hoan_thien-Pou_1"/>
      <sheetName val="Bill_02_-_Xay_gach-Tower1"/>
      <sheetName val="Bill_03-Chống_thấm-Tower1"/>
      <sheetName val="Bill_04-Kim_loại-Tower1"/>
      <sheetName val="Bill_05_-_Hoan_thien-Tower1"/>
      <sheetName val="KL-_KHAC1"/>
      <sheetName val="BILL_3_-_KẾT_CẤU_HẦM1"/>
      <sheetName val="PTĐG_LTBT1"/>
      <sheetName val="CTG-PRECHEx1_41"/>
      <sheetName val="CTG-AB_(2)1"/>
      <sheetName val="CTG-AB_(3)1"/>
      <sheetName val="CTG-PLP-1_081"/>
      <sheetName val="Pre_Đội_nhóm1"/>
      <sheetName val="Vat_tu_XD1"/>
      <sheetName val="Tower_-_Concrete_Works1"/>
      <sheetName val="Bill-04_ket_cau_thap-_UNI1"/>
      <sheetName val="A1,_May1"/>
      <sheetName val="Vat_lieu1"/>
      <sheetName val="TH_N_Cong1"/>
      <sheetName val="Harga_ME_1"/>
      <sheetName val="ESTI_1"/>
      <sheetName val="KL_san_lap1"/>
      <sheetName val="TH_Vat_tu1"/>
      <sheetName val="_Bill_5-Earthing_2_-_Add_Works1"/>
      <sheetName val="CẤP_THOÁT_NƯỚC1"/>
      <sheetName val="Cước_VC_+_ĐM_CP_Tư_vấn1"/>
      <sheetName val="Hệ_số1"/>
      <sheetName val="THDT_goi_thau_TB1"/>
      <sheetName val="Tien_do_TV1"/>
      <sheetName val="Bang_trong_luong_rieng_thep1"/>
      <sheetName val="DETAIL_1"/>
      <sheetName val="final_list_20052"/>
      <sheetName val="LV_data1"/>
      <sheetName val="TH_MTC1"/>
      <sheetName val="Chenh_lech_ca_may1"/>
      <sheetName val="TLg_CN&amp;Laixe1"/>
      <sheetName val="TLg_CN&amp;Laixe_(2)1"/>
      <sheetName val="TLg_Laitau1"/>
      <sheetName val="TLg_Laitau_(2)1"/>
      <sheetName val="Equipment_list_(PAC)1"/>
      <sheetName val="TINH_KHOI_LUONG1"/>
      <sheetName val="DATA_BASE1"/>
      <sheetName val="bridge_#_11"/>
      <sheetName val="Chi_tiet1"/>
      <sheetName val="Buy_vs__Lease_Car1"/>
      <sheetName val="subcon_sched1"/>
      <sheetName val="Bang_3_Chi_tiet_phan_Dz1"/>
      <sheetName val="KHOI_LUONG1"/>
      <sheetName val="HVAC_BLOCK_B41"/>
      <sheetName val="PRE_(E)1"/>
      <sheetName val="Tong_du_toan"/>
      <sheetName val="Bill_2_-_ketcau"/>
      <sheetName val="Chi_tiet_lan_can"/>
      <sheetName val="Analisa_&amp;_Upah"/>
      <sheetName val="13-Cốt_thép_(10mm&lt;D≤18mm)_FO16"/>
      <sheetName val="du_lieu_du_toan"/>
      <sheetName val="Purchase_Order"/>
      <sheetName val="DL_ĐẦU_VÀO"/>
      <sheetName val="BOQ_THAN"/>
      <sheetName val="D_&amp;_W_sizes"/>
      <sheetName val="Du_lieu1"/>
      <sheetName val="cash_budget"/>
      <sheetName val="Luong_NII"/>
      <sheetName val="DINH_MUC_THI_NGHIEM"/>
      <sheetName val="Luong_NI"/>
      <sheetName val="Phan_tich"/>
      <sheetName val="CT_Thang_Mo"/>
      <sheetName val="CT__PL"/>
      <sheetName val="dongia__2_"/>
      <sheetName val="Thép_CKN"/>
      <sheetName val="GOC-KO_IN"/>
      <sheetName val="MAU_8A"/>
      <sheetName val="MAU_8B"/>
      <sheetName val="MAU_9"/>
      <sheetName val="MAU_10"/>
      <sheetName val="Don_gia_(khong_in)"/>
      <sheetName val="Dlieu_dau_vao"/>
      <sheetName val="DK1_Don_gia"/>
      <sheetName val="1_MONG_1-2"/>
      <sheetName val="BANCO_(2)"/>
      <sheetName val="MT_DPin_(2)"/>
      <sheetName val="02__PTDG"/>
      <sheetName val="Chiết_tính"/>
      <sheetName val="PU_ITALY_6"/>
      <sheetName val="RAB_AR&amp;STR4"/>
      <sheetName val="chi_tiet_TBA4"/>
      <sheetName val="chi_tiet_C4"/>
      <sheetName val="Tro_giup6"/>
      <sheetName val="TH_DZ356"/>
      <sheetName val="Customize_Your_Purchase_Order4"/>
      <sheetName val="CHITIET_VL-NC-TT_-1p4"/>
      <sheetName val="CHITIET_VL-NC-TT-3p3"/>
      <sheetName val="TONG_HOP_VL-NC_TT4"/>
      <sheetName val="KPVC-BD_4"/>
      <sheetName val="Don_gia4"/>
      <sheetName val="DON_GIA_TRAM_(3)4"/>
      <sheetName val="DON_GIA_CAN_THO6"/>
      <sheetName val="HĐ_ngoài3"/>
      <sheetName val="XT_Buoc_33"/>
      <sheetName val="dongia_(2)3"/>
      <sheetName val="7606_DZ4"/>
      <sheetName val="project_management3"/>
      <sheetName val="Don_gia_chi_tiet4"/>
      <sheetName val="Adix_A3"/>
      <sheetName val="S-curve_3"/>
      <sheetName val="REINF_3"/>
      <sheetName val="Rates_20093"/>
      <sheetName val="So_doi_chieu_LC3"/>
      <sheetName val="MAIN_GATE_HOUSE3"/>
      <sheetName val="Commercial_value3"/>
      <sheetName val="Du_toan3"/>
      <sheetName val="Ky_Lam_Bridge3"/>
      <sheetName val="Provisional_Sums_Item3"/>
      <sheetName val="Gas_Pressure_Welding3"/>
      <sheetName val="General_Item&amp;General_Requireme3"/>
      <sheetName val="General_Items3"/>
      <sheetName val="Regenral_Requirements3"/>
      <sheetName val="chiet_tinh3"/>
      <sheetName val="Ng_hàng_xà+bulong3"/>
      <sheetName val="Bang_KL3"/>
      <sheetName val="TONG_HOP_VL-NC3"/>
      <sheetName val="MH_RATE3"/>
      <sheetName val="Đầu_vào2"/>
      <sheetName val="Lcau_-_Lxuc3"/>
      <sheetName val="DM_60613"/>
      <sheetName val="DG_thep_ma_kem3"/>
      <sheetName val="CT_vat_lieu3"/>
      <sheetName val="Equip_2"/>
      <sheetName val="A1_CN2"/>
      <sheetName val="Trạm_biến_áp2"/>
      <sheetName val="Đơn_Giá_2"/>
      <sheetName val="Chenh_lech_vat_tu2"/>
      <sheetName val="Diện_tích2"/>
      <sheetName val="1_Khái_toán2"/>
      <sheetName val="TONG_HOP_T5_19982"/>
      <sheetName val="Chi_tiet_XD_TBA2"/>
      <sheetName val="DG_DZ3"/>
      <sheetName val="DG_TBA3"/>
      <sheetName val="CT-0_4KV2"/>
      <sheetName val="rate_material2"/>
      <sheetName val="KL_Chi_tiết_Xây_tô2"/>
      <sheetName val="07Base_Cost2"/>
      <sheetName val="GV1-D13_(Casement_door)2"/>
      <sheetName val="Bill_1_Quy_dinh_chung2"/>
      <sheetName val="1_R18_BF2"/>
      <sheetName val="6_External_works-R182"/>
      <sheetName val="Phan_khai_KLuong2"/>
      <sheetName val="Chi_tiet_KL2"/>
      <sheetName val="Tổng_hợp_KL2"/>
      <sheetName val="Measure_13062"/>
      <sheetName val="Area_Cal2"/>
      <sheetName val="gia_cong_tac2"/>
      <sheetName val="Analisa_Gabungan2"/>
      <sheetName val="Isolasi_Luar_Dalam2"/>
      <sheetName val="Isolasi_Luar2"/>
      <sheetName val="04_-_XUONG_DET_B2"/>
      <sheetName val="_032"/>
      <sheetName val="chieu_day_san2"/>
      <sheetName val="Podium_Concrete_Works2"/>
      <sheetName val="KLCT-_TOWER2"/>
      <sheetName val="KLCT-_PODIUM2"/>
      <sheetName val="Gia_thanh_chuoi_su2"/>
      <sheetName val="Tiep_dia2"/>
      <sheetName val="Don_gia_vung_III-Can_Tho2"/>
      <sheetName val="Loại_Vật_tư2"/>
      <sheetName val="Elect_(3)2"/>
      <sheetName val="plan&amp;section_of_foundation2"/>
      <sheetName val="design_criteria2"/>
      <sheetName val="Bond_수수료_계산_포맷2"/>
      <sheetName val="ITB_COST2"/>
      <sheetName val="PAGE_12"/>
      <sheetName val="Xay_lapduongR32"/>
      <sheetName val="DM_672"/>
      <sheetName val="Project_Data2"/>
      <sheetName val="6787CWFASE2CASE2_00_xls2"/>
      <sheetName val="Đầu_tư2"/>
      <sheetName val="EIRR&gt;_22"/>
      <sheetName val="Bill_02_-_Xay_gach-Pou_2"/>
      <sheetName val="Bill_03-Chống_thấm-Pou2"/>
      <sheetName val="Bill_04-Kim_loại-Pou2"/>
      <sheetName val="Bill_05_-_Hoan_thien-Pou_2"/>
      <sheetName val="Bill_02_-_Xay_gach-Tower2"/>
      <sheetName val="Bill_03-Chống_thấm-Tower2"/>
      <sheetName val="Bill_04-Kim_loại-Tower2"/>
      <sheetName val="Bill_05_-_Hoan_thien-Tower2"/>
      <sheetName val="KL-_KHAC2"/>
      <sheetName val="BILL_3_-_KẾT_CẤU_HẦM2"/>
      <sheetName val="PTĐG_LTBT2"/>
      <sheetName val="CTG-PRECHEx1_42"/>
      <sheetName val="CTG-AB_(2)2"/>
      <sheetName val="CTG-AB_(3)2"/>
      <sheetName val="CTG-PLP-1_082"/>
      <sheetName val="Pre_Đội_nhóm2"/>
      <sheetName val="Vat_tu_XD2"/>
      <sheetName val="Tower_-_Concrete_Works2"/>
      <sheetName val="Bill-04_ket_cau_thap-_UNI2"/>
      <sheetName val="dg_tphcm2"/>
      <sheetName val="T_KÊ_K_CẤU2"/>
      <sheetName val="4_PTDG2"/>
      <sheetName val="A1,_May2"/>
      <sheetName val="Vat_lieu2"/>
      <sheetName val="Data_Input3"/>
      <sheetName val="HÐ_ngoài3"/>
      <sheetName val="6PILE__(돌출)2"/>
      <sheetName val="Bill_01_-_CTN2"/>
      <sheetName val="Bill_2_2_Villa_2_beds2"/>
      <sheetName val="ESTI_2"/>
      <sheetName val="KL_san_lap2"/>
      <sheetName val="TH_Vat_tu2"/>
      <sheetName val="_Bill_5-Earthing_2_-_Add_Works2"/>
      <sheetName val="Harga_ME_2"/>
      <sheetName val="TH_N_Cong2"/>
      <sheetName val="Bang_trong_luong_rieng_thep2"/>
      <sheetName val="CẤP_THOÁT_NƯỚC2"/>
      <sheetName val="Cước_VC_+_ĐM_CP_Tư_vấn2"/>
      <sheetName val="Hệ_số2"/>
      <sheetName val="bridge_#_12"/>
      <sheetName val="THDT_goi_thau_TB2"/>
      <sheetName val="Tien_do_TV2"/>
      <sheetName val="DETAIL_2"/>
      <sheetName val="final_list_20053"/>
      <sheetName val="LV_data2"/>
      <sheetName val="Gia_vat_tu2"/>
      <sheetName val="TH_MTC2"/>
      <sheetName val="Chenh_lech_ca_may2"/>
      <sheetName val="TLg_CN&amp;Laixe2"/>
      <sheetName val="TLg_CN&amp;Laixe_(2)2"/>
      <sheetName val="TLg_Laitau2"/>
      <sheetName val="TLg_Laitau_(2)2"/>
      <sheetName val="Equipment_list_(PAC)2"/>
      <sheetName val="TINH_KHOI_LUONG2"/>
      <sheetName val="DATA_BASE2"/>
      <sheetName val="Chi_tiet2"/>
      <sheetName val="Bang_3_Chi_tiet_phan_Dz2"/>
      <sheetName val="KHOI_LUONG2"/>
      <sheetName val="HVAC_BLOCK_B42"/>
      <sheetName val="Buy_vs__Lease_Car2"/>
      <sheetName val="subcon_sched2"/>
      <sheetName val="CP_Khac_cuoc_VC1"/>
      <sheetName val="Budget_Code1"/>
      <sheetName val="BẢNG_KHỐI_LƯỢNG_TỔNG_HỢP1"/>
      <sheetName val="CTKL_KTX_HT1"/>
      <sheetName val="PRE_(E)2"/>
      <sheetName val="2_Chiet_tinh1"/>
      <sheetName val="NHÀ_NHẬP_LIỆU1"/>
      <sheetName val="MÓNG_SILO1"/>
      <sheetName val="Tong_du_toan1"/>
      <sheetName val="Bill_2_-_ketcau1"/>
      <sheetName val="Chi_tiet_lan_can1"/>
      <sheetName val="Analisa_&amp;_Upah1"/>
      <sheetName val="Purchase_Order1"/>
      <sheetName val="13-Cốt_thép_(10mm&lt;D≤18mm)_FO161"/>
      <sheetName val="du_lieu_du_toan1"/>
      <sheetName val="DL_ĐẦU_VÀO1"/>
      <sheetName val="BOQ_THAN1"/>
      <sheetName val="D_&amp;_W_sizes1"/>
      <sheetName val="Du_lieu2"/>
      <sheetName val="cash_budget1"/>
      <sheetName val="Luong_NII1"/>
      <sheetName val="DINH_MUC_THI_NGHIEM1"/>
      <sheetName val="Luong_NI1"/>
      <sheetName val="Phan_tich1"/>
      <sheetName val="CT_Thang_Mo1"/>
      <sheetName val="CT__PL1"/>
      <sheetName val="dongia__2_1"/>
      <sheetName val="Thép_CKN1"/>
      <sheetName val="GOC-KO_IN1"/>
      <sheetName val="MAU_8A1"/>
      <sheetName val="MAU_8B1"/>
      <sheetName val="MAU_91"/>
      <sheetName val="MAU_101"/>
      <sheetName val="sochitiettaikhoan_1"/>
      <sheetName val="Share_price_data1"/>
      <sheetName val="19_31"/>
      <sheetName val="20_31"/>
      <sheetName val="Chieu_4_31"/>
      <sheetName val="Cow_req1"/>
      <sheetName val="TỔNG_HỢP1"/>
      <sheetName val="14-LẦN_3-CHIỀU1"/>
      <sheetName val="14-LẦN_1-SÁNG1"/>
      <sheetName val="14-LẦN_2-TRƯA1"/>
      <sheetName val="1_3+1_4-TOTAL_-_Ko_IN1"/>
      <sheetName val="2_1-LẦN_3-CHIỀU1"/>
      <sheetName val="2_1-LẦN_1-SÁNG1"/>
      <sheetName val="2_1-LẦN_2-TRƯA1"/>
      <sheetName val="2_1-TOTAL-Ko_IN1"/>
      <sheetName val="1_3(TMR_4)1"/>
      <sheetName val="CHO_DE1"/>
      <sheetName val="1_1+1_2+2_2+2_3(TMR_3)1"/>
      <sheetName val="CK1+CK2_(VS_SAN_CHOI_23)1"/>
      <sheetName val="CK1+CK2_(2)1"/>
      <sheetName val="12-16_THÁNG1"/>
      <sheetName val="CAN_SỮA1"/>
      <sheetName val="54+55+56(SAU_CAI_SỮA-6)1"/>
      <sheetName val="BÊ_71-90_NGÀY1"/>
      <sheetName val="BÊ_12-16_tháng1"/>
      <sheetName val="BÊ_6-121"/>
      <sheetName val="BÊ_1-31"/>
      <sheetName val="F01-BC_KHAU_PHAN_SANG_20_31"/>
      <sheetName val="F01-BC_KHAU_PHAN_CHIEU_19_31"/>
      <sheetName val="dinh_mưc_cty1"/>
      <sheetName val="Giá_thành1"/>
      <sheetName val="Thong_ke1"/>
      <sheetName val="Energy_for_milk_prod1"/>
      <sheetName val="DE_NGHI_XUAT_1"/>
      <sheetName val="phieu_xuat_mau1"/>
      <sheetName val="PHIEU_XUAT_CHIEU1"/>
      <sheetName val="11_rai_them_cỏ1"/>
      <sheetName val="PHU_LUC_02-_HDSD_CAC_BIEU_MAU1"/>
      <sheetName val="PhU_LUC_01-_MA_CAC_NHOM_BO1"/>
      <sheetName val="F03-BC_THUC_TRON_SANG_20_31"/>
      <sheetName val="F03-BC_THUC_TRON_CHIEU_19_31"/>
      <sheetName val="F02-BC_THEO_DOI_THUC_AN_DU1"/>
      <sheetName val="Tham_khao-_Bao_cao_xuat_thuc_a1"/>
      <sheetName val="Dlieu_dau_vao1"/>
      <sheetName val="DK1_Don_gia1"/>
      <sheetName val="1_MONG_1-21"/>
      <sheetName val="Don_gia_(khong_in)1"/>
      <sheetName val="BANCO_(2)1"/>
      <sheetName val="MT_DPin_(2)1"/>
      <sheetName val="02__PTDG1"/>
      <sheetName val="Chiết_tính1"/>
      <sheetName val="Hao phí"/>
      <sheetName val="Structure data"/>
      <sheetName val="đọc số"/>
      <sheetName val="Ma don vi"/>
      <sheetName val="bang cc"/>
      <sheetName val="CP Du phong"/>
      <sheetName val="THCP Lap dat"/>
      <sheetName val="THCP xay dung"/>
      <sheetName val="Tong hop kinh phi"/>
      <sheetName val="QD79"/>
      <sheetName val="CP HMC"/>
      <sheetName val="HỆ THỐNG PHÒNG CHÁY CHỮA CHÁY"/>
      <sheetName val="HỆ THỐNG CẤP THOÁT NƯỚC"/>
      <sheetName val="HỆ THỐNG ĐHKK"/>
      <sheetName val="MÁY PHÁT ĐIỆN"/>
      <sheetName val="HỆ THỐNG ĐIỆN"/>
      <sheetName val="Thiết bị chính"/>
      <sheetName val="Dongiaxd"/>
      <sheetName val="Ｎｏ.13"/>
      <sheetName val="tra_vat_lieu"/>
      <sheetName val="DGchitiet "/>
      <sheetName val="wk prgs"/>
      <sheetName val="AG Pipe Qty Analysis"/>
      <sheetName val="Tongke"/>
      <sheetName val="2.1Warehouse 1"/>
      <sheetName val="CĂN HỘ T16-17 "/>
      <sheetName val="TRỤC ĐỨNG THOÁT BẨN T15-17"/>
      <sheetName val="TRỤC ĐỨNG TM T15-17"/>
      <sheetName val="Brick"/>
      <sheetName val="Bill 2-Road HR2"/>
      <sheetName val="Bill 3 - Softscape HR2"/>
      <sheetName val="見積書"/>
      <sheetName val="TNHC"/>
      <sheetName val="THEP TAM"/>
      <sheetName val="THEP HÌNH"/>
      <sheetName val="THEP HINH"/>
      <sheetName val="XA GO"/>
      <sheetName val="BANG TRA"/>
      <sheetName val="trialth"/>
      <sheetName val="1"/>
      <sheetName val="PCCC"/>
      <sheetName val="Est"/>
      <sheetName val="E-Breakdown"/>
      <sheetName val="CostData"/>
      <sheetName val="costingsheet"/>
      <sheetName val="Wind"/>
      <sheetName val="Main Bldg-Rev02"/>
      <sheetName val="D&amp;W def."/>
      <sheetName val="Nhan cong"/>
      <sheetName val="Thiet bi"/>
      <sheetName val="Vat tu"/>
      <sheetName val="DM.ChiPhi"/>
      <sheetName val="May TC"/>
      <sheetName val="TH Kinh phi"/>
      <sheetName val="LKVL-CK-HT-GD1"/>
      <sheetName val="NhanCong"/>
      <sheetName val="TN"/>
      <sheetName val="ND"/>
      <sheetName val="Ptvl "/>
      <sheetName val="escon"/>
      <sheetName val="INSTR"/>
      <sheetName val="GiaVL"/>
      <sheetName val="노임단가"/>
      <sheetName val="Rebar"/>
      <sheetName val="KLT"/>
      <sheetName val="nkc"/>
      <sheetName val="Móng, nền "/>
      <sheetName val="1.Requisition(E)"/>
      <sheetName val="So lieu chung"/>
      <sheetName val="NHATKYC"/>
      <sheetName val="BCX_NL"/>
      <sheetName val="TONG HOP"/>
      <sheetName val="Tổng GT"/>
      <sheetName val="GT"/>
      <sheetName val="KL"/>
      <sheetName val="Chi tiết KL"/>
      <sheetName val="ca máy"/>
      <sheetName val="khấu trừ phạt"/>
      <sheetName val="GT  KHAU TRU"/>
      <sheetName val="HAO HUT VAT TU (2)"/>
      <sheetName val="cao độ"/>
      <sheetName val="Specs"/>
      <sheetName val="Data.Wall"/>
      <sheetName val="Dự toán"/>
      <sheetName val="Đơn Giá TH"/>
      <sheetName val="Nhân công"/>
      <sheetName val="Phân tích"/>
      <sheetName val="C.P Thiết bị"/>
      <sheetName val="T.H Kinh phí"/>
      <sheetName val="Vật tư"/>
      <sheetName val="Trang bìa"/>
      <sheetName val="phan tic chi tiet"/>
      <sheetName val="Thongtin"/>
      <sheetName val="DG 1426"/>
      <sheetName val="Dongia7606new"/>
      <sheetName val="Theo doi Doanh thu 2017"/>
      <sheetName val="gui BKCT"/>
      <sheetName val="VT190111"/>
      <sheetName val="Gia vat lieu"/>
      <sheetName val="Precios unitarios AXH"/>
      <sheetName val="ĐNTT"/>
      <sheetName val="GTHT"/>
      <sheetName val="Chi tiet cong no"/>
      <sheetName val="BoQ"/>
      <sheetName val="PHÁT SINH TẦNG 1."/>
      <sheetName val="PHÁT SINH TẦNG 2"/>
      <sheetName val="Hầm chuyển psinh"/>
      <sheetName val="Ống thẳng"/>
      <sheetName val="Côn thu"/>
      <sheetName val="Vuông tròn"/>
      <sheetName val="Chân rẽ"/>
      <sheetName val="Cút"/>
      <sheetName val="Chạc ba"/>
      <sheetName val=""/>
      <sheetName val="INF"/>
      <sheetName val="Q.A01.2-Sh"/>
      <sheetName val="MTO REV.2(ARMOR)"/>
      <sheetName val="ReadFirst"/>
      <sheetName val="물량표"/>
      <sheetName val="Don gia chi tiet DIEN 2"/>
      <sheetName val="lam_moi"/>
      <sheetName val="7606(TT01)"/>
      <sheetName val="7606TBA(TT01)"/>
      <sheetName val="DG7606TBA"/>
      <sheetName val="CTTN"/>
      <sheetName val="Luong_Cnhan"/>
      <sheetName val="DMTN"/>
      <sheetName val="VatTU"/>
      <sheetName val="3. CNT"/>
      <sheetName val="unit price list(M)"/>
      <sheetName val="DMCT"/>
      <sheetName val="Danh mục"/>
      <sheetName val="PNT_QUOT__3"/>
      <sheetName val="COAT_WRAP_QIOT__3"/>
      <sheetName val="Notes"/>
      <sheetName val="1.2 Staff Schedule"/>
      <sheetName val="BẢNG ÁP GIÁ (in)"/>
      <sheetName val="NT (KL) IN"/>
      <sheetName val="DOM D2"/>
      <sheetName val="nhà ăn"/>
      <sheetName val="Công nhật"/>
      <sheetName val="btkt cột"/>
      <sheetName val="THÉP"/>
      <sheetName val="125x125"/>
      <sheetName val="Bảng đo bóc KL OLK-09"/>
      <sheetName val="6.3 CHI TIET OLK-09"/>
      <sheetName val="PV Graph Data"/>
      <sheetName val="GJ_06"/>
      <sheetName val="Door_and_window1"/>
      <sheetName val="TK_chi_tiet"/>
      <sheetName val="CHI_PHI"/>
      <sheetName val="Income_Statement2"/>
      <sheetName val="Shareholders'_Equity2"/>
      <sheetName val="VC_xd"/>
      <sheetName val="Gia_VLTB"/>
      <sheetName val="B_Luong"/>
      <sheetName val="C_May"/>
      <sheetName val="TB_NẶNG"/>
      <sheetName val="Du_tru_CP-Bieu_01"/>
      <sheetName val="dm_366"/>
      <sheetName val="DM_6060"/>
      <sheetName val="Dự_thầu"/>
      <sheetName val="Nhap_VT_oto"/>
      <sheetName val="NHAP"/>
      <sheetName val="Rate1"/>
      <sheetName val="TH VL, NC, DDHT Thanhphuoc"/>
      <sheetName val="전기"/>
      <sheetName val="Chi tiet -tong 9 thang"/>
      <sheetName val="BangMa"/>
      <sheetName val="Ma_don_vi"/>
      <sheetName val="bang_cc"/>
      <sheetName val="유림콘도"/>
      <sheetName val="유림골조"/>
      <sheetName val="Btra"/>
      <sheetName val="Doi so"/>
      <sheetName val="SPEC"/>
      <sheetName val="VO-PS02-XD"/>
      <sheetName val="0. Input"/>
      <sheetName val="DGiaT"/>
      <sheetName val="DGiaTN"/>
      <sheetName val="NEW-PANEL"/>
      <sheetName val="Open"/>
      <sheetName val="Function"/>
      <sheetName val="Noisuy-LLL"/>
      <sheetName val="DANH MỤC HỒ SƠ"/>
      <sheetName val="GT PHÁT SINH NGOÀI HĐ"/>
      <sheetName val="KL PHÁT SINH "/>
      <sheetName val="PS NGOÀI HĐ"/>
      <sheetName val="GT PHÁT SINH VƯỢT HĐ"/>
      <sheetName val="PS TĂNG GIẢM TRONG HĐ"/>
      <sheetName val="DGCT PHÁT SINH"/>
      <sheetName val="DGCT TRẦN NLV"/>
      <sheetName val="DGKL chi tiết NLV"/>
      <sheetName val="DGKL chi tiết NHN,NK"/>
      <sheetName val="TG KL"/>
      <sheetName val="THKL"/>
      <sheetName val="DGCT SƠN BẢ TƯỜNG NLV"/>
      <sheetName val="DGKL TRẦN NHN"/>
      <sheetName val="DuToan"/>
      <sheetName val="T2-3"/>
      <sheetName val="KL THEP  GIAM DO DUNG COUPLER"/>
      <sheetName val="01.KL THÉP NHẬP VỀ"/>
      <sheetName val="BBLMHT"/>
      <sheetName val="2. NT VLDV"/>
      <sheetName val="GHI CHU"/>
      <sheetName val="1.BB LMHT"/>
      <sheetName val="Cotthep.NPT"/>
      <sheetName val="vl.nc.mtc"/>
      <sheetName val="Bê tông bảo vệ"/>
      <sheetName val="01. Data"/>
      <sheetName val="Neo, nối cốt thép dầm, cột"/>
      <sheetName val="Uốn móc cốt thép"/>
      <sheetName val="Tiêu chuẩn cốt thép"/>
      <sheetName val="Bill Prelim-CDT"/>
      <sheetName val="Prelims"/>
      <sheetName val="Bill BPTC-CDT"/>
      <sheetName val="Chi tiết BPTC"/>
      <sheetName val="Bill BPTC-CDT (PA MCT CDT)"/>
      <sheetName val="Chi tiết BPTC (PA MCT CDT)"/>
      <sheetName val="TOSHIBA-Structure"/>
      <sheetName val="1.Civil (Org)"/>
      <sheetName val="villa"/>
      <sheetName val="BQ-E20-02(Rp)"/>
      <sheetName val="F4-F7"/>
      <sheetName val="DM-VNT ko sd"/>
      <sheetName val="A6"/>
      <sheetName val="KL thep lam sat"/>
      <sheetName val="Steel"/>
      <sheetName val="Order"/>
      <sheetName val="Data-year2001i"/>
      <sheetName val="Tien Thuong"/>
      <sheetName val="NC XL 6T cuoi 01 CTy"/>
      <sheetName val="Data -6T dau"/>
      <sheetName val="Cong 6T"/>
      <sheetName val="PERSONNELIST"/>
      <sheetName val="1. Office"/>
      <sheetName val="M1-XL-1c"/>
      <sheetName val="PU_ITALY_7"/>
      <sheetName val="RAB_AR&amp;STR5"/>
      <sheetName val="chi_tiet_TBA5"/>
      <sheetName val="chi_tiet_C5"/>
      <sheetName val="Tro_giup7"/>
      <sheetName val="TH_DZ357"/>
      <sheetName val="Customize_Your_Purchase_Order5"/>
      <sheetName val="CHITIET_VL-NC-TT_-1p5"/>
      <sheetName val="CHITIET_VL-NC-TT-3p4"/>
      <sheetName val="TONG_HOP_VL-NC_TT5"/>
      <sheetName val="KPVC-BD_5"/>
      <sheetName val="Don_gia5"/>
      <sheetName val="DON_GIA_TRAM_(3)5"/>
      <sheetName val="DON_GIA_CAN_THO7"/>
      <sheetName val="HĐ_ngoài4"/>
      <sheetName val="XT_Buoc_34"/>
      <sheetName val="dongia_(2)4"/>
      <sheetName val="7606_DZ5"/>
      <sheetName val="project_management4"/>
      <sheetName val="Don_gia_chi_tiet5"/>
      <sheetName val="Adix_A4"/>
      <sheetName val="S-curve_4"/>
      <sheetName val="REINF_4"/>
      <sheetName val="Rates_20094"/>
      <sheetName val="So_doi_chieu_LC4"/>
      <sheetName val="MAIN_GATE_HOUSE4"/>
      <sheetName val="Du_toan4"/>
      <sheetName val="Commercial_value4"/>
      <sheetName val="Ky_Lam_Bridge4"/>
      <sheetName val="Provisional_Sums_Item4"/>
      <sheetName val="Gas_Pressure_Welding4"/>
      <sheetName val="General_Item&amp;General_Requireme4"/>
      <sheetName val="General_Items4"/>
      <sheetName val="Regenral_Requirements4"/>
      <sheetName val="chiet_tinh4"/>
      <sheetName val="Ng_hàng_xà+bulong4"/>
      <sheetName val="Bang_KL4"/>
      <sheetName val="TONG_HOP_VL-NC4"/>
      <sheetName val="MH_RATE4"/>
      <sheetName val="DM_60614"/>
      <sheetName val="DG_thep_ma_kem4"/>
      <sheetName val="Lcau_-_Lxuc4"/>
      <sheetName val="Đầu_vào3"/>
      <sheetName val="Equip_3"/>
      <sheetName val="A1_CN3"/>
      <sheetName val="CT_vat_lieu4"/>
      <sheetName val="Trạm_biến_áp3"/>
      <sheetName val="Đơn_Giá_3"/>
      <sheetName val="Chi_tiet_XD_TBA3"/>
      <sheetName val="Chenh_lech_vat_tu3"/>
      <sheetName val="Diện_tích3"/>
      <sheetName val="1_Khái_toán3"/>
      <sheetName val="TONG_HOP_T5_19983"/>
      <sheetName val="CT-0_4KV3"/>
      <sheetName val="rate_material3"/>
      <sheetName val="KL_Chi_tiết_Xây_tô3"/>
      <sheetName val="DG_DZ4"/>
      <sheetName val="DG_TBA4"/>
      <sheetName val="04_-_XUONG_DET_B3"/>
      <sheetName val="Chi_tiet_KL3"/>
      <sheetName val="Tổng_hợp_KL3"/>
      <sheetName val="Bill_1_Quy_dinh_chung3"/>
      <sheetName val="1_R18_BF3"/>
      <sheetName val="6_External_works-R183"/>
      <sheetName val="07Base_Cost3"/>
      <sheetName val="_033"/>
      <sheetName val="chieu_day_san3"/>
      <sheetName val="Podium_Concrete_Works3"/>
      <sheetName val="KLCT-_TOWER3"/>
      <sheetName val="KLCT-_PODIUM3"/>
      <sheetName val="Gia_thanh_chuoi_su3"/>
      <sheetName val="Tiep_dia3"/>
      <sheetName val="Don_gia_vung_III-Can_Tho3"/>
      <sheetName val="Phan_khai_KLuong3"/>
      <sheetName val="Area_Cal3"/>
      <sheetName val="Elect_(3)3"/>
      <sheetName val="plan&amp;section_of_foundation3"/>
      <sheetName val="design_criteria3"/>
      <sheetName val="Bond_수수료_계산_포맷3"/>
      <sheetName val="ITB_COST3"/>
      <sheetName val="PAGE_13"/>
      <sheetName val="DM_673"/>
      <sheetName val="Đầu_tư3"/>
      <sheetName val="Loại_Vật_tư3"/>
      <sheetName val="EIRR&gt;_23"/>
      <sheetName val="Xay_lapduongR33"/>
      <sheetName val="dg_tphcm3"/>
      <sheetName val="T_KÊ_K_CẤU3"/>
      <sheetName val="Bill_01_-_CTN3"/>
      <sheetName val="Bill_2_2_Villa_2_beds3"/>
      <sheetName val="Data_Input4"/>
      <sheetName val="6787CWFASE2CASE2_00_xls3"/>
      <sheetName val="Project_Data3"/>
      <sheetName val="CẤP_THOÁT_NƯỚC3"/>
      <sheetName val="Cước_VC_+_ĐM_CP_Tư_vấn3"/>
      <sheetName val="Hệ_số3"/>
      <sheetName val="Vat_tu_XD3"/>
      <sheetName val="HÐ_ngoài4"/>
      <sheetName val="6PILE__(돌출)3"/>
      <sheetName val="THDT_goi_thau_TB3"/>
      <sheetName val="Tien_do_TV3"/>
      <sheetName val="Harga_ME_3"/>
      <sheetName val="Analisa_Gabungan3"/>
      <sheetName val="Bill_02_-_Xay_gach-Pou_3"/>
      <sheetName val="Bill_03-Chống_thấm-Pou3"/>
      <sheetName val="Bill_04-Kim_loại-Pou3"/>
      <sheetName val="Bill_05_-_Hoan_thien-Pou_3"/>
      <sheetName val="Bill_02_-_Xay_gach-Tower3"/>
      <sheetName val="Bill_03-Chống_thấm-Tower3"/>
      <sheetName val="Bill_04-Kim_loại-Tower3"/>
      <sheetName val="Bill_05_-_Hoan_thien-Tower3"/>
      <sheetName val="KL-_KHAC3"/>
      <sheetName val="BILL_3_-_KẾT_CẤU_HẦM3"/>
      <sheetName val="PTĐG_LTBT3"/>
      <sheetName val="CTG-PRECHEx1_43"/>
      <sheetName val="CTG-AB_(2)3"/>
      <sheetName val="CTG-AB_(3)3"/>
      <sheetName val="CTG-PLP-1_083"/>
      <sheetName val="Pre_Đội_nhóm3"/>
      <sheetName val="Tower_-_Concrete_Works3"/>
      <sheetName val="Bill-04_ket_cau_thap-_UNI3"/>
      <sheetName val="TH_Vat_tu3"/>
      <sheetName val="4_PTDG3"/>
      <sheetName val="A1,_May3"/>
      <sheetName val="Vat_lieu3"/>
      <sheetName val="Bang_trong_luong_rieng_thep3"/>
      <sheetName val="gia_cong_tac3"/>
      <sheetName val="Measure_13063"/>
      <sheetName val="GV1-D13_(Casement_door)3"/>
      <sheetName val="bridge_#_13"/>
      <sheetName val="final_list_20054"/>
      <sheetName val="LV_data3"/>
      <sheetName val="ESTI_3"/>
      <sheetName val="DETAIL_3"/>
      <sheetName val="Gia_vat_tu3"/>
      <sheetName val="Isolasi_Luar_Dalam3"/>
      <sheetName val="Isolasi_Luar3"/>
      <sheetName val="TH_MTC3"/>
      <sheetName val="TH_N_Cong3"/>
      <sheetName val="_Bill_5-Earthing_2_-_Add_Works3"/>
      <sheetName val="DATA_BASE3"/>
      <sheetName val="Equipment_list_(PAC)3"/>
      <sheetName val="KL_san_lap3"/>
      <sheetName val="Chenh_lech_ca_may3"/>
      <sheetName val="TLg_CN&amp;Laixe3"/>
      <sheetName val="TLg_CN&amp;Laixe_(2)3"/>
      <sheetName val="TLg_Laitau3"/>
      <sheetName val="TLg_Laitau_(2)3"/>
      <sheetName val="TINH_KHOI_LUONG3"/>
      <sheetName val="Buy_vs__Lease_Car3"/>
      <sheetName val="CP_Khac_cuoc_VC2"/>
      <sheetName val="Budget_Code2"/>
      <sheetName val="subcon_sched3"/>
      <sheetName val="Chi_tiet3"/>
      <sheetName val="Bang_3_Chi_tiet_phan_Dz3"/>
      <sheetName val="KHOI_LUONG3"/>
      <sheetName val="HVAC_BLOCK_B43"/>
      <sheetName val="PRE_(E)3"/>
      <sheetName val="BẢNG_KHỐI_LƯỢNG_TỔNG_HỢP2"/>
      <sheetName val="CTKL_KTX_HT2"/>
      <sheetName val="2_Chiet_tinh2"/>
      <sheetName val="NHÀ_NHẬP_LIỆU2"/>
      <sheetName val="MÓNG_SILO2"/>
      <sheetName val="Tong_du_toan2"/>
      <sheetName val="Bill_2_-_ketcau2"/>
      <sheetName val="Analisa_&amp;_Upah2"/>
      <sheetName val="BOQ_THAN2"/>
      <sheetName val="Chi_tiet_lan_can2"/>
      <sheetName val="13-Cốt_thép_(10mm&lt;D≤18mm)_FO162"/>
      <sheetName val="du_lieu_du_toan2"/>
      <sheetName val="Purchase_Order2"/>
      <sheetName val="D_&amp;_W_sizes2"/>
      <sheetName val="DL_ĐẦU_VÀO2"/>
      <sheetName val="Du_lieu3"/>
      <sheetName val="cash_budget2"/>
      <sheetName val="Phan_tich2"/>
      <sheetName val="Luong_NII2"/>
      <sheetName val="DINH_MUC_THI_NGHIEM2"/>
      <sheetName val="Luong_NI2"/>
      <sheetName val="CT_Thang_Mo2"/>
      <sheetName val="CT__PL2"/>
      <sheetName val="dongia__2_2"/>
      <sheetName val="Thép_CKN2"/>
      <sheetName val="GOC-KO_IN2"/>
      <sheetName val="MAU_8A2"/>
      <sheetName val="MAU_8B2"/>
      <sheetName val="MAU_92"/>
      <sheetName val="MAU_102"/>
      <sheetName val="sochitiettaikhoan_2"/>
      <sheetName val="Share_price_data2"/>
      <sheetName val="19_32"/>
      <sheetName val="20_32"/>
      <sheetName val="Chieu_4_32"/>
      <sheetName val="Cow_req2"/>
      <sheetName val="TỔNG_HỢP2"/>
      <sheetName val="14-LẦN_3-CHIỀU2"/>
      <sheetName val="14-LẦN_1-SÁNG2"/>
      <sheetName val="14-LẦN_2-TRƯA2"/>
      <sheetName val="1_3+1_4-TOTAL_-_Ko_IN2"/>
      <sheetName val="2_1-LẦN_3-CHIỀU2"/>
      <sheetName val="2_1-LẦN_1-SÁNG2"/>
      <sheetName val="2_1-LẦN_2-TRƯA2"/>
      <sheetName val="2_1-TOTAL-Ko_IN2"/>
      <sheetName val="1_3(TMR_4)2"/>
      <sheetName val="CHO_DE2"/>
      <sheetName val="1_1+1_2+2_2+2_3(TMR_3)2"/>
      <sheetName val="CK1+CK2_(VS_SAN_CHOI_23)2"/>
      <sheetName val="CK1+CK2_(2)2"/>
      <sheetName val="12-16_THÁNG2"/>
      <sheetName val="CAN_SỮA2"/>
      <sheetName val="54+55+56(SAU_CAI_SỮA-6)2"/>
      <sheetName val="BÊ_71-90_NGÀY2"/>
      <sheetName val="BÊ_12-16_tháng2"/>
      <sheetName val="BÊ_6-122"/>
      <sheetName val="BÊ_1-32"/>
      <sheetName val="F01-BC_KHAU_PHAN_SANG_20_32"/>
      <sheetName val="F01-BC_KHAU_PHAN_CHIEU_19_32"/>
      <sheetName val="dinh_mưc_cty2"/>
      <sheetName val="Giá_thành2"/>
      <sheetName val="Thong_ke2"/>
      <sheetName val="Energy_for_milk_prod2"/>
      <sheetName val="DE_NGHI_XUAT_2"/>
      <sheetName val="phieu_xuat_mau2"/>
      <sheetName val="PHIEU_XUAT_CHIEU2"/>
      <sheetName val="11_rai_them_cỏ2"/>
      <sheetName val="PHU_LUC_02-_HDSD_CAC_BIEU_MAU2"/>
      <sheetName val="PhU_LUC_01-_MA_CAC_NHOM_BO2"/>
      <sheetName val="F03-BC_THUC_TRON_SANG_20_32"/>
      <sheetName val="F03-BC_THUC_TRON_CHIEU_19_32"/>
      <sheetName val="F02-BC_THEO_DOI_THUC_AN_DU2"/>
      <sheetName val="Tham_khao-_Bao_cao_xuat_thuc_a2"/>
      <sheetName val="02__PTDG2"/>
      <sheetName val="BANCO_(2)2"/>
      <sheetName val="MT_DPin_(2)2"/>
      <sheetName val="Dlieu_dau_vao2"/>
      <sheetName val="Don_gia_(khong_in)2"/>
      <sheetName val="DK1_Don_gia2"/>
      <sheetName val="1_MONG_1-22"/>
      <sheetName val="Chiết_tính2"/>
      <sheetName val="wk_prgs"/>
      <sheetName val="TH_TN"/>
      <sheetName val="Bill_No_3_-_Prov__Sum_(Ph2&amp;3)"/>
      <sheetName val="2_1Warehouse_1"/>
      <sheetName val="đọc_số"/>
      <sheetName val="Data_Wall"/>
      <sheetName val="AG_Pipe_Qty_Analysis"/>
      <sheetName val="Hao_phí"/>
      <sheetName val="THEP_TAM"/>
      <sheetName val="THEP_HÌNH"/>
      <sheetName val="THEP_HINH"/>
      <sheetName val="XA_GO"/>
      <sheetName val="BANG_TRA"/>
      <sheetName val="CP_HMC"/>
      <sheetName val="Ｎｏ_13"/>
      <sheetName val="DGchitiet_"/>
      <sheetName val="Bill_2-Road_HR2"/>
      <sheetName val="Bill_3_-_Softscape_HR2"/>
      <sheetName val="CĂN_HỘ_T16-17_"/>
      <sheetName val="TRỤC_ĐỨNG_THOÁT_BẨN_T15-17"/>
      <sheetName val="TRỤC_ĐỨNG_TM_T15-17"/>
      <sheetName val="Chi_tiet_cong_no"/>
      <sheetName val="PHÁT_SINH_TẦNG_1_"/>
      <sheetName val="PHÁT_SINH_TẦNG_2"/>
      <sheetName val="Hầm_chuyển_psinh"/>
      <sheetName val="Ống_thẳng"/>
      <sheetName val="Côn_thu"/>
      <sheetName val="Vuông_tròn"/>
      <sheetName val="Chân_rẽ"/>
      <sheetName val="Chạc_ba"/>
      <sheetName val="Structure_data"/>
      <sheetName val="CP_Du_phong"/>
      <sheetName val="THCP_Lap_dat"/>
      <sheetName val="THCP_xay_dung"/>
      <sheetName val="Tong_hop_kinh_phi"/>
      <sheetName val="HỆ_THỐNG_PHÒNG_CHÁY_CHỮA_CHÁY"/>
      <sheetName val="HỆ_THỐNG_CẤP_THOÁT_NƯỚC"/>
      <sheetName val="HỆ_THỐNG_ĐHKK"/>
      <sheetName val="MÁY_PHÁT_ĐIỆN"/>
      <sheetName val="HỆ_THỐNG_ĐIỆN"/>
      <sheetName val="Thiết_bị_chính"/>
      <sheetName val="Main_Bldg-Rev02"/>
      <sheetName val="D&amp;W_def_"/>
      <sheetName val="Nhan_cong"/>
      <sheetName val="Thiet_bi"/>
      <sheetName val="Vat_tu"/>
      <sheetName val="DM_ChiPhi"/>
      <sheetName val="May_TC"/>
      <sheetName val="TH_Kinh_phi"/>
      <sheetName val="Ptvl_"/>
      <sheetName val="Móng,_nền_"/>
      <sheetName val="1_Requisition(E)"/>
      <sheetName val="TONG_HOP"/>
      <sheetName val="Tổng_GT"/>
      <sheetName val="Chi_tiết_KL"/>
      <sheetName val="ca_máy"/>
      <sheetName val="khấu_trừ_phạt"/>
      <sheetName val="GT__KHAU_TRU"/>
      <sheetName val="HAO_HUT_VAT_TU_(2)"/>
      <sheetName val="cao_độ"/>
      <sheetName val="Dự_toán"/>
      <sheetName val="Đơn_Giá_TH"/>
      <sheetName val="Nhân_công"/>
      <sheetName val="Phân_tích"/>
      <sheetName val="C_P_Thiết_bị"/>
      <sheetName val="T_H_Kinh_phí"/>
      <sheetName val="Vật_tư"/>
      <sheetName val="Trang_bìa"/>
      <sheetName val="phan_tic_chi_tiet"/>
      <sheetName val="날개벽수량표"/>
      <sheetName val="B3A - TOWER A"/>
      <sheetName val="Annex B"/>
      <sheetName val="Pric塅䕃"/>
      <sheetName val="음료실행"/>
      <sheetName val="내역서을지"/>
      <sheetName val="TLG Type"/>
      <sheetName val="1.San "/>
      <sheetName val="Tong hop vat tu"/>
      <sheetName val="Assumptions"/>
      <sheetName val="KHOI LUONG15-4"/>
      <sheetName val="HS"/>
      <sheetName val="XLR_NoRangeSheet"/>
      <sheetName val="工艺分类库"/>
      <sheetName val="Dot 4"/>
      <sheetName val="BTK-Dai Hoc Kien Giang"/>
      <sheetName val="cuocbd"/>
      <sheetName val="CUOC"/>
      <sheetName val="#REF!"/>
      <sheetName val="dgtn"/>
      <sheetName val="DM_336cai tao"/>
      <sheetName val="HRG BHN"/>
      <sheetName val="CĂN ĐH"/>
      <sheetName val="doanh thu"/>
      <sheetName val="Dutoan KL"/>
      <sheetName val="개산공사비"/>
      <sheetName val="Gld"/>
      <sheetName val="Gxd"/>
      <sheetName val="Trichluc"/>
      <sheetName val="dodat"/>
      <sheetName val="Dieutra"/>
      <sheetName val="catdoc"/>
      <sheetName val="diahinh"/>
      <sheetName val="Thop Ksat"/>
      <sheetName val="bia"/>
      <sheetName val="Thu hoi "/>
      <sheetName val="tongkphi"/>
      <sheetName val="HM chung"/>
      <sheetName val="CP xd-thiet bi"/>
      <sheetName val="TH-TN LD TB"/>
      <sheetName val="CP xaydung"/>
      <sheetName val="Thao ha phu kien"/>
      <sheetName val="VL-NC-MTC ket cau"/>
      <sheetName val="CTKETCAU"/>
      <sheetName val="KHOI LUONG TONG"/>
      <sheetName val="TK 22KV"/>
      <sheetName val="TK0,4KV"/>
      <sheetName val="6061"/>
      <sheetName val="6060"/>
      <sheetName val="DM 366-1777"/>
      <sheetName val="Thi nhiem"/>
      <sheetName val="Gia goc VT-TB"/>
      <sheetName val="Gia_BTong"/>
      <sheetName val="Gia vc den chan CT"/>
      <sheetName val="culy 22"/>
      <sheetName val="Daomong"/>
      <sheetName val="Luong 2050"/>
      <sheetName val="ca may QN"/>
      <sheetName val="TNHC1246 "/>
      <sheetName val="Ca may TT06.2010"/>
      <sheetName val="Don gia VLXD dia phuong"/>
      <sheetName val="Bang luong SCL"/>
      <sheetName val="Dinhmuc366"/>
      <sheetName val="Dinh muc TN1426"/>
      <sheetName val="DongiaCamay"/>
      <sheetName val="TH các CC"/>
      <sheetName val="Duthau"/>
      <sheetName val="Chi phi van chuyen"/>
      <sheetName val="DLDT"/>
      <sheetName val="Dgia vat tu"/>
      <sheetName val="Don gia_III"/>
      <sheetName val="D÷ liÖu"/>
      <sheetName val="DT hợp đồng"/>
      <sheetName val="Bảng KL đợt 1"/>
      <sheetName val="2.CDPS"/>
      <sheetName val="Summary Sheet"/>
      <sheetName val="Progress"/>
      <sheetName val="C&amp;S-sum"/>
      <sheetName val="Archi-sum"/>
      <sheetName val="MEP-sum"/>
      <sheetName val="Finishing-Tower A"/>
      <sheetName val="Finishing-Tower B"/>
      <sheetName val="Finishing-Tower C"/>
      <sheetName val="Finishing-Tower D"/>
      <sheetName val="PODIUM"/>
      <sheetName val="MEP-Tower A"/>
      <sheetName val="MEP-Tower B"/>
      <sheetName val="MEP-Tower C"/>
      <sheetName val="MEP-Tower D"/>
      <sheetName val="MEP-Podium"/>
      <sheetName val="Cost Report Sum"/>
      <sheetName val="Detail Cost Sum"/>
      <sheetName val="RVO-VO Sum"/>
      <sheetName val="Potential VOs Sum"/>
      <sheetName val="Cash Flow Sum"/>
      <sheetName val="DMSC"/>
      <sheetName val="Heso DZ"/>
      <sheetName val="DGiaDZ"/>
      <sheetName val="gtrinh"/>
      <sheetName val="Bieu gia HD"/>
      <sheetName val="Div26 - Elect"/>
      <sheetName val="7.Khau tru "/>
      <sheetName val="4 CĂN"/>
      <sheetName val="Calculation"/>
      <sheetName val="A6,MAY"/>
      <sheetName val="DG_BINH THUAN"/>
      <sheetName val="gui_BKCT"/>
      <sheetName val="DG_1426"/>
      <sheetName val="1_2_Staff_Schedule"/>
      <sheetName val="BẢNG_ÁP_GIÁ_(in)"/>
      <sheetName val="NT_(KL)_IN"/>
      <sheetName val="DOM_D2"/>
      <sheetName val="nhà_ăn"/>
      <sheetName val="Công_nhật"/>
      <sheetName val="btkt_cột"/>
      <sheetName val="Chi_tiet_-tong_9_thang"/>
      <sheetName val="Don_gia_chi_tiet_DIEN_2"/>
      <sheetName val="0__Input"/>
      <sheetName val="Tong_hop_vat_tu"/>
      <sheetName val="Theo_doi_Doanh_thu_2017"/>
      <sheetName val="Gia_vat_lieu"/>
      <sheetName val="So_lieu_chung"/>
      <sheetName val="Precios_unitarios_AXH"/>
      <sheetName val="3__CNT"/>
      <sheetName val="unit_price_list(M)"/>
      <sheetName val="TH_VL,_NC,_DDHT_Thanhphuoc"/>
      <sheetName val="Classification"/>
      <sheetName val="MB.DT.02"/>
      <sheetName val="01-&gt;12"/>
      <sheetName val="Article"/>
      <sheetName val="datatt"/>
      <sheetName val="5.2.1 Đo bóc KL OLK-06"/>
      <sheetName val="Method_BouyancyFactor"/>
      <sheetName val="Method_PressureArea"/>
      <sheetName val="InputData"/>
      <sheetName val="B-2  (DPP)"/>
      <sheetName val="Don gia NC"/>
      <sheetName val="Financ. Overview"/>
      <sheetName val="Toolbox"/>
      <sheetName val="Inputs_Sens"/>
      <sheetName val="IS_Sum_CM"/>
      <sheetName val="gia vt,nc,may"/>
      <sheetName val="TINH GIA - SAN XUAT Vertico"/>
      <sheetName val="PU_ITALY_8"/>
      <sheetName val="RAB_AR&amp;STR6"/>
      <sheetName val="chi_tiet_TBA6"/>
      <sheetName val="chi_tiet_C6"/>
      <sheetName val="Tro_giup8"/>
      <sheetName val="TH_DZ358"/>
      <sheetName val="Customize_Your_Purchase_Order6"/>
      <sheetName val="CHITIET_VL-NC-TT_-1p6"/>
      <sheetName val="CHITIET_VL-NC-TT-3p5"/>
      <sheetName val="TONG_HOP_VL-NC_TT6"/>
      <sheetName val="KPVC-BD_6"/>
      <sheetName val="Don_gia6"/>
      <sheetName val="DON_GIA_CAN_THO8"/>
      <sheetName val="DON_GIA_TRAM_(3)6"/>
      <sheetName val="HĐ_ngoài5"/>
      <sheetName val="XT_Buoc_35"/>
      <sheetName val="dongia_(2)5"/>
      <sheetName val="Don_gia_chi_tiet6"/>
      <sheetName val="7606_DZ6"/>
      <sheetName val="project_management5"/>
      <sheetName val="Adix_A5"/>
      <sheetName val="S-curve_5"/>
      <sheetName val="REINF_5"/>
      <sheetName val="Rates_20095"/>
      <sheetName val="So_doi_chieu_LC5"/>
      <sheetName val="MAIN_GATE_HOUSE5"/>
      <sheetName val="Du_toan5"/>
      <sheetName val="Commercial_value5"/>
      <sheetName val="Ky_Lam_Bridge5"/>
      <sheetName val="Provisional_Sums_Item5"/>
      <sheetName val="Gas_Pressure_Welding5"/>
      <sheetName val="General_Item&amp;General_Requireme5"/>
      <sheetName val="General_Items5"/>
      <sheetName val="Regenral_Requirements5"/>
      <sheetName val="TONG_HOP_VL-NC5"/>
      <sheetName val="MH_RATE5"/>
      <sheetName val="Ng_hàng_xà+bulong5"/>
      <sheetName val="chiet_tinh5"/>
      <sheetName val="Bang_KL5"/>
      <sheetName val="Đầu_vào4"/>
      <sheetName val="Equip_4"/>
      <sheetName val="A1_CN4"/>
      <sheetName val="DG_thep_ma_kem5"/>
      <sheetName val="Lcau_-_Lxuc5"/>
      <sheetName val="DM_60615"/>
      <sheetName val="CT_vat_lieu5"/>
      <sheetName val="Trạm_biến_áp4"/>
      <sheetName val="Đơn_Giá_4"/>
      <sheetName val="Chenh_lech_vat_tu4"/>
      <sheetName val="Diện_tích4"/>
      <sheetName val="1_Khái_toán4"/>
      <sheetName val="TONG_HOP_T5_19984"/>
      <sheetName val="Chi_tiet_XD_TBA4"/>
      <sheetName val="DG_DZ5"/>
      <sheetName val="DG_TBA5"/>
      <sheetName val="rate_material4"/>
      <sheetName val="CT-0_4KV4"/>
      <sheetName val="KL_Chi_tiết_Xây_tô4"/>
      <sheetName val="Bill_1_Quy_dinh_chung4"/>
      <sheetName val="1_R18_BF4"/>
      <sheetName val="6_External_works-R184"/>
      <sheetName val="Phan_khai_KLuong4"/>
      <sheetName val="Data_Input5"/>
      <sheetName val="Project_Data4"/>
      <sheetName val="07Base_Cost4"/>
      <sheetName val="Chi_tiet_KL4"/>
      <sheetName val="Tổng_hợp_KL4"/>
      <sheetName val="Measure_13064"/>
      <sheetName val="Area_Cal4"/>
      <sheetName val="04_-_XUONG_DET_B4"/>
      <sheetName val="dg_tphcm4"/>
      <sheetName val="_034"/>
      <sheetName val="chieu_day_san4"/>
      <sheetName val="Podium_Concrete_Works4"/>
      <sheetName val="KLCT-_TOWER4"/>
      <sheetName val="KLCT-_PODIUM4"/>
      <sheetName val="Gia_thanh_chuoi_su4"/>
      <sheetName val="Tiep_dia4"/>
      <sheetName val="Don_gia_vung_III-Can_Tho4"/>
      <sheetName val="Loại_Vật_tư4"/>
      <sheetName val="Elect_(3)4"/>
      <sheetName val="plan&amp;section_of_foundation4"/>
      <sheetName val="design_criteria4"/>
      <sheetName val="Bond_수수료_계산_포맷4"/>
      <sheetName val="ITB_COST4"/>
      <sheetName val="PAGE_14"/>
      <sheetName val="DM_674"/>
      <sheetName val="Đầu_tư4"/>
      <sheetName val="T_KÊ_K_CẤU4"/>
      <sheetName val="4_PTDG4"/>
      <sheetName val="A1,_May4"/>
      <sheetName val="Vat_lieu4"/>
      <sheetName val="ESTI_4"/>
      <sheetName val="EIRR&gt;_24"/>
      <sheetName val="KL_san_lap4"/>
      <sheetName val="Bill_01_-_CTN4"/>
      <sheetName val="Bill_2_2_Villa_2_beds4"/>
      <sheetName val="6787CWFASE2CASE2_00_xls4"/>
      <sheetName val="Xay_lapduongR34"/>
      <sheetName val="Bill_02_-_Xay_gach-Pou_4"/>
      <sheetName val="Bill_03-Chống_thấm-Pou4"/>
      <sheetName val="Bill_04-Kim_loại-Pou4"/>
      <sheetName val="Bill_05_-_Hoan_thien-Pou_4"/>
      <sheetName val="Bill_02_-_Xay_gach-Tower4"/>
      <sheetName val="Bill_03-Chống_thấm-Tower4"/>
      <sheetName val="Bill_04-Kim_loại-Tower4"/>
      <sheetName val="Bill_05_-_Hoan_thien-Tower4"/>
      <sheetName val="KL-_KHAC4"/>
      <sheetName val="BILL_3_-_KẾT_CẤU_HẦM4"/>
      <sheetName val="PTĐG_LTBT4"/>
      <sheetName val="CTG-PRECHEx1_44"/>
      <sheetName val="CTG-AB_(2)4"/>
      <sheetName val="CTG-AB_(3)4"/>
      <sheetName val="CTG-PLP-1_084"/>
      <sheetName val="Pre_Đội_nhóm4"/>
      <sheetName val="Vat_tu_XD4"/>
      <sheetName val="Tower_-_Concrete_Works4"/>
      <sheetName val="Bill-04_ket_cau_thap-_UNI4"/>
      <sheetName val="TH_Vat_tu4"/>
      <sheetName val="gia_cong_tac4"/>
      <sheetName val="_Bill_5-Earthing_2_-_Add_Works4"/>
      <sheetName val="Analisa_Gabungan4"/>
      <sheetName val="GV1-D13_(Casement_door)4"/>
      <sheetName val="Isolasi_Luar_Dalam4"/>
      <sheetName val="Isolasi_Luar4"/>
      <sheetName val="HÐ_ngoài5"/>
      <sheetName val="6PILE__(돌출)4"/>
      <sheetName val="TH_N_Cong4"/>
      <sheetName val="Bang_trong_luong_rieng_thep4"/>
      <sheetName val="Harga_ME_4"/>
      <sheetName val="Cước_VC_+_ĐM_CP_Tư_vấn4"/>
      <sheetName val="Hệ_số4"/>
      <sheetName val="DATA_BASE4"/>
      <sheetName val="Equipment_list_(PAC)4"/>
      <sheetName val="DETAIL_4"/>
      <sheetName val="TH_MTC4"/>
      <sheetName val="CẤP_THOÁT_NƯỚC4"/>
      <sheetName val="THDT_goi_thau_TB4"/>
      <sheetName val="Tien_do_TV4"/>
      <sheetName val="final_list_20055"/>
      <sheetName val="LV_data4"/>
      <sheetName val="Gia_vat_tu4"/>
      <sheetName val="TINH_KHOI_LUONG4"/>
      <sheetName val="Chenh_lech_ca_may4"/>
      <sheetName val="TLg_CN&amp;Laixe4"/>
      <sheetName val="TLg_CN&amp;Laixe_(2)4"/>
      <sheetName val="TLg_Laitau4"/>
      <sheetName val="TLg_Laitau_(2)4"/>
      <sheetName val="bridge_#_14"/>
      <sheetName val="Buy_vs__Lease_Car4"/>
      <sheetName val="CP_Khac_cuoc_VC3"/>
      <sheetName val="PRE_(E)4"/>
      <sheetName val="subcon_sched4"/>
      <sheetName val="Budget_Code3"/>
      <sheetName val="Chi_tiet4"/>
      <sheetName val="Bang_3_Chi_tiet_phan_Dz4"/>
      <sheetName val="KHOI_LUONG4"/>
      <sheetName val="HVAC_BLOCK_B44"/>
      <sheetName val="BẢNG_KHỐI_LƯỢNG_TỔNG_HỢP3"/>
      <sheetName val="CTKL_KTX_HT3"/>
      <sheetName val="2_Chiet_tinh3"/>
      <sheetName val="Tong_du_toan3"/>
      <sheetName val="Bill_2_-_ketcau3"/>
      <sheetName val="NHÀ_NHẬP_LIỆU3"/>
      <sheetName val="MÓNG_SILO3"/>
      <sheetName val="Chi_tiet_lan_can3"/>
      <sheetName val="Analisa_&amp;_Upah3"/>
      <sheetName val="Purchase_Order3"/>
      <sheetName val="13-Cốt_thép_(10mm&lt;D≤18mm)_FO163"/>
      <sheetName val="du_lieu_du_toan3"/>
      <sheetName val="DL_ĐẦU_VÀO3"/>
      <sheetName val="BOQ_THAN3"/>
      <sheetName val="D_&amp;_W_sizes3"/>
      <sheetName val="Du_lieu4"/>
      <sheetName val="cash_budget3"/>
      <sheetName val="Luong_NII3"/>
      <sheetName val="DINH_MUC_THI_NGHIEM3"/>
      <sheetName val="Luong_NI3"/>
      <sheetName val="Phan_tich3"/>
      <sheetName val="CT_Thang_Mo3"/>
      <sheetName val="CT__PL3"/>
      <sheetName val="dongia__2_3"/>
      <sheetName val="Thép_CKN3"/>
      <sheetName val="GOC-KO_IN3"/>
      <sheetName val="MAU_8A3"/>
      <sheetName val="MAU_8B3"/>
      <sheetName val="MAU_93"/>
      <sheetName val="MAU_103"/>
      <sheetName val="sochitiettaikhoan_3"/>
      <sheetName val="Share_price_data3"/>
      <sheetName val="19_33"/>
      <sheetName val="20_33"/>
      <sheetName val="Chieu_4_33"/>
      <sheetName val="Cow_req3"/>
      <sheetName val="TỔNG_HỢP3"/>
      <sheetName val="14-LẦN_3-CHIỀU3"/>
      <sheetName val="14-LẦN_1-SÁNG3"/>
      <sheetName val="14-LẦN_2-TRƯA3"/>
      <sheetName val="1_3+1_4-TOTAL_-_Ko_IN3"/>
      <sheetName val="2_1-LẦN_3-CHIỀU3"/>
      <sheetName val="2_1-LẦN_1-SÁNG3"/>
      <sheetName val="2_1-LẦN_2-TRƯA3"/>
      <sheetName val="2_1-TOTAL-Ko_IN3"/>
      <sheetName val="1_3(TMR_4)3"/>
      <sheetName val="CHO_DE3"/>
      <sheetName val="1_1+1_2+2_2+2_3(TMR_3)3"/>
      <sheetName val="CK1+CK2_(VS_SAN_CHOI_23)3"/>
      <sheetName val="CK1+CK2_(2)3"/>
      <sheetName val="12-16_THÁNG3"/>
      <sheetName val="CAN_SỮA3"/>
      <sheetName val="54+55+56(SAU_CAI_SỮA-6)3"/>
      <sheetName val="BÊ_71-90_NGÀY3"/>
      <sheetName val="BÊ_12-16_tháng3"/>
      <sheetName val="BÊ_6-123"/>
      <sheetName val="BÊ_1-33"/>
      <sheetName val="F01-BC_KHAU_PHAN_SANG_20_33"/>
      <sheetName val="F01-BC_KHAU_PHAN_CHIEU_19_33"/>
      <sheetName val="dinh_mưc_cty3"/>
      <sheetName val="Giá_thành3"/>
      <sheetName val="Thong_ke3"/>
      <sheetName val="Energy_for_milk_prod3"/>
      <sheetName val="DE_NGHI_XUAT_3"/>
      <sheetName val="phieu_xuat_mau3"/>
      <sheetName val="PHIEU_XUAT_CHIEU3"/>
      <sheetName val="11_rai_them_cỏ3"/>
      <sheetName val="PHU_LUC_02-_HDSD_CAC_BIEU_MAU3"/>
      <sheetName val="PhU_LUC_01-_MA_CAC_NHOM_BO3"/>
      <sheetName val="F03-BC_THUC_TRON_SANG_20_33"/>
      <sheetName val="F03-BC_THUC_TRON_CHIEU_19_33"/>
      <sheetName val="F02-BC_THEO_DOI_THUC_AN_DU3"/>
      <sheetName val="Tham_khao-_Bao_cao_xuat_thuc_a3"/>
      <sheetName val="Don_gia_(khong_in)3"/>
      <sheetName val="Dlieu_dau_vao3"/>
      <sheetName val="DK1_Don_gia3"/>
      <sheetName val="1_MONG_1-23"/>
      <sheetName val="BANCO_(2)3"/>
      <sheetName val="MT_DPin_(2)3"/>
      <sheetName val="02__PTDG3"/>
      <sheetName val="Chiết_tính3"/>
      <sheetName val="TK_chi_tiet1"/>
      <sheetName val="Income_Statement3"/>
      <sheetName val="Shareholders'_Equity3"/>
      <sheetName val="VC_xd1"/>
      <sheetName val="Gia_VLTB1"/>
      <sheetName val="B_Luong1"/>
      <sheetName val="C_May1"/>
      <sheetName val="TB_NẶNG1"/>
      <sheetName val="Du_tru_CP-Bieu_011"/>
      <sheetName val="dm_3661"/>
      <sheetName val="DM_60601"/>
      <sheetName val="Dự_thầu1"/>
      <sheetName val="Nhap_VT_oto1"/>
      <sheetName val="wk_prgs1"/>
      <sheetName val="Ma_don_vi1"/>
      <sheetName val="bang_cc1"/>
      <sheetName val="Bill_No_3_-_Prov__Sum_(Ph2&amp;3)1"/>
      <sheetName val="TH_TN1"/>
      <sheetName val="Bill_2-Road_HR21"/>
      <sheetName val="Bill_3_-_Softscape_HR21"/>
      <sheetName val="Ｎｏ_131"/>
      <sheetName val="DGchitiet_1"/>
      <sheetName val="AG_Pipe_Qty_Analysis1"/>
      <sheetName val="Tổng_GT1"/>
      <sheetName val="Chi_tiết_KL1"/>
      <sheetName val="ca_máy1"/>
      <sheetName val="khấu_trừ_phạt1"/>
      <sheetName val="GT__KHAU_TRU1"/>
      <sheetName val="HAO_HUT_VAT_TU_(2)1"/>
      <sheetName val="cao_độ1"/>
      <sheetName val="đọc_số1"/>
      <sheetName val="HỆ_THỐNG_PHÒNG_CHÁY_CHỮA_CHÁY1"/>
      <sheetName val="HỆ_THỐNG_CẤP_THOÁT_NƯỚC1"/>
      <sheetName val="HỆ_THỐNG_ĐHKK1"/>
      <sheetName val="MÁY_PHÁT_ĐIỆN1"/>
      <sheetName val="HỆ_THỐNG_ĐIỆN1"/>
      <sheetName val="Thiết_bị_chính1"/>
      <sheetName val="CP_HMC1"/>
      <sheetName val="2_1Warehouse_11"/>
      <sheetName val="Data_Wall1"/>
      <sheetName val="Hao_phí1"/>
      <sheetName val="THEP_TAM1"/>
      <sheetName val="THEP_HÌNH1"/>
      <sheetName val="THEP_HINH1"/>
      <sheetName val="XA_GO1"/>
      <sheetName val="BANG_TRA1"/>
      <sheetName val="CĂN_HỘ_T16-17_1"/>
      <sheetName val="TRỤC_ĐỨNG_THOÁT_BẨN_T15-171"/>
      <sheetName val="TRỤC_ĐỨNG_TM_T15-171"/>
      <sheetName val="Structure_data1"/>
      <sheetName val="Chi_tiet_cong_no1"/>
      <sheetName val="PHÁT_SINH_TẦNG_1_1"/>
      <sheetName val="PHÁT_SINH_TẦNG_21"/>
      <sheetName val="Hầm_chuyển_psinh1"/>
      <sheetName val="Ống_thẳng1"/>
      <sheetName val="Côn_thu1"/>
      <sheetName val="Vuông_tròn1"/>
      <sheetName val="Chân_rẽ1"/>
      <sheetName val="Chạc_ba1"/>
      <sheetName val="CP_Du_phong1"/>
      <sheetName val="THCP_Lap_dat1"/>
      <sheetName val="THCP_xay_dung1"/>
      <sheetName val="Tong_hop_kinh_phi1"/>
      <sheetName val="CHI_PHI1"/>
      <sheetName val="1_Requisition(E)1"/>
      <sheetName val="Móng,_nền_1"/>
      <sheetName val="Main_Bldg-Rev021"/>
      <sheetName val="D&amp;W_def_1"/>
      <sheetName val="Nhan_cong1"/>
      <sheetName val="Thiet_bi1"/>
      <sheetName val="Vat_tu1"/>
      <sheetName val="DM_ChiPhi1"/>
      <sheetName val="May_TC1"/>
      <sheetName val="TH_Kinh_phi1"/>
      <sheetName val="Ptvl_1"/>
      <sheetName val="Dự_toán1"/>
      <sheetName val="Đơn_Giá_TH1"/>
      <sheetName val="Nhân_công1"/>
      <sheetName val="Phân_tích1"/>
      <sheetName val="C_P_Thiết_bị1"/>
      <sheetName val="T_H_Kinh_phí1"/>
      <sheetName val="Vật_tư1"/>
      <sheetName val="Trang_bìa1"/>
      <sheetName val="TONG_HOP1"/>
      <sheetName val="phan_tic_chi_tiet1"/>
      <sheetName val="Bill_Prelim-CDT"/>
      <sheetName val="Bill_BPTC-CDT"/>
      <sheetName val="Chi_tiết_BPTC"/>
      <sheetName val="Bill_BPTC-CDT_(PA_MCT_CDT)"/>
      <sheetName val="Chi_tiết_BPTC_(PA_MCT_CDT)"/>
      <sheetName val="1__Office"/>
      <sheetName val="KHOI_LUONG15-4"/>
      <sheetName val="Doi_so"/>
      <sheetName val="DANH_MỤC_HỒ_SƠ"/>
      <sheetName val="GT_PHÁT_SINH_NGOÀI_HĐ"/>
      <sheetName val="KL_PHÁT_SINH_"/>
      <sheetName val="PS_NGOÀI_HĐ"/>
      <sheetName val="GT_PHÁT_SINH_VƯỢT_HĐ"/>
      <sheetName val="PS_TĂNG_GIẢM_TRONG_HĐ"/>
      <sheetName val="DGCT_PHÁT_SINH"/>
      <sheetName val="DGCT_TRẦN_NLV"/>
      <sheetName val="DGKL_chi_tiết_NLV"/>
      <sheetName val="DGKL_chi_tiết_NHN,NK"/>
      <sheetName val="TG_KL"/>
      <sheetName val="DGCT_SƠN_BẢ_TƯỜNG_NLV"/>
      <sheetName val="DGKL_TRẦN_NHN"/>
      <sheetName val="MTO_REV_2(ARMOR)"/>
      <sheetName val="KL_THEP__GIAM_DO_DUNG_COUPLER"/>
      <sheetName val="01_KL_THÉP_NHẬP_VỀ"/>
      <sheetName val="2__NT_VLDV"/>
      <sheetName val="GHI_CHU"/>
      <sheetName val="1_BB_LMHT"/>
      <sheetName val="Bê_tông_bảo_vệ"/>
      <sheetName val="01__Data"/>
      <sheetName val="Neo,_nối_cốt_thép_dầm,_cột"/>
      <sheetName val="Uốn_móc_cốt_thép"/>
      <sheetName val="Tiêu_chuẩn_cốt_thép"/>
      <sheetName val="Cotthep_NPT"/>
      <sheetName val="vl_nc_mtc"/>
      <sheetName val="DM-VNT_ko_sd"/>
      <sheetName val="Bảng_đo_bóc_KL_OLK-09"/>
      <sheetName val="6_3_CHI_TIET_OLK-09"/>
      <sheetName val="B3A_-_TOWER_A"/>
      <sheetName val="Annex_B"/>
      <sheetName val="TLG_Type"/>
      <sheetName val="1_Civil_(Org)"/>
      <sheetName val="Dot_4"/>
      <sheetName val="1_San_"/>
      <sheetName val="Thop_Ksat"/>
      <sheetName val="Thu_hoi_"/>
      <sheetName val="HM_chung"/>
      <sheetName val="CP_xd-thiet_bi"/>
      <sheetName val="TH-TN_LD_TB"/>
      <sheetName val="CP_xaydung"/>
      <sheetName val="Thao_ha_phu_kien"/>
      <sheetName val="VL-NC-MTC_ket_cau"/>
      <sheetName val="KHOI_LUONG_TONG"/>
      <sheetName val="TK_22KV"/>
      <sheetName val="DM_366-1777"/>
      <sheetName val="Thi_nhiem"/>
      <sheetName val="Gia_goc_VT-TB"/>
      <sheetName val="Gia_vc_den_chan_CT"/>
      <sheetName val="culy_22"/>
      <sheetName val="Luong_2050"/>
      <sheetName val="ca_may_QN"/>
      <sheetName val="TNHC1246_"/>
      <sheetName val="Ca_may_TT06_2010"/>
      <sheetName val="Don_gia_VLXD_dia_phuong"/>
      <sheetName val="Bang_luong_SCL"/>
      <sheetName val="Dinh_muc_TN1426"/>
      <sheetName val="KL_thep_lam_sat"/>
      <sheetName val="Tien_Thuong"/>
      <sheetName val="NC_XL_6T_cuoi_01_CTy"/>
      <sheetName val="Data_-6T_dau"/>
      <sheetName val="Cong_6T"/>
      <sheetName val="Dgia_vat_tu"/>
      <sheetName val="Don_gia_III"/>
      <sheetName val="D÷_liÖu"/>
      <sheetName val="Chi_phi_van_chuyen"/>
      <sheetName val="Div26_-_Elect"/>
      <sheetName val="Huong dan"/>
      <sheetName val="Dây"/>
      <sheetName val="Nuoc5T"/>
      <sheetName val="Dien5T"/>
      <sheetName val="CAP NUOC"/>
      <sheetName val="cấp nước trục nhà vs"/>
      <sheetName val="THOAT NUOC"/>
      <sheetName val="TB"/>
      <sheetName val="THOAT MUA"/>
      <sheetName val="Cáp phòng"/>
      <sheetName val="TMC ĐIỆN_Phi"/>
      <sheetName val="TMC Tổng"/>
      <sheetName val="TH Đèn Phòng L1"/>
      <sheetName val="TH Đèn Hầm L1"/>
      <sheetName val="TỦ MODULE T1"/>
      <sheetName val="APTOMAT"/>
      <sheetName val="DGIAgoi1"/>
      <sheetName val="COVER"/>
      <sheetName val="13.BANG CT"/>
      <sheetName val="14.MMUS GIUA NHIP"/>
      <sheetName val="4.HSPBngang"/>
      <sheetName val="6.Tinh tai"/>
      <sheetName val="2 NSl"/>
      <sheetName val="17.US CHU tho a_b"/>
      <sheetName val="15.MMUS GOI"/>
      <sheetName val="Tổng hợp KPHM"/>
      <sheetName val="Cong"/>
      <sheetName val="Dinh muc"/>
      <sheetName val="TDTKP"/>
      <sheetName val="DK-KH"/>
      <sheetName val="Kyhieuloptratsonba"/>
      <sheetName val="Door_and_window2"/>
      <sheetName val="TH_các_CC"/>
      <sheetName val="Heso_DZ"/>
      <sheetName val="DM_336cai_tao"/>
      <sheetName val="DG_BINH_THUAN"/>
      <sheetName val="7_Khau_tru_"/>
      <sheetName val="4_CĂN"/>
      <sheetName val="2_CDPS"/>
      <sheetName val="HRG_BHN"/>
      <sheetName val="CĂN_ĐH"/>
      <sheetName val="Q_A01_2-Sh"/>
      <sheetName val="B-2__(DPP)"/>
      <sheetName val="Don_gia_NC"/>
      <sheetName val="BANRA"/>
      <sheetName val="DZ 22KV"/>
      <sheetName val="Annual_CFs_Asset"/>
      <sheetName val="QUO"/>
      <sheetName val="PTVT"/>
      <sheetName val="GIÁ DỰ THẦU 30 CĂN"/>
      <sheetName val="BT3"/>
      <sheetName val="Kê 0,4"/>
      <sheetName val="TH 0,4"/>
      <sheetName val="Kê 22"/>
      <sheetName val="TH 22"/>
      <sheetName val="TBA CAI TAO"/>
      <sheetName val="TBA XDM"/>
      <sheetName val="V-N-M"/>
      <sheetName val="TONG HOP DU TOAN"/>
      <sheetName val="Thop XAY DUNG"/>
      <sheetName val="CP HANG MUC CHUNG"/>
      <sheetName val="THKS+TK"/>
      <sheetName val="CHI PHI XD"/>
      <sheetName val="CHI PHI THI NGHIEM"/>
      <sheetName val="DGVL"/>
      <sheetName val="VC"/>
      <sheetName val="VLDIEN 22"/>
      <sheetName val="Tinhvanchuyen"/>
      <sheetName val="Dao dat"/>
      <sheetName val="TH Denbu"/>
      <sheetName val="Denbu"/>
      <sheetName val="Do ve DC"/>
      <sheetName val="CMHLT"/>
      <sheetName val="TH Bommin"/>
      <sheetName val="Bommin"/>
      <sheetName val="CHI PHI THI NGHIEM-LD thiet bi"/>
      <sheetName val="VLXD"/>
      <sheetName val="Luong TT01"/>
      <sheetName val="NLĐV"/>
      <sheetName val="Đongia"/>
      <sheetName val="Camay QB"/>
      <sheetName val="gia ca may BXD"/>
      <sheetName val="BANG LUONG KY SU"/>
      <sheetName val="Bang luong NHOM I"/>
      <sheetName val="Bangluong NHOM II "/>
      <sheetName val="13-XE_MAY"/>
      <sheetName val="09-GIA nhien lieu-ko in"/>
      <sheetName val="Tinh V cot chiem cho"/>
      <sheetName val="ĐM 1354"/>
      <sheetName val="KHOAN MAU"/>
      <sheetName val="ĐO ĐỊA VẬT LÝ"/>
      <sheetName val="KSMB"/>
      <sheetName val="KSCD"/>
      <sheetName val="khoan tiep dia"/>
      <sheetName val="Links"/>
      <sheetName val="Lead"/>
      <sheetName val="DG Chi tiet"/>
      <sheetName val=" 1710 HOINGHINLD"/>
      <sheetName val="99"/>
      <sheetName val="99 (2)"/>
      <sheetName val="134 "/>
      <sheetName val="DG-1776KV4"/>
      <sheetName val="DG 4970"/>
      <sheetName val="THCT"/>
      <sheetName val="DM-1776"/>
      <sheetName val="EQT-ESTN"/>
      <sheetName val="DT"/>
      <sheetName val="Giathau"/>
      <sheetName val="KS tuyen"/>
      <sheetName val="THTL"/>
      <sheetName val="CP(dz)"/>
      <sheetName val="Bang chiet tinh TBA"/>
      <sheetName val="DI_ESTI"/>
      <sheetName val="4.2.1 Đo bóc KL OLK-06"/>
      <sheetName val="4.1.1 CHI TIET OLK-06"/>
      <sheetName val="Hệ_qố2"/>
      <sheetName val="Cash Flow"/>
      <sheetName val="Yield"/>
      <sheetName val="electrical"/>
      <sheetName val="So sanh"/>
      <sheetName val="HERD MOVEMENTFARM1"/>
      <sheetName val="HERD MOVEMENTFARM2"/>
      <sheetName val="A2TNTH"/>
      <sheetName val="CALVES 2-4"/>
      <sheetName val="Cavles 2-4"/>
      <sheetName val="CALVES 4-7"/>
      <sheetName val="HEIFER 7-12m"/>
      <sheetName val="HEIFER 12+"/>
      <sheetName val="FRESH COW 2017-18"/>
      <sheetName val="HP COW 2018"/>
      <sheetName val="LP COW 2017-18"/>
      <sheetName val="DRY COW"/>
      <sheetName val="TRANSITION"/>
      <sheetName val="FIELD CROPS"/>
      <sheetName val="FORAGE"/>
      <sheetName val="Tong DT"/>
      <sheetName val="phan tich don gia"/>
      <sheetName val="BTK-Dai_Hoc_Kien_Giang"/>
      <sheetName val="Danh_mục"/>
      <sheetName val="PV_Graph_Data"/>
      <sheetName val="doanh_thu"/>
      <sheetName val="Dutoan_KL"/>
      <sheetName val="DT san XD-So lieu cu"/>
      <sheetName val="STATC"/>
      <sheetName val="FF-2 (1)"/>
      <sheetName val="FSA"/>
      <sheetName val="KCCP"/>
      <sheetName val="Contents"/>
      <sheetName val="Factor_sheet"/>
      <sheetName val="Labour Summary"/>
      <sheetName val="CWN_Consol"/>
      <sheetName val="Labour_Summary"/>
      <sheetName val="PU_ITALY_9"/>
      <sheetName val="final_list_20059"/>
      <sheetName val="final_list_20056"/>
      <sheetName val="final_list_20057"/>
      <sheetName val="final_list_20058"/>
      <sheetName val="Deff_Tax_Sept01"/>
      <sheetName val="custScore"/>
      <sheetName val="corpGoalsSchedule0708"/>
      <sheetName val="1999"/>
      <sheetName val="2000"/>
      <sheetName val="2001"/>
      <sheetName val="2002"/>
      <sheetName val="YTD 12'2003"/>
      <sheetName val="YTD 06'2003"/>
      <sheetName val="YTD 03'2003"/>
      <sheetName val="YTD 09'2003"/>
      <sheetName val="PU_ITALY_10"/>
      <sheetName val="final_list_200510"/>
      <sheetName val="Tro_giup9"/>
      <sheetName val="Labour_Summary1"/>
      <sheetName val="PU_ITALY_11"/>
      <sheetName val="final_list_200511"/>
      <sheetName val="Tro_giup10"/>
      <sheetName val="Labour_Summary2"/>
      <sheetName val="PU_ITALY_12"/>
      <sheetName val="final_list_200512"/>
      <sheetName val="Tro_giup11"/>
      <sheetName val="Labour_Summary3"/>
      <sheetName val="PU_ITALY_13"/>
      <sheetName val="final_list_200513"/>
      <sheetName val="Tro_giup12"/>
      <sheetName val="Labour_Summary4"/>
      <sheetName val="PU_ITALY_14"/>
      <sheetName val="final_list_200514"/>
      <sheetName val="Tro_giup13"/>
      <sheetName val="Labour_Summary5"/>
      <sheetName val="PU_ITALY_15"/>
      <sheetName val="final_list_200515"/>
      <sheetName val="Tro_giup14"/>
      <sheetName val="Labour_Summary6"/>
      <sheetName val="PU_ITALY_21"/>
      <sheetName val="final_list_200521"/>
      <sheetName val="Tro_giup20"/>
      <sheetName val="Labour_Summary12"/>
      <sheetName val="PU_ITALY_16"/>
      <sheetName val="final_list_200516"/>
      <sheetName val="Tro_giup15"/>
      <sheetName val="Labour_Summary7"/>
      <sheetName val="PU_ITALY_17"/>
      <sheetName val="final_list_200517"/>
      <sheetName val="Tro_giup16"/>
      <sheetName val="Labour_Summary8"/>
      <sheetName val="PU_ITALY_18"/>
      <sheetName val="final_list_200518"/>
      <sheetName val="Tro_giup17"/>
      <sheetName val="Labour_Summary9"/>
      <sheetName val="PU_ITALY_19"/>
      <sheetName val="final_list_200519"/>
      <sheetName val="Tro_giup18"/>
      <sheetName val="Labour_Summary10"/>
      <sheetName val="PU_ITALY_20"/>
      <sheetName val="final_list_200520"/>
      <sheetName val="Tro_giup19"/>
      <sheetName val="Labour_Summary11"/>
      <sheetName val="deferred taxes"/>
      <sheetName val="Macrow"/>
      <sheetName val="console"/>
      <sheetName val="Ratios"/>
      <sheetName val="_Parameters"/>
      <sheetName val="Eqpmnt Plng"/>
      <sheetName val="TRIAL BALANCE"/>
      <sheetName val="DPR 31st march"/>
      <sheetName val="current month"/>
      <sheetName val="Blng. Vs Coll."/>
      <sheetName val="GRN"/>
      <sheetName val="CRITERIA1"/>
      <sheetName val="Design"/>
      <sheetName val="Blore"/>
      <sheetName val="Chnai"/>
      <sheetName val="Pune"/>
      <sheetName val="CoverSheet"/>
      <sheetName val="H"/>
      <sheetName val="DSUM2004"/>
      <sheetName val="dwbulk"/>
      <sheetName val="HERD_MOVEMENTFARM1"/>
      <sheetName val="HERD_MOVEMENTFARM2"/>
      <sheetName val="CALVES_2-4"/>
      <sheetName val="Cavles_2-4"/>
      <sheetName val="CALVES_4-7"/>
      <sheetName val="HEIFER_7-12m"/>
      <sheetName val="HEIFER_12+"/>
      <sheetName val="FRESH_COW_2017-18"/>
      <sheetName val="HP_COW_2018"/>
      <sheetName val="LP_COW_2017-18"/>
      <sheetName val="DRY_COW"/>
      <sheetName val="FIELD_CROPS"/>
      <sheetName val="HERD_MOVEMENTFARM11"/>
      <sheetName val="HERD_MOVEMENTFARM21"/>
      <sheetName val="CALVES_2-41"/>
      <sheetName val="Cavles_2-41"/>
      <sheetName val="CALVES_4-71"/>
      <sheetName val="HEIFER_7-12m1"/>
      <sheetName val="HEIFER_12+1"/>
      <sheetName val="FRESH_COW_2017-181"/>
      <sheetName val="HP_COW_20181"/>
      <sheetName val="LP_COW_2017-181"/>
      <sheetName val="DRY_COW1"/>
      <sheetName val="FIELD_CROPS1"/>
      <sheetName val="Menu"/>
      <sheetName val="영동(D)"/>
      <sheetName val="EQUIP LIST"/>
      <sheetName val="Electrical Works"/>
      <sheetName val="H_T_ INCOMING SYSTEM"/>
      <sheetName val="Package1"/>
      <sheetName val="SUMDETAIL"/>
      <sheetName val="Factory"/>
      <sheetName val="Matchung"/>
      <sheetName val="BU LONG"/>
      <sheetName val="ĐNVT"/>
      <sheetName val="ĐNBL"/>
      <sheetName val="CTLK"/>
      <sheetName val="데리네이타현황"/>
      <sheetName val="CTDZTA(5)"/>
      <sheetName val="THONG SO"/>
      <sheetName val="Đơn giá chi tiết TN 39"/>
      <sheetName val="DT. NHA XUONG"/>
      <sheetName val="ABUT수량-A1"/>
      <sheetName val="Gia VT-TB"/>
      <sheetName val="noi suy xa"/>
      <sheetName val="noi suy xa thu hoi"/>
      <sheetName val="Painting"/>
      <sheetName val="THKP957"/>
      <sheetName val="Tính giá NC"/>
      <sheetName val="Tiên lượng"/>
      <sheetName val="SL cước"/>
      <sheetName val="CAUDIT"/>
      <sheetName val="Thuyết minh"/>
      <sheetName val="Đơn giá máy"/>
      <sheetName val="Items"/>
      <sheetName val="Detail"/>
      <sheetName val="¥ "/>
      <sheetName val="KLall"/>
      <sheetName val="DCQ"/>
      <sheetName val="DCS"/>
      <sheetName val="DD"/>
      <sheetName val="dulieumong"/>
      <sheetName val="說明"/>
      <sheetName val="係数"/>
      <sheetName val="8521"/>
      <sheetName val="Unit price"/>
      <sheetName val="Bill No.1.6"/>
      <sheetName val="Bill No.1.10"/>
      <sheetName val="Bill No.3.3"/>
      <sheetName val="Bill No.1.4"/>
      <sheetName val="Bill No.1.7"/>
      <sheetName val="Summary Bill No. 3"/>
      <sheetName val="DI-ESTI"/>
      <sheetName val="현장별"/>
      <sheetName val="dats"/>
      <sheetName val="CHITIET VL-NCHT1 (2)"/>
      <sheetName val="BID"/>
      <sheetName val="3. KC - PODIUM"/>
      <sheetName val="설계내역서"/>
      <sheetName val="tuong"/>
      <sheetName val="112016"/>
      <sheetName val="Bán đợt 1 trang"/>
      <sheetName val="RAB_AR&amp;STR7"/>
      <sheetName val="chi_tiet_TBA7"/>
      <sheetName val="chi_tiet_C7"/>
      <sheetName val="TH_DZ359"/>
      <sheetName val="Customize_Your_Purchase_Order7"/>
      <sheetName val="CHITIET_VL-NC-TT_-1p7"/>
      <sheetName val="CHITIET_VL-NC-TT-3p6"/>
      <sheetName val="TONG_HOP_VL-NC_TT7"/>
      <sheetName val="KPVC-BD_7"/>
      <sheetName val="Don_gia7"/>
      <sheetName val="DON_GIA_TRAM_(3)7"/>
      <sheetName val="DON_GIA_CAN_THO9"/>
      <sheetName val="HĐ_ngoài6"/>
      <sheetName val="XT_Buoc_36"/>
      <sheetName val="dongia_(2)6"/>
      <sheetName val="7606_DZ7"/>
      <sheetName val="Don_gia_chi_tiet7"/>
      <sheetName val="project_management6"/>
      <sheetName val="Adix_A6"/>
      <sheetName val="S-curve_6"/>
      <sheetName val="REINF_6"/>
      <sheetName val="Rates_20096"/>
      <sheetName val="Du_toan6"/>
      <sheetName val="So_doi_chieu_LC6"/>
      <sheetName val="MAIN_GATE_HOUSE6"/>
      <sheetName val="Commercial_value6"/>
      <sheetName val="Ky_Lam_Bridge6"/>
      <sheetName val="Provisional_Sums_Item6"/>
      <sheetName val="Gas_Pressure_Welding6"/>
      <sheetName val="General_Item&amp;General_Requireme6"/>
      <sheetName val="General_Items6"/>
      <sheetName val="Regenral_Requirements6"/>
      <sheetName val="chiet_tinh6"/>
      <sheetName val="Ng_hàng_xà+bulong6"/>
      <sheetName val="TONG_HOP_VL-NC6"/>
      <sheetName val="Bang_KL6"/>
      <sheetName val="MH_RATE6"/>
      <sheetName val="Lcau_-_Lxuc6"/>
      <sheetName val="Đầu_vào5"/>
      <sheetName val="Equip_5"/>
      <sheetName val="A1_CN5"/>
      <sheetName val="DG_thep_ma_kem6"/>
      <sheetName val="CT_vat_lieu6"/>
      <sheetName val="Trạm_biến_áp5"/>
      <sheetName val="Đơn_Giá_5"/>
      <sheetName val="DM_60616"/>
      <sheetName val="TONG_HOP_T5_19985"/>
      <sheetName val="Chenh_lech_vat_tu5"/>
      <sheetName val="Diện_tích5"/>
      <sheetName val="1_Khái_toán5"/>
      <sheetName val="Chi_tiet_XD_TBA5"/>
      <sheetName val="DG_DZ6"/>
      <sheetName val="DG_TBA6"/>
      <sheetName val="CT-0_4KV5"/>
      <sheetName val="rate_material5"/>
      <sheetName val="KL_Chi_tiết_Xây_tô5"/>
      <sheetName val="04_-_XUONG_DET_B5"/>
      <sheetName val="Chi_tiet_KL5"/>
      <sheetName val="Tổng_hợp_KL5"/>
      <sheetName val="Bill_1_Quy_dinh_chung5"/>
      <sheetName val="1_R18_BF5"/>
      <sheetName val="6_External_works-R185"/>
      <sheetName val="07Base_Cost5"/>
      <sheetName val="_035"/>
      <sheetName val="chieu_day_san5"/>
      <sheetName val="Podium_Concrete_Works5"/>
      <sheetName val="KLCT-_TOWER5"/>
      <sheetName val="KLCT-_PODIUM5"/>
      <sheetName val="Gia_thanh_chuoi_su5"/>
      <sheetName val="Tiep_dia5"/>
      <sheetName val="Don_gia_vung_III-Can_Tho5"/>
      <sheetName val="Phan_khai_KLuong5"/>
      <sheetName val="Buy_vs__Lease_Car5"/>
      <sheetName val="Harga_ME_5"/>
      <sheetName val="Loại_Vật_tư5"/>
      <sheetName val="Area_Cal5"/>
      <sheetName val="Elect_(3)5"/>
      <sheetName val="plan&amp;section_of_foundation5"/>
      <sheetName val="design_criteria5"/>
      <sheetName val="Bond_수수료_계산_포맷5"/>
      <sheetName val="ITB_COST5"/>
      <sheetName val="PAGE_15"/>
      <sheetName val="Bill_01_-_CTN5"/>
      <sheetName val="Bill_2_2_Villa_2_beds5"/>
      <sheetName val="dg_tphcm5"/>
      <sheetName val="Xay_lapduongR35"/>
      <sheetName val="EIRR&gt;_25"/>
      <sheetName val="DM_675"/>
      <sheetName val="Đầu_tư5"/>
      <sheetName val="6787CWFASE2CASE2_00_xls5"/>
      <sheetName val="Project_Data5"/>
      <sheetName val="Analisa_Gabungan5"/>
      <sheetName val="T_KÊ_K_CẤU5"/>
      <sheetName val="Data_Input6"/>
      <sheetName val="CẤP_THOÁT_NƯỚC5"/>
      <sheetName val="Cước_VC_+_ĐM_CP_Tư_vấn5"/>
      <sheetName val="Hệ_số5"/>
      <sheetName val="Vat_tu_XD5"/>
      <sheetName val="HÐ_ngoài6"/>
      <sheetName val="6PILE__(돌출)5"/>
      <sheetName val="THDT_goi_thau_TB5"/>
      <sheetName val="Tien_do_TV5"/>
      <sheetName val="Bill_02_-_Xay_gach-Pou_5"/>
      <sheetName val="Bill_03-Chống_thấm-Pou5"/>
      <sheetName val="Bill_04-Kim_loại-Pou5"/>
      <sheetName val="Bill_05_-_Hoan_thien-Pou_5"/>
      <sheetName val="Bill_02_-_Xay_gach-Tower5"/>
      <sheetName val="Bill_03-Chống_thấm-Tower5"/>
      <sheetName val="Bill_04-Kim_loại-Tower5"/>
      <sheetName val="Bill_05_-_Hoan_thien-Tower5"/>
      <sheetName val="KL-_KHAC5"/>
      <sheetName val="BILL_3_-_KẾT_CẤU_HẦM5"/>
      <sheetName val="PTĐG_LTBT5"/>
      <sheetName val="CTG-PRECHEx1_45"/>
      <sheetName val="CTG-AB_(2)5"/>
      <sheetName val="CTG-AB_(3)5"/>
      <sheetName val="CTG-PLP-1_085"/>
      <sheetName val="Pre_Đội_nhóm5"/>
      <sheetName val="Tower_-_Concrete_Works5"/>
      <sheetName val="Bill-04_ket_cau_thap-_UNI5"/>
      <sheetName val="TH_Vat_tu5"/>
      <sheetName val="4_PTDG5"/>
      <sheetName val="A1,_May5"/>
      <sheetName val="Vat_lieu5"/>
      <sheetName val="Bang_trong_luong_rieng_thep5"/>
      <sheetName val="gia_cong_tac5"/>
      <sheetName val="Measure_13065"/>
      <sheetName val="GV1-D13_(Casement_door)5"/>
      <sheetName val="Isolasi_Luar_Dalam5"/>
      <sheetName val="Isolasi_Luar5"/>
      <sheetName val="_Bill_5-Earthing_2_-_Add_Works5"/>
      <sheetName val="bridge_#_15"/>
      <sheetName val="PRE_(E)5"/>
      <sheetName val="LV_data5"/>
      <sheetName val="DETAIL_5"/>
      <sheetName val="ESTI_5"/>
      <sheetName val="Gia_vat_tu5"/>
      <sheetName val="TH_MTC5"/>
      <sheetName val="TH_N_Cong5"/>
      <sheetName val="Equipment_list_(PAC)5"/>
      <sheetName val="TINH_KHOI_LUONG5"/>
      <sheetName val="DATA_BASE5"/>
      <sheetName val="KL_san_lap5"/>
      <sheetName val="Chenh_lech_ca_may5"/>
      <sheetName val="TLg_CN&amp;Laixe5"/>
      <sheetName val="TLg_CN&amp;Laixe_(2)5"/>
      <sheetName val="TLg_Laitau5"/>
      <sheetName val="TLg_Laitau_(2)5"/>
      <sheetName val="Chi_tiet5"/>
      <sheetName val="Bang_3_Chi_tiet_phan_Dz5"/>
      <sheetName val="KHOI_LUONG5"/>
      <sheetName val="subcon_sched5"/>
      <sheetName val="Tong_du_toan4"/>
      <sheetName val="Bill_2_-_ketcau4"/>
      <sheetName val="CTKL_KTX_HT4"/>
      <sheetName val="CP_Khac_cuoc_VC4"/>
      <sheetName val="Budget_Code4"/>
      <sheetName val="HVAC_BLOCK_B45"/>
      <sheetName val="NHÀ_NHẬP_LIỆU4"/>
      <sheetName val="MÓNG_SILO4"/>
      <sheetName val="D_&amp;_W_sizes4"/>
      <sheetName val="2_Chiet_tinh4"/>
      <sheetName val="BẢNG_KHỐI_LƯỢNG_TỔNG_HỢP4"/>
      <sheetName val="Purchase_Order4"/>
      <sheetName val="Analisa_&amp;_Upah4"/>
      <sheetName val="Chi_tiet_lan_can4"/>
      <sheetName val="13-Cốt_thép_(10mm&lt;D≤18mm)_FO164"/>
      <sheetName val="du_lieu_du_toan4"/>
      <sheetName val="BOQ_THAN4"/>
      <sheetName val="DL_ĐẦU_VÀO4"/>
      <sheetName val="Du_lieu5"/>
      <sheetName val="cash_budget4"/>
      <sheetName val="Luong_NII4"/>
      <sheetName val="DINH_MUC_THI_NGHIEM4"/>
      <sheetName val="Luong_NI4"/>
      <sheetName val="Phan_tich4"/>
      <sheetName val="CT_Thang_Mo4"/>
      <sheetName val="CT__PL4"/>
      <sheetName val="BANCO_(2)4"/>
      <sheetName val="MT_DPin_(2)4"/>
      <sheetName val="GOC-KO_IN4"/>
      <sheetName val="dongia__2_4"/>
      <sheetName val="Thép_CKN4"/>
      <sheetName val="MAU_8A4"/>
      <sheetName val="MAU_8B4"/>
      <sheetName val="MAU_94"/>
      <sheetName val="MAU_104"/>
      <sheetName val="sochitiettaikhoan_4"/>
      <sheetName val="Share_price_data4"/>
      <sheetName val="19_34"/>
      <sheetName val="20_34"/>
      <sheetName val="Chieu_4_34"/>
      <sheetName val="Cow_req4"/>
      <sheetName val="TỔNG_HỢP4"/>
      <sheetName val="14-LẦN_3-CHIỀU4"/>
      <sheetName val="14-LẦN_1-SÁNG4"/>
      <sheetName val="14-LẦN_2-TRƯA4"/>
      <sheetName val="1_3+1_4-TOTAL_-_Ko_IN4"/>
      <sheetName val="2_1-LẦN_3-CHIỀU4"/>
      <sheetName val="2_1-LẦN_1-SÁNG4"/>
      <sheetName val="2_1-LẦN_2-TRƯA4"/>
      <sheetName val="2_1-TOTAL-Ko_IN4"/>
      <sheetName val="1_3(TMR_4)4"/>
      <sheetName val="CHO_DE4"/>
      <sheetName val="1_1+1_2+2_2+2_3(TMR_3)4"/>
      <sheetName val="CK1+CK2_(VS_SAN_CHOI_23)4"/>
      <sheetName val="CK1+CK2_(2)4"/>
      <sheetName val="12-16_THÁNG4"/>
      <sheetName val="CAN_SỮA4"/>
      <sheetName val="54+55+56(SAU_CAI_SỮA-6)4"/>
      <sheetName val="BÊ_71-90_NGÀY4"/>
      <sheetName val="BÊ_12-16_tháng4"/>
      <sheetName val="BÊ_6-124"/>
      <sheetName val="BÊ_1-34"/>
      <sheetName val="F01-BC_KHAU_PHAN_SANG_20_34"/>
      <sheetName val="F01-BC_KHAU_PHAN_CHIEU_19_34"/>
      <sheetName val="dinh_mưc_cty4"/>
      <sheetName val="Giá_thành4"/>
      <sheetName val="Thong_ke4"/>
      <sheetName val="Energy_for_milk_prod4"/>
      <sheetName val="DE_NGHI_XUAT_4"/>
      <sheetName val="phieu_xuat_mau4"/>
      <sheetName val="PHIEU_XUAT_CHIEU4"/>
      <sheetName val="11_rai_them_cỏ4"/>
      <sheetName val="PHU_LUC_02-_HDSD_CAC_BIEU_MAU4"/>
      <sheetName val="PhU_LUC_01-_MA_CAC_NHOM_BO4"/>
      <sheetName val="F03-BC_THUC_TRON_SANG_20_34"/>
      <sheetName val="F03-BC_THUC_TRON_CHIEU_19_34"/>
      <sheetName val="F02-BC_THEO_DOI_THUC_AN_DU4"/>
      <sheetName val="Tham_khao-_Bao_cao_xuat_thuc_a4"/>
      <sheetName val="dm_3662"/>
      <sheetName val="DM_60602"/>
      <sheetName val="Dlieu_dau_vao4"/>
      <sheetName val="02__PTDG4"/>
      <sheetName val="Chiết_tính4"/>
      <sheetName val="Don_gia_(khong_in)4"/>
      <sheetName val="DK1_Don_gia4"/>
      <sheetName val="1_MONG_1-24"/>
      <sheetName val="AG_Pipe_Qty_Analysis2"/>
      <sheetName val="Income_Statement4"/>
      <sheetName val="Shareholders'_Equity4"/>
      <sheetName val="VC_xd2"/>
      <sheetName val="Gia_VLTB2"/>
      <sheetName val="B_Luong2"/>
      <sheetName val="C_May2"/>
      <sheetName val="TB_NẶNG2"/>
      <sheetName val="Du_tru_CP-Bieu_012"/>
      <sheetName val="wk_prgs2"/>
      <sheetName val="đọc_số2"/>
      <sheetName val="Bill_No_3_-_Prov__Sum_(Ph2&amp;3)2"/>
      <sheetName val="TH_TN2"/>
      <sheetName val="HỆ_THỐNG_PHÒNG_CHÁY_CHỮA_CHÁY2"/>
      <sheetName val="HỆ_THỐNG_CẤP_THOÁT_NƯỚC2"/>
      <sheetName val="HỆ_THỐNG_ĐHKK2"/>
      <sheetName val="MÁY_PHÁT_ĐIỆN2"/>
      <sheetName val="HỆ_THỐNG_ĐIỆN2"/>
      <sheetName val="Thiết_bị_chính2"/>
      <sheetName val="Ma_don_vi2"/>
      <sheetName val="bang_cc2"/>
      <sheetName val="Bill_2-Road_HR22"/>
      <sheetName val="Bill_3_-_Softscape_HR22"/>
      <sheetName val="0__Input1"/>
      <sheetName val="Ｎｏ_132"/>
      <sheetName val="DGchitiet_2"/>
      <sheetName val="CĂN_HỘ_T16-17_2"/>
      <sheetName val="TRỤC_ĐỨNG_THOÁT_BẨN_T15-172"/>
      <sheetName val="TRỤC_ĐỨNG_TM_T15-172"/>
      <sheetName val="TK_chi_tiet2"/>
      <sheetName val="Nhap_VT_oto2"/>
      <sheetName val="Data_Wall2"/>
      <sheetName val="Dự_thầu2"/>
      <sheetName val="Tổng_GT2"/>
      <sheetName val="Chi_tiết_KL2"/>
      <sheetName val="ca_máy2"/>
      <sheetName val="khấu_trừ_phạt2"/>
      <sheetName val="GT__KHAU_TRU2"/>
      <sheetName val="HAO_HUT_VAT_TU_(2)2"/>
      <sheetName val="cao_độ2"/>
      <sheetName val="CP_HMC2"/>
      <sheetName val="2_1Warehouse_12"/>
      <sheetName val="Hao_phí2"/>
      <sheetName val="THEP_TAM2"/>
      <sheetName val="THEP_HÌNH2"/>
      <sheetName val="THEP_HINH2"/>
      <sheetName val="XA_GO2"/>
      <sheetName val="BANG_TRA2"/>
      <sheetName val="Chi_tiet_cong_no2"/>
      <sheetName val="PHÁT_SINH_TẦNG_1_2"/>
      <sheetName val="PHÁT_SINH_TẦNG_22"/>
      <sheetName val="Hầm_chuyển_psinh2"/>
      <sheetName val="Ống_thẳng2"/>
      <sheetName val="Côn_thu2"/>
      <sheetName val="Vuông_tròn2"/>
      <sheetName val="Chân_rẽ2"/>
      <sheetName val="Chạc_ba2"/>
      <sheetName val="Structure_data2"/>
      <sheetName val="CP_Du_phong2"/>
      <sheetName val="THCP_Lap_dat2"/>
      <sheetName val="THCP_xay_dung2"/>
      <sheetName val="Tong_hop_kinh_phi2"/>
      <sheetName val="CHI_PHI2"/>
      <sheetName val="Dự_toán2"/>
      <sheetName val="Đơn_Giá_TH2"/>
      <sheetName val="Nhân_công2"/>
      <sheetName val="Phân_tích2"/>
      <sheetName val="C_P_Thiết_bị2"/>
      <sheetName val="T_H_Kinh_phí2"/>
      <sheetName val="Vật_tư2"/>
      <sheetName val="Trang_bìa2"/>
      <sheetName val="Don_gia_chi_tiet_DIEN_21"/>
      <sheetName val="Main_Bldg-Rev022"/>
      <sheetName val="D&amp;W_def_2"/>
      <sheetName val="Nhan_cong2"/>
      <sheetName val="Thiet_bi2"/>
      <sheetName val="Vat_tu2"/>
      <sheetName val="DM_ChiPhi2"/>
      <sheetName val="May_TC2"/>
      <sheetName val="TH_Kinh_phi2"/>
      <sheetName val="Ptvl_2"/>
      <sheetName val="Móng,_nền_2"/>
      <sheetName val="1_Requisition(E)2"/>
      <sheetName val="Theo_doi_Doanh_thu_20171"/>
      <sheetName val="DG_14261"/>
      <sheetName val="TONG_HOP2"/>
      <sheetName val="phan_tic_chi_tiet2"/>
      <sheetName val="gui_BKCT1"/>
      <sheetName val="BẢNG_ÁP_GIÁ_(in)1"/>
      <sheetName val="NT_(KL)_IN1"/>
      <sheetName val="DOM_D21"/>
      <sheetName val="nhà_ăn1"/>
      <sheetName val="Công_nhật1"/>
      <sheetName val="btkt_cột1"/>
      <sheetName val="Chi_tiet_-tong_9_thang1"/>
      <sheetName val="1_2_Staff_Schedule1"/>
      <sheetName val="Gia_vat_lieu1"/>
      <sheetName val="Precios_unitarios_AXH1"/>
      <sheetName val="DM-VNT_ko_sd1"/>
      <sheetName val="3__CNT1"/>
      <sheetName val="unit_price_list(M)1"/>
      <sheetName val="Bill_Prelim-CDT1"/>
      <sheetName val="Bill_BPTC-CDT1"/>
      <sheetName val="Chi_tiết_BPTC1"/>
      <sheetName val="Bill_BPTC-CDT_(PA_MCT_CDT)1"/>
      <sheetName val="Chi_tiết_BPTC_(PA_MCT_CDT)1"/>
      <sheetName val="TH_VL,_NC,_DDHT_Thanhphuoc1"/>
      <sheetName val="So_lieu_chung1"/>
      <sheetName val="Bảng_đo_bóc_KL_OLK-091"/>
      <sheetName val="6_3_CHI_TIET_OLK-091"/>
      <sheetName val="KL_THEP__GIAM_DO_DUNG_COUPLER1"/>
      <sheetName val="01_KL_THÉP_NHẬP_VỀ1"/>
      <sheetName val="2__NT_VLDV1"/>
      <sheetName val="GHI_CHU1"/>
      <sheetName val="1_BB_LMHT1"/>
      <sheetName val="Doi_so1"/>
      <sheetName val="MTO_REV_2(ARMOR)1"/>
      <sheetName val="DANH_MỤC_HỒ_SƠ1"/>
      <sheetName val="GT_PHÁT_SINH_NGOÀI_HĐ1"/>
      <sheetName val="KL_PHÁT_SINH_1"/>
      <sheetName val="PS_NGOÀI_HĐ1"/>
      <sheetName val="GT_PHÁT_SINH_VƯỢT_HĐ1"/>
      <sheetName val="PS_TĂNG_GIẢM_TRONG_HĐ1"/>
      <sheetName val="DGCT_PHÁT_SINH1"/>
      <sheetName val="DGCT_TRẦN_NLV1"/>
      <sheetName val="DGKL_chi_tiết_NLV1"/>
      <sheetName val="DGKL_chi_tiết_NHN,NK1"/>
      <sheetName val="TG_KL1"/>
      <sheetName val="DGCT_SƠN_BẢ_TƯỜNG_NLV1"/>
      <sheetName val="DGKL_TRẦN_NHN1"/>
      <sheetName val="Cotthep_NPT1"/>
      <sheetName val="vl_nc_mtc1"/>
      <sheetName val="1__Office1"/>
      <sheetName val="KHOI_LUONG15-41"/>
      <sheetName val="Dgia_vat_tu1"/>
      <sheetName val="Don_gia_III1"/>
      <sheetName val="D÷_liÖu1"/>
      <sheetName val="Bê_tông_bảo_vệ1"/>
      <sheetName val="01__Data1"/>
      <sheetName val="Neo,_nối_cốt_thép_dầm,_cột1"/>
      <sheetName val="Uốn_móc_cốt_thép1"/>
      <sheetName val="Tiêu_chuẩn_cốt_thép1"/>
      <sheetName val="1_Civil_(Org)1"/>
      <sheetName val="Dot_41"/>
      <sheetName val="B3A_-_TOWER_A1"/>
      <sheetName val="Annex_B1"/>
      <sheetName val="Tong_hop_vat_tu1"/>
      <sheetName val="1_San_1"/>
      <sheetName val="TLG_Type1"/>
      <sheetName val="Thop_Ksat1"/>
      <sheetName val="Thu_hoi_1"/>
      <sheetName val="HM_chung1"/>
      <sheetName val="CP_xd-thiet_bi1"/>
      <sheetName val="TH-TN_LD_TB1"/>
      <sheetName val="CP_xaydung1"/>
      <sheetName val="Thao_ha_phu_kien1"/>
      <sheetName val="VL-NC-MTC_ket_cau1"/>
      <sheetName val="KHOI_LUONG_TONG1"/>
      <sheetName val="TK_22KV1"/>
      <sheetName val="DM_366-17771"/>
      <sheetName val="Thi_nhiem1"/>
      <sheetName val="Gia_goc_VT-TB1"/>
      <sheetName val="Gia_vc_den_chan_CT1"/>
      <sheetName val="culy_221"/>
      <sheetName val="Luong_20501"/>
      <sheetName val="ca_may_QN1"/>
      <sheetName val="TNHC1246_1"/>
      <sheetName val="Ca_may_TT06_20101"/>
      <sheetName val="Don_gia_VLXD_dia_phuong1"/>
      <sheetName val="Bang_luong_SCL1"/>
      <sheetName val="Dinh_muc_TN14261"/>
      <sheetName val="KL_thep_lam_sat1"/>
      <sheetName val="Tien_Thuong1"/>
      <sheetName val="NC_XL_6T_cuoi_01_CTy1"/>
      <sheetName val="Data_-6T_dau1"/>
      <sheetName val="Cong_6T1"/>
      <sheetName val="Chi_phi_van_chuyen1"/>
      <sheetName val="2_CDPS1"/>
      <sheetName val="B-2__(DPP)1"/>
      <sheetName val="TH_các_CC1"/>
      <sheetName val="DT_hợp_đồng"/>
      <sheetName val="Bảng_KL_đợt_1"/>
      <sheetName val="4_CĂN1"/>
      <sheetName val="7_Khau_tru_1"/>
      <sheetName val="Q_A01_2-Sh1"/>
      <sheetName val="DM_336cai_tao1"/>
      <sheetName val="HRG_BHN1"/>
      <sheetName val="CĂN_ĐH1"/>
      <sheetName val="Summary_Sheet"/>
      <sheetName val="Finishing-Tower_A"/>
      <sheetName val="Finishing-Tower_B"/>
      <sheetName val="Finishing-Tower_C"/>
      <sheetName val="Finishing-Tower_D"/>
      <sheetName val="MEP-Tower_A"/>
      <sheetName val="MEP-Tower_B"/>
      <sheetName val="MEP-Tower_C"/>
      <sheetName val="MEP-Tower_D"/>
      <sheetName val="Cost_Report_Sum"/>
      <sheetName val="Detail_Cost_Sum"/>
      <sheetName val="RVO-VO_Sum"/>
      <sheetName val="Potential_VOs_Sum"/>
      <sheetName val="Cash_Flow_Sum"/>
      <sheetName val="Heso_DZ1"/>
      <sheetName val="DG_BINH_THUAN1"/>
      <sheetName val="Div26_-_Elect1"/>
      <sheetName val="13_BANG_CT"/>
      <sheetName val="14_MMUS_GIUA_NHIP"/>
      <sheetName val="4_HSPBngang"/>
      <sheetName val="6_Tinh_tai"/>
      <sheetName val="2_NSl"/>
      <sheetName val="17_US_CHU_tho_a_b"/>
      <sheetName val="15_MMUS_GOI"/>
      <sheetName val="Don_gia_NC1"/>
      <sheetName val="CAP_NUOC"/>
      <sheetName val="cấp_nước_trục_nhà_vs"/>
      <sheetName val="THOAT_NUOC"/>
      <sheetName val="THOAT_MUA"/>
      <sheetName val="Cáp_phòng"/>
      <sheetName val="TMC_ĐIỆN_Phi"/>
      <sheetName val="TMC_Tổng"/>
      <sheetName val="TH_Đèn_Phòng_L1"/>
      <sheetName val="TH_Đèn_Hầm_L1"/>
      <sheetName val="TỦ_MODULE_T1"/>
      <sheetName val="Financ__Overview"/>
      <sheetName val="gia_vt,nc,may"/>
      <sheetName val="TINH_GIA_-_SAN_XUAT_Vertico"/>
      <sheetName val="Bieu_gia_HD"/>
      <sheetName val="Huong_dan"/>
      <sheetName val="DZ_22KV"/>
      <sheetName val="Kê_0,4"/>
      <sheetName val="TH_0,4"/>
      <sheetName val="Kê_22"/>
      <sheetName val="TH_22"/>
      <sheetName val="TBA_CAI_TAO"/>
      <sheetName val="TBA_XDM"/>
      <sheetName val="TONG_HOP_DU_TOAN"/>
      <sheetName val="Thop_XAY_DUNG"/>
      <sheetName val="CP_HANG_MUC_CHUNG"/>
      <sheetName val="CHI_PHI_XD"/>
      <sheetName val="CHI_PHI_THI_NGHIEM"/>
      <sheetName val="VLDIEN_22"/>
      <sheetName val="Dao_dat"/>
      <sheetName val="TH_Denbu"/>
      <sheetName val="Do_ve_DC"/>
      <sheetName val="TH_Bommin"/>
      <sheetName val="CHI_PHI_THI_NGHIEM-LD_thiet_bi"/>
      <sheetName val="Luong_TT01"/>
      <sheetName val="Camay_QB"/>
      <sheetName val="gia_ca_may_BXD"/>
      <sheetName val="BANG_LUONG_KY_SU"/>
      <sheetName val="Bang_luong_NHOM_I"/>
      <sheetName val="Bangluong_NHOM_II_"/>
      <sheetName val="09-GIA_nhien_lieu-ko_in"/>
      <sheetName val="Tinh_V_cot_chiem_cho"/>
      <sheetName val="ĐM_1354"/>
      <sheetName val="KHOAN_MAU"/>
      <sheetName val="ĐO_ĐỊA_VẬT_LÝ"/>
      <sheetName val="khoan_tiep_dia"/>
      <sheetName val="Dinh_muc"/>
      <sheetName val="5_2_1_Đo_bóc_KL_OLK-06"/>
      <sheetName val="Tổng_hợp_KPHM"/>
      <sheetName val="MB_DT_02"/>
      <sheetName val="KS_tuyen"/>
      <sheetName val="Bang_chiet_tinh_TBA"/>
      <sheetName val="GIÁ_DỰ_THẦU_30_CĂN"/>
      <sheetName val="HERD_MOVEMENTFARM12"/>
      <sheetName val="HERD_MOVEMENTFARM22"/>
      <sheetName val="CALVES_2-42"/>
      <sheetName val="Cavles_2-42"/>
      <sheetName val="CALVES_4-72"/>
      <sheetName val="HEIFER_7-12m2"/>
      <sheetName val="HEIFER_12+2"/>
      <sheetName val="FRESH_COW_2017-182"/>
      <sheetName val="HP_COW_20182"/>
      <sheetName val="LP_COW_2017-182"/>
      <sheetName val="DRY_COW2"/>
      <sheetName val="FIELD_CROPS2"/>
      <sheetName val="So_sanh"/>
      <sheetName val="EQUIP_LIST"/>
      <sheetName val="DT__NHA_XUONG"/>
      <sheetName val="DG_Chi_tiet"/>
      <sheetName val="_1710_HOINGHINLD"/>
      <sheetName val="99_(2)"/>
      <sheetName val="134_"/>
      <sheetName val="DG_4970"/>
      <sheetName val="Electrical_Works"/>
      <sheetName val="H_T__INCOMING_SYSTEM"/>
      <sheetName val="Bill_No_1_6"/>
      <sheetName val="Bill_No_1_10"/>
      <sheetName val="Bill_No_3_3"/>
      <sheetName val="Bill_No_1_4"/>
      <sheetName val="Bill_No_1_7"/>
      <sheetName val="Summary_Bill_No__3"/>
      <sheetName val="THONG_SO"/>
      <sheetName val="Đơn_giá_chi_tiết_TN_39"/>
      <sheetName val="4_2_1_Đo_bóc_KL_OLK-06"/>
      <sheetName val="4_1_1_CHI_TIET_OLK-06"/>
      <sheetName val="Gia_VT-TB"/>
      <sheetName val="noi_suy_xa"/>
      <sheetName val="noi_suy_xa_thu_hoi"/>
      <sheetName val="BU_LONG"/>
      <sheetName val="Cash_Flow"/>
      <sheetName val="Thuyết_minh"/>
      <sheetName val="Đơn_giá_máy"/>
      <sheetName val="Tính_giá_NC"/>
      <sheetName val="SL_cước"/>
      <sheetName val="¥_"/>
      <sheetName val="CashFlows"/>
      <sheetName val="Tien Luong"/>
      <sheetName val="Bù giá CM"/>
      <sheetName val="dg-VTu"/>
      <sheetName val="DW"/>
      <sheetName val="DWD"/>
      <sheetName val="DW1"/>
      <sheetName val="pctg"/>
      <sheetName val="M-work"/>
      <sheetName val="WORK"/>
      <sheetName val="DWi"/>
      <sheetName val="PC=FLAT"/>
      <sheetName val="Cert1"/>
      <sheetName val="Tiên_lượng"/>
      <sheetName val="Chiet tinh dz35"/>
      <sheetName val="DG3285"/>
      <sheetName val="Breakdown (B)"/>
      <sheetName val="U.P_Breakdown"/>
      <sheetName val="기안"/>
      <sheetName val="CTDZ6kv (gd1) "/>
      <sheetName val="CTDZ 0.4+cto (GD1)"/>
      <sheetName val="CTTBA (gd1)"/>
      <sheetName val="선가03C"/>
      <sheetName val="03 Detailed"/>
      <sheetName val="01 Bid Price summary"/>
      <sheetName val="갑지(추정)"/>
      <sheetName val="Home Office Manhours"/>
      <sheetName val="Field SPV Barchart"/>
      <sheetName val="95D"/>
      <sheetName val="94D"/>
      <sheetName val="Bordereau"/>
      <sheetName val="Solieu"/>
      <sheetName val="基本"/>
      <sheetName val="149-2"/>
      <sheetName val="Unit price(Updateting)"/>
      <sheetName val="Cost List"/>
      <sheetName val="Detail Cost"/>
      <sheetName val="IC Price New"/>
      <sheetName val="QUOTE-IC"/>
      <sheetName val="Summary Table"/>
      <sheetName val="Sales Person"/>
      <sheetName val="Bidding Entity"/>
      <sheetName val="DOA"/>
      <sheetName val="DSKH"/>
      <sheetName val="SucChiuTaiCuaCoc"/>
      <sheetName val="IMF Code"/>
      <sheetName val="Main_Mech"/>
      <sheetName val="Sub_Mech"/>
      <sheetName val="Subsidiary Calculation"/>
      <sheetName val="inputcua"/>
      <sheetName val="Phu Bai Bridge"/>
      <sheetName val="5.2.1 Đo bóc KL OLK-10"/>
      <sheetName val="tifico"/>
      <sheetName val="COAT&amp;WRAP-QIOT-#3"/>
      <sheetName val="BẢNG DIỄN GIẢI KL (7)"/>
      <sheetName val="Dashboard - BQL - VHL"/>
      <sheetName val="ThongtinDN"/>
      <sheetName val="DM DU AN"/>
      <sheetName val="DM TP."/>
      <sheetName val="File Chi tiet"/>
      <sheetName val="Share Price 2002"/>
      <sheetName val="Case"/>
      <sheetName val="SumVal"/>
      <sheetName val="Danh mục khối"/>
      <sheetName val="Danh mục đơn vị -phòng chức năn"/>
      <sheetName val="Abutment"/>
      <sheetName val="Luong BN"/>
      <sheetName val="Luong TB"/>
      <sheetName val="Ca may TB"/>
      <sheetName val="Ca máy BN"/>
      <sheetName val="Vật liệu"/>
      <sheetName val="LX -TT05"/>
      <sheetName val="NC Moi TT05"/>
      <sheetName val="Chu dau tu"/>
      <sheetName val="NTCV1"/>
      <sheetName val="THÔNG TIN"/>
      <sheetName val="beam"/>
      <sheetName val="SGC RATE"/>
      <sheetName val="DSNV"/>
      <sheetName val="Bangia"/>
      <sheetName val="D+W"/>
      <sheetName val="Cau tao gia xay to"/>
      <sheetName val="Tcd"/>
      <sheetName val="chitiet"/>
      <sheetName val="kl3p"/>
      <sheetName val="kl3pct"/>
      <sheetName val="kl3pcto"/>
      <sheetName val="2. BBNT KLHT"/>
      <sheetName val="DG05new"/>
      <sheetName val="CauHinh"/>
      <sheetName val="don gia 1426"/>
      <sheetName val="DLTA"/>
      <sheetName val="CTGS"/>
      <sheetName val="주식"/>
      <sheetName val="Gia-VL"/>
      <sheetName val="chitietCS"/>
      <sheetName val="chitietTD"/>
      <sheetName val="PL02"/>
      <sheetName val="TH khoi luong"/>
      <sheetName val="Chi tiet khoi luong"/>
      <sheetName val="TK thep"/>
      <sheetName val="CT THOÁT WC VP"/>
      <sheetName val="CT CẤP WC VP"/>
      <sheetName val="CT THOÁT MƯA VP TRỤC LỚN"/>
      <sheetName val="CT THOÁT MƯA VP TRỤC NHỎ"/>
      <sheetName val="Bán_đợt_1_trang"/>
      <sheetName val="Tong_DT"/>
      <sheetName val="phan_tich_don_gia"/>
      <sheetName val="Cost_List"/>
      <sheetName val="Detail_Cost"/>
      <sheetName val="IC_Price_New"/>
      <sheetName val="Summary_Table"/>
      <sheetName val="Sales_Person"/>
      <sheetName val="Bidding_Entity"/>
      <sheetName val="DTCT"/>
      <sheetName val="Chênh lệch máy thi công"/>
      <sheetName val="Chênh lệch nhân công"/>
      <sheetName val="Chênh lệch vật liệu"/>
      <sheetName val="Y-WORK"/>
      <sheetName val="Khai toan"/>
      <sheetName val="Phu luc 01.1 EPC P11-14"/>
      <sheetName val="Bìa"/>
      <sheetName val="TM"/>
      <sheetName val="TH"/>
      <sheetName val="TDT P11-P14"/>
      <sheetName val="CPXD"/>
      <sheetName val="Chi phi khac "/>
      <sheetName val="Hang muc Chung"/>
      <sheetName val="ĐGNC"/>
      <sheetName val="DGMTC"/>
      <sheetName val="Bia Phu Luc"/>
      <sheetName val="DATA.1 CHUNG"/>
      <sheetName val="Muc luc"/>
      <sheetName val="Tra cuu 957"/>
      <sheetName val="toyota"/>
      <sheetName val="Breakdown"/>
      <sheetName val="TKXM"/>
      <sheetName val="Bia lot"/>
      <sheetName val="THPDMoi  (2)"/>
      <sheetName val="thao-go"/>
      <sheetName val="t-h HA THE"/>
      <sheetName val="TH XL"/>
      <sheetName val="Tiepdia"/>
      <sheetName val="CHITIET VL-NC"/>
      <sheetName val="ERECIN"/>
      <sheetName val="Tru TT"/>
      <sheetName val="Thg 04"/>
      <sheetName val="Thg 05"/>
      <sheetName val="Thg 06"/>
      <sheetName val="Thg 07"/>
      <sheetName val="Thg 08"/>
      <sheetName val="Thg 09"/>
      <sheetName val="Thg 10"/>
      <sheetName val="Thg 11"/>
      <sheetName val="Thg 12"/>
      <sheetName val="변경내역"/>
      <sheetName val="내역"/>
      <sheetName val="Takeoff"/>
      <sheetName val="BP"/>
      <sheetName val="WEIGHT"/>
      <sheetName val="Aging Sept"/>
      <sheetName val="Invoice"/>
      <sheetName val="Aging_Sept"/>
      <sheetName val="Door_and_window3"/>
      <sheetName val="DT_san_XD-So_lieu_cu"/>
      <sheetName val="Tabela1"/>
      <sheetName val="Chao gia T12_RE"/>
      <sheetName val="Overview"/>
      <sheetName val="調整項目マスタ"/>
      <sheetName val="w't table"/>
      <sheetName val="Probbl - Production"/>
      <sheetName val="KEILA TP 2020-07"/>
      <sheetName val="COST_ACC"/>
      <sheetName val="Backup"/>
      <sheetName val="CHI PHÍ NHÔM"/>
      <sheetName val="BILL 34Āᐁë"/>
      <sheetName val="BILL 34Āᐁë_x0000__x0000__x0001__x0000__x0000__x0000_ HẦM"/>
      <sheetName val="Currency Rate"/>
      <sheetName val="BQ"/>
      <sheetName val="RAB_AR&amp;STR8"/>
      <sheetName val="chi_tiet_TBA8"/>
      <sheetName val="chi_tiet_C8"/>
      <sheetName val="TH_DZ3510"/>
      <sheetName val="Customize_Your_Purchase_Order8"/>
      <sheetName val="CHITIET_VL-NC-TT_-1p8"/>
      <sheetName val="CHITIET_VL-NC-TT-3p7"/>
      <sheetName val="TONG_HOP_VL-NC_TT8"/>
      <sheetName val="KPVC-BD_8"/>
      <sheetName val="Don_gia8"/>
      <sheetName val="DON_GIA_TRAM_(3)8"/>
      <sheetName val="DON_GIA_CAN_THO10"/>
      <sheetName val="HĐ_ngoài7"/>
      <sheetName val="XT_Buoc_37"/>
      <sheetName val="dongia_(2)7"/>
      <sheetName val="Don_gia_chi_tiet8"/>
      <sheetName val="7606_DZ8"/>
      <sheetName val="project_management7"/>
      <sheetName val="Adix_A7"/>
      <sheetName val="S-curve_7"/>
      <sheetName val="REINF_7"/>
      <sheetName val="Rates_20097"/>
      <sheetName val="Commercial_value7"/>
      <sheetName val="So_doi_chieu_LC7"/>
      <sheetName val="MAIN_GATE_HOUSE7"/>
      <sheetName val="Du_toan7"/>
      <sheetName val="Ky_Lam_Bridge7"/>
      <sheetName val="Provisional_Sums_Item7"/>
      <sheetName val="Gas_Pressure_Welding7"/>
      <sheetName val="General_Item&amp;General_Requireme7"/>
      <sheetName val="General_Items7"/>
      <sheetName val="Regenral_Requirements7"/>
      <sheetName val="TONG_HOP_VL-NC7"/>
      <sheetName val="MH_RATE7"/>
      <sheetName val="Ng_hàng_xà+bulong7"/>
      <sheetName val="chiet_tinh7"/>
      <sheetName val="Bang_KL7"/>
      <sheetName val="Lcau_-_Lxuc7"/>
      <sheetName val="Equip_6"/>
      <sheetName val="A1_CN6"/>
      <sheetName val="DG_thep_ma_kem7"/>
      <sheetName val="Đầu_vào6"/>
      <sheetName val="Chi_tiet_XD_TBA6"/>
      <sheetName val="DM_60617"/>
      <sheetName val="CT_vat_lieu7"/>
      <sheetName val="Trạm_biến_áp6"/>
      <sheetName val="Đơn_Giá_6"/>
      <sheetName val="TONG_HOP_T5_19986"/>
      <sheetName val="Chenh_lech_vat_tu6"/>
      <sheetName val="Diện_tích6"/>
      <sheetName val="1_Khái_toán6"/>
      <sheetName val="CT-0_4KV6"/>
      <sheetName val="rate_material6"/>
      <sheetName val="DG_DZ7"/>
      <sheetName val="DG_TBA7"/>
      <sheetName val="KL_Chi_tiết_Xây_tô6"/>
      <sheetName val="Bill_01_-_CTN6"/>
      <sheetName val="Bill_1_Quy_dinh_chung6"/>
      <sheetName val="1_R18_BF6"/>
      <sheetName val="6_External_works-R186"/>
      <sheetName val="Chi_tiet_KL6"/>
      <sheetName val="Tổng_hợp_KL6"/>
      <sheetName val="04_-_XUONG_DET_B6"/>
      <sheetName val="07Base_Cost6"/>
      <sheetName val="_036"/>
      <sheetName val="chieu_day_san6"/>
      <sheetName val="Podium_Concrete_Works6"/>
      <sheetName val="KLCT-_TOWER6"/>
      <sheetName val="KLCT-_PODIUM6"/>
      <sheetName val="Gia_thanh_chuoi_su6"/>
      <sheetName val="Tiep_dia6"/>
      <sheetName val="Don_gia_vung_III-Can_Tho6"/>
      <sheetName val="Bill_2_2_Villa_2_beds6"/>
      <sheetName val="Elect_(3)6"/>
      <sheetName val="plan&amp;section_of_foundation6"/>
      <sheetName val="design_criteria6"/>
      <sheetName val="Bond_수수료_계산_포맷6"/>
      <sheetName val="ITB_COST6"/>
      <sheetName val="PAGE_16"/>
      <sheetName val="Phan_khai_KLuong6"/>
      <sheetName val="Loại_Vật_tư6"/>
      <sheetName val="Area_Cal6"/>
      <sheetName val="gia_cong_tac6"/>
      <sheetName val="EIRR&gt;_26"/>
      <sheetName val="dg_tphcm6"/>
      <sheetName val="Xay_lapduongR36"/>
      <sheetName val="DM_676"/>
      <sheetName val="Đầu_tư6"/>
      <sheetName val="6787CWFASE2CASE2_00_xls6"/>
      <sheetName val="Project_Data6"/>
      <sheetName val="Harga_ME_6"/>
      <sheetName val="Analisa_Gabungan6"/>
      <sheetName val="Data_Input7"/>
      <sheetName val="T_KÊ_K_CẤU6"/>
      <sheetName val="CẤP_THOÁT_NƯỚC6"/>
      <sheetName val="Cước_VC_+_ĐM_CP_Tư_vấn6"/>
      <sheetName val="Hệ_số6"/>
      <sheetName val="Vat_tu_XD6"/>
      <sheetName val="HÐ_ngoài7"/>
      <sheetName val="6PILE__(돌출)6"/>
      <sheetName val="THDT_goi_thau_TB6"/>
      <sheetName val="Tien_do_TV6"/>
      <sheetName val="Bill_02_-_Xay_gach-Pou_6"/>
      <sheetName val="Bill_03-Chống_thấm-Pou6"/>
      <sheetName val="Bill_04-Kim_loại-Pou6"/>
      <sheetName val="Bill_05_-_Hoan_thien-Pou_6"/>
      <sheetName val="Bill_02_-_Xay_gach-Tower6"/>
      <sheetName val="Bill_03-Chống_thấm-Tower6"/>
      <sheetName val="Bill_04-Kim_loại-Tower6"/>
      <sheetName val="Bill_05_-_Hoan_thien-Tower6"/>
      <sheetName val="KL-_KHAC6"/>
      <sheetName val="BILL_3_-_KẾT_CẤU_HẦM6"/>
      <sheetName val="PTĐG_LTBT6"/>
      <sheetName val="CTG-PRECHEx1_46"/>
      <sheetName val="CTG-AB_(2)6"/>
      <sheetName val="CTG-AB_(3)6"/>
      <sheetName val="CTG-PLP-1_086"/>
      <sheetName val="Pre_Đội_nhóm6"/>
      <sheetName val="Tower_-_Concrete_Works6"/>
      <sheetName val="Bill-04_ket_cau_thap-_UNI6"/>
      <sheetName val="TH_Vat_tu6"/>
      <sheetName val="4_PTDG6"/>
      <sheetName val="A1,_May6"/>
      <sheetName val="Vat_lieu6"/>
      <sheetName val="Bang_trong_luong_rieng_thep6"/>
      <sheetName val="Measure_13066"/>
      <sheetName val="Door_and_window4"/>
      <sheetName val="DETAIL_6"/>
      <sheetName val="GV1-D13_(Casement_door)6"/>
      <sheetName val="Gia_vat_tu6"/>
      <sheetName val="TH_MTC6"/>
      <sheetName val="TH_N_Cong6"/>
      <sheetName val="Isolasi_Luar_Dalam6"/>
      <sheetName val="Isolasi_Luar6"/>
      <sheetName val="LV_data6"/>
      <sheetName val="ESTI_6"/>
      <sheetName val="_Bill_5-Earthing_2_-_Add_Works6"/>
      <sheetName val="bridge_#_16"/>
      <sheetName val="Buy_vs__Lease_Car6"/>
      <sheetName val="PRE_(E)6"/>
      <sheetName val="Equipment_list_(PAC)6"/>
      <sheetName val="TINH_KHOI_LUONG6"/>
      <sheetName val="DATA_BASE6"/>
      <sheetName val="KL_san_lap6"/>
      <sheetName val="Chenh_lech_ca_may6"/>
      <sheetName val="TLg_CN&amp;Laixe6"/>
      <sheetName val="TLg_CN&amp;Laixe_(2)6"/>
      <sheetName val="TLg_Laitau6"/>
      <sheetName val="TLg_Laitau_(2)6"/>
      <sheetName val="CTKL_KTX_HT5"/>
      <sheetName val="Chi_tiet6"/>
      <sheetName val="Bang_3_Chi_tiet_phan_Dz6"/>
      <sheetName val="KHOI_LUONG6"/>
      <sheetName val="subcon_sched6"/>
      <sheetName val="NHÀ_NHẬP_LIỆU5"/>
      <sheetName val="MÓNG_SILO5"/>
      <sheetName val="HVAC_BLOCK_B46"/>
      <sheetName val="2_Chiet_tinh5"/>
      <sheetName val="BẢNG_KHỐI_LƯỢNG_TỔNG_HỢP5"/>
      <sheetName val="CP_Khac_cuoc_VC5"/>
      <sheetName val="Budget_Code5"/>
      <sheetName val="Tong_du_toan5"/>
      <sheetName val="Bill_2_-_ketcau5"/>
      <sheetName val="13-Cốt_thép_(10mm&lt;D≤18mm)_FO165"/>
      <sheetName val="du_lieu_du_toan5"/>
      <sheetName val="Chi_tiet_lan_can5"/>
      <sheetName val="D_&amp;_W_sizes5"/>
      <sheetName val="BOQ_THAN5"/>
      <sheetName val="Purchase_Order5"/>
      <sheetName val="Analisa_&amp;_Upah5"/>
      <sheetName val="DL_ĐẦU_VÀO5"/>
      <sheetName val="Du_lieu6"/>
      <sheetName val="cash_budget5"/>
      <sheetName val="1_MONG_1-25"/>
      <sheetName val="Luong_NII5"/>
      <sheetName val="DINH_MUC_THI_NGHIEM5"/>
      <sheetName val="Luong_NI5"/>
      <sheetName val="Phan_tich5"/>
      <sheetName val="CT_Thang_Mo5"/>
      <sheetName val="CT__PL5"/>
      <sheetName val="dongia__2_5"/>
      <sheetName val="Thép_CKN5"/>
      <sheetName val="GOC-KO_IN5"/>
      <sheetName val="MAU_8A5"/>
      <sheetName val="MAU_8B5"/>
      <sheetName val="MAU_95"/>
      <sheetName val="MAU_105"/>
      <sheetName val="sochitiettaikhoan_5"/>
      <sheetName val="Share_price_data5"/>
      <sheetName val="19_35"/>
      <sheetName val="20_35"/>
      <sheetName val="Chieu_4_35"/>
      <sheetName val="Cow_req5"/>
      <sheetName val="TỔNG_HỢP5"/>
      <sheetName val="14-LẦN_3-CHIỀU5"/>
      <sheetName val="14-LẦN_1-SÁNG5"/>
      <sheetName val="14-LẦN_2-TRƯA5"/>
      <sheetName val="1_3+1_4-TOTAL_-_Ko_IN5"/>
      <sheetName val="2_1-LẦN_3-CHIỀU5"/>
      <sheetName val="2_1-LẦN_1-SÁNG5"/>
      <sheetName val="2_1-LẦN_2-TRƯA5"/>
      <sheetName val="2_1-TOTAL-Ko_IN5"/>
      <sheetName val="1_3(TMR_4)5"/>
      <sheetName val="CHO_DE5"/>
      <sheetName val="1_1+1_2+2_2+2_3(TMR_3)5"/>
      <sheetName val="CK1+CK2_(VS_SAN_CHOI_23)5"/>
      <sheetName val="CK1+CK2_(2)5"/>
      <sheetName val="12-16_THÁNG5"/>
      <sheetName val="CAN_SỮA5"/>
      <sheetName val="54+55+56(SAU_CAI_SỮA-6)5"/>
      <sheetName val="BÊ_71-90_NGÀY5"/>
      <sheetName val="BÊ_12-16_tháng5"/>
      <sheetName val="BÊ_6-125"/>
      <sheetName val="BÊ_1-35"/>
      <sheetName val="F01-BC_KHAU_PHAN_SANG_20_35"/>
      <sheetName val="F01-BC_KHAU_PHAN_CHIEU_19_35"/>
      <sheetName val="dinh_mưc_cty5"/>
      <sheetName val="Giá_thành5"/>
      <sheetName val="Thong_ke5"/>
      <sheetName val="Energy_for_milk_prod5"/>
      <sheetName val="DE_NGHI_XUAT_5"/>
      <sheetName val="phieu_xuat_mau5"/>
      <sheetName val="PHIEU_XUAT_CHIEU5"/>
      <sheetName val="11_rai_them_cỏ5"/>
      <sheetName val="PHU_LUC_02-_HDSD_CAC_BIEU_MAU5"/>
      <sheetName val="PhU_LUC_01-_MA_CAC_NHOM_BO5"/>
      <sheetName val="F03-BC_THUC_TRON_SANG_20_35"/>
      <sheetName val="F03-BC_THUC_TRON_CHIEU_19_35"/>
      <sheetName val="F02-BC_THEO_DOI_THUC_AN_DU5"/>
      <sheetName val="Tham_khao-_Bao_cao_xuat_thuc_a5"/>
      <sheetName val="02__PTDG5"/>
      <sheetName val="Bill_2-Road_HR23"/>
      <sheetName val="Bill_3_-_Softscape_HR23"/>
      <sheetName val="Nhap_VT_oto3"/>
      <sheetName val="dm_3663"/>
      <sheetName val="DM_60603"/>
      <sheetName val="Dự_thầu3"/>
      <sheetName val="DK1_Don_gia5"/>
      <sheetName val="Don_gia_(khong_in)5"/>
      <sheetName val="Dlieu_dau_vao5"/>
      <sheetName val="BANCO_(2)5"/>
      <sheetName val="MT_DPin_(2)5"/>
      <sheetName val="Chiết_tính5"/>
      <sheetName val="Du_tru_CP-Bieu_013"/>
      <sheetName val="TB_NẶNG3"/>
      <sheetName val="Bill_No_3_-_Prov__Sum_(Ph2&amp;3)3"/>
      <sheetName val="TH_TN3"/>
      <sheetName val="Income_Statement5"/>
      <sheetName val="Shareholders'_Equity5"/>
      <sheetName val="VC_xd3"/>
      <sheetName val="Gia_VLTB3"/>
      <sheetName val="B_Luong3"/>
      <sheetName val="C_May3"/>
      <sheetName val="AG_Pipe_Qty_Analysis3"/>
      <sheetName val="TK_chi_tiet3"/>
      <sheetName val="wk_prgs3"/>
      <sheetName val="Ma_don_vi3"/>
      <sheetName val="bang_cc3"/>
      <sheetName val="DG_14262"/>
      <sheetName val="Hao_phí3"/>
      <sheetName val="BẢNG_ÁP_GIÁ_(in)2"/>
      <sheetName val="NT_(KL)_IN2"/>
      <sheetName val="DOM_D22"/>
      <sheetName val="nhà_ăn2"/>
      <sheetName val="Công_nhật2"/>
      <sheetName val="btkt_cột2"/>
      <sheetName val="Ｎｏ_133"/>
      <sheetName val="DGchitiet_3"/>
      <sheetName val="CP_HMC3"/>
      <sheetName val="gui_BKCT2"/>
      <sheetName val="đọc_số3"/>
      <sheetName val="TH_các_CC2"/>
      <sheetName val="HỆ_THỐNG_PHÒNG_CHÁY_CHỮA_CHÁY3"/>
      <sheetName val="HỆ_THỐNG_CẤP_THOÁT_NƯỚC3"/>
      <sheetName val="HỆ_THỐNG_ĐHKK3"/>
      <sheetName val="MÁY_PHÁT_ĐIỆN3"/>
      <sheetName val="HỆ_THỐNG_ĐIỆN3"/>
      <sheetName val="Thiết_bị_chính3"/>
      <sheetName val="Structure_data3"/>
      <sheetName val="CP_Du_phong3"/>
      <sheetName val="THCP_Lap_dat3"/>
      <sheetName val="THCP_xay_dung3"/>
      <sheetName val="Tong_hop_kinh_phi3"/>
      <sheetName val="2_1Warehouse_13"/>
      <sheetName val="CHI_PHI3"/>
      <sheetName val="THEP_TAM3"/>
      <sheetName val="THEP_HÌNH3"/>
      <sheetName val="THEP_HINH3"/>
      <sheetName val="XA_GO3"/>
      <sheetName val="BANG_TRA3"/>
      <sheetName val="CĂN_HỘ_T16-17_3"/>
      <sheetName val="TRỤC_ĐỨNG_THOÁT_BẨN_T15-173"/>
      <sheetName val="TRỤC_ĐỨNG_TM_T15-173"/>
      <sheetName val="Móng,_nền_3"/>
      <sheetName val="Main_Bldg-Rev023"/>
      <sheetName val="D&amp;W_def_3"/>
      <sheetName val="Nhan_cong3"/>
      <sheetName val="Thiet_bi3"/>
      <sheetName val="Vat_tu3"/>
      <sheetName val="DM_ChiPhi3"/>
      <sheetName val="May_TC3"/>
      <sheetName val="TH_Kinh_phi3"/>
      <sheetName val="Ptvl_3"/>
      <sheetName val="1_Requisition(E)3"/>
      <sheetName val="TONG_HOP3"/>
      <sheetName val="Tổng_GT3"/>
      <sheetName val="Chi_tiết_KL3"/>
      <sheetName val="ca_máy3"/>
      <sheetName val="khấu_trừ_phạt3"/>
      <sheetName val="GT__KHAU_TRU3"/>
      <sheetName val="HAO_HUT_VAT_TU_(2)3"/>
      <sheetName val="cao_độ3"/>
      <sheetName val="Data_Wall3"/>
      <sheetName val="Dự_toán3"/>
      <sheetName val="Đơn_Giá_TH3"/>
      <sheetName val="Nhân_công3"/>
      <sheetName val="Phân_tích3"/>
      <sheetName val="C_P_Thiết_bị3"/>
      <sheetName val="T_H_Kinh_phí3"/>
      <sheetName val="Vật_tư3"/>
      <sheetName val="Trang_bìa3"/>
      <sheetName val="phan_tic_chi_tiet3"/>
      <sheetName val="Chi_tiet_cong_no3"/>
      <sheetName val="PHÁT_SINH_TẦNG_1_3"/>
      <sheetName val="PHÁT_SINH_TẦNG_23"/>
      <sheetName val="Hầm_chuyển_psinh3"/>
      <sheetName val="Ống_thẳng3"/>
      <sheetName val="Côn_thu3"/>
      <sheetName val="Vuông_tròn3"/>
      <sheetName val="Chân_rẽ3"/>
      <sheetName val="Chạc_ba3"/>
      <sheetName val="Don_gia_chi_tiet_DIEN_22"/>
      <sheetName val="0__Input2"/>
      <sheetName val="3__CNT2"/>
      <sheetName val="unit_price_list(M)2"/>
      <sheetName val="Theo_doi_Doanh_thu_20172"/>
      <sheetName val="Gia_vat_lieu2"/>
      <sheetName val="Chi_tiet_-tong_9_thang2"/>
      <sheetName val="1_2_Staff_Schedule2"/>
      <sheetName val="TH_VL,_NC,_DDHT_Thanhphuoc2"/>
      <sheetName val="1__Office2"/>
      <sheetName val="KL_THEP__GIAM_DO_DUNG_COUPLER2"/>
      <sheetName val="01_KL_THÉP_NHẬP_VỀ2"/>
      <sheetName val="2__NT_VLDV2"/>
      <sheetName val="GHI_CHU2"/>
      <sheetName val="1_BB_LMHT2"/>
      <sheetName val="Bê_tông_bảo_vệ2"/>
      <sheetName val="01__Data2"/>
      <sheetName val="Neo,_nối_cốt_thép_dầm,_cột2"/>
      <sheetName val="Uốn_móc_cốt_thép2"/>
      <sheetName val="Tiêu_chuẩn_cốt_thép2"/>
      <sheetName val="Doi_so2"/>
      <sheetName val="1_Civil_(Org)2"/>
      <sheetName val="Precios_unitarios_AXH2"/>
      <sheetName val="So_lieu_chung2"/>
      <sheetName val="Bill_Prelim-CDT2"/>
      <sheetName val="Bill_BPTC-CDT2"/>
      <sheetName val="Chi_tiết_BPTC2"/>
      <sheetName val="Bill_BPTC-CDT_(PA_MCT_CDT)2"/>
      <sheetName val="Chi_tiết_BPTC_(PA_MCT_CDT)2"/>
      <sheetName val="Thop_Ksat2"/>
      <sheetName val="Thu_hoi_2"/>
      <sheetName val="HM_chung2"/>
      <sheetName val="CP_xd-thiet_bi2"/>
      <sheetName val="TH-TN_LD_TB2"/>
      <sheetName val="CP_xaydung2"/>
      <sheetName val="Thao_ha_phu_kien2"/>
      <sheetName val="VL-NC-MTC_ket_cau2"/>
      <sheetName val="KHOI_LUONG_TONG2"/>
      <sheetName val="TK_22KV2"/>
      <sheetName val="DM_366-17772"/>
      <sheetName val="Thi_nhiem2"/>
      <sheetName val="Gia_goc_VT-TB2"/>
      <sheetName val="Gia_vc_den_chan_CT2"/>
      <sheetName val="culy_222"/>
      <sheetName val="Luong_20502"/>
      <sheetName val="ca_may_QN2"/>
      <sheetName val="TNHC1246_2"/>
      <sheetName val="Ca_may_TT06_20102"/>
      <sheetName val="Don_gia_VLXD_dia_phuong2"/>
      <sheetName val="Bang_luong_SCL2"/>
      <sheetName val="Dinh_muc_TN14262"/>
      <sheetName val="DM_336cai_tao2"/>
      <sheetName val="DANH_MỤC_HỒ_SƠ2"/>
      <sheetName val="GT_PHÁT_SINH_NGOÀI_HĐ2"/>
      <sheetName val="KL_PHÁT_SINH_2"/>
      <sheetName val="PS_NGOÀI_HĐ2"/>
      <sheetName val="GT_PHÁT_SINH_VƯỢT_HĐ2"/>
      <sheetName val="PS_TĂNG_GIẢM_TRONG_HĐ2"/>
      <sheetName val="DGCT_PHÁT_SINH2"/>
      <sheetName val="DGCT_TRẦN_NLV2"/>
      <sheetName val="DGKL_chi_tiết_NLV2"/>
      <sheetName val="DGKL_chi_tiết_NHN,NK2"/>
      <sheetName val="TG_KL2"/>
      <sheetName val="DGCT_SƠN_BẢ_TƯỜNG_NLV2"/>
      <sheetName val="DGKL_TRẦN_NHN2"/>
      <sheetName val="MTO_REV_2(ARMOR)2"/>
      <sheetName val="Cotthep_NPT2"/>
      <sheetName val="vl_nc_mtc2"/>
      <sheetName val="KL_thep_lam_sat2"/>
      <sheetName val="Tien_Thuong2"/>
      <sheetName val="NC_XL_6T_cuoi_01_CTy2"/>
      <sheetName val="Data_-6T_dau2"/>
      <sheetName val="Cong_6T2"/>
      <sheetName val="DM-VNT_ko_sd2"/>
      <sheetName val="Bảng_đo_bóc_KL_OLK-092"/>
      <sheetName val="6_3_CHI_TIET_OLK-092"/>
      <sheetName val="Tong_hop_vat_tu2"/>
      <sheetName val="PV_Graph_Data1"/>
      <sheetName val="Danh_mục1"/>
      <sheetName val="Q_A01_2-Sh2"/>
      <sheetName val="Dutoan_KL1"/>
      <sheetName val="doanh_thu1"/>
      <sheetName val="BTK-Dai_Hoc_Kien_Giang1"/>
      <sheetName val="1_San_2"/>
      <sheetName val="Chi_phi_van_chuyen2"/>
      <sheetName val="TLG_Type2"/>
      <sheetName val="KHOI_LUONG15-42"/>
      <sheetName val="B3A_-_TOWER_A2"/>
      <sheetName val="Annex_B2"/>
      <sheetName val="Dot_42"/>
      <sheetName val="4_CĂN2"/>
      <sheetName val="Dgia_vat_tu2"/>
      <sheetName val="Don_gia_III2"/>
      <sheetName val="D÷_liÖu2"/>
      <sheetName val="GIÁ_DỰ_THẦU_30_CĂN1"/>
      <sheetName val="Div26_-_Elect2"/>
      <sheetName val="2_CDPS2"/>
      <sheetName val="Heso_DZ2"/>
      <sheetName val="HRG_BHN2"/>
      <sheetName val="CĂN_ĐH2"/>
      <sheetName val="Don_gia_NC2"/>
      <sheetName val="DG_BINH_THUAN2"/>
      <sheetName val="7_Khau_tru_2"/>
      <sheetName val="DT_hợp_đồng1"/>
      <sheetName val="Bảng_KL_đợt_11"/>
      <sheetName val="DG_Chi_tiet1"/>
      <sheetName val="Kê_0,41"/>
      <sheetName val="TH_0,41"/>
      <sheetName val="Kê_221"/>
      <sheetName val="TH_221"/>
      <sheetName val="TBA_CAI_TAO1"/>
      <sheetName val="TBA_XDM1"/>
      <sheetName val="TONG_HOP_DU_TOAN1"/>
      <sheetName val="Thop_XAY_DUNG1"/>
      <sheetName val="CP_HANG_MUC_CHUNG1"/>
      <sheetName val="CHI_PHI_XD1"/>
      <sheetName val="CHI_PHI_THI_NGHIEM1"/>
      <sheetName val="VLDIEN_221"/>
      <sheetName val="Dao_dat1"/>
      <sheetName val="TH_Denbu1"/>
      <sheetName val="Do_ve_DC1"/>
      <sheetName val="TH_Bommin1"/>
      <sheetName val="CHI_PHI_THI_NGHIEM-LD_thiet_bi1"/>
      <sheetName val="Luong_TT011"/>
      <sheetName val="Camay_QB1"/>
      <sheetName val="gia_ca_may_BXD1"/>
      <sheetName val="BANG_LUONG_KY_SU1"/>
      <sheetName val="Bang_luong_NHOM_I1"/>
      <sheetName val="Bangluong_NHOM_II_1"/>
      <sheetName val="09-GIA_nhien_lieu-ko_in1"/>
      <sheetName val="Tinh_V_cot_chiem_cho1"/>
      <sheetName val="ĐM_13541"/>
      <sheetName val="KHOAN_MAU1"/>
      <sheetName val="ĐO_ĐỊA_VẬT_LÝ1"/>
      <sheetName val="khoan_tiep_dia1"/>
      <sheetName val="DZ_22KV1"/>
      <sheetName val="_1710_HOINGHINLD1"/>
      <sheetName val="99_(2)1"/>
      <sheetName val="134_1"/>
      <sheetName val="DG_49701"/>
      <sheetName val="Financ__Overview1"/>
      <sheetName val="TINH_GIA_-_SAN_XUAT_Vertico1"/>
      <sheetName val="13_BANG_CT1"/>
      <sheetName val="14_MMUS_GIUA_NHIP1"/>
      <sheetName val="4_HSPBngang1"/>
      <sheetName val="6_Tinh_tai1"/>
      <sheetName val="2_NSl1"/>
      <sheetName val="17_US_CHU_tho_a_b1"/>
      <sheetName val="15_MMUS_GOI1"/>
      <sheetName val="Summary_Sheet1"/>
      <sheetName val="Finishing-Tower_A1"/>
      <sheetName val="Finishing-Tower_B1"/>
      <sheetName val="Finishing-Tower_C1"/>
      <sheetName val="Finishing-Tower_D1"/>
      <sheetName val="MEP-Tower_A1"/>
      <sheetName val="MEP-Tower_B1"/>
      <sheetName val="MEP-Tower_C1"/>
      <sheetName val="MEP-Tower_D1"/>
      <sheetName val="Cost_Report_Sum1"/>
      <sheetName val="Detail_Cost_Sum1"/>
      <sheetName val="RVO-VO_Sum1"/>
      <sheetName val="Potential_VOs_Sum1"/>
      <sheetName val="Cash_Flow_Sum1"/>
      <sheetName val="B-2__(DPP)2"/>
      <sheetName val="CAP_NUOC1"/>
      <sheetName val="cấp_nước_trục_nhà_vs1"/>
      <sheetName val="THOAT_NUOC1"/>
      <sheetName val="THOAT_MUA1"/>
      <sheetName val="Cáp_phòng1"/>
      <sheetName val="TMC_ĐIỆN_Phi1"/>
      <sheetName val="TMC_Tổng1"/>
      <sheetName val="TH_Đèn_Phòng_L11"/>
      <sheetName val="TH_Đèn_Hầm_L11"/>
      <sheetName val="TỦ_MODULE_T11"/>
      <sheetName val="Huong_dan1"/>
      <sheetName val="gia_vt,nc,may1"/>
      <sheetName val="Bieu_gia_HD1"/>
      <sheetName val="Tổng_hợp_KPHM1"/>
      <sheetName val="5_2_1_Đo_bóc_KL_OLK-061"/>
      <sheetName val="Dinh_muc1"/>
      <sheetName val="KS_tuyen1"/>
      <sheetName val="Bang_chiet_tinh_TBA1"/>
      <sheetName val="MB_DT_021"/>
      <sheetName val="So_sanh1"/>
      <sheetName val="EQUIP_LIST1"/>
      <sheetName val="Electrical_Works1"/>
      <sheetName val="H_T__INCOMING_SYSTEM1"/>
      <sheetName val="THONG_SO1"/>
      <sheetName val="Đơn_giá_chi_tiết_TN_391"/>
      <sheetName val="DT__NHA_XUONG1"/>
      <sheetName val="4_2_1_Đo_bóc_KL_OLK-061"/>
      <sheetName val="4_1_1_CHI_TIET_OLK-061"/>
      <sheetName val="BU_LONG1"/>
      <sheetName val="Cash_Flow1"/>
      <sheetName val="Thuyết_minh1"/>
      <sheetName val="Đơn_giá_máy1"/>
      <sheetName val="Tính_giá_NC1"/>
      <sheetName val="SL_cước1"/>
      <sheetName val="TABLE-A"/>
      <sheetName val="Cot"/>
      <sheetName val="CFA (ME)"/>
      <sheetName val="MEP Building"/>
      <sheetName val="QSUM"/>
      <sheetName val="lookups"/>
      <sheetName val="BANGTRA"/>
      <sheetName val="CHITIET VL-NC-TT1p"/>
      <sheetName val="DoanhNghiệp"/>
      <sheetName val="ThôngTin"/>
      <sheetName val="0.Data"/>
      <sheetName val="0.Data_new"/>
      <sheetName val="AASHTO92"/>
      <sheetName val="LUONG SCL"/>
      <sheetName val="재료비단가(VALVE)"/>
      <sheetName val="BOM-13.11-Other(PS1+PS2)"/>
      <sheetName val="Tra_thep"/>
      <sheetName val="PAINT_SPEC"/>
      <sheetName val="SCHEDULE"/>
      <sheetName val="CFA"/>
      <sheetName val="TKLD"/>
      <sheetName val="NHOM KINH"/>
      <sheetName val="CFS3"/>
      <sheetName val="HERD_MOVEMENTFARM13"/>
      <sheetName val="HERD_MOVEMENTFARM23"/>
      <sheetName val="CALVES_2-43"/>
      <sheetName val="Cavles_2-43"/>
      <sheetName val="CALVES_4-73"/>
      <sheetName val="HEIFER_7-12m3"/>
      <sheetName val="HEIFER_12+3"/>
      <sheetName val="FRESH_COW_2017-183"/>
      <sheetName val="HP_COW_20183"/>
      <sheetName val="LP_COW_2017-183"/>
      <sheetName val="DRY_COW3"/>
      <sheetName val="FIELD_CROPS3"/>
      <sheetName val="Gia_VT-TB1"/>
      <sheetName val="noi_suy_xa1"/>
      <sheetName val="noi_suy_xa_thu_hoi1"/>
      <sheetName val="¥_1"/>
      <sheetName val="CHITIET_VL-NCHT1_(2)"/>
      <sheetName val="Unit_price"/>
      <sheetName val="Bill_No_1_61"/>
      <sheetName val="Bill_No_1_101"/>
      <sheetName val="Bill_No_3_31"/>
      <sheetName val="Bill_No_1_41"/>
      <sheetName val="Bill_No_1_71"/>
      <sheetName val="Summary_Bill_No__31"/>
      <sheetName val="3__KC_-_PODIUM"/>
      <sheetName val="Tien_Luong"/>
      <sheetName val="Chiet_tinh_dz35"/>
      <sheetName val="Bù_giá_CM"/>
      <sheetName val="B3A-APARTMENT"/>
      <sheetName val="Tiên_lượng1"/>
      <sheetName val="Breakdown_(B)"/>
      <sheetName val="U_P_Breakdown"/>
      <sheetName val="Unit_price(Updateting)"/>
      <sheetName val="CTDZ6kv_(gd1)_"/>
      <sheetName val="CTDZ_0_4+cto_(GD1)"/>
      <sheetName val="CTTBA_(gd1)"/>
      <sheetName val="03_Detailed"/>
      <sheetName val="01_Bid_Price_summary"/>
      <sheetName val="Home_Office_Manhours"/>
      <sheetName val="Field_SPV_Barchart"/>
      <sheetName val="IMF_Code"/>
      <sheetName val="Subsidiary_Calculation"/>
      <sheetName val="caocot"/>
      <sheetName val="CTtr"/>
      <sheetName val="PU_ITALY_22"/>
      <sheetName val="Tro_giup21"/>
      <sheetName val="final_list_200522"/>
      <sheetName val="FF-2_(1)"/>
      <sheetName val="Labour_Summary13"/>
      <sheetName val="YTD_12'2003"/>
      <sheetName val="YTD_06'2003"/>
      <sheetName val="YTD_03'2003"/>
      <sheetName val="YTD_09'2003"/>
      <sheetName val="deferred_taxes"/>
      <sheetName val="Eqpmnt_Plng"/>
      <sheetName val="TRIAL_BALANCE"/>
      <sheetName val="DPR_31st_march"/>
      <sheetName val="current_month"/>
      <sheetName val="Blng__Vs_Coll_"/>
      <sheetName val="Phu_Bai_Bridge"/>
      <sheetName val="5_2_1_Đo_bóc_KL_OLK-10"/>
      <sheetName val="BẢNG_DIỄN_GIẢI_KL_(7)"/>
      <sheetName val="don_gia_1426"/>
      <sheetName val="Luong_BN"/>
      <sheetName val="Luong_TB"/>
      <sheetName val="Ca_may_TB"/>
      <sheetName val="Ca_máy_BN"/>
      <sheetName val="Vật_liệu"/>
      <sheetName val="LX_-TT05"/>
      <sheetName val="NC_Moi_TT05"/>
      <sheetName val="Bia_lot"/>
      <sheetName val="PU_ITALY_23"/>
      <sheetName val="TH_DZ3511"/>
      <sheetName val="Tro_giup22"/>
      <sheetName val="RAB_AR&amp;STR9"/>
      <sheetName val="chi_tiet_TBA9"/>
      <sheetName val="chi_tiet_C9"/>
      <sheetName val="Don_gia9"/>
      <sheetName val="DON_GIA_TRAM_(3)9"/>
      <sheetName val="XT_Buoc_38"/>
      <sheetName val="DON_GIA_CAN_THO11"/>
      <sheetName val="7606_DZ9"/>
      <sheetName val="Don_gia_chi_tiet9"/>
      <sheetName val="Customize_Your_Purchase_Order9"/>
      <sheetName val="CHITIET_VL-NC-TT_-1p9"/>
      <sheetName val="CHITIET_VL-NC-TT-3p8"/>
      <sheetName val="TONG_HOP_VL-NC_TT9"/>
      <sheetName val="KPVC-BD_9"/>
      <sheetName val="dongia_(2)8"/>
      <sheetName val="Adix_A8"/>
      <sheetName val="Ky_Lam_Bridge8"/>
      <sheetName val="Provisional_Sums_Item8"/>
      <sheetName val="Gas_Pressure_Welding8"/>
      <sheetName val="General_Item&amp;General_Requireme8"/>
      <sheetName val="General_Items8"/>
      <sheetName val="Regenral_Requirements8"/>
      <sheetName val="HĐ_ngoài8"/>
      <sheetName val="Ng_hàng_xà+bulong8"/>
      <sheetName val="chiet_tinh8"/>
      <sheetName val="S-curve_8"/>
      <sheetName val="DM_60618"/>
      <sheetName val="CT_vat_lieu8"/>
      <sheetName val="So_doi_chieu_LC8"/>
      <sheetName val="Bang_3_Chi_tiet_phan_Dz7"/>
      <sheetName val="Commercial_value8"/>
      <sheetName val="project_management8"/>
      <sheetName val="REINF_8"/>
      <sheetName val="Rates_20098"/>
      <sheetName val="Du_toan8"/>
      <sheetName val="MAIN_GATE_HOUSE8"/>
      <sheetName val="TONG_HOP_VL-NC8"/>
      <sheetName val="Bang_KL8"/>
      <sheetName val="MH_RATE8"/>
      <sheetName val="07Base_Cost7"/>
      <sheetName val="rate_material7"/>
      <sheetName val="DG_thep_ma_kem8"/>
      <sheetName val="Lcau_-_Lxuc8"/>
      <sheetName val="Equip_7"/>
      <sheetName val="A1_CN7"/>
      <sheetName val="Đầu_vào7"/>
      <sheetName val="Chi_tiet_XD_TBA7"/>
      <sheetName val="Trạm_biến_áp7"/>
      <sheetName val="Đơn_Giá_7"/>
      <sheetName val="CT-0_4KV7"/>
      <sheetName val="Chenh_lech_vat_tu7"/>
      <sheetName val="Diện_tích7"/>
      <sheetName val="1_Khái_toán7"/>
      <sheetName val="TONG_HOP_T5_19987"/>
      <sheetName val="KL_Chi_tiết_Xây_tô7"/>
      <sheetName val="DG_DZ8"/>
      <sheetName val="DG_TBA8"/>
      <sheetName val="Xay_lapduongR37"/>
      <sheetName val="HÐ_ngoài8"/>
      <sheetName val="DM_677"/>
      <sheetName val="Data_Input8"/>
      <sheetName val="Bill_1_Quy_dinh_chung7"/>
      <sheetName val="1_R18_BF7"/>
      <sheetName val="6_External_works-R187"/>
      <sheetName val="Gia_vat_tu7"/>
      <sheetName val="Elect_(3)7"/>
      <sheetName val="plan&amp;section_of_foundation7"/>
      <sheetName val="design_criteria7"/>
      <sheetName val="Bond_수수료_계산_포맷7"/>
      <sheetName val="ITB_COST7"/>
      <sheetName val="4_PTDG7"/>
      <sheetName val="final_list_200523"/>
      <sheetName val="LV_data7"/>
      <sheetName val="Chi_tiet_KL7"/>
      <sheetName val="Tổng_hợp_KL7"/>
      <sheetName val="04_-_XUONG_DET_B7"/>
      <sheetName val="Phan_khai_KLuong7"/>
      <sheetName val="_037"/>
      <sheetName val="chieu_day_san7"/>
      <sheetName val="Podium_Concrete_Works7"/>
      <sheetName val="KLCT-_TOWER7"/>
      <sheetName val="KLCT-_PODIUM7"/>
      <sheetName val="Gia_thanh_chuoi_su7"/>
      <sheetName val="Tiep_dia7"/>
      <sheetName val="Don_gia_vung_III-Can_Tho7"/>
      <sheetName val="Area_Cal7"/>
      <sheetName val="PAGE_17"/>
      <sheetName val="EIRR&gt;_27"/>
      <sheetName val="Đầu_tư7"/>
      <sheetName val="Project_Data7"/>
      <sheetName val="6787CWFASE2CASE2_00_xls7"/>
      <sheetName val="Bill_02_-_Xay_gach-Pou_7"/>
      <sheetName val="Bill_03-Chống_thấm-Pou7"/>
      <sheetName val="Bill_04-Kim_loại-Pou7"/>
      <sheetName val="Bill_05_-_Hoan_thien-Pou_7"/>
      <sheetName val="Bill_02_-_Xay_gach-Tower7"/>
      <sheetName val="Bill_03-Chống_thấm-Tower7"/>
      <sheetName val="Bill_04-Kim_loại-Tower7"/>
      <sheetName val="Bill_05_-_Hoan_thien-Tower7"/>
      <sheetName val="KL-_KHAC7"/>
      <sheetName val="BILL_3_-_KẾT_CẤU_HẦM7"/>
      <sheetName val="PTĐG_LTBT7"/>
      <sheetName val="CTG-PRECHEx1_47"/>
      <sheetName val="CTG-AB_(2)7"/>
      <sheetName val="CTG-AB_(3)7"/>
      <sheetName val="CTG-PLP-1_087"/>
      <sheetName val="Pre_Đội_nhóm7"/>
      <sheetName val="Vat_tu_XD7"/>
      <sheetName val="Tower_-_Concrete_Works7"/>
      <sheetName val="Bill-04_ket_cau_thap-_UNI7"/>
      <sheetName val="Loại_Vật_tư7"/>
      <sheetName val="TH_Vat_tu7"/>
      <sheetName val="dg_tphcm7"/>
      <sheetName val="T_KÊ_K_CẤU7"/>
      <sheetName val="Bill_01_-_CTN7"/>
      <sheetName val="Bill_2_2_Villa_2_beds7"/>
      <sheetName val="A1,_May7"/>
      <sheetName val="Vat_lieu7"/>
      <sheetName val="Bang_trong_luong_rieng_thep7"/>
      <sheetName val="6PILE__(돌출)7"/>
      <sheetName val="gia_cong_tac7"/>
      <sheetName val="Measure_13067"/>
      <sheetName val="_Bill_5-Earthing_2_-_Add_Works7"/>
      <sheetName val="Cước_VC_+_ĐM_CP_Tư_vấn7"/>
      <sheetName val="Hệ_số7"/>
      <sheetName val="DETAIL_7"/>
      <sheetName val="GV1-D13_(Casement_door)7"/>
      <sheetName val="ESTI_7"/>
      <sheetName val="CẤP_THOÁT_NƯỚC7"/>
      <sheetName val="TH_MTC7"/>
      <sheetName val="TH_N_Cong7"/>
      <sheetName val="THDT_goi_thau_TB7"/>
      <sheetName val="Tien_do_TV7"/>
      <sheetName val="Harga_ME_7"/>
      <sheetName val="Analisa_Gabungan7"/>
      <sheetName val="bridge_#_17"/>
      <sheetName val="Isolasi_Luar_Dalam7"/>
      <sheetName val="Isolasi_Luar7"/>
      <sheetName val="KL_san_lap7"/>
      <sheetName val="Chi_tiet7"/>
      <sheetName val="sochitiettaikhoan_6"/>
      <sheetName val="Share_price_data6"/>
      <sheetName val="19_36"/>
      <sheetName val="20_36"/>
      <sheetName val="Chieu_4_36"/>
      <sheetName val="Cow_req6"/>
      <sheetName val="TỔNG_HỢP6"/>
      <sheetName val="14-LẦN_3-CHIỀU6"/>
      <sheetName val="14-LẦN_1-SÁNG6"/>
      <sheetName val="14-LẦN_2-TRƯA6"/>
      <sheetName val="1_3+1_4-TOTAL_-_Ko_IN6"/>
      <sheetName val="2_1-LẦN_3-CHIỀU6"/>
      <sheetName val="2_1-LẦN_1-SÁNG6"/>
      <sheetName val="2_1-LẦN_2-TRƯA6"/>
      <sheetName val="2_1-TOTAL-Ko_IN6"/>
      <sheetName val="1_3(TMR_4)6"/>
      <sheetName val="CHO_DE6"/>
      <sheetName val="1_1+1_2+2_2+2_3(TMR_3)6"/>
      <sheetName val="CK1+CK2_(VS_SAN_CHOI_23)6"/>
      <sheetName val="CK1+CK2_(2)6"/>
      <sheetName val="12-16_THÁNG6"/>
      <sheetName val="CAN_SỮA6"/>
      <sheetName val="54+55+56(SAU_CAI_SỮA-6)6"/>
      <sheetName val="BÊ_71-90_NGÀY6"/>
      <sheetName val="BÊ_12-16_tháng6"/>
      <sheetName val="BÊ_6-126"/>
      <sheetName val="BÊ_1-36"/>
      <sheetName val="F01-BC_KHAU_PHAN_SANG_20_36"/>
      <sheetName val="F01-BC_KHAU_PHAN_CHIEU_19_36"/>
      <sheetName val="dinh_mưc_cty6"/>
      <sheetName val="Giá_thành6"/>
      <sheetName val="Thong_ke6"/>
      <sheetName val="Energy_for_milk_prod6"/>
      <sheetName val="DE_NGHI_XUAT_6"/>
      <sheetName val="phieu_xuat_mau6"/>
      <sheetName val="PHIEU_XUAT_CHIEU6"/>
      <sheetName val="11_rai_them_cỏ6"/>
      <sheetName val="PHU_LUC_02-_HDSD_CAC_BIEU_MAU6"/>
      <sheetName val="PhU_LUC_01-_MA_CAC_NHOM_BO6"/>
      <sheetName val="F03-BC_THUC_TRON_SANG_20_36"/>
      <sheetName val="F03-BC_THUC_TRON_CHIEU_19_36"/>
      <sheetName val="F02-BC_THEO_DOI_THUC_AN_DU6"/>
      <sheetName val="Tham_khao-_Bao_cao_xuat_thuc_a6"/>
      <sheetName val="Chenh_lech_ca_may7"/>
      <sheetName val="TLg_CN&amp;Laixe7"/>
      <sheetName val="TLg_CN&amp;Laixe_(2)7"/>
      <sheetName val="TLg_Laitau7"/>
      <sheetName val="TLg_Laitau_(2)7"/>
      <sheetName val="KHOI_LUONG7"/>
      <sheetName val="Equipment_list_(PAC)7"/>
      <sheetName val="TINH_KHOI_LUONG7"/>
      <sheetName val="DATA_BASE7"/>
      <sheetName val="BẢNG_KHỐI_LƯỢNG_TỔNG_HỢP6"/>
      <sheetName val="Buy_vs__Lease_Car7"/>
      <sheetName val="CP_Khac_cuoc_VC6"/>
      <sheetName val="Budget_Code6"/>
      <sheetName val="CTKL_KTX_HT6"/>
      <sheetName val="2_Chiet_tinh6"/>
      <sheetName val="subcon_sched7"/>
      <sheetName val="NHÀ_NHẬP_LIỆU6"/>
      <sheetName val="MÓNG_SILO6"/>
      <sheetName val="PRE_(E)7"/>
      <sheetName val="HVAC_BLOCK_B47"/>
      <sheetName val="Tong_du_toan6"/>
      <sheetName val="Bill_2_-_ketcau6"/>
      <sheetName val="13-Cốt_thép_(10mm&lt;D≤18mm)_FO166"/>
      <sheetName val="du_lieu_du_toan6"/>
      <sheetName val="BANCO_(2)6"/>
      <sheetName val="MT_DPin_(2)6"/>
      <sheetName val="Chi_tiet_lan_can6"/>
      <sheetName val="BOQ_THAN6"/>
      <sheetName val="DL_ĐẦU_VÀO6"/>
      <sheetName val="D_&amp;_W_sizes6"/>
      <sheetName val="Analisa_&amp;_Upah6"/>
      <sheetName val="Purchase_Order6"/>
      <sheetName val="Du_lieu7"/>
      <sheetName val="Phan_tich6"/>
      <sheetName val="Luong_NII6"/>
      <sheetName val="DINH_MUC_THI_NGHIEM6"/>
      <sheetName val="Luong_NI6"/>
      <sheetName val="CT_Thang_Mo6"/>
      <sheetName val="CT__PL6"/>
      <sheetName val="dongia__2_6"/>
      <sheetName val="Thép_CKN6"/>
      <sheetName val="GOC-KO_IN6"/>
      <sheetName val="MAU_8A6"/>
      <sheetName val="MAU_8B6"/>
      <sheetName val="MAU_96"/>
      <sheetName val="MAU_106"/>
      <sheetName val="cash_budget6"/>
      <sheetName val="Dlieu_dau_vao6"/>
      <sheetName val="CHI_PHI4"/>
      <sheetName val="02__PTDG6"/>
      <sheetName val="Chiết_tính6"/>
      <sheetName val="DK1_Don_gia6"/>
      <sheetName val="Income_Statement6"/>
      <sheetName val="Shareholders'_Equity6"/>
      <sheetName val="VC_xd4"/>
      <sheetName val="Gia_VLTB4"/>
      <sheetName val="B_Luong4"/>
      <sheetName val="C_May4"/>
      <sheetName val="Don_gia_(khong_in)6"/>
      <sheetName val="1_MONG_1-26"/>
      <sheetName val="TB_NẶNG4"/>
      <sheetName val="Du_tru_CP-Bieu_014"/>
      <sheetName val="dm_3664"/>
      <sheetName val="DM_60604"/>
      <sheetName val="Dự_thầu4"/>
      <sheetName val="Nhap_VT_oto4"/>
      <sheetName val="Hao_phí4"/>
      <sheetName val="Ma_don_vi4"/>
      <sheetName val="bang_cc4"/>
      <sheetName val="Structure_data4"/>
      <sheetName val="TH_TN4"/>
      <sheetName val="Bill_No_3_-_Prov__Sum_(Ph2&amp;3)4"/>
      <sheetName val="đọc_số4"/>
      <sheetName val="CP_Du_phong4"/>
      <sheetName val="THCP_Lap_dat4"/>
      <sheetName val="THCP_xay_dung4"/>
      <sheetName val="Tong_hop_kinh_phi4"/>
      <sheetName val="CP_HMC4"/>
      <sheetName val="HỆ_THỐNG_PHÒNG_CHÁY_CHỮA_CHÁY4"/>
      <sheetName val="HỆ_THỐNG_CẤP_THOÁT_NƯỚC4"/>
      <sheetName val="HỆ_THỐNG_ĐHKK4"/>
      <sheetName val="MÁY_PHÁT_ĐIỆN4"/>
      <sheetName val="HỆ_THỐNG_ĐIỆN4"/>
      <sheetName val="Thiết_bị_chính4"/>
      <sheetName val="Ｎｏ_134"/>
      <sheetName val="DGchitiet_4"/>
      <sheetName val="wk_prgs4"/>
      <sheetName val="AG_Pipe_Qty_Analysis4"/>
      <sheetName val="2_1Warehouse_14"/>
      <sheetName val="CĂN_HỘ_T16-17_4"/>
      <sheetName val="TRỤC_ĐỨNG_THOÁT_BẨN_T15-174"/>
      <sheetName val="TRỤC_ĐỨNG_TM_T15-174"/>
      <sheetName val="TK_chi_tiet4"/>
      <sheetName val="Bill_2-Road_HR24"/>
      <sheetName val="Bill_3_-_Softscape_HR24"/>
      <sheetName val="THEP_TAM4"/>
      <sheetName val="THEP_HÌNH4"/>
      <sheetName val="THEP_HINH4"/>
      <sheetName val="XA_GO4"/>
      <sheetName val="BANG_TRA4"/>
      <sheetName val="Main_Bldg-Rev024"/>
      <sheetName val="D&amp;W_def_4"/>
      <sheetName val="Nhan_cong4"/>
      <sheetName val="Thiet_bi4"/>
      <sheetName val="Vat_tu4"/>
      <sheetName val="DM_ChiPhi4"/>
      <sheetName val="May_TC4"/>
      <sheetName val="TH_Kinh_phi4"/>
      <sheetName val="Ptvl_4"/>
      <sheetName val="Móng,_nền_4"/>
      <sheetName val="1_Requisition(E)4"/>
      <sheetName val="So_lieu_chung3"/>
      <sheetName val="Q_A01_2-Sh3"/>
      <sheetName val="DG_14263"/>
      <sheetName val="Dự_toán4"/>
      <sheetName val="Đơn_Giá_TH4"/>
      <sheetName val="Nhân_công4"/>
      <sheetName val="Phân_tích4"/>
      <sheetName val="C_P_Thiết_bị4"/>
      <sheetName val="T_H_Kinh_phí4"/>
      <sheetName val="Vật_tư4"/>
      <sheetName val="Trang_bìa4"/>
      <sheetName val="phan_tic_chi_tiet4"/>
      <sheetName val="TONG_HOP4"/>
      <sheetName val="Tổng_GT4"/>
      <sheetName val="Chi_tiết_KL4"/>
      <sheetName val="khấu_trừ_phạt4"/>
      <sheetName val="GT__KHAU_TRU4"/>
      <sheetName val="HAO_HUT_VAT_TU_(2)4"/>
      <sheetName val="cao_độ4"/>
      <sheetName val="Data_Wall4"/>
      <sheetName val="3__CNT3"/>
      <sheetName val="unit_price_list(M)3"/>
      <sheetName val="Theo_doi_Doanh_thu_20173"/>
      <sheetName val="Gia_vat_lieu3"/>
      <sheetName val="gui_BKCT3"/>
      <sheetName val="Precios_unitarios_AXH3"/>
      <sheetName val="Chi_tiet_cong_no4"/>
      <sheetName val="PHÁT_SINH_TẦNG_1_4"/>
      <sheetName val="PHÁT_SINH_TẦNG_24"/>
      <sheetName val="Hầm_chuyển_psinh4"/>
      <sheetName val="Ống_thẳng4"/>
      <sheetName val="Côn_thu4"/>
      <sheetName val="Vuông_tròn4"/>
      <sheetName val="Chân_rẽ4"/>
      <sheetName val="Chạc_ba4"/>
      <sheetName val="Danh_mục2"/>
      <sheetName val="PV_Graph_Data2"/>
      <sheetName val="1_2_Staff_Schedule3"/>
      <sheetName val="BẢNG_ÁP_GIÁ_(in)3"/>
      <sheetName val="NT_(KL)_IN3"/>
      <sheetName val="DOM_D23"/>
      <sheetName val="nhà_ăn3"/>
      <sheetName val="Công_nhật3"/>
      <sheetName val="btkt_cột3"/>
      <sheetName val="Bảng_đo_bóc_KL_OLK-093"/>
      <sheetName val="6_3_CHI_TIET_OLK-093"/>
      <sheetName val="BTK-Dai_Hoc_Kien_Giang2"/>
      <sheetName val="0__Input3"/>
      <sheetName val="TH_các_CC3"/>
      <sheetName val="Don_gia_chi_tiet_DIEN_23"/>
      <sheetName val="Chi_tiet_-tong_9_thang3"/>
      <sheetName val="TH_VL,_NC,_DDHT_Thanhphuoc3"/>
      <sheetName val="1__Office3"/>
      <sheetName val="KL_THEP__GIAM_DO_DUNG_COUPLER3"/>
      <sheetName val="01_KL_THÉP_NHẬP_VỀ3"/>
      <sheetName val="2__NT_VLDV3"/>
      <sheetName val="GHI_CHU3"/>
      <sheetName val="1_BB_LMHT3"/>
      <sheetName val="Bê_tông_bảo_vệ3"/>
      <sheetName val="01__Data3"/>
      <sheetName val="Neo,_nối_cốt_thép_dầm,_cột3"/>
      <sheetName val="Uốn_móc_cốt_thép3"/>
      <sheetName val="Tiêu_chuẩn_cốt_thép3"/>
      <sheetName val="Doi_so3"/>
      <sheetName val="1_Civil_(Org)3"/>
      <sheetName val="Bill_Prelim-CDT3"/>
      <sheetName val="Bill_BPTC-CDT3"/>
      <sheetName val="Chi_tiết_BPTC3"/>
      <sheetName val="Bill_BPTC-CDT_(PA_MCT_CDT)3"/>
      <sheetName val="Chi_tiết_BPTC_(PA_MCT_CDT)3"/>
      <sheetName val="Thop_Ksat3"/>
      <sheetName val="Thu_hoi_3"/>
      <sheetName val="HM_chung3"/>
      <sheetName val="CP_xd-thiet_bi3"/>
      <sheetName val="TH-TN_LD_TB3"/>
      <sheetName val="CP_xaydung3"/>
      <sheetName val="Thao_ha_phu_kien3"/>
      <sheetName val="VL-NC-MTC_ket_cau3"/>
      <sheetName val="KHOI_LUONG_TONG3"/>
      <sheetName val="TK_22KV3"/>
      <sheetName val="DM_366-17773"/>
      <sheetName val="Thi_nhiem3"/>
      <sheetName val="Gia_goc_VT-TB3"/>
      <sheetName val="Gia_vc_den_chan_CT3"/>
      <sheetName val="culy_223"/>
      <sheetName val="Luong_20503"/>
      <sheetName val="ca_may_QN3"/>
      <sheetName val="TNHC1246_3"/>
      <sheetName val="Ca_may_TT06_20103"/>
      <sheetName val="Don_gia_VLXD_dia_phuong3"/>
      <sheetName val="Bang_luong_SCL3"/>
      <sheetName val="Dinh_muc_TN14263"/>
      <sheetName val="DM_336cai_tao3"/>
      <sheetName val="MTO_REV_2(ARMOR)3"/>
      <sheetName val="Dutoan_KL2"/>
      <sheetName val="doanh_thu2"/>
      <sheetName val="KHOI_LUONG15-43"/>
      <sheetName val="DANH_MỤC_HỒ_SƠ3"/>
      <sheetName val="GT_PHÁT_SINH_NGOÀI_HĐ3"/>
      <sheetName val="KL_PHÁT_SINH_3"/>
      <sheetName val="PS_NGOÀI_HĐ3"/>
      <sheetName val="GT_PHÁT_SINH_VƯỢT_HĐ3"/>
      <sheetName val="PS_TĂNG_GIẢM_TRONG_HĐ3"/>
      <sheetName val="DGCT_PHÁT_SINH3"/>
      <sheetName val="DGCT_TRẦN_NLV3"/>
      <sheetName val="DGKL_chi_tiết_NLV3"/>
      <sheetName val="DGKL_chi_tiết_NHN,NK3"/>
      <sheetName val="TG_KL3"/>
      <sheetName val="DGCT_SƠN_BẢ_TƯỜNG_NLV3"/>
      <sheetName val="DGKL_TRẦN_NHN3"/>
      <sheetName val="KL_thep_lam_sat3"/>
      <sheetName val="DM-VNT_ko_sd3"/>
      <sheetName val="B3A_-_TOWER_A3"/>
      <sheetName val="Annex_B3"/>
      <sheetName val="Cotthep_NPT3"/>
      <sheetName val="vl_nc_mtc3"/>
      <sheetName val="Tien_Thuong3"/>
      <sheetName val="NC_XL_6T_cuoi_01_CTy3"/>
      <sheetName val="Data_-6T_dau3"/>
      <sheetName val="Cong_6T3"/>
      <sheetName val="TLG_Type3"/>
      <sheetName val="Tong_hop_vat_tu3"/>
      <sheetName val="1_San_3"/>
      <sheetName val="Dot_43"/>
      <sheetName val="HRG_BHN3"/>
      <sheetName val="CĂN_ĐH3"/>
      <sheetName val="Chi_phi_van_chuyen3"/>
      <sheetName val="Dgia_vat_tu3"/>
      <sheetName val="Don_gia_III3"/>
      <sheetName val="D÷_liÖu3"/>
      <sheetName val="DT_hợp_đồng2"/>
      <sheetName val="Bảng_KL_đợt_12"/>
      <sheetName val="2_CDPS3"/>
      <sheetName val="Summary_Sheet2"/>
      <sheetName val="Finishing-Tower_A2"/>
      <sheetName val="Finishing-Tower_B2"/>
      <sheetName val="Finishing-Tower_C2"/>
      <sheetName val="Finishing-Tower_D2"/>
      <sheetName val="MEP-Tower_A2"/>
      <sheetName val="MEP-Tower_B2"/>
      <sheetName val="MEP-Tower_C2"/>
      <sheetName val="MEP-Tower_D2"/>
      <sheetName val="Cost_Report_Sum2"/>
      <sheetName val="Detail_Cost_Sum2"/>
      <sheetName val="RVO-VO_Sum2"/>
      <sheetName val="Potential_VOs_Sum2"/>
      <sheetName val="Cash_Flow_Sum2"/>
      <sheetName val="Heso_DZ3"/>
      <sheetName val="Bieu_gia_HD2"/>
      <sheetName val="Div26_-_Elect3"/>
      <sheetName val="7_Khau_tru_3"/>
      <sheetName val="4_CĂN3"/>
      <sheetName val="DG_BINH_THUAN3"/>
      <sheetName val="GIÁ_DỰ_THẦU_30_CĂN2"/>
      <sheetName val="DG_Chi_tiet2"/>
      <sheetName val="Kê_0,42"/>
      <sheetName val="TH_0,42"/>
      <sheetName val="Kê_222"/>
      <sheetName val="TH_222"/>
      <sheetName val="TBA_CAI_TAO2"/>
      <sheetName val="TBA_XDM2"/>
      <sheetName val="TONG_HOP_DU_TOAN2"/>
      <sheetName val="Thop_XAY_DUNG2"/>
      <sheetName val="CP_HANG_MUC_CHUNG2"/>
      <sheetName val="CHI_PHI_XD2"/>
      <sheetName val="CHI_PHI_THI_NGHIEM2"/>
      <sheetName val="VLDIEN_222"/>
      <sheetName val="Dao_dat2"/>
      <sheetName val="TH_Denbu2"/>
      <sheetName val="Do_ve_DC2"/>
      <sheetName val="TH_Bommin2"/>
      <sheetName val="CHI_PHI_THI_NGHIEM-LD_thiet_bi2"/>
      <sheetName val="Luong_TT012"/>
      <sheetName val="Camay_QB2"/>
      <sheetName val="gia_ca_may_BXD2"/>
      <sheetName val="BANG_LUONG_KY_SU2"/>
      <sheetName val="Bang_luong_NHOM_I2"/>
      <sheetName val="Bangluong_NHOM_II_2"/>
      <sheetName val="09-GIA_nhien_lieu-ko_in2"/>
      <sheetName val="Tinh_V_cot_chiem_cho2"/>
      <sheetName val="ĐM_13542"/>
      <sheetName val="KHOAN_MAU2"/>
      <sheetName val="ĐO_ĐỊA_VẬT_LÝ2"/>
      <sheetName val="khoan_tiep_dia2"/>
      <sheetName val="DZ_22KV2"/>
      <sheetName val="_1710_HOINGHINLD2"/>
      <sheetName val="99_(2)2"/>
      <sheetName val="134_2"/>
      <sheetName val="DG_49702"/>
      <sheetName val="Don_gia_NC3"/>
      <sheetName val="B-2__(DPP)3"/>
      <sheetName val="CAP_NUOC2"/>
      <sheetName val="cấp_nước_trục_nhà_vs2"/>
      <sheetName val="THOAT_NUOC2"/>
      <sheetName val="THOAT_MUA2"/>
      <sheetName val="Cáp_phòng2"/>
      <sheetName val="TMC_ĐIỆN_Phi2"/>
      <sheetName val="TMC_Tổng2"/>
      <sheetName val="TH_Đèn_Phòng_L12"/>
      <sheetName val="TH_Đèn_Hầm_L12"/>
      <sheetName val="TỦ_MODULE_T12"/>
      <sheetName val="Financ__Overview2"/>
      <sheetName val="13_BANG_CT2"/>
      <sheetName val="14_MMUS_GIUA_NHIP2"/>
      <sheetName val="4_HSPBngang2"/>
      <sheetName val="6_Tinh_tai2"/>
      <sheetName val="2_NSl2"/>
      <sheetName val="17_US_CHU_tho_a_b2"/>
      <sheetName val="15_MMUS_GOI2"/>
      <sheetName val="TINH_GIA_-_SAN_XUAT_Vertico2"/>
      <sheetName val="gia_vt,nc,may2"/>
      <sheetName val="Huong_dan2"/>
      <sheetName val="Tổng_hợp_KPHM2"/>
      <sheetName val="5_2_1_Đo_bóc_KL_OLK-062"/>
      <sheetName val="MB_DT_022"/>
      <sheetName val="Dinh_muc2"/>
      <sheetName val="KS_tuyen2"/>
      <sheetName val="Bang_chiet_tinh_TBA2"/>
      <sheetName val="4_2_1_Đo_bóc_KL_OLK-062"/>
      <sheetName val="4_1_1_CHI_TIET_OLK-062"/>
      <sheetName val="Cash_Flow2"/>
      <sheetName val="So_sanh2"/>
      <sheetName val="HERD_MOVEMENTFARM14"/>
      <sheetName val="HERD_MOVEMENTFARM24"/>
      <sheetName val="CALVES_2-44"/>
      <sheetName val="Cavles_2-44"/>
      <sheetName val="CALVES_4-74"/>
      <sheetName val="HEIFER_7-12m4"/>
      <sheetName val="HEIFER_12+4"/>
      <sheetName val="FRESH_COW_2017-184"/>
      <sheetName val="HP_COW_20184"/>
      <sheetName val="LP_COW_2017-184"/>
      <sheetName val="DRY_COW4"/>
      <sheetName val="FIELD_CROPS4"/>
      <sheetName val="Tong_DT1"/>
      <sheetName val="phan_tich_don_gia1"/>
      <sheetName val="DT_san_XD-So_lieu_cu1"/>
      <sheetName val="EQUIP_LIST2"/>
      <sheetName val="Electrical_Works2"/>
      <sheetName val="H_T__INCOMING_SYSTEM2"/>
      <sheetName val="BU_LONG2"/>
      <sheetName val="THONG_SO2"/>
      <sheetName val="Đơn_giá_chi_tiết_TN_392"/>
      <sheetName val="DT__NHA_XUONG2"/>
      <sheetName val="Gia_VT-TB2"/>
      <sheetName val="noi_suy_xa2"/>
      <sheetName val="noi_suy_xa_thu_hoi2"/>
      <sheetName val="Tính_giá_NC2"/>
      <sheetName val="Tiên_lượng2"/>
      <sheetName val="SL_cước2"/>
      <sheetName val="Thuyết_minh2"/>
      <sheetName val="Đơn_giá_máy2"/>
      <sheetName val="¥_2"/>
      <sheetName val="FF-2_(1)1"/>
      <sheetName val="Labour_Summary14"/>
      <sheetName val="YTD_12'20031"/>
      <sheetName val="YTD_06'20031"/>
      <sheetName val="YTD_03'20031"/>
      <sheetName val="YTD_09'20031"/>
      <sheetName val="deferred_taxes1"/>
      <sheetName val="Eqpmnt_Plng1"/>
      <sheetName val="TRIAL_BALANCE1"/>
      <sheetName val="DPR_31st_march1"/>
      <sheetName val="current_month1"/>
      <sheetName val="Blng__Vs_Coll_1"/>
      <sheetName val="Unit_price1"/>
      <sheetName val="Bill_No_1_62"/>
      <sheetName val="Bill_No_1_102"/>
      <sheetName val="Bill_No_3_32"/>
      <sheetName val="Bill_No_1_42"/>
      <sheetName val="Bill_No_1_72"/>
      <sheetName val="Summary_Bill_No__32"/>
      <sheetName val="Bán_đợt_1_trang1"/>
      <sheetName val="Chiet_tinh_dz351"/>
      <sheetName val="3__KC_-_PODIUM1"/>
      <sheetName val="CTDZ6kv_(gd1)_1"/>
      <sheetName val="CTDZ_0_4+cto_(GD1)1"/>
      <sheetName val="CTTBA_(gd1)1"/>
      <sheetName val="03_Detailed1"/>
      <sheetName val="01_Bid_Price_summary1"/>
      <sheetName val="Home_Office_Manhours1"/>
      <sheetName val="Field_SPV_Barchart1"/>
      <sheetName val="Tien_Luong1"/>
      <sheetName val="Unit_price(Updateting)1"/>
      <sheetName val="Cost_List1"/>
      <sheetName val="Detail_Cost1"/>
      <sheetName val="IC_Price_New1"/>
      <sheetName val="Summary_Table1"/>
      <sheetName val="Sales_Person1"/>
      <sheetName val="Bidding_Entity1"/>
      <sheetName val="CHITIET_VL-NCHT1_(2)1"/>
      <sheetName val="Bù_giá_CM1"/>
      <sheetName val="Breakdown_(B)1"/>
      <sheetName val="U_P_Breakdown1"/>
      <sheetName val="IMF_Code1"/>
      <sheetName val="Subsidiary_Calculation1"/>
      <sheetName val="Phu_Bai_Bridge1"/>
      <sheetName val="5_2_1_Đo_bóc_KL_OLK-101"/>
      <sheetName val="BẢNG_DIỄN_GIẢI_KL_(7)1"/>
      <sheetName val="don_gia_14261"/>
      <sheetName val="Luong_BN1"/>
      <sheetName val="Luong_TB1"/>
      <sheetName val="Ca_may_TB1"/>
      <sheetName val="Ca_máy_BN1"/>
      <sheetName val="Vật_liệu1"/>
      <sheetName val="LX_-TT051"/>
      <sheetName val="NC_Moi_TT051"/>
      <sheetName val="Bia_lot1"/>
      <sheetName val="PU_ITALY_24"/>
      <sheetName val="TH_DZ3512"/>
      <sheetName val="Tro_giup23"/>
      <sheetName val="RAB_AR&amp;STR10"/>
      <sheetName val="chi_tiet_TBA10"/>
      <sheetName val="chi_tiet_C10"/>
      <sheetName val="Don_gia10"/>
      <sheetName val="DON_GIA_TRAM_(3)10"/>
      <sheetName val="XT_Buoc_39"/>
      <sheetName val="DON_GIA_CAN_THO12"/>
      <sheetName val="7606_DZ10"/>
      <sheetName val="Don_gia_chi_tiet10"/>
      <sheetName val="Customize_Your_Purchase_Order10"/>
      <sheetName val="CHITIET_VL-NC-TT_-1p10"/>
      <sheetName val="CHITIET_VL-NC-TT-3p9"/>
      <sheetName val="TONG_HOP_VL-NC_TT10"/>
      <sheetName val="KPVC-BD_10"/>
      <sheetName val="dongia_(2)9"/>
      <sheetName val="Adix_A9"/>
      <sheetName val="Ky_Lam_Bridge9"/>
      <sheetName val="Provisional_Sums_Item9"/>
      <sheetName val="Gas_Pressure_Welding9"/>
      <sheetName val="General_Item&amp;General_Requireme9"/>
      <sheetName val="General_Items9"/>
      <sheetName val="Regenral_Requirements9"/>
      <sheetName val="HĐ_ngoài9"/>
      <sheetName val="Ng_hàng_xà+bulong9"/>
      <sheetName val="chiet_tinh9"/>
      <sheetName val="S-curve_9"/>
      <sheetName val="DM_60619"/>
      <sheetName val="CT_vat_lieu9"/>
      <sheetName val="So_doi_chieu_LC9"/>
      <sheetName val="Bang_3_Chi_tiet_phan_Dz8"/>
      <sheetName val="Commercial_value9"/>
      <sheetName val="project_management9"/>
      <sheetName val="REINF_9"/>
      <sheetName val="Rates_20099"/>
      <sheetName val="Du_toan9"/>
      <sheetName val="MAIN_GATE_HOUSE9"/>
      <sheetName val="TONG_HOP_VL-NC9"/>
      <sheetName val="Bang_KL9"/>
      <sheetName val="MH_RATE9"/>
      <sheetName val="07Base_Cost8"/>
      <sheetName val="rate_material8"/>
      <sheetName val="DG_thep_ma_kem9"/>
      <sheetName val="Lcau_-_Lxuc9"/>
      <sheetName val="Equip_8"/>
      <sheetName val="A1_CN8"/>
      <sheetName val="Đầu_vào8"/>
      <sheetName val="Chi_tiet_XD_TBA8"/>
      <sheetName val="Trạm_biến_áp8"/>
      <sheetName val="Đơn_Giá_8"/>
      <sheetName val="CT-0_4KV8"/>
      <sheetName val="Chenh_lech_vat_tu8"/>
      <sheetName val="Diện_tích8"/>
      <sheetName val="1_Khái_toán8"/>
      <sheetName val="TONG_HOP_T5_19988"/>
      <sheetName val="KL_Chi_tiết_Xây_tô8"/>
      <sheetName val="DG_DZ9"/>
      <sheetName val="DG_TBA9"/>
      <sheetName val="Xay_lapduongR38"/>
      <sheetName val="HÐ_ngoài9"/>
      <sheetName val="DM_678"/>
      <sheetName val="Data_Input9"/>
      <sheetName val="Bill_1_Quy_dinh_chung8"/>
      <sheetName val="1_R18_BF8"/>
      <sheetName val="6_External_works-R188"/>
      <sheetName val="Gia_vat_tu8"/>
      <sheetName val="Elect_(3)8"/>
      <sheetName val="plan&amp;section_of_foundation8"/>
      <sheetName val="design_criteria8"/>
      <sheetName val="Bond_수수료_계산_포맷8"/>
      <sheetName val="ITB_COST8"/>
      <sheetName val="4_PTDG8"/>
      <sheetName val="final_list_200524"/>
      <sheetName val="LV_data8"/>
      <sheetName val="Chi_tiet_KL8"/>
      <sheetName val="Tổng_hợp_KL8"/>
      <sheetName val="04_-_XUONG_DET_B8"/>
      <sheetName val="Phan_khai_KLuong8"/>
      <sheetName val="_038"/>
      <sheetName val="chieu_day_san8"/>
      <sheetName val="Podium_Concrete_Works8"/>
      <sheetName val="KLCT-_TOWER8"/>
      <sheetName val="KLCT-_PODIUM8"/>
      <sheetName val="Gia_thanh_chuoi_su8"/>
      <sheetName val="Tiep_dia8"/>
      <sheetName val="Don_gia_vung_III-Can_Tho8"/>
      <sheetName val="Area_Cal8"/>
      <sheetName val="PAGE_18"/>
      <sheetName val="EIRR&gt;_28"/>
      <sheetName val="Đầu_tư8"/>
      <sheetName val="Project_Data8"/>
      <sheetName val="6787CWFASE2CASE2_00_xls8"/>
      <sheetName val="Bill_02_-_Xay_gach-Pou_8"/>
      <sheetName val="Bill_03-Chống_thấm-Pou8"/>
      <sheetName val="Bill_04-Kim_loại-Pou8"/>
      <sheetName val="Bill_05_-_Hoan_thien-Pou_8"/>
      <sheetName val="Bill_02_-_Xay_gach-Tower8"/>
      <sheetName val="Bill_03-Chống_thấm-Tower8"/>
      <sheetName val="Bill_04-Kim_loại-Tower8"/>
      <sheetName val="Bill_05_-_Hoan_thien-Tower8"/>
      <sheetName val="KL-_KHAC8"/>
      <sheetName val="BILL_3_-_KẾT_CẤU_HẦM8"/>
      <sheetName val="PTĐG_LTBT8"/>
      <sheetName val="CTG-PRECHEx1_48"/>
      <sheetName val="CTG-AB_(2)8"/>
      <sheetName val="CTG-AB_(3)8"/>
      <sheetName val="CTG-PLP-1_088"/>
      <sheetName val="Pre_Đội_nhóm8"/>
      <sheetName val="Vat_tu_XD8"/>
      <sheetName val="Tower_-_Concrete_Works8"/>
      <sheetName val="Bill-04_ket_cau_thap-_UNI8"/>
      <sheetName val="Loại_Vật_tư8"/>
      <sheetName val="TH_Vat_tu8"/>
      <sheetName val="dg_tphcm8"/>
      <sheetName val="T_KÊ_K_CẤU8"/>
      <sheetName val="Bill_01_-_CTN8"/>
      <sheetName val="Bill_2_2_Villa_2_beds8"/>
      <sheetName val="A1,_May8"/>
      <sheetName val="Vat_lieu8"/>
      <sheetName val="Bang_trong_luong_rieng_thep8"/>
      <sheetName val="6PILE__(돌출)8"/>
      <sheetName val="gia_cong_tac8"/>
      <sheetName val="Measure_13068"/>
      <sheetName val="_Bill_5-Earthing_2_-_Add_Works8"/>
      <sheetName val="Cước_VC_+_ĐM_CP_Tư_vấn8"/>
      <sheetName val="Hệ_số8"/>
      <sheetName val="DETAIL_8"/>
      <sheetName val="GV1-D13_(Casement_door)8"/>
      <sheetName val="ESTI_8"/>
      <sheetName val="CẤP_THOÁT_NƯỚC8"/>
      <sheetName val="TH_MTC8"/>
      <sheetName val="TH_N_Cong8"/>
      <sheetName val="THDT_goi_thau_TB8"/>
      <sheetName val="Tien_do_TV8"/>
      <sheetName val="Harga_ME_8"/>
      <sheetName val="Analisa_Gabungan8"/>
      <sheetName val="bridge_#_18"/>
      <sheetName val="Isolasi_Luar_Dalam8"/>
      <sheetName val="Isolasi_Luar8"/>
      <sheetName val="KL_san_lap8"/>
      <sheetName val="Chi_tiet8"/>
      <sheetName val="sochitiettaikhoan_7"/>
      <sheetName val="Share_price_data7"/>
      <sheetName val="19_37"/>
      <sheetName val="20_37"/>
      <sheetName val="Chieu_4_37"/>
      <sheetName val="Cow_req7"/>
      <sheetName val="TỔNG_HỢP7"/>
      <sheetName val="14-LẦN_3-CHIỀU7"/>
      <sheetName val="14-LẦN_1-SÁNG7"/>
      <sheetName val="14-LẦN_2-TRƯA7"/>
      <sheetName val="1_3+1_4-TOTAL_-_Ko_IN7"/>
      <sheetName val="2_1-LẦN_3-CHIỀU7"/>
      <sheetName val="2_1-LẦN_1-SÁNG7"/>
      <sheetName val="2_1-LẦN_2-TRƯA7"/>
      <sheetName val="2_1-TOTAL-Ko_IN7"/>
      <sheetName val="1_3(TMR_4)7"/>
      <sheetName val="CHO_DE7"/>
      <sheetName val="1_1+1_2+2_2+2_3(TMR_3)7"/>
      <sheetName val="CK1+CK2_(VS_SAN_CHOI_23)7"/>
      <sheetName val="CK1+CK2_(2)7"/>
      <sheetName val="12-16_THÁNG7"/>
      <sheetName val="CAN_SỮA7"/>
      <sheetName val="54+55+56(SAU_CAI_SỮA-6)7"/>
      <sheetName val="BÊ_71-90_NGÀY7"/>
      <sheetName val="BÊ_12-16_tháng7"/>
      <sheetName val="BÊ_6-127"/>
      <sheetName val="BÊ_1-37"/>
      <sheetName val="F01-BC_KHAU_PHAN_SANG_20_37"/>
      <sheetName val="F01-BC_KHAU_PHAN_CHIEU_19_37"/>
      <sheetName val="dinh_mưc_cty7"/>
      <sheetName val="Giá_thành7"/>
      <sheetName val="Thong_ke7"/>
      <sheetName val="Energy_for_milk_prod7"/>
      <sheetName val="DE_NGHI_XUAT_7"/>
      <sheetName val="phieu_xuat_mau7"/>
      <sheetName val="PHIEU_XUAT_CHIEU7"/>
      <sheetName val="11_rai_them_cỏ7"/>
      <sheetName val="PHU_LUC_02-_HDSD_CAC_BIEU_MAU7"/>
      <sheetName val="PhU_LUC_01-_MA_CAC_NHOM_BO7"/>
      <sheetName val="F03-BC_THUC_TRON_SANG_20_37"/>
      <sheetName val="F03-BC_THUC_TRON_CHIEU_19_37"/>
      <sheetName val="F02-BC_THEO_DOI_THUC_AN_DU7"/>
      <sheetName val="Tham_khao-_Bao_cao_xuat_thuc_a7"/>
      <sheetName val="Chenh_lech_ca_may8"/>
      <sheetName val="TLg_CN&amp;Laixe8"/>
      <sheetName val="TLg_CN&amp;Laixe_(2)8"/>
      <sheetName val="TLg_Laitau8"/>
      <sheetName val="TLg_Laitau_(2)8"/>
      <sheetName val="KHOI_LUONG8"/>
      <sheetName val="Equipment_list_(PAC)8"/>
      <sheetName val="TINH_KHOI_LUONG8"/>
      <sheetName val="DATA_BASE8"/>
      <sheetName val="BẢNG_KHỐI_LƯỢNG_TỔNG_HỢP7"/>
      <sheetName val="Buy_vs__Lease_Car8"/>
      <sheetName val="CP_Khac_cuoc_VC7"/>
      <sheetName val="Budget_Code7"/>
      <sheetName val="CTKL_KTX_HT7"/>
      <sheetName val="2_Chiet_tinh7"/>
      <sheetName val="subcon_sched8"/>
      <sheetName val="NHÀ_NHẬP_LIỆU7"/>
      <sheetName val="MÓNG_SILO7"/>
      <sheetName val="PRE_(E)8"/>
      <sheetName val="HVAC_BLOCK_B48"/>
      <sheetName val="Tong_du_toan7"/>
      <sheetName val="Bill_2_-_ketcau7"/>
      <sheetName val="13-Cốt_thép_(10mm&lt;D≤18mm)_FO167"/>
      <sheetName val="du_lieu_du_toan7"/>
      <sheetName val="BANCO_(2)7"/>
      <sheetName val="MT_DPin_(2)7"/>
      <sheetName val="Chi_tiet_lan_can7"/>
      <sheetName val="BOQ_THAN7"/>
      <sheetName val="DL_ĐẦU_VÀO7"/>
      <sheetName val="D_&amp;_W_sizes7"/>
      <sheetName val="Analisa_&amp;_Upah7"/>
      <sheetName val="Purchase_Order7"/>
      <sheetName val="Du_lieu8"/>
      <sheetName val="Phan_tich7"/>
      <sheetName val="Luong_NII7"/>
      <sheetName val="DINH_MUC_THI_NGHIEM7"/>
      <sheetName val="Luong_NI7"/>
      <sheetName val="CT_Thang_Mo7"/>
      <sheetName val="CT__PL7"/>
      <sheetName val="dongia__2_7"/>
      <sheetName val="Thép_CKN7"/>
      <sheetName val="GOC-KO_IN7"/>
      <sheetName val="MAU_8A7"/>
      <sheetName val="MAU_8B7"/>
      <sheetName val="MAU_97"/>
      <sheetName val="MAU_107"/>
      <sheetName val="cash_budget7"/>
      <sheetName val="Dlieu_dau_vao7"/>
      <sheetName val="CHI_PHI5"/>
      <sheetName val="02__PTDG7"/>
      <sheetName val="Chiết_tính7"/>
      <sheetName val="DK1_Don_gia7"/>
      <sheetName val="Income_Statement7"/>
      <sheetName val="Shareholders'_Equity7"/>
      <sheetName val="VC_xd5"/>
      <sheetName val="Gia_VLTB5"/>
      <sheetName val="B_Luong5"/>
      <sheetName val="C_May5"/>
      <sheetName val="Don_gia_(khong_in)7"/>
      <sheetName val="1_MONG_1-27"/>
      <sheetName val="TB_NẶNG5"/>
      <sheetName val="Du_tru_CP-Bieu_015"/>
      <sheetName val="dm_3665"/>
      <sheetName val="DM_60605"/>
      <sheetName val="Dự_thầu5"/>
      <sheetName val="Nhap_VT_oto5"/>
      <sheetName val="Hao_phí5"/>
      <sheetName val="Ma_don_vi5"/>
      <sheetName val="bang_cc5"/>
      <sheetName val="Structure_data5"/>
      <sheetName val="TH_TN5"/>
      <sheetName val="Bill_No_3_-_Prov__Sum_(Ph2&amp;3)5"/>
      <sheetName val="đọc_số5"/>
      <sheetName val="CP_Du_phong5"/>
      <sheetName val="THCP_Lap_dat5"/>
      <sheetName val="THCP_xay_dung5"/>
      <sheetName val="Tong_hop_kinh_phi5"/>
      <sheetName val="CP_HMC5"/>
      <sheetName val="HỆ_THỐNG_PHÒNG_CHÁY_CHỮA_CHÁY5"/>
      <sheetName val="HỆ_THỐNG_CẤP_THOÁT_NƯỚC5"/>
      <sheetName val="HỆ_THỐNG_ĐHKK5"/>
      <sheetName val="MÁY_PHÁT_ĐIỆN5"/>
      <sheetName val="HỆ_THỐNG_ĐIỆN5"/>
      <sheetName val="Thiết_bị_chính5"/>
      <sheetName val="Ｎｏ_135"/>
      <sheetName val="DGchitiet_5"/>
      <sheetName val="wk_prgs5"/>
      <sheetName val="AG_Pipe_Qty_Analysis5"/>
      <sheetName val="2_1Warehouse_15"/>
      <sheetName val="CĂN_HỘ_T16-17_5"/>
      <sheetName val="TRỤC_ĐỨNG_THOÁT_BẨN_T15-175"/>
      <sheetName val="TRỤC_ĐỨNG_TM_T15-175"/>
      <sheetName val="TK_chi_tiet5"/>
      <sheetName val="Bill_2-Road_HR25"/>
      <sheetName val="Bill_3_-_Softscape_HR25"/>
      <sheetName val="THEP_TAM5"/>
      <sheetName val="THEP_HÌNH5"/>
      <sheetName val="THEP_HINH5"/>
      <sheetName val="XA_GO5"/>
      <sheetName val="BANG_TRA5"/>
      <sheetName val="Main_Bldg-Rev025"/>
      <sheetName val="D&amp;W_def_5"/>
      <sheetName val="Nhan_cong5"/>
      <sheetName val="Thiet_bi5"/>
      <sheetName val="Vat_tu5"/>
      <sheetName val="DM_ChiPhi5"/>
      <sheetName val="May_TC5"/>
      <sheetName val="TH_Kinh_phi5"/>
      <sheetName val="Ptvl_5"/>
      <sheetName val="Móng,_nền_5"/>
      <sheetName val="1_Requisition(E)5"/>
      <sheetName val="So_lieu_chung4"/>
      <sheetName val="Q_A01_2-Sh4"/>
      <sheetName val="DG_14264"/>
      <sheetName val="Dự_toán5"/>
      <sheetName val="Đơn_Giá_TH5"/>
      <sheetName val="Nhân_công5"/>
      <sheetName val="Phân_tích5"/>
      <sheetName val="C_P_Thiết_bị5"/>
      <sheetName val="T_H_Kinh_phí5"/>
      <sheetName val="Vật_tư5"/>
      <sheetName val="Trang_bìa5"/>
      <sheetName val="phan_tic_chi_tiet5"/>
      <sheetName val="TONG_HOP5"/>
      <sheetName val="Tổng_GT5"/>
      <sheetName val="Chi_tiết_KL5"/>
      <sheetName val="khấu_trừ_phạt5"/>
      <sheetName val="GT__KHAU_TRU5"/>
      <sheetName val="HAO_HUT_VAT_TU_(2)5"/>
      <sheetName val="cao_độ5"/>
      <sheetName val="Data_Wall5"/>
      <sheetName val="3__CNT4"/>
      <sheetName val="unit_price_list(M)4"/>
      <sheetName val="Theo_doi_Doanh_thu_20174"/>
      <sheetName val="Gia_vat_lieu4"/>
      <sheetName val="gui_BKCT4"/>
      <sheetName val="Precios_unitarios_AXH4"/>
      <sheetName val="Chi_tiet_cong_no5"/>
      <sheetName val="PHÁT_SINH_TẦNG_1_5"/>
      <sheetName val="PHÁT_SINH_TẦNG_25"/>
      <sheetName val="Hầm_chuyển_psinh5"/>
      <sheetName val="Ống_thẳng5"/>
      <sheetName val="Côn_thu5"/>
      <sheetName val="Vuông_tròn5"/>
      <sheetName val="Chân_rẽ5"/>
      <sheetName val="Chạc_ba5"/>
      <sheetName val="Danh_mục3"/>
      <sheetName val="PV_Graph_Data3"/>
      <sheetName val="1_2_Staff_Schedule4"/>
      <sheetName val="BẢNG_ÁP_GIÁ_(in)4"/>
      <sheetName val="NT_(KL)_IN4"/>
      <sheetName val="DOM_D24"/>
      <sheetName val="nhà_ăn4"/>
      <sheetName val="Công_nhật4"/>
      <sheetName val="btkt_cột4"/>
      <sheetName val="Bảng_đo_bóc_KL_OLK-094"/>
      <sheetName val="6_3_CHI_TIET_OLK-094"/>
      <sheetName val="BTK-Dai_Hoc_Kien_Giang3"/>
      <sheetName val="0__Input4"/>
      <sheetName val="TH_các_CC4"/>
      <sheetName val="Don_gia_chi_tiet_DIEN_24"/>
      <sheetName val="Chi_tiet_-tong_9_thang4"/>
      <sheetName val="TH_VL,_NC,_DDHT_Thanhphuoc4"/>
      <sheetName val="1__Office4"/>
      <sheetName val="KL_THEP__GIAM_DO_DUNG_COUPLER4"/>
      <sheetName val="01_KL_THÉP_NHẬP_VỀ4"/>
      <sheetName val="2__NT_VLDV4"/>
      <sheetName val="GHI_CHU4"/>
      <sheetName val="1_BB_LMHT4"/>
      <sheetName val="Bê_tông_bảo_vệ4"/>
      <sheetName val="01__Data4"/>
      <sheetName val="Neo,_nối_cốt_thép_dầm,_cột4"/>
      <sheetName val="Uốn_móc_cốt_thép4"/>
      <sheetName val="Tiêu_chuẩn_cốt_thép4"/>
      <sheetName val="Doi_so4"/>
      <sheetName val="1_Civil_(Org)4"/>
      <sheetName val="Bill_Prelim-CDT4"/>
      <sheetName val="Bill_BPTC-CDT4"/>
      <sheetName val="Chi_tiết_BPTC4"/>
      <sheetName val="Bill_BPTC-CDT_(PA_MCT_CDT)4"/>
      <sheetName val="Chi_tiết_BPTC_(PA_MCT_CDT)4"/>
      <sheetName val="Thop_Ksat4"/>
      <sheetName val="Thu_hoi_4"/>
      <sheetName val="HM_chung4"/>
      <sheetName val="CP_xd-thiet_bi4"/>
      <sheetName val="TH-TN_LD_TB4"/>
      <sheetName val="CP_xaydung4"/>
      <sheetName val="Thao_ha_phu_kien4"/>
      <sheetName val="VL-NC-MTC_ket_cau4"/>
      <sheetName val="KHOI_LUONG_TONG4"/>
      <sheetName val="TK_22KV4"/>
      <sheetName val="DM_366-17774"/>
      <sheetName val="Thi_nhiem4"/>
      <sheetName val="Gia_goc_VT-TB4"/>
      <sheetName val="Gia_vc_den_chan_CT4"/>
      <sheetName val="culy_224"/>
      <sheetName val="Luong_20504"/>
      <sheetName val="ca_may_QN4"/>
      <sheetName val="TNHC1246_4"/>
      <sheetName val="Ca_may_TT06_20104"/>
      <sheetName val="Don_gia_VLXD_dia_phuong4"/>
      <sheetName val="Bang_luong_SCL4"/>
      <sheetName val="Dinh_muc_TN14264"/>
      <sheetName val="DM_336cai_tao4"/>
      <sheetName val="MTO_REV_2(ARMOR)4"/>
      <sheetName val="Dutoan_KL3"/>
      <sheetName val="doanh_thu3"/>
      <sheetName val="KHOI_LUONG15-44"/>
      <sheetName val="DANH_MỤC_HỒ_SƠ4"/>
      <sheetName val="GT_PHÁT_SINH_NGOÀI_HĐ4"/>
      <sheetName val="KL_PHÁT_SINH_4"/>
      <sheetName val="PS_NGOÀI_HĐ4"/>
      <sheetName val="GT_PHÁT_SINH_VƯỢT_HĐ4"/>
      <sheetName val="PS_TĂNG_GIẢM_TRONG_HĐ4"/>
      <sheetName val="DGCT_PHÁT_SINH4"/>
      <sheetName val="DGCT_TRẦN_NLV4"/>
      <sheetName val="DGKL_chi_tiết_NLV4"/>
      <sheetName val="DGKL_chi_tiết_NHN,NK4"/>
      <sheetName val="TG_KL4"/>
      <sheetName val="DGCT_SƠN_BẢ_TƯỜNG_NLV4"/>
      <sheetName val="DGKL_TRẦN_NHN4"/>
      <sheetName val="KL_thep_lam_sat4"/>
      <sheetName val="DM-VNT_ko_sd4"/>
      <sheetName val="B3A_-_TOWER_A4"/>
      <sheetName val="Annex_B4"/>
      <sheetName val="Cotthep_NPT4"/>
      <sheetName val="vl_nc_mtc4"/>
      <sheetName val="Tien_Thuong4"/>
      <sheetName val="NC_XL_6T_cuoi_01_CTy4"/>
      <sheetName val="Data_-6T_dau4"/>
      <sheetName val="Cong_6T4"/>
      <sheetName val="TLG_Type4"/>
      <sheetName val="Tong_hop_vat_tu4"/>
      <sheetName val="1_San_4"/>
      <sheetName val="Dot_44"/>
      <sheetName val="HRG_BHN4"/>
      <sheetName val="CĂN_ĐH4"/>
      <sheetName val="Chi_phi_van_chuyen4"/>
      <sheetName val="Dgia_vat_tu4"/>
      <sheetName val="Don_gia_III4"/>
      <sheetName val="D÷_liÖu4"/>
      <sheetName val="DT_hợp_đồng3"/>
      <sheetName val="Bảng_KL_đợt_13"/>
      <sheetName val="2_CDPS4"/>
      <sheetName val="Summary_Sheet3"/>
      <sheetName val="Finishing-Tower_A3"/>
      <sheetName val="Finishing-Tower_B3"/>
      <sheetName val="Finishing-Tower_C3"/>
      <sheetName val="Finishing-Tower_D3"/>
      <sheetName val="MEP-Tower_A3"/>
      <sheetName val="MEP-Tower_B3"/>
      <sheetName val="MEP-Tower_C3"/>
      <sheetName val="MEP-Tower_D3"/>
      <sheetName val="Cost_Report_Sum3"/>
      <sheetName val="Detail_Cost_Sum3"/>
      <sheetName val="RVO-VO_Sum3"/>
      <sheetName val="Potential_VOs_Sum3"/>
      <sheetName val="Cash_Flow_Sum3"/>
      <sheetName val="Heso_DZ4"/>
      <sheetName val="Bieu_gia_HD3"/>
      <sheetName val="Div26_-_Elect4"/>
      <sheetName val="7_Khau_tru_4"/>
      <sheetName val="4_CĂN4"/>
      <sheetName val="DG_BINH_THUAN4"/>
      <sheetName val="GIÁ_DỰ_THẦU_30_CĂN3"/>
      <sheetName val="DG_Chi_tiet3"/>
      <sheetName val="Kê_0,43"/>
      <sheetName val="TH_0,43"/>
      <sheetName val="Kê_223"/>
      <sheetName val="TH_223"/>
      <sheetName val="TBA_CAI_TAO3"/>
      <sheetName val="TBA_XDM3"/>
      <sheetName val="TONG_HOP_DU_TOAN3"/>
      <sheetName val="Thop_XAY_DUNG3"/>
      <sheetName val="CP_HANG_MUC_CHUNG3"/>
      <sheetName val="CHI_PHI_XD3"/>
      <sheetName val="CHI_PHI_THI_NGHIEM3"/>
      <sheetName val="VLDIEN_223"/>
      <sheetName val="Dao_dat3"/>
      <sheetName val="TH_Denbu3"/>
      <sheetName val="Do_ve_DC3"/>
      <sheetName val="TH_Bommin3"/>
      <sheetName val="CHI_PHI_THI_NGHIEM-LD_thiet_bi3"/>
      <sheetName val="Luong_TT013"/>
      <sheetName val="Camay_QB3"/>
      <sheetName val="gia_ca_may_BXD3"/>
      <sheetName val="BANG_LUONG_KY_SU3"/>
      <sheetName val="Bang_luong_NHOM_I3"/>
      <sheetName val="Bangluong_NHOM_II_3"/>
      <sheetName val="09-GIA_nhien_lieu-ko_in3"/>
      <sheetName val="Tinh_V_cot_chiem_cho3"/>
      <sheetName val="ĐM_13543"/>
      <sheetName val="KHOAN_MAU3"/>
      <sheetName val="ĐO_ĐỊA_VẬT_LÝ3"/>
      <sheetName val="khoan_tiep_dia3"/>
      <sheetName val="DZ_22KV3"/>
      <sheetName val="_1710_HOINGHINLD3"/>
      <sheetName val="99_(2)3"/>
      <sheetName val="134_3"/>
      <sheetName val="DG_49703"/>
      <sheetName val="Don_gia_NC4"/>
      <sheetName val="B-2__(DPP)4"/>
      <sheetName val="CAP_NUOC3"/>
      <sheetName val="cấp_nước_trục_nhà_vs3"/>
      <sheetName val="THOAT_NUOC3"/>
      <sheetName val="THOAT_MUA3"/>
      <sheetName val="Cáp_phòng3"/>
      <sheetName val="TMC_ĐIỆN_Phi3"/>
      <sheetName val="TMC_Tổng3"/>
      <sheetName val="TH_Đèn_Phòng_L13"/>
      <sheetName val="TH_Đèn_Hầm_L13"/>
      <sheetName val="TỦ_MODULE_T13"/>
      <sheetName val="Financ__Overview3"/>
      <sheetName val="13_BANG_CT3"/>
      <sheetName val="14_MMUS_GIUA_NHIP3"/>
      <sheetName val="4_HSPBngang3"/>
      <sheetName val="6_Tinh_tai3"/>
      <sheetName val="2_NSl3"/>
      <sheetName val="17_US_CHU_tho_a_b3"/>
      <sheetName val="15_MMUS_GOI3"/>
      <sheetName val="TINH_GIA_-_SAN_XUAT_Vertico3"/>
      <sheetName val="gia_vt,nc,may3"/>
      <sheetName val="Huong_dan3"/>
      <sheetName val="Tổng_hợp_KPHM3"/>
      <sheetName val="5_2_1_Đo_bóc_KL_OLK-063"/>
      <sheetName val="MB_DT_023"/>
      <sheetName val="Dinh_muc3"/>
      <sheetName val="KS_tuyen3"/>
      <sheetName val="Bang_chiet_tinh_TBA3"/>
      <sheetName val="4_2_1_Đo_bóc_KL_OLK-063"/>
      <sheetName val="4_1_1_CHI_TIET_OLK-063"/>
      <sheetName val="Cash_Flow3"/>
      <sheetName val="So_sanh3"/>
      <sheetName val="HERD_MOVEMENTFARM15"/>
      <sheetName val="HERD_MOVEMENTFARM25"/>
      <sheetName val="CALVES_2-45"/>
      <sheetName val="Cavles_2-45"/>
      <sheetName val="CALVES_4-75"/>
      <sheetName val="HEIFER_7-12m5"/>
      <sheetName val="HEIFER_12+5"/>
      <sheetName val="FRESH_COW_2017-185"/>
      <sheetName val="HP_COW_20185"/>
      <sheetName val="LP_COW_2017-185"/>
      <sheetName val="DRY_COW5"/>
      <sheetName val="FIELD_CROPS5"/>
      <sheetName val="Tong_DT2"/>
      <sheetName val="phan_tich_don_gia2"/>
      <sheetName val="DT_san_XD-So_lieu_cu2"/>
      <sheetName val="EQUIP_LIST3"/>
      <sheetName val="Electrical_Works3"/>
      <sheetName val="H_T__INCOMING_SYSTEM3"/>
      <sheetName val="BU_LONG3"/>
      <sheetName val="THONG_SO3"/>
      <sheetName val="Đơn_giá_chi_tiết_TN_393"/>
      <sheetName val="DT__NHA_XUONG3"/>
      <sheetName val="Gia_VT-TB3"/>
      <sheetName val="noi_suy_xa3"/>
      <sheetName val="noi_suy_xa_thu_hoi3"/>
      <sheetName val="Tính_giá_NC3"/>
      <sheetName val="Tiên_lượng3"/>
      <sheetName val="SL_cước3"/>
      <sheetName val="Thuyết_minh3"/>
      <sheetName val="Đơn_giá_máy3"/>
      <sheetName val="¥_3"/>
      <sheetName val="FF-2_(1)2"/>
      <sheetName val="Labour_Summary15"/>
      <sheetName val="YTD_12'20032"/>
      <sheetName val="YTD_06'20032"/>
      <sheetName val="YTD_03'20032"/>
      <sheetName val="YTD_09'20032"/>
      <sheetName val="deferred_taxes2"/>
      <sheetName val="Eqpmnt_Plng2"/>
      <sheetName val="TRIAL_BALANCE2"/>
      <sheetName val="DPR_31st_march2"/>
      <sheetName val="current_month2"/>
      <sheetName val="Blng__Vs_Coll_2"/>
      <sheetName val="Unit_price2"/>
      <sheetName val="Bill_No_1_63"/>
      <sheetName val="Bill_No_1_103"/>
      <sheetName val="Bill_No_3_33"/>
      <sheetName val="Bill_No_1_43"/>
      <sheetName val="Bill_No_1_73"/>
      <sheetName val="Summary_Bill_No__33"/>
      <sheetName val="Bán_đợt_1_trang2"/>
      <sheetName val="Chiet_tinh_dz352"/>
      <sheetName val="3__KC_-_PODIUM2"/>
      <sheetName val="CTDZ6kv_(gd1)_2"/>
      <sheetName val="CTDZ_0_4+cto_(GD1)2"/>
      <sheetName val="CTTBA_(gd1)2"/>
      <sheetName val="03_Detailed2"/>
      <sheetName val="01_Bid_Price_summary2"/>
      <sheetName val="Home_Office_Manhours2"/>
      <sheetName val="Field_SPV_Barchart2"/>
      <sheetName val="Tien_Luong2"/>
      <sheetName val="Unit_price(Updateting)2"/>
      <sheetName val="Cost_List2"/>
      <sheetName val="Detail_Cost2"/>
      <sheetName val="IC_Price_New2"/>
      <sheetName val="Summary_Table2"/>
      <sheetName val="Sales_Person2"/>
      <sheetName val="Bidding_Entity2"/>
      <sheetName val="CHITIET_VL-NCHT1_(2)2"/>
      <sheetName val="Bù_giá_CM2"/>
      <sheetName val="Breakdown_(B)2"/>
      <sheetName val="U_P_Breakdown2"/>
      <sheetName val="IMF_Code2"/>
      <sheetName val="Subsidiary_Calculation2"/>
      <sheetName val="Phu_Bai_Bridge2"/>
      <sheetName val="5_2_1_Đo_bóc_KL_OLK-102"/>
      <sheetName val="BẢNG_DIỄN_GIẢI_KL_(7)2"/>
      <sheetName val="don_gia_14262"/>
      <sheetName val="Luong_BN2"/>
      <sheetName val="Luong_TB2"/>
      <sheetName val="Ca_may_TB2"/>
      <sheetName val="Ca_máy_BN2"/>
      <sheetName val="Vật_liệu2"/>
      <sheetName val="LX_-TT052"/>
      <sheetName val="NC_Moi_TT052"/>
      <sheetName val="Bia_lot2"/>
      <sheetName val="PU_ITALY_25"/>
      <sheetName val="TH_DZ3513"/>
      <sheetName val="Tro_giup24"/>
      <sheetName val="RAB_AR&amp;STR11"/>
      <sheetName val="chi_tiet_TBA11"/>
      <sheetName val="chi_tiet_C11"/>
      <sheetName val="Don_gia11"/>
      <sheetName val="DON_GIA_TRAM_(3)11"/>
      <sheetName val="XT_Buoc_310"/>
      <sheetName val="DON_GIA_CAN_THO13"/>
      <sheetName val="7606_DZ11"/>
      <sheetName val="Don_gia_chi_tiet11"/>
      <sheetName val="Customize_Your_Purchase_Order11"/>
      <sheetName val="CHITIET_VL-NC-TT_-1p11"/>
      <sheetName val="CHITIET_VL-NC-TT-3p10"/>
      <sheetName val="TONG_HOP_VL-NC_TT11"/>
      <sheetName val="KPVC-BD_11"/>
      <sheetName val="dongia_(2)10"/>
      <sheetName val="Adix_A10"/>
      <sheetName val="Ky_Lam_Bridge10"/>
      <sheetName val="Provisional_Sums_Item10"/>
      <sheetName val="Gas_Pressure_Welding10"/>
      <sheetName val="General_Item&amp;General_Requirem10"/>
      <sheetName val="General_Items10"/>
      <sheetName val="Regenral_Requirements10"/>
      <sheetName val="HĐ_ngoài10"/>
      <sheetName val="Ng_hàng_xà+bulong10"/>
      <sheetName val="chiet_tinh10"/>
      <sheetName val="S-curve_10"/>
      <sheetName val="DM_606110"/>
      <sheetName val="CT_vat_lieu10"/>
      <sheetName val="So_doi_chieu_LC10"/>
      <sheetName val="Bang_3_Chi_tiet_phan_Dz9"/>
      <sheetName val="Commercial_value10"/>
      <sheetName val="project_management10"/>
      <sheetName val="REINF_10"/>
      <sheetName val="Rates_200910"/>
      <sheetName val="Du_toan10"/>
      <sheetName val="MAIN_GATE_HOUSE10"/>
      <sheetName val="TONG_HOP_VL-NC10"/>
      <sheetName val="Bang_KL10"/>
      <sheetName val="MH_RATE10"/>
      <sheetName val="07Base_Cost9"/>
      <sheetName val="rate_material9"/>
      <sheetName val="DG_thep_ma_kem10"/>
      <sheetName val="Lcau_-_Lxuc10"/>
      <sheetName val="Equip_9"/>
      <sheetName val="A1_CN9"/>
      <sheetName val="Đầu_vào9"/>
      <sheetName val="Chi_tiet_XD_TBA9"/>
      <sheetName val="Trạm_biến_áp9"/>
      <sheetName val="Đơn_Giá_9"/>
      <sheetName val="CT-0_4KV9"/>
      <sheetName val="Chenh_lech_vat_tu9"/>
      <sheetName val="Diện_tích9"/>
      <sheetName val="1_Khái_toán9"/>
      <sheetName val="TONG_HOP_T5_19989"/>
      <sheetName val="KL_Chi_tiết_Xây_tô9"/>
      <sheetName val="DG_DZ10"/>
      <sheetName val="DG_TBA10"/>
      <sheetName val="Xay_lapduongR39"/>
      <sheetName val="HÐ_ngoài10"/>
      <sheetName val="DM_679"/>
      <sheetName val="Data_Input10"/>
      <sheetName val="Bill_1_Quy_dinh_chung9"/>
      <sheetName val="1_R18_BF9"/>
      <sheetName val="6_External_works-R189"/>
      <sheetName val="Gia_vat_tu9"/>
      <sheetName val="Elect_(3)9"/>
      <sheetName val="plan&amp;section_of_foundation9"/>
      <sheetName val="design_criteria9"/>
      <sheetName val="Bond_수수료_계산_포맷9"/>
      <sheetName val="ITB_COST9"/>
      <sheetName val="4_PTDG9"/>
      <sheetName val="final_list_200525"/>
      <sheetName val="LV_data9"/>
      <sheetName val="Chi_tiet_KL9"/>
      <sheetName val="Tổng_hợp_KL9"/>
      <sheetName val="04_-_XUONG_DET_B9"/>
      <sheetName val="Phan_khai_KLuong9"/>
      <sheetName val="_039"/>
      <sheetName val="chieu_day_san9"/>
      <sheetName val="Podium_Concrete_Works9"/>
      <sheetName val="KLCT-_TOWER9"/>
      <sheetName val="KLCT-_PODIUM9"/>
      <sheetName val="Gia_thanh_chuoi_su9"/>
      <sheetName val="Tiep_dia9"/>
      <sheetName val="Don_gia_vung_III-Can_Tho9"/>
      <sheetName val="Area_Cal9"/>
      <sheetName val="PAGE_19"/>
      <sheetName val="EIRR&gt;_29"/>
      <sheetName val="Đầu_tư9"/>
      <sheetName val="Project_Data9"/>
      <sheetName val="6787CWFASE2CASE2_00_xls9"/>
      <sheetName val="Bill_02_-_Xay_gach-Pou_9"/>
      <sheetName val="Bill_03-Chống_thấm-Pou9"/>
      <sheetName val="Bill_04-Kim_loại-Pou9"/>
      <sheetName val="Bill_05_-_Hoan_thien-Pou_9"/>
      <sheetName val="Bill_02_-_Xay_gach-Tower9"/>
      <sheetName val="Bill_03-Chống_thấm-Tower9"/>
      <sheetName val="Bill_04-Kim_loại-Tower9"/>
      <sheetName val="Bill_05_-_Hoan_thien-Tower9"/>
      <sheetName val="KL-_KHAC9"/>
      <sheetName val="BILL_3_-_KẾT_CẤU_HẦM9"/>
      <sheetName val="PTĐG_LTBT9"/>
      <sheetName val="CTG-PRECHEx1_49"/>
      <sheetName val="CTG-AB_(2)9"/>
      <sheetName val="CTG-AB_(3)9"/>
      <sheetName val="CTG-PLP-1_089"/>
      <sheetName val="Pre_Đội_nhóm9"/>
      <sheetName val="Vat_tu_XD9"/>
      <sheetName val="Tower_-_Concrete_Works9"/>
      <sheetName val="Bill-04_ket_cau_thap-_UNI9"/>
      <sheetName val="Loại_Vật_tư9"/>
      <sheetName val="TH_Vat_tu9"/>
      <sheetName val="dg_tphcm9"/>
      <sheetName val="T_KÊ_K_CẤU9"/>
      <sheetName val="Bill_01_-_CTN9"/>
      <sheetName val="Bill_2_2_Villa_2_beds9"/>
      <sheetName val="A1,_May9"/>
      <sheetName val="Vat_lieu9"/>
      <sheetName val="Bang_trong_luong_rieng_thep9"/>
      <sheetName val="6PILE__(돌출)9"/>
      <sheetName val="gia_cong_tac9"/>
      <sheetName val="Measure_13069"/>
      <sheetName val="_Bill_5-Earthing_2_-_Add_Works9"/>
      <sheetName val="Cước_VC_+_ĐM_CP_Tư_vấn9"/>
      <sheetName val="Hệ_số9"/>
      <sheetName val="Door_and_window5"/>
      <sheetName val="DETAIL_9"/>
      <sheetName val="GV1-D13_(Casement_door)9"/>
      <sheetName val="ESTI_9"/>
      <sheetName val="CẤP_THOÁT_NƯỚC9"/>
      <sheetName val="TH_MTC9"/>
      <sheetName val="TH_N_Cong9"/>
      <sheetName val="THDT_goi_thau_TB9"/>
      <sheetName val="Tien_do_TV9"/>
      <sheetName val="Harga_ME_9"/>
      <sheetName val="Analisa_Gabungan9"/>
      <sheetName val="bridge_#_19"/>
      <sheetName val="Isolasi_Luar_Dalam9"/>
      <sheetName val="Isolasi_Luar9"/>
      <sheetName val="KL_san_lap9"/>
      <sheetName val="Chi_tiet9"/>
      <sheetName val="sochitiettaikhoan_8"/>
      <sheetName val="Share_price_data8"/>
      <sheetName val="19_38"/>
      <sheetName val="20_38"/>
      <sheetName val="Chieu_4_38"/>
      <sheetName val="Cow_req8"/>
      <sheetName val="TỔNG_HỢP8"/>
      <sheetName val="14-LẦN_3-CHIỀU8"/>
      <sheetName val="14-LẦN_1-SÁNG8"/>
      <sheetName val="14-LẦN_2-TRƯA8"/>
      <sheetName val="1_3+1_4-TOTAL_-_Ko_IN8"/>
      <sheetName val="2_1-LẦN_3-CHIỀU8"/>
      <sheetName val="2_1-LẦN_1-SÁNG8"/>
      <sheetName val="2_1-LẦN_2-TRƯA8"/>
      <sheetName val="2_1-TOTAL-Ko_IN8"/>
      <sheetName val="1_3(TMR_4)8"/>
      <sheetName val="CHO_DE8"/>
      <sheetName val="1_1+1_2+2_2+2_3(TMR_3)8"/>
      <sheetName val="CK1+CK2_(VS_SAN_CHOI_23)8"/>
      <sheetName val="CK1+CK2_(2)8"/>
      <sheetName val="12-16_THÁNG8"/>
      <sheetName val="CAN_SỮA8"/>
      <sheetName val="54+55+56(SAU_CAI_SỮA-6)8"/>
      <sheetName val="BÊ_71-90_NGÀY8"/>
      <sheetName val="BÊ_12-16_tháng8"/>
      <sheetName val="BÊ_6-128"/>
      <sheetName val="BÊ_1-38"/>
      <sheetName val="F01-BC_KHAU_PHAN_SANG_20_38"/>
      <sheetName val="F01-BC_KHAU_PHAN_CHIEU_19_38"/>
      <sheetName val="dinh_mưc_cty8"/>
      <sheetName val="Giá_thành8"/>
      <sheetName val="Thong_ke8"/>
      <sheetName val="Energy_for_milk_prod8"/>
      <sheetName val="DE_NGHI_XUAT_8"/>
      <sheetName val="phieu_xuat_mau8"/>
      <sheetName val="PHIEU_XUAT_CHIEU8"/>
      <sheetName val="11_rai_them_cỏ8"/>
      <sheetName val="PHU_LUC_02-_HDSD_CAC_BIEU_MAU8"/>
      <sheetName val="PhU_LUC_01-_MA_CAC_NHOM_BO8"/>
      <sheetName val="F03-BC_THUC_TRON_SANG_20_38"/>
      <sheetName val="F03-BC_THUC_TRON_CHIEU_19_38"/>
      <sheetName val="F02-BC_THEO_DOI_THUC_AN_DU8"/>
      <sheetName val="Tham_khao-_Bao_cao_xuat_thuc_a8"/>
      <sheetName val="Chenh_lech_ca_may9"/>
      <sheetName val="TLg_CN&amp;Laixe9"/>
      <sheetName val="TLg_CN&amp;Laixe_(2)9"/>
      <sheetName val="TLg_Laitau9"/>
      <sheetName val="TLg_Laitau_(2)9"/>
      <sheetName val="KHOI_LUONG9"/>
      <sheetName val="Equipment_list_(PAC)9"/>
      <sheetName val="TINH_KHOI_LUONG9"/>
      <sheetName val="DATA_BASE9"/>
      <sheetName val="BẢNG_KHỐI_LƯỢNG_TỔNG_HỢP8"/>
      <sheetName val="Buy_vs__Lease_Car9"/>
      <sheetName val="CP_Khac_cuoc_VC8"/>
      <sheetName val="Budget_Code8"/>
      <sheetName val="CTKL_KTX_HT8"/>
      <sheetName val="2_Chiet_tinh8"/>
      <sheetName val="subcon_sched9"/>
      <sheetName val="NHÀ_NHẬP_LIỆU8"/>
      <sheetName val="MÓNG_SILO8"/>
      <sheetName val="PRE_(E)9"/>
      <sheetName val="HVAC_BLOCK_B49"/>
      <sheetName val="Tong_du_toan8"/>
      <sheetName val="Bill_2_-_ketcau8"/>
      <sheetName val="13-Cốt_thép_(10mm&lt;D≤18mm)_FO168"/>
      <sheetName val="du_lieu_du_toan8"/>
      <sheetName val="BANCO_(2)8"/>
      <sheetName val="MT_DPin_(2)8"/>
      <sheetName val="Chi_tiet_lan_can8"/>
      <sheetName val="BOQ_THAN8"/>
      <sheetName val="DL_ĐẦU_VÀO8"/>
      <sheetName val="D_&amp;_W_sizes8"/>
      <sheetName val="Analisa_&amp;_Upah8"/>
      <sheetName val="Purchase_Order8"/>
      <sheetName val="Du_lieu9"/>
      <sheetName val="Phan_tich8"/>
      <sheetName val="Luong_NII8"/>
      <sheetName val="DINH_MUC_THI_NGHIEM8"/>
      <sheetName val="Luong_NI8"/>
      <sheetName val="CT_Thang_Mo8"/>
      <sheetName val="CT__PL8"/>
      <sheetName val="dongia__2_8"/>
      <sheetName val="Thép_CKN8"/>
      <sheetName val="GOC-KO_IN8"/>
      <sheetName val="MAU_8A8"/>
      <sheetName val="MAU_8B8"/>
      <sheetName val="MAU_98"/>
      <sheetName val="MAU_108"/>
      <sheetName val="cash_budget8"/>
      <sheetName val="Dlieu_dau_vao8"/>
      <sheetName val="CHI_PHI6"/>
      <sheetName val="02__PTDG8"/>
      <sheetName val="Chiết_tính8"/>
      <sheetName val="DK1_Don_gia8"/>
      <sheetName val="Income_Statement8"/>
      <sheetName val="Shareholders'_Equity8"/>
      <sheetName val="VC_xd6"/>
      <sheetName val="Gia_VLTB6"/>
      <sheetName val="B_Luong6"/>
      <sheetName val="C_May6"/>
      <sheetName val="Don_gia_(khong_in)8"/>
      <sheetName val="1_MONG_1-28"/>
      <sheetName val="TB_NẶNG6"/>
      <sheetName val="Du_tru_CP-Bieu_016"/>
      <sheetName val="dm_3666"/>
      <sheetName val="DM_60606"/>
      <sheetName val="Dự_thầu6"/>
      <sheetName val="Nhap_VT_oto6"/>
      <sheetName val="Hao_phí6"/>
      <sheetName val="Ma_don_vi6"/>
      <sheetName val="bang_cc6"/>
      <sheetName val="Structure_data6"/>
      <sheetName val="TH_TN6"/>
      <sheetName val="Bill_No_3_-_Prov__Sum_(Ph2&amp;3)6"/>
      <sheetName val="đọc_số6"/>
      <sheetName val="CP_Du_phong6"/>
      <sheetName val="THCP_Lap_dat6"/>
      <sheetName val="THCP_xay_dung6"/>
      <sheetName val="Tong_hop_kinh_phi6"/>
      <sheetName val="CP_HMC6"/>
      <sheetName val="HỆ_THỐNG_PHÒNG_CHÁY_CHỮA_CHÁY6"/>
      <sheetName val="HỆ_THỐNG_CẤP_THOÁT_NƯỚC6"/>
      <sheetName val="HỆ_THỐNG_ĐHKK6"/>
      <sheetName val="MÁY_PHÁT_ĐIỆN6"/>
      <sheetName val="HỆ_THỐNG_ĐIỆN6"/>
      <sheetName val="Thiết_bị_chính6"/>
      <sheetName val="Ｎｏ_136"/>
      <sheetName val="DGchitiet_6"/>
      <sheetName val="wk_prgs6"/>
      <sheetName val="AG_Pipe_Qty_Analysis6"/>
      <sheetName val="2_1Warehouse_16"/>
      <sheetName val="CĂN_HỘ_T16-17_6"/>
      <sheetName val="TRỤC_ĐỨNG_THOÁT_BẨN_T15-176"/>
      <sheetName val="TRỤC_ĐỨNG_TM_T15-176"/>
      <sheetName val="TK_chi_tiet6"/>
      <sheetName val="Bill_2-Road_HR26"/>
      <sheetName val="Bill_3_-_Softscape_HR26"/>
      <sheetName val="THEP_TAM6"/>
      <sheetName val="THEP_HÌNH6"/>
      <sheetName val="THEP_HINH6"/>
      <sheetName val="XA_GO6"/>
      <sheetName val="BANG_TRA6"/>
      <sheetName val="Main_Bldg-Rev026"/>
      <sheetName val="D&amp;W_def_6"/>
      <sheetName val="Nhan_cong6"/>
      <sheetName val="Thiet_bi6"/>
      <sheetName val="Vat_tu6"/>
      <sheetName val="DM_ChiPhi6"/>
      <sheetName val="May_TC6"/>
      <sheetName val="TH_Kinh_phi6"/>
      <sheetName val="Ptvl_6"/>
      <sheetName val="Móng,_nền_6"/>
      <sheetName val="1_Requisition(E)6"/>
      <sheetName val="So_lieu_chung5"/>
      <sheetName val="Q_A01_2-Sh5"/>
      <sheetName val="DG_14265"/>
      <sheetName val="Dự_toán6"/>
      <sheetName val="Đơn_Giá_TH6"/>
      <sheetName val="Nhân_công6"/>
      <sheetName val="Phân_tích6"/>
      <sheetName val="C_P_Thiết_bị6"/>
      <sheetName val="T_H_Kinh_phí6"/>
      <sheetName val="Vật_tư6"/>
      <sheetName val="Trang_bìa6"/>
      <sheetName val="phan_tic_chi_tiet6"/>
      <sheetName val="TONG_HOP6"/>
      <sheetName val="Tổng_GT6"/>
      <sheetName val="Chi_tiết_KL6"/>
      <sheetName val="khấu_trừ_phạt6"/>
      <sheetName val="GT__KHAU_TRU6"/>
      <sheetName val="HAO_HUT_VAT_TU_(2)6"/>
      <sheetName val="cao_độ6"/>
      <sheetName val="Data_Wall6"/>
      <sheetName val="3__CNT5"/>
      <sheetName val="unit_price_list(M)5"/>
      <sheetName val="Theo_doi_Doanh_thu_20175"/>
      <sheetName val="Gia_vat_lieu5"/>
      <sheetName val="gui_BKCT5"/>
      <sheetName val="Precios_unitarios_AXH5"/>
      <sheetName val="Chi_tiet_cong_no6"/>
      <sheetName val="PHÁT_SINH_TẦNG_1_6"/>
      <sheetName val="PHÁT_SINH_TẦNG_26"/>
      <sheetName val="Hầm_chuyển_psinh6"/>
      <sheetName val="Ống_thẳng6"/>
      <sheetName val="Côn_thu6"/>
      <sheetName val="Vuông_tròn6"/>
      <sheetName val="Chân_rẽ6"/>
      <sheetName val="Chạc_ba6"/>
      <sheetName val="Danh_mục4"/>
      <sheetName val="PV_Graph_Data4"/>
      <sheetName val="1_2_Staff_Schedule5"/>
      <sheetName val="BẢNG_ÁP_GIÁ_(in)5"/>
      <sheetName val="NT_(KL)_IN5"/>
      <sheetName val="DOM_D25"/>
      <sheetName val="nhà_ăn5"/>
      <sheetName val="Công_nhật5"/>
      <sheetName val="btkt_cột5"/>
      <sheetName val="Bảng_đo_bóc_KL_OLK-095"/>
      <sheetName val="6_3_CHI_TIET_OLK-095"/>
      <sheetName val="BTK-Dai_Hoc_Kien_Giang4"/>
      <sheetName val="0__Input5"/>
      <sheetName val="TH_các_CC5"/>
      <sheetName val="Don_gia_chi_tiet_DIEN_25"/>
      <sheetName val="Chi_tiet_-tong_9_thang5"/>
      <sheetName val="TH_VL,_NC,_DDHT_Thanhphuoc5"/>
      <sheetName val="1__Office5"/>
      <sheetName val="KL_THEP__GIAM_DO_DUNG_COUPLER5"/>
      <sheetName val="01_KL_THÉP_NHẬP_VỀ5"/>
      <sheetName val="2__NT_VLDV5"/>
      <sheetName val="GHI_CHU5"/>
      <sheetName val="1_BB_LMHT5"/>
      <sheetName val="Bê_tông_bảo_vệ5"/>
      <sheetName val="01__Data5"/>
      <sheetName val="Neo,_nối_cốt_thép_dầm,_cột5"/>
      <sheetName val="Uốn_móc_cốt_thép5"/>
      <sheetName val="Tiêu_chuẩn_cốt_thép5"/>
      <sheetName val="Doi_so5"/>
      <sheetName val="1_Civil_(Org)5"/>
      <sheetName val="Bill_Prelim-CDT5"/>
      <sheetName val="Bill_BPTC-CDT5"/>
      <sheetName val="Chi_tiết_BPTC5"/>
      <sheetName val="Bill_BPTC-CDT_(PA_MCT_CDT)5"/>
      <sheetName val="Chi_tiết_BPTC_(PA_MCT_CDT)5"/>
      <sheetName val="Thop_Ksat5"/>
      <sheetName val="Thu_hoi_5"/>
      <sheetName val="HM_chung5"/>
      <sheetName val="CP_xd-thiet_bi5"/>
      <sheetName val="TH-TN_LD_TB5"/>
      <sheetName val="CP_xaydung5"/>
      <sheetName val="Thao_ha_phu_kien5"/>
      <sheetName val="VL-NC-MTC_ket_cau5"/>
      <sheetName val="KHOI_LUONG_TONG5"/>
      <sheetName val="TK_22KV5"/>
      <sheetName val="DM_366-17775"/>
      <sheetName val="Thi_nhiem5"/>
      <sheetName val="Gia_goc_VT-TB5"/>
      <sheetName val="Gia_vc_den_chan_CT5"/>
      <sheetName val="culy_225"/>
      <sheetName val="Luong_20505"/>
      <sheetName val="ca_may_QN5"/>
      <sheetName val="TNHC1246_5"/>
      <sheetName val="Ca_may_TT06_20105"/>
      <sheetName val="Don_gia_VLXD_dia_phuong5"/>
      <sheetName val="Bang_luong_SCL5"/>
      <sheetName val="Dinh_muc_TN14265"/>
      <sheetName val="DM_336cai_tao5"/>
      <sheetName val="MTO_REV_2(ARMOR)5"/>
      <sheetName val="Dutoan_KL4"/>
      <sheetName val="doanh_thu4"/>
      <sheetName val="KHOI_LUONG15-45"/>
      <sheetName val="DANH_MỤC_HỒ_SƠ5"/>
      <sheetName val="GT_PHÁT_SINH_NGOÀI_HĐ5"/>
      <sheetName val="KL_PHÁT_SINH_5"/>
      <sheetName val="PS_NGOÀI_HĐ5"/>
      <sheetName val="GT_PHÁT_SINH_VƯỢT_HĐ5"/>
      <sheetName val="PS_TĂNG_GIẢM_TRONG_HĐ5"/>
      <sheetName val="DGCT_PHÁT_SINH5"/>
      <sheetName val="DGCT_TRẦN_NLV5"/>
      <sheetName val="DGKL_chi_tiết_NLV5"/>
      <sheetName val="DGKL_chi_tiết_NHN,NK5"/>
      <sheetName val="TG_KL5"/>
      <sheetName val="DGCT_SƠN_BẢ_TƯỜNG_NLV5"/>
      <sheetName val="DGKL_TRẦN_NHN5"/>
      <sheetName val="KL_thep_lam_sat5"/>
      <sheetName val="DM-VNT_ko_sd5"/>
      <sheetName val="B3A_-_TOWER_A5"/>
      <sheetName val="Annex_B5"/>
      <sheetName val="Cotthep_NPT5"/>
      <sheetName val="vl_nc_mtc5"/>
      <sheetName val="Tien_Thuong5"/>
      <sheetName val="NC_XL_6T_cuoi_01_CTy5"/>
      <sheetName val="Data_-6T_dau5"/>
      <sheetName val="Cong_6T5"/>
      <sheetName val="TLG_Type5"/>
      <sheetName val="Tong_hop_vat_tu5"/>
      <sheetName val="1_San_5"/>
      <sheetName val="Dot_45"/>
      <sheetName val="HRG_BHN5"/>
      <sheetName val="CĂN_ĐH5"/>
      <sheetName val="Chi_phi_van_chuyen5"/>
      <sheetName val="Dgia_vat_tu5"/>
      <sheetName val="Don_gia_III5"/>
      <sheetName val="D÷_liÖu5"/>
      <sheetName val="DT_hợp_đồng4"/>
      <sheetName val="Bảng_KL_đợt_14"/>
      <sheetName val="2_CDPS5"/>
      <sheetName val="Summary_Sheet4"/>
      <sheetName val="Finishing-Tower_A4"/>
      <sheetName val="Finishing-Tower_B4"/>
      <sheetName val="Finishing-Tower_C4"/>
      <sheetName val="Finishing-Tower_D4"/>
      <sheetName val="MEP-Tower_A4"/>
      <sheetName val="MEP-Tower_B4"/>
      <sheetName val="MEP-Tower_C4"/>
      <sheetName val="MEP-Tower_D4"/>
      <sheetName val="Cost_Report_Sum4"/>
      <sheetName val="Detail_Cost_Sum4"/>
      <sheetName val="RVO-VO_Sum4"/>
      <sheetName val="Potential_VOs_Sum4"/>
      <sheetName val="Cash_Flow_Sum4"/>
      <sheetName val="Heso_DZ5"/>
      <sheetName val="Bieu_gia_HD4"/>
      <sheetName val="Div26_-_Elect5"/>
      <sheetName val="7_Khau_tru_5"/>
      <sheetName val="4_CĂN5"/>
      <sheetName val="DG_BINH_THUAN5"/>
      <sheetName val="GIÁ_DỰ_THẦU_30_CĂN4"/>
      <sheetName val="DG_Chi_tiet4"/>
      <sheetName val="Kê_0,44"/>
      <sheetName val="TH_0,44"/>
      <sheetName val="Kê_224"/>
      <sheetName val="TH_224"/>
      <sheetName val="TBA_CAI_TAO4"/>
      <sheetName val="TBA_XDM4"/>
      <sheetName val="TONG_HOP_DU_TOAN4"/>
      <sheetName val="Thop_XAY_DUNG4"/>
      <sheetName val="CP_HANG_MUC_CHUNG4"/>
      <sheetName val="CHI_PHI_XD4"/>
      <sheetName val="CHI_PHI_THI_NGHIEM4"/>
      <sheetName val="VLDIEN_224"/>
      <sheetName val="Dao_dat4"/>
      <sheetName val="TH_Denbu4"/>
      <sheetName val="Do_ve_DC4"/>
      <sheetName val="TH_Bommin4"/>
      <sheetName val="CHI_PHI_THI_NGHIEM-LD_thiet_bi4"/>
      <sheetName val="Luong_TT014"/>
      <sheetName val="Camay_QB4"/>
      <sheetName val="gia_ca_may_BXD4"/>
      <sheetName val="BANG_LUONG_KY_SU4"/>
      <sheetName val="Bang_luong_NHOM_I4"/>
      <sheetName val="Bangluong_NHOM_II_4"/>
      <sheetName val="09-GIA_nhien_lieu-ko_in4"/>
      <sheetName val="Tinh_V_cot_chiem_cho4"/>
      <sheetName val="ĐM_13544"/>
      <sheetName val="KHOAN_MAU4"/>
      <sheetName val="ĐO_ĐỊA_VẬT_LÝ4"/>
      <sheetName val="khoan_tiep_dia4"/>
      <sheetName val="DZ_22KV4"/>
      <sheetName val="_1710_HOINGHINLD4"/>
      <sheetName val="99_(2)4"/>
      <sheetName val="134_4"/>
      <sheetName val="DG_49704"/>
      <sheetName val="Don_gia_NC5"/>
      <sheetName val="B-2__(DPP)5"/>
      <sheetName val="CAP_NUOC4"/>
      <sheetName val="cấp_nước_trục_nhà_vs4"/>
      <sheetName val="THOAT_NUOC4"/>
      <sheetName val="THOAT_MUA4"/>
      <sheetName val="Cáp_phòng4"/>
      <sheetName val="TMC_ĐIỆN_Phi4"/>
      <sheetName val="TMC_Tổng4"/>
      <sheetName val="TH_Đèn_Phòng_L14"/>
      <sheetName val="TH_Đèn_Hầm_L14"/>
      <sheetName val="TỦ_MODULE_T14"/>
      <sheetName val="Financ__Overview4"/>
      <sheetName val="13_BANG_CT4"/>
      <sheetName val="14_MMUS_GIUA_NHIP4"/>
      <sheetName val="4_HSPBngang4"/>
      <sheetName val="6_Tinh_tai4"/>
      <sheetName val="2_NSl4"/>
      <sheetName val="17_US_CHU_tho_a_b4"/>
      <sheetName val="15_MMUS_GOI4"/>
      <sheetName val="TINH_GIA_-_SAN_XUAT_Vertico4"/>
      <sheetName val="gia_vt,nc,may4"/>
      <sheetName val="Huong_dan4"/>
      <sheetName val="Tổng_hợp_KPHM4"/>
      <sheetName val="5_2_1_Đo_bóc_KL_OLK-064"/>
      <sheetName val="MB_DT_024"/>
      <sheetName val="Dinh_muc4"/>
      <sheetName val="KS_tuyen4"/>
      <sheetName val="Bang_chiet_tinh_TBA4"/>
      <sheetName val="4_2_1_Đo_bóc_KL_OLK-064"/>
      <sheetName val="4_1_1_CHI_TIET_OLK-064"/>
      <sheetName val="Cash_Flow4"/>
      <sheetName val="So_sanh4"/>
      <sheetName val="HERD_MOVEMENTFARM16"/>
      <sheetName val="HERD_MOVEMENTFARM26"/>
      <sheetName val="CALVES_2-46"/>
      <sheetName val="Cavles_2-46"/>
      <sheetName val="CALVES_4-76"/>
      <sheetName val="HEIFER_7-12m6"/>
      <sheetName val="HEIFER_12+6"/>
      <sheetName val="FRESH_COW_2017-186"/>
      <sheetName val="HP_COW_20186"/>
      <sheetName val="LP_COW_2017-186"/>
      <sheetName val="DRY_COW6"/>
      <sheetName val="FIELD_CROPS6"/>
      <sheetName val="Tong_DT3"/>
      <sheetName val="phan_tich_don_gia3"/>
      <sheetName val="DT_san_XD-So_lieu_cu3"/>
      <sheetName val="EQUIP_LIST4"/>
      <sheetName val="Electrical_Works4"/>
      <sheetName val="H_T__INCOMING_SYSTEM4"/>
      <sheetName val="BU_LONG4"/>
      <sheetName val="THONG_SO4"/>
      <sheetName val="Đơn_giá_chi_tiết_TN_394"/>
      <sheetName val="DT__NHA_XUONG4"/>
      <sheetName val="Gia_VT-TB4"/>
      <sheetName val="noi_suy_xa4"/>
      <sheetName val="noi_suy_xa_thu_hoi4"/>
      <sheetName val="Tính_giá_NC4"/>
      <sheetName val="Tiên_lượng4"/>
      <sheetName val="SL_cước4"/>
      <sheetName val="Thuyết_minh4"/>
      <sheetName val="Đơn_giá_máy4"/>
      <sheetName val="¥_4"/>
      <sheetName val="FF-2_(1)3"/>
      <sheetName val="Labour_Summary16"/>
      <sheetName val="YTD_12'20033"/>
      <sheetName val="YTD_06'20033"/>
      <sheetName val="YTD_03'20033"/>
      <sheetName val="YTD_09'20033"/>
      <sheetName val="deferred_taxes3"/>
      <sheetName val="Eqpmnt_Plng3"/>
      <sheetName val="TRIAL_BALANCE3"/>
      <sheetName val="DPR_31st_march3"/>
      <sheetName val="current_month3"/>
      <sheetName val="Blng__Vs_Coll_3"/>
      <sheetName val="Unit_price3"/>
      <sheetName val="Bill_No_1_64"/>
      <sheetName val="Bill_No_1_104"/>
      <sheetName val="Bill_No_3_34"/>
      <sheetName val="Bill_No_1_44"/>
      <sheetName val="Bill_No_1_74"/>
      <sheetName val="Summary_Bill_No__34"/>
      <sheetName val="Bán_đợt_1_trang3"/>
      <sheetName val="Chiet_tinh_dz353"/>
      <sheetName val="3__KC_-_PODIUM3"/>
      <sheetName val="CTDZ6kv_(gd1)_3"/>
      <sheetName val="CTDZ_0_4+cto_(GD1)3"/>
      <sheetName val="CTTBA_(gd1)3"/>
      <sheetName val="03_Detailed3"/>
      <sheetName val="01_Bid_Price_summary3"/>
      <sheetName val="Home_Office_Manhours3"/>
      <sheetName val="Field_SPV_Barchart3"/>
      <sheetName val="Tien_Luong3"/>
      <sheetName val="Unit_price(Updateting)3"/>
      <sheetName val="Cost_List3"/>
      <sheetName val="Detail_Cost3"/>
      <sheetName val="IC_Price_New3"/>
      <sheetName val="Summary_Table3"/>
      <sheetName val="Sales_Person3"/>
      <sheetName val="Bidding_Entity3"/>
      <sheetName val="CHITIET_VL-NCHT1_(2)3"/>
      <sheetName val="Bù_giá_CM3"/>
      <sheetName val="Breakdown_(B)3"/>
      <sheetName val="U_P_Breakdown3"/>
      <sheetName val="IMF_Code3"/>
      <sheetName val="Subsidiary_Calculation3"/>
      <sheetName val="Phu_Bai_Bridge3"/>
      <sheetName val="5_2_1_Đo_bóc_KL_OLK-103"/>
      <sheetName val="BẢNG_DIỄN_GIẢI_KL_(7)3"/>
      <sheetName val="don_gia_14263"/>
      <sheetName val="Luong_BN3"/>
      <sheetName val="Luong_TB3"/>
      <sheetName val="Ca_may_TB3"/>
      <sheetName val="Ca_máy_BN3"/>
      <sheetName val="Vật_liệu3"/>
      <sheetName val="LX_-TT053"/>
      <sheetName val="NC_Moi_TT053"/>
      <sheetName val="Bia_lot3"/>
      <sheetName val="PU_ITALY_26"/>
      <sheetName val="TH_DZ3514"/>
      <sheetName val="Tro_giup25"/>
      <sheetName val="RAB_AR&amp;STR12"/>
      <sheetName val="chi_tiet_TBA12"/>
      <sheetName val="chi_tiet_C12"/>
      <sheetName val="Customize_Your_Purchase_Order12"/>
      <sheetName val="CHITIET_VL-NC-TT_-1p12"/>
      <sheetName val="CHITIET_VL-NC-TT-3p11"/>
      <sheetName val="TONG_HOP_VL-NC_TT12"/>
      <sheetName val="KPVC-BD_12"/>
      <sheetName val="Don_gia12"/>
      <sheetName val="DON_GIA_TRAM_(3)12"/>
      <sheetName val="DON_GIA_CAN_THO14"/>
      <sheetName val="Don_gia_chi_tiet12"/>
      <sheetName val="HĐ_ngoài11"/>
      <sheetName val="XT_Buoc_311"/>
      <sheetName val="dongia_(2)11"/>
      <sheetName val="7606_DZ12"/>
      <sheetName val="project_management11"/>
      <sheetName val="Adix_A11"/>
      <sheetName val="S-curve_11"/>
      <sheetName val="REINF_11"/>
      <sheetName val="Rates_200911"/>
      <sheetName val="So_doi_chieu_LC11"/>
      <sheetName val="MAIN_GATE_HOUSE11"/>
      <sheetName val="Commercial_value11"/>
      <sheetName val="Du_toan11"/>
      <sheetName val="Ky_Lam_Bridge11"/>
      <sheetName val="Provisional_Sums_Item11"/>
      <sheetName val="Gas_Pressure_Welding11"/>
      <sheetName val="General_Item&amp;General_Requirem11"/>
      <sheetName val="General_Items11"/>
      <sheetName val="Regenral_Requirements11"/>
      <sheetName val="chiet_tinh11"/>
      <sheetName val="Ng_hàng_xà+bulong11"/>
      <sheetName val="MH_RATE11"/>
      <sheetName val="TONG_HOP_VL-NC11"/>
      <sheetName val="Bang_KL11"/>
      <sheetName val="Đầu_vào10"/>
      <sheetName val="Lcau_-_Lxuc11"/>
      <sheetName val="Chi_tiet_XD_TBA10"/>
      <sheetName val="DM_606111"/>
      <sheetName val="DG_thep_ma_kem11"/>
      <sheetName val="CT_vat_lieu11"/>
      <sheetName val="Equip_10"/>
      <sheetName val="A1_CN10"/>
      <sheetName val="TONG_HOP_T5_199810"/>
      <sheetName val="Chenh_lech_vat_tu10"/>
      <sheetName val="Trạm_biến_áp10"/>
      <sheetName val="Đơn_Giá_10"/>
      <sheetName val="Diện_tích10"/>
      <sheetName val="1_Khái_toán10"/>
      <sheetName val="CT-0_4KV10"/>
      <sheetName val="DG_DZ11"/>
      <sheetName val="DG_TBA11"/>
      <sheetName val="rate_material10"/>
      <sheetName val="KL_Chi_tiết_Xây_tô10"/>
      <sheetName val="07Base_Cost10"/>
      <sheetName val="GV1-D13_(Casement_door)10"/>
      <sheetName val="Bill_1_Quy_dinh_chung10"/>
      <sheetName val="1_R18_BF10"/>
      <sheetName val="6_External_works-R1810"/>
      <sheetName val="Phan_khai_KLuong10"/>
      <sheetName val="Chi_tiet_KL10"/>
      <sheetName val="Tổng_hợp_KL10"/>
      <sheetName val="04_-_XUONG_DET_B10"/>
      <sheetName val="_0310"/>
      <sheetName val="chieu_day_san10"/>
      <sheetName val="Podium_Concrete_Works10"/>
      <sheetName val="KLCT-_TOWER10"/>
      <sheetName val="KLCT-_PODIUM10"/>
      <sheetName val="Area_Cal10"/>
      <sheetName val="Gia_thanh_chuoi_su10"/>
      <sheetName val="Tiep_dia10"/>
      <sheetName val="Don_gia_vung_III-Can_Tho10"/>
      <sheetName val="Loại_Vật_tư10"/>
      <sheetName val="Elect_(3)10"/>
      <sheetName val="plan&amp;section_of_foundation10"/>
      <sheetName val="design_criteria10"/>
      <sheetName val="Bond_수수료_계산_포맷10"/>
      <sheetName val="ITB_COST10"/>
      <sheetName val="PAGE_110"/>
      <sheetName val="Xay_lapduongR310"/>
      <sheetName val="DM_6710"/>
      <sheetName val="Project_Data10"/>
      <sheetName val="6787CWFASE2CASE2_00_xls10"/>
      <sheetName val="Đầu_tư10"/>
      <sheetName val="EIRR&gt;_210"/>
      <sheetName val="Bill_02_-_Xay_gach-Pou_10"/>
      <sheetName val="Bill_03-Chống_thấm-Pou10"/>
      <sheetName val="Bill_04-Kim_loại-Pou10"/>
      <sheetName val="Bill_05_-_Hoan_thien-Pou_10"/>
      <sheetName val="Bill_02_-_Xay_gach-Tower10"/>
      <sheetName val="Bill_03-Chống_thấm-Tower10"/>
      <sheetName val="Bill_04-Kim_loại-Tower10"/>
      <sheetName val="Bill_05_-_Hoan_thien-Tower10"/>
      <sheetName val="KL-_KHAC10"/>
      <sheetName val="BILL_3_-_KẾT_CẤU_HẦM10"/>
      <sheetName val="PTĐG_LTBT10"/>
      <sheetName val="CTG-PRECHEx1_410"/>
      <sheetName val="CTG-AB_(2)10"/>
      <sheetName val="CTG-AB_(3)10"/>
      <sheetName val="CTG-PLP-1_0810"/>
      <sheetName val="Pre_Đội_nhóm10"/>
      <sheetName val="Vat_tu_XD10"/>
      <sheetName val="Tower_-_Concrete_Works10"/>
      <sheetName val="Bill-04_ket_cau_thap-_UNI10"/>
      <sheetName val="dg_tphcm10"/>
      <sheetName val="T_KÊ_K_CẤU10"/>
      <sheetName val="gia_cong_tac10"/>
      <sheetName val="4_PTDG10"/>
      <sheetName val="A1,_May10"/>
      <sheetName val="Vat_lieu10"/>
      <sheetName val="Data_Input11"/>
      <sheetName val="Measure_130610"/>
      <sheetName val="HÐ_ngoài11"/>
      <sheetName val="6PILE__(돌출)10"/>
      <sheetName val="Bill_01_-_CTN10"/>
      <sheetName val="Bill_2_2_Villa_2_beds10"/>
      <sheetName val="Analisa_Gabungan10"/>
      <sheetName val="Isolasi_Luar_Dalam10"/>
      <sheetName val="Isolasi_Luar10"/>
      <sheetName val="Harga_ME_10"/>
      <sheetName val="TH_N_Cong10"/>
      <sheetName val="ESTI_10"/>
      <sheetName val="KL_san_lap10"/>
      <sheetName val="TH_Vat_tu10"/>
      <sheetName val="_Bill_5-Earthing_2_-_Add_Work10"/>
      <sheetName val="Chenh_lech_ca_may10"/>
      <sheetName val="TLg_CN&amp;Laixe10"/>
      <sheetName val="TLg_CN&amp;Laixe_(2)10"/>
      <sheetName val="TLg_Laitau10"/>
      <sheetName val="TLg_Laitau_(2)10"/>
      <sheetName val="Bang_trong_luong_rieng_thep10"/>
      <sheetName val="Cước_VC_+_ĐM_CP_Tư_vấn10"/>
      <sheetName val="Hệ_số10"/>
      <sheetName val="DETAIL_10"/>
      <sheetName val="final_list_200526"/>
      <sheetName val="LV_data10"/>
      <sheetName val="Gia_vat_tu10"/>
      <sheetName val="CẤP_THOÁT_NƯỚC10"/>
      <sheetName val="THDT_goi_thau_TB10"/>
      <sheetName val="Tien_do_TV10"/>
      <sheetName val="bridge_#_110"/>
      <sheetName val="Bang_3_Chi_tiet_phan_Dz10"/>
      <sheetName val="KHOI_LUONG10"/>
      <sheetName val="TH_MTC10"/>
      <sheetName val="CTKL_KTX_HT9"/>
      <sheetName val="Buy_vs__Lease_Car10"/>
      <sheetName val="DATA_BASE10"/>
      <sheetName val="Equipment_list_(PAC)10"/>
      <sheetName val="TINH_KHOI_LUONG10"/>
      <sheetName val="Chi_tiet10"/>
      <sheetName val="subcon_sched10"/>
      <sheetName val="NHÀ_NHẬP_LIỆU9"/>
      <sheetName val="MÓNG_SILO9"/>
      <sheetName val="PRE_(E)10"/>
      <sheetName val="HVAC_BLOCK_B410"/>
      <sheetName val="2_Chiet_tinh9"/>
      <sheetName val="BẢNG_KHỐI_LƯỢNG_TỔNG_HỢP9"/>
      <sheetName val="CP_Khac_cuoc_VC9"/>
      <sheetName val="Budget_Code9"/>
      <sheetName val="Tong_du_toan9"/>
      <sheetName val="Bill_2_-_ketcau9"/>
      <sheetName val="Chi_tiet_lan_can9"/>
      <sheetName val="13-Cốt_thép_(10mm&lt;D≤18mm)_FO169"/>
      <sheetName val="du_lieu_du_toan9"/>
      <sheetName val="BOQ_THAN9"/>
      <sheetName val="DL_ĐẦU_VÀO9"/>
      <sheetName val="Purchase_Order9"/>
      <sheetName val="D_&amp;_W_sizes9"/>
      <sheetName val="Analisa_&amp;_Upah9"/>
      <sheetName val="Du_lieu10"/>
      <sheetName val="Phan_tich9"/>
      <sheetName val="Luong_NII9"/>
      <sheetName val="DINH_MUC_THI_NGHIEM9"/>
      <sheetName val="Luong_NI9"/>
      <sheetName val="CT_Thang_Mo9"/>
      <sheetName val="CT__PL9"/>
      <sheetName val="cash_budget9"/>
      <sheetName val="dongia__2_9"/>
      <sheetName val="GOC-KO_IN9"/>
      <sheetName val="MAU_8A9"/>
      <sheetName val="MAU_8B9"/>
      <sheetName val="MAU_99"/>
      <sheetName val="MAU_109"/>
      <sheetName val="Thép_CKN9"/>
      <sheetName val="sochitiettaikhoan_9"/>
      <sheetName val="Share_price_data9"/>
      <sheetName val="19_39"/>
      <sheetName val="20_39"/>
      <sheetName val="Chieu_4_39"/>
      <sheetName val="Cow_req9"/>
      <sheetName val="TỔNG_HỢP9"/>
      <sheetName val="14-LẦN_3-CHIỀU9"/>
      <sheetName val="14-LẦN_1-SÁNG9"/>
      <sheetName val="14-LẦN_2-TRƯA9"/>
      <sheetName val="1_3+1_4-TOTAL_-_Ko_IN9"/>
      <sheetName val="2_1-LẦN_3-CHIỀU9"/>
      <sheetName val="2_1-LẦN_1-SÁNG9"/>
      <sheetName val="2_1-LẦN_2-TRƯA9"/>
      <sheetName val="2_1-TOTAL-Ko_IN9"/>
      <sheetName val="1_3(TMR_4)9"/>
      <sheetName val="CHO_DE9"/>
      <sheetName val="1_1+1_2+2_2+2_3(TMR_3)9"/>
      <sheetName val="CK1+CK2_(VS_SAN_CHOI_23)9"/>
      <sheetName val="CK1+CK2_(2)9"/>
      <sheetName val="12-16_THÁNG9"/>
      <sheetName val="CAN_SỮA9"/>
      <sheetName val="54+55+56(SAU_CAI_SỮA-6)9"/>
      <sheetName val="BÊ_71-90_NGÀY9"/>
      <sheetName val="BÊ_12-16_tháng9"/>
      <sheetName val="BÊ_6-129"/>
      <sheetName val="BÊ_1-39"/>
      <sheetName val="F01-BC_KHAU_PHAN_SANG_20_39"/>
      <sheetName val="F01-BC_KHAU_PHAN_CHIEU_19_39"/>
      <sheetName val="dinh_mưc_cty9"/>
      <sheetName val="Giá_thành9"/>
      <sheetName val="Thong_ke9"/>
      <sheetName val="Energy_for_milk_prod9"/>
      <sheetName val="DE_NGHI_XUAT_9"/>
      <sheetName val="phieu_xuat_mau9"/>
      <sheetName val="PHIEU_XUAT_CHIEU9"/>
      <sheetName val="11_rai_them_cỏ9"/>
      <sheetName val="PHU_LUC_02-_HDSD_CAC_BIEU_MAU9"/>
      <sheetName val="PhU_LUC_01-_MA_CAC_NHOM_BO9"/>
      <sheetName val="F03-BC_THUC_TRON_SANG_20_39"/>
      <sheetName val="F03-BC_THUC_TRON_CHIEU_19_39"/>
      <sheetName val="F02-BC_THEO_DOI_THUC_AN_DU9"/>
      <sheetName val="Tham_khao-_Bao_cao_xuat_thuc_a9"/>
      <sheetName val="VC_xd7"/>
      <sheetName val="Gia_VLTB7"/>
      <sheetName val="B_Luong7"/>
      <sheetName val="C_May7"/>
      <sheetName val="Dlieu_dau_vao9"/>
      <sheetName val="Income_Statement9"/>
      <sheetName val="Shareholders'_Equity9"/>
      <sheetName val="BANCO_(2)9"/>
      <sheetName val="MT_DPin_(2)9"/>
      <sheetName val="02__PTDG9"/>
      <sheetName val="Chiết_tính9"/>
      <sheetName val="TB_NẶNG7"/>
      <sheetName val="Du_tru_CP-Bieu_017"/>
      <sheetName val="Don_gia_(khong_in)9"/>
      <sheetName val="DK1_Don_gia9"/>
      <sheetName val="1_MONG_1-29"/>
      <sheetName val="THEP_TAM7"/>
      <sheetName val="THEP_HÌNH7"/>
      <sheetName val="THEP_HINH7"/>
      <sheetName val="XA_GO7"/>
      <sheetName val="BANG_TRA7"/>
      <sheetName val="wk_prgs7"/>
      <sheetName val="Ma_don_vi7"/>
      <sheetName val="bang_cc7"/>
      <sheetName val="dm_3667"/>
      <sheetName val="DM_60607"/>
      <sheetName val="Dự_thầu7"/>
      <sheetName val="Nhap_VT_oto7"/>
      <sheetName val="Hao_phí7"/>
      <sheetName val="Structure_data7"/>
      <sheetName val="đọc_số7"/>
      <sheetName val="Bill_No_3_-_Prov__Sum_(Ph2&amp;3)7"/>
      <sheetName val="TH_TN7"/>
      <sheetName val="CP_Du_phong7"/>
      <sheetName val="THCP_Lap_dat7"/>
      <sheetName val="THCP_xay_dung7"/>
      <sheetName val="Tong_hop_kinh_phi7"/>
      <sheetName val="Dự_toán7"/>
      <sheetName val="Đơn_Giá_TH7"/>
      <sheetName val="Nhân_công7"/>
      <sheetName val="Phân_tích7"/>
      <sheetName val="C_P_Thiết_bị7"/>
      <sheetName val="T_H_Kinh_phí7"/>
      <sheetName val="Vật_tư7"/>
      <sheetName val="Trang_bìa7"/>
      <sheetName val="Don_gia_chi_tiet_DIEN_26"/>
      <sheetName val="Data_Wall7"/>
      <sheetName val="2_1Warehouse_17"/>
      <sheetName val="AG_Pipe_Qty_Analysis7"/>
      <sheetName val="Main_Bldg-Rev027"/>
      <sheetName val="D&amp;W_def_7"/>
      <sheetName val="Nhan_cong7"/>
      <sheetName val="Thiet_bi7"/>
      <sheetName val="Vat_tu7"/>
      <sheetName val="DM_ChiPhi7"/>
      <sheetName val="May_TC7"/>
      <sheetName val="TH_Kinh_phi7"/>
      <sheetName val="Ptvl_7"/>
      <sheetName val="Ｎｏ_137"/>
      <sheetName val="DGchitiet_7"/>
      <sheetName val="CP_HMC7"/>
      <sheetName val="HỆ_THỐNG_PHÒNG_CHÁY_CHỮA_CHÁY7"/>
      <sheetName val="HỆ_THỐNG_CẤP_THOÁT_NƯỚC7"/>
      <sheetName val="HỆ_THỐNG_ĐHKK7"/>
      <sheetName val="MÁY_PHÁT_ĐIỆN7"/>
      <sheetName val="HỆ_THỐNG_ĐIỆN7"/>
      <sheetName val="Thiết_bị_chính7"/>
      <sheetName val="CHI_PHI7"/>
      <sheetName val="TK_chi_tiet7"/>
      <sheetName val="Bill_2-Road_HR27"/>
      <sheetName val="Bill_3_-_Softscape_HR27"/>
      <sheetName val="CĂN_HỘ_T16-17_7"/>
      <sheetName val="TRỤC_ĐỨNG_THOÁT_BẨN_T15-177"/>
      <sheetName val="TRỤC_ĐỨNG_TM_T15-177"/>
      <sheetName val="Móng,_nền_7"/>
      <sheetName val="1_Requisition(E)7"/>
      <sheetName val="TONG_HOP7"/>
      <sheetName val="Tổng_GT7"/>
      <sheetName val="Chi_tiết_KL7"/>
      <sheetName val="khấu_trừ_phạt7"/>
      <sheetName val="GT__KHAU_TRU7"/>
      <sheetName val="HAO_HUT_VAT_TU_(2)7"/>
      <sheetName val="cao_độ7"/>
      <sheetName val="phan_tic_chi_tiet7"/>
      <sheetName val="DG_14266"/>
      <sheetName val="Theo_doi_Doanh_thu_20176"/>
      <sheetName val="KL_THEP__GIAM_DO_DUNG_COUPLER6"/>
      <sheetName val="01_KL_THÉP_NHẬP_VỀ6"/>
      <sheetName val="2__NT_VLDV6"/>
      <sheetName val="GHI_CHU6"/>
      <sheetName val="1_BB_LMHT6"/>
      <sheetName val="gui_BKCT6"/>
      <sheetName val="Gia_vat_lieu6"/>
      <sheetName val="Precios_unitarios_AXH6"/>
      <sheetName val="Chi_tiet_cong_no7"/>
      <sheetName val="PHÁT_SINH_TẦNG_1_7"/>
      <sheetName val="PHÁT_SINH_TẦNG_27"/>
      <sheetName val="Hầm_chuyển_psinh7"/>
      <sheetName val="Ống_thẳng7"/>
      <sheetName val="Côn_thu7"/>
      <sheetName val="Vuông_tròn7"/>
      <sheetName val="Chân_rẽ7"/>
      <sheetName val="Chạc_ba7"/>
      <sheetName val="MB_DT_025"/>
      <sheetName val="3__CNT6"/>
      <sheetName val="unit_price_list(M)6"/>
      <sheetName val="So_lieu_chung6"/>
      <sheetName val="TH_VL,_NC,_DDHT_Thanhphuoc6"/>
      <sheetName val="Chi_tiet_-tong_9_thang6"/>
      <sheetName val="BẢNG_ÁP_GIÁ_(in)6"/>
      <sheetName val="NT_(KL)_IN6"/>
      <sheetName val="DOM_D26"/>
      <sheetName val="nhà_ăn6"/>
      <sheetName val="Công_nhật6"/>
      <sheetName val="btkt_cột6"/>
      <sheetName val="Bê_tông_bảo_vệ6"/>
      <sheetName val="01__Data6"/>
      <sheetName val="Neo,_nối_cốt_thép_dầm,_cột6"/>
      <sheetName val="Uốn_móc_cốt_thép6"/>
      <sheetName val="Tiêu_chuẩn_cốt_thép6"/>
      <sheetName val="Doi_so6"/>
      <sheetName val="1_2_Staff_Schedule6"/>
      <sheetName val="0__Input6"/>
      <sheetName val="DANH_MỤC_HỒ_SƠ6"/>
      <sheetName val="GT_PHÁT_SINH_NGOÀI_HĐ6"/>
      <sheetName val="KL_PHÁT_SINH_6"/>
      <sheetName val="PS_NGOÀI_HĐ6"/>
      <sheetName val="GT_PHÁT_SINH_VƯỢT_HĐ6"/>
      <sheetName val="PS_TĂNG_GIẢM_TRONG_HĐ6"/>
      <sheetName val="DGCT_PHÁT_SINH6"/>
      <sheetName val="DGCT_TRẦN_NLV6"/>
      <sheetName val="DGKL_chi_tiết_NLV6"/>
      <sheetName val="DGKL_chi_tiết_NHN,NK6"/>
      <sheetName val="TG_KL6"/>
      <sheetName val="DGCT_SƠN_BẢ_TƯỜNG_NLV6"/>
      <sheetName val="DGKL_TRẦN_NHN6"/>
      <sheetName val="MTO_REV_2(ARMOR)6"/>
      <sheetName val="Cotthep_NPT6"/>
      <sheetName val="vl_nc_mtc6"/>
      <sheetName val="Heso_DZ6"/>
      <sheetName val="DM_336cai_tao6"/>
      <sheetName val="DG_BINH_THUAN6"/>
      <sheetName val="Tien_Thuong6"/>
      <sheetName val="NC_XL_6T_cuoi_01_CTy6"/>
      <sheetName val="Data_-6T_dau6"/>
      <sheetName val="Cong_6T6"/>
      <sheetName val="KL_thep_lam_sat6"/>
      <sheetName val="B3A_-_TOWER_A6"/>
      <sheetName val="Annex_B6"/>
      <sheetName val="Bill_Prelim-CDT6"/>
      <sheetName val="Bill_BPTC-CDT6"/>
      <sheetName val="Chi_tiết_BPTC6"/>
      <sheetName val="Bill_BPTC-CDT_(PA_MCT_CDT)6"/>
      <sheetName val="Chi_tiết_BPTC_(PA_MCT_CDT)6"/>
      <sheetName val="1_Civil_(Org)6"/>
      <sheetName val="DM-VNT_ko_sd6"/>
      <sheetName val="Bảng_đo_bóc_KL_OLK-096"/>
      <sheetName val="6_3_CHI_TIET_OLK-096"/>
      <sheetName val="1__Office6"/>
      <sheetName val="KHOI_LUONG15-46"/>
      <sheetName val="Tong_hop_vat_tu6"/>
      <sheetName val="1_San_6"/>
      <sheetName val="TLG_Type6"/>
      <sheetName val="Dgia_vat_tu6"/>
      <sheetName val="Don_gia_III6"/>
      <sheetName val="D÷_liÖu6"/>
      <sheetName val="Dot_46"/>
      <sheetName val="Thop_Ksat6"/>
      <sheetName val="Thu_hoi_6"/>
      <sheetName val="HM_chung6"/>
      <sheetName val="CP_xd-thiet_bi6"/>
      <sheetName val="TH-TN_LD_TB6"/>
      <sheetName val="CP_xaydung6"/>
      <sheetName val="Thao_ha_phu_kien6"/>
      <sheetName val="VL-NC-MTC_ket_cau6"/>
      <sheetName val="KHOI_LUONG_TONG6"/>
      <sheetName val="TK_22KV6"/>
      <sheetName val="DM_366-17776"/>
      <sheetName val="Thi_nhiem6"/>
      <sheetName val="Gia_goc_VT-TB6"/>
      <sheetName val="Gia_vc_den_chan_CT6"/>
      <sheetName val="culy_226"/>
      <sheetName val="Luong_20506"/>
      <sheetName val="ca_may_QN6"/>
      <sheetName val="TNHC1246_6"/>
      <sheetName val="Ca_may_TT06_20106"/>
      <sheetName val="Don_gia_VLXD_dia_phuong6"/>
      <sheetName val="Bang_luong_SCL6"/>
      <sheetName val="Dinh_muc_TN14266"/>
      <sheetName val="HRG_BHN6"/>
      <sheetName val="CĂN_ĐH6"/>
      <sheetName val="Chi_phi_van_chuyen6"/>
      <sheetName val="TH_các_CC6"/>
      <sheetName val="Div26_-_Elect6"/>
      <sheetName val="7_Khau_tru_6"/>
      <sheetName val="Q_A01_2-Sh6"/>
      <sheetName val="4_CĂN6"/>
      <sheetName val="2_CDPS6"/>
      <sheetName val="Don_gia_NC6"/>
      <sheetName val="DT_hợp_đồng5"/>
      <sheetName val="Bảng_KL_đợt_15"/>
      <sheetName val="Danh_mục5"/>
      <sheetName val="Bieu_gia_HD5"/>
      <sheetName val="Summary_Sheet5"/>
      <sheetName val="Finishing-Tower_A5"/>
      <sheetName val="Finishing-Tower_B5"/>
      <sheetName val="Finishing-Tower_C5"/>
      <sheetName val="Finishing-Tower_D5"/>
      <sheetName val="MEP-Tower_A5"/>
      <sheetName val="MEP-Tower_B5"/>
      <sheetName val="MEP-Tower_C5"/>
      <sheetName val="MEP-Tower_D5"/>
      <sheetName val="Cost_Report_Sum5"/>
      <sheetName val="Detail_Cost_Sum5"/>
      <sheetName val="RVO-VO_Sum5"/>
      <sheetName val="Potential_VOs_Sum5"/>
      <sheetName val="Cash_Flow_Sum5"/>
      <sheetName val="BTK-Dai_Hoc_Kien_Giang5"/>
      <sheetName val="PV_Graph_Data5"/>
      <sheetName val="doanh_thu5"/>
      <sheetName val="Dutoan_KL5"/>
      <sheetName val="CAP_NUOC5"/>
      <sheetName val="cấp_nước_trục_nhà_vs5"/>
      <sheetName val="THOAT_NUOC5"/>
      <sheetName val="THOAT_MUA5"/>
      <sheetName val="Cáp_phòng5"/>
      <sheetName val="TMC_ĐIỆN_Phi5"/>
      <sheetName val="TMC_Tổng5"/>
      <sheetName val="TH_Đèn_Phòng_L15"/>
      <sheetName val="TH_Đèn_Hầm_L15"/>
      <sheetName val="TỦ_MODULE_T15"/>
      <sheetName val="B-2__(DPP)6"/>
      <sheetName val="Huong_dan5"/>
      <sheetName val="gia_vt,nc,may5"/>
      <sheetName val="Financ__Overview5"/>
      <sheetName val="TINH_GIA_-_SAN_XUAT_Vertico5"/>
      <sheetName val="13_BANG_CT5"/>
      <sheetName val="14_MMUS_GIUA_NHIP5"/>
      <sheetName val="4_HSPBngang5"/>
      <sheetName val="6_Tinh_tai5"/>
      <sheetName val="2_NSl5"/>
      <sheetName val="17_US_CHU_tho_a_b5"/>
      <sheetName val="15_MMUS_GOI5"/>
      <sheetName val="DZ_22KV5"/>
      <sheetName val="Kê_0,45"/>
      <sheetName val="TH_0,45"/>
      <sheetName val="Kê_225"/>
      <sheetName val="TH_225"/>
      <sheetName val="TBA_CAI_TAO5"/>
      <sheetName val="TBA_XDM5"/>
      <sheetName val="TONG_HOP_DU_TOAN5"/>
      <sheetName val="Thop_XAY_DUNG5"/>
      <sheetName val="CP_HANG_MUC_CHUNG5"/>
      <sheetName val="CHI_PHI_XD5"/>
      <sheetName val="CHI_PHI_THI_NGHIEM5"/>
      <sheetName val="VLDIEN_225"/>
      <sheetName val="Dao_dat5"/>
      <sheetName val="TH_Denbu5"/>
      <sheetName val="Do_ve_DC5"/>
      <sheetName val="TH_Bommin5"/>
      <sheetName val="CHI_PHI_THI_NGHIEM-LD_thiet_bi5"/>
      <sheetName val="Luong_TT015"/>
      <sheetName val="Camay_QB5"/>
      <sheetName val="gia_ca_may_BXD5"/>
      <sheetName val="BANG_LUONG_KY_SU5"/>
      <sheetName val="Bang_luong_NHOM_I5"/>
      <sheetName val="Bangluong_NHOM_II_5"/>
      <sheetName val="09-GIA_nhien_lieu-ko_in5"/>
      <sheetName val="Tinh_V_cot_chiem_cho5"/>
      <sheetName val="ĐM_13545"/>
      <sheetName val="KHOAN_MAU5"/>
      <sheetName val="ĐO_ĐỊA_VẬT_LÝ5"/>
      <sheetName val="khoan_tiep_dia5"/>
      <sheetName val="Tổng_hợp_KPHM5"/>
      <sheetName val="Dinh_muc5"/>
      <sheetName val="GIÁ_DỰ_THẦU_30_CĂN5"/>
      <sheetName val="5_2_1_Đo_bóc_KL_OLK-065"/>
      <sheetName val="KS_tuyen5"/>
      <sheetName val="Bang_chiet_tinh_TBA5"/>
      <sheetName val="4_2_1_Đo_bóc_KL_OLK-065"/>
      <sheetName val="4_1_1_CHI_TIET_OLK-065"/>
      <sheetName val="DG_Chi_tiet5"/>
      <sheetName val="_1710_HOINGHINLD5"/>
      <sheetName val="99_(2)5"/>
      <sheetName val="134_5"/>
      <sheetName val="DG_49705"/>
      <sheetName val="Cash_Flow5"/>
      <sheetName val="BU_LONG5"/>
      <sheetName val="DT__NHA_XUONG5"/>
      <sheetName val="EQUIP_LIST5"/>
      <sheetName val="THONG_SO5"/>
      <sheetName val="Đơn_giá_chi_tiết_TN_395"/>
      <sheetName val="HERD_MOVEMENTFARM17"/>
      <sheetName val="HERD_MOVEMENTFARM27"/>
      <sheetName val="CALVES_2-47"/>
      <sheetName val="Cavles_2-47"/>
      <sheetName val="CALVES_4-77"/>
      <sheetName val="HEIFER_7-12m7"/>
      <sheetName val="HEIFER_12+7"/>
      <sheetName val="FRESH_COW_2017-187"/>
      <sheetName val="HP_COW_20187"/>
      <sheetName val="LP_COW_2017-187"/>
      <sheetName val="DRY_COW7"/>
      <sheetName val="FIELD_CROPS7"/>
      <sheetName val="So_sanh5"/>
      <sheetName val="Electrical_Works5"/>
      <sheetName val="H_T__INCOMING_SYSTEM5"/>
      <sheetName val="Tính_giá_NC5"/>
      <sheetName val="Tiên_lượng5"/>
      <sheetName val="SL_cước5"/>
      <sheetName val="¥_5"/>
      <sheetName val="Gia_VT-TB5"/>
      <sheetName val="noi_suy_xa5"/>
      <sheetName val="noi_suy_xa_thu_hoi5"/>
      <sheetName val="Thuyết_minh5"/>
      <sheetName val="Đơn_giá_máy5"/>
      <sheetName val="Tong_DT4"/>
      <sheetName val="phan_tich_don_gia4"/>
      <sheetName val="Bill_No_1_65"/>
      <sheetName val="Bill_No_1_105"/>
      <sheetName val="Bill_No_3_35"/>
      <sheetName val="Bill_No_1_45"/>
      <sheetName val="Bill_No_1_75"/>
      <sheetName val="Summary_Bill_No__35"/>
      <sheetName val="DT_san_XD-So_lieu_cu4"/>
      <sheetName val="FF-2_(1)4"/>
      <sheetName val="Labour_Summary17"/>
      <sheetName val="YTD_12'20034"/>
      <sheetName val="YTD_06'20034"/>
      <sheetName val="YTD_03'20034"/>
      <sheetName val="YTD_09'20034"/>
      <sheetName val="deferred_taxes4"/>
      <sheetName val="Eqpmnt_Plng4"/>
      <sheetName val="TRIAL_BALANCE4"/>
      <sheetName val="DPR_31st_march4"/>
      <sheetName val="current_month4"/>
      <sheetName val="Blng__Vs_Coll_4"/>
      <sheetName val="Unit_price4"/>
      <sheetName val="Bán_đợt_1_trang4"/>
      <sheetName val="Chiet_tinh_dz354"/>
      <sheetName val="3__KC_-_PODIUM4"/>
      <sheetName val="CTDZ6kv_(gd1)_4"/>
      <sheetName val="CTDZ_0_4+cto_(GD1)4"/>
      <sheetName val="CTTBA_(gd1)4"/>
      <sheetName val="03_Detailed4"/>
      <sheetName val="01_Bid_Price_summary4"/>
      <sheetName val="Home_Office_Manhours4"/>
      <sheetName val="Field_SPV_Barchart4"/>
      <sheetName val="Tien_Luong4"/>
      <sheetName val="Unit_price(Updateting)4"/>
      <sheetName val="Cost_List4"/>
      <sheetName val="Detail_Cost4"/>
      <sheetName val="IC_Price_New4"/>
      <sheetName val="Summary_Table4"/>
      <sheetName val="Sales_Person4"/>
      <sheetName val="Bidding_Entity4"/>
      <sheetName val="CHITIET_VL-NCHT1_(2)4"/>
      <sheetName val="Bù_giá_CM4"/>
      <sheetName val="Breakdown_(B)4"/>
      <sheetName val="U_P_Breakdown4"/>
      <sheetName val="IMF_Code4"/>
      <sheetName val="Subsidiary_Calculation4"/>
      <sheetName val="Phu_Bai_Bridge4"/>
      <sheetName val="5_2_1_Đo_bóc_KL_OLK-104"/>
      <sheetName val="BẢNG_DIỄN_GIẢI_KL_(7)4"/>
      <sheetName val="don_gia_14264"/>
      <sheetName val="Luong_BN4"/>
      <sheetName val="Luong_TB4"/>
      <sheetName val="Ca_may_TB4"/>
      <sheetName val="Ca_máy_BN4"/>
      <sheetName val="Vật_liệu4"/>
      <sheetName val="LX_-TT054"/>
      <sheetName val="NC_Moi_TT054"/>
      <sheetName val="Bia_lot4"/>
      <sheetName val="Chu_dau_tu"/>
      <sheetName val="Cau_tao_gia_xay_to"/>
      <sheetName val="THÔNG_TIN"/>
      <sheetName val="THPDMoi__(2)"/>
      <sheetName val="t-h_HA_THE"/>
      <sheetName val="TH_XL"/>
      <sheetName val="CHITIET_VL-NC"/>
      <sheetName val="PU_ITALY_27"/>
      <sheetName val="TH_DZ3515"/>
      <sheetName val="Tro_giup26"/>
      <sheetName val="RAB_AR&amp;STR13"/>
      <sheetName val="chi_tiet_TBA13"/>
      <sheetName val="chi_tiet_C13"/>
      <sheetName val="Customize_Your_Purchase_Order13"/>
      <sheetName val="CHITIET_VL-NC-TT_-1p13"/>
      <sheetName val="CHITIET_VL-NC-TT-3p12"/>
      <sheetName val="TONG_HOP_VL-NC_TT13"/>
      <sheetName val="KPVC-BD_13"/>
      <sheetName val="Don_gia13"/>
      <sheetName val="DON_GIA_TRAM_(3)13"/>
      <sheetName val="DON_GIA_CAN_THO15"/>
      <sheetName val="Don_gia_chi_tiet13"/>
      <sheetName val="HĐ_ngoài12"/>
      <sheetName val="XT_Buoc_312"/>
      <sheetName val="dongia_(2)12"/>
      <sheetName val="7606_DZ13"/>
      <sheetName val="project_management12"/>
      <sheetName val="Adix_A12"/>
      <sheetName val="S-curve_12"/>
      <sheetName val="REINF_12"/>
      <sheetName val="Rates_200912"/>
      <sheetName val="So_doi_chieu_LC12"/>
      <sheetName val="MAIN_GATE_HOUSE12"/>
      <sheetName val="Commercial_value12"/>
      <sheetName val="Du_toan12"/>
      <sheetName val="Ky_Lam_Bridge12"/>
      <sheetName val="Provisional_Sums_Item12"/>
      <sheetName val="Gas_Pressure_Welding12"/>
      <sheetName val="General_Item&amp;General_Requirem12"/>
      <sheetName val="General_Items12"/>
      <sheetName val="Regenral_Requirements12"/>
      <sheetName val="chiet_tinh12"/>
      <sheetName val="Ng_hàng_xà+bulong12"/>
      <sheetName val="MH_RATE12"/>
      <sheetName val="TONG_HOP_VL-NC12"/>
      <sheetName val="Bang_KL12"/>
      <sheetName val="Đầu_vào11"/>
      <sheetName val="Lcau_-_Lxuc12"/>
      <sheetName val="Chi_tiet_XD_TBA11"/>
      <sheetName val="DM_606112"/>
      <sheetName val="DG_thep_ma_kem12"/>
      <sheetName val="CT_vat_lieu12"/>
      <sheetName val="Equip_11"/>
      <sheetName val="A1_CN11"/>
      <sheetName val="TONG_HOP_T5_199811"/>
      <sheetName val="Chenh_lech_vat_tu11"/>
      <sheetName val="Trạm_biến_áp11"/>
      <sheetName val="Đơn_Giá_11"/>
      <sheetName val="Diện_tích11"/>
      <sheetName val="1_Khái_toán11"/>
      <sheetName val="CT-0_4KV11"/>
      <sheetName val="DG_DZ12"/>
      <sheetName val="DG_TBA12"/>
      <sheetName val="rate_material11"/>
      <sheetName val="KL_Chi_tiết_Xây_tô11"/>
      <sheetName val="07Base_Cost11"/>
      <sheetName val="GV1-D13_(Casement_door)11"/>
      <sheetName val="Bill_1_Quy_dinh_chung11"/>
      <sheetName val="1_R18_BF11"/>
      <sheetName val="6_External_works-R1811"/>
      <sheetName val="Phan_khai_KLuong11"/>
      <sheetName val="Chi_tiet_KL11"/>
      <sheetName val="Tổng_hợp_KL11"/>
      <sheetName val="04_-_XUONG_DET_B11"/>
      <sheetName val="_0311"/>
      <sheetName val="chieu_day_san11"/>
      <sheetName val="Podium_Concrete_Works11"/>
      <sheetName val="KLCT-_TOWER11"/>
      <sheetName val="KLCT-_PODIUM11"/>
      <sheetName val="Area_Cal11"/>
      <sheetName val="Gia_thanh_chuoi_su11"/>
      <sheetName val="Tiep_dia11"/>
      <sheetName val="Don_gia_vung_III-Can_Tho11"/>
      <sheetName val="Loại_Vật_tư11"/>
      <sheetName val="Elect_(3)11"/>
      <sheetName val="plan&amp;section_of_foundation11"/>
      <sheetName val="design_criteria11"/>
      <sheetName val="Bond_수수료_계산_포맷11"/>
      <sheetName val="ITB_COST11"/>
      <sheetName val="PAGE_111"/>
      <sheetName val="Xay_lapduongR311"/>
      <sheetName val="DM_6711"/>
      <sheetName val="Project_Data11"/>
      <sheetName val="6787CWFASE2CASE2_00_xls11"/>
      <sheetName val="Đầu_tư11"/>
      <sheetName val="EIRR&gt;_211"/>
      <sheetName val="Bill_02_-_Xay_gach-Pou_11"/>
      <sheetName val="Bill_03-Chống_thấm-Pou11"/>
      <sheetName val="Bill_04-Kim_loại-Pou11"/>
      <sheetName val="Bill_05_-_Hoan_thien-Pou_11"/>
      <sheetName val="Bill_02_-_Xay_gach-Tower11"/>
      <sheetName val="Bill_03-Chống_thấm-Tower11"/>
      <sheetName val="Bill_04-Kim_loại-Tower11"/>
      <sheetName val="Bill_05_-_Hoan_thien-Tower11"/>
      <sheetName val="KL-_KHAC11"/>
      <sheetName val="BILL_3_-_KẾT_CẤU_HẦM11"/>
      <sheetName val="PTĐG_LTBT11"/>
      <sheetName val="CTG-PRECHEx1_411"/>
      <sheetName val="CTG-AB_(2)11"/>
      <sheetName val="CTG-AB_(3)11"/>
      <sheetName val="CTG-PLP-1_0811"/>
      <sheetName val="Pre_Đội_nhóm11"/>
      <sheetName val="Vat_tu_XD11"/>
      <sheetName val="Tower_-_Concrete_Works11"/>
      <sheetName val="Bill-04_ket_cau_thap-_UNI11"/>
      <sheetName val="dg_tphcm11"/>
      <sheetName val="T_KÊ_K_CẤU11"/>
      <sheetName val="gia_cong_tac11"/>
      <sheetName val="4_PTDG11"/>
      <sheetName val="A1,_May11"/>
      <sheetName val="Vat_lieu11"/>
      <sheetName val="Data_Input12"/>
      <sheetName val="Measure_130611"/>
      <sheetName val="HÐ_ngoài12"/>
      <sheetName val="6PILE__(돌출)11"/>
      <sheetName val="Door_and_window6"/>
      <sheetName val="Bill_01_-_CTN11"/>
      <sheetName val="Bill_2_2_Villa_2_beds11"/>
      <sheetName val="Analisa_Gabungan11"/>
      <sheetName val="Isolasi_Luar_Dalam11"/>
      <sheetName val="Isolasi_Luar11"/>
      <sheetName val="Harga_ME_11"/>
      <sheetName val="TH_N_Cong11"/>
      <sheetName val="ESTI_11"/>
      <sheetName val="KL_san_lap11"/>
      <sheetName val="TH_Vat_tu11"/>
      <sheetName val="_Bill_5-Earthing_2_-_Add_Work11"/>
      <sheetName val="Chenh_lech_ca_may11"/>
      <sheetName val="TLg_CN&amp;Laixe11"/>
      <sheetName val="TLg_CN&amp;Laixe_(2)11"/>
      <sheetName val="TLg_Laitau11"/>
      <sheetName val="TLg_Laitau_(2)11"/>
      <sheetName val="Bang_trong_luong_rieng_thep11"/>
      <sheetName val="Cước_VC_+_ĐM_CP_Tư_vấn11"/>
      <sheetName val="Hệ_số11"/>
      <sheetName val="DETAIL_11"/>
      <sheetName val="final_list_200527"/>
      <sheetName val="LV_data11"/>
      <sheetName val="Gia_vat_tu11"/>
      <sheetName val="CẤP_THOÁT_NƯỚC11"/>
      <sheetName val="THDT_goi_thau_TB11"/>
      <sheetName val="Tien_do_TV11"/>
      <sheetName val="bridge_#_111"/>
      <sheetName val="Bang_3_Chi_tiet_phan_Dz11"/>
      <sheetName val="KHOI_LUONG11"/>
      <sheetName val="TH_MTC11"/>
      <sheetName val="CTKL_KTX_HT10"/>
      <sheetName val="Buy_vs__Lease_Car11"/>
      <sheetName val="DATA_BASE11"/>
      <sheetName val="Equipment_list_(PAC)11"/>
      <sheetName val="TINH_KHOI_LUONG11"/>
      <sheetName val="Chi_tiet11"/>
      <sheetName val="subcon_sched11"/>
      <sheetName val="NHÀ_NHẬP_LIỆU10"/>
      <sheetName val="MÓNG_SILO10"/>
      <sheetName val="PRE_(E)11"/>
      <sheetName val="HVAC_BLOCK_B411"/>
      <sheetName val="2_Chiet_tinh10"/>
      <sheetName val="BẢNG_KHỐI_LƯỢNG_TỔNG_HỢP10"/>
      <sheetName val="CP_Khac_cuoc_VC10"/>
      <sheetName val="Budget_Code10"/>
      <sheetName val="Tong_du_toan10"/>
      <sheetName val="Bill_2_-_ketcau10"/>
      <sheetName val="Chi_tiet_lan_can10"/>
      <sheetName val="sochitiettaikhoan_10"/>
      <sheetName val="Share_price_data10"/>
      <sheetName val="19_310"/>
      <sheetName val="20_310"/>
      <sheetName val="Chieu_4_310"/>
      <sheetName val="Cow_req10"/>
      <sheetName val="TỔNG_HỢP10"/>
      <sheetName val="14-LẦN_3-CHIỀU10"/>
      <sheetName val="14-LẦN_1-SÁNG10"/>
      <sheetName val="14-LẦN_2-TRƯA10"/>
      <sheetName val="1_3+1_4-TOTAL_-_Ko_IN10"/>
      <sheetName val="2_1-LẦN_3-CHIỀU10"/>
      <sheetName val="2_1-LẦN_1-SÁNG10"/>
      <sheetName val="2_1-LẦN_2-TRƯA10"/>
      <sheetName val="2_1-TOTAL-Ko_IN10"/>
      <sheetName val="1_3(TMR_4)10"/>
      <sheetName val="CHO_DE10"/>
      <sheetName val="1_1+1_2+2_2+2_3(TMR_3)10"/>
      <sheetName val="CK1+CK2_(VS_SAN_CHOI_23)10"/>
      <sheetName val="CK1+CK2_(2)10"/>
      <sheetName val="12-16_THÁNG10"/>
      <sheetName val="CAN_SỮA10"/>
      <sheetName val="54+55+56(SAU_CAI_SỮA-6)10"/>
      <sheetName val="BÊ_71-90_NGÀY10"/>
      <sheetName val="BÊ_12-16_tháng10"/>
      <sheetName val="BÊ_6-1210"/>
      <sheetName val="BÊ_1-310"/>
      <sheetName val="F01-BC_KHAU_PHAN_SANG_20_310"/>
      <sheetName val="F01-BC_KHAU_PHAN_CHIEU_19_310"/>
      <sheetName val="dinh_mưc_cty10"/>
      <sheetName val="Giá_thành10"/>
      <sheetName val="Thong_ke10"/>
      <sheetName val="Energy_for_milk_prod10"/>
      <sheetName val="DE_NGHI_XUAT_10"/>
      <sheetName val="phieu_xuat_mau10"/>
      <sheetName val="PHIEU_XUAT_CHIEU10"/>
      <sheetName val="11_rai_them_cỏ10"/>
      <sheetName val="PHU_LUC_02-_HDSD_CAC_BIEU_MAU10"/>
      <sheetName val="PhU_LUC_01-_MA_CAC_NHOM_BO10"/>
      <sheetName val="F03-BC_THUC_TRON_SANG_20_310"/>
      <sheetName val="F03-BC_THUC_TRON_CHIEU_19_310"/>
      <sheetName val="F02-BC_THEO_DOI_THUC_AN_DU10"/>
      <sheetName val="Tham_khao-_Bao_cao_xuat_thuc_10"/>
      <sheetName val="13-Cốt_thép_(10mm&lt;D≤18mm)_FO110"/>
      <sheetName val="du_lieu_du_toan10"/>
      <sheetName val="BANCO_(2)10"/>
      <sheetName val="MT_DPin_(2)10"/>
      <sheetName val="BOQ_THAN10"/>
      <sheetName val="DL_ĐẦU_VÀO10"/>
      <sheetName val="D_&amp;_W_sizes10"/>
      <sheetName val="Analisa_&amp;_Upah10"/>
      <sheetName val="Purchase_Order10"/>
      <sheetName val="Du_lieu11"/>
      <sheetName val="Phan_tich10"/>
      <sheetName val="Luong_NII10"/>
      <sheetName val="DINH_MUC_THI_NGHIEM10"/>
      <sheetName val="Luong_NI10"/>
      <sheetName val="CT_Thang_Mo10"/>
      <sheetName val="CT__PL10"/>
      <sheetName val="dongia__2_10"/>
      <sheetName val="Thép_CKN10"/>
      <sheetName val="GOC-KO_IN10"/>
      <sheetName val="MAU_8A10"/>
      <sheetName val="MAU_8B10"/>
      <sheetName val="MAU_910"/>
      <sheetName val="MAU_1010"/>
      <sheetName val="cash_budget10"/>
      <sheetName val="Dlieu_dau_vao10"/>
      <sheetName val="CHI_PHI8"/>
      <sheetName val="02__PTDG10"/>
      <sheetName val="Chiết_tính10"/>
      <sheetName val="DK1_Don_gia10"/>
      <sheetName val="Income_Statement10"/>
      <sheetName val="Shareholders'_Equity10"/>
      <sheetName val="VC_xd8"/>
      <sheetName val="Gia_VLTB8"/>
      <sheetName val="B_Luong8"/>
      <sheetName val="C_May8"/>
      <sheetName val="Don_gia_(khong_in)10"/>
      <sheetName val="1_MONG_1-210"/>
      <sheetName val="TB_NẶNG8"/>
      <sheetName val="Du_tru_CP-Bieu_018"/>
      <sheetName val="dm_3668"/>
      <sheetName val="DM_60608"/>
      <sheetName val="Dự_thầu8"/>
      <sheetName val="Nhap_VT_oto8"/>
      <sheetName val="Hao_phí8"/>
      <sheetName val="Ma_don_vi8"/>
      <sheetName val="bang_cc8"/>
      <sheetName val="Structure_data8"/>
      <sheetName val="TH_TN8"/>
      <sheetName val="Bill_No_3_-_Prov__Sum_(Ph2&amp;3)8"/>
      <sheetName val="đọc_số8"/>
      <sheetName val="CP_Du_phong8"/>
      <sheetName val="THCP_Lap_dat8"/>
      <sheetName val="THCP_xay_dung8"/>
      <sheetName val="Tong_hop_kinh_phi8"/>
      <sheetName val="CP_HMC8"/>
      <sheetName val="HỆ_THỐNG_PHÒNG_CHÁY_CHỮA_CHÁY8"/>
      <sheetName val="HỆ_THỐNG_CẤP_THOÁT_NƯỚC8"/>
      <sheetName val="HỆ_THỐNG_ĐHKK8"/>
      <sheetName val="MÁY_PHÁT_ĐIỆN8"/>
      <sheetName val="HỆ_THỐNG_ĐIỆN8"/>
      <sheetName val="Thiết_bị_chính8"/>
      <sheetName val="Ｎｏ_138"/>
      <sheetName val="DGchitiet_8"/>
      <sheetName val="wk_prgs8"/>
      <sheetName val="AG_Pipe_Qty_Analysis8"/>
      <sheetName val="2_1Warehouse_18"/>
      <sheetName val="CĂN_HỘ_T16-17_8"/>
      <sheetName val="TRỤC_ĐỨNG_THOÁT_BẨN_T15-178"/>
      <sheetName val="TRỤC_ĐỨNG_TM_T15-178"/>
      <sheetName val="TK_chi_tiet8"/>
      <sheetName val="Bill_2-Road_HR28"/>
      <sheetName val="Bill_3_-_Softscape_HR28"/>
      <sheetName val="THEP_TAM8"/>
      <sheetName val="THEP_HÌNH8"/>
      <sheetName val="THEP_HINH8"/>
      <sheetName val="XA_GO8"/>
      <sheetName val="BANG_TRA8"/>
      <sheetName val="Main_Bldg-Rev028"/>
      <sheetName val="D&amp;W_def_8"/>
      <sheetName val="Nhan_cong8"/>
      <sheetName val="Thiet_bi8"/>
      <sheetName val="Vat_tu8"/>
      <sheetName val="DM_ChiPhi8"/>
      <sheetName val="May_TC8"/>
      <sheetName val="TH_Kinh_phi8"/>
      <sheetName val="Ptvl_8"/>
      <sheetName val="Móng,_nền_8"/>
      <sheetName val="1_Requisition(E)8"/>
      <sheetName val="So_lieu_chung7"/>
      <sheetName val="Q_A01_2-Sh7"/>
      <sheetName val="DG_14267"/>
      <sheetName val="Dự_toán8"/>
      <sheetName val="Đơn_Giá_TH8"/>
      <sheetName val="Nhân_công8"/>
      <sheetName val="Phân_tích8"/>
      <sheetName val="C_P_Thiết_bị8"/>
      <sheetName val="T_H_Kinh_phí8"/>
      <sheetName val="Vật_tư8"/>
      <sheetName val="Trang_bìa8"/>
      <sheetName val="phan_tic_chi_tiet8"/>
      <sheetName val="TONG_HOP8"/>
      <sheetName val="Tổng_GT8"/>
      <sheetName val="Chi_tiết_KL8"/>
      <sheetName val="khấu_trừ_phạt8"/>
      <sheetName val="GT__KHAU_TRU8"/>
      <sheetName val="HAO_HUT_VAT_TU_(2)8"/>
      <sheetName val="cao_độ8"/>
      <sheetName val="Data_Wall8"/>
      <sheetName val="3__CNT7"/>
      <sheetName val="unit_price_list(M)7"/>
      <sheetName val="Theo_doi_Doanh_thu_20177"/>
      <sheetName val="Gia_vat_lieu7"/>
      <sheetName val="gui_BKCT7"/>
      <sheetName val="Precios_unitarios_AXH7"/>
      <sheetName val="Chi_tiet_cong_no8"/>
      <sheetName val="PHÁT_SINH_TẦNG_1_8"/>
      <sheetName val="PHÁT_SINH_TẦNG_28"/>
      <sheetName val="Hầm_chuyển_psinh8"/>
      <sheetName val="Ống_thẳng8"/>
      <sheetName val="Côn_thu8"/>
      <sheetName val="Vuông_tròn8"/>
      <sheetName val="Chân_rẽ8"/>
      <sheetName val="Chạc_ba8"/>
      <sheetName val="Danh_mục6"/>
      <sheetName val="PV_Graph_Data6"/>
      <sheetName val="1_2_Staff_Schedule7"/>
      <sheetName val="BẢNG_ÁP_GIÁ_(in)7"/>
      <sheetName val="NT_(KL)_IN7"/>
      <sheetName val="DOM_D27"/>
      <sheetName val="nhà_ăn7"/>
      <sheetName val="Công_nhật7"/>
      <sheetName val="btkt_cột7"/>
      <sheetName val="Bảng_đo_bóc_KL_OLK-097"/>
      <sheetName val="6_3_CHI_TIET_OLK-097"/>
      <sheetName val="BTK-Dai_Hoc_Kien_Giang6"/>
      <sheetName val="0__Input7"/>
      <sheetName val="TH_các_CC7"/>
      <sheetName val="Don_gia_chi_tiet_DIEN_27"/>
      <sheetName val="Chi_tiet_-tong_9_thang7"/>
      <sheetName val="TH_VL,_NC,_DDHT_Thanhphuoc7"/>
      <sheetName val="1__Office7"/>
      <sheetName val="KL_THEP__GIAM_DO_DUNG_COUPLER7"/>
      <sheetName val="01_KL_THÉP_NHẬP_VỀ7"/>
      <sheetName val="2__NT_VLDV7"/>
      <sheetName val="GHI_CHU7"/>
      <sheetName val="1_BB_LMHT7"/>
      <sheetName val="Bê_tông_bảo_vệ7"/>
      <sheetName val="01__Data7"/>
      <sheetName val="Neo,_nối_cốt_thép_dầm,_cột7"/>
      <sheetName val="Uốn_móc_cốt_thép7"/>
      <sheetName val="Tiêu_chuẩn_cốt_thép7"/>
      <sheetName val="Doi_so7"/>
      <sheetName val="1_Civil_(Org)7"/>
      <sheetName val="Bill_Prelim-CDT7"/>
      <sheetName val="Bill_BPTC-CDT7"/>
      <sheetName val="Chi_tiết_BPTC7"/>
      <sheetName val="Bill_BPTC-CDT_(PA_MCT_CDT)7"/>
      <sheetName val="Chi_tiết_BPTC_(PA_MCT_CDT)7"/>
      <sheetName val="Thop_Ksat7"/>
      <sheetName val="Thu_hoi_7"/>
      <sheetName val="HM_chung7"/>
      <sheetName val="CP_xd-thiet_bi7"/>
      <sheetName val="TH-TN_LD_TB7"/>
      <sheetName val="CP_xaydung7"/>
      <sheetName val="Thao_ha_phu_kien7"/>
      <sheetName val="VL-NC-MTC_ket_cau7"/>
      <sheetName val="KHOI_LUONG_TONG7"/>
      <sheetName val="TK_22KV7"/>
      <sheetName val="DM_366-17777"/>
      <sheetName val="Thi_nhiem7"/>
      <sheetName val="Gia_goc_VT-TB7"/>
      <sheetName val="Gia_vc_den_chan_CT7"/>
      <sheetName val="culy_227"/>
      <sheetName val="Luong_20507"/>
      <sheetName val="ca_may_QN7"/>
      <sheetName val="TNHC1246_7"/>
      <sheetName val="Ca_may_TT06_20107"/>
      <sheetName val="Don_gia_VLXD_dia_phuong7"/>
      <sheetName val="Bang_luong_SCL7"/>
      <sheetName val="Dinh_muc_TN14267"/>
      <sheetName val="DM_336cai_tao7"/>
      <sheetName val="MTO_REV_2(ARMOR)7"/>
      <sheetName val="Dutoan_KL6"/>
      <sheetName val="doanh_thu6"/>
      <sheetName val="KHOI_LUONG15-47"/>
      <sheetName val="DANH_MỤC_HỒ_SƠ7"/>
      <sheetName val="GT_PHÁT_SINH_NGOÀI_HĐ7"/>
      <sheetName val="KL_PHÁT_SINH_7"/>
      <sheetName val="PS_NGOÀI_HĐ7"/>
      <sheetName val="GT_PHÁT_SINH_VƯỢT_HĐ7"/>
      <sheetName val="PS_TĂNG_GIẢM_TRONG_HĐ7"/>
      <sheetName val="DGCT_PHÁT_SINH7"/>
      <sheetName val="DGCT_TRẦN_NLV7"/>
      <sheetName val="DGKL_chi_tiết_NLV7"/>
      <sheetName val="DGKL_chi_tiết_NHN,NK7"/>
      <sheetName val="TG_KL7"/>
      <sheetName val="DGCT_SƠN_BẢ_TƯỜNG_NLV7"/>
      <sheetName val="DGKL_TRẦN_NHN7"/>
      <sheetName val="KL_thep_lam_sat7"/>
      <sheetName val="DM-VNT_ko_sd7"/>
      <sheetName val="B3A_-_TOWER_A7"/>
      <sheetName val="Annex_B7"/>
      <sheetName val="Cotthep_NPT7"/>
      <sheetName val="vl_nc_mtc7"/>
      <sheetName val="Tien_Thuong7"/>
      <sheetName val="NC_XL_6T_cuoi_01_CTy7"/>
      <sheetName val="Data_-6T_dau7"/>
      <sheetName val="Cong_6T7"/>
      <sheetName val="TLG_Type7"/>
      <sheetName val="Tong_hop_vat_tu7"/>
      <sheetName val="1_San_7"/>
      <sheetName val="Dot_47"/>
      <sheetName val="HRG_BHN7"/>
      <sheetName val="CĂN_ĐH7"/>
      <sheetName val="Chi_phi_van_chuyen7"/>
      <sheetName val="Dgia_vat_tu7"/>
      <sheetName val="Don_gia_III7"/>
      <sheetName val="D÷_liÖu7"/>
      <sheetName val="DT_hợp_đồng6"/>
      <sheetName val="Bảng_KL_đợt_16"/>
      <sheetName val="2_CDPS7"/>
      <sheetName val="Summary_Sheet6"/>
      <sheetName val="Finishing-Tower_A6"/>
      <sheetName val="Finishing-Tower_B6"/>
      <sheetName val="Finishing-Tower_C6"/>
      <sheetName val="Finishing-Tower_D6"/>
      <sheetName val="MEP-Tower_A6"/>
      <sheetName val="MEP-Tower_B6"/>
      <sheetName val="MEP-Tower_C6"/>
      <sheetName val="MEP-Tower_D6"/>
      <sheetName val="Cost_Report_Sum6"/>
      <sheetName val="Detail_Cost_Sum6"/>
      <sheetName val="RVO-VO_Sum6"/>
      <sheetName val="Potential_VOs_Sum6"/>
      <sheetName val="Cash_Flow_Sum6"/>
      <sheetName val="Heso_DZ7"/>
      <sheetName val="Bieu_gia_HD6"/>
      <sheetName val="Div26_-_Elect7"/>
      <sheetName val="7_Khau_tru_7"/>
      <sheetName val="4_CĂN7"/>
      <sheetName val="DG_BINH_THUAN7"/>
      <sheetName val="GIÁ_DỰ_THẦU_30_CĂN6"/>
      <sheetName val="DG_Chi_tiet6"/>
      <sheetName val="Kê_0,46"/>
      <sheetName val="TH_0,46"/>
      <sheetName val="Kê_226"/>
      <sheetName val="TH_226"/>
      <sheetName val="TBA_CAI_TAO6"/>
      <sheetName val="TBA_XDM6"/>
      <sheetName val="TONG_HOP_DU_TOAN6"/>
      <sheetName val="Thop_XAY_DUNG6"/>
      <sheetName val="CP_HANG_MUC_CHUNG6"/>
      <sheetName val="CHI_PHI_XD6"/>
      <sheetName val="CHI_PHI_THI_NGHIEM6"/>
      <sheetName val="VLDIEN_226"/>
      <sheetName val="Dao_dat6"/>
      <sheetName val="TH_Denbu6"/>
      <sheetName val="Do_ve_DC6"/>
      <sheetName val="TH_Bommin6"/>
      <sheetName val="CHI_PHI_THI_NGHIEM-LD_thiet_bi6"/>
      <sheetName val="Luong_TT016"/>
      <sheetName val="Camay_QB6"/>
      <sheetName val="gia_ca_may_BXD6"/>
      <sheetName val="BANG_LUONG_KY_SU6"/>
      <sheetName val="Bang_luong_NHOM_I6"/>
      <sheetName val="Bangluong_NHOM_II_6"/>
      <sheetName val="09-GIA_nhien_lieu-ko_in6"/>
      <sheetName val="Tinh_V_cot_chiem_cho6"/>
      <sheetName val="ĐM_13546"/>
      <sheetName val="KHOAN_MAU6"/>
      <sheetName val="ĐO_ĐỊA_VẬT_LÝ6"/>
      <sheetName val="khoan_tiep_dia6"/>
      <sheetName val="DZ_22KV6"/>
      <sheetName val="_1710_HOINGHINLD6"/>
      <sheetName val="99_(2)6"/>
      <sheetName val="134_6"/>
      <sheetName val="DG_49706"/>
      <sheetName val="Don_gia_NC7"/>
      <sheetName val="B-2__(DPP)7"/>
      <sheetName val="CAP_NUOC6"/>
      <sheetName val="cấp_nước_trục_nhà_vs6"/>
      <sheetName val="THOAT_NUOC6"/>
      <sheetName val="THOAT_MUA6"/>
      <sheetName val="Cáp_phòng6"/>
      <sheetName val="TMC_ĐIỆN_Phi6"/>
      <sheetName val="TMC_Tổng6"/>
      <sheetName val="TH_Đèn_Phòng_L16"/>
      <sheetName val="TH_Đèn_Hầm_L16"/>
      <sheetName val="TỦ_MODULE_T16"/>
      <sheetName val="Financ__Overview6"/>
      <sheetName val="13_BANG_CT6"/>
      <sheetName val="14_MMUS_GIUA_NHIP6"/>
      <sheetName val="4_HSPBngang6"/>
      <sheetName val="6_Tinh_tai6"/>
      <sheetName val="2_NSl6"/>
      <sheetName val="17_US_CHU_tho_a_b6"/>
      <sheetName val="15_MMUS_GOI6"/>
      <sheetName val="TINH_GIA_-_SAN_XUAT_Vertico6"/>
      <sheetName val="gia_vt,nc,may6"/>
      <sheetName val="Huong_dan6"/>
      <sheetName val="Tổng_hợp_KPHM6"/>
      <sheetName val="5_2_1_Đo_bóc_KL_OLK-066"/>
      <sheetName val="MB_DT_026"/>
      <sheetName val="Dinh_muc6"/>
      <sheetName val="KS_tuyen6"/>
      <sheetName val="Bang_chiet_tinh_TBA6"/>
      <sheetName val="4_2_1_Đo_bóc_KL_OLK-066"/>
      <sheetName val="4_1_1_CHI_TIET_OLK-066"/>
      <sheetName val="Cash_Flow6"/>
      <sheetName val="So_sanh6"/>
      <sheetName val="HERD_MOVEMENTFARM18"/>
      <sheetName val="HERD_MOVEMENTFARM28"/>
      <sheetName val="CALVES_2-48"/>
      <sheetName val="Cavles_2-48"/>
      <sheetName val="CALVES_4-78"/>
      <sheetName val="HEIFER_7-12m8"/>
      <sheetName val="HEIFER_12+8"/>
      <sheetName val="FRESH_COW_2017-188"/>
      <sheetName val="HP_COW_20188"/>
      <sheetName val="LP_COW_2017-188"/>
      <sheetName val="DRY_COW8"/>
      <sheetName val="FIELD_CROPS8"/>
      <sheetName val="Tong_DT5"/>
      <sheetName val="phan_tich_don_gia5"/>
      <sheetName val="DT_san_XD-So_lieu_cu5"/>
      <sheetName val="EQUIP_LIST6"/>
      <sheetName val="Electrical_Works6"/>
      <sheetName val="H_T__INCOMING_SYSTEM6"/>
      <sheetName val="BU_LONG6"/>
      <sheetName val="THONG_SO6"/>
      <sheetName val="Đơn_giá_chi_tiết_TN_396"/>
      <sheetName val="DT__NHA_XUONG6"/>
      <sheetName val="Gia_VT-TB6"/>
      <sheetName val="noi_suy_xa6"/>
      <sheetName val="noi_suy_xa_thu_hoi6"/>
      <sheetName val="Tính_giá_NC6"/>
      <sheetName val="Tiên_lượng6"/>
      <sheetName val="SL_cước6"/>
      <sheetName val="Thuyết_minh6"/>
      <sheetName val="Đơn_giá_máy6"/>
      <sheetName val="¥_6"/>
      <sheetName val="FF-2_(1)5"/>
      <sheetName val="Labour_Summary18"/>
      <sheetName val="YTD_12'20035"/>
      <sheetName val="YTD_06'20035"/>
      <sheetName val="YTD_03'20035"/>
      <sheetName val="YTD_09'20035"/>
      <sheetName val="deferred_taxes5"/>
      <sheetName val="Eqpmnt_Plng5"/>
      <sheetName val="TRIAL_BALANCE5"/>
      <sheetName val="DPR_31st_march5"/>
      <sheetName val="current_month5"/>
      <sheetName val="Blng__Vs_Coll_5"/>
      <sheetName val="Unit_price5"/>
      <sheetName val="Bill_No_1_66"/>
      <sheetName val="Bill_No_1_106"/>
      <sheetName val="Bill_No_3_36"/>
      <sheetName val="Bill_No_1_46"/>
      <sheetName val="Bill_No_1_76"/>
      <sheetName val="Summary_Bill_No__36"/>
      <sheetName val="Bán_đợt_1_trang5"/>
      <sheetName val="Chiet_tinh_dz355"/>
      <sheetName val="3__KC_-_PODIUM5"/>
      <sheetName val="CTDZ6kv_(gd1)_5"/>
      <sheetName val="CTDZ_0_4+cto_(GD1)5"/>
      <sheetName val="CTTBA_(gd1)5"/>
      <sheetName val="03_Detailed5"/>
      <sheetName val="01_Bid_Price_summary5"/>
      <sheetName val="Home_Office_Manhours5"/>
      <sheetName val="Field_SPV_Barchart5"/>
      <sheetName val="Tien_Luong5"/>
      <sheetName val="Unit_price(Updateting)5"/>
      <sheetName val="Cost_List5"/>
      <sheetName val="Detail_Cost5"/>
      <sheetName val="IC_Price_New5"/>
      <sheetName val="Summary_Table5"/>
      <sheetName val="Sales_Person5"/>
      <sheetName val="Bidding_Entity5"/>
      <sheetName val="CHITIET_VL-NCHT1_(2)5"/>
      <sheetName val="Bù_giá_CM5"/>
      <sheetName val="Breakdown_(B)5"/>
      <sheetName val="U_P_Breakdown5"/>
      <sheetName val="IMF_Code5"/>
      <sheetName val="Subsidiary_Calculation5"/>
      <sheetName val="Phu_Bai_Bridge5"/>
      <sheetName val="5_2_1_Đo_bóc_KL_OLK-105"/>
      <sheetName val="BẢNG_DIỄN_GIẢI_KL_(7)5"/>
      <sheetName val="don_gia_14265"/>
      <sheetName val="Luong_BN5"/>
      <sheetName val="Luong_TB5"/>
      <sheetName val="Ca_may_TB5"/>
      <sheetName val="Ca_máy_BN5"/>
      <sheetName val="Vật_liệu5"/>
      <sheetName val="LX_-TT055"/>
      <sheetName val="NC_Moi_TT055"/>
      <sheetName val="Bia_lot5"/>
      <sheetName val="Chu_dau_tu1"/>
      <sheetName val="Cau_tao_gia_xay_to1"/>
      <sheetName val="THÔNG_TIN1"/>
      <sheetName val="THPDMoi__(2)1"/>
      <sheetName val="t-h_HA_THE1"/>
      <sheetName val="TH_XL1"/>
      <sheetName val="CHITIET_VL-NC1"/>
      <sheetName val="PU_ITALY_28"/>
      <sheetName val="TH_DZ3516"/>
      <sheetName val="Tro_giup27"/>
      <sheetName val="RAB_AR&amp;STR14"/>
      <sheetName val="chi_tiet_TBA14"/>
      <sheetName val="chi_tiet_C14"/>
      <sheetName val="Customize_Your_Purchase_Order14"/>
      <sheetName val="CHITIET_VL-NC-TT_-1p14"/>
      <sheetName val="CHITIET_VL-NC-TT-3p13"/>
      <sheetName val="TONG_HOP_VL-NC_TT14"/>
      <sheetName val="KPVC-BD_14"/>
      <sheetName val="Don_gia14"/>
      <sheetName val="DON_GIA_TRAM_(3)14"/>
      <sheetName val="DON_GIA_CAN_THO16"/>
      <sheetName val="Don_gia_chi_tiet14"/>
      <sheetName val="HĐ_ngoài13"/>
      <sheetName val="XT_Buoc_313"/>
      <sheetName val="dongia_(2)13"/>
      <sheetName val="7606_DZ14"/>
      <sheetName val="project_management13"/>
      <sheetName val="Adix_A13"/>
      <sheetName val="S-curve_13"/>
      <sheetName val="REINF_13"/>
      <sheetName val="Rates_200913"/>
      <sheetName val="So_doi_chieu_LC13"/>
      <sheetName val="MAIN_GATE_HOUSE13"/>
      <sheetName val="Commercial_value13"/>
      <sheetName val="Du_toan13"/>
      <sheetName val="Ky_Lam_Bridge13"/>
      <sheetName val="Provisional_Sums_Item13"/>
      <sheetName val="Gas_Pressure_Welding13"/>
      <sheetName val="General_Item&amp;General_Requirem13"/>
      <sheetName val="General_Items13"/>
      <sheetName val="Regenral_Requirements13"/>
      <sheetName val="chiet_tinh13"/>
      <sheetName val="Ng_hàng_xà+bulong13"/>
      <sheetName val="MH_RATE13"/>
      <sheetName val="TONG_HOP_VL-NC13"/>
      <sheetName val="Bang_KL13"/>
      <sheetName val="Đầu_vào12"/>
      <sheetName val="Lcau_-_Lxuc13"/>
      <sheetName val="Chi_tiet_XD_TBA12"/>
      <sheetName val="DM_606113"/>
      <sheetName val="DG_thep_ma_kem13"/>
      <sheetName val="CT_vat_lieu13"/>
      <sheetName val="Equip_12"/>
      <sheetName val="A1_CN12"/>
      <sheetName val="TONG_HOP_T5_199812"/>
      <sheetName val="Chenh_lech_vat_tu12"/>
      <sheetName val="Trạm_biến_áp12"/>
      <sheetName val="Đơn_Giá_12"/>
      <sheetName val="Diện_tích12"/>
      <sheetName val="1_Khái_toán12"/>
      <sheetName val="CT-0_4KV12"/>
      <sheetName val="DG_DZ13"/>
      <sheetName val="DG_TBA13"/>
      <sheetName val="rate_material12"/>
      <sheetName val="KL_Chi_tiết_Xây_tô12"/>
      <sheetName val="07Base_Cost12"/>
      <sheetName val="GV1-D13_(Casement_door)12"/>
      <sheetName val="Bill_1_Quy_dinh_chung12"/>
      <sheetName val="1_R18_BF12"/>
      <sheetName val="6_External_works-R1812"/>
      <sheetName val="Phan_khai_KLuong12"/>
      <sheetName val="Chi_tiet_KL12"/>
      <sheetName val="Tổng_hợp_KL12"/>
      <sheetName val="04_-_XUONG_DET_B12"/>
      <sheetName val="_0312"/>
      <sheetName val="chieu_day_san12"/>
      <sheetName val="Podium_Concrete_Works12"/>
      <sheetName val="KLCT-_TOWER12"/>
      <sheetName val="KLCT-_PODIUM12"/>
      <sheetName val="Area_Cal12"/>
      <sheetName val="Gia_thanh_chuoi_su12"/>
      <sheetName val="Tiep_dia12"/>
      <sheetName val="Don_gia_vung_III-Can_Tho12"/>
      <sheetName val="Loại_Vật_tư12"/>
      <sheetName val="Elect_(3)12"/>
      <sheetName val="plan&amp;section_of_foundation12"/>
      <sheetName val="design_criteria12"/>
      <sheetName val="Bond_수수료_계산_포맷12"/>
      <sheetName val="ITB_COST12"/>
      <sheetName val="PAGE_112"/>
      <sheetName val="Xay_lapduongR312"/>
      <sheetName val="DM_6712"/>
      <sheetName val="Project_Data12"/>
      <sheetName val="6787CWFASE2CASE2_00_xls12"/>
      <sheetName val="Đầu_tư12"/>
      <sheetName val="EIRR&gt;_212"/>
      <sheetName val="Bill_02_-_Xay_gach-Pou_12"/>
      <sheetName val="Bill_03-Chống_thấm-Pou12"/>
      <sheetName val="Bill_04-Kim_loại-Pou12"/>
      <sheetName val="Bill_05_-_Hoan_thien-Pou_12"/>
      <sheetName val="Bill_02_-_Xay_gach-Tower12"/>
      <sheetName val="Bill_03-Chống_thấm-Tower12"/>
      <sheetName val="Bill_04-Kim_loại-Tower12"/>
      <sheetName val="Bill_05_-_Hoan_thien-Tower12"/>
      <sheetName val="KL-_KHAC12"/>
      <sheetName val="BILL_3_-_KẾT_CẤU_HẦM12"/>
      <sheetName val="PTĐG_LTBT12"/>
      <sheetName val="CTG-PRECHEx1_412"/>
      <sheetName val="CTG-AB_(2)12"/>
      <sheetName val="CTG-AB_(3)12"/>
      <sheetName val="CTG-PLP-1_0812"/>
      <sheetName val="Pre_Đội_nhóm12"/>
      <sheetName val="Vat_tu_XD12"/>
      <sheetName val="Tower_-_Concrete_Works12"/>
      <sheetName val="Bill-04_ket_cau_thap-_UNI12"/>
      <sheetName val="dg_tphcm12"/>
      <sheetName val="T_KÊ_K_CẤU12"/>
      <sheetName val="gia_cong_tac12"/>
      <sheetName val="4_PTDG12"/>
      <sheetName val="A1,_May12"/>
      <sheetName val="Vat_lieu12"/>
      <sheetName val="Data_Input13"/>
      <sheetName val="Measure_130612"/>
      <sheetName val="HÐ_ngoài13"/>
      <sheetName val="6PILE__(돌출)12"/>
      <sheetName val="Bill_01_-_CTN12"/>
      <sheetName val="Bill_2_2_Villa_2_beds12"/>
      <sheetName val="Analisa_Gabungan12"/>
      <sheetName val="Isolasi_Luar_Dalam12"/>
      <sheetName val="Isolasi_Luar12"/>
      <sheetName val="Harga_ME_12"/>
      <sheetName val="TH_N_Cong12"/>
      <sheetName val="ESTI_12"/>
      <sheetName val="KL_san_lap12"/>
      <sheetName val="TH_Vat_tu12"/>
      <sheetName val="_Bill_5-Earthing_2_-_Add_Work12"/>
      <sheetName val="Chenh_lech_ca_may12"/>
      <sheetName val="TLg_CN&amp;Laixe12"/>
      <sheetName val="TLg_CN&amp;Laixe_(2)12"/>
      <sheetName val="TLg_Laitau12"/>
      <sheetName val="TLg_Laitau_(2)12"/>
      <sheetName val="Bang_trong_luong_rieng_thep12"/>
      <sheetName val="Cước_VC_+_ĐM_CP_Tư_vấn12"/>
      <sheetName val="Hệ_số12"/>
      <sheetName val="DETAIL_12"/>
      <sheetName val="final_list_200528"/>
      <sheetName val="LV_data12"/>
      <sheetName val="Gia_vat_tu12"/>
      <sheetName val="CẤP_THOÁT_NƯỚC12"/>
      <sheetName val="THDT_goi_thau_TB12"/>
      <sheetName val="Tien_do_TV12"/>
      <sheetName val="bridge_#_112"/>
      <sheetName val="Bang_3_Chi_tiet_phan_Dz12"/>
      <sheetName val="KHOI_LUONG12"/>
      <sheetName val="TH_MTC12"/>
      <sheetName val="CTKL_KTX_HT11"/>
      <sheetName val="Buy_vs__Lease_Car12"/>
      <sheetName val="DATA_BASE12"/>
      <sheetName val="Equipment_list_(PAC)12"/>
      <sheetName val="TINH_KHOI_LUONG12"/>
      <sheetName val="Chi_tiet12"/>
      <sheetName val="subcon_sched12"/>
      <sheetName val="NHÀ_NHẬP_LIỆU11"/>
      <sheetName val="MÓNG_SILO11"/>
      <sheetName val="PRE_(E)12"/>
      <sheetName val="HVAC_BLOCK_B412"/>
      <sheetName val="2_Chiet_tinh11"/>
      <sheetName val="BẢNG_KHỐI_LƯỢNG_TỔNG_HỢP11"/>
      <sheetName val="CP_Khac_cuoc_VC11"/>
      <sheetName val="Budget_Code11"/>
      <sheetName val="Tong_du_toan11"/>
      <sheetName val="Bill_2_-_ketcau11"/>
      <sheetName val="Chi_tiet_lan_can11"/>
      <sheetName val="13-Cốt_thép_(10mm&lt;D≤18mm)_FO111"/>
      <sheetName val="du_lieu_du_toan11"/>
      <sheetName val="BOQ_THAN11"/>
      <sheetName val="DL_ĐẦU_VÀO11"/>
      <sheetName val="Purchase_Order11"/>
      <sheetName val="D_&amp;_W_sizes11"/>
      <sheetName val="Analisa_&amp;_Upah11"/>
      <sheetName val="Du_lieu12"/>
      <sheetName val="Phan_tich11"/>
      <sheetName val="Luong_NII11"/>
      <sheetName val="DINH_MUC_THI_NGHIEM11"/>
      <sheetName val="Luong_NI11"/>
      <sheetName val="CT_Thang_Mo11"/>
      <sheetName val="CT__PL11"/>
      <sheetName val="cash_budget11"/>
      <sheetName val="dongia__2_11"/>
      <sheetName val="GOC-KO_IN11"/>
      <sheetName val="MAU_8A11"/>
      <sheetName val="MAU_8B11"/>
      <sheetName val="MAU_911"/>
      <sheetName val="MAU_1011"/>
      <sheetName val="Thép_CKN11"/>
      <sheetName val="sochitiettaikhoan_11"/>
      <sheetName val="Share_price_data11"/>
      <sheetName val="19_311"/>
      <sheetName val="20_311"/>
      <sheetName val="Chieu_4_311"/>
      <sheetName val="Cow_req11"/>
      <sheetName val="TỔNG_HỢP11"/>
      <sheetName val="14-LẦN_3-CHIỀU11"/>
      <sheetName val="14-LẦN_1-SÁNG11"/>
      <sheetName val="14-LẦN_2-TRƯA11"/>
      <sheetName val="1_3+1_4-TOTAL_-_Ko_IN11"/>
      <sheetName val="2_1-LẦN_3-CHIỀU11"/>
      <sheetName val="2_1-LẦN_1-SÁNG11"/>
      <sheetName val="2_1-LẦN_2-TRƯA11"/>
      <sheetName val="2_1-TOTAL-Ko_IN11"/>
      <sheetName val="1_3(TMR_4)11"/>
      <sheetName val="CHO_DE11"/>
      <sheetName val="1_1+1_2+2_2+2_3(TMR_3)11"/>
      <sheetName val="CK1+CK2_(VS_SAN_CHOI_23)11"/>
      <sheetName val="CK1+CK2_(2)11"/>
      <sheetName val="12-16_THÁNG11"/>
      <sheetName val="CAN_SỮA11"/>
      <sheetName val="54+55+56(SAU_CAI_SỮA-6)11"/>
      <sheetName val="BÊ_71-90_NGÀY11"/>
      <sheetName val="BÊ_12-16_tháng11"/>
      <sheetName val="BÊ_6-1211"/>
      <sheetName val="BÊ_1-311"/>
      <sheetName val="F01-BC_KHAU_PHAN_SANG_20_311"/>
      <sheetName val="F01-BC_KHAU_PHAN_CHIEU_19_311"/>
      <sheetName val="dinh_mưc_cty11"/>
      <sheetName val="Giá_thành11"/>
      <sheetName val="Thong_ke11"/>
      <sheetName val="Energy_for_milk_prod11"/>
      <sheetName val="DE_NGHI_XUAT_11"/>
      <sheetName val="phieu_xuat_mau11"/>
      <sheetName val="PHIEU_XUAT_CHIEU11"/>
      <sheetName val="11_rai_them_cỏ11"/>
      <sheetName val="PHU_LUC_02-_HDSD_CAC_BIEU_MAU11"/>
      <sheetName val="PhU_LUC_01-_MA_CAC_NHOM_BO11"/>
      <sheetName val="F03-BC_THUC_TRON_SANG_20_311"/>
      <sheetName val="F03-BC_THUC_TRON_CHIEU_19_311"/>
      <sheetName val="F02-BC_THEO_DOI_THUC_AN_DU11"/>
      <sheetName val="Tham_khao-_Bao_cao_xuat_thuc_11"/>
      <sheetName val="VC_xd9"/>
      <sheetName val="Gia_VLTB9"/>
      <sheetName val="B_Luong9"/>
      <sheetName val="C_May9"/>
      <sheetName val="Dlieu_dau_vao11"/>
      <sheetName val="Income_Statement11"/>
      <sheetName val="Shareholders'_Equity11"/>
      <sheetName val="BANCO_(2)11"/>
      <sheetName val="MT_DPin_(2)11"/>
      <sheetName val="02__PTDG11"/>
      <sheetName val="Chiết_tính11"/>
      <sheetName val="TB_NẶNG9"/>
      <sheetName val="Du_tru_CP-Bieu_019"/>
      <sheetName val="Don_gia_(khong_in)11"/>
      <sheetName val="DK1_Don_gia11"/>
      <sheetName val="1_MONG_1-211"/>
      <sheetName val="THEP_TAM9"/>
      <sheetName val="THEP_HÌNH9"/>
      <sheetName val="THEP_HINH9"/>
      <sheetName val="XA_GO9"/>
      <sheetName val="BANG_TRA9"/>
      <sheetName val="wk_prgs9"/>
      <sheetName val="Ma_don_vi9"/>
      <sheetName val="bang_cc9"/>
      <sheetName val="dm_3669"/>
      <sheetName val="DM_60609"/>
      <sheetName val="Dự_thầu9"/>
      <sheetName val="Nhap_VT_oto9"/>
      <sheetName val="Hao_phí9"/>
      <sheetName val="Structure_data9"/>
      <sheetName val="đọc_số9"/>
      <sheetName val="Bill_No_3_-_Prov__Sum_(Ph2&amp;3)9"/>
      <sheetName val="TH_TN9"/>
      <sheetName val="CP_Du_phong9"/>
      <sheetName val="THCP_Lap_dat9"/>
      <sheetName val="THCP_xay_dung9"/>
      <sheetName val="Tong_hop_kinh_phi9"/>
      <sheetName val="Dự_toán9"/>
      <sheetName val="Đơn_Giá_TH9"/>
      <sheetName val="Nhân_công9"/>
      <sheetName val="Phân_tích9"/>
      <sheetName val="C_P_Thiết_bị9"/>
      <sheetName val="T_H_Kinh_phí9"/>
      <sheetName val="Vật_tư9"/>
      <sheetName val="Trang_bìa9"/>
      <sheetName val="Don_gia_chi_tiet_DIEN_28"/>
      <sheetName val="Data_Wall9"/>
      <sheetName val="2_1Warehouse_19"/>
      <sheetName val="AG_Pipe_Qty_Analysis9"/>
      <sheetName val="Main_Bldg-Rev029"/>
      <sheetName val="D&amp;W_def_9"/>
      <sheetName val="Nhan_cong9"/>
      <sheetName val="Thiet_bi9"/>
      <sheetName val="Vat_tu9"/>
      <sheetName val="DM_ChiPhi9"/>
      <sheetName val="May_TC9"/>
      <sheetName val="TH_Kinh_phi9"/>
      <sheetName val="Ptvl_9"/>
      <sheetName val="Ｎｏ_139"/>
      <sheetName val="DGchitiet_9"/>
      <sheetName val="CP_HMC9"/>
      <sheetName val="HỆ_THỐNG_PHÒNG_CHÁY_CHỮA_CHÁY9"/>
      <sheetName val="HỆ_THỐNG_CẤP_THOÁT_NƯỚC9"/>
      <sheetName val="HỆ_THỐNG_ĐHKK9"/>
      <sheetName val="MÁY_PHÁT_ĐIỆN9"/>
      <sheetName val="HỆ_THỐNG_ĐIỆN9"/>
      <sheetName val="Thiết_bị_chính9"/>
      <sheetName val="CHI_PHI9"/>
      <sheetName val="TK_chi_tiet9"/>
      <sheetName val="Bill_2-Road_HR29"/>
      <sheetName val="Bill_3_-_Softscape_HR29"/>
      <sheetName val="CĂN_HỘ_T16-17_9"/>
      <sheetName val="TRỤC_ĐỨNG_THOÁT_BẨN_T15-179"/>
      <sheetName val="TRỤC_ĐỨNG_TM_T15-179"/>
      <sheetName val="Móng,_nền_9"/>
      <sheetName val="1_Requisition(E)9"/>
      <sheetName val="TONG_HOP9"/>
      <sheetName val="Tổng_GT9"/>
      <sheetName val="Chi_tiết_KL9"/>
      <sheetName val="khấu_trừ_phạt9"/>
      <sheetName val="GT__KHAU_TRU9"/>
      <sheetName val="HAO_HUT_VAT_TU_(2)9"/>
      <sheetName val="cao_độ9"/>
      <sheetName val="phan_tic_chi_tiet9"/>
      <sheetName val="DG_14268"/>
      <sheetName val="Theo_doi_Doanh_thu_20178"/>
      <sheetName val="KL_THEP__GIAM_DO_DUNG_COUPLER8"/>
      <sheetName val="01_KL_THÉP_NHẬP_VỀ8"/>
      <sheetName val="2__NT_VLDV8"/>
      <sheetName val="GHI_CHU8"/>
      <sheetName val="1_BB_LMHT8"/>
      <sheetName val="gui_BKCT8"/>
      <sheetName val="Gia_vat_lieu8"/>
      <sheetName val="Precios_unitarios_AXH8"/>
      <sheetName val="Chi_tiet_cong_no9"/>
      <sheetName val="PHÁT_SINH_TẦNG_1_9"/>
      <sheetName val="PHÁT_SINH_TẦNG_29"/>
      <sheetName val="Hầm_chuyển_psinh9"/>
      <sheetName val="Ống_thẳng9"/>
      <sheetName val="Côn_thu9"/>
      <sheetName val="Vuông_tròn9"/>
      <sheetName val="Chân_rẽ9"/>
      <sheetName val="Chạc_ba9"/>
      <sheetName val="MB_DT_027"/>
      <sheetName val="3__CNT8"/>
      <sheetName val="unit_price_list(M)8"/>
      <sheetName val="So_lieu_chung8"/>
      <sheetName val="TH_VL,_NC,_DDHT_Thanhphuoc8"/>
      <sheetName val="Chi_tiet_-tong_9_thang8"/>
      <sheetName val="BẢNG_ÁP_GIÁ_(in)8"/>
      <sheetName val="NT_(KL)_IN8"/>
      <sheetName val="DOM_D28"/>
      <sheetName val="nhà_ăn8"/>
      <sheetName val="Công_nhật8"/>
      <sheetName val="btkt_cột8"/>
      <sheetName val="Bê_tông_bảo_vệ8"/>
      <sheetName val="01__Data8"/>
      <sheetName val="Neo,_nối_cốt_thép_dầm,_cột8"/>
      <sheetName val="Uốn_móc_cốt_thép8"/>
      <sheetName val="Tiêu_chuẩn_cốt_thép8"/>
      <sheetName val="Doi_so8"/>
      <sheetName val="1_2_Staff_Schedule8"/>
      <sheetName val="0__Input8"/>
      <sheetName val="DANH_MỤC_HỒ_SƠ8"/>
      <sheetName val="GT_PHÁT_SINH_NGOÀI_HĐ8"/>
      <sheetName val="KL_PHÁT_SINH_8"/>
      <sheetName val="PS_NGOÀI_HĐ8"/>
      <sheetName val="GT_PHÁT_SINH_VƯỢT_HĐ8"/>
      <sheetName val="PS_TĂNG_GIẢM_TRONG_HĐ8"/>
      <sheetName val="DGCT_PHÁT_SINH8"/>
      <sheetName val="DGCT_TRẦN_NLV8"/>
      <sheetName val="DGKL_chi_tiết_NLV8"/>
      <sheetName val="DGKL_chi_tiết_NHN,NK8"/>
      <sheetName val="TG_KL8"/>
      <sheetName val="DGCT_SƠN_BẢ_TƯỜNG_NLV8"/>
      <sheetName val="DGKL_TRẦN_NHN8"/>
      <sheetName val="MTO_REV_2(ARMOR)8"/>
      <sheetName val="Cotthep_NPT8"/>
      <sheetName val="vl_nc_mtc8"/>
      <sheetName val="Heso_DZ8"/>
      <sheetName val="DM_336cai_tao8"/>
      <sheetName val="DG_BINH_THUAN8"/>
      <sheetName val="Tien_Thuong8"/>
      <sheetName val="NC_XL_6T_cuoi_01_CTy8"/>
      <sheetName val="Data_-6T_dau8"/>
      <sheetName val="Cong_6T8"/>
      <sheetName val="KL_thep_lam_sat8"/>
      <sheetName val="B3A_-_TOWER_A8"/>
      <sheetName val="Annex_B8"/>
      <sheetName val="Bill_Prelim-CDT8"/>
      <sheetName val="Bill_BPTC-CDT8"/>
      <sheetName val="Chi_tiết_BPTC8"/>
      <sheetName val="Bill_BPTC-CDT_(PA_MCT_CDT)8"/>
      <sheetName val="Chi_tiết_BPTC_(PA_MCT_CDT)8"/>
      <sheetName val="1_Civil_(Org)8"/>
      <sheetName val="DM-VNT_ko_sd8"/>
      <sheetName val="Bảng_đo_bóc_KL_OLK-098"/>
      <sheetName val="6_3_CHI_TIET_OLK-098"/>
      <sheetName val="1__Office8"/>
      <sheetName val="KHOI_LUONG15-48"/>
      <sheetName val="Tong_hop_vat_tu8"/>
      <sheetName val="1_San_8"/>
      <sheetName val="TLG_Type8"/>
      <sheetName val="Dgia_vat_tu8"/>
      <sheetName val="Don_gia_III8"/>
      <sheetName val="D÷_liÖu8"/>
      <sheetName val="Dot_48"/>
      <sheetName val="Thop_Ksat8"/>
      <sheetName val="Thu_hoi_8"/>
      <sheetName val="HM_chung8"/>
      <sheetName val="CP_xd-thiet_bi8"/>
      <sheetName val="TH-TN_LD_TB8"/>
      <sheetName val="CP_xaydung8"/>
      <sheetName val="Thao_ha_phu_kien8"/>
      <sheetName val="VL-NC-MTC_ket_cau8"/>
      <sheetName val="KHOI_LUONG_TONG8"/>
      <sheetName val="TK_22KV8"/>
      <sheetName val="DM_366-17778"/>
      <sheetName val="Thi_nhiem8"/>
      <sheetName val="Gia_goc_VT-TB8"/>
      <sheetName val="Gia_vc_den_chan_CT8"/>
      <sheetName val="culy_228"/>
      <sheetName val="Luong_20508"/>
      <sheetName val="ca_may_QN8"/>
      <sheetName val="TNHC1246_8"/>
      <sheetName val="Ca_may_TT06_20108"/>
      <sheetName val="Don_gia_VLXD_dia_phuong8"/>
      <sheetName val="Bang_luong_SCL8"/>
      <sheetName val="Dinh_muc_TN14268"/>
      <sheetName val="HRG_BHN8"/>
      <sheetName val="CĂN_ĐH8"/>
      <sheetName val="Chi_phi_van_chuyen8"/>
      <sheetName val="TH_các_CC8"/>
      <sheetName val="Div26_-_Elect8"/>
      <sheetName val="7_Khau_tru_8"/>
      <sheetName val="Q_A01_2-Sh8"/>
      <sheetName val="4_CĂN8"/>
      <sheetName val="2_CDPS8"/>
      <sheetName val="Don_gia_NC8"/>
      <sheetName val="DT_hợp_đồng7"/>
      <sheetName val="Bảng_KL_đợt_17"/>
      <sheetName val="Danh_mục7"/>
      <sheetName val="Bieu_gia_HD7"/>
      <sheetName val="Summary_Sheet7"/>
      <sheetName val="Finishing-Tower_A7"/>
      <sheetName val="Finishing-Tower_B7"/>
      <sheetName val="Finishing-Tower_C7"/>
      <sheetName val="Finishing-Tower_D7"/>
      <sheetName val="MEP-Tower_A7"/>
      <sheetName val="MEP-Tower_B7"/>
      <sheetName val="MEP-Tower_C7"/>
      <sheetName val="MEP-Tower_D7"/>
      <sheetName val="Cost_Report_Sum7"/>
      <sheetName val="Detail_Cost_Sum7"/>
      <sheetName val="RVO-VO_Sum7"/>
      <sheetName val="Potential_VOs_Sum7"/>
      <sheetName val="Cash_Flow_Sum7"/>
      <sheetName val="BTK-Dai_Hoc_Kien_Giang7"/>
      <sheetName val="PV_Graph_Data7"/>
      <sheetName val="doanh_thu7"/>
      <sheetName val="Dutoan_KL7"/>
      <sheetName val="CAP_NUOC7"/>
      <sheetName val="cấp_nước_trục_nhà_vs7"/>
      <sheetName val="THOAT_NUOC7"/>
      <sheetName val="THOAT_MUA7"/>
      <sheetName val="Cáp_phòng7"/>
      <sheetName val="TMC_ĐIỆN_Phi7"/>
      <sheetName val="TMC_Tổng7"/>
      <sheetName val="TH_Đèn_Phòng_L17"/>
      <sheetName val="TH_Đèn_Hầm_L17"/>
      <sheetName val="TỦ_MODULE_T17"/>
      <sheetName val="B-2__(DPP)8"/>
      <sheetName val="Huong_dan7"/>
      <sheetName val="gia_vt,nc,may7"/>
      <sheetName val="Financ__Overview7"/>
      <sheetName val="TINH_GIA_-_SAN_XUAT_Vertico7"/>
      <sheetName val="13_BANG_CT7"/>
      <sheetName val="14_MMUS_GIUA_NHIP7"/>
      <sheetName val="4_HSPBngang7"/>
      <sheetName val="6_Tinh_tai7"/>
      <sheetName val="2_NSl7"/>
      <sheetName val="17_US_CHU_tho_a_b7"/>
      <sheetName val="15_MMUS_GOI7"/>
      <sheetName val="DZ_22KV7"/>
      <sheetName val="Kê_0,47"/>
      <sheetName val="TH_0,47"/>
      <sheetName val="Kê_227"/>
      <sheetName val="TH_227"/>
      <sheetName val="TBA_CAI_TAO7"/>
      <sheetName val="TBA_XDM7"/>
      <sheetName val="TONG_HOP_DU_TOAN7"/>
      <sheetName val="Thop_XAY_DUNG7"/>
      <sheetName val="CP_HANG_MUC_CHUNG7"/>
      <sheetName val="CHI_PHI_XD7"/>
      <sheetName val="CHI_PHI_THI_NGHIEM7"/>
      <sheetName val="VLDIEN_227"/>
      <sheetName val="Dao_dat7"/>
      <sheetName val="TH_Denbu7"/>
      <sheetName val="Do_ve_DC7"/>
      <sheetName val="TH_Bommin7"/>
      <sheetName val="CHI_PHI_THI_NGHIEM-LD_thiet_bi7"/>
      <sheetName val="Luong_TT017"/>
      <sheetName val="Camay_QB7"/>
      <sheetName val="gia_ca_may_BXD7"/>
      <sheetName val="BANG_LUONG_KY_SU7"/>
      <sheetName val="Bang_luong_NHOM_I7"/>
      <sheetName val="Bangluong_NHOM_II_7"/>
      <sheetName val="09-GIA_nhien_lieu-ko_in7"/>
      <sheetName val="Tinh_V_cot_chiem_cho7"/>
      <sheetName val="ĐM_13547"/>
      <sheetName val="KHOAN_MAU7"/>
      <sheetName val="ĐO_ĐỊA_VẬT_LÝ7"/>
      <sheetName val="khoan_tiep_dia7"/>
      <sheetName val="Tổng_hợp_KPHM7"/>
      <sheetName val="Dinh_muc7"/>
      <sheetName val="GIÁ_DỰ_THẦU_30_CĂN7"/>
      <sheetName val="5_2_1_Đo_bóc_KL_OLK-067"/>
      <sheetName val="KS_tuyen7"/>
      <sheetName val="Bang_chiet_tinh_TBA7"/>
      <sheetName val="4_2_1_Đo_bóc_KL_OLK-067"/>
      <sheetName val="4_1_1_CHI_TIET_OLK-067"/>
      <sheetName val="DG_Chi_tiet7"/>
      <sheetName val="_1710_HOINGHINLD7"/>
      <sheetName val="99_(2)7"/>
      <sheetName val="134_7"/>
      <sheetName val="DG_49707"/>
      <sheetName val="Cash_Flow7"/>
      <sheetName val="BU_LONG7"/>
      <sheetName val="DT__NHA_XUONG7"/>
      <sheetName val="EQUIP_LIST7"/>
      <sheetName val="THONG_SO7"/>
      <sheetName val="Đơn_giá_chi_tiết_TN_397"/>
      <sheetName val="HERD_MOVEMENTFARM19"/>
      <sheetName val="HERD_MOVEMENTFARM29"/>
      <sheetName val="CALVES_2-49"/>
      <sheetName val="Cavles_2-49"/>
      <sheetName val="CALVES_4-79"/>
      <sheetName val="HEIFER_7-12m9"/>
      <sheetName val="HEIFER_12+9"/>
      <sheetName val="FRESH_COW_2017-189"/>
      <sheetName val="HP_COW_20189"/>
      <sheetName val="LP_COW_2017-189"/>
      <sheetName val="DRY_COW9"/>
      <sheetName val="FIELD_CROPS9"/>
      <sheetName val="So_sanh7"/>
      <sheetName val="Electrical_Works7"/>
      <sheetName val="H_T__INCOMING_SYSTEM7"/>
      <sheetName val="Tính_giá_NC7"/>
      <sheetName val="Tiên_lượng7"/>
      <sheetName val="SL_cước7"/>
      <sheetName val="¥_7"/>
      <sheetName val="Gia_VT-TB7"/>
      <sheetName val="noi_suy_xa7"/>
      <sheetName val="noi_suy_xa_thu_hoi7"/>
      <sheetName val="Thuyết_minh7"/>
      <sheetName val="Đơn_giá_máy7"/>
      <sheetName val="Tong_DT6"/>
      <sheetName val="phan_tich_don_gia6"/>
      <sheetName val="Bill_No_1_67"/>
      <sheetName val="Bill_No_1_107"/>
      <sheetName val="Bill_No_3_37"/>
      <sheetName val="Bill_No_1_47"/>
      <sheetName val="Bill_No_1_77"/>
      <sheetName val="Summary_Bill_No__37"/>
      <sheetName val="DT_san_XD-So_lieu_cu6"/>
      <sheetName val="FF-2_(1)6"/>
      <sheetName val="Labour_Summary19"/>
      <sheetName val="YTD_12'20036"/>
      <sheetName val="YTD_06'20036"/>
      <sheetName val="YTD_03'20036"/>
      <sheetName val="YTD_09'20036"/>
      <sheetName val="deferred_taxes6"/>
      <sheetName val="Eqpmnt_Plng6"/>
      <sheetName val="TRIAL_BALANCE6"/>
      <sheetName val="DPR_31st_march6"/>
      <sheetName val="current_month6"/>
      <sheetName val="Blng__Vs_Coll_6"/>
      <sheetName val="Unit_price6"/>
      <sheetName val="Bán_đợt_1_trang6"/>
      <sheetName val="Chiet_tinh_dz356"/>
      <sheetName val="3__KC_-_PODIUM6"/>
      <sheetName val="CTDZ6kv_(gd1)_6"/>
      <sheetName val="CTDZ_0_4+cto_(GD1)6"/>
      <sheetName val="CTTBA_(gd1)6"/>
      <sheetName val="03_Detailed6"/>
      <sheetName val="01_Bid_Price_summary6"/>
      <sheetName val="Home_Office_Manhours6"/>
      <sheetName val="Field_SPV_Barchart6"/>
      <sheetName val="Tien_Luong6"/>
      <sheetName val="Unit_price(Updateting)6"/>
      <sheetName val="Cost_List6"/>
      <sheetName val="Detail_Cost6"/>
      <sheetName val="IC_Price_New6"/>
      <sheetName val="Summary_Table6"/>
      <sheetName val="Sales_Person6"/>
      <sheetName val="Bidding_Entity6"/>
      <sheetName val="CHITIET_VL-NCHT1_(2)6"/>
      <sheetName val="Bù_giá_CM6"/>
      <sheetName val="Breakdown_(B)6"/>
      <sheetName val="U_P_Breakdown6"/>
      <sheetName val="IMF_Code6"/>
      <sheetName val="Subsidiary_Calculation6"/>
      <sheetName val="Phu_Bai_Bridge6"/>
      <sheetName val="5_2_1_Đo_bóc_KL_OLK-106"/>
      <sheetName val="BẢNG_DIỄN_GIẢI_KL_(7)6"/>
      <sheetName val="don_gia_14266"/>
      <sheetName val="Luong_BN6"/>
      <sheetName val="Luong_TB6"/>
      <sheetName val="Ca_may_TB6"/>
      <sheetName val="Ca_máy_BN6"/>
      <sheetName val="Vật_liệu6"/>
      <sheetName val="LX_-TT056"/>
      <sheetName val="NC_Moi_TT056"/>
      <sheetName val="Bia_lot6"/>
      <sheetName val="Chu_dau_tu2"/>
      <sheetName val="Cau_tao_gia_xay_to2"/>
      <sheetName val="THÔNG_TIN2"/>
      <sheetName val="THPDMoi__(2)2"/>
      <sheetName val="t-h_HA_THE2"/>
      <sheetName val="TH_XL2"/>
      <sheetName val="CHITIET_VL-NC2"/>
      <sheetName val="SGC_RATE"/>
      <sheetName val="Khai_toan"/>
      <sheetName val="Phu_luc_01_1_EPC_P11-14"/>
      <sheetName val="TDT_P11-P14"/>
      <sheetName val="Chi_phi_khac_"/>
      <sheetName val="Hang_muc_Chung"/>
      <sheetName val="Bia_Phu_Luc"/>
      <sheetName val="DATA_1_CHUNG"/>
      <sheetName val="Muc_luc"/>
      <sheetName val="Tra_cuu_957"/>
      <sheetName val="Tru_TT"/>
      <sheetName val="Thg_04"/>
      <sheetName val="Thg_05"/>
      <sheetName val="Thg_06"/>
      <sheetName val="Thg_07"/>
      <sheetName val="Thg_08"/>
      <sheetName val="Thg_09"/>
      <sheetName val="Thg_10"/>
      <sheetName val="Thg_11"/>
      <sheetName val="Thg_12"/>
      <sheetName val="DM_DU_AN"/>
      <sheetName val="DM_TP_"/>
      <sheetName val="File_Chi_tiet"/>
      <sheetName val="Bank Rev"/>
      <sheetName val="dlvoid"/>
      <sheetName val="STAX"/>
      <sheetName val="DATAENTRY"/>
      <sheetName val="Merit &amp; Market Grid"/>
      <sheetName val="BP DECLINE IT"/>
      <sheetName val="Input List"/>
      <sheetName val="SYSTEMS"/>
      <sheetName val="DBASE"/>
      <sheetName val="Valid data revised"/>
      <sheetName val="BUDGET"/>
      <sheetName val="EXPENSES"/>
      <sheetName val="DETAIL MIX % REPORT"/>
      <sheetName val="LBO"/>
      <sheetName val="BS-DET"/>
      <sheetName val="Table"/>
      <sheetName val="Fill this out first..."/>
      <sheetName val="표지"/>
      <sheetName val="직종인원"/>
      <sheetName val="총원dB"/>
      <sheetName val="Dinh Muc Vat Tu"/>
      <sheetName val="mã "/>
      <sheetName val="sales current month"/>
      <sheetName val="View Variance"/>
      <sheetName val="g-vl"/>
      <sheetName val="Dynamic Ranges"/>
      <sheetName val="Service Cost "/>
      <sheetName val="Don gia Tay Ninh"/>
      <sheetName val="Don gia Dak Lak"/>
      <sheetName val="做法表"/>
      <sheetName val="진주방향"/>
      <sheetName val="2BOX본체"/>
      <sheetName val="마산방향"/>
      <sheetName val="MB-D2"/>
      <sheetName val="Bearing"/>
      <sheetName val="MB-D3"/>
      <sheetName val="MB-D8"/>
      <sheetName val="MB-D9"/>
      <sheetName val="Manhole"/>
      <sheetName val="MB-D4"/>
      <sheetName val="MB-D12"/>
      <sheetName val="streeta and cacth pit"/>
      <sheetName val="MB-D7"/>
      <sheetName val="Pipe"/>
      <sheetName val="MB-D6"/>
      <sheetName val="Daf 1"/>
      <sheetName val="MSB-DB"/>
      <sheetName val="DMKH"/>
      <sheetName val="BC chi tiết TT"/>
      <sheetName val="Don gia XD"/>
      <sheetName val="NTKL"/>
      <sheetName val="CPK"/>
      <sheetName val="B1_HT"/>
      <sheetName val="Nhập liệu"/>
      <sheetName val="Auto Monthly Inputs "/>
      <sheetName val="GIAVLIEU"/>
      <sheetName val="DEF"/>
      <sheetName val="Bech_Lab"/>
      <sheetName val="KUNGDEVI"/>
      <sheetName val="Charts"/>
      <sheetName val="XREF"/>
      <sheetName val="Fixed asset register"/>
      <sheetName val="YTD"/>
      <sheetName val="repeatative rejection"/>
      <sheetName val="ﾃﾞ-ﾀ"/>
      <sheetName val="Dec-18"/>
      <sheetName val="Lists"/>
      <sheetName val="General Info"/>
      <sheetName val="Setup"/>
      <sheetName val="Full PBD"/>
      <sheetName val="BOM"/>
      <sheetName val="Dep"/>
      <sheetName val="Currency"/>
      <sheetName val="Non-Statistical Sampling"/>
      <sheetName val="98FORECAST (1)"/>
      <sheetName val="Sch 18 Bank"/>
      <sheetName val="Stock details"/>
      <sheetName val="Part A General"/>
      <sheetName val="DDT_TDS_TCS"/>
      <sheetName val="FRINGE_BENEFIT_INFO"/>
      <sheetName val="OTHER_INFORMATION"/>
      <sheetName val="GENERAL2"/>
      <sheetName val="80G"/>
      <sheetName val="QUANTITATIVE_DETAILS"/>
      <sheetName val="IT_FBT_DDTP"/>
      <sheetName val="PART_C"/>
      <sheetName val=" "/>
      <sheetName val="Bia1"/>
      <sheetName val="기본DATA"/>
      <sheetName val="SLabs"/>
      <sheetName val="Gia NC theo TT05"/>
      <sheetName val="DGKL_TRỤC NGOAI NHA"/>
      <sheetName val="5.2.1 Đo bóc KL OLK-07"/>
      <sheetName val="Dai tu"/>
      <sheetName val="Land Dev't. Ph-1"/>
      <sheetName val="Hac.Lots"/>
      <sheetName val="4-Lane bridge"/>
      <sheetName val="Res.Lots"/>
      <sheetName val="Spine Road"/>
      <sheetName val="tra-vat-lieu"/>
      <sheetName val="CT_trtreo"/>
      <sheetName val="pphtAV"/>
      <sheetName val="Gia giao VL den HT"/>
      <sheetName val="THCP thiet bi"/>
      <sheetName val="DS_GioiTinh"/>
      <sheetName val="DS_LoaiNhanVien"/>
      <sheetName val="DS_QuocTich"/>
      <sheetName val="DS_TinhTrangGiaDinh"/>
      <sheetName val="DS_TonGiao"/>
      <sheetName val="DSV6 Summ"/>
      <sheetName val="Luong (TP Việt Trì)"/>
      <sheetName val="DG "/>
      <sheetName val="Boc KL DAT+CAT+BT"/>
      <sheetName val="Boc KL thép"/>
      <sheetName val="Bieu do nhan luc"/>
      <sheetName val="sortÔ"/>
      <sheetName val="ChiTietDZ"/>
      <sheetName val="VuaBT"/>
      <sheetName val="BangQuiDoi"/>
      <sheetName val="TienLuong"/>
      <sheetName val="Para"/>
      <sheetName val="PNTEXT"/>
      <sheetName val="DFA"/>
      <sheetName val="Define finishing"/>
      <sheetName val="datta"/>
      <sheetName val="Sum ELE  CAP S1-4  "/>
      <sheetName val="So sanh gia"/>
      <sheetName val="Luong 2622EVN"/>
      <sheetName val="Cuoc "/>
      <sheetName val="gia chao"/>
      <sheetName val="Vat lieu BTN"/>
      <sheetName val="CaiDat"/>
      <sheetName val="BAG-2"/>
      <sheetName val="COPING"/>
      <sheetName val="PHG"/>
      <sheetName val="Utilities"/>
      <sheetName val="Civil_B1"/>
      <sheetName val="Civil_B4"/>
      <sheetName val="THKP"/>
      <sheetName val="Form"/>
      <sheetName val="Bill 2"/>
      <sheetName val="Bill 3"/>
      <sheetName val="Bill 4a - 1A"/>
      <sheetName val="Bill 4a (Fiber) - 1A"/>
      <sheetName val="Bill 4b"/>
      <sheetName val="Bill 4c"/>
      <sheetName val="Bill 5"/>
      <sheetName val="Bill 4a - 1B"/>
      <sheetName val="Bill 4a (Fiber) - 1B"/>
      <sheetName val="PHẦN KIẾN TRÚC"/>
      <sheetName val="264"/>
      <sheetName val="BTH"/>
      <sheetName val="ca_máy4"/>
      <sheetName val="Currency_Rate"/>
      <sheetName val="BILL_34Āᐁë_HẦM"/>
      <sheetName val="Danh_mục_khối"/>
      <sheetName val="Danh_mục_đơn_vị_-phòng_chức_năn"/>
      <sheetName val="Probbl_-_Production"/>
      <sheetName val="w't_table"/>
      <sheetName val="CHI_PHÍ_NHÔM"/>
      <sheetName val="BILL_34Āᐁë"/>
      <sheetName val="NHOM_KINH"/>
      <sheetName val="CHITIET_VL-NC-TT1p"/>
      <sheetName val="2__BBNT_KLHT"/>
      <sheetName val="Dashboard_-_BQL_-_VHL"/>
      <sheetName val="KEILA_TP_2020-07"/>
      <sheetName val="TH_khoi_luong"/>
      <sheetName val="Chi_tiet_khoi_luong"/>
      <sheetName val="TK_thep"/>
      <sheetName val="CT_THOÁT_WC_VP"/>
      <sheetName val="CT_CẤP_WC_VP"/>
      <sheetName val="CT_THOÁT_MƯA_VP_TRỤC_LỚN"/>
      <sheetName val="CT_THOÁT_MƯA_VP_TRỤC_NHỎ"/>
      <sheetName val="CFA_(ME)"/>
      <sheetName val="MEP_Building"/>
      <sheetName val="Share_Price_2002"/>
      <sheetName val="LUONG_SCL"/>
      <sheetName val="BOM-13_11-Other(PS1+PS2)"/>
      <sheetName val="Don_gia_XD"/>
      <sheetName val="Dinh_Muc_Vat_Tu"/>
      <sheetName val="mã_"/>
      <sheetName val="Chênh_lệch_máy_thi_công"/>
      <sheetName val="Chênh_lệch_nhân_công"/>
      <sheetName val="Chênh_lệch_vật_liệu"/>
      <sheetName val="Chao_gia_T12_RE"/>
      <sheetName val="Service_Cost_"/>
      <sheetName val="Don_gia_Tay_Ninh"/>
      <sheetName val="Don_gia_Dak_Lak"/>
      <sheetName val="streeta_and_cacth_pit"/>
      <sheetName val="Daf_1"/>
      <sheetName val="he so dong thoi"/>
      <sheetName val="seido_BS"/>
      <sheetName val="CONSOIDATE 4"/>
      <sheetName val="CONSOIDATE 2"/>
      <sheetName val="1CT-CAUTHANG-TT-T13(TRIU)&lt;16&gt;16"/>
      <sheetName val="3,CT-CAUTHANG-T23-24&gt;50"/>
      <sheetName val="공사개요-C"/>
      <sheetName val="노임이"/>
      <sheetName val="NPCPP-70-DS-017"/>
      <sheetName val="Input - Facilities"/>
      <sheetName val="Norms"/>
      <sheetName val="BP CAPEX MoD-100% Area 4 USD"/>
      <sheetName val="DNDN"/>
      <sheetName val="ca_máy5"/>
      <sheetName val="SGC_RATE1"/>
      <sheetName val="DM_DU_AN1"/>
      <sheetName val="DM_TP_1"/>
      <sheetName val="File_Chi_tiet1"/>
      <sheetName val="w't_table1"/>
      <sheetName val="Khai_toan1"/>
      <sheetName val="Phu_luc_01_1_EPC_P11-141"/>
      <sheetName val="TDT_P11-P141"/>
      <sheetName val="Chi_phi_khac_1"/>
      <sheetName val="Hang_muc_Chung1"/>
      <sheetName val="Bia_Phu_Luc1"/>
      <sheetName val="DATA_1_CHUNG1"/>
      <sheetName val="Muc_luc1"/>
      <sheetName val="Tra_cuu_9571"/>
      <sheetName val="Tru_TT1"/>
      <sheetName val="Thg_041"/>
      <sheetName val="Thg_051"/>
      <sheetName val="Thg_061"/>
      <sheetName val="Thg_071"/>
      <sheetName val="Thg_081"/>
      <sheetName val="Thg_091"/>
      <sheetName val="Thg_101"/>
      <sheetName val="Thg_111"/>
      <sheetName val="Thg_121"/>
      <sheetName val="Probbl_-_Production1"/>
      <sheetName val="Danh_mục_khối1"/>
      <sheetName val="Danh_mục_đơn_vị_-phòng_chức_nă1"/>
      <sheetName val="Currency_Rate1"/>
      <sheetName val="Dashboard_-_BQL_-_VHL1"/>
      <sheetName val="Dinh_Muc_Vat_Tu1"/>
      <sheetName val="mã_1"/>
      <sheetName val="CHI_PHÍ_NHÔM1"/>
      <sheetName val="BILL_34Āᐁë1"/>
      <sheetName val="2__BBNT_KLHT1"/>
      <sheetName val="KEILA_TP_2020-071"/>
      <sheetName val="CFA_(ME)1"/>
      <sheetName val="MEP_Building1"/>
      <sheetName val="CHITIET_VL-NC-TT1p1"/>
      <sheetName val="LUONG_SCL1"/>
      <sheetName val="TH_khoi_luong1"/>
      <sheetName val="Chi_tiet_khoi_luong1"/>
      <sheetName val="TK_thep1"/>
      <sheetName val="CT_THOÁT_WC_VP1"/>
      <sheetName val="CT_CẤP_WC_VP1"/>
      <sheetName val="CT_THOÁT_MƯA_VP_TRỤC_LỚN1"/>
      <sheetName val="CT_THOÁT_MƯA_VP_TRỤC_NHỎ1"/>
      <sheetName val="BOM-13_11-Other(PS1+PS2)1"/>
      <sheetName val="Piano Montaggio PO-02 bozza2"/>
      <sheetName val="DanhSach11"/>
      <sheetName val="Danhsach 12"/>
      <sheetName val="Elemental Breakdown+20%"/>
      <sheetName val="行动跟踪"/>
      <sheetName val="rc"/>
      <sheetName val="L-Mechanical"/>
      <sheetName val="Committed Items"/>
      <sheetName val="HT"/>
      <sheetName val="Corner Arch"/>
      <sheetName val="End Arch"/>
      <sheetName val="Intermediate Arch"/>
      <sheetName val="DrgList"/>
      <sheetName val="reinforcement 675"/>
      <sheetName val="SHG"/>
      <sheetName val="ext wall fin qty"/>
      <sheetName val="SL Plum."/>
      <sheetName val="1C2A&amp;3"/>
      <sheetName val="Physical Schedule 3D"/>
      <sheetName val="TPI"/>
      <sheetName val="ELKP"/>
      <sheetName val="harga"/>
      <sheetName val="Tabel Berat"/>
      <sheetName val="DETAILED_P&amp;L"/>
      <sheetName val="REKAP_MEKANIKAL"/>
      <sheetName val="basic"/>
      <sheetName val="Data Umum Penawaran"/>
      <sheetName val="UPAH"/>
      <sheetName val="Real Cost"/>
      <sheetName val="bill qty"/>
      <sheetName val="Peralatan"/>
      <sheetName val="REKAP_ARSITEKTUR."/>
      <sheetName val="RAB.ADMINISTRASI PUSAT (1)"/>
      <sheetName val="dwa-01"/>
      <sheetName val="Umum"/>
      <sheetName val="TJ1Q47"/>
      <sheetName val="BQ-Tenis"/>
      <sheetName val="Arsitektur"/>
      <sheetName val="BOQ_Aula"/>
      <sheetName val="Prelim"/>
      <sheetName val="Rekapitulasi"/>
      <sheetName val="SatDas"/>
      <sheetName val="Div2"/>
      <sheetName val="NAME"/>
      <sheetName val="Hrg Readymix"/>
      <sheetName val="CTG-PRECHEx1_4ꀋ"/>
      <sheetName val="Cước CG"/>
      <sheetName val="MTO REV.0"/>
      <sheetName val="HSTV"/>
      <sheetName val="GCM"/>
      <sheetName val="GVT"/>
      <sheetName val="NC CU"/>
      <sheetName val="PLV"/>
      <sheetName val="OVER VIEW"/>
      <sheetName val="DTXL( 270)"/>
      <sheetName val="0,SO LIEU DAU VAO"/>
      <sheetName val="ca_máy6"/>
      <sheetName val="pt10Èn"/>
      <sheetName val="THONG SO KICH THUOC"/>
      <sheetName val="De11A"/>
      <sheetName val="XL4Poppy (2)"/>
      <sheetName val="XL4Poppy_(2)"/>
      <sheetName val="Khoi luong kenh dan"/>
      <sheetName val="Thep_Be TN(tai_C10)"/>
      <sheetName val="ctiet-KVThanhTri-YUR"/>
      <sheetName val="242_3 summaryOPC"/>
      <sheetName val="afis"/>
      <sheetName val="TAKE-OFF"/>
      <sheetName val="1.1General"/>
      <sheetName val="DO AM DT"/>
      <sheetName val="SCOPE OF WORK"/>
      <sheetName val="6. Scope of work "/>
      <sheetName val="4.6 Phân tích nhân sự "/>
      <sheetName val="4.5 Mức độ tham gia dự án"/>
      <sheetName val="PTdam"/>
      <sheetName val="CAU"/>
      <sheetName val="토목주소"/>
      <sheetName val="프랜트면허"/>
      <sheetName val="Price"/>
      <sheetName val="GGBC"/>
      <sheetName val="02. PHAN TICH"/>
      <sheetName val="03. NGAN SACH"/>
      <sheetName val="ADJ 2011"/>
      <sheetName val="NOVA MEDIC"/>
      <sheetName val="DGKL MEDIC"/>
      <sheetName val="cable, lighting, switch"/>
      <sheetName val="DNTT_2"/>
      <sheetName val="DNTT_3"/>
      <sheetName val="DNTT_4"/>
      <sheetName val="ĐỢT 1"/>
      <sheetName val="B15"/>
      <sheetName val="B16"/>
      <sheetName val="B17"/>
      <sheetName val="B4-D3"/>
      <sheetName val="B8"/>
      <sheetName val="CSDL"/>
      <sheetName val="ThiNghiemDZ04"/>
      <sheetName val="MD"/>
      <sheetName val="Thang 01"/>
      <sheetName val="Thống kê"/>
      <sheetName val="BAN IN"/>
      <sheetName val="H.Satuan"/>
      <sheetName val="4.3 Scope of work "/>
      <sheetName val="Da xay dung"/>
      <sheetName val="TCVN 1651-2008"/>
      <sheetName val="QMCT"/>
      <sheetName val="DWA"/>
      <sheetName val="Pile-RT2B"/>
      <sheetName val="ippd1B_old"/>
      <sheetName val="plywood"/>
      <sheetName val="Listes Caractéristiques"/>
      <sheetName val="Liste Référentiel"/>
      <sheetName val="STF-SDL"/>
      <sheetName val="GI"/>
      <sheetName val="salary"/>
      <sheetName val="Bond"/>
      <sheetName val="Exchange"/>
      <sheetName val="Column"/>
      <sheetName val="Bill 4_1a___"/>
      <sheetName val="Data (2)"/>
      <sheetName val="Char"/>
      <sheetName val="Book 1 Summary"/>
      <sheetName val="dsnt"/>
      <sheetName val="dat"/>
      <sheetName val="TonDau"/>
      <sheetName val="CT -THVLNC"/>
      <sheetName val="INNOVA"/>
      <sheetName val="begin"/>
      <sheetName val="FORM-16"/>
      <sheetName val="CONSTANTES"/>
      <sheetName val="OC5-Push Diag"/>
      <sheetName val="Franchise Input"/>
      <sheetName val="Merit_&amp;_Market_Grid"/>
      <sheetName val="Scraps"/>
      <sheetName val="Mth-Vana"/>
      <sheetName val="DUMP"/>
      <sheetName val="AN 2000"/>
      <sheetName val="Utilization"/>
      <sheetName val="Validation"/>
      <sheetName val="유통망계획"/>
      <sheetName val="DIV INC"/>
      <sheetName val="DropZone"/>
      <sheetName val="A1 - Income Statement"/>
      <sheetName val="s"/>
      <sheetName val="SCB - Annexure A"/>
      <sheetName val="PL6-Revenue Bridge"/>
      <sheetName val="APR-MAR-03-04"/>
      <sheetName val="KEYFIG"/>
      <sheetName val="Inventory data"/>
      <sheetName val="sales_current_month"/>
      <sheetName val="View_Variance"/>
      <sheetName val="Inventory_data"/>
      <sheetName val="sales_current_month1"/>
      <sheetName val="View_Variance1"/>
      <sheetName val="Inventory_data1"/>
      <sheetName val="F-200"/>
      <sheetName val="F-300"/>
      <sheetName val="FORECAST x FAMILIA"/>
      <sheetName val="RIMEAbyBU"/>
      <sheetName val="sales_current_month2"/>
      <sheetName val="View_Variance2"/>
      <sheetName val="Inventory_data2"/>
      <sheetName val="Space Analysis"/>
      <sheetName val="sales_current_month3"/>
      <sheetName val="View_Variance3"/>
      <sheetName val="Inventory_data3"/>
      <sheetName val="FORECAST_x_FAMILIA"/>
      <sheetName val="Space_Analysis"/>
      <sheetName val="sales_current_month4"/>
      <sheetName val="View_Variance4"/>
      <sheetName val="Inventory_data4"/>
      <sheetName val="FORECAST_x_FAMILIA1"/>
      <sheetName val="Space_Analysis1"/>
      <sheetName val="sales_current_month5"/>
      <sheetName val="View_Variance5"/>
      <sheetName val="Inventory_data5"/>
      <sheetName val="FORECAST_x_FAMILIA2"/>
      <sheetName val="Space_Analysis2"/>
      <sheetName val="sales_current_month6"/>
      <sheetName val="View_Variance6"/>
      <sheetName val="Inventory_data6"/>
      <sheetName val="FORECAST_x_FAMILIA3"/>
      <sheetName val="Space_Analysis3"/>
      <sheetName val="sales_current_month7"/>
      <sheetName val="View_Variance7"/>
      <sheetName val="Inventory_data7"/>
      <sheetName val="FORECAST_x_FAMILIA4"/>
      <sheetName val="Space_Analysis4"/>
      <sheetName val="sales_current_month8"/>
      <sheetName val="View_Variance8"/>
      <sheetName val="Inventory_data8"/>
      <sheetName val="FORECAST_x_FAMILIA5"/>
      <sheetName val="Space_Analysis5"/>
      <sheetName val="sales_current_month9"/>
      <sheetName val="View_Variance9"/>
      <sheetName val="Inventory_data9"/>
      <sheetName val="FORECAST_x_FAMILIA6"/>
      <sheetName val="Space_Analysis6"/>
      <sheetName val="sales_current_month11"/>
      <sheetName val="View_Variance11"/>
      <sheetName val="Inventory_data11"/>
      <sheetName val="FORECAST_x_FAMILIA8"/>
      <sheetName val="Space_Analysis8"/>
      <sheetName val="sales_current_month10"/>
      <sheetName val="View_Variance10"/>
      <sheetName val="Inventory_data10"/>
      <sheetName val="FORECAST_x_FAMILIA7"/>
      <sheetName val="Space_Analysis7"/>
      <sheetName val="sales_current_month12"/>
      <sheetName val="View_Variance12"/>
      <sheetName val="Inventory_data12"/>
      <sheetName val="FORECAST_x_FAMILIA9"/>
      <sheetName val="Space_Analysis9"/>
      <sheetName val="sales_current_month13"/>
      <sheetName val="View_Variance13"/>
      <sheetName val="Inventory_data13"/>
      <sheetName val="FORECAST_x_FAMILIA10"/>
      <sheetName val="Space_Analysis10"/>
      <sheetName val="sales_current_month14"/>
      <sheetName val="View_Variance14"/>
      <sheetName val="Inventory_data14"/>
      <sheetName val="FORECAST_x_FAMILIA11"/>
      <sheetName val="Space_Analysis11"/>
      <sheetName val="sales_current_month15"/>
      <sheetName val="View_Variance15"/>
      <sheetName val="Inventory_data15"/>
      <sheetName val="FORECAST_x_FAMILIA12"/>
      <sheetName val="Space_Analysis12"/>
      <sheetName val="sales_current_month16"/>
      <sheetName val="View_Variance16"/>
      <sheetName val="Inventory_data16"/>
      <sheetName val="FORECAST_x_FAMILIA13"/>
      <sheetName val="Space_Analysis13"/>
      <sheetName val="sales_current_month17"/>
      <sheetName val="View_Variance17"/>
      <sheetName val="Inventory_data17"/>
      <sheetName val="FORECAST_x_FAMILIA14"/>
      <sheetName val="Space_Analysis14"/>
      <sheetName val="A-16"/>
      <sheetName val="A-15"/>
      <sheetName val="sales_current_month18"/>
      <sheetName val="View_Variance18"/>
      <sheetName val="Inventory_data18"/>
      <sheetName val="FORECAST_x_FAMILIA15"/>
      <sheetName val="Space_Analysis15"/>
      <sheetName val="sales_current_month19"/>
      <sheetName val="View_Variance19"/>
      <sheetName val="Inventory_data19"/>
      <sheetName val="FORECAST_x_FAMILIA16"/>
      <sheetName val="Space_Analysis16"/>
      <sheetName val="sales_current_month20"/>
      <sheetName val="View_Variance20"/>
      <sheetName val="Inventory_data20"/>
      <sheetName val="FORECAST_x_FAMILIA17"/>
      <sheetName val="Space_Analysis17"/>
      <sheetName val="sales_current_month21"/>
      <sheetName val="View_Variance21"/>
      <sheetName val="Inventory_data21"/>
      <sheetName val="FORECAST_x_FAMILIA18"/>
      <sheetName val="Space_Analysis18"/>
      <sheetName val="sales_current_month22"/>
      <sheetName val="View_Variance22"/>
      <sheetName val="Inventory_data22"/>
      <sheetName val="FORECAST_x_FAMILIA19"/>
      <sheetName val="Space_Analysis19"/>
      <sheetName val="sales_current_month23"/>
      <sheetName val="View_Variance23"/>
      <sheetName val="Inventory_data23"/>
      <sheetName val="FORECAST_x_FAMILIA20"/>
      <sheetName val="Space_Analysis20"/>
      <sheetName val="sales_current_month24"/>
      <sheetName val="View_Variance24"/>
      <sheetName val="Inventory_data24"/>
      <sheetName val="FORECAST_x_FAMILIA21"/>
      <sheetName val="Space_Analysis21"/>
      <sheetName val="Dropdown"/>
      <sheetName val="Family"/>
      <sheetName val="CADE DETAIL"/>
      <sheetName val="sales_current_month25"/>
      <sheetName val="View_Variance25"/>
      <sheetName val="Inventory_data25"/>
      <sheetName val="FORECAST_x_FAMILIA22"/>
      <sheetName val="Space_Analysis22"/>
      <sheetName val="sales_current_month26"/>
      <sheetName val="View_Variance26"/>
      <sheetName val="Inventory_data26"/>
      <sheetName val="FORECAST_x_FAMILIA23"/>
      <sheetName val="Space_Analysis23"/>
      <sheetName val="Results"/>
      <sheetName val="PLGroupings"/>
      <sheetName val="6.9 DM CTP"/>
      <sheetName val="Gen"/>
      <sheetName val="Thong tin"/>
      <sheetName val="BTDC B360"/>
      <sheetName val="HN"/>
      <sheetName val="Danh muc LIST"/>
      <sheetName val="TTC"/>
      <sheetName val="KTV"/>
      <sheetName val="BS_IN"/>
      <sheetName val="PL_IN"/>
      <sheetName val="LCGT"/>
      <sheetName val="CF (DR)_IN"/>
      <sheetName val="CSKT"/>
      <sheetName val="TM01-TM"/>
      <sheetName val="Vay"/>
      <sheetName val="PL 02 - Vay"/>
      <sheetName val="PL 03 - Von"/>
      <sheetName val="BS_B341"/>
      <sheetName val="CP yếu tố"/>
      <sheetName val="BS_A510"/>
      <sheetName val="PL_A510"/>
      <sheetName val="RT_A510"/>
      <sheetName val="PL_B342"/>
      <sheetName val="BTKDC_B370"/>
      <sheetName val="TB_B350"/>
      <sheetName val="00000000"/>
      <sheetName val="BS 420"/>
      <sheetName val="PL 420"/>
      <sheetName val="RT 420"/>
      <sheetName val="A710"/>
      <sheetName val="BTDC_B360 "/>
      <sheetName val="Table of contents"/>
      <sheetName val="BOD"/>
      <sheetName val="11. Loans"/>
      <sheetName val="413-Vay"/>
      <sheetName val="SLA cost distr FEB 2020"/>
      <sheetName val="Legal entities details"/>
      <sheetName val="Invoice base FEB 2020"/>
      <sheetName val="Le317 into 8050"/>
      <sheetName val="Changelog"/>
      <sheetName val="Basic principles to the distr."/>
      <sheetName val="Cost elements"/>
      <sheetName val="Ref rate change"/>
      <sheetName val="Synergi life credit"/>
      <sheetName val="Change in NH"/>
      <sheetName val="NPS to O&amp;G"/>
      <sheetName val="Adj entries "/>
      <sheetName val="Annexure 1"/>
      <sheetName val="Annexure 2"/>
      <sheetName val="Updated 2018 COA"/>
      <sheetName val="IC Listing"/>
      <sheetName val="Vadislines"/>
      <sheetName val="Other"/>
      <sheetName val="PU_ITALY_29"/>
      <sheetName val="TH_DZ3517"/>
      <sheetName val="Tro_giup28"/>
      <sheetName val="RAB_AR&amp;STR15"/>
      <sheetName val="chi_tiet_TBA15"/>
      <sheetName val="chi_tiet_C15"/>
      <sheetName val="Customize_Your_Purchase_Order15"/>
      <sheetName val="CHITIET_VL-NC-TT_-1p15"/>
      <sheetName val="CHITIET_VL-NC-TT-3p14"/>
      <sheetName val="TONG_HOP_VL-NC_TT15"/>
      <sheetName val="KPVC-BD_15"/>
      <sheetName val="Don_gia15"/>
      <sheetName val="DON_GIA_TRAM_(3)15"/>
      <sheetName val="DON_GIA_CAN_THO17"/>
      <sheetName val="Don_gia_chi_tiet15"/>
      <sheetName val="HĐ_ngoài14"/>
      <sheetName val="XT_Buoc_314"/>
      <sheetName val="dongia_(2)14"/>
      <sheetName val="7606_DZ15"/>
      <sheetName val="project_management14"/>
      <sheetName val="Adix_A14"/>
      <sheetName val="S-curve_14"/>
      <sheetName val="REINF_14"/>
      <sheetName val="Rates_200914"/>
      <sheetName val="So_doi_chieu_LC14"/>
      <sheetName val="MAIN_GATE_HOUSE14"/>
      <sheetName val="Commercial_value14"/>
      <sheetName val="Du_toan14"/>
      <sheetName val="Ky_Lam_Bridge14"/>
      <sheetName val="Provisional_Sums_Item14"/>
      <sheetName val="Gas_Pressure_Welding14"/>
      <sheetName val="General_Item&amp;General_Requirem14"/>
      <sheetName val="General_Items14"/>
      <sheetName val="Regenral_Requirements14"/>
      <sheetName val="chiet_tinh14"/>
      <sheetName val="Ng_hàng_xà+bulong14"/>
      <sheetName val="MH_RATE14"/>
      <sheetName val="TONG_HOP_VL-NC14"/>
      <sheetName val="Bang_KL14"/>
      <sheetName val="Đầu_vào13"/>
      <sheetName val="Lcau_-_Lxuc14"/>
      <sheetName val="Chi_tiet_XD_TBA13"/>
      <sheetName val="DM_606114"/>
      <sheetName val="DG_thep_ma_kem14"/>
      <sheetName val="CT_vat_lieu14"/>
      <sheetName val="Equip_13"/>
      <sheetName val="A1_CN13"/>
      <sheetName val="TONG_HOP_T5_199813"/>
      <sheetName val="Chenh_lech_vat_tu13"/>
      <sheetName val="Trạm_biến_áp13"/>
      <sheetName val="Đơn_Giá_13"/>
      <sheetName val="Diện_tích13"/>
      <sheetName val="1_Khái_toán13"/>
      <sheetName val="CT-0_4KV13"/>
      <sheetName val="DG_DZ14"/>
      <sheetName val="DG_TBA14"/>
      <sheetName val="rate_material13"/>
      <sheetName val="KL_Chi_tiết_Xây_tô13"/>
      <sheetName val="07Base_Cost13"/>
      <sheetName val="GV1-D13_(Casement_door)13"/>
      <sheetName val="Bill_1_Quy_dinh_chung13"/>
      <sheetName val="1_R18_BF13"/>
      <sheetName val="6_External_works-R1813"/>
      <sheetName val="Phan_khai_KLuong13"/>
      <sheetName val="Chi_tiet_KL13"/>
      <sheetName val="Tổng_hợp_KL13"/>
      <sheetName val="04_-_XUONG_DET_B13"/>
      <sheetName val="_0313"/>
      <sheetName val="chieu_day_san13"/>
      <sheetName val="Podium_Concrete_Works13"/>
      <sheetName val="KLCT-_TOWER13"/>
      <sheetName val="KLCT-_PODIUM13"/>
      <sheetName val="Area_Cal13"/>
      <sheetName val="Gia_thanh_chuoi_su13"/>
      <sheetName val="Tiep_dia13"/>
      <sheetName val="Don_gia_vung_III-Can_Tho13"/>
      <sheetName val="Loại_Vật_tư13"/>
      <sheetName val="Elect_(3)13"/>
      <sheetName val="plan&amp;section_of_foundation13"/>
      <sheetName val="design_criteria13"/>
      <sheetName val="Bond_수수료_계산_포맷13"/>
      <sheetName val="ITB_COST13"/>
      <sheetName val="PAGE_113"/>
      <sheetName val="Xay_lapduongR313"/>
      <sheetName val="DM_6713"/>
      <sheetName val="Project_Data13"/>
      <sheetName val="6787CWFASE2CASE2_00_xls13"/>
      <sheetName val="Đầu_tư13"/>
      <sheetName val="EIRR&gt;_213"/>
      <sheetName val="Bill_02_-_Xay_gach-Pou_13"/>
      <sheetName val="Bill_03-Chống_thấm-Pou13"/>
      <sheetName val="Bill_04-Kim_loại-Pou13"/>
      <sheetName val="Bill_05_-_Hoan_thien-Pou_13"/>
      <sheetName val="Bill_02_-_Xay_gach-Tower13"/>
      <sheetName val="Bill_03-Chống_thấm-Tower13"/>
      <sheetName val="Bill_04-Kim_loại-Tower13"/>
      <sheetName val="Bill_05_-_Hoan_thien-Tower13"/>
      <sheetName val="KL-_KHAC13"/>
      <sheetName val="BILL_3_-_KẾT_CẤU_HẦM13"/>
      <sheetName val="PTĐG_LTBT13"/>
      <sheetName val="CTG-PRECHEx1_413"/>
      <sheetName val="CTG-AB_(2)13"/>
      <sheetName val="CTG-AB_(3)13"/>
      <sheetName val="CTG-PLP-1_0813"/>
      <sheetName val="Pre_Đội_nhóm13"/>
      <sheetName val="Vat_tu_XD13"/>
      <sheetName val="Tower_-_Concrete_Works13"/>
      <sheetName val="Bill-04_ket_cau_thap-_UNI13"/>
      <sheetName val="dg_tphcm13"/>
      <sheetName val="T_KÊ_K_CẤU13"/>
      <sheetName val="gia_cong_tac13"/>
      <sheetName val="4_PTDG13"/>
      <sheetName val="A1,_May13"/>
      <sheetName val="Vat_lieu13"/>
      <sheetName val="Data_Input14"/>
      <sheetName val="Measure_130613"/>
      <sheetName val="HÐ_ngoài14"/>
      <sheetName val="6PILE__(돌출)13"/>
      <sheetName val="Bill_01_-_CTN13"/>
      <sheetName val="Bill_2_2_Villa_2_beds13"/>
      <sheetName val="Analisa_Gabungan13"/>
      <sheetName val="Isolasi_Luar_Dalam13"/>
      <sheetName val="Isolasi_Luar13"/>
      <sheetName val="Harga_ME_13"/>
      <sheetName val="TH_N_Cong13"/>
      <sheetName val="ESTI_13"/>
      <sheetName val="KL_san_lap13"/>
      <sheetName val="TH_Vat_tu13"/>
      <sheetName val="_Bill_5-Earthing_2_-_Add_Work13"/>
      <sheetName val="Chenh_lech_ca_may13"/>
      <sheetName val="TLg_CN&amp;Laixe13"/>
      <sheetName val="TLg_CN&amp;Laixe_(2)13"/>
      <sheetName val="TLg_Laitau13"/>
      <sheetName val="TLg_Laitau_(2)13"/>
      <sheetName val="Bang_trong_luong_rieng_thep13"/>
      <sheetName val="Cước_VC_+_ĐM_CP_Tư_vấn13"/>
      <sheetName val="Hệ_số13"/>
      <sheetName val="DETAIL_13"/>
      <sheetName val="final_list_200529"/>
      <sheetName val="LV_data13"/>
      <sheetName val="Gia_vat_tu13"/>
      <sheetName val="CẤP_THOÁT_NƯỚC13"/>
      <sheetName val="THDT_goi_thau_TB13"/>
      <sheetName val="Tien_do_TV13"/>
      <sheetName val="bridge_#_113"/>
      <sheetName val="Bang_3_Chi_tiet_phan_Dz13"/>
      <sheetName val="KHOI_LUONG13"/>
      <sheetName val="TH_MTC13"/>
      <sheetName val="CTKL_KTX_HT12"/>
      <sheetName val="Buy_vs__Lease_Car13"/>
      <sheetName val="DATA_BASE13"/>
      <sheetName val="Equipment_list_(PAC)13"/>
      <sheetName val="TINH_KHOI_LUONG13"/>
      <sheetName val="Chi_tiet13"/>
      <sheetName val="subcon_sched13"/>
      <sheetName val="NHÀ_NHẬP_LIỆU12"/>
      <sheetName val="MÓNG_SILO12"/>
      <sheetName val="PRE_(E)13"/>
      <sheetName val="HVAC_BLOCK_B413"/>
      <sheetName val="2_Chiet_tinh12"/>
      <sheetName val="BẢNG_KHỐI_LƯỢNG_TỔNG_HỢP12"/>
      <sheetName val="CP_Khac_cuoc_VC12"/>
      <sheetName val="Budget_Code12"/>
      <sheetName val="Tong_du_toan12"/>
      <sheetName val="Bill_2_-_ketcau12"/>
      <sheetName val="Chi_tiet_lan_can12"/>
      <sheetName val="13-Cốt_thép_(10mm&lt;D≤18mm)_FO112"/>
      <sheetName val="du_lieu_du_toan12"/>
      <sheetName val="BOQ_THAN12"/>
      <sheetName val="DL_ĐẦU_VÀO12"/>
      <sheetName val="Purchase_Order12"/>
      <sheetName val="D_&amp;_W_sizes12"/>
      <sheetName val="Analisa_&amp;_Upah12"/>
      <sheetName val="Du_lieu13"/>
      <sheetName val="Phan_tich12"/>
      <sheetName val="Luong_NII12"/>
      <sheetName val="DINH_MUC_THI_NGHIEM12"/>
      <sheetName val="Luong_NI12"/>
      <sheetName val="CT_Thang_Mo12"/>
      <sheetName val="CT__PL12"/>
      <sheetName val="cash_budget12"/>
      <sheetName val="dongia__2_12"/>
      <sheetName val="GOC-KO_IN12"/>
      <sheetName val="MAU_8A12"/>
      <sheetName val="MAU_8B12"/>
      <sheetName val="MAU_912"/>
      <sheetName val="MAU_1012"/>
      <sheetName val="Thép_CKN12"/>
      <sheetName val="sochitiettaikhoan_12"/>
      <sheetName val="Share_price_data12"/>
      <sheetName val="19_312"/>
      <sheetName val="20_312"/>
      <sheetName val="Chieu_4_312"/>
      <sheetName val="Cow_req12"/>
      <sheetName val="TỔNG_HỢP12"/>
      <sheetName val="14-LẦN_3-CHIỀU12"/>
      <sheetName val="14-LẦN_1-SÁNG12"/>
      <sheetName val="14-LẦN_2-TRƯA12"/>
      <sheetName val="1_3+1_4-TOTAL_-_Ko_IN12"/>
      <sheetName val="2_1-LẦN_3-CHIỀU12"/>
      <sheetName val="2_1-LẦN_1-SÁNG12"/>
      <sheetName val="2_1-LẦN_2-TRƯA12"/>
      <sheetName val="2_1-TOTAL-Ko_IN12"/>
      <sheetName val="1_3(TMR_4)12"/>
      <sheetName val="CHO_DE12"/>
      <sheetName val="1_1+1_2+2_2+2_3(TMR_3)12"/>
      <sheetName val="CK1+CK2_(VS_SAN_CHOI_23)12"/>
      <sheetName val="CK1+CK2_(2)12"/>
      <sheetName val="12-16_THÁNG12"/>
      <sheetName val="CAN_SỮA12"/>
      <sheetName val="54+55+56(SAU_CAI_SỮA-6)12"/>
      <sheetName val="BÊ_71-90_NGÀY12"/>
      <sheetName val="BÊ_12-16_tháng12"/>
      <sheetName val="BÊ_6-1212"/>
      <sheetName val="BÊ_1-312"/>
      <sheetName val="F01-BC_KHAU_PHAN_SANG_20_312"/>
      <sheetName val="F01-BC_KHAU_PHAN_CHIEU_19_312"/>
      <sheetName val="dinh_mưc_cty12"/>
      <sheetName val="Giá_thành12"/>
      <sheetName val="Thong_ke12"/>
      <sheetName val="Energy_for_milk_prod12"/>
      <sheetName val="DE_NGHI_XUAT_12"/>
      <sheetName val="phieu_xuat_mau12"/>
      <sheetName val="PHIEU_XUAT_CHIEU12"/>
      <sheetName val="11_rai_them_cỏ12"/>
      <sheetName val="PHU_LUC_02-_HDSD_CAC_BIEU_MAU12"/>
      <sheetName val="PhU_LUC_01-_MA_CAC_NHOM_BO12"/>
      <sheetName val="F03-BC_THUC_TRON_SANG_20_312"/>
      <sheetName val="F03-BC_THUC_TRON_CHIEU_19_312"/>
      <sheetName val="F02-BC_THEO_DOI_THUC_AN_DU12"/>
      <sheetName val="Tham_khao-_Bao_cao_xuat_thuc_12"/>
      <sheetName val="VC_xd10"/>
      <sheetName val="Gia_VLTB10"/>
      <sheetName val="B_Luong10"/>
      <sheetName val="C_May10"/>
      <sheetName val="Dlieu_dau_vao12"/>
      <sheetName val="Income_Statement12"/>
      <sheetName val="Shareholders'_Equity12"/>
      <sheetName val="BANCO_(2)12"/>
      <sheetName val="MT_DPin_(2)12"/>
      <sheetName val="02__PTDG12"/>
      <sheetName val="Chiết_tính12"/>
      <sheetName val="TB_NẶNG10"/>
      <sheetName val="Du_tru_CP-Bieu_0110"/>
      <sheetName val="Don_gia_(khong_in)12"/>
      <sheetName val="DK1_Don_gia12"/>
      <sheetName val="1_MONG_1-212"/>
      <sheetName val="THEP_TAM10"/>
      <sheetName val="THEP_HÌNH10"/>
      <sheetName val="THEP_HINH10"/>
      <sheetName val="XA_GO10"/>
      <sheetName val="BANG_TRA10"/>
      <sheetName val="wk_prgs10"/>
      <sheetName val="Ma_don_vi10"/>
      <sheetName val="bang_cc10"/>
      <sheetName val="dm_36610"/>
      <sheetName val="DM_606010"/>
      <sheetName val="Dự_thầu10"/>
      <sheetName val="Nhap_VT_oto10"/>
      <sheetName val="Hao_phí10"/>
      <sheetName val="Structure_data10"/>
      <sheetName val="đọc_số10"/>
      <sheetName val="Bill_No_3_-_Prov__Sum_(Ph2&amp;3)10"/>
      <sheetName val="TH_TN10"/>
      <sheetName val="CP_Du_phong10"/>
      <sheetName val="THCP_Lap_dat10"/>
      <sheetName val="THCP_xay_dung10"/>
      <sheetName val="Tong_hop_kinh_phi10"/>
      <sheetName val="Dự_toán10"/>
      <sheetName val="Đơn_Giá_TH10"/>
      <sheetName val="Nhân_công10"/>
      <sheetName val="Phân_tích10"/>
      <sheetName val="C_P_Thiết_bị10"/>
      <sheetName val="T_H_Kinh_phí10"/>
      <sheetName val="Vật_tư10"/>
      <sheetName val="Trang_bìa10"/>
      <sheetName val="Don_gia_chi_tiet_DIEN_29"/>
      <sheetName val="Data_Wall10"/>
      <sheetName val="2_1Warehouse_110"/>
      <sheetName val="AG_Pipe_Qty_Analysis10"/>
      <sheetName val="Main_Bldg-Rev0210"/>
      <sheetName val="D&amp;W_def_10"/>
      <sheetName val="Nhan_cong10"/>
      <sheetName val="Thiet_bi10"/>
      <sheetName val="Vat_tu10"/>
      <sheetName val="DM_ChiPhi10"/>
      <sheetName val="May_TC10"/>
      <sheetName val="TH_Kinh_phi10"/>
      <sheetName val="Ptvl_10"/>
      <sheetName val="Ｎｏ_1310"/>
      <sheetName val="DGchitiet_10"/>
      <sheetName val="CP_HMC10"/>
      <sheetName val="HỆ_THỐNG_PHÒNG_CHÁY_CHỮA_CHÁY10"/>
      <sheetName val="HỆ_THỐNG_CẤP_THOÁT_NƯỚC10"/>
      <sheetName val="HỆ_THỐNG_ĐHKK10"/>
      <sheetName val="MÁY_PHÁT_ĐIỆN10"/>
      <sheetName val="HỆ_THỐNG_ĐIỆN10"/>
      <sheetName val="Thiết_bị_chính10"/>
      <sheetName val="CHI_PHI10"/>
      <sheetName val="TK_chi_tiet10"/>
      <sheetName val="Bill_2-Road_HR210"/>
      <sheetName val="Bill_3_-_Softscape_HR210"/>
      <sheetName val="CĂN_HỘ_T16-17_10"/>
      <sheetName val="TRỤC_ĐỨNG_THOÁT_BẨN_T15-1710"/>
      <sheetName val="TRỤC_ĐỨNG_TM_T15-1710"/>
      <sheetName val="Móng,_nền_10"/>
      <sheetName val="1_Requisition(E)10"/>
      <sheetName val="TONG_HOP10"/>
      <sheetName val="Tổng_GT10"/>
      <sheetName val="Chi_tiết_KL10"/>
      <sheetName val="khấu_trừ_phạt10"/>
      <sheetName val="GT__KHAU_TRU10"/>
      <sheetName val="HAO_HUT_VAT_TU_(2)10"/>
      <sheetName val="cao_độ10"/>
      <sheetName val="phan_tic_chi_tiet10"/>
      <sheetName val="DG_14269"/>
      <sheetName val="Theo_doi_Doanh_thu_20179"/>
      <sheetName val="KL_THEP__GIAM_DO_DUNG_COUPLER9"/>
      <sheetName val="01_KL_THÉP_NHẬP_VỀ9"/>
      <sheetName val="2__NT_VLDV9"/>
      <sheetName val="GHI_CHU9"/>
      <sheetName val="1_BB_LMHT9"/>
      <sheetName val="gui_BKCT9"/>
      <sheetName val="Gia_vat_lieu9"/>
      <sheetName val="Precios_unitarios_AXH9"/>
      <sheetName val="Chi_tiet_cong_no10"/>
      <sheetName val="PHÁT_SINH_TẦNG_1_10"/>
      <sheetName val="PHÁT_SINH_TẦNG_210"/>
      <sheetName val="Hầm_chuyển_psinh10"/>
      <sheetName val="Ống_thẳng10"/>
      <sheetName val="Côn_thu10"/>
      <sheetName val="Vuông_tròn10"/>
      <sheetName val="Chân_rẽ10"/>
      <sheetName val="Chạc_ba10"/>
      <sheetName val="MB_DT_028"/>
      <sheetName val="3__CNT9"/>
      <sheetName val="unit_price_list(M)9"/>
      <sheetName val="So_lieu_chung9"/>
      <sheetName val="TH_VL,_NC,_DDHT_Thanhphuoc9"/>
      <sheetName val="Chi_tiet_-tong_9_thang9"/>
      <sheetName val="BẢNG_ÁP_GIÁ_(in)9"/>
      <sheetName val="NT_(KL)_IN9"/>
      <sheetName val="DOM_D29"/>
      <sheetName val="nhà_ăn9"/>
      <sheetName val="Công_nhật9"/>
      <sheetName val="btkt_cột9"/>
      <sheetName val="Bê_tông_bảo_vệ9"/>
      <sheetName val="01__Data9"/>
      <sheetName val="Neo,_nối_cốt_thép_dầm,_cột9"/>
      <sheetName val="Uốn_móc_cốt_thép9"/>
      <sheetName val="Tiêu_chuẩn_cốt_thép9"/>
      <sheetName val="Doi_so9"/>
      <sheetName val="1_2_Staff_Schedule9"/>
      <sheetName val="0__Input9"/>
      <sheetName val="DANH_MỤC_HỒ_SƠ9"/>
      <sheetName val="GT_PHÁT_SINH_NGOÀI_HĐ9"/>
      <sheetName val="KL_PHÁT_SINH_9"/>
      <sheetName val="PS_NGOÀI_HĐ9"/>
      <sheetName val="GT_PHÁT_SINH_VƯỢT_HĐ9"/>
      <sheetName val="PS_TĂNG_GIẢM_TRONG_HĐ9"/>
      <sheetName val="DGCT_PHÁT_SINH9"/>
      <sheetName val="DGCT_TRẦN_NLV9"/>
      <sheetName val="DGKL_chi_tiết_NLV9"/>
      <sheetName val="DGKL_chi_tiết_NHN,NK9"/>
      <sheetName val="TG_KL9"/>
      <sheetName val="DGCT_SƠN_BẢ_TƯỜNG_NLV9"/>
      <sheetName val="DGKL_TRẦN_NHN9"/>
      <sheetName val="MTO_REV_2(ARMOR)9"/>
      <sheetName val="Cotthep_NPT9"/>
      <sheetName val="vl_nc_mtc9"/>
      <sheetName val="Heso_DZ9"/>
      <sheetName val="DM_336cai_tao9"/>
      <sheetName val="DG_BINH_THUAN9"/>
      <sheetName val="Tien_Thuong9"/>
      <sheetName val="NC_XL_6T_cuoi_01_CTy9"/>
      <sheetName val="Data_-6T_dau9"/>
      <sheetName val="Cong_6T9"/>
      <sheetName val="KL_thep_lam_sat9"/>
      <sheetName val="B3A_-_TOWER_A9"/>
      <sheetName val="Annex_B9"/>
      <sheetName val="Bill_Prelim-CDT9"/>
      <sheetName val="Bill_BPTC-CDT9"/>
      <sheetName val="Chi_tiết_BPTC9"/>
      <sheetName val="Bill_BPTC-CDT_(PA_MCT_CDT)9"/>
      <sheetName val="Chi_tiết_BPTC_(PA_MCT_CDT)9"/>
      <sheetName val="1_Civil_(Org)9"/>
      <sheetName val="DM-VNT_ko_sd9"/>
      <sheetName val="Bảng_đo_bóc_KL_OLK-099"/>
      <sheetName val="6_3_CHI_TIET_OLK-099"/>
      <sheetName val="1__Office9"/>
      <sheetName val="KHOI_LUONG15-49"/>
      <sheetName val="Tong_hop_vat_tu9"/>
      <sheetName val="1_San_9"/>
      <sheetName val="TLG_Type9"/>
      <sheetName val="Dgia_vat_tu9"/>
      <sheetName val="Don_gia_III9"/>
      <sheetName val="D÷_liÖu9"/>
      <sheetName val="Dot_49"/>
      <sheetName val="Thop_Ksat9"/>
      <sheetName val="Thu_hoi_9"/>
      <sheetName val="HM_chung9"/>
      <sheetName val="CP_xd-thiet_bi9"/>
      <sheetName val="TH-TN_LD_TB9"/>
      <sheetName val="CP_xaydung9"/>
      <sheetName val="Thao_ha_phu_kien9"/>
      <sheetName val="VL-NC-MTC_ket_cau9"/>
      <sheetName val="KHOI_LUONG_TONG9"/>
      <sheetName val="TK_22KV9"/>
      <sheetName val="DM_366-17779"/>
      <sheetName val="Thi_nhiem9"/>
      <sheetName val="Gia_goc_VT-TB9"/>
      <sheetName val="Gia_vc_den_chan_CT9"/>
      <sheetName val="culy_229"/>
      <sheetName val="Luong_20509"/>
      <sheetName val="ca_may_QN9"/>
      <sheetName val="TNHC1246_9"/>
      <sheetName val="Ca_may_TT06_20109"/>
      <sheetName val="Don_gia_VLXD_dia_phuong9"/>
      <sheetName val="Bang_luong_SCL9"/>
      <sheetName val="Dinh_muc_TN14269"/>
      <sheetName val="HRG_BHN9"/>
      <sheetName val="CĂN_ĐH9"/>
      <sheetName val="Chi_phi_van_chuyen9"/>
      <sheetName val="TH_các_CC9"/>
      <sheetName val="Div26_-_Elect9"/>
      <sheetName val="7_Khau_tru_9"/>
      <sheetName val="Q_A01_2-Sh9"/>
      <sheetName val="4_CĂN9"/>
      <sheetName val="2_CDPS9"/>
      <sheetName val="Don_gia_NC9"/>
      <sheetName val="DT_hợp_đồng8"/>
      <sheetName val="Bảng_KL_đợt_18"/>
      <sheetName val="Danh_mục8"/>
      <sheetName val="Bieu_gia_HD8"/>
      <sheetName val="Summary_Sheet8"/>
      <sheetName val="Finishing-Tower_A8"/>
      <sheetName val="Finishing-Tower_B8"/>
      <sheetName val="Finishing-Tower_C8"/>
      <sheetName val="Finishing-Tower_D8"/>
      <sheetName val="MEP-Tower_A8"/>
      <sheetName val="MEP-Tower_B8"/>
      <sheetName val="MEP-Tower_C8"/>
      <sheetName val="MEP-Tower_D8"/>
      <sheetName val="Cost_Report_Sum8"/>
      <sheetName val="Detail_Cost_Sum8"/>
      <sheetName val="RVO-VO_Sum8"/>
      <sheetName val="Potential_VOs_Sum8"/>
      <sheetName val="Cash_Flow_Sum8"/>
      <sheetName val="BTK-Dai_Hoc_Kien_Giang8"/>
      <sheetName val="PV_Graph_Data8"/>
      <sheetName val="doanh_thu8"/>
      <sheetName val="Dutoan_KL8"/>
      <sheetName val="CAP_NUOC8"/>
      <sheetName val="cấp_nước_trục_nhà_vs8"/>
      <sheetName val="THOAT_NUOC8"/>
      <sheetName val="THOAT_MUA8"/>
      <sheetName val="Cáp_phòng8"/>
      <sheetName val="TMC_ĐIỆN_Phi8"/>
      <sheetName val="TMC_Tổng8"/>
      <sheetName val="TH_Đèn_Phòng_L18"/>
      <sheetName val="TH_Đèn_Hầm_L18"/>
      <sheetName val="TỦ_MODULE_T18"/>
      <sheetName val="B-2__(DPP)9"/>
      <sheetName val="Huong_dan8"/>
      <sheetName val="gia_vt,nc,may8"/>
      <sheetName val="Financ__Overview8"/>
      <sheetName val="TINH_GIA_-_SAN_XUAT_Vertico8"/>
      <sheetName val="13_BANG_CT8"/>
      <sheetName val="14_MMUS_GIUA_NHIP8"/>
      <sheetName val="4_HSPBngang8"/>
      <sheetName val="6_Tinh_tai8"/>
      <sheetName val="2_NSl8"/>
      <sheetName val="17_US_CHU_tho_a_b8"/>
      <sheetName val="15_MMUS_GOI8"/>
      <sheetName val="DZ_22KV8"/>
      <sheetName val="Kê_0,48"/>
      <sheetName val="TH_0,48"/>
      <sheetName val="Kê_228"/>
      <sheetName val="TH_228"/>
      <sheetName val="TBA_CAI_TAO8"/>
      <sheetName val="TBA_XDM8"/>
      <sheetName val="TONG_HOP_DU_TOAN8"/>
      <sheetName val="Thop_XAY_DUNG8"/>
      <sheetName val="CP_HANG_MUC_CHUNG8"/>
      <sheetName val="CHI_PHI_XD8"/>
      <sheetName val="CHI_PHI_THI_NGHIEM8"/>
      <sheetName val="VLDIEN_228"/>
      <sheetName val="Dao_dat8"/>
      <sheetName val="TH_Denbu8"/>
      <sheetName val="Do_ve_DC8"/>
      <sheetName val="TH_Bommin8"/>
      <sheetName val="CHI_PHI_THI_NGHIEM-LD_thiet_bi8"/>
      <sheetName val="Luong_TT018"/>
      <sheetName val="Camay_QB8"/>
      <sheetName val="gia_ca_may_BXD8"/>
      <sheetName val="BANG_LUONG_KY_SU8"/>
      <sheetName val="Bang_luong_NHOM_I8"/>
      <sheetName val="Bangluong_NHOM_II_8"/>
      <sheetName val="09-GIA_nhien_lieu-ko_in8"/>
      <sheetName val="Tinh_V_cot_chiem_cho8"/>
      <sheetName val="ĐM_13548"/>
      <sheetName val="KHOAN_MAU8"/>
      <sheetName val="ĐO_ĐỊA_VẬT_LÝ8"/>
      <sheetName val="khoan_tiep_dia8"/>
      <sheetName val="Tổng_hợp_KPHM8"/>
      <sheetName val="Dinh_muc8"/>
      <sheetName val="GIÁ_DỰ_THẦU_30_CĂN8"/>
      <sheetName val="5_2_1_Đo_bóc_KL_OLK-068"/>
      <sheetName val="KS_tuyen8"/>
      <sheetName val="Bang_chiet_tinh_TBA8"/>
      <sheetName val="4_2_1_Đo_bóc_KL_OLK-068"/>
      <sheetName val="4_1_1_CHI_TIET_OLK-068"/>
      <sheetName val="DG_Chi_tiet8"/>
      <sheetName val="_1710_HOINGHINLD8"/>
      <sheetName val="99_(2)8"/>
      <sheetName val="134_8"/>
      <sheetName val="DG_49708"/>
      <sheetName val="Cash_Flow8"/>
      <sheetName val="BU_LONG8"/>
      <sheetName val="DT__NHA_XUONG8"/>
      <sheetName val="EQUIP_LIST8"/>
      <sheetName val="THONG_SO8"/>
      <sheetName val="Đơn_giá_chi_tiết_TN_398"/>
      <sheetName val="HERD_MOVEMENTFARM110"/>
      <sheetName val="HERD_MOVEMENTFARM210"/>
      <sheetName val="CALVES_2-410"/>
      <sheetName val="Cavles_2-410"/>
      <sheetName val="CALVES_4-710"/>
      <sheetName val="HEIFER_7-12m10"/>
      <sheetName val="HEIFER_12+10"/>
      <sheetName val="FRESH_COW_2017-1810"/>
      <sheetName val="HP_COW_201810"/>
      <sheetName val="LP_COW_2017-1810"/>
      <sheetName val="DRY_COW10"/>
      <sheetName val="FIELD_CROPS10"/>
      <sheetName val="So_sanh8"/>
      <sheetName val="Electrical_Works8"/>
      <sheetName val="H_T__INCOMING_SYSTEM8"/>
      <sheetName val="Tính_giá_NC8"/>
      <sheetName val="Tiên_lượng8"/>
      <sheetName val="SL_cước8"/>
      <sheetName val="¥_8"/>
      <sheetName val="Gia_VT-TB8"/>
      <sheetName val="noi_suy_xa8"/>
      <sheetName val="noi_suy_xa_thu_hoi8"/>
      <sheetName val="Thuyết_minh8"/>
      <sheetName val="Đơn_giá_máy8"/>
      <sheetName val="Tong_DT7"/>
      <sheetName val="phan_tich_don_gia7"/>
      <sheetName val="Bill_No_1_68"/>
      <sheetName val="Bill_No_1_108"/>
      <sheetName val="Bill_No_3_38"/>
      <sheetName val="Bill_No_1_48"/>
      <sheetName val="Bill_No_1_78"/>
      <sheetName val="Summary_Bill_No__38"/>
      <sheetName val="DT_san_XD-So_lieu_cu7"/>
      <sheetName val="FF-2_(1)7"/>
      <sheetName val="Labour_Summary20"/>
      <sheetName val="YTD_12'20037"/>
      <sheetName val="YTD_06'20037"/>
      <sheetName val="YTD_03'20037"/>
      <sheetName val="YTD_09'20037"/>
      <sheetName val="deferred_taxes7"/>
      <sheetName val="Eqpmnt_Plng7"/>
      <sheetName val="TRIAL_BALANCE7"/>
      <sheetName val="DPR_31st_march7"/>
      <sheetName val="current_month7"/>
      <sheetName val="Blng__Vs_Coll_7"/>
      <sheetName val="Unit_price7"/>
      <sheetName val="Bán_đợt_1_trang7"/>
      <sheetName val="Chiet_tinh_dz357"/>
      <sheetName val="3__KC_-_PODIUM7"/>
      <sheetName val="CTDZ6kv_(gd1)_7"/>
      <sheetName val="CTDZ_0_4+cto_(GD1)7"/>
      <sheetName val="CTTBA_(gd1)7"/>
      <sheetName val="03_Detailed7"/>
      <sheetName val="01_Bid_Price_summary7"/>
      <sheetName val="Home_Office_Manhours7"/>
      <sheetName val="Field_SPV_Barchart7"/>
      <sheetName val="Tien_Luong7"/>
      <sheetName val="Unit_price(Updateting)7"/>
      <sheetName val="Cost_List7"/>
      <sheetName val="Detail_Cost7"/>
      <sheetName val="IC_Price_New7"/>
      <sheetName val="Summary_Table7"/>
      <sheetName val="Sales_Person7"/>
      <sheetName val="Bidding_Entity7"/>
      <sheetName val="CHITIET_VL-NCHT1_(2)7"/>
      <sheetName val="Bù_giá_CM7"/>
      <sheetName val="Breakdown_(B)7"/>
      <sheetName val="U_P_Breakdown7"/>
      <sheetName val="IMF_Code7"/>
      <sheetName val="Subsidiary_Calculation7"/>
      <sheetName val="Phu_Bai_Bridge7"/>
      <sheetName val="5_2_1_Đo_bóc_KL_OLK-107"/>
      <sheetName val="BẢNG_DIỄN_GIẢI_KL_(7)7"/>
      <sheetName val="don_gia_14267"/>
      <sheetName val="Luong_BN7"/>
      <sheetName val="Luong_TB7"/>
      <sheetName val="Ca_may_TB7"/>
      <sheetName val="Ca_máy_BN7"/>
      <sheetName val="Vật_liệu7"/>
      <sheetName val="LX_-TT057"/>
      <sheetName val="NC_Moi_TT057"/>
      <sheetName val="Bia_lot7"/>
      <sheetName val="Chu_dau_tu3"/>
      <sheetName val="Cau_tao_gia_xay_to3"/>
      <sheetName val="THÔNG_TIN3"/>
      <sheetName val="THPDMoi__(2)3"/>
      <sheetName val="t-h_HA_THE3"/>
      <sheetName val="TH_XL3"/>
      <sheetName val="CHITIET_VL-NC3"/>
      <sheetName val="Khaibao"/>
      <sheetName val="01. Nha xuong"/>
      <sheetName val="Project ODC_NDEU"/>
      <sheetName val="Opening"/>
      <sheetName val="DepRate"/>
      <sheetName val="Quote-ExtMG-Y1"/>
      <sheetName val="Inter connect Revenue"/>
      <sheetName val="Process"/>
      <sheetName val="2020 RFS Summary"/>
      <sheetName val="Well Construction Summary"/>
      <sheetName val="Subsurface"/>
      <sheetName val="Offshore"/>
      <sheetName val="Logistics"/>
      <sheetName val="RFS 2020 - Details and Notes"/>
      <sheetName val="PREV_RICAVI"/>
      <sheetName val="NHOM KINH "/>
      <sheetName val="1.설계조건"/>
      <sheetName val="Wood Mckenzie"/>
      <sheetName val="Đầu ra sản phẩm"/>
      <sheetName val="Tổng quan và Input"/>
      <sheetName val="Đầu vào sản xuất"/>
      <sheetName val="Tính toán doanh thu"/>
      <sheetName val="Phân tích độ nhạy"/>
      <sheetName val="Khấu hao TSCĐ"/>
      <sheetName val="Nguồn vốn"/>
      <sheetName val="Giải ngân nguồn vốn"/>
      <sheetName val="Tính toán thuế"/>
      <sheetName val="Tính toán chi phí SX"/>
      <sheetName val="TH ĐƠN GIÁ"/>
      <sheetName val="THDT_goi_thauџTB2"/>
      <sheetName val="BASE GRAPHE"/>
      <sheetName val="DS Cty"/>
      <sheetName val="Bldg Brkdown"/>
      <sheetName val="mahang"/>
      <sheetName val="MAHANG BHLD"/>
      <sheetName val="LUONGKHOAN"/>
      <sheetName val="CHITIETHOADON.TT"/>
      <sheetName val="mahang chinh sua moi nhat"/>
      <sheetName val="Hs_TMDT"/>
      <sheetName val="TMDT"/>
      <sheetName val="Request"/>
      <sheetName val="4)유동표"/>
      <sheetName val="KL T16 BÀN GIAO 19.4"/>
      <sheetName val="proj"/>
      <sheetName val="比率"/>
      <sheetName val="数据库"/>
      <sheetName val="THÁNG 05"/>
      <sheetName val="BCC_4054-05"/>
      <sheetName val="Tra1"/>
      <sheetName val="SLTh.ke"/>
      <sheetName val="DNTT"/>
      <sheetName val="TONGKE3p "/>
      <sheetName val="TNHCHINH"/>
      <sheetName val="VCV-BE-TONG"/>
      <sheetName val="NKCT"/>
      <sheetName val="Technal"/>
      <sheetName val="List of Staff"/>
      <sheetName val="_ QUOTATION.xlsx"/>
      <sheetName val="2.5.Ducts (2)"/>
      <sheetName val="S N"/>
      <sheetName val="CF -Update 31Jul06"/>
      <sheetName val="Executive Summary"/>
      <sheetName val="Link HG"/>
      <sheetName val="Civil"/>
      <sheetName val="1-Backfilling"/>
      <sheetName val="DG VL KS"/>
      <sheetName val="chi tiet TS theo so lieu ktoan"/>
      <sheetName val="LinerWt"/>
      <sheetName val="Cognos_Office_Connection_Cache"/>
      <sheetName val="RENCERT"/>
      <sheetName val="RC Revenue"/>
      <sheetName val="AOP 2020"/>
      <sheetName val="START"/>
      <sheetName val="LE0030"/>
      <sheetName val="LE1000"/>
      <sheetName val="LE8530"/>
      <sheetName val="LE1330"/>
      <sheetName val="LE2030"/>
      <sheetName val="LE8030+8050"/>
      <sheetName val="LE6610"/>
      <sheetName val="LE8680"/>
      <sheetName val="LE5090"/>
      <sheetName val="LE2130"/>
      <sheetName val="END"/>
      <sheetName val="DATA LE"/>
      <sheetName val="DATA LE (LY)"/>
      <sheetName val="DATA RC"/>
      <sheetName val="DATA RC (LY)"/>
      <sheetName val="LE Test"/>
      <sheetName val="DATA (RC ORG)"/>
      <sheetName val="DATA (TESTING 1)"/>
      <sheetName val="DATA (TESTING CHRSPR)"/>
      <sheetName val="LE0041"/>
      <sheetName val="2018 VADIS"/>
      <sheetName val="CDPS SAU KC"/>
      <sheetName val="Division"/>
      <sheetName val="data-ma2"/>
      <sheetName val="INDEX HẠ TẦNG"/>
      <sheetName val="CTG HẠ TẦNG"/>
      <sheetName val="DGG HẠ TẦNG"/>
      <sheetName val="DGG_LB CỌC"/>
      <sheetName val="DGG_MT CỌC"/>
      <sheetName val="INFO CỌC"/>
      <sheetName val="INDEX CỌC"/>
      <sheetName val="Loại cọc P2"/>
      <sheetName val="TT04"/>
      <sheetName val="공문"/>
      <sheetName val="DINH_MUCџTHI_NGHIEM3"/>
      <sheetName val="PTDG-CL"/>
      <sheetName val="GVL-tuyến"/>
      <sheetName val="GVL-BTN"/>
      <sheetName val="sales_current_month27"/>
      <sheetName val="View_Variance27"/>
      <sheetName val="Inventory_data27"/>
      <sheetName val="FORECAST_x_FAMILIA24"/>
      <sheetName val="Space_Analysis24"/>
      <sheetName val="CADE_DETAIL"/>
      <sheetName val="sales_current_month28"/>
      <sheetName val="View_Variance28"/>
      <sheetName val="Inventory_data28"/>
      <sheetName val="FORECAST_x_FAMILIA25"/>
      <sheetName val="Space_Analysis25"/>
      <sheetName val="CADE_DETAIL1"/>
      <sheetName val="PRB Expense Q4 2013"/>
      <sheetName val="sales_current_month29"/>
      <sheetName val="View_Variance29"/>
      <sheetName val="Inventory_data29"/>
      <sheetName val="FORECAST_x_FAMILIA26"/>
      <sheetName val="Space_Analysis26"/>
      <sheetName val="CADE_DETAIL2"/>
      <sheetName val="PU_ITALY_30"/>
      <sheetName val="sales_current_month30"/>
      <sheetName val="View_Variance30"/>
      <sheetName val="Inventory_data30"/>
      <sheetName val="FORECAST_x_FAMILIA27"/>
      <sheetName val="Space_Analysis27"/>
      <sheetName val="CADE_DETAIL3"/>
      <sheetName val="PRB_Expense_Q4_2013"/>
      <sheetName val="PU_ITALY_32"/>
      <sheetName val="sales_current_month32"/>
      <sheetName val="View_Variance32"/>
      <sheetName val="Inventory_data32"/>
      <sheetName val="FORECAST_x_FAMILIA29"/>
      <sheetName val="Space_Analysis29"/>
      <sheetName val="CADE_DETAIL5"/>
      <sheetName val="PRB_Expense_Q4_20132"/>
      <sheetName val="PU_ITALY_31"/>
      <sheetName val="sales_current_month31"/>
      <sheetName val="View_Variance31"/>
      <sheetName val="Inventory_data31"/>
      <sheetName val="FORECAST_x_FAMILIA28"/>
      <sheetName val="Space_Analysis28"/>
      <sheetName val="CADE_DETAIL4"/>
      <sheetName val="PRB_Expense_Q4_20131"/>
      <sheetName val="PU_ITALY_33"/>
      <sheetName val="sales_current_month33"/>
      <sheetName val="View_Variance33"/>
      <sheetName val="Inventory_data33"/>
      <sheetName val="FORECAST_x_FAMILIA30"/>
      <sheetName val="Space_Analysis30"/>
      <sheetName val="CADE_DETAIL6"/>
      <sheetName val="PRB_Expense_Q4_20133"/>
      <sheetName val="PU_ITALY_34"/>
      <sheetName val="sales_current_month34"/>
      <sheetName val="View_Variance34"/>
      <sheetName val="Inventory_data34"/>
      <sheetName val="FORECAST_x_FAMILIA31"/>
      <sheetName val="Space_Analysis31"/>
      <sheetName val="CADE_DETAIL7"/>
      <sheetName val="PRB_Expense_Q4_20134"/>
      <sheetName val="PU_ITALY_35"/>
      <sheetName val="sales_current_month35"/>
      <sheetName val="View_Variance35"/>
      <sheetName val="Inventory_data35"/>
      <sheetName val="FORECAST_x_FAMILIA32"/>
      <sheetName val="Space_Analysis32"/>
      <sheetName val="CADE_DETAIL8"/>
      <sheetName val="PRB_Expense_Q4_20135"/>
      <sheetName val="PU_ITALY_36"/>
      <sheetName val="sales_current_month36"/>
      <sheetName val="View_Variance36"/>
      <sheetName val="Inventory_data36"/>
      <sheetName val="FORECAST_x_FAMILIA33"/>
      <sheetName val="Space_Analysis33"/>
      <sheetName val="CADE_DETAIL9"/>
      <sheetName val="PRB_Expense_Q4_20136"/>
      <sheetName val="PU_ITALY_37"/>
      <sheetName val="sales_current_month37"/>
      <sheetName val="View_Variance37"/>
      <sheetName val="Inventory_data37"/>
      <sheetName val="FORECAST_x_FAMILIA34"/>
      <sheetName val="Space_Analysis34"/>
      <sheetName val="CADE_DETAIL10"/>
      <sheetName val="PRB_Expense_Q4_20137"/>
      <sheetName val="PU_ITALY_38"/>
      <sheetName val="sales_current_month38"/>
      <sheetName val="View_Variance38"/>
      <sheetName val="Inventory_data38"/>
      <sheetName val="FORECAST_x_FAMILIA35"/>
      <sheetName val="Space_Analysis35"/>
      <sheetName val="CADE_DETAIL11"/>
      <sheetName val="PRB_Expense_Q4_20138"/>
      <sheetName val="PU_ITALY_39"/>
      <sheetName val="sales_current_month39"/>
      <sheetName val="View_Variance39"/>
      <sheetName val="Inventory_data39"/>
      <sheetName val="FORECAST_x_FAMILIA36"/>
      <sheetName val="Space_Analysis36"/>
      <sheetName val="CADE_DETAIL12"/>
      <sheetName val="PRB_Expense_Q4_20139"/>
      <sheetName val="PU_ITALY_40"/>
      <sheetName val="sales_current_month40"/>
      <sheetName val="View_Variance40"/>
      <sheetName val="Inventory_data40"/>
      <sheetName val="FORECAST_x_FAMILIA37"/>
      <sheetName val="Space_Analysis37"/>
      <sheetName val="CADE_DETAIL13"/>
      <sheetName val="PRB_Expense_Q4_201310"/>
      <sheetName val="PU_ITALY_41"/>
      <sheetName val="sales_current_month41"/>
      <sheetName val="View_Variance41"/>
      <sheetName val="Inventory_data41"/>
      <sheetName val="FORECAST_x_FAMILIA38"/>
      <sheetName val="Space_Analysis38"/>
      <sheetName val="CADE_DETAIL14"/>
      <sheetName val="PRB_Expense_Q4_201311"/>
      <sheetName val="XPRODUCT"/>
      <sheetName val="REVENUE_405C"/>
      <sheetName val="MTD_DSD"/>
      <sheetName val="QTD_DSD"/>
      <sheetName val="CentralAreaCategories"/>
      <sheetName val="PU_ITALY_42"/>
      <sheetName val="sales_current_month42"/>
      <sheetName val="View_Variance42"/>
      <sheetName val="Inventory_data42"/>
      <sheetName val="FORECAST_x_FAMILIA39"/>
      <sheetName val="Space_Analysis39"/>
      <sheetName val="CADE_DETAIL15"/>
      <sheetName val="PRB_Expense_Q4_201312"/>
      <sheetName val="P&amp;L by Month"/>
      <sheetName val="PU_ITALY_43"/>
      <sheetName val="sales_current_month43"/>
      <sheetName val="View_Variance43"/>
      <sheetName val="Inventory_data43"/>
      <sheetName val="FORECAST_x_FAMILIA40"/>
      <sheetName val="Space_Analysis40"/>
      <sheetName val="CADE_DETAIL16"/>
      <sheetName val="PRB_Expense_Q4_201313"/>
      <sheetName val="PU_ITALY_44"/>
      <sheetName val="sales_current_month44"/>
      <sheetName val="View_Variance44"/>
      <sheetName val="Inventory_data44"/>
      <sheetName val="FORECAST_x_FAMILIA41"/>
      <sheetName val="Space_Analysis41"/>
      <sheetName val="CADE_DETAIL17"/>
      <sheetName val="PRB_Expense_Q4_201314"/>
      <sheetName val="PU_ITALY_45"/>
      <sheetName val="sales_current_month45"/>
      <sheetName val="View_Variance45"/>
      <sheetName val="Inventory_data45"/>
      <sheetName val="FORECAST_x_FAMILIA42"/>
      <sheetName val="Space_Analysis42"/>
      <sheetName val="CADE_DETAIL18"/>
      <sheetName val="PRB_Expense_Q4_201315"/>
      <sheetName val="P&amp;L_by_Month"/>
      <sheetName val="Committed_Items"/>
      <sheetName val="synthese"/>
      <sheetName val="DistiSwamp"/>
      <sheetName val="Product"/>
      <sheetName val="Noise insl"/>
      <sheetName val="Hot-Piping"/>
      <sheetName val="DG_"/>
      <sheetName val="DG_1"/>
      <sheetName val="PTcphoi"/>
      <sheetName val="Giahientruong"/>
      <sheetName val="Ten"/>
      <sheetName val="GIA NC, CM"/>
      <sheetName val="GIA VL"/>
      <sheetName val="13.Luong"/>
      <sheetName val="도로경계단위"/>
      <sheetName val="2. Tổng hợp"/>
      <sheetName val="List Equip"/>
      <sheetName val="LabCost"/>
      <sheetName val="MatCost"/>
      <sheetName val="Concrete"/>
      <sheetName val="Process C (1-166)"/>
      <sheetName val="struktur"/>
      <sheetName val="Ca may"/>
      <sheetName val="DIEN TICH"/>
      <sheetName val="Cal"/>
      <sheetName val="Eq. Mobilization"/>
      <sheetName val="입찰내역 발주처 양식"/>
      <sheetName val="DSCTEMP"/>
      <sheetName val="Shape"/>
      <sheetName val="Beam reinfocement schedule"/>
      <sheetName val="Thong so dam"/>
      <sheetName val="Wall Block C"/>
      <sheetName val="General Schedule"/>
      <sheetName val="02. THONG_TIN_CHUNG"/>
      <sheetName val="07. DINH_MUC HBC"/>
      <sheetName val="CDSPS"/>
      <sheetName val="NH-KY"/>
      <sheetName val="MTP"/>
      <sheetName val="Criteri"/>
      <sheetName val="Income Statement1"/>
      <sheetName val="Aging_Sept1"/>
      <sheetName val="ADJ - RATE"/>
      <sheetName val="TK SX"/>
      <sheetName val="ma-pt"/>
      <sheetName val="DB FEE"/>
      <sheetName val="BHYT Tự Nguyện - Vinschool-Mau "/>
      <sheetName val="merger"/>
      <sheetName val="27850"/>
      <sheetName val="DL1"/>
      <sheetName val="DL2"/>
      <sheetName val="MHSCT"/>
      <sheetName val="KL CHI TIẾT (2)"/>
      <sheetName val="Chiet tinh dz22"/>
      <sheetName val="TTPTai"/>
      <sheetName val="DLC DIEN AP"/>
      <sheetName val="SL dau tien"/>
      <sheetName val="HSKVUC"/>
      <sheetName val="Dot_1"/>
      <sheetName val="Dot_2"/>
      <sheetName val="Dot_3"/>
      <sheetName val="KL_Tke"/>
      <sheetName val="Dot_1&gt;4"/>
      <sheetName val="BXLDL"/>
      <sheetName val="Bill rekap"/>
      <sheetName val="Cash Flow bulanan"/>
      <sheetName val="PhaDoMong"/>
      <sheetName val="bdkdt"/>
      <sheetName val="CươcVC tinh"/>
      <sheetName val="Door_and_window7"/>
      <sheetName val="Khai_toan2"/>
      <sheetName val="Phu_luc_01_1_EPC_P11-142"/>
      <sheetName val="TDT_P11-P142"/>
      <sheetName val="Chi_phi_khac_2"/>
      <sheetName val="Hang_muc_Chung2"/>
      <sheetName val="Bia_Phu_Luc2"/>
      <sheetName val="DATA_1_CHUNG2"/>
      <sheetName val="Muc_luc2"/>
      <sheetName val="Tra_cuu_9572"/>
      <sheetName val="SGC_RATE2"/>
      <sheetName val="Tru_TT2"/>
      <sheetName val="Thg_042"/>
      <sheetName val="Thg_052"/>
      <sheetName val="Thg_062"/>
      <sheetName val="Thg_072"/>
      <sheetName val="Thg_082"/>
      <sheetName val="Thg_092"/>
      <sheetName val="Thg_102"/>
      <sheetName val="Thg_112"/>
      <sheetName val="Thg_122"/>
      <sheetName val="Dashboard_-_BQL_-_VHL2"/>
      <sheetName val="DM_DU_AN2"/>
      <sheetName val="DM_TP_2"/>
      <sheetName val="File_Chi_tiet2"/>
      <sheetName val="Luong_(TP_Việt_Trì)"/>
      <sheetName val="w't_table2"/>
      <sheetName val="Danh_mục_khối2"/>
      <sheetName val="Danh_mục_đơn_vị_-phòng_chức_nă2"/>
      <sheetName val="Probbl_-_Production2"/>
      <sheetName val="KEILA_TP_2020-072"/>
      <sheetName val="Currency_Rate2"/>
      <sheetName val="CHI_PHÍ_NHÔM2"/>
      <sheetName val="BILL_34Āᐁë2"/>
      <sheetName val="2__BBNT_KLHT2"/>
      <sheetName val="CFA_(ME)2"/>
      <sheetName val="MEP_Building2"/>
      <sheetName val="CHITIET_VL-NC-TT1p2"/>
      <sheetName val="BOM-13_11-Other(PS1+PS2)2"/>
      <sheetName val="Dinh_Muc_Vat_Tu2"/>
      <sheetName val="mã_2"/>
      <sheetName val="Nhập_liệu"/>
      <sheetName val="LUONG_SCL2"/>
      <sheetName val="DO_AM_DT"/>
      <sheetName val="01__Nha_xuong"/>
      <sheetName val="Boc_KL_DAT+CAT+BT"/>
      <sheetName val="Boc_KL_thép"/>
      <sheetName val="Bieu_do_nhan_luc"/>
      <sheetName val="TH_khoi_luong2"/>
      <sheetName val="Chi_tiet_khoi_luong2"/>
      <sheetName val="TK_thep2"/>
      <sheetName val="CT_THOÁT_WC_VP2"/>
      <sheetName val="CT_CẤP_WC_VP2"/>
      <sheetName val="CT_THOÁT_MƯA_VP_TRỤC_LỚN2"/>
      <sheetName val="CT_THOÁT_MƯA_VP_TRỤC_NHỎ2"/>
      <sheetName val="Chênh_lệch_máy_thi_công1"/>
      <sheetName val="Chênh_lệch_nhân_công1"/>
      <sheetName val="Chênh_lệch_vật_liệu1"/>
      <sheetName val="NHOM_KINH1"/>
      <sheetName val="Chao_gia_T12_RE1"/>
      <sheetName val="DSV6_Summ"/>
      <sheetName val="Don_gia_XD1"/>
      <sheetName val="Share_Price_20021"/>
      <sheetName val="0_Data"/>
      <sheetName val="0_Data_new"/>
      <sheetName val="Service_Cost_1"/>
      <sheetName val="Don_gia_Tay_Ninh1"/>
      <sheetName val="Don_gia_Dak_Lak1"/>
      <sheetName val="streeta_and_cacth_pit1"/>
      <sheetName val="Daf_11"/>
      <sheetName val="Gia_NC_theo_TT05"/>
      <sheetName val="Auto_Monthly_Inputs_"/>
      <sheetName val="Input_-_Facilities"/>
      <sheetName val="BP_CAPEX_MoD-100%_Area_4_USD"/>
      <sheetName val="Corner_Arch"/>
      <sheetName val="End_Arch"/>
      <sheetName val="Intermediate_Arch"/>
      <sheetName val="reinforcement_675"/>
      <sheetName val="ext_wall_fin_qty"/>
      <sheetName val="SL_Plum_"/>
      <sheetName val="Physical_Schedule_3D"/>
      <sheetName val="Tabel_Berat"/>
      <sheetName val="Data_Umum_Penawaran"/>
      <sheetName val="Real_Cost"/>
      <sheetName val="bill_qty"/>
      <sheetName val="REKAP_ARSITEKTUR_"/>
      <sheetName val="RAB_ADMINISTRASI_PUSAT_(1)"/>
      <sheetName val="Hrg_Readymix"/>
      <sheetName val="Land_Dev't__Ph-1"/>
      <sheetName val="Hac_Lots"/>
      <sheetName val="4-Lane_bridge"/>
      <sheetName val="Res_Lots"/>
      <sheetName val="Spine_Road"/>
      <sheetName val="PHẦN_KIẾN_TRÚC"/>
      <sheetName val="DGKL_TRỤC_NGOAI_NHA"/>
      <sheetName val="Sum_ELE__CAP_S1-4__"/>
      <sheetName val="5_2_1_Đo_bóc_KL_OLK-07"/>
      <sheetName val="Elemental_Breakdown+20%"/>
      <sheetName val="Bank_Rev"/>
      <sheetName val="BP_DECLINE_IT"/>
      <sheetName val="Input_List"/>
      <sheetName val="Valid_data_revised"/>
      <sheetName val="DETAIL_MIX_%_REPORT"/>
      <sheetName val="Fill_this_out_first___"/>
      <sheetName val="BC_chi_tiết_TT"/>
      <sheetName val="Bill_2"/>
      <sheetName val="Bill_3"/>
      <sheetName val="Bill_4a_-_1A"/>
      <sheetName val="Bill_4a_(Fiber)_-_1A"/>
      <sheetName val="Bill_4b"/>
      <sheetName val="Bill_4c"/>
      <sheetName val="Bill_5"/>
      <sheetName val="Bill_4a_-_1B"/>
      <sheetName val="Bill_4a_(Fiber)_-_1B"/>
      <sheetName val="242_3_summaryOPC"/>
      <sheetName val="1_1General"/>
      <sheetName val="CONSOIDATE_4"/>
      <sheetName val="CONSOIDATE_2"/>
      <sheetName val="Cước_CG"/>
      <sheetName val="02__PHAN_TICH"/>
      <sheetName val="03__NGAN_SACH"/>
      <sheetName val="Dai_tu"/>
      <sheetName val="6__Scope_of_work_"/>
      <sheetName val="4_6_Phân_tích_nhân_sự_"/>
      <sheetName val="4_5_Mức_độ_tham_gia_dự_án"/>
      <sheetName val="So_sanh_gia"/>
      <sheetName val="Luong_2622EVN"/>
      <sheetName val="Cuoc_"/>
      <sheetName val="gia_chao"/>
      <sheetName val="Vat_lieu_BTN"/>
      <sheetName val="Define_finishing"/>
      <sheetName val="NC_CU"/>
      <sheetName val="0,SO_LIEU_DAU_VAO"/>
      <sheetName val="Da_xay_dung"/>
      <sheetName val="MTO_REV_0"/>
      <sheetName val="TLR"/>
      <sheetName val="Don vi"/>
      <sheetName val="PTDM"/>
      <sheetName val="Don gia vung III"/>
      <sheetName val="Don gia III"/>
      <sheetName val="Don gia CT"/>
      <sheetName val="Tra_bang"/>
      <sheetName val="Work-Condition"/>
      <sheetName val="PNT-QUOT-#3"/>
      <sheetName val="Tonghop theo Vendor"/>
      <sheetName val="Tu dien"/>
      <sheetName val="T.kê"/>
      <sheetName val="sat"/>
      <sheetName val="dulieu cot"/>
      <sheetName val="Luong TT05"/>
      <sheetName val="Rate Analysis"/>
      <sheetName val="Bank Bal. Dec 22"/>
      <sheetName val="Vat lieu cat song rac"/>
      <sheetName val="Cost of DM Water"/>
      <sheetName val="Imports-dataload"/>
      <sheetName val="Names"/>
      <sheetName val="Other assumptions"/>
      <sheetName val="Field Lists"/>
      <sheetName val="CUSTOMER GROUP WISE"/>
      <sheetName val="Other_assumptions"/>
      <sheetName val="Field_Lists"/>
      <sheetName val="Control_Panel"/>
      <sheetName val="Q4 2009 History"/>
      <sheetName val="Dashboard"/>
      <sheetName val="repeatative_rejection"/>
      <sheetName val="General_Info"/>
      <sheetName val="Full_PBD"/>
      <sheetName val="Non-Statistical_Sampling"/>
      <sheetName val="98FORECAST_(1)"/>
      <sheetName val="Fixed_asset_register"/>
      <sheetName val="Merit_&amp;_Market_Grid1"/>
      <sheetName val="OC5-Push_Diag"/>
      <sheetName val="Franchise_Input"/>
      <sheetName val="DIV_INC"/>
      <sheetName val="A1_-_Income_Statement"/>
      <sheetName val="SCB_-_Annexure_A"/>
      <sheetName val="PL6-Revenue_Bridge"/>
      <sheetName val="2020_RFS_Summary"/>
      <sheetName val="Well_Construction_Summary"/>
      <sheetName val="RFS_2020_-_Details_and_Notes"/>
      <sheetName val=" Final Balance Sheet"/>
      <sheetName val="summery-FINAL"/>
      <sheetName val="Sch2 - BalSht Summary"/>
      <sheetName val="Sch1 - P&amp;L Summary"/>
      <sheetName val="APR'02BS"/>
      <sheetName val="monthly"/>
      <sheetName val="FLASH"/>
      <sheetName val="Interest on WC"/>
      <sheetName val="Grouping"/>
      <sheetName val="Segment"/>
      <sheetName val="Month"/>
      <sheetName val="SPS"/>
      <sheetName val="MTL__INTER"/>
      <sheetName val="H11-01-change"/>
      <sheetName val="H11-02"/>
      <sheetName val="H11-03-change"/>
      <sheetName val="H12-01"/>
      <sheetName val="H12-02"/>
      <sheetName val="H12-03-change"/>
      <sheetName val="H12-04"/>
      <sheetName val="H13-01-change"/>
      <sheetName val="H13-02"/>
      <sheetName val="H13-03"/>
      <sheetName val="H13-04"/>
      <sheetName val="PLHD doi cot ham 0101-04"/>
      <sheetName val="MES"/>
      <sheetName val="CAN DOI - KET QUA"/>
      <sheetName val="Duties"/>
      <sheetName val="GSR"/>
      <sheetName val="GR"/>
      <sheetName val="Pivot Financials"/>
      <sheetName val="Instructions"/>
      <sheetName val="Review 2015"/>
      <sheetName val="Content"/>
      <sheetName val="ScoreCard"/>
      <sheetName val="People "/>
      <sheetName val="Production volumes"/>
      <sheetName val="KPIs"/>
      <sheetName val="Salary increase budget assump."/>
      <sheetName val="Production initiative"/>
      <sheetName val="Quality"/>
      <sheetName val="Prod. KPI - OEE%"/>
      <sheetName val="B&amp;P.KPI"/>
      <sheetName val="Customer SC"/>
      <sheetName val="Production KPIs"/>
      <sheetName val="Total losses"/>
      <sheetName val="Savings overview"/>
      <sheetName val="Prod FTE Dev."/>
      <sheetName val="Log FTE Dev."/>
      <sheetName val="Loss tree"/>
      <sheetName val="Inventory development"/>
      <sheetName val="DPO"/>
      <sheetName val="CAPEX"/>
      <sheetName val="Capex Phasing"/>
      <sheetName val="Std to Std MC only"/>
      <sheetName val="Top 20 BOM"/>
      <sheetName val="MC Development OLD"/>
      <sheetName val="PVM"/>
      <sheetName val="NMC &amp; Log Ass."/>
      <sheetName val=" Material Ass."/>
      <sheetName val="GtN"/>
      <sheetName val="COGS Dev."/>
      <sheetName val="MC Dev."/>
      <sheetName val="NMC Dev."/>
      <sheetName val="NMC Development OLD"/>
      <sheetName val="Log Dev."/>
      <sheetName val="Prod. capex overview"/>
      <sheetName val="Production - Risks &amp; Opport."/>
      <sheetName val="AOCM Overview"/>
      <sheetName val="AOCM Cost Group Summary"/>
      <sheetName val="Sievo Saving"/>
      <sheetName val="AOCM Sub-group"/>
      <sheetName val="Quality RFT"/>
      <sheetName val="Back-up "/>
      <sheetName val="Absorption Phasing"/>
      <sheetName val="One off"/>
      <sheetName val="Reporting changes"/>
      <sheetName val="Prod. KPI - OEE% by line"/>
      <sheetName val="Key dependencies"/>
      <sheetName val="Orgex and restructuring"/>
      <sheetName val="OCM"/>
      <sheetName val="ROIC"/>
      <sheetName val="COGS movement"/>
      <sheetName val="Back-up HR"/>
      <sheetName val="2016 FTE Variability"/>
      <sheetName val="Tables"/>
      <sheetName val="2.Sievo saving recon. vs bridge"/>
      <sheetName val="1. PPV recon. T04 vs bridges"/>
      <sheetName val="INPUT &amp; Guidance"/>
      <sheetName val="data for deck, thinkcell"/>
      <sheetName val="Flash call deck"/>
      <sheetName val="Supply chain bridge"/>
      <sheetName val="COS bridge"/>
      <sheetName val="3.Gross &amp; Net efficiency report"/>
      <sheetName val="PVM report"/>
      <sheetName val="Capex comments"/>
      <sheetName val="Log bridge"/>
      <sheetName val="One pager"/>
      <sheetName val="Option 1,Data(from HFM) "/>
      <sheetName val="Option 2, Data( Manual Input)"/>
      <sheetName val="FX &amp; HIERARCHY"/>
      <sheetName val="CAN_DOI_-_KET_QUA"/>
      <sheetName val="M"/>
      <sheetName val="Bihar Plant FAR"/>
      <sheetName val="Verification Report"/>
      <sheetName val="SETUP1"/>
      <sheetName val="Giai trinh"/>
      <sheetName val="CAN_DOI_-_KET_QUA1"/>
      <sheetName val="Pivot_Financials"/>
      <sheetName val="Review_2015"/>
      <sheetName val="People_"/>
      <sheetName val="Production_volumes"/>
      <sheetName val="Salary_increase_budget_assump_"/>
      <sheetName val="Production_initiative"/>
      <sheetName val="Prod__KPI_-_OEE%"/>
      <sheetName val="B&amp;P_KPI"/>
      <sheetName val="Customer_SC"/>
      <sheetName val="Production_KPIs"/>
      <sheetName val="Total_losses"/>
      <sheetName val="Savings_overview"/>
      <sheetName val="Prod_FTE_Dev_"/>
      <sheetName val="Log_FTE_Dev_"/>
      <sheetName val="Loss_tree"/>
      <sheetName val="Inventory_development"/>
      <sheetName val="Capex_Phasing"/>
      <sheetName val="Std_to_Std_MC_only"/>
      <sheetName val="Top_20_BOM"/>
      <sheetName val="MC_Development_OLD"/>
      <sheetName val="NMC_&amp;_Log_Ass_"/>
      <sheetName val="_Material_Ass_"/>
      <sheetName val="COGS_Dev_"/>
      <sheetName val="MC_Dev_"/>
      <sheetName val="NMC_Dev_"/>
      <sheetName val="NMC_Development_OLD"/>
      <sheetName val="Log_Dev_"/>
      <sheetName val="Prod__capex_overview"/>
      <sheetName val="Production_-_Risks_&amp;_Opport_"/>
      <sheetName val="AOCM_Overview"/>
      <sheetName val="AOCM_Cost_Group_Summary"/>
      <sheetName val="Sievo_Saving"/>
      <sheetName val="AOCM_Sub-group"/>
      <sheetName val="Quality_RFT"/>
      <sheetName val="Back-up_"/>
      <sheetName val="Absorption_Phasing"/>
      <sheetName val="One_off"/>
      <sheetName val="Reporting_changes"/>
      <sheetName val="Prod__KPI_-_OEE%_by_line"/>
      <sheetName val="Key_dependencies"/>
      <sheetName val="Orgex_and_restructuring"/>
      <sheetName val="COGS_movement"/>
      <sheetName val="Back-up_HR"/>
      <sheetName val="2016_FTE_Variability"/>
      <sheetName val="2_Sievo_saving_recon__vs_bridge"/>
      <sheetName val="1__PPV_recon__T04_vs_bridges"/>
      <sheetName val="INPUT_&amp;_Guidance"/>
      <sheetName val="data_for_deck,_thinkcell"/>
      <sheetName val="Flash_call_deck"/>
      <sheetName val="Supply_chain_bridge"/>
      <sheetName val="COS_bridge"/>
      <sheetName val="3_Gross_&amp;_Net_efficiency_report"/>
      <sheetName val="PVM_report"/>
      <sheetName val="Capex_comments"/>
      <sheetName val="Log_bridge"/>
      <sheetName val="One_pager"/>
      <sheetName val="Option_1,Data(from_HFM)_"/>
      <sheetName val="Option_2,_Data(_Manual_Input)"/>
      <sheetName val="FX_&amp;_HIERARCHY"/>
      <sheetName val="Rebate"/>
      <sheetName val="项目计划表"/>
      <sheetName val="零购计划表"/>
      <sheetName val="CẤP_THO_x0000__x0000__x0000__x0000__x0000__x0000__x0000_"/>
      <sheetName val="Sch_18_Bank"/>
      <sheetName val="Stock_details"/>
      <sheetName val="Part_A_General"/>
      <sheetName val="_"/>
      <sheetName val="Project_ODC_NDEU"/>
      <sheetName val="Inter_connect_Revenue"/>
      <sheetName val="AN_2000"/>
      <sheetName val="CBR"/>
      <sheetName val="2. Summary-cash"/>
      <sheetName val="dssoi_dieutra"/>
      <sheetName val="Dongia7606_8001_4167"/>
      <sheetName val="ĐM4970_2016(lapdatĐZ)"/>
      <sheetName val="ĐM4970_2016(Lap dat TBA)"/>
      <sheetName val="Gia Nhan công"/>
      <sheetName val="Đon gia 228 sua chua"/>
      <sheetName val="ĐM01_2000(thinghiem ĐZTTĐL)"/>
      <sheetName val="ĐM1781_2007(T.N đien ĐZ&amp;TBA)"/>
      <sheetName val="Cuoc van chuyen"/>
      <sheetName val="DG4970"/>
      <sheetName val="DVao"/>
      <sheetName val="DM_1781"/>
      <sheetName val="DM_228"/>
      <sheetName val="DG-VLIEU"/>
      <sheetName val="model"/>
      <sheetName val="KLR-GAS"/>
      <sheetName val="sht1"/>
      <sheetName val="sht2"/>
      <sheetName val="sht3"/>
      <sheetName val="bar nor"/>
      <sheetName val="table1"/>
      <sheetName val="conc nor"/>
      <sheetName val="conc frus"/>
      <sheetName val="conc trap"/>
      <sheetName val="bar frus"/>
      <sheetName val="bar trap"/>
      <sheetName val="DPVT"/>
      <sheetName val="Vendor"/>
      <sheetName val="Gia "/>
      <sheetName val="Be tong"/>
      <sheetName val="共機計算"/>
      <sheetName val="共機J"/>
      <sheetName val="Bảng dung trọng"/>
      <sheetName val="DmChitiet"/>
      <sheetName val="Cost center"/>
      <sheetName val="3.공통공사대비"/>
      <sheetName val="DSR"/>
      <sheetName val="FX"/>
      <sheetName val="Details Sales (local)"/>
      <sheetName val="Details_Sales_(local)"/>
      <sheetName val="ReservePayout"/>
      <sheetName val="_SYSTEM_CODE"/>
      <sheetName val="Project Info."/>
      <sheetName val="_COST_DATA_LOOKUP"/>
      <sheetName val="Cost Summary"/>
      <sheetName val="Cost Summary - USD"/>
      <sheetName val="_DISCOUNT_DATA_LOOKUP"/>
      <sheetName val="Price Summary - Offshore"/>
      <sheetName val="Factory &amp; Import Material"/>
      <sheetName val="_FOREX"/>
      <sheetName val="Labour Hours Upload"/>
      <sheetName val="_LEEGOO_COST"/>
      <sheetName val="_LEEGOO_TECH_SPEC"/>
      <sheetName val="_OC_SETTINGS"/>
      <sheetName val="_SHAPE_SALES_COST"/>
      <sheetName val="_SHAPE_SALES_TECH_SPEC"/>
      <sheetName val="_SYSTEM_COST_LOOKUP"/>
      <sheetName val="_TECH_DATA_LOOKUP"/>
      <sheetName val="Technical Info."/>
      <sheetName val="PM Cost"/>
      <sheetName val="_UPLOAD_TABLE"/>
      <sheetName val="SED INPUT"/>
      <sheetName val="U0030S03"/>
      <sheetName val="EQFRM2"/>
      <sheetName val="금액내역서"/>
      <sheetName val="Factor F Data"/>
      <sheetName val="Summary - Budget"/>
      <sheetName val="SPL4"/>
      <sheetName val="inputs"/>
      <sheetName val="BILL 34Āᐁë_x0000__x0000__x0001_"/>
      <sheetName val="TH khối lượng phải làm"/>
      <sheetName val="Giá VL, NC, M"/>
      <sheetName val="Lương 2135 nhóm I"/>
      <sheetName val="Luong 2050 hà NAm"/>
      <sheetName val="Lương2045 nhóm I"/>
      <sheetName val="May 3 huyện"/>
      <sheetName val="May yên mô"/>
      <sheetName val="Phân tich ĐG"/>
      <sheetName val="PLV mới"/>
      <sheetName val="ALL"/>
      <sheetName val="May TT11(TB)"/>
      <sheetName val="May TT11 (HP)"/>
      <sheetName val="May TT11(NB)"/>
      <sheetName val="May TT11(NĐ)"/>
      <sheetName val="Lương theo TT17(Thái Bình)"/>
      <sheetName val="Lương theo TT17 (HP)"/>
      <sheetName val="Lương theo TT17 (Ninh Bình)"/>
      <sheetName val="Lương theo TT17 (Nam Định)"/>
      <sheetName val="QG"/>
      <sheetName val="5.Gia"/>
      <sheetName val="Danh sach KV2"/>
      <sheetName val="Danh sach doan KT"/>
      <sheetName val="Assignment Schedule"/>
      <sheetName val="VINYL"/>
      <sheetName val="Du lieu ban dau"/>
      <sheetName val="GZ.TP"/>
      <sheetName val="GZ.VT"/>
      <sheetName val="Total"/>
      <sheetName val="Giacuoc"/>
      <sheetName val="CP NC-MTC XD"/>
      <sheetName val="GOC"/>
      <sheetName val="TTTram"/>
      <sheetName val="DMTL"/>
      <sheetName val="CẤP_THO"/>
      <sheetName val="Enc 3A"/>
      <sheetName val="ING"/>
      <sheetName val="DPT-PW"/>
      <sheetName val="712"/>
      <sheetName val="Resort1"/>
      <sheetName val="Anx-IV"/>
      <sheetName val="Fixed Prof Fees"/>
      <sheetName val="PDN"/>
      <sheetName val="BS, PL, Sch 5 to 9"/>
      <sheetName val="301 RTI"/>
      <sheetName val="1. Questionnaire"/>
      <sheetName val="YOEMAGUM"/>
      <sheetName val="MAT"/>
      <sheetName val="DataValidation"/>
      <sheetName val="Excise on RM"/>
      <sheetName val=" Payroll Empl (Wkng)"/>
      <sheetName val="Insight 28-6-00"/>
      <sheetName val="DL codes"/>
      <sheetName val="Simulator Detail"/>
      <sheetName val="Trnf to Reimb."/>
      <sheetName val="Power &amp; Fuel (S)"/>
      <sheetName val="43B"/>
      <sheetName val="Book details"/>
      <sheetName val="July 06-Mar 07"/>
      <sheetName val="DCF"/>
      <sheetName val="drs"/>
      <sheetName val="RscList"/>
      <sheetName val="List Danh mục nghiệm thu"/>
      <sheetName val="SDDK"/>
      <sheetName val="Ã«ÀûÂÊ·ÖÎö±í"/>
      <sheetName val="JUly97"/>
      <sheetName val="P301"/>
      <sheetName val="R"/>
      <sheetName val="FA list"/>
      <sheetName val="Norm"/>
      <sheetName val="Bearing Capacity"/>
      <sheetName val="TTL"/>
      <sheetName val="Gia HĐ"/>
      <sheetName val="BILL 34Āᐁë_x0001_ HẦM"/>
      <sheetName val="unit weight"/>
      <sheetName val="TÍNH TOÁN KHỐI LƯỢNG P6"/>
      <sheetName val="Kien truc"/>
      <sheetName val="FINANCIAL (FLR)"/>
      <sheetName val="D"/>
      <sheetName val="CTG (GIAM)"/>
      <sheetName val="Beam _2_"/>
      <sheetName val="TS_Rep"/>
      <sheetName val="mep"/>
      <sheetName val="Du thau 03xd"/>
      <sheetName val="BILL 34Āᐁë_x0001_"/>
      <sheetName val="bang 1 NCXD"/>
      <sheetName val="bang 1 NCXD (V.I)"/>
      <sheetName val="dg_tonghop"/>
      <sheetName val="DG THIET BI"/>
      <sheetName val="DG vat lieu"/>
      <sheetName val="Loại 2"/>
      <sheetName val="dm7606tba"/>
      <sheetName val="Chi tiet VL-NC-MTC"/>
      <sheetName val="TT35"/>
      <sheetName val="Temp"/>
      <sheetName val="VL-NC-M"/>
      <sheetName val="May Goc (QD2436)"/>
      <sheetName val="VC theo cuoc tinh"/>
      <sheetName val="BCVC ."/>
      <sheetName val="PTCT"/>
      <sheetName val="Du thau dau noi"/>
      <sheetName val="Du Thau"/>
      <sheetName val="Du thau PSBS"/>
      <sheetName val="DG theo HD PSBS"/>
      <sheetName val="Du thau TC11"/>
      <sheetName val="TongHopKL"/>
      <sheetName val="Anx 10"/>
      <sheetName val="Sheet5"/>
      <sheetName val="DIV_INC1"/>
      <sheetName val="A1_-_Income_Statement1"/>
      <sheetName val="concil"/>
      <sheetName val="Dgia_vat_tŵ7"/>
      <sheetName val="TOT"/>
      <sheetName val="Competitors"/>
      <sheetName val="Full 2012"/>
      <sheetName val="PL"/>
      <sheetName val="SL.DT 2011so sanh"/>
      <sheetName val="DMUC"/>
      <sheetName val="客户(基本资料)"/>
      <sheetName val="银行(基本资料)"/>
      <sheetName val="Summary Page_VDF"/>
      <sheetName val="Invested capital_VDF"/>
      <sheetName val="BB(ACT08)"/>
      <sheetName val="BB Contribution by store_T  "/>
      <sheetName val="BB(ACT09)"/>
      <sheetName val="HidePriceList"/>
      <sheetName val="Chuong I"/>
      <sheetName val="토공분석표"/>
      <sheetName val="Du lieu TKT"/>
      <sheetName val="COG"/>
      <sheetName val="1.INPUT"/>
      <sheetName val="Phan tich vat tu"/>
      <sheetName val="Đơn trọng"/>
      <sheetName val="DTCT -XL.4"/>
      <sheetName val="Tong Luong Thep"/>
      <sheetName val="luong"/>
      <sheetName val="DP TRUOT GIA"/>
      <sheetName val="VL-NC-M."/>
      <sheetName val="NC HY"/>
      <sheetName val="NC HN"/>
      <sheetName val="VL+NC+M"/>
      <sheetName val="VH"/>
      <sheetName val="Ban Qua do"/>
      <sheetName val="Dự kiến SL-NT 2013"/>
      <sheetName val="SL.HM-T1.2014"/>
      <sheetName val="D.Trong"/>
      <sheetName val="PPT"/>
      <sheetName val="PTCM"/>
      <sheetName val="1651-2008"/>
      <sheetName val="DZ 35"/>
      <sheetName val="Cto"/>
      <sheetName val="VL.NC.M"/>
      <sheetName val="BK04"/>
      <sheetName val="BQD"/>
      <sheetName val="Tra Cứu"/>
      <sheetName val="A1.8"/>
      <sheetName val="DGChung"/>
      <sheetName val="TT 16-2019"/>
      <sheetName val="Bang khoi luong"/>
      <sheetName val="KL Chi tiết BV dự thầu"/>
      <sheetName val="KL chi tiết BV thi công"/>
      <sheetName val="간접비 총괄표"/>
      <sheetName val="FD"/>
      <sheetName val="EE (3)"/>
      <sheetName val="PAVEMENT"/>
      <sheetName val="TRAFFIC"/>
      <sheetName val="AU_BS"/>
      <sheetName val="finishing"/>
      <sheetName val="DSQL"/>
      <sheetName val="PetroConsultants"/>
      <sheetName val="SPC-OC"/>
      <sheetName val="Template"/>
      <sheetName val="DG SUA CHUA"/>
      <sheetName val="DGTBA"/>
      <sheetName val="TAM TINH"/>
      <sheetName val="Ctiet Cthe"/>
      <sheetName val="khongin"/>
      <sheetName val="TK22kV"/>
      <sheetName val="Window Door schedule"/>
      <sheetName val="을"/>
      <sheetName val="SLTh_ke"/>
      <sheetName val="he_so_dong_thoi"/>
      <sheetName val="Thang_01"/>
      <sheetName val="Thống_kê"/>
      <sheetName val="BAN_IN"/>
      <sheetName val="Khoi_luong_kenh_dan"/>
      <sheetName val="Thep_Be_TN(tai_C10)"/>
      <sheetName val="Gia_giao_VL_den_HT"/>
      <sheetName val="THONG_SO_KICH_THUOC"/>
      <sheetName val="bang tien luong"/>
      <sheetName val="01-BM"/>
      <sheetName val="Varible"/>
      <sheetName val="Tabel_Berat1"/>
      <sheetName val="Real_Cost1"/>
      <sheetName val="bill_qty1"/>
      <sheetName val="REKAP_ARSITEKTUR_1"/>
      <sheetName val="RAB_ADMINISTRASI_PUSAT_(1)1"/>
      <sheetName val="Data_Umum_Penawaran1"/>
      <sheetName val="EE-PROP"/>
      <sheetName val="PaintBreak"/>
      <sheetName val="INSSUBCON"/>
      <sheetName val="DWTables"/>
      <sheetName val="PCV"/>
      <sheetName val="Eng_Hrs"/>
      <sheetName val="B.1 Engineering"/>
      <sheetName val="29"/>
      <sheetName val="RAB"/>
      <sheetName val="Mobilisasi &amp; Demob"/>
      <sheetName val="B.2.5 Proc &amp; Constr Civil1"/>
      <sheetName val="B.2.3 Proc &amp; Constr Electrical"/>
      <sheetName val="B.2.4 Proc &amp; Constr Instru"/>
      <sheetName val="B.2.1 Proc &amp; Constr Mech "/>
      <sheetName val="B.2.2 Proc &amp; Constr Pipe "/>
      <sheetName val="Work Permit"/>
      <sheetName val="Agregat Halus &amp; Kasar"/>
      <sheetName val="Data Tower"/>
      <sheetName val="DETAIL PROGRESS CLAIM"/>
      <sheetName val="TBGIA"/>
      <sheetName val="3.NGAN_SACH"/>
      <sheetName val="2.PHAN_TICH"/>
      <sheetName val="Phan tich don gia de xuat - cau"/>
      <sheetName val="080 (2)"/>
      <sheetName val="080_(2)"/>
      <sheetName val="Sch2_-_BalSht_Summary"/>
      <sheetName val="Sch1_-_P&amp;L_Summary"/>
      <sheetName val="Cost_of_DM_Water"/>
      <sheetName val="BTO Dept."/>
      <sheetName val="minors"/>
      <sheetName val="Input &amp; Instruct"/>
      <sheetName val="Controls"/>
      <sheetName val="Signings"/>
      <sheetName val="Departments"/>
      <sheetName val="Inputs-Tables"/>
      <sheetName val="Purchase Calc."/>
      <sheetName val="Break-Even"/>
      <sheetName val="Balance Sheet"/>
      <sheetName val="Report Summary"/>
      <sheetName val="Monthly Notes"/>
      <sheetName val="EurotoolsXRates"/>
      <sheetName val="Purchase_Calc_"/>
      <sheetName val="Balance_Sheet"/>
      <sheetName val="Report_Summary"/>
      <sheetName val="Monthly_Notes"/>
      <sheetName val="Trial Bal"/>
      <sheetName val="CC Inventory Assumption"/>
      <sheetName val="entitlements"/>
      <sheetName val="33002001"/>
      <sheetName val="A91_97"/>
      <sheetName val="外勤汇总表3"/>
      <sheetName val="Director"/>
      <sheetName val="AC_CODE99"/>
      <sheetName val="BTO_Dept_"/>
      <sheetName val="Input_&amp;_Instruct"/>
      <sheetName val="BTO_Dept_1"/>
      <sheetName val="Input_&amp;_Instruct1"/>
      <sheetName val="Validation and Lookup tables"/>
      <sheetName val="Dec. 08 RDD"/>
      <sheetName val="Int Others"/>
      <sheetName val="Sub Lead"/>
      <sheetName val="Deposits"/>
      <sheetName val="KeyMultInputs"/>
      <sheetName val="O1"/>
      <sheetName val="M1"/>
      <sheetName val="H1"/>
      <sheetName val="dgctqn"/>
      <sheetName val="물량표(신)"/>
      <sheetName val="B-B"/>
      <sheetName val="Analysis"/>
      <sheetName val="C-C"/>
      <sheetName val="D-D"/>
      <sheetName val="Ap"/>
      <sheetName val="Code HT CB -OT"/>
      <sheetName val="Code HT CB - PO"/>
      <sheetName val="DOOR A (4-roof)"/>
      <sheetName val="Door HT"/>
      <sheetName val="DOOR B1 (4-roof)"/>
      <sheetName val="DOOR B2 (4-roof)"/>
      <sheetName val="Door-Podium"/>
      <sheetName val="rate code"/>
      <sheetName val="Xuất DL AP"/>
      <sheetName val="Xuất DL OT"/>
      <sheetName val="Xuat DL PO"/>
      <sheetName val="hinhhoc"/>
      <sheetName val="RAB_AR&amp;STR16"/>
      <sheetName val="chi_tiet_TBA16"/>
      <sheetName val="chi_tiet_C16"/>
      <sheetName val="Tro_giup29"/>
      <sheetName val="TH_DZ3518"/>
      <sheetName val="Customize_Your_Purchase_Order16"/>
      <sheetName val="CHITIET_VL-NC-TT_-1p16"/>
      <sheetName val="CHITIET_VL-NC-TT-3p15"/>
      <sheetName val="TONG_HOP_VL-NC_TT16"/>
      <sheetName val="KPVC-BD_16"/>
      <sheetName val="Don_gia16"/>
      <sheetName val="DON_GIA_TRAM_(3)16"/>
      <sheetName val="DON_GIA_CAN_THO18"/>
      <sheetName val="7606_DZ16"/>
      <sheetName val="Adix_A15"/>
      <sheetName val="S-curve_15"/>
      <sheetName val="Don_gia_chi_tiet16"/>
      <sheetName val="HĐ_ngoài15"/>
      <sheetName val="XT_Buoc_315"/>
      <sheetName val="dongia_(2)15"/>
      <sheetName val="project_management15"/>
      <sheetName val="Commercial_value15"/>
      <sheetName val="Ky_Lam_Bridge15"/>
      <sheetName val="Provisional_Sums_Item15"/>
      <sheetName val="Gas_Pressure_Welding15"/>
      <sheetName val="General_Item&amp;General_Requirem15"/>
      <sheetName val="General_Items15"/>
      <sheetName val="Regenral_Requirements15"/>
      <sheetName val="TONG_HOP_VL-NC15"/>
      <sheetName val="Rates_200915"/>
      <sheetName val="REINF_15"/>
      <sheetName val="MH_RATE15"/>
      <sheetName val="So_doi_chieu_LC15"/>
      <sheetName val="MAIN_GATE_HOUSE15"/>
      <sheetName val="Du_toan15"/>
      <sheetName val="chiet_tinh15"/>
      <sheetName val="Ng_hàng_xà+bulong15"/>
      <sheetName val="Bang_KL15"/>
      <sheetName val="DM_606115"/>
      <sheetName val="DG_thep_ma_kem15"/>
      <sheetName val="Lcau_-_Lxuc15"/>
      <sheetName val="CT_vat_lieu15"/>
      <sheetName val="Equip_14"/>
      <sheetName val="A1_CN14"/>
      <sheetName val="Đầu_vào14"/>
      <sheetName val="Chi_tiet_XD_TBA14"/>
      <sheetName val="Trạm_biến_áp14"/>
      <sheetName val="Đơn_Giá_14"/>
      <sheetName val="CT-0_4KV14"/>
      <sheetName val="Chenh_lech_vat_tu14"/>
      <sheetName val="Diện_tích14"/>
      <sheetName val="1_Khái_toán14"/>
      <sheetName val="TONG_HOP_T5_199814"/>
      <sheetName val="KL_Chi_tiết_Xây_tô14"/>
      <sheetName val="DG_DZ15"/>
      <sheetName val="DG_TBA15"/>
      <sheetName val="07Base_Cost14"/>
      <sheetName val="rate_material14"/>
      <sheetName val="Chi_tiet_KL14"/>
      <sheetName val="Tổng_hợp_KL14"/>
      <sheetName val="Xay_lapduongR314"/>
      <sheetName val="04_-_XUONG_DET_B14"/>
      <sheetName val="Bill_1_Quy_dinh_chung14"/>
      <sheetName val="1_R18_BF14"/>
      <sheetName val="6_External_works-R1814"/>
      <sheetName val="Phan_khai_KLuong14"/>
      <sheetName val="_0314"/>
      <sheetName val="chieu_day_san14"/>
      <sheetName val="Podium_Concrete_Works14"/>
      <sheetName val="KLCT-_TOWER14"/>
      <sheetName val="KLCT-_PODIUM14"/>
      <sheetName val="Gia_thanh_chuoi_su14"/>
      <sheetName val="Tiep_dia14"/>
      <sheetName val="Don_gia_vung_III-Can_Tho14"/>
      <sheetName val="Area_Cal14"/>
      <sheetName val="Elect_(3)14"/>
      <sheetName val="plan&amp;section_of_foundation14"/>
      <sheetName val="design_criteria14"/>
      <sheetName val="Bond_수수료_계산_포맷14"/>
      <sheetName val="ITB_COST14"/>
      <sheetName val="PAGE_114"/>
      <sheetName val="EIRR&gt;_214"/>
      <sheetName val="DM_6714"/>
      <sheetName val="Đầu_tư14"/>
      <sheetName val="Project_Data14"/>
      <sheetName val="Data_Input15"/>
      <sheetName val="6787CWFASE2CASE2_00_xls14"/>
      <sheetName val="Bill_02_-_Xay_gach-Pou_14"/>
      <sheetName val="Bill_03-Chống_thấm-Pou14"/>
      <sheetName val="Bill_04-Kim_loại-Pou14"/>
      <sheetName val="Bill_05_-_Hoan_thien-Pou_14"/>
      <sheetName val="Bill_02_-_Xay_gach-Tower14"/>
      <sheetName val="Bill_03-Chống_thấm-Tower14"/>
      <sheetName val="Bill_04-Kim_loại-Tower14"/>
      <sheetName val="Bill_05_-_Hoan_thien-Tower14"/>
      <sheetName val="KL-_KHAC14"/>
      <sheetName val="BILL_3_-_KẾT_CẤU_HẦM14"/>
      <sheetName val="PTĐG_LTBT14"/>
      <sheetName val="CTG-PRECHEx1_414"/>
      <sheetName val="CTG-AB_(2)14"/>
      <sheetName val="CTG-AB_(3)14"/>
      <sheetName val="CTG-PLP-1_0814"/>
      <sheetName val="Pre_Đội_nhóm14"/>
      <sheetName val="Vat_tu_XD14"/>
      <sheetName val="Tower_-_Concrete_Works14"/>
      <sheetName val="Bill-04_ket_cau_thap-_UNI14"/>
      <sheetName val="Loại_Vật_tư14"/>
      <sheetName val="TH_Vat_tu14"/>
      <sheetName val="dg_tphcm14"/>
      <sheetName val="T_KÊ_K_CẤU14"/>
      <sheetName val="Bill_01_-_CTN14"/>
      <sheetName val="Bill_2_2_Villa_2_beds14"/>
      <sheetName val="4_PTDG14"/>
      <sheetName val="A1,_May14"/>
      <sheetName val="Vat_lieu14"/>
      <sheetName val="Bang_trong_luong_rieng_thep14"/>
      <sheetName val="6PILE__(돌출)14"/>
      <sheetName val="HÐ_ngoài15"/>
      <sheetName val="gia_cong_tac14"/>
      <sheetName val="Measure_130614"/>
      <sheetName val="Cước_VC_+_ĐM_CP_Tư_vấn14"/>
      <sheetName val="Hệ_số14"/>
      <sheetName val="DETAIL_14"/>
      <sheetName val="GV1-D13_(Casement_door)14"/>
      <sheetName val="final_list_200530"/>
      <sheetName val="LV_data14"/>
      <sheetName val="ESTI_14"/>
      <sheetName val="Gia_vat_tu14"/>
      <sheetName val="CẤP_THOÁT_NƯỚC14"/>
      <sheetName val="TH_MTC14"/>
      <sheetName val="TH_N_Cong14"/>
      <sheetName val="THDT_goi_thau_TB14"/>
      <sheetName val="Tien_do_TV14"/>
      <sheetName val="Harga_ME_14"/>
      <sheetName val="Analisa_Gabungan14"/>
      <sheetName val="_Bill_5-Earthing_2_-_Add_Work14"/>
      <sheetName val="bridge_#_114"/>
      <sheetName val="Isolasi_Luar_Dalam14"/>
      <sheetName val="Isolasi_Luar14"/>
      <sheetName val="Chenh_lech_ca_may14"/>
      <sheetName val="TLg_CN&amp;Laixe14"/>
      <sheetName val="TLg_CN&amp;Laixe_(2)14"/>
      <sheetName val="TLg_Laitau14"/>
      <sheetName val="TLg_Laitau_(2)14"/>
      <sheetName val="KL_san_lap14"/>
      <sheetName val="Chi_tiet14"/>
      <sheetName val="2_Chiet_tinh13"/>
      <sheetName val="Bang_3_Chi_tiet_phan_Dz14"/>
      <sheetName val="KHOI_LUONG14"/>
      <sheetName val="Equipment_list_(PAC)14"/>
      <sheetName val="TINH_KHOI_LUONG14"/>
      <sheetName val="DATA_BASE14"/>
      <sheetName val="BẢNG_KHỐI_LƯỢNG_TỔNG_HỢP13"/>
      <sheetName val="Buy_vs__Lease_Car14"/>
      <sheetName val="CP_Khac_cuoc_VC13"/>
      <sheetName val="Budget_Code13"/>
      <sheetName val="CTKL_KTX_HT13"/>
      <sheetName val="subcon_sched14"/>
      <sheetName val="HVAC_BLOCK_B414"/>
      <sheetName val="NHÀ_NHẬP_LIỆU13"/>
      <sheetName val="MÓNG_SILO13"/>
      <sheetName val="PRE_(E)14"/>
      <sheetName val="Tong_du_toan13"/>
      <sheetName val="Bill_2_-_ketcau13"/>
      <sheetName val="13-Cốt_thép_(10mm&lt;D≤18mm)_FO113"/>
      <sheetName val="du_lieu_du_toan13"/>
      <sheetName val="Chi_tiet_lan_can13"/>
      <sheetName val="Luong_NII13"/>
      <sheetName val="BOQ_THAN13"/>
      <sheetName val="DL_ĐẦU_VÀO13"/>
      <sheetName val="D_&amp;_W_sizes13"/>
      <sheetName val="Analisa_&amp;_Upah13"/>
      <sheetName val="Purchase_Order13"/>
      <sheetName val="Du_lieu14"/>
      <sheetName val="Phan_tich13"/>
      <sheetName val="DINH_MUC_THI_NGHIEM13"/>
      <sheetName val="Luong_NI13"/>
      <sheetName val="CT_Thang_Mo13"/>
      <sheetName val="CT__PL13"/>
      <sheetName val="dongia__2_13"/>
      <sheetName val="Thép_CKN13"/>
      <sheetName val="GOC-KO_IN13"/>
      <sheetName val="MAU_8A13"/>
      <sheetName val="MAU_8B13"/>
      <sheetName val="MAU_913"/>
      <sheetName val="MAU_1013"/>
      <sheetName val="cash_budget13"/>
      <sheetName val="sochitiettaikhoan_13"/>
      <sheetName val="Share_price_data13"/>
      <sheetName val="19_313"/>
      <sheetName val="20_313"/>
      <sheetName val="Chieu_4_313"/>
      <sheetName val="Cow_req13"/>
      <sheetName val="TỔNG_HỢP13"/>
      <sheetName val="14-LẦN_3-CHIỀU13"/>
      <sheetName val="14-LẦN_1-SÁNG13"/>
      <sheetName val="14-LẦN_2-TRƯA13"/>
      <sheetName val="1_3+1_4-TOTAL_-_Ko_IN13"/>
      <sheetName val="2_1-LẦN_3-CHIỀU13"/>
      <sheetName val="2_1-LẦN_1-SÁNG13"/>
      <sheetName val="2_1-LẦN_2-TRƯA13"/>
      <sheetName val="2_1-TOTAL-Ko_IN13"/>
      <sheetName val="1_3(TMR_4)13"/>
      <sheetName val="CHO_DE13"/>
      <sheetName val="1_1+1_2+2_2+2_3(TMR_3)13"/>
      <sheetName val="CK1+CK2_(VS_SAN_CHOI_23)13"/>
      <sheetName val="CK1+CK2_(2)13"/>
      <sheetName val="12-16_THÁNG13"/>
      <sheetName val="CAN_SỮA13"/>
      <sheetName val="54+55+56(SAU_CAI_SỮA-6)13"/>
      <sheetName val="BÊ_71-90_NGÀY13"/>
      <sheetName val="BÊ_12-16_tháng13"/>
      <sheetName val="BÊ_6-1213"/>
      <sheetName val="BÊ_1-313"/>
      <sheetName val="F01-BC_KHAU_PHAN_SANG_20_313"/>
      <sheetName val="F01-BC_KHAU_PHAN_CHIEU_19_313"/>
      <sheetName val="dinh_mưc_cty13"/>
      <sheetName val="Giá_thành13"/>
      <sheetName val="Thong_ke13"/>
      <sheetName val="Energy_for_milk_prod13"/>
      <sheetName val="DE_NGHI_XUAT_13"/>
      <sheetName val="phieu_xuat_mau13"/>
      <sheetName val="PHIEU_XUAT_CHIEU13"/>
      <sheetName val="11_rai_them_cỏ13"/>
      <sheetName val="PHU_LUC_02-_HDSD_CAC_BIEU_MAU13"/>
      <sheetName val="PhU_LUC_01-_MA_CAC_NHOM_BO13"/>
      <sheetName val="F03-BC_THUC_TRON_SANG_20_313"/>
      <sheetName val="F03-BC_THUC_TRON_CHIEU_19_313"/>
      <sheetName val="F02-BC_THEO_DOI_THUC_AN_DU13"/>
      <sheetName val="Tham_khao-_Bao_cao_xuat_thuc_13"/>
      <sheetName val="Dlieu_dau_vao13"/>
      <sheetName val="BANCO_(2)13"/>
      <sheetName val="MT_DPin_(2)13"/>
      <sheetName val="02__PTDG13"/>
      <sheetName val="DK1_Don_gia13"/>
      <sheetName val="Chiết_tính13"/>
      <sheetName val="Don_gia_(khong_in)13"/>
      <sheetName val="Income_Statement13"/>
      <sheetName val="Shareholders'_Equity13"/>
      <sheetName val="VC_xd11"/>
      <sheetName val="Gia_VLTB11"/>
      <sheetName val="B_Luong11"/>
      <sheetName val="C_May11"/>
      <sheetName val="TB_NẶNG11"/>
      <sheetName val="Du_tru_CP-Bieu_0111"/>
      <sheetName val="1_MONG_1-213"/>
      <sheetName val="wk_prgs11"/>
      <sheetName val="TH_TN11"/>
      <sheetName val="dm_36611"/>
      <sheetName val="DM_606011"/>
      <sheetName val="Bill_No_3_-_Prov__Sum_(Ph2&amp;3)11"/>
      <sheetName val="Ma_don_vi11"/>
      <sheetName val="bang_cc11"/>
      <sheetName val="2_1Warehouse_111"/>
      <sheetName val="đọc_số11"/>
      <sheetName val="HỆ_THỐNG_PHÒNG_CHÁY_CHỮA_CHÁY11"/>
      <sheetName val="HỆ_THỐNG_CẤP_THOÁT_NƯỚC11"/>
      <sheetName val="HỆ_THỐNG_ĐHKK11"/>
      <sheetName val="MÁY_PHÁT_ĐIỆN11"/>
      <sheetName val="HỆ_THỐNG_ĐIỆN11"/>
      <sheetName val="Thiết_bị_chính11"/>
      <sheetName val="Dự_thầu11"/>
      <sheetName val="Nhap_VT_oto11"/>
      <sheetName val="TK_chi_tiet11"/>
      <sheetName val="Bill_2-Road_HR211"/>
      <sheetName val="Bill_3_-_Softscape_HR211"/>
      <sheetName val="Hao_phí11"/>
      <sheetName val="Structure_data11"/>
      <sheetName val="THEP_TAM11"/>
      <sheetName val="THEP_HÌNH11"/>
      <sheetName val="THEP_HINH11"/>
      <sheetName val="XA_GO11"/>
      <sheetName val="BANG_TRA11"/>
      <sheetName val="AG_Pipe_Qty_Analysis11"/>
      <sheetName val="CP_Du_phong11"/>
      <sheetName val="THCP_Lap_dat11"/>
      <sheetName val="THCP_xay_dung11"/>
      <sheetName val="Tong_hop_kinh_phi11"/>
      <sheetName val="CP_HMC11"/>
      <sheetName val="Ｎｏ_1311"/>
      <sheetName val="DGchitiet_11"/>
      <sheetName val="CHI_PHI11"/>
      <sheetName val="Data_Wall11"/>
      <sheetName val="CĂN_HỘ_T16-17_11"/>
      <sheetName val="TRỤC_ĐỨNG_THOÁT_BẨN_T15-1711"/>
      <sheetName val="TRỤC_ĐỨNG_TM_T15-1711"/>
      <sheetName val="Móng,_nền_11"/>
      <sheetName val="Main_Bldg-Rev0211"/>
      <sheetName val="D&amp;W_def_11"/>
      <sheetName val="Nhan_cong11"/>
      <sheetName val="Thiet_bi11"/>
      <sheetName val="Vat_tu11"/>
      <sheetName val="DM_ChiPhi11"/>
      <sheetName val="May_TC11"/>
      <sheetName val="TH_Kinh_phi11"/>
      <sheetName val="Ptvl_11"/>
      <sheetName val="1_Requisition(E)11"/>
      <sheetName val="DG_142610"/>
      <sheetName val="Tổng_GT11"/>
      <sheetName val="Chi_tiết_KL11"/>
      <sheetName val="ca_máy7"/>
      <sheetName val="khấu_trừ_phạt11"/>
      <sheetName val="GT__KHAU_TRU11"/>
      <sheetName val="HAO_HUT_VAT_TU_(2)11"/>
      <sheetName val="cao_độ11"/>
      <sheetName val="TONG_HOP11"/>
      <sheetName val="Dự_toán11"/>
      <sheetName val="Đơn_Giá_TH11"/>
      <sheetName val="Nhân_công11"/>
      <sheetName val="Phân_tích11"/>
      <sheetName val="C_P_Thiết_bị11"/>
      <sheetName val="T_H_Kinh_phí11"/>
      <sheetName val="Vật_tư11"/>
      <sheetName val="Trang_bìa11"/>
      <sheetName val="phan_tic_chi_tiet11"/>
      <sheetName val="gui_BKCT10"/>
      <sheetName val="Theo_doi_Doanh_thu_201710"/>
      <sheetName val="Don_gia_chi_tiet_DIEN_210"/>
      <sheetName val="Chi_tiet_cong_no11"/>
      <sheetName val="PHÁT_SINH_TẦNG_1_11"/>
      <sheetName val="PHÁT_SINH_TẦNG_211"/>
      <sheetName val="Hầm_chuyển_psinh11"/>
      <sheetName val="Ống_thẳng11"/>
      <sheetName val="Côn_thu11"/>
      <sheetName val="Vuông_tròn11"/>
      <sheetName val="Chân_rẽ11"/>
      <sheetName val="Chạc_ba11"/>
      <sheetName val="Chi_tiet_-tong_9_thang10"/>
      <sheetName val="KL_THEP__GIAM_DO_DUNG_COUPLER10"/>
      <sheetName val="01_KL_THÉP_NHẬP_VỀ10"/>
      <sheetName val="2__NT_VLDV10"/>
      <sheetName val="GHI_CHU10"/>
      <sheetName val="1_BB_LMHT10"/>
      <sheetName val="Gia_vat_lieu10"/>
      <sheetName val="Precios_unitarios_AXH10"/>
      <sheetName val="0__Input10"/>
      <sheetName val="3__CNT10"/>
      <sheetName val="unit_price_list(M)10"/>
      <sheetName val="B3A_-_TOWER_A10"/>
      <sheetName val="Annex_B10"/>
      <sheetName val="1_2_Staff_Schedule10"/>
      <sheetName val="BẢNG_ÁP_GIÁ_(in)10"/>
      <sheetName val="NT_(KL)_IN10"/>
      <sheetName val="DOM_D210"/>
      <sheetName val="nhà_ăn10"/>
      <sheetName val="Công_nhật10"/>
      <sheetName val="btkt_cột10"/>
      <sheetName val="Dgia_vat_tu10"/>
      <sheetName val="Don_gia_III10"/>
      <sheetName val="D÷_liÖu10"/>
      <sheetName val="TH_VL,_NC,_DDHT_Thanhphuoc10"/>
      <sheetName val="So_lieu_chung10"/>
      <sheetName val="1_San_10"/>
      <sheetName val="Doi_so10"/>
      <sheetName val="MTO_REV_2(ARMOR)10"/>
      <sheetName val="DANH_MỤC_HỒ_SƠ10"/>
      <sheetName val="GT_PHÁT_SINH_NGOÀI_HĐ10"/>
      <sheetName val="KL_PHÁT_SINH_10"/>
      <sheetName val="PS_NGOÀI_HĐ10"/>
      <sheetName val="GT_PHÁT_SINH_VƯỢT_HĐ10"/>
      <sheetName val="PS_TĂNG_GIẢM_TRONG_HĐ10"/>
      <sheetName val="DGCT_PHÁT_SINH10"/>
      <sheetName val="DGCT_TRẦN_NLV10"/>
      <sheetName val="DGKL_chi_tiết_NLV10"/>
      <sheetName val="DGKL_chi_tiết_NHN,NK10"/>
      <sheetName val="TG_KL10"/>
      <sheetName val="DGCT_SƠN_BẢ_TƯỜNG_NLV10"/>
      <sheetName val="DGKL_TRẦN_NHN10"/>
      <sheetName val="Bill_Prelim-CDT10"/>
      <sheetName val="Bill_BPTC-CDT10"/>
      <sheetName val="Chi_tiết_BPTC10"/>
      <sheetName val="Bill_BPTC-CDT_(PA_MCT_CDT)10"/>
      <sheetName val="Chi_tiết_BPTC_(PA_MCT_CDT)10"/>
      <sheetName val="Tong_hop_vat_tu10"/>
      <sheetName val="DM-VNT_ko_sd10"/>
      <sheetName val="Bảng_đo_bóc_KL_OLK-0910"/>
      <sheetName val="6_3_CHI_TIET_OLK-0910"/>
      <sheetName val="1__Office10"/>
      <sheetName val="Cotthep_NPT10"/>
      <sheetName val="vl_nc_mtc10"/>
      <sheetName val="1_Civil_(Org)10"/>
      <sheetName val="Bê_tông_bảo_vệ10"/>
      <sheetName val="01__Data10"/>
      <sheetName val="Neo,_nối_cốt_thép_dầm,_cột10"/>
      <sheetName val="Uốn_móc_cốt_thép10"/>
      <sheetName val="Tiêu_chuẩn_cốt_thép10"/>
      <sheetName val="KL_thep_lam_sat10"/>
      <sheetName val="Tien_Thuong10"/>
      <sheetName val="NC_XL_6T_cuoi_01_CTy10"/>
      <sheetName val="Data_-6T_dau10"/>
      <sheetName val="Cong_6T10"/>
      <sheetName val="KHOI_LUONG15-410"/>
      <sheetName val="Dot_410"/>
      <sheetName val="TLG_Type10"/>
      <sheetName val="Thop_Ksat10"/>
      <sheetName val="Thu_hoi_10"/>
      <sheetName val="HM_chung10"/>
      <sheetName val="CP_xd-thiet_bi10"/>
      <sheetName val="TH-TN_LD_TB10"/>
      <sheetName val="CP_xaydung10"/>
      <sheetName val="Thao_ha_phu_kien10"/>
      <sheetName val="VL-NC-MTC_ket_cau10"/>
      <sheetName val="KHOI_LUONG_TONG10"/>
      <sheetName val="TK_22KV10"/>
      <sheetName val="DM_366-177710"/>
      <sheetName val="Thi_nhiem10"/>
      <sheetName val="Gia_goc_VT-TB10"/>
      <sheetName val="Gia_vc_den_chan_CT10"/>
      <sheetName val="culy_2210"/>
      <sheetName val="Luong_205010"/>
      <sheetName val="ca_may_QN10"/>
      <sheetName val="TNHC1246_10"/>
      <sheetName val="Ca_may_TT06_201010"/>
      <sheetName val="Don_gia_VLXD_dia_phuong10"/>
      <sheetName val="Bang_luong_SCL10"/>
      <sheetName val="Dinh_muc_TN142610"/>
      <sheetName val="Chi_phi_van_chuyen10"/>
      <sheetName val="Div26_-_Elect10"/>
      <sheetName val="TH_các_CC10"/>
      <sheetName val="DT_hợp_đồng9"/>
      <sheetName val="Bảng_KL_đợt_19"/>
      <sheetName val="2_CDPS10"/>
      <sheetName val="Danh_mục9"/>
      <sheetName val="Q_A01_2-Sh10"/>
      <sheetName val="DM_336cai_tao10"/>
      <sheetName val="HRG_BHN10"/>
      <sheetName val="CĂN_ĐH10"/>
      <sheetName val="7_Khau_tru_10"/>
      <sheetName val="4_CĂN10"/>
      <sheetName val="Heso_DZ10"/>
      <sheetName val="CAP_NUOC9"/>
      <sheetName val="cấp_nước_trục_nhà_vs9"/>
      <sheetName val="THOAT_NUOC9"/>
      <sheetName val="THOAT_MUA9"/>
      <sheetName val="Cáp_phòng9"/>
      <sheetName val="TMC_ĐIỆN_Phi9"/>
      <sheetName val="TMC_Tổng9"/>
      <sheetName val="TH_Đèn_Phòng_L19"/>
      <sheetName val="TH_Đèn_Hầm_L19"/>
      <sheetName val="TỦ_MODULE_T19"/>
      <sheetName val="DG_BINH_THUAN10"/>
      <sheetName val="Don_gia_NC10"/>
      <sheetName val="B-2__(DPP)10"/>
      <sheetName val="Summary_Sheet9"/>
      <sheetName val="Finishing-Tower_A9"/>
      <sheetName val="Finishing-Tower_B9"/>
      <sheetName val="Finishing-Tower_C9"/>
      <sheetName val="Finishing-Tower_D9"/>
      <sheetName val="MEP-Tower_A9"/>
      <sheetName val="MEP-Tower_B9"/>
      <sheetName val="MEP-Tower_C9"/>
      <sheetName val="MEP-Tower_D9"/>
      <sheetName val="Cost_Report_Sum9"/>
      <sheetName val="Detail_Cost_Sum9"/>
      <sheetName val="RVO-VO_Sum9"/>
      <sheetName val="Potential_VOs_Sum9"/>
      <sheetName val="Cash_Flow_Sum9"/>
      <sheetName val="Financ__Overview9"/>
      <sheetName val="Bieu_gia_HD9"/>
      <sheetName val="TINH_GIA_-_SAN_XUAT_Vertico9"/>
      <sheetName val="Huong_dan9"/>
      <sheetName val="gia_vt,nc,may9"/>
      <sheetName val="13_BANG_CT9"/>
      <sheetName val="14_MMUS_GIUA_NHIP9"/>
      <sheetName val="4_HSPBngang9"/>
      <sheetName val="6_Tinh_tai9"/>
      <sheetName val="2_NSl9"/>
      <sheetName val="17_US_CHU_tho_a_b9"/>
      <sheetName val="15_MMUS_GOI9"/>
      <sheetName val="KS_tuyen9"/>
      <sheetName val="Bang_chiet_tinh_TBA9"/>
      <sheetName val="Gia_VT-TB9"/>
      <sheetName val="noi_suy_xa9"/>
      <sheetName val="noi_suy_xa_thu_hoi9"/>
      <sheetName val="5_2_1_Đo_bóc_KL_OLK-069"/>
      <sheetName val="DZ_22KV9"/>
      <sheetName val="BTK-Dai_Hoc_Kien_Giang9"/>
      <sheetName val="PV_Graph_Data9"/>
      <sheetName val="doanh_thu9"/>
      <sheetName val="Dutoan_KL9"/>
      <sheetName val="Kê_0,49"/>
      <sheetName val="TH_0,49"/>
      <sheetName val="Kê_229"/>
      <sheetName val="TH_229"/>
      <sheetName val="TBA_CAI_TAO9"/>
      <sheetName val="TBA_XDM9"/>
      <sheetName val="TONG_HOP_DU_TOAN9"/>
      <sheetName val="Thop_XAY_DUNG9"/>
      <sheetName val="CP_HANG_MUC_CHUNG9"/>
      <sheetName val="CHI_PHI_XD9"/>
      <sheetName val="CHI_PHI_THI_NGHIEM9"/>
      <sheetName val="VLDIEN_229"/>
      <sheetName val="Dao_dat9"/>
      <sheetName val="TH_Denbu9"/>
      <sheetName val="Do_ve_DC9"/>
      <sheetName val="TH_Bommin9"/>
      <sheetName val="CHI_PHI_THI_NGHIEM-LD_thiet_bi9"/>
      <sheetName val="Luong_TT019"/>
      <sheetName val="Camay_QB9"/>
      <sheetName val="gia_ca_may_BXD9"/>
      <sheetName val="BANG_LUONG_KY_SU9"/>
      <sheetName val="Bang_luong_NHOM_I9"/>
      <sheetName val="Bangluong_NHOM_II_9"/>
      <sheetName val="09-GIA_nhien_lieu-ko_in9"/>
      <sheetName val="Tinh_V_cot_chiem_cho9"/>
      <sheetName val="ĐM_13549"/>
      <sheetName val="KHOAN_MAU9"/>
      <sheetName val="ĐO_ĐỊA_VẬT_LÝ9"/>
      <sheetName val="khoan_tiep_dia9"/>
      <sheetName val="Tổng_hợp_KPHM9"/>
      <sheetName val="Dinh_muc9"/>
      <sheetName val="GIÁ_DỰ_THẦU_30_CĂN9"/>
      <sheetName val="MB_DT_029"/>
      <sheetName val="Electrical_Works9"/>
      <sheetName val="H_T__INCOMING_SYSTEM9"/>
      <sheetName val="BU_LONG9"/>
      <sheetName val="HERD_MOVEMENTFARM111"/>
      <sheetName val="HERD_MOVEMENTFARM211"/>
      <sheetName val="CALVES_2-411"/>
      <sheetName val="Cavles_2-411"/>
      <sheetName val="CALVES_4-711"/>
      <sheetName val="HEIFER_7-12m11"/>
      <sheetName val="HEIFER_12+11"/>
      <sheetName val="FRESH_COW_2017-1811"/>
      <sheetName val="HP_COW_201811"/>
      <sheetName val="LP_COW_2017-1811"/>
      <sheetName val="DRY_COW11"/>
      <sheetName val="FIELD_CROPS11"/>
      <sheetName val="So_sanh9"/>
      <sheetName val="DT__NHA_XUONG9"/>
      <sheetName val="THONG_SO9"/>
      <sheetName val="Đơn_giá_chi_tiết_TN_399"/>
      <sheetName val="Tính_giá_NC9"/>
      <sheetName val="Tiên_lượng9"/>
      <sheetName val="SL_cước9"/>
      <sheetName val="¥_9"/>
      <sheetName val="EQUIP_LIST9"/>
      <sheetName val="DG_Chi_tiet9"/>
      <sheetName val="_1710_HOINGHINLD9"/>
      <sheetName val="99_(2)9"/>
      <sheetName val="134_9"/>
      <sheetName val="DG_49709"/>
      <sheetName val="4_2_1_Đo_bóc_KL_OLK-069"/>
      <sheetName val="4_1_1_CHI_TIET_OLK-069"/>
      <sheetName val="Thuyết_minh9"/>
      <sheetName val="Đơn_giá_máy9"/>
      <sheetName val="Bán_đợt_1_trang8"/>
      <sheetName val="Cash_Flow9"/>
      <sheetName val="Tong_DT8"/>
      <sheetName val="phan_tich_don_gia8"/>
      <sheetName val="Bill_No_1_69"/>
      <sheetName val="Bill_No_1_109"/>
      <sheetName val="Bill_No_3_39"/>
      <sheetName val="Bill_No_1_49"/>
      <sheetName val="Bill_No_1_79"/>
      <sheetName val="Summary_Bill_No__39"/>
      <sheetName val="Unit_price8"/>
      <sheetName val="3__KC_-_PODIUM8"/>
      <sheetName val="Unit_price(Updateting)8"/>
      <sheetName val="IMF_Code8"/>
      <sheetName val="Chiet_tinh_dz358"/>
      <sheetName val="Tien_Luong8"/>
      <sheetName val="Bù_giá_CM8"/>
      <sheetName val="Cost_List8"/>
      <sheetName val="Detail_Cost8"/>
      <sheetName val="IC_Price_New8"/>
      <sheetName val="Summary_Table8"/>
      <sheetName val="Sales_Person8"/>
      <sheetName val="Bidding_Entity8"/>
      <sheetName val="Breakdown_(B)8"/>
      <sheetName val="U_P_Breakdown8"/>
      <sheetName val="CHITIET_VL-NCHT1_(2)8"/>
      <sheetName val="CTDZ6kv_(gd1)_8"/>
      <sheetName val="CTDZ_0_4+cto_(GD1)8"/>
      <sheetName val="CTTBA_(gd1)8"/>
      <sheetName val="03_Detailed8"/>
      <sheetName val="01_Bid_Price_summary8"/>
      <sheetName val="Home_Office_Manhours8"/>
      <sheetName val="Field_SPV_Barchart8"/>
      <sheetName val="Luong_BN8"/>
      <sheetName val="Luong_TB8"/>
      <sheetName val="Ca_may_TB8"/>
      <sheetName val="Ca_máy_BN8"/>
      <sheetName val="Vật_liệu8"/>
      <sheetName val="LX_-TT058"/>
      <sheetName val="NC_Moi_TT058"/>
      <sheetName val="THPDMoi__(2)4"/>
      <sheetName val="t-h_HA_THE4"/>
      <sheetName val="TH_XL4"/>
      <sheetName val="CHITIET_VL-NC4"/>
      <sheetName val="Subsidiary_Calculation8"/>
      <sheetName val="5_2_1_Đo_bóc_KL_OLK-108"/>
      <sheetName val="Chu_dau_tu4"/>
      <sheetName val="Bia_lot8"/>
      <sheetName val="DT_san_XD-So_lieu_cu8"/>
      <sheetName val="Cau_tao_gia_xay_to4"/>
      <sheetName val="don_gia_14268"/>
      <sheetName val="Phu_Bai_Bridge8"/>
      <sheetName val="FF-2_(1)8"/>
      <sheetName val="Labour_Summary21"/>
      <sheetName val="YTD_12'20038"/>
      <sheetName val="YTD_06'20038"/>
      <sheetName val="YTD_03'20038"/>
      <sheetName val="YTD_09'20038"/>
      <sheetName val="deferred_taxes8"/>
      <sheetName val="Eqpmnt_Plng8"/>
      <sheetName val="TRIAL_BALANCE8"/>
      <sheetName val="DPR_31st_march8"/>
      <sheetName val="current_month8"/>
      <sheetName val="Blng__Vs_Coll_8"/>
      <sheetName val="BẢNG_DIỄN_GIẢI_KL_(7)8"/>
      <sheetName val="THÔNG_TIN4"/>
      <sheetName val="DG_2"/>
      <sheetName val="CT_-THVLNC"/>
      <sheetName val="ADJ_2011"/>
      <sheetName val="NOVA_MEDIC"/>
      <sheetName val="DGKL_MEDIC"/>
      <sheetName val="cable,_lighting,_switch"/>
      <sheetName val="ĐỢT_1"/>
      <sheetName val="TCVN_1651-2008"/>
      <sheetName val="Listes_Caractéristiques"/>
      <sheetName val="Liste_Référentiel"/>
      <sheetName val="Bill_4_1a___"/>
      <sheetName val="XL4Poppy_(2)1"/>
      <sheetName val="OVER_VIEW"/>
      <sheetName val="1_설계조건"/>
      <sheetName val="Wood_Mckenzie"/>
      <sheetName val="Đầu_ra_sản_phẩm"/>
      <sheetName val="Tổng_quan_và_Input"/>
      <sheetName val="Đầu_vào_sản_xuất"/>
      <sheetName val="Tính_toán_doanh_thu"/>
      <sheetName val="Phân_tích_độ_nhạy"/>
      <sheetName val="Khấu_hao_TSCĐ"/>
      <sheetName val="Nguồn_vốn"/>
      <sheetName val="Giải_ngân_nguồn_vốn"/>
      <sheetName val="Tính_toán_thuế"/>
      <sheetName val="Tính_toán_chi_phí_SX"/>
      <sheetName val="TH_ĐƠN_GIÁ"/>
      <sheetName val="02__THONG_TIN_CHUNG"/>
      <sheetName val="07__DINH_MUC_HBC"/>
      <sheetName val="Dynamic_Ranges"/>
      <sheetName val="NHOM_KINH_"/>
      <sheetName val="DS_Cty"/>
      <sheetName val="Bldg_Brkdown"/>
      <sheetName val="MAHANG_BHLD"/>
      <sheetName val="CHITIETHOADON_TT"/>
      <sheetName val="mahang_chinh_sua_moi_nhat"/>
      <sheetName val="KL_T16_BÀN_GIAO_19_4"/>
      <sheetName val="DTXL(_270)"/>
      <sheetName val="SCOPE_OF_WORK"/>
      <sheetName val="Data_(2)"/>
      <sheetName val="Book_1_Summary"/>
      <sheetName val="DG_VL_KS"/>
      <sheetName val="THÁNG_05"/>
      <sheetName val="TONGKE3p_"/>
      <sheetName val="List_of_Staff"/>
      <sheetName val="__QUOTATION_xlsx"/>
      <sheetName val="chi_tiet_TS_theo_so_lieu_ktoan"/>
      <sheetName val="2_5_Ducts_(2)"/>
      <sheetName val="S_N"/>
      <sheetName val="CF_-Update_31Jul06"/>
      <sheetName val="Executive_Summary"/>
      <sheetName val="Rate_Analysis"/>
      <sheetName val="Noise_insl"/>
      <sheetName val="DIEN_TICH"/>
      <sheetName val="H_Satuan"/>
      <sheetName val="4_3_Scope_of_work_"/>
      <sheetName val="THCP_thiet_bi"/>
      <sheetName val="Be_tong"/>
      <sheetName val="Eq__Mobilization"/>
      <sheetName val="2__Tổng_hợp"/>
      <sheetName val="List_Equip"/>
      <sheetName val="Process_C_(1-166)"/>
      <sheetName val="Link_HG"/>
      <sheetName val="TK_SX"/>
      <sheetName val="BANG TONGHOP"/>
      <sheetName val="XZLC003_PART1"/>
      <sheetName val="Record CR"/>
      <sheetName val="Wall Pier"/>
      <sheetName val="단면가정"/>
      <sheetName val="Ntt_Form"/>
      <sheetName val="MVT"/>
      <sheetName val="PHÁT_SINH_TẦNG_290"/>
      <sheetName val="IV.1.Lkdt"/>
      <sheetName val="III.2.dah"/>
      <sheetName val="II.2.dn"/>
      <sheetName val="IV.2.Lkdd"/>
      <sheetName val="III.1.tai"/>
      <sheetName val="cot_xa"/>
      <sheetName val="Chung"/>
      <sheetName val="cPanel"/>
      <sheetName val="GC"/>
      <sheetName val="HG_Info"/>
      <sheetName val="Nghỉ lễ"/>
      <sheetName val="Mác"/>
      <sheetName val="QC"/>
      <sheetName val="CO"/>
      <sheetName val="Bangtrachieudaicoc"/>
      <sheetName val="Bar"/>
      <sheetName val="DA01.HD-List"/>
      <sheetName val="DM01.CDT"/>
      <sheetName val="DM02.NT"/>
      <sheetName val="NT01.HD-List"/>
      <sheetName val="DG CANTHO"/>
      <sheetName val="M 67"/>
      <sheetName val="NK"/>
      <sheetName val="Summary of My Chanh Bridge"/>
      <sheetName val="My Chanh Bridge"/>
      <sheetName val="Summary of Phu Bai Bridge"/>
      <sheetName val="Summary of Nong Bridge"/>
      <sheetName val="Nong Bridge"/>
      <sheetName val="Summary of Phong Le Bridge"/>
      <sheetName val="Phong Le Bridge"/>
      <sheetName val="Summary of Ky Lam Bridge"/>
      <sheetName val="Company"/>
      <sheetName val="Binderies"/>
      <sheetName val="1.Staffing"/>
      <sheetName val="TEST1"/>
      <sheetName val="6. Pig walk way (have roof GOC)"/>
      <sheetName val="SELISIH HARGA"/>
      <sheetName val="BBM-03"/>
      <sheetName val="(40)G&amp;A"/>
      <sheetName val="Assumption"/>
      <sheetName val="Chart"/>
      <sheetName val="SNMOI"/>
      <sheetName val="NDK16X20"/>
      <sheetName val="OPY"/>
      <sheetName val="PT-OPY"/>
      <sheetName val="2.1 NonVessel"/>
      <sheetName val="Modification Cost"/>
      <sheetName val="Fuel"/>
      <sheetName val="1 Max Base - Cost_rep_base"/>
      <sheetName val="Rates2011"/>
      <sheetName val="2 NonVessel"/>
      <sheetName val="MWBSpread"/>
      <sheetName val="Cable Data"/>
      <sheetName val="CBL01"/>
      <sheetName val="EQ_an"/>
      <sheetName val="NP"/>
      <sheetName val="대비표"/>
      <sheetName val="PNT"/>
      <sheetName val="실행기성 갑지"/>
      <sheetName val="242-3 summaryOPC"/>
      <sheetName val="Nhân_cô_x0000_g6"/>
      <sheetName val="Main Model"/>
      <sheetName val="Đường dây"/>
      <sheetName val="Vị trí"/>
      <sheetName val="datamong"/>
      <sheetName val="Sheet1 (2)"/>
      <sheetName val="Chi Thao"/>
      <sheetName val="Bang luong"/>
      <sheetName val="Sheet1_(2)"/>
      <sheetName val="Chi_Thao"/>
      <sheetName val="Bang_luong"/>
      <sheetName val="Risk Assessment"/>
      <sheetName val="Exhibit 2"/>
      <sheetName val="PU_ITALY_46"/>
      <sheetName val="sales_current_month46"/>
      <sheetName val="View_Variance46"/>
      <sheetName val="Inventory_data46"/>
      <sheetName val="FORECAST_x_FAMILIA43"/>
      <sheetName val="Space_Analysis43"/>
      <sheetName val="CADE_DETAIL19"/>
      <sheetName val="PRB_Expense_Q4_201316"/>
      <sheetName val="P&amp;L_by_Month1"/>
      <sheetName val="Committed_Items1"/>
      <sheetName val="FINALPHP"/>
      <sheetName val="CY17"/>
      <sheetName val="Risk_Assessment"/>
      <sheetName val="foumula"/>
      <sheetName val="Form 23"/>
      <sheetName val="Mapping"/>
      <sheetName val="Fx Rates"/>
      <sheetName val="Data 6,7,9"/>
      <sheetName val="Data 8"/>
      <sheetName val="PU_ITALY_47"/>
      <sheetName val="sales_current_month47"/>
      <sheetName val="View_Variance47"/>
      <sheetName val="Inventory_data47"/>
      <sheetName val="FORECAST_x_FAMILIA44"/>
      <sheetName val="Space_Analysis44"/>
      <sheetName val="CADE_DETAIL20"/>
      <sheetName val="PRB_Expense_Q4_201317"/>
      <sheetName val="P&amp;L_by_Month2"/>
      <sheetName val="Committed_Items2"/>
      <sheetName val="Risk_Assessment1"/>
      <sheetName val="Exhibit_2"/>
      <sheetName val="Form_23"/>
      <sheetName val="Fx_Rates"/>
      <sheetName val="NOVCOS"/>
      <sheetName val="PU_ITALY_48"/>
      <sheetName val="sales_current_month48"/>
      <sheetName val="View_Variance48"/>
      <sheetName val="Inventory_data48"/>
      <sheetName val="FORECAST_x_FAMILIA45"/>
      <sheetName val="Space_Analysis45"/>
      <sheetName val="final_list_200531"/>
      <sheetName val="Tro_giup30"/>
      <sheetName val="Labour_Summary22"/>
      <sheetName val="CADE_DETAIL21"/>
      <sheetName val="PRB_Expense_Q4_201318"/>
      <sheetName val="P&amp;L_by_Month3"/>
      <sheetName val="Committed_Items3"/>
      <sheetName val="Risk_Assessment2"/>
      <sheetName val="Exhibit_21"/>
      <sheetName val="Form_231"/>
      <sheetName val="Fx_Rates1"/>
      <sheetName val="Data_6,7,9"/>
      <sheetName val="Data_8"/>
      <sheetName val="PU_ITALY_49"/>
      <sheetName val="sales_current_month49"/>
      <sheetName val="View_Variance49"/>
      <sheetName val="Inventory_data49"/>
      <sheetName val="FORECAST_x_FAMILIA46"/>
      <sheetName val="Space_Analysis46"/>
      <sheetName val="final_list_200532"/>
      <sheetName val="Tro_giup31"/>
      <sheetName val="Labour_Summary23"/>
      <sheetName val="CADE_DETAIL22"/>
      <sheetName val="PRB_Expense_Q4_201319"/>
      <sheetName val="P&amp;L_by_Month4"/>
      <sheetName val="Committed_Items4"/>
      <sheetName val="Risk_Assessment3"/>
      <sheetName val="Exhibit_22"/>
      <sheetName val="Share_Price_20022"/>
      <sheetName val="Form_232"/>
      <sheetName val="Fx_Rates2"/>
      <sheetName val="Data_6,7,91"/>
      <sheetName val="Data_81"/>
      <sheetName val="PU_ITALY_50"/>
      <sheetName val="sales_current_month50"/>
      <sheetName val="View_Variance50"/>
      <sheetName val="Inventory_data50"/>
      <sheetName val="FORECAST_x_FAMILIA47"/>
      <sheetName val="Space_Analysis47"/>
      <sheetName val="final_list_200533"/>
      <sheetName val="Tro_giup32"/>
      <sheetName val="Labour_Summary24"/>
      <sheetName val="CADE_DETAIL23"/>
      <sheetName val="PRB_Expense_Q4_201320"/>
      <sheetName val="P&amp;L_by_Month5"/>
      <sheetName val="Committed_Items5"/>
      <sheetName val="Risk_Assessment4"/>
      <sheetName val="Exhibit_23"/>
      <sheetName val="Share_Price_20023"/>
      <sheetName val="Form_233"/>
      <sheetName val="Fx_Rates3"/>
      <sheetName val="Data_6,7,92"/>
      <sheetName val="Data_82"/>
      <sheetName val="ListSource"/>
      <sheetName val="PU_ITALY_51"/>
      <sheetName val="sales_current_month51"/>
      <sheetName val="View_Variance51"/>
      <sheetName val="Inventory_data51"/>
      <sheetName val="FORECAST_x_FAMILIA48"/>
      <sheetName val="Space_Analysis48"/>
      <sheetName val="final_list_200534"/>
      <sheetName val="Tro_giup33"/>
      <sheetName val="Labour_Summary25"/>
      <sheetName val="CADE_DETAIL24"/>
      <sheetName val="PRB_Expense_Q4_201321"/>
      <sheetName val="P&amp;L_by_Month6"/>
      <sheetName val="Committed_Items6"/>
      <sheetName val="Risk_Assessment5"/>
      <sheetName val="Exhibit_24"/>
      <sheetName val="Share_Price_20024"/>
      <sheetName val="Form_234"/>
      <sheetName val="Fx_Rates4"/>
      <sheetName val="Data_6,7,93"/>
      <sheetName val="Data_83"/>
      <sheetName val="PU_ITALY_52"/>
      <sheetName val="sales_current_month52"/>
      <sheetName val="View_Variance52"/>
      <sheetName val="Inventory_data52"/>
      <sheetName val="FORECAST_x_FAMILIA49"/>
      <sheetName val="Space_Analysis49"/>
      <sheetName val="final_list_200535"/>
      <sheetName val="Tro_giup34"/>
      <sheetName val="Labour_Summary26"/>
      <sheetName val="CADE_DETAIL25"/>
      <sheetName val="PRB_Expense_Q4_201322"/>
      <sheetName val="P&amp;L_by_Month7"/>
      <sheetName val="Committed_Items7"/>
      <sheetName val="Risk_Assessment6"/>
      <sheetName val="Exhibit_25"/>
      <sheetName val="Share_Price_20025"/>
      <sheetName val="Form_235"/>
      <sheetName val="Fx_Rates5"/>
      <sheetName val="Data_6,7,94"/>
      <sheetName val="Data_84"/>
      <sheetName val="ProdType"/>
      <sheetName val="View BS"/>
      <sheetName val="View IS"/>
      <sheetName val="USAllexclNatlCenterSumm"/>
      <sheetName val="TB Worksheet"/>
      <sheetName val="DG1426NEW"/>
      <sheetName val="營業額"/>
      <sheetName val="GIA_NC,_CM"/>
      <sheetName val="GIA_VL"/>
      <sheetName val="13_Luong"/>
      <sheetName val="TinhToan"/>
      <sheetName val="BSD (2)"/>
      <sheetName val="Data-SỔ KHO"/>
      <sheetName val="SỔ KHO"/>
      <sheetName val="factory area"/>
      <sheetName val="Floor area"/>
      <sheetName val="EstData"/>
      <sheetName val="DW ok"/>
      <sheetName val="calc_menu_déroulant"/>
      <sheetName val="4. Đo bóc KL"/>
      <sheetName val="주주명부&lt;끝&gt;"/>
      <sheetName val="GDLQ"/>
      <sheetName val="Thong_tin"/>
      <sheetName val="BTDC_B360"/>
      <sheetName val="Danh_muc_LIST"/>
      <sheetName val="CF_(DR)_IN"/>
      <sheetName val="PL_02_-_Vay"/>
      <sheetName val="PL_03_-_Von"/>
      <sheetName val="CP_yếu_tố"/>
      <sheetName val="BS_420"/>
      <sheetName val="PL_420"/>
      <sheetName val="RT_420"/>
      <sheetName val="BTDC_B360_"/>
      <sheetName val="Table_of_contents"/>
      <sheetName val="11__Loans"/>
      <sheetName val="Door_and_window8"/>
      <sheetName val="SGC_RATE3"/>
      <sheetName val="DM_DU_AN3"/>
      <sheetName val="DM_TP_3"/>
      <sheetName val="File_Chi_tiet3"/>
      <sheetName val="2__BBNT_KLHT3"/>
      <sheetName val="Dashboard_-_BQL_-_VHL3"/>
      <sheetName val="Khai_toan3"/>
      <sheetName val="Phu_luc_01_1_EPC_P11-143"/>
      <sheetName val="TDT_P11-P143"/>
      <sheetName val="Chi_phi_khac_3"/>
      <sheetName val="Hang_muc_Chung3"/>
      <sheetName val="Bia_Phu_Luc3"/>
      <sheetName val="DATA_1_CHUNG3"/>
      <sheetName val="Muc_luc3"/>
      <sheetName val="Tra_cuu_9573"/>
      <sheetName val="Tru_TT3"/>
      <sheetName val="Thg_043"/>
      <sheetName val="Thg_053"/>
      <sheetName val="Thg_063"/>
      <sheetName val="Thg_073"/>
      <sheetName val="Thg_083"/>
      <sheetName val="Thg_093"/>
      <sheetName val="Thg_103"/>
      <sheetName val="Thg_113"/>
      <sheetName val="Thg_123"/>
      <sheetName val="TH_khoi_luong3"/>
      <sheetName val="Chi_tiet_khoi_luong3"/>
      <sheetName val="TK_thep3"/>
      <sheetName val="CT_THOÁT_WC_VP3"/>
      <sheetName val="CT_CẤP_WC_VP3"/>
      <sheetName val="CT_THOÁT_MƯA_VP_TRỤC_LỚN3"/>
      <sheetName val="CT_THOÁT_MƯA_VP_TRỤC_NHỎ3"/>
      <sheetName val="Danh_mục_khối3"/>
      <sheetName val="Danh_mục_đơn_vị_-phòng_chức_nă3"/>
      <sheetName val="Currency_Rate3"/>
      <sheetName val="Probbl_-_Production3"/>
      <sheetName val="w't_table3"/>
      <sheetName val="BILL_34Āᐁë3"/>
      <sheetName val="LUONG_SCL3"/>
      <sheetName val="KEILA_TP_2020-073"/>
      <sheetName val="CHI_PHÍ_NHÔM3"/>
      <sheetName val="CHITIET_VL-NC-TT1p3"/>
      <sheetName val="NHOM_KINH2"/>
      <sheetName val="CFA_(ME)3"/>
      <sheetName val="MEP_Building3"/>
      <sheetName val="BOM-13_11-Other(PS1+PS2)3"/>
      <sheetName val="Dinh_Muc_Vat_Tu3"/>
      <sheetName val="mã_3"/>
      <sheetName val="Service_Cost_2"/>
      <sheetName val="Don_gia_Tay_Ninh2"/>
      <sheetName val="Don_gia_Dak_Lak2"/>
      <sheetName val="streeta_and_cacth_pit2"/>
      <sheetName val="Daf_12"/>
      <sheetName val="Chao_gia_T12_RE2"/>
      <sheetName val="Chênh_lệch_máy_thi_công2"/>
      <sheetName val="Chênh_lệch_nhân_công2"/>
      <sheetName val="Chênh_lệch_vật_liệu2"/>
      <sheetName val="Auto_Monthly_Inputs_1"/>
      <sheetName val="Gia_NC_theo_TT051"/>
      <sheetName val="Land_Dev't__Ph-11"/>
      <sheetName val="Hac_Lots1"/>
      <sheetName val="4-Lane_bridge1"/>
      <sheetName val="Res_Lots1"/>
      <sheetName val="Spine_Road1"/>
      <sheetName val="Bank_Rev1"/>
      <sheetName val="Merit_&amp;_Market_Grid2"/>
      <sheetName val="BP_DECLINE_IT1"/>
      <sheetName val="Input_List1"/>
      <sheetName val="Valid_data_revised1"/>
      <sheetName val="DETAIL_MIX_%_REPORT1"/>
      <sheetName val="Fill_this_out_first___1"/>
      <sheetName val="BC_chi_tiết_TT1"/>
      <sheetName val="Nhập_liệu1"/>
      <sheetName val="Boc_KL_DAT+CAT+BT1"/>
      <sheetName val="Boc_KL_thép1"/>
      <sheetName val="Bieu_do_nhan_luc1"/>
      <sheetName val="Aging_Sept2"/>
      <sheetName val="0_Data1"/>
      <sheetName val="0_Data_new1"/>
      <sheetName val="Piano_Montaggio_PO-02_bozza2"/>
      <sheetName val="Don_gia_XD2"/>
      <sheetName val="Fixed_asset_register1"/>
      <sheetName val="repeatative_rejection1"/>
      <sheetName val="General_Info1"/>
      <sheetName val="Full_PBD1"/>
      <sheetName val="Non-Statistical_Sampling1"/>
      <sheetName val="98FORECAST_(1)1"/>
      <sheetName val="Sch_18_Bank1"/>
      <sheetName val="Stock_details1"/>
      <sheetName val="Part_A_General1"/>
      <sheetName val="_1"/>
      <sheetName val="5_2_1_Đo_bóc_KL_OLK-071"/>
      <sheetName val="Define_finishing1"/>
      <sheetName val="DGKL_TRỤC_NGOAI_NHA1"/>
      <sheetName val="Sum_ELE__CAP_S1-4__1"/>
      <sheetName val="Luong_(TP_Việt_Trì)1"/>
      <sheetName val="So_sanh_gia1"/>
      <sheetName val="Luong_2622EVN1"/>
      <sheetName val="Cuoc_1"/>
      <sheetName val="gia_chao1"/>
      <sheetName val="Vat_lieu_BTN1"/>
      <sheetName val="Dai_tu1"/>
      <sheetName val="DSV6_Summ1"/>
      <sheetName val="Bill_21"/>
      <sheetName val="Bill_31"/>
      <sheetName val="Bill_4a_-_1A1"/>
      <sheetName val="Bill_4a_(Fiber)_-_1A1"/>
      <sheetName val="Bill_4b1"/>
      <sheetName val="Bill_4c1"/>
      <sheetName val="Bill_51"/>
      <sheetName val="Bill_4a_-_1B1"/>
      <sheetName val="Bill_4a_(Fiber)_-_1B1"/>
      <sheetName val="PHẦN_KIẾN_TRÚC1"/>
      <sheetName val="CONSOIDATE_41"/>
      <sheetName val="CONSOIDATE_21"/>
      <sheetName val="Input_-_Facilities1"/>
      <sheetName val="BP_CAPEX_MoD-100%_Area_4_USD1"/>
      <sheetName val="Danhsach_12"/>
      <sheetName val="Elemental_Breakdown+20%1"/>
      <sheetName val="DB_FEE"/>
      <sheetName val="BHYT_Tự_Nguyện_-_Vinschool-Mau_"/>
      <sheetName val="NC_CU1"/>
      <sheetName val="Corner_Arch1"/>
      <sheetName val="End_Arch1"/>
      <sheetName val="Intermediate_Arch1"/>
      <sheetName val="reinforcement_6751"/>
      <sheetName val="ext_wall_fin_qty1"/>
      <sheetName val="SL_Plum_1"/>
      <sheetName val="Physical_Schedule_3D1"/>
      <sheetName val="Hrg_Readymix1"/>
      <sheetName val="Cước_CG1"/>
      <sheetName val="MTO_REV_01"/>
      <sheetName val="242_3_summaryOPC1"/>
      <sheetName val="1_1General1"/>
      <sheetName val="6__Scope_of_work_1"/>
      <sheetName val="4_6_Phân_tích_nhân_sự_1"/>
      <sheetName val="4_5_Mức_độ_tham_gia_dự_án1"/>
      <sheetName val="DO_AM_DT1"/>
      <sheetName val="0,SO_LIEU_DAU_VAO1"/>
      <sheetName val="Adj_entries_"/>
      <sheetName val="Annexure_1"/>
      <sheetName val="Annexure_2"/>
      <sheetName val="Updated_2018_COA"/>
      <sheetName val="IC_Listing"/>
      <sheetName val="SLA_cost_distr_FEB_2020"/>
      <sheetName val="Legal_entities_details"/>
      <sheetName val="Invoice_base_FEB_2020"/>
      <sheetName val="Le317_into_8050"/>
      <sheetName val="Basic_principles_to_the_distr_"/>
      <sheetName val="Cost_elements"/>
      <sheetName val="Ref_rate_change"/>
      <sheetName val="Synergi_life_credit"/>
      <sheetName val="Change_in_NH"/>
      <sheetName val="NPS_to_O&amp;G"/>
      <sheetName val="RC_Revenue"/>
      <sheetName val="AOP_2020"/>
      <sheetName val="DATA_LE"/>
      <sheetName val="DATA_LE_(LY)"/>
      <sheetName val="DATA_RC"/>
      <sheetName val="DATA_RC_(LY)"/>
      <sheetName val="LE_Test"/>
      <sheetName val="DATA_(RC_ORG)"/>
      <sheetName val="DATA_(TESTING_1)"/>
      <sheetName val="DATA_(TESTING_CHRSPR)"/>
      <sheetName val="2018_VADIS"/>
      <sheetName val="CDPS_SAU_KC"/>
      <sheetName val="Income_Statement14"/>
      <sheetName val="02__PHAN_TICH1"/>
      <sheetName val="03__NGAN_SACH1"/>
      <sheetName val="Da_xay_dung1"/>
      <sheetName val="6_9_DM_CTP"/>
      <sheetName val="01__Nha_xuong1"/>
      <sheetName val="SCB_-_Annexure_A1"/>
      <sheetName val="PL6-Revenue_Bridge1"/>
      <sheetName val="OC5-Push_Diag1"/>
      <sheetName val="Franchise_Input1"/>
      <sheetName val="Project_ODC_NDEU1"/>
      <sheetName val="Inter_connect_Revenue1"/>
      <sheetName val="2020_RFS_Summary1"/>
      <sheetName val="Well_Construction_Summary1"/>
      <sheetName val="RFS_2020_-_Details_and_Notes1"/>
      <sheetName val="AN_20001"/>
      <sheetName val="Loại_cọc_P2"/>
      <sheetName val="DLC_DIEN_AP"/>
      <sheetName val="SL_dau_tien"/>
      <sheetName val="BASE_GRAPHE"/>
      <sheetName val="ADJ_-_RATE"/>
      <sheetName val="Bill_rekap"/>
      <sheetName val="Cash_Flow_bulanan"/>
      <sheetName val="CươcVC_tinh"/>
      <sheetName val="Don_vi"/>
      <sheetName val="Don_gia_vung_III"/>
      <sheetName val="Don_gia_III11"/>
      <sheetName val="Don_gia_CT"/>
      <sheetName val="입찰내역_발주처_양식"/>
      <sheetName val="3_공통공사대비"/>
      <sheetName val="PLHD_doi_cot_ham_0101-04"/>
      <sheetName val="KL_CHI_TIẾT_(2)"/>
      <sheetName val="Ca_may"/>
      <sheetName val="Tonghop_theo_Vendor"/>
      <sheetName val="Tu_dien"/>
      <sheetName val="T_kê"/>
      <sheetName val="dulieu_cot"/>
      <sheetName val="Luong_TT05"/>
      <sheetName val="Bank_Bal__Dec_22"/>
      <sheetName val="Vat_lieu_cat_song_rac"/>
      <sheetName val="Other_assumptions1"/>
      <sheetName val="Field_Lists1"/>
      <sheetName val="CUSTOMER_GROUP_WISE"/>
      <sheetName val="Q4_2009_History"/>
      <sheetName val="_Final_Balance_Sheet"/>
      <sheetName val="Interest_on_WC"/>
      <sheetName val="CAN_DOI_-_KET_QUA2"/>
      <sheetName val="Pivot_Financials1"/>
      <sheetName val="Review_20151"/>
      <sheetName val="People_1"/>
      <sheetName val="Production_volumes1"/>
      <sheetName val="Salary_increase_budget_assump_1"/>
      <sheetName val="Production_initiative1"/>
      <sheetName val="Prod__KPI_-_OEE%1"/>
      <sheetName val="B&amp;P_KPI1"/>
      <sheetName val="Customer_SC1"/>
      <sheetName val="Production_KPIs1"/>
      <sheetName val="Total_losses1"/>
      <sheetName val="Savings_overview1"/>
      <sheetName val="Prod_FTE_Dev_1"/>
      <sheetName val="Log_FTE_Dev_1"/>
      <sheetName val="Loss_tree1"/>
      <sheetName val="Inventory_development1"/>
      <sheetName val="Capex_Phasing1"/>
      <sheetName val="Std_to_Std_MC_only1"/>
      <sheetName val="Top_20_BOM1"/>
      <sheetName val="MC_Development_OLD1"/>
      <sheetName val="NMC_&amp;_Log_Ass_1"/>
      <sheetName val="_Material_Ass_1"/>
      <sheetName val="COGS_Dev_1"/>
      <sheetName val="MC_Dev_1"/>
      <sheetName val="NMC_Dev_1"/>
      <sheetName val="NMC_Development_OLD1"/>
      <sheetName val="Log_Dev_1"/>
      <sheetName val="Prod__capex_overview1"/>
      <sheetName val="Production_-_Risks_&amp;_Opport_1"/>
      <sheetName val="AOCM_Overview1"/>
      <sheetName val="AOCM_Cost_Group_Summary1"/>
      <sheetName val="Sievo_Saving1"/>
      <sheetName val="AOCM_Sub-group1"/>
      <sheetName val="Quality_RFT1"/>
      <sheetName val="Back-up_1"/>
      <sheetName val="Absorption_Phasing1"/>
      <sheetName val="One_off1"/>
      <sheetName val="Reporting_changes1"/>
      <sheetName val="Prod__KPI_-_OEE%_by_line1"/>
      <sheetName val="Key_dependencies1"/>
      <sheetName val="Orgex_and_restructuring1"/>
      <sheetName val="COGS_movement1"/>
      <sheetName val="Back-up_HR1"/>
      <sheetName val="2016_FTE_Variability1"/>
      <sheetName val="2_Sievo_saving_recon__vs_bridg1"/>
      <sheetName val="1__PPV_recon__T04_vs_bridges1"/>
      <sheetName val="INPUT_&amp;_Guidance1"/>
      <sheetName val="data_for_deck,_thinkcell1"/>
      <sheetName val="Flash_call_deck1"/>
      <sheetName val="Supply_chain_bridge1"/>
      <sheetName val="COS_bridge1"/>
      <sheetName val="3_Gross_&amp;_Net_efficiency_repor1"/>
      <sheetName val="PVM_report1"/>
      <sheetName val="Capex_comments1"/>
      <sheetName val="Log_bridge1"/>
      <sheetName val="One_pager1"/>
      <sheetName val="Option_1,Data(from_HFM)_1"/>
      <sheetName val="Option_2,_Data(_Manual_Input)1"/>
      <sheetName val="FX_&amp;_HIERARCHY1"/>
      <sheetName val="Bihar_Plant_FAR"/>
      <sheetName val="Verification_Report"/>
      <sheetName val="Giai_trinh"/>
      <sheetName val="2__Summary-cash"/>
      <sheetName val="Beam_reinfocement_schedule"/>
      <sheetName val="Thong_so_dam"/>
      <sheetName val="Wall_Block_C"/>
      <sheetName val="General_Schedule"/>
      <sheetName val="ĐM4970_2016(Lap_dat_TBA)"/>
      <sheetName val="Gia_Nhan_công"/>
      <sheetName val="Đon_gia_228_sua_chua"/>
      <sheetName val="ĐM01_2000(thinghiem_ĐZTTĐL)"/>
      <sheetName val="ĐM1781_2007(T_N_đien_ĐZ&amp;TBA)"/>
      <sheetName val="Cuoc_van_chuyen"/>
      <sheetName val="SUMMARY QUANTITIES"/>
      <sheetName val="2. A&amp;C Database"/>
      <sheetName val="CMT retrive"/>
      <sheetName val="HDnhap"/>
      <sheetName val="DGCT_TRẦN_NLW7"/>
      <sheetName val="InvestALT"/>
      <sheetName val="DM 1781"/>
      <sheetName val="DM203"/>
      <sheetName val="Giá đến hiện trường"/>
      <sheetName val="DG 285"/>
      <sheetName val="DG  286"/>
      <sheetName val="DG 85"/>
      <sheetName val="DG 89"/>
      <sheetName val="DGVCTC 285"/>
      <sheetName val="M6A-208 Steering dust"/>
      <sheetName val="JT3.0견적-구1"/>
      <sheetName val="CPKS_TK"/>
      <sheetName val="V.c noi bo"/>
      <sheetName val="Tổng kê"/>
      <sheetName val="Đơn giá-NC"/>
      <sheetName val="Đơn giá-VL-CM"/>
      <sheetName val="MD4970"/>
      <sheetName val="DGIAVLXD"/>
      <sheetName val="DM6060TBA"/>
      <sheetName val="DM6061DZ"/>
      <sheetName val="Tke"/>
      <sheetName val="Ngay"/>
      <sheetName val="NC THEO QĐ 1396 QĐ-SXD"/>
      <sheetName val="Thông tin chung"/>
      <sheetName val="CTdongia"/>
      <sheetName val="Kich thuoc mo M1-nam lay"/>
      <sheetName val="MayTC"/>
      <sheetName val="Check C"/>
      <sheetName val="CPTNo"/>
      <sheetName val="新᐀"/>
      <sheetName val="Dau vào"/>
      <sheetName val="Lương nhân công"/>
      <sheetName val="KL CHI TIET"/>
      <sheetName val="INPUT1_THONG_TIN_HD"/>
      <sheetName val="DATA_WBS"/>
      <sheetName val="B1.CN"/>
      <sheetName val="Formula_Code"/>
      <sheetName val="UnitWeight"/>
      <sheetName val="ĐBGT"/>
      <sheetName val="PTKS"/>
      <sheetName val="Quotation"/>
    </sheetNames>
    <sheetDataSet>
      <sheetData sheetId="0">
        <row r="9">
          <cell r="A9" t="str">
            <v>A</v>
          </cell>
        </row>
      </sheetData>
      <sheetData sheetId="1">
        <row r="9">
          <cell r="A9" t="str">
            <v>A</v>
          </cell>
        </row>
      </sheetData>
      <sheetData sheetId="2">
        <row r="9">
          <cell r="A9" t="str">
            <v>A</v>
          </cell>
        </row>
      </sheetData>
      <sheetData sheetId="3">
        <row r="9">
          <cell r="A9" t="str">
            <v>A</v>
          </cell>
        </row>
      </sheetData>
      <sheetData sheetId="4">
        <row r="9">
          <cell r="A9" t="str">
            <v>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row r="9">
          <cell r="A9" t="str">
            <v>A</v>
          </cell>
        </row>
      </sheetData>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ow r="9">
          <cell r="A9" t="str">
            <v>A</v>
          </cell>
        </row>
      </sheetData>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ow r="9">
          <cell r="A9" t="str">
            <v>A</v>
          </cell>
        </row>
      </sheetData>
      <sheetData sheetId="576">
        <row r="9">
          <cell r="A9" t="str">
            <v>A</v>
          </cell>
        </row>
      </sheetData>
      <sheetData sheetId="577">
        <row r="9">
          <cell r="A9" t="str">
            <v>A</v>
          </cell>
        </row>
      </sheetData>
      <sheetData sheetId="578">
        <row r="9">
          <cell r="A9" t="str">
            <v>A</v>
          </cell>
        </row>
      </sheetData>
      <sheetData sheetId="579">
        <row r="9">
          <cell r="A9" t="str">
            <v>A</v>
          </cell>
        </row>
      </sheetData>
      <sheetData sheetId="580">
        <row r="9">
          <cell r="A9" t="str">
            <v>A</v>
          </cell>
        </row>
      </sheetData>
      <sheetData sheetId="581">
        <row r="9">
          <cell r="A9" t="str">
            <v>A</v>
          </cell>
        </row>
      </sheetData>
      <sheetData sheetId="582">
        <row r="9">
          <cell r="A9" t="str">
            <v>A</v>
          </cell>
        </row>
      </sheetData>
      <sheetData sheetId="583">
        <row r="9">
          <cell r="A9" t="str">
            <v>A</v>
          </cell>
        </row>
      </sheetData>
      <sheetData sheetId="584">
        <row r="9">
          <cell r="A9" t="str">
            <v>A</v>
          </cell>
        </row>
      </sheetData>
      <sheetData sheetId="585">
        <row r="9">
          <cell r="A9" t="str">
            <v>A</v>
          </cell>
        </row>
      </sheetData>
      <sheetData sheetId="586">
        <row r="9">
          <cell r="A9" t="str">
            <v>A</v>
          </cell>
        </row>
      </sheetData>
      <sheetData sheetId="587">
        <row r="9">
          <cell r="A9" t="str">
            <v>A</v>
          </cell>
        </row>
      </sheetData>
      <sheetData sheetId="588">
        <row r="9">
          <cell r="A9" t="str">
            <v>A</v>
          </cell>
        </row>
      </sheetData>
      <sheetData sheetId="589">
        <row r="9">
          <cell r="A9" t="str">
            <v>A</v>
          </cell>
        </row>
      </sheetData>
      <sheetData sheetId="590">
        <row r="9">
          <cell r="A9" t="str">
            <v>A</v>
          </cell>
        </row>
      </sheetData>
      <sheetData sheetId="591">
        <row r="9">
          <cell r="A9" t="str">
            <v>A</v>
          </cell>
        </row>
      </sheetData>
      <sheetData sheetId="592">
        <row r="9">
          <cell r="A9" t="str">
            <v>A</v>
          </cell>
        </row>
      </sheetData>
      <sheetData sheetId="593">
        <row r="9">
          <cell r="A9" t="str">
            <v>A</v>
          </cell>
        </row>
      </sheetData>
      <sheetData sheetId="594">
        <row r="9">
          <cell r="A9" t="str">
            <v>A</v>
          </cell>
        </row>
      </sheetData>
      <sheetData sheetId="595">
        <row r="9">
          <cell r="A9" t="str">
            <v>A</v>
          </cell>
        </row>
      </sheetData>
      <sheetData sheetId="596">
        <row r="9">
          <cell r="A9" t="str">
            <v>A</v>
          </cell>
        </row>
      </sheetData>
      <sheetData sheetId="597">
        <row r="9">
          <cell r="A9" t="str">
            <v>A</v>
          </cell>
        </row>
      </sheetData>
      <sheetData sheetId="598">
        <row r="9">
          <cell r="A9" t="str">
            <v>A</v>
          </cell>
        </row>
      </sheetData>
      <sheetData sheetId="599">
        <row r="9">
          <cell r="A9" t="str">
            <v>A</v>
          </cell>
        </row>
      </sheetData>
      <sheetData sheetId="600">
        <row r="9">
          <cell r="A9" t="str">
            <v>A</v>
          </cell>
        </row>
      </sheetData>
      <sheetData sheetId="601">
        <row r="9">
          <cell r="A9" t="str">
            <v>A</v>
          </cell>
        </row>
      </sheetData>
      <sheetData sheetId="602">
        <row r="9">
          <cell r="A9" t="str">
            <v>A</v>
          </cell>
        </row>
      </sheetData>
      <sheetData sheetId="603">
        <row r="9">
          <cell r="A9" t="str">
            <v>A</v>
          </cell>
        </row>
      </sheetData>
      <sheetData sheetId="604">
        <row r="9">
          <cell r="A9" t="str">
            <v>A</v>
          </cell>
        </row>
      </sheetData>
      <sheetData sheetId="605">
        <row r="9">
          <cell r="A9" t="str">
            <v>A</v>
          </cell>
        </row>
      </sheetData>
      <sheetData sheetId="606">
        <row r="9">
          <cell r="A9" t="str">
            <v>A</v>
          </cell>
        </row>
      </sheetData>
      <sheetData sheetId="607">
        <row r="9">
          <cell r="A9" t="str">
            <v>A</v>
          </cell>
        </row>
      </sheetData>
      <sheetData sheetId="608">
        <row r="9">
          <cell r="A9" t="str">
            <v>A</v>
          </cell>
        </row>
      </sheetData>
      <sheetData sheetId="609">
        <row r="9">
          <cell r="A9" t="str">
            <v>A</v>
          </cell>
        </row>
      </sheetData>
      <sheetData sheetId="610">
        <row r="9">
          <cell r="A9" t="str">
            <v>A</v>
          </cell>
        </row>
      </sheetData>
      <sheetData sheetId="611">
        <row r="9">
          <cell r="A9" t="str">
            <v>A</v>
          </cell>
        </row>
      </sheetData>
      <sheetData sheetId="612">
        <row r="9">
          <cell r="A9" t="str">
            <v>A</v>
          </cell>
        </row>
      </sheetData>
      <sheetData sheetId="613">
        <row r="9">
          <cell r="A9" t="str">
            <v>A</v>
          </cell>
        </row>
      </sheetData>
      <sheetData sheetId="614">
        <row r="9">
          <cell r="A9" t="str">
            <v>A</v>
          </cell>
        </row>
      </sheetData>
      <sheetData sheetId="615">
        <row r="9">
          <cell r="A9" t="str">
            <v>A</v>
          </cell>
        </row>
      </sheetData>
      <sheetData sheetId="616">
        <row r="9">
          <cell r="A9" t="str">
            <v>A</v>
          </cell>
        </row>
      </sheetData>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ow r="9">
          <cell r="A9" t="str">
            <v>A</v>
          </cell>
        </row>
      </sheetData>
      <sheetData sheetId="639">
        <row r="9">
          <cell r="A9" t="str">
            <v>A</v>
          </cell>
        </row>
      </sheetData>
      <sheetData sheetId="640">
        <row r="9">
          <cell r="A9" t="str">
            <v>A</v>
          </cell>
        </row>
      </sheetData>
      <sheetData sheetId="641">
        <row r="9">
          <cell r="A9" t="str">
            <v>A</v>
          </cell>
        </row>
      </sheetData>
      <sheetData sheetId="642">
        <row r="9">
          <cell r="A9" t="str">
            <v>A</v>
          </cell>
        </row>
      </sheetData>
      <sheetData sheetId="643">
        <row r="9">
          <cell r="A9" t="str">
            <v>A</v>
          </cell>
        </row>
      </sheetData>
      <sheetData sheetId="644">
        <row r="9">
          <cell r="A9" t="str">
            <v>A</v>
          </cell>
        </row>
      </sheetData>
      <sheetData sheetId="645">
        <row r="9">
          <cell r="A9" t="str">
            <v>A</v>
          </cell>
        </row>
      </sheetData>
      <sheetData sheetId="646">
        <row r="9">
          <cell r="A9" t="str">
            <v>A</v>
          </cell>
        </row>
      </sheetData>
      <sheetData sheetId="647">
        <row r="9">
          <cell r="A9" t="str">
            <v>A</v>
          </cell>
        </row>
      </sheetData>
      <sheetData sheetId="648">
        <row r="9">
          <cell r="A9" t="str">
            <v>A</v>
          </cell>
        </row>
      </sheetData>
      <sheetData sheetId="649">
        <row r="9">
          <cell r="A9" t="str">
            <v>A</v>
          </cell>
        </row>
      </sheetData>
      <sheetData sheetId="650">
        <row r="9">
          <cell r="A9" t="str">
            <v>A</v>
          </cell>
        </row>
      </sheetData>
      <sheetData sheetId="651">
        <row r="9">
          <cell r="A9" t="str">
            <v>A</v>
          </cell>
        </row>
      </sheetData>
      <sheetData sheetId="652">
        <row r="9">
          <cell r="A9" t="str">
            <v>A</v>
          </cell>
        </row>
      </sheetData>
      <sheetData sheetId="653">
        <row r="9">
          <cell r="A9" t="str">
            <v>A</v>
          </cell>
        </row>
      </sheetData>
      <sheetData sheetId="654">
        <row r="9">
          <cell r="A9" t="str">
            <v>A</v>
          </cell>
        </row>
      </sheetData>
      <sheetData sheetId="655">
        <row r="9">
          <cell r="A9" t="str">
            <v>A</v>
          </cell>
        </row>
      </sheetData>
      <sheetData sheetId="656">
        <row r="9">
          <cell r="A9" t="str">
            <v>A</v>
          </cell>
        </row>
      </sheetData>
      <sheetData sheetId="657">
        <row r="9">
          <cell r="A9" t="str">
            <v>A</v>
          </cell>
        </row>
      </sheetData>
      <sheetData sheetId="658">
        <row r="9">
          <cell r="A9" t="str">
            <v>A</v>
          </cell>
        </row>
      </sheetData>
      <sheetData sheetId="659">
        <row r="9">
          <cell r="A9" t="str">
            <v>A</v>
          </cell>
        </row>
      </sheetData>
      <sheetData sheetId="660">
        <row r="9">
          <cell r="A9" t="str">
            <v>A</v>
          </cell>
        </row>
      </sheetData>
      <sheetData sheetId="661">
        <row r="9">
          <cell r="A9" t="str">
            <v>A</v>
          </cell>
        </row>
      </sheetData>
      <sheetData sheetId="662">
        <row r="9">
          <cell r="A9" t="str">
            <v>A</v>
          </cell>
        </row>
      </sheetData>
      <sheetData sheetId="663">
        <row r="9">
          <cell r="A9" t="str">
            <v>A</v>
          </cell>
        </row>
      </sheetData>
      <sheetData sheetId="664">
        <row r="9">
          <cell r="A9" t="str">
            <v>A</v>
          </cell>
        </row>
      </sheetData>
      <sheetData sheetId="665">
        <row r="9">
          <cell r="A9" t="str">
            <v>A</v>
          </cell>
        </row>
      </sheetData>
      <sheetData sheetId="666">
        <row r="9">
          <cell r="A9" t="str">
            <v>A</v>
          </cell>
        </row>
      </sheetData>
      <sheetData sheetId="667">
        <row r="9">
          <cell r="A9" t="str">
            <v>A</v>
          </cell>
        </row>
      </sheetData>
      <sheetData sheetId="668">
        <row r="9">
          <cell r="A9" t="str">
            <v>A</v>
          </cell>
        </row>
      </sheetData>
      <sheetData sheetId="669">
        <row r="9">
          <cell r="A9" t="str">
            <v>A</v>
          </cell>
        </row>
      </sheetData>
      <sheetData sheetId="670">
        <row r="9">
          <cell r="A9" t="str">
            <v>A</v>
          </cell>
        </row>
      </sheetData>
      <sheetData sheetId="671">
        <row r="9">
          <cell r="A9" t="str">
            <v>A</v>
          </cell>
        </row>
      </sheetData>
      <sheetData sheetId="672">
        <row r="9">
          <cell r="A9" t="str">
            <v>A</v>
          </cell>
        </row>
      </sheetData>
      <sheetData sheetId="673">
        <row r="9">
          <cell r="A9" t="str">
            <v>A</v>
          </cell>
        </row>
      </sheetData>
      <sheetData sheetId="674">
        <row r="9">
          <cell r="A9" t="str">
            <v>A</v>
          </cell>
        </row>
      </sheetData>
      <sheetData sheetId="675">
        <row r="9">
          <cell r="A9" t="str">
            <v>A</v>
          </cell>
        </row>
      </sheetData>
      <sheetData sheetId="676">
        <row r="9">
          <cell r="A9" t="str">
            <v>A</v>
          </cell>
        </row>
      </sheetData>
      <sheetData sheetId="677">
        <row r="9">
          <cell r="A9" t="str">
            <v>A</v>
          </cell>
        </row>
      </sheetData>
      <sheetData sheetId="678">
        <row r="9">
          <cell r="A9" t="str">
            <v>A</v>
          </cell>
        </row>
      </sheetData>
      <sheetData sheetId="679">
        <row r="9">
          <cell r="A9" t="str">
            <v>A</v>
          </cell>
        </row>
      </sheetData>
      <sheetData sheetId="680">
        <row r="9">
          <cell r="A9" t="str">
            <v>A</v>
          </cell>
        </row>
      </sheetData>
      <sheetData sheetId="681">
        <row r="9">
          <cell r="A9" t="str">
            <v>A</v>
          </cell>
        </row>
      </sheetData>
      <sheetData sheetId="682">
        <row r="9">
          <cell r="A9" t="str">
            <v>A</v>
          </cell>
        </row>
      </sheetData>
      <sheetData sheetId="683">
        <row r="9">
          <cell r="A9" t="str">
            <v>A</v>
          </cell>
        </row>
      </sheetData>
      <sheetData sheetId="684">
        <row r="9">
          <cell r="A9" t="str">
            <v>A</v>
          </cell>
        </row>
      </sheetData>
      <sheetData sheetId="685">
        <row r="9">
          <cell r="A9" t="str">
            <v>A</v>
          </cell>
        </row>
      </sheetData>
      <sheetData sheetId="686">
        <row r="9">
          <cell r="A9" t="str">
            <v>A</v>
          </cell>
        </row>
      </sheetData>
      <sheetData sheetId="687">
        <row r="9">
          <cell r="A9" t="str">
            <v>A</v>
          </cell>
        </row>
      </sheetData>
      <sheetData sheetId="688">
        <row r="9">
          <cell r="A9" t="str">
            <v>A</v>
          </cell>
        </row>
      </sheetData>
      <sheetData sheetId="689">
        <row r="9">
          <cell r="A9" t="str">
            <v>A</v>
          </cell>
        </row>
      </sheetData>
      <sheetData sheetId="690">
        <row r="9">
          <cell r="A9" t="str">
            <v>A</v>
          </cell>
        </row>
      </sheetData>
      <sheetData sheetId="691">
        <row r="9">
          <cell r="A9" t="str">
            <v>A</v>
          </cell>
        </row>
      </sheetData>
      <sheetData sheetId="692">
        <row r="9">
          <cell r="A9" t="str">
            <v>A</v>
          </cell>
        </row>
      </sheetData>
      <sheetData sheetId="693">
        <row r="9">
          <cell r="A9" t="str">
            <v>A</v>
          </cell>
        </row>
      </sheetData>
      <sheetData sheetId="694">
        <row r="9">
          <cell r="A9" t="str">
            <v>A</v>
          </cell>
        </row>
      </sheetData>
      <sheetData sheetId="695">
        <row r="9">
          <cell r="A9" t="str">
            <v>A</v>
          </cell>
        </row>
      </sheetData>
      <sheetData sheetId="696">
        <row r="9">
          <cell r="A9" t="str">
            <v>A</v>
          </cell>
        </row>
      </sheetData>
      <sheetData sheetId="697">
        <row r="9">
          <cell r="A9" t="str">
            <v>A</v>
          </cell>
        </row>
      </sheetData>
      <sheetData sheetId="698">
        <row r="9">
          <cell r="A9" t="str">
            <v>A</v>
          </cell>
        </row>
      </sheetData>
      <sheetData sheetId="699">
        <row r="9">
          <cell r="A9" t="str">
            <v>A</v>
          </cell>
        </row>
      </sheetData>
      <sheetData sheetId="700">
        <row r="9">
          <cell r="A9" t="str">
            <v>A</v>
          </cell>
        </row>
      </sheetData>
      <sheetData sheetId="701">
        <row r="9">
          <cell r="A9" t="str">
            <v>A</v>
          </cell>
        </row>
      </sheetData>
      <sheetData sheetId="702">
        <row r="9">
          <cell r="A9" t="str">
            <v>A</v>
          </cell>
        </row>
      </sheetData>
      <sheetData sheetId="703">
        <row r="9">
          <cell r="A9" t="str">
            <v>A</v>
          </cell>
        </row>
      </sheetData>
      <sheetData sheetId="704">
        <row r="9">
          <cell r="A9" t="str">
            <v>A</v>
          </cell>
        </row>
      </sheetData>
      <sheetData sheetId="705" refreshError="1"/>
      <sheetData sheetId="706" refreshError="1"/>
      <sheetData sheetId="707" refreshError="1"/>
      <sheetData sheetId="708" refreshError="1"/>
      <sheetData sheetId="709"/>
      <sheetData sheetId="710" refreshError="1"/>
      <sheetData sheetId="711" refreshError="1"/>
      <sheetData sheetId="712" refreshError="1"/>
      <sheetData sheetId="713" refreshError="1"/>
      <sheetData sheetId="714" refreshError="1"/>
      <sheetData sheetId="715" refreshError="1"/>
      <sheetData sheetId="716" refreshError="1"/>
      <sheetData sheetId="717">
        <row r="9">
          <cell r="A9" t="str">
            <v>A</v>
          </cell>
        </row>
      </sheetData>
      <sheetData sheetId="718" refreshError="1"/>
      <sheetData sheetId="719" refreshError="1"/>
      <sheetData sheetId="720" refreshError="1"/>
      <sheetData sheetId="721" refreshError="1"/>
      <sheetData sheetId="722" refreshError="1"/>
      <sheetData sheetId="723">
        <row r="9">
          <cell r="A9" t="str">
            <v>A</v>
          </cell>
        </row>
      </sheetData>
      <sheetData sheetId="724">
        <row r="9">
          <cell r="A9" t="str">
            <v>A</v>
          </cell>
        </row>
      </sheetData>
      <sheetData sheetId="725" refreshError="1"/>
      <sheetData sheetId="726" refreshError="1"/>
      <sheetData sheetId="727" refreshError="1"/>
      <sheetData sheetId="728" refreshError="1"/>
      <sheetData sheetId="729" refreshError="1"/>
      <sheetData sheetId="730" refreshError="1"/>
      <sheetData sheetId="731">
        <row r="9">
          <cell r="A9" t="str">
            <v>A</v>
          </cell>
        </row>
      </sheetData>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ow r="9">
          <cell r="A9" t="str">
            <v>A</v>
          </cell>
        </row>
      </sheetData>
      <sheetData sheetId="748" refreshError="1"/>
      <sheetData sheetId="749" refreshError="1"/>
      <sheetData sheetId="750">
        <row r="9">
          <cell r="A9" t="str">
            <v>A</v>
          </cell>
        </row>
      </sheetData>
      <sheetData sheetId="751">
        <row r="9">
          <cell r="A9" t="str">
            <v>A</v>
          </cell>
        </row>
      </sheetData>
      <sheetData sheetId="752" refreshError="1"/>
      <sheetData sheetId="753" refreshError="1"/>
      <sheetData sheetId="754" refreshError="1"/>
      <sheetData sheetId="755" refreshError="1"/>
      <sheetData sheetId="756" refreshError="1"/>
      <sheetData sheetId="757">
        <row r="9">
          <cell r="A9" t="str">
            <v>A</v>
          </cell>
        </row>
      </sheetData>
      <sheetData sheetId="758">
        <row r="9">
          <cell r="A9" t="str">
            <v>A</v>
          </cell>
        </row>
      </sheetData>
      <sheetData sheetId="759">
        <row r="9">
          <cell r="A9" t="str">
            <v>A</v>
          </cell>
        </row>
      </sheetData>
      <sheetData sheetId="760">
        <row r="9">
          <cell r="A9" t="str">
            <v>A</v>
          </cell>
        </row>
      </sheetData>
      <sheetData sheetId="761">
        <row r="9">
          <cell r="A9" t="str">
            <v>A</v>
          </cell>
        </row>
      </sheetData>
      <sheetData sheetId="762">
        <row r="9">
          <cell r="A9" t="str">
            <v>A</v>
          </cell>
        </row>
      </sheetData>
      <sheetData sheetId="763">
        <row r="9">
          <cell r="A9" t="str">
            <v>A</v>
          </cell>
        </row>
      </sheetData>
      <sheetData sheetId="764">
        <row r="9">
          <cell r="A9" t="str">
            <v>A</v>
          </cell>
        </row>
      </sheetData>
      <sheetData sheetId="765">
        <row r="9">
          <cell r="A9" t="str">
            <v>A</v>
          </cell>
        </row>
      </sheetData>
      <sheetData sheetId="766">
        <row r="9">
          <cell r="A9" t="str">
            <v>A</v>
          </cell>
        </row>
      </sheetData>
      <sheetData sheetId="767">
        <row r="9">
          <cell r="A9" t="str">
            <v>A</v>
          </cell>
        </row>
      </sheetData>
      <sheetData sheetId="768">
        <row r="9">
          <cell r="A9" t="str">
            <v>A</v>
          </cell>
        </row>
      </sheetData>
      <sheetData sheetId="769">
        <row r="9">
          <cell r="A9" t="str">
            <v>A</v>
          </cell>
        </row>
      </sheetData>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row r="9">
          <cell r="A9" t="str">
            <v>A</v>
          </cell>
        </row>
      </sheetData>
      <sheetData sheetId="776">
        <row r="9">
          <cell r="A9" t="str">
            <v>A</v>
          </cell>
        </row>
      </sheetData>
      <sheetData sheetId="777">
        <row r="9">
          <cell r="A9" t="str">
            <v>A</v>
          </cell>
        </row>
      </sheetData>
      <sheetData sheetId="778">
        <row r="9">
          <cell r="A9" t="str">
            <v>A</v>
          </cell>
        </row>
      </sheetData>
      <sheetData sheetId="779">
        <row r="9">
          <cell r="A9" t="str">
            <v>A</v>
          </cell>
        </row>
      </sheetData>
      <sheetData sheetId="780">
        <row r="9">
          <cell r="A9" t="str">
            <v>A</v>
          </cell>
        </row>
      </sheetData>
      <sheetData sheetId="781">
        <row r="9">
          <cell r="A9" t="str">
            <v>A</v>
          </cell>
        </row>
      </sheetData>
      <sheetData sheetId="782">
        <row r="9">
          <cell r="A9" t="str">
            <v>A</v>
          </cell>
        </row>
      </sheetData>
      <sheetData sheetId="783">
        <row r="9">
          <cell r="A9" t="str">
            <v>A</v>
          </cell>
        </row>
      </sheetData>
      <sheetData sheetId="784">
        <row r="9">
          <cell r="A9" t="str">
            <v>A</v>
          </cell>
        </row>
      </sheetData>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ow r="9">
          <cell r="A9" t="str">
            <v>A</v>
          </cell>
        </row>
      </sheetData>
      <sheetData sheetId="831">
        <row r="9">
          <cell r="A9" t="str">
            <v>A</v>
          </cell>
        </row>
      </sheetData>
      <sheetData sheetId="832">
        <row r="9">
          <cell r="A9" t="str">
            <v>A</v>
          </cell>
        </row>
      </sheetData>
      <sheetData sheetId="833">
        <row r="9">
          <cell r="A9" t="str">
            <v>A</v>
          </cell>
        </row>
      </sheetData>
      <sheetData sheetId="834">
        <row r="9">
          <cell r="A9" t="str">
            <v>A</v>
          </cell>
        </row>
      </sheetData>
      <sheetData sheetId="835">
        <row r="9">
          <cell r="A9" t="str">
            <v>A</v>
          </cell>
        </row>
      </sheetData>
      <sheetData sheetId="836">
        <row r="9">
          <cell r="A9" t="str">
            <v>A</v>
          </cell>
        </row>
      </sheetData>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ow r="9">
          <cell r="A9" t="str">
            <v>A</v>
          </cell>
        </row>
      </sheetData>
      <sheetData sheetId="859">
        <row r="9">
          <cell r="A9" t="str">
            <v>A</v>
          </cell>
        </row>
      </sheetData>
      <sheetData sheetId="860">
        <row r="9">
          <cell r="A9" t="str">
            <v>A</v>
          </cell>
        </row>
      </sheetData>
      <sheetData sheetId="861">
        <row r="9">
          <cell r="A9" t="str">
            <v>A</v>
          </cell>
        </row>
      </sheetData>
      <sheetData sheetId="862">
        <row r="9">
          <cell r="A9" t="str">
            <v>A</v>
          </cell>
        </row>
      </sheetData>
      <sheetData sheetId="863">
        <row r="9">
          <cell r="A9" t="str">
            <v>A</v>
          </cell>
        </row>
      </sheetData>
      <sheetData sheetId="864">
        <row r="9">
          <cell r="A9" t="str">
            <v>A</v>
          </cell>
        </row>
      </sheetData>
      <sheetData sheetId="865">
        <row r="9">
          <cell r="A9" t="str">
            <v>A</v>
          </cell>
        </row>
      </sheetData>
      <sheetData sheetId="866">
        <row r="9">
          <cell r="A9" t="str">
            <v>A</v>
          </cell>
        </row>
      </sheetData>
      <sheetData sheetId="867">
        <row r="9">
          <cell r="A9" t="str">
            <v>A</v>
          </cell>
        </row>
      </sheetData>
      <sheetData sheetId="868">
        <row r="9">
          <cell r="A9" t="str">
            <v>A</v>
          </cell>
        </row>
      </sheetData>
      <sheetData sheetId="869">
        <row r="9">
          <cell r="A9" t="str">
            <v>A</v>
          </cell>
        </row>
      </sheetData>
      <sheetData sheetId="870">
        <row r="9">
          <cell r="A9" t="str">
            <v>A</v>
          </cell>
        </row>
      </sheetData>
      <sheetData sheetId="871">
        <row r="9">
          <cell r="A9" t="str">
            <v>A</v>
          </cell>
        </row>
      </sheetData>
      <sheetData sheetId="872">
        <row r="9">
          <cell r="A9" t="str">
            <v>A</v>
          </cell>
        </row>
      </sheetData>
      <sheetData sheetId="873"/>
      <sheetData sheetId="874"/>
      <sheetData sheetId="875"/>
      <sheetData sheetId="876"/>
      <sheetData sheetId="877"/>
      <sheetData sheetId="878"/>
      <sheetData sheetId="879"/>
      <sheetData sheetId="880" refreshError="1"/>
      <sheetData sheetId="881" refreshError="1"/>
      <sheetData sheetId="882" refreshError="1"/>
      <sheetData sheetId="883" refreshError="1"/>
      <sheetData sheetId="884" refreshError="1"/>
      <sheetData sheetId="885" refreshError="1"/>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row r="9">
          <cell r="A9" t="str">
            <v>A</v>
          </cell>
        </row>
      </sheetData>
      <sheetData sheetId="896">
        <row r="9">
          <cell r="A9" t="str">
            <v>A</v>
          </cell>
        </row>
      </sheetData>
      <sheetData sheetId="897">
        <row r="9">
          <cell r="A9" t="str">
            <v>A</v>
          </cell>
        </row>
      </sheetData>
      <sheetData sheetId="898">
        <row r="9">
          <cell r="A9" t="str">
            <v>A</v>
          </cell>
        </row>
      </sheetData>
      <sheetData sheetId="899">
        <row r="9">
          <cell r="A9" t="str">
            <v>A</v>
          </cell>
        </row>
      </sheetData>
      <sheetData sheetId="900">
        <row r="9">
          <cell r="A9" t="str">
            <v>A</v>
          </cell>
        </row>
      </sheetData>
      <sheetData sheetId="901">
        <row r="9">
          <cell r="A9" t="str">
            <v>A</v>
          </cell>
        </row>
      </sheetData>
      <sheetData sheetId="902">
        <row r="9">
          <cell r="A9" t="str">
            <v>A</v>
          </cell>
        </row>
      </sheetData>
      <sheetData sheetId="903">
        <row r="9">
          <cell r="A9" t="str">
            <v>A</v>
          </cell>
        </row>
      </sheetData>
      <sheetData sheetId="904">
        <row r="9">
          <cell r="A9" t="str">
            <v>A</v>
          </cell>
        </row>
      </sheetData>
      <sheetData sheetId="905">
        <row r="9">
          <cell r="A9" t="str">
            <v>A</v>
          </cell>
        </row>
      </sheetData>
      <sheetData sheetId="906">
        <row r="9">
          <cell r="A9" t="str">
            <v>A</v>
          </cell>
        </row>
      </sheetData>
      <sheetData sheetId="907">
        <row r="9">
          <cell r="A9" t="str">
            <v>A</v>
          </cell>
        </row>
      </sheetData>
      <sheetData sheetId="908">
        <row r="9">
          <cell r="A9" t="str">
            <v>A</v>
          </cell>
        </row>
      </sheetData>
      <sheetData sheetId="909">
        <row r="9">
          <cell r="A9" t="str">
            <v>A</v>
          </cell>
        </row>
      </sheetData>
      <sheetData sheetId="910">
        <row r="9">
          <cell r="A9" t="str">
            <v>A</v>
          </cell>
        </row>
      </sheetData>
      <sheetData sheetId="911">
        <row r="9">
          <cell r="A9" t="str">
            <v>A</v>
          </cell>
        </row>
      </sheetData>
      <sheetData sheetId="912">
        <row r="9">
          <cell r="A9" t="str">
            <v>A</v>
          </cell>
        </row>
      </sheetData>
      <sheetData sheetId="913">
        <row r="9">
          <cell r="A9" t="str">
            <v>A</v>
          </cell>
        </row>
      </sheetData>
      <sheetData sheetId="914">
        <row r="9">
          <cell r="A9" t="str">
            <v>A</v>
          </cell>
        </row>
      </sheetData>
      <sheetData sheetId="915">
        <row r="9">
          <cell r="A9" t="str">
            <v>A</v>
          </cell>
        </row>
      </sheetData>
      <sheetData sheetId="916">
        <row r="9">
          <cell r="A9" t="str">
            <v>A</v>
          </cell>
        </row>
      </sheetData>
      <sheetData sheetId="917">
        <row r="9">
          <cell r="A9" t="str">
            <v>A</v>
          </cell>
        </row>
      </sheetData>
      <sheetData sheetId="918">
        <row r="9">
          <cell r="A9" t="str">
            <v>A</v>
          </cell>
        </row>
      </sheetData>
      <sheetData sheetId="919">
        <row r="9">
          <cell r="A9" t="str">
            <v>A</v>
          </cell>
        </row>
      </sheetData>
      <sheetData sheetId="920">
        <row r="9">
          <cell r="A9" t="str">
            <v>A</v>
          </cell>
        </row>
      </sheetData>
      <sheetData sheetId="921">
        <row r="9">
          <cell r="A9" t="str">
            <v>A</v>
          </cell>
        </row>
      </sheetData>
      <sheetData sheetId="922">
        <row r="9">
          <cell r="A9" t="str">
            <v>A</v>
          </cell>
        </row>
      </sheetData>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row r="9">
          <cell r="A9" t="str">
            <v>A</v>
          </cell>
        </row>
      </sheetData>
      <sheetData sheetId="936">
        <row r="9">
          <cell r="A9" t="str">
            <v>A</v>
          </cell>
        </row>
      </sheetData>
      <sheetData sheetId="937">
        <row r="9">
          <cell r="A9" t="str">
            <v>A</v>
          </cell>
        </row>
      </sheetData>
      <sheetData sheetId="938">
        <row r="9">
          <cell r="A9" t="str">
            <v>A</v>
          </cell>
        </row>
      </sheetData>
      <sheetData sheetId="939">
        <row r="9">
          <cell r="A9" t="str">
            <v>A</v>
          </cell>
        </row>
      </sheetData>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ow r="9">
          <cell r="A9" t="str">
            <v>A</v>
          </cell>
        </row>
      </sheetData>
      <sheetData sheetId="946">
        <row r="9">
          <cell r="A9" t="str">
            <v>A</v>
          </cell>
        </row>
      </sheetData>
      <sheetData sheetId="947">
        <row r="9">
          <cell r="A9" t="str">
            <v>A</v>
          </cell>
        </row>
      </sheetData>
      <sheetData sheetId="948">
        <row r="9">
          <cell r="A9" t="str">
            <v>A</v>
          </cell>
        </row>
      </sheetData>
      <sheetData sheetId="949">
        <row r="9">
          <cell r="A9" t="str">
            <v>A</v>
          </cell>
        </row>
      </sheetData>
      <sheetData sheetId="950">
        <row r="9">
          <cell r="A9" t="str">
            <v>A</v>
          </cell>
        </row>
      </sheetData>
      <sheetData sheetId="951">
        <row r="9">
          <cell r="A9" t="str">
            <v>A</v>
          </cell>
        </row>
      </sheetData>
      <sheetData sheetId="952">
        <row r="9">
          <cell r="A9" t="str">
            <v>A</v>
          </cell>
        </row>
      </sheetData>
      <sheetData sheetId="953">
        <row r="9">
          <cell r="A9" t="str">
            <v>A</v>
          </cell>
        </row>
      </sheetData>
      <sheetData sheetId="954">
        <row r="9">
          <cell r="A9" t="str">
            <v>A</v>
          </cell>
        </row>
      </sheetData>
      <sheetData sheetId="955">
        <row r="9">
          <cell r="A9" t="str">
            <v>A</v>
          </cell>
        </row>
      </sheetData>
      <sheetData sheetId="956">
        <row r="9">
          <cell r="A9" t="str">
            <v>A</v>
          </cell>
        </row>
      </sheetData>
      <sheetData sheetId="957">
        <row r="9">
          <cell r="A9" t="str">
            <v>A</v>
          </cell>
        </row>
      </sheetData>
      <sheetData sheetId="958">
        <row r="9">
          <cell r="A9" t="str">
            <v>A</v>
          </cell>
        </row>
      </sheetData>
      <sheetData sheetId="959">
        <row r="9">
          <cell r="A9" t="str">
            <v>A</v>
          </cell>
        </row>
      </sheetData>
      <sheetData sheetId="960">
        <row r="9">
          <cell r="A9" t="str">
            <v>A</v>
          </cell>
        </row>
      </sheetData>
      <sheetData sheetId="961">
        <row r="9">
          <cell r="A9" t="str">
            <v>A</v>
          </cell>
        </row>
      </sheetData>
      <sheetData sheetId="962">
        <row r="9">
          <cell r="A9" t="str">
            <v>A</v>
          </cell>
        </row>
      </sheetData>
      <sheetData sheetId="963">
        <row r="9">
          <cell r="A9" t="str">
            <v>A</v>
          </cell>
        </row>
      </sheetData>
      <sheetData sheetId="964">
        <row r="9">
          <cell r="A9" t="str">
            <v>A</v>
          </cell>
        </row>
      </sheetData>
      <sheetData sheetId="965">
        <row r="9">
          <cell r="A9" t="str">
            <v>A</v>
          </cell>
        </row>
      </sheetData>
      <sheetData sheetId="966">
        <row r="9">
          <cell r="A9" t="str">
            <v>A</v>
          </cell>
        </row>
      </sheetData>
      <sheetData sheetId="967">
        <row r="9">
          <cell r="A9" t="str">
            <v>A</v>
          </cell>
        </row>
      </sheetData>
      <sheetData sheetId="968">
        <row r="9">
          <cell r="A9" t="str">
            <v>A</v>
          </cell>
        </row>
      </sheetData>
      <sheetData sheetId="969">
        <row r="9">
          <cell r="A9" t="str">
            <v>A</v>
          </cell>
        </row>
      </sheetData>
      <sheetData sheetId="970">
        <row r="9">
          <cell r="A9" t="str">
            <v>A</v>
          </cell>
        </row>
      </sheetData>
      <sheetData sheetId="971">
        <row r="9">
          <cell r="A9" t="str">
            <v>A</v>
          </cell>
        </row>
      </sheetData>
      <sheetData sheetId="972">
        <row r="9">
          <cell r="A9" t="str">
            <v>A</v>
          </cell>
        </row>
      </sheetData>
      <sheetData sheetId="973">
        <row r="9">
          <cell r="A9" t="str">
            <v>A</v>
          </cell>
        </row>
      </sheetData>
      <sheetData sheetId="974">
        <row r="9">
          <cell r="A9" t="str">
            <v>A</v>
          </cell>
        </row>
      </sheetData>
      <sheetData sheetId="975">
        <row r="9">
          <cell r="A9" t="str">
            <v>A</v>
          </cell>
        </row>
      </sheetData>
      <sheetData sheetId="976">
        <row r="9">
          <cell r="A9" t="str">
            <v>A</v>
          </cell>
        </row>
      </sheetData>
      <sheetData sheetId="977">
        <row r="9">
          <cell r="A9" t="str">
            <v>A</v>
          </cell>
        </row>
      </sheetData>
      <sheetData sheetId="978">
        <row r="9">
          <cell r="A9" t="str">
            <v>A</v>
          </cell>
        </row>
      </sheetData>
      <sheetData sheetId="979">
        <row r="9">
          <cell r="A9" t="str">
            <v>A</v>
          </cell>
        </row>
      </sheetData>
      <sheetData sheetId="980">
        <row r="9">
          <cell r="A9" t="str">
            <v>A</v>
          </cell>
        </row>
      </sheetData>
      <sheetData sheetId="981">
        <row r="9">
          <cell r="A9" t="str">
            <v>A</v>
          </cell>
        </row>
      </sheetData>
      <sheetData sheetId="982">
        <row r="9">
          <cell r="A9" t="str">
            <v>A</v>
          </cell>
        </row>
      </sheetData>
      <sheetData sheetId="983">
        <row r="9">
          <cell r="A9" t="str">
            <v>A</v>
          </cell>
        </row>
      </sheetData>
      <sheetData sheetId="984">
        <row r="9">
          <cell r="A9" t="str">
            <v>A</v>
          </cell>
        </row>
      </sheetData>
      <sheetData sheetId="985">
        <row r="9">
          <cell r="A9" t="str">
            <v>A</v>
          </cell>
        </row>
      </sheetData>
      <sheetData sheetId="986">
        <row r="9">
          <cell r="A9" t="str">
            <v>A</v>
          </cell>
        </row>
      </sheetData>
      <sheetData sheetId="987">
        <row r="9">
          <cell r="A9" t="str">
            <v>A</v>
          </cell>
        </row>
      </sheetData>
      <sheetData sheetId="988">
        <row r="9">
          <cell r="A9" t="str">
            <v>A</v>
          </cell>
        </row>
      </sheetData>
      <sheetData sheetId="989">
        <row r="9">
          <cell r="A9" t="str">
            <v>A</v>
          </cell>
        </row>
      </sheetData>
      <sheetData sheetId="990">
        <row r="9">
          <cell r="A9" t="str">
            <v>A</v>
          </cell>
        </row>
      </sheetData>
      <sheetData sheetId="991">
        <row r="9">
          <cell r="A9" t="str">
            <v>A</v>
          </cell>
        </row>
      </sheetData>
      <sheetData sheetId="992">
        <row r="9">
          <cell r="A9" t="str">
            <v>A</v>
          </cell>
        </row>
      </sheetData>
      <sheetData sheetId="993">
        <row r="9">
          <cell r="A9" t="str">
            <v>A</v>
          </cell>
        </row>
      </sheetData>
      <sheetData sheetId="994">
        <row r="9">
          <cell r="A9" t="str">
            <v>A</v>
          </cell>
        </row>
      </sheetData>
      <sheetData sheetId="995">
        <row r="9">
          <cell r="A9" t="str">
            <v>A</v>
          </cell>
        </row>
      </sheetData>
      <sheetData sheetId="996">
        <row r="9">
          <cell r="A9" t="str">
            <v>A</v>
          </cell>
        </row>
      </sheetData>
      <sheetData sheetId="997">
        <row r="9">
          <cell r="A9" t="str">
            <v>A</v>
          </cell>
        </row>
      </sheetData>
      <sheetData sheetId="998">
        <row r="9">
          <cell r="A9" t="str">
            <v>A</v>
          </cell>
        </row>
      </sheetData>
      <sheetData sheetId="999">
        <row r="9">
          <cell r="A9" t="str">
            <v>A</v>
          </cell>
        </row>
      </sheetData>
      <sheetData sheetId="1000">
        <row r="9">
          <cell r="A9" t="str">
            <v>A</v>
          </cell>
        </row>
      </sheetData>
      <sheetData sheetId="1001">
        <row r="9">
          <cell r="A9" t="str">
            <v>A</v>
          </cell>
        </row>
      </sheetData>
      <sheetData sheetId="1002">
        <row r="9">
          <cell r="A9" t="str">
            <v>A</v>
          </cell>
        </row>
      </sheetData>
      <sheetData sheetId="1003">
        <row r="9">
          <cell r="A9" t="str">
            <v>A</v>
          </cell>
        </row>
      </sheetData>
      <sheetData sheetId="1004">
        <row r="9">
          <cell r="A9" t="str">
            <v>A</v>
          </cell>
        </row>
      </sheetData>
      <sheetData sheetId="1005">
        <row r="9">
          <cell r="A9" t="str">
            <v>A</v>
          </cell>
        </row>
      </sheetData>
      <sheetData sheetId="1006">
        <row r="9">
          <cell r="A9" t="str">
            <v>A</v>
          </cell>
        </row>
      </sheetData>
      <sheetData sheetId="1007">
        <row r="9">
          <cell r="A9" t="str">
            <v>A</v>
          </cell>
        </row>
      </sheetData>
      <sheetData sheetId="1008">
        <row r="9">
          <cell r="A9" t="str">
            <v>A</v>
          </cell>
        </row>
      </sheetData>
      <sheetData sheetId="1009">
        <row r="9">
          <cell r="A9" t="str">
            <v>A</v>
          </cell>
        </row>
      </sheetData>
      <sheetData sheetId="1010">
        <row r="9">
          <cell r="A9" t="str">
            <v>A</v>
          </cell>
        </row>
      </sheetData>
      <sheetData sheetId="1011">
        <row r="9">
          <cell r="A9" t="str">
            <v>A</v>
          </cell>
        </row>
      </sheetData>
      <sheetData sheetId="1012">
        <row r="9">
          <cell r="A9" t="str">
            <v>A</v>
          </cell>
        </row>
      </sheetData>
      <sheetData sheetId="1013">
        <row r="9">
          <cell r="A9" t="str">
            <v>A</v>
          </cell>
        </row>
      </sheetData>
      <sheetData sheetId="1014">
        <row r="9">
          <cell r="A9" t="str">
            <v>A</v>
          </cell>
        </row>
      </sheetData>
      <sheetData sheetId="1015">
        <row r="9">
          <cell r="A9" t="str">
            <v>A</v>
          </cell>
        </row>
      </sheetData>
      <sheetData sheetId="1016">
        <row r="9">
          <cell r="A9" t="str">
            <v>A</v>
          </cell>
        </row>
      </sheetData>
      <sheetData sheetId="1017">
        <row r="9">
          <cell r="A9" t="str">
            <v>A</v>
          </cell>
        </row>
      </sheetData>
      <sheetData sheetId="1018">
        <row r="9">
          <cell r="A9" t="str">
            <v>A</v>
          </cell>
        </row>
      </sheetData>
      <sheetData sheetId="1019">
        <row r="9">
          <cell r="A9" t="str">
            <v>A</v>
          </cell>
        </row>
      </sheetData>
      <sheetData sheetId="1020">
        <row r="9">
          <cell r="A9" t="str">
            <v>A</v>
          </cell>
        </row>
      </sheetData>
      <sheetData sheetId="1021">
        <row r="9">
          <cell r="A9" t="str">
            <v>A</v>
          </cell>
        </row>
      </sheetData>
      <sheetData sheetId="1022">
        <row r="9">
          <cell r="A9" t="str">
            <v>A</v>
          </cell>
        </row>
      </sheetData>
      <sheetData sheetId="1023">
        <row r="9">
          <cell r="A9" t="str">
            <v>A</v>
          </cell>
        </row>
      </sheetData>
      <sheetData sheetId="1024">
        <row r="9">
          <cell r="A9" t="str">
            <v>A</v>
          </cell>
        </row>
      </sheetData>
      <sheetData sheetId="1025">
        <row r="9">
          <cell r="A9" t="str">
            <v>A</v>
          </cell>
        </row>
      </sheetData>
      <sheetData sheetId="1026">
        <row r="9">
          <cell r="A9" t="str">
            <v>A</v>
          </cell>
        </row>
      </sheetData>
      <sheetData sheetId="1027">
        <row r="9">
          <cell r="A9" t="str">
            <v>A</v>
          </cell>
        </row>
      </sheetData>
      <sheetData sheetId="1028">
        <row r="9">
          <cell r="A9" t="str">
            <v>A</v>
          </cell>
        </row>
      </sheetData>
      <sheetData sheetId="1029">
        <row r="9">
          <cell r="A9" t="str">
            <v>A</v>
          </cell>
        </row>
      </sheetData>
      <sheetData sheetId="1030">
        <row r="9">
          <cell r="A9" t="str">
            <v>A</v>
          </cell>
        </row>
      </sheetData>
      <sheetData sheetId="1031">
        <row r="9">
          <cell r="A9" t="str">
            <v>A</v>
          </cell>
        </row>
      </sheetData>
      <sheetData sheetId="1032">
        <row r="9">
          <cell r="A9" t="str">
            <v>A</v>
          </cell>
        </row>
      </sheetData>
      <sheetData sheetId="1033">
        <row r="9">
          <cell r="A9" t="str">
            <v>A</v>
          </cell>
        </row>
      </sheetData>
      <sheetData sheetId="1034">
        <row r="9">
          <cell r="A9" t="str">
            <v>A</v>
          </cell>
        </row>
      </sheetData>
      <sheetData sheetId="1035">
        <row r="9">
          <cell r="A9" t="str">
            <v>A</v>
          </cell>
        </row>
      </sheetData>
      <sheetData sheetId="1036">
        <row r="9">
          <cell r="A9" t="str">
            <v>A</v>
          </cell>
        </row>
      </sheetData>
      <sheetData sheetId="1037">
        <row r="9">
          <cell r="A9" t="str">
            <v>A</v>
          </cell>
        </row>
      </sheetData>
      <sheetData sheetId="1038">
        <row r="9">
          <cell r="A9" t="str">
            <v>A</v>
          </cell>
        </row>
      </sheetData>
      <sheetData sheetId="1039">
        <row r="9">
          <cell r="A9" t="str">
            <v>A</v>
          </cell>
        </row>
      </sheetData>
      <sheetData sheetId="1040">
        <row r="9">
          <cell r="A9" t="str">
            <v>A</v>
          </cell>
        </row>
      </sheetData>
      <sheetData sheetId="1041">
        <row r="9">
          <cell r="A9" t="str">
            <v>A</v>
          </cell>
        </row>
      </sheetData>
      <sheetData sheetId="1042">
        <row r="9">
          <cell r="A9" t="str">
            <v>A</v>
          </cell>
        </row>
      </sheetData>
      <sheetData sheetId="1043">
        <row r="9">
          <cell r="A9" t="str">
            <v>A</v>
          </cell>
        </row>
      </sheetData>
      <sheetData sheetId="1044">
        <row r="9">
          <cell r="A9" t="str">
            <v>A</v>
          </cell>
        </row>
      </sheetData>
      <sheetData sheetId="1045">
        <row r="9">
          <cell r="A9" t="str">
            <v>A</v>
          </cell>
        </row>
      </sheetData>
      <sheetData sheetId="1046">
        <row r="9">
          <cell r="A9" t="str">
            <v>A</v>
          </cell>
        </row>
      </sheetData>
      <sheetData sheetId="1047">
        <row r="9">
          <cell r="A9" t="str">
            <v>A</v>
          </cell>
        </row>
      </sheetData>
      <sheetData sheetId="1048">
        <row r="9">
          <cell r="A9" t="str">
            <v>A</v>
          </cell>
        </row>
      </sheetData>
      <sheetData sheetId="1049">
        <row r="9">
          <cell r="A9" t="str">
            <v>A</v>
          </cell>
        </row>
      </sheetData>
      <sheetData sheetId="1050">
        <row r="9">
          <cell r="A9" t="str">
            <v>A</v>
          </cell>
        </row>
      </sheetData>
      <sheetData sheetId="1051">
        <row r="9">
          <cell r="A9" t="str">
            <v>A</v>
          </cell>
        </row>
      </sheetData>
      <sheetData sheetId="1052">
        <row r="9">
          <cell r="A9" t="str">
            <v>A</v>
          </cell>
        </row>
      </sheetData>
      <sheetData sheetId="1053">
        <row r="9">
          <cell r="A9" t="str">
            <v>A</v>
          </cell>
        </row>
      </sheetData>
      <sheetData sheetId="1054">
        <row r="9">
          <cell r="A9" t="str">
            <v>A</v>
          </cell>
        </row>
      </sheetData>
      <sheetData sheetId="1055">
        <row r="9">
          <cell r="A9" t="str">
            <v>A</v>
          </cell>
        </row>
      </sheetData>
      <sheetData sheetId="1056">
        <row r="9">
          <cell r="A9" t="str">
            <v>A</v>
          </cell>
        </row>
      </sheetData>
      <sheetData sheetId="1057">
        <row r="9">
          <cell r="A9" t="str">
            <v>A</v>
          </cell>
        </row>
      </sheetData>
      <sheetData sheetId="1058">
        <row r="9">
          <cell r="A9" t="str">
            <v>A</v>
          </cell>
        </row>
      </sheetData>
      <sheetData sheetId="1059">
        <row r="9">
          <cell r="A9" t="str">
            <v>A</v>
          </cell>
        </row>
      </sheetData>
      <sheetData sheetId="1060">
        <row r="9">
          <cell r="A9" t="str">
            <v>A</v>
          </cell>
        </row>
      </sheetData>
      <sheetData sheetId="1061">
        <row r="9">
          <cell r="A9" t="str">
            <v>A</v>
          </cell>
        </row>
      </sheetData>
      <sheetData sheetId="1062">
        <row r="9">
          <cell r="A9" t="str">
            <v>A</v>
          </cell>
        </row>
      </sheetData>
      <sheetData sheetId="1063">
        <row r="9">
          <cell r="A9" t="str">
            <v>A</v>
          </cell>
        </row>
      </sheetData>
      <sheetData sheetId="1064">
        <row r="9">
          <cell r="A9" t="str">
            <v>A</v>
          </cell>
        </row>
      </sheetData>
      <sheetData sheetId="1065">
        <row r="9">
          <cell r="A9" t="str">
            <v>A</v>
          </cell>
        </row>
      </sheetData>
      <sheetData sheetId="1066">
        <row r="9">
          <cell r="A9" t="str">
            <v>A</v>
          </cell>
        </row>
      </sheetData>
      <sheetData sheetId="1067">
        <row r="9">
          <cell r="A9" t="str">
            <v>A</v>
          </cell>
        </row>
      </sheetData>
      <sheetData sheetId="1068">
        <row r="9">
          <cell r="A9" t="str">
            <v>A</v>
          </cell>
        </row>
      </sheetData>
      <sheetData sheetId="1069">
        <row r="9">
          <cell r="A9" t="str">
            <v>A</v>
          </cell>
        </row>
      </sheetData>
      <sheetData sheetId="1070">
        <row r="9">
          <cell r="A9" t="str">
            <v>A</v>
          </cell>
        </row>
      </sheetData>
      <sheetData sheetId="1071">
        <row r="9">
          <cell r="A9" t="str">
            <v>A</v>
          </cell>
        </row>
      </sheetData>
      <sheetData sheetId="1072">
        <row r="9">
          <cell r="A9" t="str">
            <v>A</v>
          </cell>
        </row>
      </sheetData>
      <sheetData sheetId="1073">
        <row r="9">
          <cell r="A9" t="str">
            <v>A</v>
          </cell>
        </row>
      </sheetData>
      <sheetData sheetId="1074">
        <row r="9">
          <cell r="A9" t="str">
            <v>A</v>
          </cell>
        </row>
      </sheetData>
      <sheetData sheetId="1075">
        <row r="9">
          <cell r="A9" t="str">
            <v>A</v>
          </cell>
        </row>
      </sheetData>
      <sheetData sheetId="1076">
        <row r="9">
          <cell r="A9" t="str">
            <v>A</v>
          </cell>
        </row>
      </sheetData>
      <sheetData sheetId="1077">
        <row r="9">
          <cell r="A9" t="str">
            <v>A</v>
          </cell>
        </row>
      </sheetData>
      <sheetData sheetId="1078">
        <row r="9">
          <cell r="A9" t="str">
            <v>A</v>
          </cell>
        </row>
      </sheetData>
      <sheetData sheetId="1079">
        <row r="9">
          <cell r="A9" t="str">
            <v>A</v>
          </cell>
        </row>
      </sheetData>
      <sheetData sheetId="1080">
        <row r="9">
          <cell r="A9" t="str">
            <v>A</v>
          </cell>
        </row>
      </sheetData>
      <sheetData sheetId="1081">
        <row r="9">
          <cell r="A9" t="str">
            <v>A</v>
          </cell>
        </row>
      </sheetData>
      <sheetData sheetId="1082">
        <row r="9">
          <cell r="A9" t="str">
            <v>A</v>
          </cell>
        </row>
      </sheetData>
      <sheetData sheetId="1083">
        <row r="9">
          <cell r="A9" t="str">
            <v>A</v>
          </cell>
        </row>
      </sheetData>
      <sheetData sheetId="1084">
        <row r="9">
          <cell r="A9" t="str">
            <v>A</v>
          </cell>
        </row>
      </sheetData>
      <sheetData sheetId="1085">
        <row r="9">
          <cell r="A9" t="str">
            <v>A</v>
          </cell>
        </row>
      </sheetData>
      <sheetData sheetId="1086">
        <row r="9">
          <cell r="A9" t="str">
            <v>A</v>
          </cell>
        </row>
      </sheetData>
      <sheetData sheetId="1087">
        <row r="9">
          <cell r="A9" t="str">
            <v>A</v>
          </cell>
        </row>
      </sheetData>
      <sheetData sheetId="1088">
        <row r="9">
          <cell r="A9" t="str">
            <v>A</v>
          </cell>
        </row>
      </sheetData>
      <sheetData sheetId="1089">
        <row r="9">
          <cell r="A9" t="str">
            <v>A</v>
          </cell>
        </row>
      </sheetData>
      <sheetData sheetId="1090">
        <row r="9">
          <cell r="A9" t="str">
            <v>A</v>
          </cell>
        </row>
      </sheetData>
      <sheetData sheetId="1091">
        <row r="9">
          <cell r="A9" t="str">
            <v>A</v>
          </cell>
        </row>
      </sheetData>
      <sheetData sheetId="1092">
        <row r="9">
          <cell r="A9" t="str">
            <v>A</v>
          </cell>
        </row>
      </sheetData>
      <sheetData sheetId="1093">
        <row r="9">
          <cell r="A9" t="str">
            <v>A</v>
          </cell>
        </row>
      </sheetData>
      <sheetData sheetId="1094">
        <row r="9">
          <cell r="A9" t="str">
            <v>A</v>
          </cell>
        </row>
      </sheetData>
      <sheetData sheetId="1095">
        <row r="9">
          <cell r="A9" t="str">
            <v>A</v>
          </cell>
        </row>
      </sheetData>
      <sheetData sheetId="1096">
        <row r="9">
          <cell r="A9" t="str">
            <v>A</v>
          </cell>
        </row>
      </sheetData>
      <sheetData sheetId="1097">
        <row r="9">
          <cell r="A9" t="str">
            <v>A</v>
          </cell>
        </row>
      </sheetData>
      <sheetData sheetId="1098">
        <row r="9">
          <cell r="A9" t="str">
            <v>A</v>
          </cell>
        </row>
      </sheetData>
      <sheetData sheetId="1099">
        <row r="9">
          <cell r="A9" t="str">
            <v>A</v>
          </cell>
        </row>
      </sheetData>
      <sheetData sheetId="1100">
        <row r="9">
          <cell r="A9" t="str">
            <v>A</v>
          </cell>
        </row>
      </sheetData>
      <sheetData sheetId="1101">
        <row r="9">
          <cell r="A9" t="str">
            <v>A</v>
          </cell>
        </row>
      </sheetData>
      <sheetData sheetId="1102">
        <row r="9">
          <cell r="A9" t="str">
            <v>A</v>
          </cell>
        </row>
      </sheetData>
      <sheetData sheetId="1103">
        <row r="9">
          <cell r="A9" t="str">
            <v>A</v>
          </cell>
        </row>
      </sheetData>
      <sheetData sheetId="1104">
        <row r="9">
          <cell r="A9" t="str">
            <v>A</v>
          </cell>
        </row>
      </sheetData>
      <sheetData sheetId="1105">
        <row r="9">
          <cell r="A9" t="str">
            <v>A</v>
          </cell>
        </row>
      </sheetData>
      <sheetData sheetId="1106">
        <row r="9">
          <cell r="A9" t="str">
            <v>A</v>
          </cell>
        </row>
      </sheetData>
      <sheetData sheetId="1107">
        <row r="9">
          <cell r="A9" t="str">
            <v>A</v>
          </cell>
        </row>
      </sheetData>
      <sheetData sheetId="1108">
        <row r="9">
          <cell r="A9" t="str">
            <v>A</v>
          </cell>
        </row>
      </sheetData>
      <sheetData sheetId="1109">
        <row r="9">
          <cell r="A9" t="str">
            <v>A</v>
          </cell>
        </row>
      </sheetData>
      <sheetData sheetId="1110">
        <row r="9">
          <cell r="A9" t="str">
            <v>A</v>
          </cell>
        </row>
      </sheetData>
      <sheetData sheetId="1111">
        <row r="9">
          <cell r="A9" t="str">
            <v>A</v>
          </cell>
        </row>
      </sheetData>
      <sheetData sheetId="1112">
        <row r="9">
          <cell r="A9" t="str">
            <v>A</v>
          </cell>
        </row>
      </sheetData>
      <sheetData sheetId="1113">
        <row r="9">
          <cell r="A9" t="str">
            <v>A</v>
          </cell>
        </row>
      </sheetData>
      <sheetData sheetId="1114">
        <row r="9">
          <cell r="A9" t="str">
            <v>A</v>
          </cell>
        </row>
      </sheetData>
      <sheetData sheetId="1115">
        <row r="9">
          <cell r="A9" t="str">
            <v>A</v>
          </cell>
        </row>
      </sheetData>
      <sheetData sheetId="1116">
        <row r="9">
          <cell r="A9" t="str">
            <v>A</v>
          </cell>
        </row>
      </sheetData>
      <sheetData sheetId="1117">
        <row r="9">
          <cell r="A9" t="str">
            <v>A</v>
          </cell>
        </row>
      </sheetData>
      <sheetData sheetId="1118">
        <row r="9">
          <cell r="A9" t="str">
            <v>A</v>
          </cell>
        </row>
      </sheetData>
      <sheetData sheetId="1119">
        <row r="9">
          <cell r="A9" t="str">
            <v>A</v>
          </cell>
        </row>
      </sheetData>
      <sheetData sheetId="1120">
        <row r="9">
          <cell r="A9" t="str">
            <v>A</v>
          </cell>
        </row>
      </sheetData>
      <sheetData sheetId="1121">
        <row r="9">
          <cell r="A9" t="str">
            <v>A</v>
          </cell>
        </row>
      </sheetData>
      <sheetData sheetId="1122">
        <row r="9">
          <cell r="A9" t="str">
            <v>A</v>
          </cell>
        </row>
      </sheetData>
      <sheetData sheetId="1123">
        <row r="9">
          <cell r="A9" t="str">
            <v>A</v>
          </cell>
        </row>
      </sheetData>
      <sheetData sheetId="1124">
        <row r="9">
          <cell r="A9" t="str">
            <v>A</v>
          </cell>
        </row>
      </sheetData>
      <sheetData sheetId="1125">
        <row r="9">
          <cell r="A9" t="str">
            <v>A</v>
          </cell>
        </row>
      </sheetData>
      <sheetData sheetId="1126">
        <row r="9">
          <cell r="A9" t="str">
            <v>A</v>
          </cell>
        </row>
      </sheetData>
      <sheetData sheetId="1127">
        <row r="9">
          <cell r="A9" t="str">
            <v>A</v>
          </cell>
        </row>
      </sheetData>
      <sheetData sheetId="1128">
        <row r="9">
          <cell r="A9" t="str">
            <v>A</v>
          </cell>
        </row>
      </sheetData>
      <sheetData sheetId="1129">
        <row r="9">
          <cell r="A9" t="str">
            <v>A</v>
          </cell>
        </row>
      </sheetData>
      <sheetData sheetId="1130">
        <row r="9">
          <cell r="A9" t="str">
            <v>A</v>
          </cell>
        </row>
      </sheetData>
      <sheetData sheetId="1131">
        <row r="9">
          <cell r="A9" t="str">
            <v>A</v>
          </cell>
        </row>
      </sheetData>
      <sheetData sheetId="1132">
        <row r="9">
          <cell r="A9" t="str">
            <v>A</v>
          </cell>
        </row>
      </sheetData>
      <sheetData sheetId="1133">
        <row r="9">
          <cell r="A9" t="str">
            <v>A</v>
          </cell>
        </row>
      </sheetData>
      <sheetData sheetId="1134">
        <row r="9">
          <cell r="A9" t="str">
            <v>A</v>
          </cell>
        </row>
      </sheetData>
      <sheetData sheetId="1135">
        <row r="9">
          <cell r="A9" t="str">
            <v>A</v>
          </cell>
        </row>
      </sheetData>
      <sheetData sheetId="1136">
        <row r="9">
          <cell r="A9" t="str">
            <v>A</v>
          </cell>
        </row>
      </sheetData>
      <sheetData sheetId="1137">
        <row r="9">
          <cell r="A9" t="str">
            <v>A</v>
          </cell>
        </row>
      </sheetData>
      <sheetData sheetId="1138">
        <row r="9">
          <cell r="A9" t="str">
            <v>A</v>
          </cell>
        </row>
      </sheetData>
      <sheetData sheetId="1139">
        <row r="9">
          <cell r="A9" t="str">
            <v>A</v>
          </cell>
        </row>
      </sheetData>
      <sheetData sheetId="1140">
        <row r="9">
          <cell r="A9" t="str">
            <v>A</v>
          </cell>
        </row>
      </sheetData>
      <sheetData sheetId="1141">
        <row r="9">
          <cell r="A9" t="str">
            <v>A</v>
          </cell>
        </row>
      </sheetData>
      <sheetData sheetId="1142">
        <row r="9">
          <cell r="A9" t="str">
            <v>A</v>
          </cell>
        </row>
      </sheetData>
      <sheetData sheetId="1143">
        <row r="9">
          <cell r="A9" t="str">
            <v>A</v>
          </cell>
        </row>
      </sheetData>
      <sheetData sheetId="1144">
        <row r="9">
          <cell r="A9" t="str">
            <v>A</v>
          </cell>
        </row>
      </sheetData>
      <sheetData sheetId="1145">
        <row r="9">
          <cell r="A9" t="str">
            <v>A</v>
          </cell>
        </row>
      </sheetData>
      <sheetData sheetId="1146">
        <row r="9">
          <cell r="A9" t="str">
            <v>A</v>
          </cell>
        </row>
      </sheetData>
      <sheetData sheetId="1147">
        <row r="9">
          <cell r="A9" t="str">
            <v>A</v>
          </cell>
        </row>
      </sheetData>
      <sheetData sheetId="1148">
        <row r="9">
          <cell r="A9" t="str">
            <v>A</v>
          </cell>
        </row>
      </sheetData>
      <sheetData sheetId="1149">
        <row r="9">
          <cell r="A9" t="str">
            <v>A</v>
          </cell>
        </row>
      </sheetData>
      <sheetData sheetId="1150">
        <row r="9">
          <cell r="A9" t="str">
            <v>A</v>
          </cell>
        </row>
      </sheetData>
      <sheetData sheetId="1151">
        <row r="9">
          <cell r="A9" t="str">
            <v>A</v>
          </cell>
        </row>
      </sheetData>
      <sheetData sheetId="1152">
        <row r="9">
          <cell r="A9" t="str">
            <v>A</v>
          </cell>
        </row>
      </sheetData>
      <sheetData sheetId="1153">
        <row r="9">
          <cell r="A9" t="str">
            <v>A</v>
          </cell>
        </row>
      </sheetData>
      <sheetData sheetId="1154">
        <row r="9">
          <cell r="A9" t="str">
            <v>A</v>
          </cell>
        </row>
      </sheetData>
      <sheetData sheetId="1155">
        <row r="9">
          <cell r="A9" t="str">
            <v>A</v>
          </cell>
        </row>
      </sheetData>
      <sheetData sheetId="1156">
        <row r="9">
          <cell r="A9" t="str">
            <v>A</v>
          </cell>
        </row>
      </sheetData>
      <sheetData sheetId="1157">
        <row r="9">
          <cell r="A9" t="str">
            <v>A</v>
          </cell>
        </row>
      </sheetData>
      <sheetData sheetId="1158">
        <row r="9">
          <cell r="A9" t="str">
            <v>A</v>
          </cell>
        </row>
      </sheetData>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row r="9">
          <cell r="A9" t="str">
            <v>A</v>
          </cell>
        </row>
      </sheetData>
      <sheetData sheetId="1165">
        <row r="9">
          <cell r="A9" t="str">
            <v>A</v>
          </cell>
        </row>
      </sheetData>
      <sheetData sheetId="1166">
        <row r="9">
          <cell r="A9" t="str">
            <v>A</v>
          </cell>
        </row>
      </sheetData>
      <sheetData sheetId="1167">
        <row r="9">
          <cell r="A9" t="str">
            <v>A</v>
          </cell>
        </row>
      </sheetData>
      <sheetData sheetId="1168">
        <row r="9">
          <cell r="A9" t="str">
            <v>A</v>
          </cell>
        </row>
      </sheetData>
      <sheetData sheetId="1169">
        <row r="9">
          <cell r="A9" t="str">
            <v>A</v>
          </cell>
        </row>
      </sheetData>
      <sheetData sheetId="1170">
        <row r="9">
          <cell r="A9" t="str">
            <v>A</v>
          </cell>
        </row>
      </sheetData>
      <sheetData sheetId="1171">
        <row r="9">
          <cell r="A9" t="str">
            <v>A</v>
          </cell>
        </row>
      </sheetData>
      <sheetData sheetId="1172">
        <row r="9">
          <cell r="A9" t="str">
            <v>A</v>
          </cell>
        </row>
      </sheetData>
      <sheetData sheetId="1173">
        <row r="9">
          <cell r="A9" t="str">
            <v>A</v>
          </cell>
        </row>
      </sheetData>
      <sheetData sheetId="1174">
        <row r="9">
          <cell r="A9" t="str">
            <v>A</v>
          </cell>
        </row>
      </sheetData>
      <sheetData sheetId="1175">
        <row r="9">
          <cell r="A9" t="str">
            <v>A</v>
          </cell>
        </row>
      </sheetData>
      <sheetData sheetId="1176">
        <row r="9">
          <cell r="A9" t="str">
            <v>A</v>
          </cell>
        </row>
      </sheetData>
      <sheetData sheetId="1177">
        <row r="9">
          <cell r="A9" t="str">
            <v>A</v>
          </cell>
        </row>
      </sheetData>
      <sheetData sheetId="1178">
        <row r="9">
          <cell r="A9" t="str">
            <v>A</v>
          </cell>
        </row>
      </sheetData>
      <sheetData sheetId="1179">
        <row r="9">
          <cell r="A9" t="str">
            <v>A</v>
          </cell>
        </row>
      </sheetData>
      <sheetData sheetId="1180">
        <row r="9">
          <cell r="A9" t="str">
            <v>A</v>
          </cell>
        </row>
      </sheetData>
      <sheetData sheetId="1181">
        <row r="9">
          <cell r="A9" t="str">
            <v>A</v>
          </cell>
        </row>
      </sheetData>
      <sheetData sheetId="1182">
        <row r="9">
          <cell r="A9" t="str">
            <v>A</v>
          </cell>
        </row>
      </sheetData>
      <sheetData sheetId="1183">
        <row r="9">
          <cell r="A9" t="str">
            <v>A</v>
          </cell>
        </row>
      </sheetData>
      <sheetData sheetId="1184">
        <row r="9">
          <cell r="A9" t="str">
            <v>A</v>
          </cell>
        </row>
      </sheetData>
      <sheetData sheetId="1185">
        <row r="9">
          <cell r="A9" t="str">
            <v>A</v>
          </cell>
        </row>
      </sheetData>
      <sheetData sheetId="1186">
        <row r="9">
          <cell r="A9" t="str">
            <v>A</v>
          </cell>
        </row>
      </sheetData>
      <sheetData sheetId="1187">
        <row r="9">
          <cell r="A9" t="str">
            <v>A</v>
          </cell>
        </row>
      </sheetData>
      <sheetData sheetId="1188">
        <row r="9">
          <cell r="A9" t="str">
            <v>A</v>
          </cell>
        </row>
      </sheetData>
      <sheetData sheetId="1189">
        <row r="9">
          <cell r="A9" t="str">
            <v>A</v>
          </cell>
        </row>
      </sheetData>
      <sheetData sheetId="1190">
        <row r="9">
          <cell r="A9" t="str">
            <v>A</v>
          </cell>
        </row>
      </sheetData>
      <sheetData sheetId="1191">
        <row r="9">
          <cell r="A9" t="str">
            <v>A</v>
          </cell>
        </row>
      </sheetData>
      <sheetData sheetId="1192">
        <row r="9">
          <cell r="A9" t="str">
            <v>A</v>
          </cell>
        </row>
      </sheetData>
      <sheetData sheetId="1193">
        <row r="9">
          <cell r="A9" t="str">
            <v>A</v>
          </cell>
        </row>
      </sheetData>
      <sheetData sheetId="1194">
        <row r="9">
          <cell r="A9" t="str">
            <v>A</v>
          </cell>
        </row>
      </sheetData>
      <sheetData sheetId="1195">
        <row r="9">
          <cell r="A9" t="str">
            <v>A</v>
          </cell>
        </row>
      </sheetData>
      <sheetData sheetId="1196">
        <row r="9">
          <cell r="A9" t="str">
            <v>A</v>
          </cell>
        </row>
      </sheetData>
      <sheetData sheetId="1197">
        <row r="9">
          <cell r="A9" t="str">
            <v>A</v>
          </cell>
        </row>
      </sheetData>
      <sheetData sheetId="1198">
        <row r="9">
          <cell r="A9" t="str">
            <v>A</v>
          </cell>
        </row>
      </sheetData>
      <sheetData sheetId="1199">
        <row r="9">
          <cell r="A9" t="str">
            <v>A</v>
          </cell>
        </row>
      </sheetData>
      <sheetData sheetId="1200">
        <row r="9">
          <cell r="A9" t="str">
            <v>A</v>
          </cell>
        </row>
      </sheetData>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row r="9">
          <cell r="A9" t="str">
            <v>A</v>
          </cell>
        </row>
      </sheetData>
      <sheetData sheetId="1206">
        <row r="9">
          <cell r="A9" t="str">
            <v>A</v>
          </cell>
        </row>
      </sheetData>
      <sheetData sheetId="1207">
        <row r="9">
          <cell r="A9" t="str">
            <v>A</v>
          </cell>
        </row>
      </sheetData>
      <sheetData sheetId="1208">
        <row r="9">
          <cell r="A9" t="str">
            <v>A</v>
          </cell>
        </row>
      </sheetData>
      <sheetData sheetId="1209">
        <row r="9">
          <cell r="A9" t="str">
            <v>A</v>
          </cell>
        </row>
      </sheetData>
      <sheetData sheetId="1210">
        <row r="9">
          <cell r="A9" t="str">
            <v>A</v>
          </cell>
        </row>
      </sheetData>
      <sheetData sheetId="1211">
        <row r="9">
          <cell r="A9" t="str">
            <v>A</v>
          </cell>
        </row>
      </sheetData>
      <sheetData sheetId="1212">
        <row r="9">
          <cell r="A9" t="str">
            <v>A</v>
          </cell>
        </row>
      </sheetData>
      <sheetData sheetId="1213">
        <row r="9">
          <cell r="A9" t="str">
            <v>A</v>
          </cell>
        </row>
      </sheetData>
      <sheetData sheetId="1214">
        <row r="9">
          <cell r="A9" t="str">
            <v>A</v>
          </cell>
        </row>
      </sheetData>
      <sheetData sheetId="1215">
        <row r="9">
          <cell r="A9" t="str">
            <v>A</v>
          </cell>
        </row>
      </sheetData>
      <sheetData sheetId="1216">
        <row r="9">
          <cell r="A9" t="str">
            <v>A</v>
          </cell>
        </row>
      </sheetData>
      <sheetData sheetId="1217">
        <row r="9">
          <cell r="A9" t="str">
            <v>A</v>
          </cell>
        </row>
      </sheetData>
      <sheetData sheetId="1218">
        <row r="9">
          <cell r="A9" t="str">
            <v>A</v>
          </cell>
        </row>
      </sheetData>
      <sheetData sheetId="1219">
        <row r="9">
          <cell r="A9" t="str">
            <v>A</v>
          </cell>
        </row>
      </sheetData>
      <sheetData sheetId="1220">
        <row r="9">
          <cell r="A9" t="str">
            <v>A</v>
          </cell>
        </row>
      </sheetData>
      <sheetData sheetId="1221">
        <row r="9">
          <cell r="A9" t="str">
            <v>A</v>
          </cell>
        </row>
      </sheetData>
      <sheetData sheetId="1222">
        <row r="9">
          <cell r="A9" t="str">
            <v>A</v>
          </cell>
        </row>
      </sheetData>
      <sheetData sheetId="1223">
        <row r="9">
          <cell r="A9" t="str">
            <v>A</v>
          </cell>
        </row>
      </sheetData>
      <sheetData sheetId="1224">
        <row r="9">
          <cell r="A9" t="str">
            <v>A</v>
          </cell>
        </row>
      </sheetData>
      <sheetData sheetId="1225">
        <row r="9">
          <cell r="A9" t="str">
            <v>A</v>
          </cell>
        </row>
      </sheetData>
      <sheetData sheetId="1226">
        <row r="9">
          <cell r="A9" t="str">
            <v>A</v>
          </cell>
        </row>
      </sheetData>
      <sheetData sheetId="1227">
        <row r="9">
          <cell r="A9" t="str">
            <v>A</v>
          </cell>
        </row>
      </sheetData>
      <sheetData sheetId="1228">
        <row r="9">
          <cell r="A9" t="str">
            <v>A</v>
          </cell>
        </row>
      </sheetData>
      <sheetData sheetId="1229">
        <row r="9">
          <cell r="A9" t="str">
            <v>A</v>
          </cell>
        </row>
      </sheetData>
      <sheetData sheetId="1230">
        <row r="9">
          <cell r="A9" t="str">
            <v>A</v>
          </cell>
        </row>
      </sheetData>
      <sheetData sheetId="1231">
        <row r="9">
          <cell r="A9" t="str">
            <v>A</v>
          </cell>
        </row>
      </sheetData>
      <sheetData sheetId="1232">
        <row r="9">
          <cell r="A9" t="str">
            <v>A</v>
          </cell>
        </row>
      </sheetData>
      <sheetData sheetId="1233">
        <row r="9">
          <cell r="A9" t="str">
            <v>A</v>
          </cell>
        </row>
      </sheetData>
      <sheetData sheetId="1234">
        <row r="9">
          <cell r="A9" t="str">
            <v>A</v>
          </cell>
        </row>
      </sheetData>
      <sheetData sheetId="1235">
        <row r="9">
          <cell r="A9" t="str">
            <v>A</v>
          </cell>
        </row>
      </sheetData>
      <sheetData sheetId="1236">
        <row r="9">
          <cell r="A9" t="str">
            <v>A</v>
          </cell>
        </row>
      </sheetData>
      <sheetData sheetId="1237">
        <row r="9">
          <cell r="A9" t="str">
            <v>A</v>
          </cell>
        </row>
      </sheetData>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row r="9">
          <cell r="A9" t="str">
            <v>A</v>
          </cell>
        </row>
      </sheetData>
      <sheetData sheetId="1245">
        <row r="9">
          <cell r="A9" t="str">
            <v>A</v>
          </cell>
        </row>
      </sheetData>
      <sheetData sheetId="1246">
        <row r="9">
          <cell r="A9" t="str">
            <v>A</v>
          </cell>
        </row>
      </sheetData>
      <sheetData sheetId="1247">
        <row r="9">
          <cell r="A9" t="str">
            <v>A</v>
          </cell>
        </row>
      </sheetData>
      <sheetData sheetId="1248">
        <row r="9">
          <cell r="A9" t="str">
            <v>A</v>
          </cell>
        </row>
      </sheetData>
      <sheetData sheetId="1249">
        <row r="9">
          <cell r="A9" t="str">
            <v>A</v>
          </cell>
        </row>
      </sheetData>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row r="9">
          <cell r="A9" t="str">
            <v>A</v>
          </cell>
        </row>
      </sheetData>
      <sheetData sheetId="1255">
        <row r="9">
          <cell r="A9" t="str">
            <v>A</v>
          </cell>
        </row>
      </sheetData>
      <sheetData sheetId="1256">
        <row r="9">
          <cell r="A9" t="str">
            <v>A</v>
          </cell>
        </row>
      </sheetData>
      <sheetData sheetId="1257">
        <row r="9">
          <cell r="A9" t="str">
            <v>A</v>
          </cell>
        </row>
      </sheetData>
      <sheetData sheetId="1258">
        <row r="9">
          <cell r="A9" t="str">
            <v>A</v>
          </cell>
        </row>
      </sheetData>
      <sheetData sheetId="1259">
        <row r="9">
          <cell r="A9" t="str">
            <v>A</v>
          </cell>
        </row>
      </sheetData>
      <sheetData sheetId="1260">
        <row r="9">
          <cell r="A9" t="str">
            <v>A</v>
          </cell>
        </row>
      </sheetData>
      <sheetData sheetId="1261">
        <row r="9">
          <cell r="A9" t="str">
            <v>A</v>
          </cell>
        </row>
      </sheetData>
      <sheetData sheetId="1262">
        <row r="9">
          <cell r="A9" t="str">
            <v>A</v>
          </cell>
        </row>
      </sheetData>
      <sheetData sheetId="1263">
        <row r="9">
          <cell r="A9" t="str">
            <v>A</v>
          </cell>
        </row>
      </sheetData>
      <sheetData sheetId="1264">
        <row r="9">
          <cell r="A9" t="str">
            <v>A</v>
          </cell>
        </row>
      </sheetData>
      <sheetData sheetId="1265">
        <row r="9">
          <cell r="A9" t="str">
            <v>A</v>
          </cell>
        </row>
      </sheetData>
      <sheetData sheetId="1266">
        <row r="9">
          <cell r="A9" t="str">
            <v>A</v>
          </cell>
        </row>
      </sheetData>
      <sheetData sheetId="1267">
        <row r="9">
          <cell r="A9" t="str">
            <v>A</v>
          </cell>
        </row>
      </sheetData>
      <sheetData sheetId="1268">
        <row r="9">
          <cell r="A9" t="str">
            <v>A</v>
          </cell>
        </row>
      </sheetData>
      <sheetData sheetId="1269">
        <row r="9">
          <cell r="A9" t="str">
            <v>A</v>
          </cell>
        </row>
      </sheetData>
      <sheetData sheetId="1270">
        <row r="9">
          <cell r="A9" t="str">
            <v>A</v>
          </cell>
        </row>
      </sheetData>
      <sheetData sheetId="1271">
        <row r="9">
          <cell r="A9" t="str">
            <v>A</v>
          </cell>
        </row>
      </sheetData>
      <sheetData sheetId="1272">
        <row r="9">
          <cell r="A9" t="str">
            <v>A</v>
          </cell>
        </row>
      </sheetData>
      <sheetData sheetId="1273">
        <row r="9">
          <cell r="A9" t="str">
            <v>A</v>
          </cell>
        </row>
      </sheetData>
      <sheetData sheetId="1274">
        <row r="9">
          <cell r="A9" t="str">
            <v>A</v>
          </cell>
        </row>
      </sheetData>
      <sheetData sheetId="1275">
        <row r="9">
          <cell r="A9" t="str">
            <v>A</v>
          </cell>
        </row>
      </sheetData>
      <sheetData sheetId="1276">
        <row r="9">
          <cell r="A9" t="str">
            <v>A</v>
          </cell>
        </row>
      </sheetData>
      <sheetData sheetId="1277">
        <row r="9">
          <cell r="A9" t="str">
            <v>A</v>
          </cell>
        </row>
      </sheetData>
      <sheetData sheetId="1278">
        <row r="9">
          <cell r="A9" t="str">
            <v>A</v>
          </cell>
        </row>
      </sheetData>
      <sheetData sheetId="1279">
        <row r="9">
          <cell r="A9" t="str">
            <v>A</v>
          </cell>
        </row>
      </sheetData>
      <sheetData sheetId="1280">
        <row r="9">
          <cell r="A9" t="str">
            <v>A</v>
          </cell>
        </row>
      </sheetData>
      <sheetData sheetId="1281">
        <row r="9">
          <cell r="A9" t="str">
            <v>A</v>
          </cell>
        </row>
      </sheetData>
      <sheetData sheetId="1282">
        <row r="9">
          <cell r="A9" t="str">
            <v>A</v>
          </cell>
        </row>
      </sheetData>
      <sheetData sheetId="1283">
        <row r="9">
          <cell r="A9" t="str">
            <v>A</v>
          </cell>
        </row>
      </sheetData>
      <sheetData sheetId="1284">
        <row r="9">
          <cell r="A9" t="str">
            <v>A</v>
          </cell>
        </row>
      </sheetData>
      <sheetData sheetId="1285">
        <row r="9">
          <cell r="A9" t="str">
            <v>A</v>
          </cell>
        </row>
      </sheetData>
      <sheetData sheetId="1286">
        <row r="9">
          <cell r="A9" t="str">
            <v>A</v>
          </cell>
        </row>
      </sheetData>
      <sheetData sheetId="1287">
        <row r="9">
          <cell r="A9" t="str">
            <v>A</v>
          </cell>
        </row>
      </sheetData>
      <sheetData sheetId="1288">
        <row r="9">
          <cell r="A9" t="str">
            <v>A</v>
          </cell>
        </row>
      </sheetData>
      <sheetData sheetId="1289">
        <row r="9">
          <cell r="A9" t="str">
            <v>A</v>
          </cell>
        </row>
      </sheetData>
      <sheetData sheetId="1290">
        <row r="9">
          <cell r="A9" t="str">
            <v>A</v>
          </cell>
        </row>
      </sheetData>
      <sheetData sheetId="1291">
        <row r="9">
          <cell r="A9" t="str">
            <v>A</v>
          </cell>
        </row>
      </sheetData>
      <sheetData sheetId="1292">
        <row r="9">
          <cell r="A9" t="str">
            <v>A</v>
          </cell>
        </row>
      </sheetData>
      <sheetData sheetId="1293">
        <row r="9">
          <cell r="A9" t="str">
            <v>A</v>
          </cell>
        </row>
      </sheetData>
      <sheetData sheetId="1294">
        <row r="9">
          <cell r="A9" t="str">
            <v>A</v>
          </cell>
        </row>
      </sheetData>
      <sheetData sheetId="1295">
        <row r="9">
          <cell r="A9" t="str">
            <v>A</v>
          </cell>
        </row>
      </sheetData>
      <sheetData sheetId="1296">
        <row r="9">
          <cell r="A9" t="str">
            <v>A</v>
          </cell>
        </row>
      </sheetData>
      <sheetData sheetId="1297">
        <row r="9">
          <cell r="A9" t="str">
            <v>A</v>
          </cell>
        </row>
      </sheetData>
      <sheetData sheetId="1298">
        <row r="9">
          <cell r="A9" t="str">
            <v>A</v>
          </cell>
        </row>
      </sheetData>
      <sheetData sheetId="1299">
        <row r="9">
          <cell r="A9" t="str">
            <v>A</v>
          </cell>
        </row>
      </sheetData>
      <sheetData sheetId="1300">
        <row r="9">
          <cell r="A9" t="str">
            <v>A</v>
          </cell>
        </row>
      </sheetData>
      <sheetData sheetId="1301">
        <row r="9">
          <cell r="A9" t="str">
            <v>A</v>
          </cell>
        </row>
      </sheetData>
      <sheetData sheetId="1302">
        <row r="9">
          <cell r="A9" t="str">
            <v>A</v>
          </cell>
        </row>
      </sheetData>
      <sheetData sheetId="1303">
        <row r="9">
          <cell r="A9" t="str">
            <v>A</v>
          </cell>
        </row>
      </sheetData>
      <sheetData sheetId="1304">
        <row r="9">
          <cell r="A9" t="str">
            <v>A</v>
          </cell>
        </row>
      </sheetData>
      <sheetData sheetId="1305">
        <row r="9">
          <cell r="A9" t="str">
            <v>A</v>
          </cell>
        </row>
      </sheetData>
      <sheetData sheetId="1306">
        <row r="9">
          <cell r="A9" t="str">
            <v>A</v>
          </cell>
        </row>
      </sheetData>
      <sheetData sheetId="1307">
        <row r="9">
          <cell r="A9" t="str">
            <v>A</v>
          </cell>
        </row>
      </sheetData>
      <sheetData sheetId="1308">
        <row r="9">
          <cell r="A9" t="str">
            <v>A</v>
          </cell>
        </row>
      </sheetData>
      <sheetData sheetId="1309">
        <row r="9">
          <cell r="A9" t="str">
            <v>A</v>
          </cell>
        </row>
      </sheetData>
      <sheetData sheetId="1310">
        <row r="9">
          <cell r="A9" t="str">
            <v>A</v>
          </cell>
        </row>
      </sheetData>
      <sheetData sheetId="1311">
        <row r="9">
          <cell r="A9" t="str">
            <v>A</v>
          </cell>
        </row>
      </sheetData>
      <sheetData sheetId="1312">
        <row r="9">
          <cell r="A9" t="str">
            <v>A</v>
          </cell>
        </row>
      </sheetData>
      <sheetData sheetId="1313" refreshError="1"/>
      <sheetData sheetId="1314" refreshError="1"/>
      <sheetData sheetId="1315" refreshError="1"/>
      <sheetData sheetId="1316" refreshError="1"/>
      <sheetData sheetId="1317" refreshError="1"/>
      <sheetData sheetId="1318" refreshError="1"/>
      <sheetData sheetId="1319"/>
      <sheetData sheetId="1320"/>
      <sheetData sheetId="1321"/>
      <sheetData sheetId="1322"/>
      <sheetData sheetId="1323"/>
      <sheetData sheetId="1324" refreshError="1"/>
      <sheetData sheetId="1325" refreshError="1"/>
      <sheetData sheetId="1326" refreshError="1"/>
      <sheetData sheetId="1327" refreshError="1"/>
      <sheetData sheetId="1328" refreshError="1"/>
      <sheetData sheetId="1329" refreshError="1"/>
      <sheetData sheetId="1330"/>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ow r="9">
          <cell r="A9" t="str">
            <v>A</v>
          </cell>
        </row>
      </sheetData>
      <sheetData sheetId="1343">
        <row r="9">
          <cell r="A9" t="str">
            <v>A</v>
          </cell>
        </row>
      </sheetData>
      <sheetData sheetId="1344" refreshError="1"/>
      <sheetData sheetId="1345" refreshError="1"/>
      <sheetData sheetId="1346">
        <row r="9">
          <cell r="A9" t="str">
            <v>A</v>
          </cell>
        </row>
      </sheetData>
      <sheetData sheetId="1347">
        <row r="9">
          <cell r="A9" t="str">
            <v>A</v>
          </cell>
        </row>
      </sheetData>
      <sheetData sheetId="1348">
        <row r="9">
          <cell r="A9" t="str">
            <v>A</v>
          </cell>
        </row>
      </sheetData>
      <sheetData sheetId="1349">
        <row r="9">
          <cell r="A9" t="str">
            <v>A</v>
          </cell>
        </row>
      </sheetData>
      <sheetData sheetId="1350">
        <row r="9">
          <cell r="A9" t="str">
            <v>A</v>
          </cell>
        </row>
      </sheetData>
      <sheetData sheetId="1351" refreshError="1"/>
      <sheetData sheetId="1352" refreshError="1"/>
      <sheetData sheetId="1353" refreshError="1"/>
      <sheetData sheetId="1354">
        <row r="9">
          <cell r="A9" t="str">
            <v>A</v>
          </cell>
        </row>
      </sheetData>
      <sheetData sheetId="1355">
        <row r="9">
          <cell r="A9" t="str">
            <v>A</v>
          </cell>
        </row>
      </sheetData>
      <sheetData sheetId="1356">
        <row r="9">
          <cell r="A9" t="str">
            <v>A</v>
          </cell>
        </row>
      </sheetData>
      <sheetData sheetId="1357">
        <row r="9">
          <cell r="A9" t="str">
            <v>A</v>
          </cell>
        </row>
      </sheetData>
      <sheetData sheetId="1358">
        <row r="9">
          <cell r="A9" t="str">
            <v>A</v>
          </cell>
        </row>
      </sheetData>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ow r="9">
          <cell r="A9" t="str">
            <v>A</v>
          </cell>
        </row>
      </sheetData>
      <sheetData sheetId="1386">
        <row r="9">
          <cell r="A9" t="str">
            <v>A</v>
          </cell>
        </row>
      </sheetData>
      <sheetData sheetId="1387">
        <row r="9">
          <cell r="A9" t="str">
            <v>A</v>
          </cell>
        </row>
      </sheetData>
      <sheetData sheetId="1388">
        <row r="9">
          <cell r="A9" t="str">
            <v>A</v>
          </cell>
        </row>
      </sheetData>
      <sheetData sheetId="1389">
        <row r="9">
          <cell r="A9" t="str">
            <v>A</v>
          </cell>
        </row>
      </sheetData>
      <sheetData sheetId="1390">
        <row r="9">
          <cell r="A9" t="str">
            <v>A</v>
          </cell>
        </row>
      </sheetData>
      <sheetData sheetId="1391">
        <row r="9">
          <cell r="A9" t="str">
            <v>A</v>
          </cell>
        </row>
      </sheetData>
      <sheetData sheetId="1392">
        <row r="9">
          <cell r="A9" t="str">
            <v>A</v>
          </cell>
        </row>
      </sheetData>
      <sheetData sheetId="1393">
        <row r="9">
          <cell r="A9" t="str">
            <v>A</v>
          </cell>
        </row>
      </sheetData>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ow r="9">
          <cell r="A9" t="str">
            <v>A</v>
          </cell>
        </row>
      </sheetData>
      <sheetData sheetId="1414">
        <row r="9">
          <cell r="A9" t="str">
            <v>A</v>
          </cell>
        </row>
      </sheetData>
      <sheetData sheetId="1415">
        <row r="9">
          <cell r="A9" t="str">
            <v>A</v>
          </cell>
        </row>
      </sheetData>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ow r="9">
          <cell r="A9" t="str">
            <v>A</v>
          </cell>
        </row>
      </sheetData>
      <sheetData sheetId="1455">
        <row r="9">
          <cell r="A9" t="str">
            <v>A</v>
          </cell>
        </row>
      </sheetData>
      <sheetData sheetId="1456" refreshError="1"/>
      <sheetData sheetId="1457" refreshError="1"/>
      <sheetData sheetId="1458" refreshError="1"/>
      <sheetData sheetId="1459" refreshError="1"/>
      <sheetData sheetId="1460" refreshError="1"/>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efreshError="1"/>
      <sheetData sheetId="1477" refreshError="1"/>
      <sheetData sheetId="1478" refreshError="1"/>
      <sheetData sheetId="1479" refreshError="1"/>
      <sheetData sheetId="1480" refreshError="1"/>
      <sheetData sheetId="1481" refreshError="1"/>
      <sheetData sheetId="1482">
        <row r="9">
          <cell r="A9" t="str">
            <v>A</v>
          </cell>
        </row>
      </sheetData>
      <sheetData sheetId="1483">
        <row r="9">
          <cell r="A9" t="str">
            <v>A</v>
          </cell>
        </row>
      </sheetData>
      <sheetData sheetId="1484" refreshError="1"/>
      <sheetData sheetId="1485" refreshError="1"/>
      <sheetData sheetId="1486" refreshError="1"/>
      <sheetData sheetId="1487" refreshError="1"/>
      <sheetData sheetId="1488" refreshError="1"/>
      <sheetData sheetId="1489" refreshError="1"/>
      <sheetData sheetId="1490" refreshError="1"/>
      <sheetData sheetId="1491">
        <row r="9">
          <cell r="A9" t="str">
            <v>A</v>
          </cell>
        </row>
      </sheetData>
      <sheetData sheetId="1492">
        <row r="9">
          <cell r="A9" t="str">
            <v>A</v>
          </cell>
        </row>
      </sheetData>
      <sheetData sheetId="1493" refreshError="1"/>
      <sheetData sheetId="1494" refreshError="1"/>
      <sheetData sheetId="1495" refreshError="1"/>
      <sheetData sheetId="1496" refreshError="1"/>
      <sheetData sheetId="1497">
        <row r="9">
          <cell r="A9" t="str">
            <v>A</v>
          </cell>
        </row>
      </sheetData>
      <sheetData sheetId="1498">
        <row r="9">
          <cell r="A9" t="str">
            <v>A</v>
          </cell>
        </row>
      </sheetData>
      <sheetData sheetId="1499">
        <row r="9">
          <cell r="A9" t="str">
            <v>A</v>
          </cell>
        </row>
      </sheetData>
      <sheetData sheetId="1500">
        <row r="9">
          <cell r="A9" t="str">
            <v>A</v>
          </cell>
        </row>
      </sheetData>
      <sheetData sheetId="1501">
        <row r="9">
          <cell r="A9" t="str">
            <v>A</v>
          </cell>
        </row>
      </sheetData>
      <sheetData sheetId="1502">
        <row r="9">
          <cell r="A9" t="str">
            <v>A</v>
          </cell>
        </row>
      </sheetData>
      <sheetData sheetId="1503">
        <row r="9">
          <cell r="A9" t="str">
            <v>A</v>
          </cell>
        </row>
      </sheetData>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ow r="9">
          <cell r="A9" t="str">
            <v>A</v>
          </cell>
        </row>
      </sheetData>
      <sheetData sheetId="1598">
        <row r="9">
          <cell r="A9" t="str">
            <v>A</v>
          </cell>
        </row>
      </sheetData>
      <sheetData sheetId="1599">
        <row r="9">
          <cell r="A9" t="str">
            <v>A</v>
          </cell>
        </row>
      </sheetData>
      <sheetData sheetId="1600">
        <row r="9">
          <cell r="A9" t="str">
            <v>A</v>
          </cell>
        </row>
      </sheetData>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ow r="9">
          <cell r="A9" t="str">
            <v>A</v>
          </cell>
        </row>
      </sheetData>
      <sheetData sheetId="1704">
        <row r="9">
          <cell r="A9" t="str">
            <v>A</v>
          </cell>
        </row>
      </sheetData>
      <sheetData sheetId="1705">
        <row r="9">
          <cell r="A9" t="str">
            <v>A</v>
          </cell>
        </row>
      </sheetData>
      <sheetData sheetId="1706">
        <row r="9">
          <cell r="A9" t="str">
            <v>A</v>
          </cell>
        </row>
      </sheetData>
      <sheetData sheetId="1707">
        <row r="9">
          <cell r="A9" t="str">
            <v>A</v>
          </cell>
        </row>
      </sheetData>
      <sheetData sheetId="1708">
        <row r="9">
          <cell r="A9" t="str">
            <v>A</v>
          </cell>
        </row>
      </sheetData>
      <sheetData sheetId="1709">
        <row r="9">
          <cell r="A9" t="str">
            <v>A</v>
          </cell>
        </row>
      </sheetData>
      <sheetData sheetId="1710">
        <row r="9">
          <cell r="A9" t="str">
            <v>A</v>
          </cell>
        </row>
      </sheetData>
      <sheetData sheetId="1711">
        <row r="9">
          <cell r="A9" t="str">
            <v>A</v>
          </cell>
        </row>
      </sheetData>
      <sheetData sheetId="1712">
        <row r="9">
          <cell r="A9" t="str">
            <v>A</v>
          </cell>
        </row>
      </sheetData>
      <sheetData sheetId="1713">
        <row r="9">
          <cell r="A9" t="str">
            <v>A</v>
          </cell>
        </row>
      </sheetData>
      <sheetData sheetId="1714">
        <row r="9">
          <cell r="A9" t="str">
            <v>A</v>
          </cell>
        </row>
      </sheetData>
      <sheetData sheetId="1715">
        <row r="9">
          <cell r="A9" t="str">
            <v>A</v>
          </cell>
        </row>
      </sheetData>
      <sheetData sheetId="1716">
        <row r="9">
          <cell r="A9" t="str">
            <v>A</v>
          </cell>
        </row>
      </sheetData>
      <sheetData sheetId="1717">
        <row r="9">
          <cell r="A9" t="str">
            <v>A</v>
          </cell>
        </row>
      </sheetData>
      <sheetData sheetId="1718">
        <row r="9">
          <cell r="A9" t="str">
            <v>A</v>
          </cell>
        </row>
      </sheetData>
      <sheetData sheetId="1719">
        <row r="9">
          <cell r="A9" t="str">
            <v>A</v>
          </cell>
        </row>
      </sheetData>
      <sheetData sheetId="1720">
        <row r="9">
          <cell r="A9" t="str">
            <v>A</v>
          </cell>
        </row>
      </sheetData>
      <sheetData sheetId="1721">
        <row r="9">
          <cell r="A9" t="str">
            <v>A</v>
          </cell>
        </row>
      </sheetData>
      <sheetData sheetId="1722">
        <row r="9">
          <cell r="A9" t="str">
            <v>A</v>
          </cell>
        </row>
      </sheetData>
      <sheetData sheetId="1723">
        <row r="9">
          <cell r="A9" t="str">
            <v>A</v>
          </cell>
        </row>
      </sheetData>
      <sheetData sheetId="1724">
        <row r="9">
          <cell r="A9" t="str">
            <v>A</v>
          </cell>
        </row>
      </sheetData>
      <sheetData sheetId="1725">
        <row r="9">
          <cell r="A9" t="str">
            <v>A</v>
          </cell>
        </row>
      </sheetData>
      <sheetData sheetId="1726">
        <row r="9">
          <cell r="A9" t="str">
            <v>A</v>
          </cell>
        </row>
      </sheetData>
      <sheetData sheetId="1727">
        <row r="9">
          <cell r="A9" t="str">
            <v>A</v>
          </cell>
        </row>
      </sheetData>
      <sheetData sheetId="1728">
        <row r="9">
          <cell r="A9" t="str">
            <v>A</v>
          </cell>
        </row>
      </sheetData>
      <sheetData sheetId="1729">
        <row r="9">
          <cell r="A9" t="str">
            <v>A</v>
          </cell>
        </row>
      </sheetData>
      <sheetData sheetId="1730">
        <row r="9">
          <cell r="A9" t="str">
            <v>A</v>
          </cell>
        </row>
      </sheetData>
      <sheetData sheetId="1731">
        <row r="9">
          <cell r="A9" t="str">
            <v>A</v>
          </cell>
        </row>
      </sheetData>
      <sheetData sheetId="1732">
        <row r="9">
          <cell r="A9" t="str">
            <v>A</v>
          </cell>
        </row>
      </sheetData>
      <sheetData sheetId="1733">
        <row r="9">
          <cell r="A9" t="str">
            <v>A</v>
          </cell>
        </row>
      </sheetData>
      <sheetData sheetId="1734">
        <row r="9">
          <cell r="A9" t="str">
            <v>A</v>
          </cell>
        </row>
      </sheetData>
      <sheetData sheetId="1735">
        <row r="9">
          <cell r="A9" t="str">
            <v>A</v>
          </cell>
        </row>
      </sheetData>
      <sheetData sheetId="1736">
        <row r="9">
          <cell r="A9" t="str">
            <v>A</v>
          </cell>
        </row>
      </sheetData>
      <sheetData sheetId="1737">
        <row r="9">
          <cell r="A9" t="str">
            <v>A</v>
          </cell>
        </row>
      </sheetData>
      <sheetData sheetId="1738">
        <row r="9">
          <cell r="A9" t="str">
            <v>A</v>
          </cell>
        </row>
      </sheetData>
      <sheetData sheetId="1739">
        <row r="9">
          <cell r="A9" t="str">
            <v>A</v>
          </cell>
        </row>
      </sheetData>
      <sheetData sheetId="1740">
        <row r="9">
          <cell r="A9" t="str">
            <v>A</v>
          </cell>
        </row>
      </sheetData>
      <sheetData sheetId="1741">
        <row r="9">
          <cell r="A9" t="str">
            <v>A</v>
          </cell>
        </row>
      </sheetData>
      <sheetData sheetId="1742">
        <row r="9">
          <cell r="A9" t="str">
            <v>A</v>
          </cell>
        </row>
      </sheetData>
      <sheetData sheetId="1743">
        <row r="9">
          <cell r="A9" t="str">
            <v>A</v>
          </cell>
        </row>
      </sheetData>
      <sheetData sheetId="1744">
        <row r="9">
          <cell r="A9" t="str">
            <v>A</v>
          </cell>
        </row>
      </sheetData>
      <sheetData sheetId="1745">
        <row r="9">
          <cell r="A9" t="str">
            <v>A</v>
          </cell>
        </row>
      </sheetData>
      <sheetData sheetId="1746">
        <row r="9">
          <cell r="A9" t="str">
            <v>A</v>
          </cell>
        </row>
      </sheetData>
      <sheetData sheetId="1747">
        <row r="9">
          <cell r="A9" t="str">
            <v>A</v>
          </cell>
        </row>
      </sheetData>
      <sheetData sheetId="1748">
        <row r="9">
          <cell r="A9" t="str">
            <v>A</v>
          </cell>
        </row>
      </sheetData>
      <sheetData sheetId="1749">
        <row r="9">
          <cell r="A9" t="str">
            <v>A</v>
          </cell>
        </row>
      </sheetData>
      <sheetData sheetId="1750">
        <row r="9">
          <cell r="A9" t="str">
            <v>A</v>
          </cell>
        </row>
      </sheetData>
      <sheetData sheetId="1751">
        <row r="9">
          <cell r="A9" t="str">
            <v>A</v>
          </cell>
        </row>
      </sheetData>
      <sheetData sheetId="1752">
        <row r="9">
          <cell r="A9" t="str">
            <v>A</v>
          </cell>
        </row>
      </sheetData>
      <sheetData sheetId="1753">
        <row r="9">
          <cell r="A9" t="str">
            <v>A</v>
          </cell>
        </row>
      </sheetData>
      <sheetData sheetId="1754">
        <row r="9">
          <cell r="A9" t="str">
            <v>A</v>
          </cell>
        </row>
      </sheetData>
      <sheetData sheetId="1755">
        <row r="9">
          <cell r="A9" t="str">
            <v>A</v>
          </cell>
        </row>
      </sheetData>
      <sheetData sheetId="1756">
        <row r="9">
          <cell r="A9" t="str">
            <v>A</v>
          </cell>
        </row>
      </sheetData>
      <sheetData sheetId="1757">
        <row r="9">
          <cell r="A9" t="str">
            <v>A</v>
          </cell>
        </row>
      </sheetData>
      <sheetData sheetId="1758">
        <row r="9">
          <cell r="A9" t="str">
            <v>A</v>
          </cell>
        </row>
      </sheetData>
      <sheetData sheetId="1759">
        <row r="9">
          <cell r="A9" t="str">
            <v>A</v>
          </cell>
        </row>
      </sheetData>
      <sheetData sheetId="1760">
        <row r="9">
          <cell r="A9" t="str">
            <v>A</v>
          </cell>
        </row>
      </sheetData>
      <sheetData sheetId="1761">
        <row r="9">
          <cell r="A9" t="str">
            <v>A</v>
          </cell>
        </row>
      </sheetData>
      <sheetData sheetId="1762">
        <row r="9">
          <cell r="A9" t="str">
            <v>A</v>
          </cell>
        </row>
      </sheetData>
      <sheetData sheetId="1763">
        <row r="9">
          <cell r="A9" t="str">
            <v>A</v>
          </cell>
        </row>
      </sheetData>
      <sheetData sheetId="1764">
        <row r="9">
          <cell r="A9" t="str">
            <v>A</v>
          </cell>
        </row>
      </sheetData>
      <sheetData sheetId="1765">
        <row r="9">
          <cell r="A9" t="str">
            <v>A</v>
          </cell>
        </row>
      </sheetData>
      <sheetData sheetId="1766">
        <row r="9">
          <cell r="A9" t="str">
            <v>A</v>
          </cell>
        </row>
      </sheetData>
      <sheetData sheetId="1767">
        <row r="9">
          <cell r="A9" t="str">
            <v>A</v>
          </cell>
        </row>
      </sheetData>
      <sheetData sheetId="1768">
        <row r="9">
          <cell r="A9" t="str">
            <v>A</v>
          </cell>
        </row>
      </sheetData>
      <sheetData sheetId="1769">
        <row r="9">
          <cell r="A9" t="str">
            <v>A</v>
          </cell>
        </row>
      </sheetData>
      <sheetData sheetId="1770">
        <row r="9">
          <cell r="A9" t="str">
            <v>A</v>
          </cell>
        </row>
      </sheetData>
      <sheetData sheetId="1771">
        <row r="9">
          <cell r="A9" t="str">
            <v>A</v>
          </cell>
        </row>
      </sheetData>
      <sheetData sheetId="1772">
        <row r="9">
          <cell r="A9" t="str">
            <v>A</v>
          </cell>
        </row>
      </sheetData>
      <sheetData sheetId="1773">
        <row r="9">
          <cell r="A9" t="str">
            <v>A</v>
          </cell>
        </row>
      </sheetData>
      <sheetData sheetId="1774">
        <row r="9">
          <cell r="A9" t="str">
            <v>A</v>
          </cell>
        </row>
      </sheetData>
      <sheetData sheetId="1775">
        <row r="9">
          <cell r="A9" t="str">
            <v>A</v>
          </cell>
        </row>
      </sheetData>
      <sheetData sheetId="1776">
        <row r="9">
          <cell r="A9" t="str">
            <v>A</v>
          </cell>
        </row>
      </sheetData>
      <sheetData sheetId="1777">
        <row r="9">
          <cell r="A9" t="str">
            <v>A</v>
          </cell>
        </row>
      </sheetData>
      <sheetData sheetId="1778">
        <row r="9">
          <cell r="A9" t="str">
            <v>A</v>
          </cell>
        </row>
      </sheetData>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row r="9">
          <cell r="A9" t="str">
            <v>A</v>
          </cell>
        </row>
      </sheetData>
      <sheetData sheetId="1818">
        <row r="9">
          <cell r="A9" t="str">
            <v>A</v>
          </cell>
        </row>
      </sheetData>
      <sheetData sheetId="1819">
        <row r="9">
          <cell r="A9" t="str">
            <v>A</v>
          </cell>
        </row>
      </sheetData>
      <sheetData sheetId="1820">
        <row r="9">
          <cell r="A9" t="str">
            <v>A</v>
          </cell>
        </row>
      </sheetData>
      <sheetData sheetId="1821">
        <row r="9">
          <cell r="A9" t="str">
            <v>A</v>
          </cell>
        </row>
      </sheetData>
      <sheetData sheetId="1822">
        <row r="9">
          <cell r="A9" t="str">
            <v>A</v>
          </cell>
        </row>
      </sheetData>
      <sheetData sheetId="1823">
        <row r="9">
          <cell r="A9" t="str">
            <v>A</v>
          </cell>
        </row>
      </sheetData>
      <sheetData sheetId="1824">
        <row r="9">
          <cell r="A9" t="str">
            <v>A</v>
          </cell>
        </row>
      </sheetData>
      <sheetData sheetId="1825">
        <row r="9">
          <cell r="A9" t="str">
            <v>A</v>
          </cell>
        </row>
      </sheetData>
      <sheetData sheetId="1826">
        <row r="9">
          <cell r="A9" t="str">
            <v>A</v>
          </cell>
        </row>
      </sheetData>
      <sheetData sheetId="1827">
        <row r="9">
          <cell r="A9" t="str">
            <v>A</v>
          </cell>
        </row>
      </sheetData>
      <sheetData sheetId="1828">
        <row r="9">
          <cell r="A9" t="str">
            <v>A</v>
          </cell>
        </row>
      </sheetData>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ow r="9">
          <cell r="A9" t="str">
            <v>A</v>
          </cell>
        </row>
      </sheetData>
      <sheetData sheetId="1845">
        <row r="9">
          <cell r="A9" t="str">
            <v>A</v>
          </cell>
        </row>
      </sheetData>
      <sheetData sheetId="1846">
        <row r="9">
          <cell r="A9" t="str">
            <v>A</v>
          </cell>
        </row>
      </sheetData>
      <sheetData sheetId="1847">
        <row r="9">
          <cell r="A9" t="str">
            <v>A</v>
          </cell>
        </row>
      </sheetData>
      <sheetData sheetId="1848">
        <row r="9">
          <cell r="A9" t="str">
            <v>A</v>
          </cell>
        </row>
      </sheetData>
      <sheetData sheetId="1849">
        <row r="9">
          <cell r="A9" t="str">
            <v>A</v>
          </cell>
        </row>
      </sheetData>
      <sheetData sheetId="1850">
        <row r="9">
          <cell r="A9" t="str">
            <v>A</v>
          </cell>
        </row>
      </sheetData>
      <sheetData sheetId="1851">
        <row r="9">
          <cell r="A9" t="str">
            <v>A</v>
          </cell>
        </row>
      </sheetData>
      <sheetData sheetId="1852">
        <row r="9">
          <cell r="A9" t="str">
            <v>A</v>
          </cell>
        </row>
      </sheetData>
      <sheetData sheetId="1853">
        <row r="9">
          <cell r="A9" t="str">
            <v>A</v>
          </cell>
        </row>
      </sheetData>
      <sheetData sheetId="1854">
        <row r="9">
          <cell r="A9" t="str">
            <v>A</v>
          </cell>
        </row>
      </sheetData>
      <sheetData sheetId="1855">
        <row r="9">
          <cell r="A9" t="str">
            <v>A</v>
          </cell>
        </row>
      </sheetData>
      <sheetData sheetId="1856">
        <row r="9">
          <cell r="A9" t="str">
            <v>A</v>
          </cell>
        </row>
      </sheetData>
      <sheetData sheetId="1857">
        <row r="9">
          <cell r="A9" t="str">
            <v>A</v>
          </cell>
        </row>
      </sheetData>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ow r="9">
          <cell r="A9" t="str">
            <v>A</v>
          </cell>
        </row>
      </sheetData>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ow r="9">
          <cell r="A9" t="str">
            <v>A</v>
          </cell>
        </row>
      </sheetData>
      <sheetData sheetId="1934">
        <row r="9">
          <cell r="A9" t="str">
            <v>A</v>
          </cell>
        </row>
      </sheetData>
      <sheetData sheetId="1935">
        <row r="9">
          <cell r="A9" t="str">
            <v>A</v>
          </cell>
        </row>
      </sheetData>
      <sheetData sheetId="1936">
        <row r="9">
          <cell r="A9" t="str">
            <v>A</v>
          </cell>
        </row>
      </sheetData>
      <sheetData sheetId="1937">
        <row r="9">
          <cell r="A9" t="str">
            <v>A</v>
          </cell>
        </row>
      </sheetData>
      <sheetData sheetId="1938">
        <row r="9">
          <cell r="A9" t="str">
            <v>A</v>
          </cell>
        </row>
      </sheetData>
      <sheetData sheetId="1939">
        <row r="9">
          <cell r="A9" t="str">
            <v>A</v>
          </cell>
        </row>
      </sheetData>
      <sheetData sheetId="1940">
        <row r="9">
          <cell r="A9" t="str">
            <v>A</v>
          </cell>
        </row>
      </sheetData>
      <sheetData sheetId="1941">
        <row r="9">
          <cell r="A9" t="str">
            <v>A</v>
          </cell>
        </row>
      </sheetData>
      <sheetData sheetId="1942">
        <row r="9">
          <cell r="A9" t="str">
            <v>A</v>
          </cell>
        </row>
      </sheetData>
      <sheetData sheetId="1943">
        <row r="9">
          <cell r="A9" t="str">
            <v>A</v>
          </cell>
        </row>
      </sheetData>
      <sheetData sheetId="1944">
        <row r="9">
          <cell r="A9" t="str">
            <v>A</v>
          </cell>
        </row>
      </sheetData>
      <sheetData sheetId="1945">
        <row r="9">
          <cell r="A9" t="str">
            <v>A</v>
          </cell>
        </row>
      </sheetData>
      <sheetData sheetId="1946">
        <row r="9">
          <cell r="A9" t="str">
            <v>A</v>
          </cell>
        </row>
      </sheetData>
      <sheetData sheetId="1947">
        <row r="9">
          <cell r="A9" t="str">
            <v>A</v>
          </cell>
        </row>
      </sheetData>
      <sheetData sheetId="1948">
        <row r="9">
          <cell r="A9" t="str">
            <v>A</v>
          </cell>
        </row>
      </sheetData>
      <sheetData sheetId="1949">
        <row r="9">
          <cell r="A9" t="str">
            <v>A</v>
          </cell>
        </row>
      </sheetData>
      <sheetData sheetId="1950">
        <row r="9">
          <cell r="A9" t="str">
            <v>A</v>
          </cell>
        </row>
      </sheetData>
      <sheetData sheetId="1951">
        <row r="9">
          <cell r="A9" t="str">
            <v>A</v>
          </cell>
        </row>
      </sheetData>
      <sheetData sheetId="1952">
        <row r="9">
          <cell r="A9" t="str">
            <v>A</v>
          </cell>
        </row>
      </sheetData>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ow r="9">
          <cell r="A9" t="str">
            <v>A</v>
          </cell>
        </row>
      </sheetData>
      <sheetData sheetId="1965">
        <row r="9">
          <cell r="A9" t="str">
            <v>A</v>
          </cell>
        </row>
      </sheetData>
      <sheetData sheetId="1966">
        <row r="9">
          <cell r="A9" t="str">
            <v>A</v>
          </cell>
        </row>
      </sheetData>
      <sheetData sheetId="1967">
        <row r="9">
          <cell r="A9" t="str">
            <v>A</v>
          </cell>
        </row>
      </sheetData>
      <sheetData sheetId="1968">
        <row r="9">
          <cell r="A9" t="str">
            <v>A</v>
          </cell>
        </row>
      </sheetData>
      <sheetData sheetId="1969">
        <row r="9">
          <cell r="A9" t="str">
            <v>A</v>
          </cell>
        </row>
      </sheetData>
      <sheetData sheetId="1970">
        <row r="9">
          <cell r="A9" t="str">
            <v>A</v>
          </cell>
        </row>
      </sheetData>
      <sheetData sheetId="1971">
        <row r="9">
          <cell r="A9" t="str">
            <v>A</v>
          </cell>
        </row>
      </sheetData>
      <sheetData sheetId="1972">
        <row r="9">
          <cell r="A9" t="str">
            <v>A</v>
          </cell>
        </row>
      </sheetData>
      <sheetData sheetId="1973">
        <row r="9">
          <cell r="A9" t="str">
            <v>A</v>
          </cell>
        </row>
      </sheetData>
      <sheetData sheetId="1974">
        <row r="9">
          <cell r="A9" t="str">
            <v>A</v>
          </cell>
        </row>
      </sheetData>
      <sheetData sheetId="1975">
        <row r="9">
          <cell r="A9" t="str">
            <v>A</v>
          </cell>
        </row>
      </sheetData>
      <sheetData sheetId="1976">
        <row r="9">
          <cell r="A9" t="str">
            <v>A</v>
          </cell>
        </row>
      </sheetData>
      <sheetData sheetId="1977">
        <row r="9">
          <cell r="A9" t="str">
            <v>A</v>
          </cell>
        </row>
      </sheetData>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ow r="9">
          <cell r="A9" t="str">
            <v>A</v>
          </cell>
        </row>
      </sheetData>
      <sheetData sheetId="1983">
        <row r="9">
          <cell r="A9" t="str">
            <v>A</v>
          </cell>
        </row>
      </sheetData>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row r="9">
          <cell r="A9" t="str">
            <v>A</v>
          </cell>
        </row>
      </sheetData>
      <sheetData sheetId="2019">
        <row r="9">
          <cell r="A9" t="str">
            <v>A</v>
          </cell>
        </row>
      </sheetData>
      <sheetData sheetId="2020">
        <row r="9">
          <cell r="A9" t="str">
            <v>A</v>
          </cell>
        </row>
      </sheetData>
      <sheetData sheetId="2021">
        <row r="9">
          <cell r="A9" t="str">
            <v>A</v>
          </cell>
        </row>
      </sheetData>
      <sheetData sheetId="2022">
        <row r="9">
          <cell r="A9" t="str">
            <v>A</v>
          </cell>
        </row>
      </sheetData>
      <sheetData sheetId="2023">
        <row r="9">
          <cell r="A9" t="str">
            <v>A</v>
          </cell>
        </row>
      </sheetData>
      <sheetData sheetId="2024">
        <row r="9">
          <cell r="A9" t="str">
            <v>A</v>
          </cell>
        </row>
      </sheetData>
      <sheetData sheetId="2025">
        <row r="9">
          <cell r="A9" t="str">
            <v>A</v>
          </cell>
        </row>
      </sheetData>
      <sheetData sheetId="2026">
        <row r="9">
          <cell r="A9" t="str">
            <v>A</v>
          </cell>
        </row>
      </sheetData>
      <sheetData sheetId="2027">
        <row r="9">
          <cell r="A9" t="str">
            <v>A</v>
          </cell>
        </row>
      </sheetData>
      <sheetData sheetId="2028">
        <row r="9">
          <cell r="A9" t="str">
            <v>A</v>
          </cell>
        </row>
      </sheetData>
      <sheetData sheetId="2029">
        <row r="9">
          <cell r="A9" t="str">
            <v>A</v>
          </cell>
        </row>
      </sheetData>
      <sheetData sheetId="2030">
        <row r="9">
          <cell r="A9" t="str">
            <v>A</v>
          </cell>
        </row>
      </sheetData>
      <sheetData sheetId="2031">
        <row r="9">
          <cell r="A9" t="str">
            <v>A</v>
          </cell>
        </row>
      </sheetData>
      <sheetData sheetId="2032">
        <row r="9">
          <cell r="A9" t="str">
            <v>A</v>
          </cell>
        </row>
      </sheetData>
      <sheetData sheetId="2033">
        <row r="9">
          <cell r="A9" t="str">
            <v>A</v>
          </cell>
        </row>
      </sheetData>
      <sheetData sheetId="2034">
        <row r="9">
          <cell r="A9" t="str">
            <v>A</v>
          </cell>
        </row>
      </sheetData>
      <sheetData sheetId="2035">
        <row r="9">
          <cell r="A9" t="str">
            <v>A</v>
          </cell>
        </row>
      </sheetData>
      <sheetData sheetId="2036">
        <row r="9">
          <cell r="A9" t="str">
            <v>A</v>
          </cell>
        </row>
      </sheetData>
      <sheetData sheetId="2037">
        <row r="9">
          <cell r="A9" t="str">
            <v>A</v>
          </cell>
        </row>
      </sheetData>
      <sheetData sheetId="2038">
        <row r="9">
          <cell r="A9" t="str">
            <v>A</v>
          </cell>
        </row>
      </sheetData>
      <sheetData sheetId="2039">
        <row r="9">
          <cell r="A9" t="str">
            <v>A</v>
          </cell>
        </row>
      </sheetData>
      <sheetData sheetId="2040">
        <row r="9">
          <cell r="A9" t="str">
            <v>A</v>
          </cell>
        </row>
      </sheetData>
      <sheetData sheetId="2041">
        <row r="9">
          <cell r="A9" t="str">
            <v>A</v>
          </cell>
        </row>
      </sheetData>
      <sheetData sheetId="2042">
        <row r="9">
          <cell r="A9" t="str">
            <v>A</v>
          </cell>
        </row>
      </sheetData>
      <sheetData sheetId="2043">
        <row r="9">
          <cell r="A9" t="str">
            <v>A</v>
          </cell>
        </row>
      </sheetData>
      <sheetData sheetId="2044">
        <row r="9">
          <cell r="A9" t="str">
            <v>A</v>
          </cell>
        </row>
      </sheetData>
      <sheetData sheetId="2045">
        <row r="9">
          <cell r="A9" t="str">
            <v>A</v>
          </cell>
        </row>
      </sheetData>
      <sheetData sheetId="2046">
        <row r="9">
          <cell r="A9" t="str">
            <v>A</v>
          </cell>
        </row>
      </sheetData>
      <sheetData sheetId="2047">
        <row r="9">
          <cell r="A9" t="str">
            <v>A</v>
          </cell>
        </row>
      </sheetData>
      <sheetData sheetId="2048">
        <row r="9">
          <cell r="A9" t="str">
            <v>A</v>
          </cell>
        </row>
      </sheetData>
      <sheetData sheetId="2049">
        <row r="9">
          <cell r="A9" t="str">
            <v>A</v>
          </cell>
        </row>
      </sheetData>
      <sheetData sheetId="2050">
        <row r="9">
          <cell r="A9" t="str">
            <v>A</v>
          </cell>
        </row>
      </sheetData>
      <sheetData sheetId="2051">
        <row r="9">
          <cell r="A9" t="str">
            <v>A</v>
          </cell>
        </row>
      </sheetData>
      <sheetData sheetId="2052">
        <row r="9">
          <cell r="A9" t="str">
            <v>A</v>
          </cell>
        </row>
      </sheetData>
      <sheetData sheetId="2053">
        <row r="9">
          <cell r="A9" t="str">
            <v>A</v>
          </cell>
        </row>
      </sheetData>
      <sheetData sheetId="2054">
        <row r="9">
          <cell r="A9" t="str">
            <v>A</v>
          </cell>
        </row>
      </sheetData>
      <sheetData sheetId="2055">
        <row r="9">
          <cell r="A9" t="str">
            <v>A</v>
          </cell>
        </row>
      </sheetData>
      <sheetData sheetId="2056">
        <row r="9">
          <cell r="A9" t="str">
            <v>A</v>
          </cell>
        </row>
      </sheetData>
      <sheetData sheetId="2057">
        <row r="9">
          <cell r="A9" t="str">
            <v>A</v>
          </cell>
        </row>
      </sheetData>
      <sheetData sheetId="2058">
        <row r="9">
          <cell r="A9" t="str">
            <v>A</v>
          </cell>
        </row>
      </sheetData>
      <sheetData sheetId="2059">
        <row r="9">
          <cell r="A9" t="str">
            <v>A</v>
          </cell>
        </row>
      </sheetData>
      <sheetData sheetId="2060">
        <row r="9">
          <cell r="A9" t="str">
            <v>A</v>
          </cell>
        </row>
      </sheetData>
      <sheetData sheetId="2061">
        <row r="9">
          <cell r="A9" t="str">
            <v>A</v>
          </cell>
        </row>
      </sheetData>
      <sheetData sheetId="2062">
        <row r="9">
          <cell r="A9" t="str">
            <v>A</v>
          </cell>
        </row>
      </sheetData>
      <sheetData sheetId="2063">
        <row r="9">
          <cell r="A9" t="str">
            <v>A</v>
          </cell>
        </row>
      </sheetData>
      <sheetData sheetId="2064">
        <row r="9">
          <cell r="A9" t="str">
            <v>A</v>
          </cell>
        </row>
      </sheetData>
      <sheetData sheetId="2065">
        <row r="9">
          <cell r="A9" t="str">
            <v>A</v>
          </cell>
        </row>
      </sheetData>
      <sheetData sheetId="2066">
        <row r="9">
          <cell r="A9" t="str">
            <v>A</v>
          </cell>
        </row>
      </sheetData>
      <sheetData sheetId="2067">
        <row r="9">
          <cell r="A9" t="str">
            <v>A</v>
          </cell>
        </row>
      </sheetData>
      <sheetData sheetId="2068">
        <row r="9">
          <cell r="A9" t="str">
            <v>A</v>
          </cell>
        </row>
      </sheetData>
      <sheetData sheetId="2069">
        <row r="9">
          <cell r="A9" t="str">
            <v>A</v>
          </cell>
        </row>
      </sheetData>
      <sheetData sheetId="2070">
        <row r="9">
          <cell r="A9" t="str">
            <v>A</v>
          </cell>
        </row>
      </sheetData>
      <sheetData sheetId="2071">
        <row r="9">
          <cell r="A9" t="str">
            <v>A</v>
          </cell>
        </row>
      </sheetData>
      <sheetData sheetId="2072">
        <row r="9">
          <cell r="A9" t="str">
            <v>A</v>
          </cell>
        </row>
      </sheetData>
      <sheetData sheetId="2073">
        <row r="9">
          <cell r="A9" t="str">
            <v>A</v>
          </cell>
        </row>
      </sheetData>
      <sheetData sheetId="2074">
        <row r="9">
          <cell r="A9" t="str">
            <v>A</v>
          </cell>
        </row>
      </sheetData>
      <sheetData sheetId="2075">
        <row r="9">
          <cell r="A9" t="str">
            <v>A</v>
          </cell>
        </row>
      </sheetData>
      <sheetData sheetId="2076">
        <row r="9">
          <cell r="A9" t="str">
            <v>A</v>
          </cell>
        </row>
      </sheetData>
      <sheetData sheetId="2077">
        <row r="9">
          <cell r="A9" t="str">
            <v>A</v>
          </cell>
        </row>
      </sheetData>
      <sheetData sheetId="2078">
        <row r="9">
          <cell r="A9" t="str">
            <v>A</v>
          </cell>
        </row>
      </sheetData>
      <sheetData sheetId="2079">
        <row r="9">
          <cell r="A9" t="str">
            <v>A</v>
          </cell>
        </row>
      </sheetData>
      <sheetData sheetId="2080">
        <row r="9">
          <cell r="A9" t="str">
            <v>A</v>
          </cell>
        </row>
      </sheetData>
      <sheetData sheetId="2081">
        <row r="9">
          <cell r="A9" t="str">
            <v>A</v>
          </cell>
        </row>
      </sheetData>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row r="9">
          <cell r="A9" t="str">
            <v>A</v>
          </cell>
        </row>
      </sheetData>
      <sheetData sheetId="2089">
        <row r="9">
          <cell r="A9" t="str">
            <v>A</v>
          </cell>
        </row>
      </sheetData>
      <sheetData sheetId="2090">
        <row r="9">
          <cell r="A9" t="str">
            <v>A</v>
          </cell>
        </row>
      </sheetData>
      <sheetData sheetId="2091">
        <row r="9">
          <cell r="A9" t="str">
            <v>A</v>
          </cell>
        </row>
      </sheetData>
      <sheetData sheetId="2092">
        <row r="9">
          <cell r="A9" t="str">
            <v>A</v>
          </cell>
        </row>
      </sheetData>
      <sheetData sheetId="2093">
        <row r="9">
          <cell r="A9" t="str">
            <v>A</v>
          </cell>
        </row>
      </sheetData>
      <sheetData sheetId="2094">
        <row r="9">
          <cell r="A9" t="str">
            <v>A</v>
          </cell>
        </row>
      </sheetData>
      <sheetData sheetId="2095">
        <row r="9">
          <cell r="A9" t="str">
            <v>A</v>
          </cell>
        </row>
      </sheetData>
      <sheetData sheetId="2096">
        <row r="9">
          <cell r="A9" t="str">
            <v>A</v>
          </cell>
        </row>
      </sheetData>
      <sheetData sheetId="2097">
        <row r="9">
          <cell r="A9" t="str">
            <v>A</v>
          </cell>
        </row>
      </sheetData>
      <sheetData sheetId="2098">
        <row r="9">
          <cell r="A9" t="str">
            <v>A</v>
          </cell>
        </row>
      </sheetData>
      <sheetData sheetId="2099">
        <row r="9">
          <cell r="A9" t="str">
            <v>A</v>
          </cell>
        </row>
      </sheetData>
      <sheetData sheetId="2100">
        <row r="9">
          <cell r="A9" t="str">
            <v>A</v>
          </cell>
        </row>
      </sheetData>
      <sheetData sheetId="2101">
        <row r="9">
          <cell r="A9" t="str">
            <v>A</v>
          </cell>
        </row>
      </sheetData>
      <sheetData sheetId="2102">
        <row r="9">
          <cell r="A9" t="str">
            <v>A</v>
          </cell>
        </row>
      </sheetData>
      <sheetData sheetId="2103">
        <row r="9">
          <cell r="A9" t="str">
            <v>A</v>
          </cell>
        </row>
      </sheetData>
      <sheetData sheetId="2104">
        <row r="9">
          <cell r="A9" t="str">
            <v>A</v>
          </cell>
        </row>
      </sheetData>
      <sheetData sheetId="2105">
        <row r="9">
          <cell r="A9" t="str">
            <v>A</v>
          </cell>
        </row>
      </sheetData>
      <sheetData sheetId="2106">
        <row r="9">
          <cell r="A9" t="str">
            <v>A</v>
          </cell>
        </row>
      </sheetData>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row r="9">
          <cell r="A9" t="str">
            <v>A</v>
          </cell>
        </row>
      </sheetData>
      <sheetData sheetId="2117">
        <row r="9">
          <cell r="A9" t="str">
            <v>A</v>
          </cell>
        </row>
      </sheetData>
      <sheetData sheetId="2118">
        <row r="9">
          <cell r="A9" t="str">
            <v>A</v>
          </cell>
        </row>
      </sheetData>
      <sheetData sheetId="2119">
        <row r="9">
          <cell r="A9" t="str">
            <v>A</v>
          </cell>
        </row>
      </sheetData>
      <sheetData sheetId="2120">
        <row r="9">
          <cell r="A9" t="str">
            <v>A</v>
          </cell>
        </row>
      </sheetData>
      <sheetData sheetId="2121">
        <row r="9">
          <cell r="A9" t="str">
            <v>A</v>
          </cell>
        </row>
      </sheetData>
      <sheetData sheetId="2122">
        <row r="9">
          <cell r="A9" t="str">
            <v>A</v>
          </cell>
        </row>
      </sheetData>
      <sheetData sheetId="2123">
        <row r="9">
          <cell r="A9" t="str">
            <v>A</v>
          </cell>
        </row>
      </sheetData>
      <sheetData sheetId="2124">
        <row r="9">
          <cell r="A9" t="str">
            <v>A</v>
          </cell>
        </row>
      </sheetData>
      <sheetData sheetId="2125">
        <row r="9">
          <cell r="A9" t="str">
            <v>A</v>
          </cell>
        </row>
      </sheetData>
      <sheetData sheetId="2126">
        <row r="9">
          <cell r="A9" t="str">
            <v>A</v>
          </cell>
        </row>
      </sheetData>
      <sheetData sheetId="2127">
        <row r="9">
          <cell r="A9" t="str">
            <v>A</v>
          </cell>
        </row>
      </sheetData>
      <sheetData sheetId="2128">
        <row r="9">
          <cell r="A9" t="str">
            <v>A</v>
          </cell>
        </row>
      </sheetData>
      <sheetData sheetId="2129">
        <row r="9">
          <cell r="A9" t="str">
            <v>A</v>
          </cell>
        </row>
      </sheetData>
      <sheetData sheetId="2130">
        <row r="9">
          <cell r="A9" t="str">
            <v>A</v>
          </cell>
        </row>
      </sheetData>
      <sheetData sheetId="2131">
        <row r="9">
          <cell r="A9" t="str">
            <v>A</v>
          </cell>
        </row>
      </sheetData>
      <sheetData sheetId="2132">
        <row r="9">
          <cell r="A9" t="str">
            <v>A</v>
          </cell>
        </row>
      </sheetData>
      <sheetData sheetId="2133">
        <row r="9">
          <cell r="A9" t="str">
            <v>A</v>
          </cell>
        </row>
      </sheetData>
      <sheetData sheetId="2134">
        <row r="9">
          <cell r="A9" t="str">
            <v>A</v>
          </cell>
        </row>
      </sheetData>
      <sheetData sheetId="2135">
        <row r="9">
          <cell r="A9" t="str">
            <v>A</v>
          </cell>
        </row>
      </sheetData>
      <sheetData sheetId="2136">
        <row r="9">
          <cell r="A9" t="str">
            <v>A</v>
          </cell>
        </row>
      </sheetData>
      <sheetData sheetId="2137">
        <row r="9">
          <cell r="A9" t="str">
            <v>A</v>
          </cell>
        </row>
      </sheetData>
      <sheetData sheetId="2138">
        <row r="9">
          <cell r="A9" t="str">
            <v>A</v>
          </cell>
        </row>
      </sheetData>
      <sheetData sheetId="2139">
        <row r="9">
          <cell r="A9" t="str">
            <v>A</v>
          </cell>
        </row>
      </sheetData>
      <sheetData sheetId="2140">
        <row r="9">
          <cell r="A9" t="str">
            <v>A</v>
          </cell>
        </row>
      </sheetData>
      <sheetData sheetId="2141">
        <row r="9">
          <cell r="A9" t="str">
            <v>A</v>
          </cell>
        </row>
      </sheetData>
      <sheetData sheetId="2142">
        <row r="9">
          <cell r="A9" t="str">
            <v>A</v>
          </cell>
        </row>
      </sheetData>
      <sheetData sheetId="2143">
        <row r="9">
          <cell r="A9" t="str">
            <v>A</v>
          </cell>
        </row>
      </sheetData>
      <sheetData sheetId="2144">
        <row r="9">
          <cell r="A9" t="str">
            <v>A</v>
          </cell>
        </row>
      </sheetData>
      <sheetData sheetId="2145">
        <row r="9">
          <cell r="A9" t="str">
            <v>A</v>
          </cell>
        </row>
      </sheetData>
      <sheetData sheetId="2146">
        <row r="9">
          <cell r="A9" t="str">
            <v>A</v>
          </cell>
        </row>
      </sheetData>
      <sheetData sheetId="2147">
        <row r="9">
          <cell r="A9" t="str">
            <v>A</v>
          </cell>
        </row>
      </sheetData>
      <sheetData sheetId="2148">
        <row r="9">
          <cell r="A9" t="str">
            <v>A</v>
          </cell>
        </row>
      </sheetData>
      <sheetData sheetId="2149">
        <row r="9">
          <cell r="A9" t="str">
            <v>A</v>
          </cell>
        </row>
      </sheetData>
      <sheetData sheetId="2150">
        <row r="9">
          <cell r="A9" t="str">
            <v>A</v>
          </cell>
        </row>
      </sheetData>
      <sheetData sheetId="2151">
        <row r="9">
          <cell r="A9" t="str">
            <v>A</v>
          </cell>
        </row>
      </sheetData>
      <sheetData sheetId="2152">
        <row r="9">
          <cell r="A9" t="str">
            <v>A</v>
          </cell>
        </row>
      </sheetData>
      <sheetData sheetId="2153">
        <row r="9">
          <cell r="A9" t="str">
            <v>A</v>
          </cell>
        </row>
      </sheetData>
      <sheetData sheetId="2154">
        <row r="9">
          <cell r="A9" t="str">
            <v>A</v>
          </cell>
        </row>
      </sheetData>
      <sheetData sheetId="2155">
        <row r="9">
          <cell r="A9" t="str">
            <v>A</v>
          </cell>
        </row>
      </sheetData>
      <sheetData sheetId="2156">
        <row r="9">
          <cell r="A9" t="str">
            <v>A</v>
          </cell>
        </row>
      </sheetData>
      <sheetData sheetId="2157">
        <row r="9">
          <cell r="A9" t="str">
            <v>A</v>
          </cell>
        </row>
      </sheetData>
      <sheetData sheetId="2158">
        <row r="9">
          <cell r="A9" t="str">
            <v>A</v>
          </cell>
        </row>
      </sheetData>
      <sheetData sheetId="2159">
        <row r="9">
          <cell r="A9" t="str">
            <v>A</v>
          </cell>
        </row>
      </sheetData>
      <sheetData sheetId="2160">
        <row r="9">
          <cell r="A9" t="str">
            <v>A</v>
          </cell>
        </row>
      </sheetData>
      <sheetData sheetId="2161">
        <row r="9">
          <cell r="A9" t="str">
            <v>A</v>
          </cell>
        </row>
      </sheetData>
      <sheetData sheetId="2162">
        <row r="9">
          <cell r="A9" t="str">
            <v>A</v>
          </cell>
        </row>
      </sheetData>
      <sheetData sheetId="2163">
        <row r="9">
          <cell r="A9" t="str">
            <v>A</v>
          </cell>
        </row>
      </sheetData>
      <sheetData sheetId="2164">
        <row r="9">
          <cell r="A9" t="str">
            <v>A</v>
          </cell>
        </row>
      </sheetData>
      <sheetData sheetId="2165">
        <row r="9">
          <cell r="A9" t="str">
            <v>A</v>
          </cell>
        </row>
      </sheetData>
      <sheetData sheetId="2166">
        <row r="9">
          <cell r="A9" t="str">
            <v>A</v>
          </cell>
        </row>
      </sheetData>
      <sheetData sheetId="2167">
        <row r="9">
          <cell r="A9" t="str">
            <v>A</v>
          </cell>
        </row>
      </sheetData>
      <sheetData sheetId="2168">
        <row r="9">
          <cell r="A9" t="str">
            <v>A</v>
          </cell>
        </row>
      </sheetData>
      <sheetData sheetId="2169">
        <row r="9">
          <cell r="A9" t="str">
            <v>A</v>
          </cell>
        </row>
      </sheetData>
      <sheetData sheetId="2170">
        <row r="9">
          <cell r="A9" t="str">
            <v>A</v>
          </cell>
        </row>
      </sheetData>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ow r="9">
          <cell r="A9" t="str">
            <v>A</v>
          </cell>
        </row>
      </sheetData>
      <sheetData sheetId="2432">
        <row r="9">
          <cell r="A9" t="str">
            <v>A</v>
          </cell>
        </row>
      </sheetData>
      <sheetData sheetId="2433">
        <row r="9">
          <cell r="A9" t="str">
            <v>A</v>
          </cell>
        </row>
      </sheetData>
      <sheetData sheetId="2434">
        <row r="9">
          <cell r="A9" t="str">
            <v>A</v>
          </cell>
        </row>
      </sheetData>
      <sheetData sheetId="2435">
        <row r="9">
          <cell r="A9" t="str">
            <v>A</v>
          </cell>
        </row>
      </sheetData>
      <sheetData sheetId="2436">
        <row r="9">
          <cell r="A9" t="str">
            <v>A</v>
          </cell>
        </row>
      </sheetData>
      <sheetData sheetId="2437">
        <row r="9">
          <cell r="A9" t="str">
            <v>A</v>
          </cell>
        </row>
      </sheetData>
      <sheetData sheetId="2438">
        <row r="9">
          <cell r="A9" t="str">
            <v>A</v>
          </cell>
        </row>
      </sheetData>
      <sheetData sheetId="2439">
        <row r="9">
          <cell r="A9" t="str">
            <v>A</v>
          </cell>
        </row>
      </sheetData>
      <sheetData sheetId="2440">
        <row r="9">
          <cell r="A9" t="str">
            <v>A</v>
          </cell>
        </row>
      </sheetData>
      <sheetData sheetId="2441">
        <row r="9">
          <cell r="A9" t="str">
            <v>A</v>
          </cell>
        </row>
      </sheetData>
      <sheetData sheetId="2442">
        <row r="9">
          <cell r="A9" t="str">
            <v>A</v>
          </cell>
        </row>
      </sheetData>
      <sheetData sheetId="2443">
        <row r="9">
          <cell r="A9" t="str">
            <v>A</v>
          </cell>
        </row>
      </sheetData>
      <sheetData sheetId="2444" refreshError="1"/>
      <sheetData sheetId="2445" refreshError="1"/>
      <sheetData sheetId="2446" refreshError="1"/>
      <sheetData sheetId="2447" refreshError="1"/>
      <sheetData sheetId="2448">
        <row r="9">
          <cell r="A9" t="str">
            <v>A</v>
          </cell>
        </row>
      </sheetData>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ow r="9">
          <cell r="A9" t="str">
            <v>A</v>
          </cell>
        </row>
      </sheetData>
      <sheetData sheetId="2511" refreshError="1"/>
      <sheetData sheetId="2512" refreshError="1"/>
      <sheetData sheetId="2513" refreshError="1"/>
      <sheetData sheetId="2514" refreshError="1"/>
      <sheetData sheetId="2515">
        <row r="9">
          <cell r="A9" t="str">
            <v>A</v>
          </cell>
        </row>
      </sheetData>
      <sheetData sheetId="2516" refreshError="1"/>
      <sheetData sheetId="2517" refreshError="1"/>
      <sheetData sheetId="2518" refreshError="1"/>
      <sheetData sheetId="2519" refreshError="1"/>
      <sheetData sheetId="2520">
        <row r="9">
          <cell r="A9" t="str">
            <v>A</v>
          </cell>
        </row>
      </sheetData>
      <sheetData sheetId="2521">
        <row r="9">
          <cell r="A9" t="str">
            <v>A</v>
          </cell>
        </row>
      </sheetData>
      <sheetData sheetId="2522">
        <row r="9">
          <cell r="A9" t="str">
            <v>A</v>
          </cell>
        </row>
      </sheetData>
      <sheetData sheetId="2523">
        <row r="9">
          <cell r="A9" t="str">
            <v>A</v>
          </cell>
        </row>
      </sheetData>
      <sheetData sheetId="2524">
        <row r="9">
          <cell r="A9" t="str">
            <v>A</v>
          </cell>
        </row>
      </sheetData>
      <sheetData sheetId="2525">
        <row r="9">
          <cell r="A9" t="str">
            <v>A</v>
          </cell>
        </row>
      </sheetData>
      <sheetData sheetId="2526">
        <row r="9">
          <cell r="A9" t="str">
            <v>A</v>
          </cell>
        </row>
      </sheetData>
      <sheetData sheetId="2527">
        <row r="9">
          <cell r="A9" t="str">
            <v>A</v>
          </cell>
        </row>
      </sheetData>
      <sheetData sheetId="2528">
        <row r="9">
          <cell r="A9" t="str">
            <v>A</v>
          </cell>
        </row>
      </sheetData>
      <sheetData sheetId="2529">
        <row r="9">
          <cell r="A9" t="str">
            <v>A</v>
          </cell>
        </row>
      </sheetData>
      <sheetData sheetId="2530">
        <row r="9">
          <cell r="A9" t="str">
            <v>A</v>
          </cell>
        </row>
      </sheetData>
      <sheetData sheetId="2531">
        <row r="9">
          <cell r="A9" t="str">
            <v>A</v>
          </cell>
        </row>
      </sheetData>
      <sheetData sheetId="2532">
        <row r="9">
          <cell r="A9" t="str">
            <v>A</v>
          </cell>
        </row>
      </sheetData>
      <sheetData sheetId="2533">
        <row r="9">
          <cell r="A9" t="str">
            <v>A</v>
          </cell>
        </row>
      </sheetData>
      <sheetData sheetId="2534">
        <row r="9">
          <cell r="A9" t="str">
            <v>A</v>
          </cell>
        </row>
      </sheetData>
      <sheetData sheetId="2535" refreshError="1"/>
      <sheetData sheetId="2536" refreshError="1"/>
      <sheetData sheetId="2537">
        <row r="9">
          <cell r="A9" t="str">
            <v>A</v>
          </cell>
        </row>
      </sheetData>
      <sheetData sheetId="2538">
        <row r="9">
          <cell r="A9" t="str">
            <v>A</v>
          </cell>
        </row>
      </sheetData>
      <sheetData sheetId="2539">
        <row r="9">
          <cell r="A9" t="str">
            <v>A</v>
          </cell>
        </row>
      </sheetData>
      <sheetData sheetId="2540">
        <row r="9">
          <cell r="A9" t="str">
            <v>A</v>
          </cell>
        </row>
      </sheetData>
      <sheetData sheetId="2541">
        <row r="9">
          <cell r="A9" t="str">
            <v>A</v>
          </cell>
        </row>
      </sheetData>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ow r="9">
          <cell r="A9" t="str">
            <v>A</v>
          </cell>
        </row>
      </sheetData>
      <sheetData sheetId="2553">
        <row r="9">
          <cell r="A9" t="str">
            <v>A</v>
          </cell>
        </row>
      </sheetData>
      <sheetData sheetId="2554">
        <row r="9">
          <cell r="A9" t="str">
            <v>A</v>
          </cell>
        </row>
      </sheetData>
      <sheetData sheetId="2555">
        <row r="9">
          <cell r="A9" t="str">
            <v>A</v>
          </cell>
        </row>
      </sheetData>
      <sheetData sheetId="2556">
        <row r="9">
          <cell r="A9" t="str">
            <v>A</v>
          </cell>
        </row>
      </sheetData>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ow r="9">
          <cell r="A9" t="str">
            <v>A</v>
          </cell>
        </row>
      </sheetData>
      <sheetData sheetId="2629" refreshError="1"/>
      <sheetData sheetId="2630" refreshError="1"/>
      <sheetData sheetId="2631" refreshError="1"/>
      <sheetData sheetId="2632" refreshError="1"/>
      <sheetData sheetId="2633" refreshError="1"/>
      <sheetData sheetId="2634" refreshError="1"/>
      <sheetData sheetId="2635" refreshError="1"/>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refreshError="1"/>
      <sheetData sheetId="2661" refreshError="1"/>
      <sheetData sheetId="2662" refreshError="1"/>
      <sheetData sheetId="2663" refreshError="1"/>
      <sheetData sheetId="2664" refreshError="1"/>
      <sheetData sheetId="2665" refreshError="1"/>
      <sheetData sheetId="2666"/>
      <sheetData sheetId="2667"/>
      <sheetData sheetId="2668"/>
      <sheetData sheetId="2669"/>
      <sheetData sheetId="2670"/>
      <sheetData sheetId="2671"/>
      <sheetData sheetId="2672"/>
      <sheetData sheetId="2673" refreshError="1"/>
      <sheetData sheetId="2674"/>
      <sheetData sheetId="2675"/>
      <sheetData sheetId="2676"/>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sheetData sheetId="2695"/>
      <sheetData sheetId="2696"/>
      <sheetData sheetId="2697" refreshError="1"/>
      <sheetData sheetId="2698" refreshError="1"/>
      <sheetData sheetId="2699" refreshError="1"/>
      <sheetData sheetId="2700" refreshError="1"/>
      <sheetData sheetId="2701"/>
      <sheetData sheetId="2702" refreshError="1"/>
      <sheetData sheetId="2703" refreshError="1"/>
      <sheetData sheetId="2704" refreshError="1"/>
      <sheetData sheetId="2705" refreshError="1"/>
      <sheetData sheetId="2706" refreshError="1"/>
      <sheetData sheetId="2707" refreshError="1"/>
      <sheetData sheetId="2708" refreshError="1"/>
      <sheetData sheetId="2709">
        <row r="9">
          <cell r="A9" t="str">
            <v>A</v>
          </cell>
        </row>
      </sheetData>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ow r="9">
          <cell r="A9" t="str">
            <v>A</v>
          </cell>
        </row>
      </sheetData>
      <sheetData sheetId="2719">
        <row r="9">
          <cell r="A9" t="str">
            <v>A</v>
          </cell>
        </row>
      </sheetData>
      <sheetData sheetId="2720">
        <row r="9">
          <cell r="A9" t="str">
            <v>A</v>
          </cell>
        </row>
      </sheetData>
      <sheetData sheetId="2721">
        <row r="9">
          <cell r="A9" t="str">
            <v>A</v>
          </cell>
        </row>
      </sheetData>
      <sheetData sheetId="2722">
        <row r="9">
          <cell r="A9" t="str">
            <v>A</v>
          </cell>
        </row>
      </sheetData>
      <sheetData sheetId="2723">
        <row r="9">
          <cell r="A9" t="str">
            <v>A</v>
          </cell>
        </row>
      </sheetData>
      <sheetData sheetId="2724">
        <row r="9">
          <cell r="A9" t="str">
            <v>A</v>
          </cell>
        </row>
      </sheetData>
      <sheetData sheetId="2725">
        <row r="9">
          <cell r="A9" t="str">
            <v>A</v>
          </cell>
        </row>
      </sheetData>
      <sheetData sheetId="2726">
        <row r="9">
          <cell r="A9" t="str">
            <v>A</v>
          </cell>
        </row>
      </sheetData>
      <sheetData sheetId="2727">
        <row r="9">
          <cell r="A9" t="str">
            <v>A</v>
          </cell>
        </row>
      </sheetData>
      <sheetData sheetId="2728">
        <row r="9">
          <cell r="A9" t="str">
            <v>A</v>
          </cell>
        </row>
      </sheetData>
      <sheetData sheetId="2729">
        <row r="9">
          <cell r="A9" t="str">
            <v>A</v>
          </cell>
        </row>
      </sheetData>
      <sheetData sheetId="2730">
        <row r="9">
          <cell r="A9" t="str">
            <v>A</v>
          </cell>
        </row>
      </sheetData>
      <sheetData sheetId="2731">
        <row r="9">
          <cell r="A9" t="str">
            <v>A</v>
          </cell>
        </row>
      </sheetData>
      <sheetData sheetId="2732">
        <row r="9">
          <cell r="A9" t="str">
            <v>A</v>
          </cell>
        </row>
      </sheetData>
      <sheetData sheetId="2733">
        <row r="9">
          <cell r="A9" t="str">
            <v>A</v>
          </cell>
        </row>
      </sheetData>
      <sheetData sheetId="2734">
        <row r="9">
          <cell r="A9" t="str">
            <v>A</v>
          </cell>
        </row>
      </sheetData>
      <sheetData sheetId="2735">
        <row r="9">
          <cell r="A9" t="str">
            <v>A</v>
          </cell>
        </row>
      </sheetData>
      <sheetData sheetId="2736">
        <row r="9">
          <cell r="A9" t="str">
            <v>A</v>
          </cell>
        </row>
      </sheetData>
      <sheetData sheetId="2737">
        <row r="9">
          <cell r="A9" t="str">
            <v>A</v>
          </cell>
        </row>
      </sheetData>
      <sheetData sheetId="2738">
        <row r="9">
          <cell r="A9" t="str">
            <v>A</v>
          </cell>
        </row>
      </sheetData>
      <sheetData sheetId="2739">
        <row r="9">
          <cell r="A9" t="str">
            <v>A</v>
          </cell>
        </row>
      </sheetData>
      <sheetData sheetId="2740">
        <row r="9">
          <cell r="A9" t="str">
            <v>A</v>
          </cell>
        </row>
      </sheetData>
      <sheetData sheetId="2741">
        <row r="9">
          <cell r="A9" t="str">
            <v>A</v>
          </cell>
        </row>
      </sheetData>
      <sheetData sheetId="2742">
        <row r="9">
          <cell r="A9" t="str">
            <v>A</v>
          </cell>
        </row>
      </sheetData>
      <sheetData sheetId="2743">
        <row r="9">
          <cell r="A9" t="str">
            <v>A</v>
          </cell>
        </row>
      </sheetData>
      <sheetData sheetId="2744">
        <row r="9">
          <cell r="A9" t="str">
            <v>A</v>
          </cell>
        </row>
      </sheetData>
      <sheetData sheetId="2745">
        <row r="9">
          <cell r="A9" t="str">
            <v>A</v>
          </cell>
        </row>
      </sheetData>
      <sheetData sheetId="2746">
        <row r="9">
          <cell r="A9" t="str">
            <v>A</v>
          </cell>
        </row>
      </sheetData>
      <sheetData sheetId="2747">
        <row r="9">
          <cell r="A9" t="str">
            <v>A</v>
          </cell>
        </row>
      </sheetData>
      <sheetData sheetId="2748">
        <row r="9">
          <cell r="A9" t="str">
            <v>A</v>
          </cell>
        </row>
      </sheetData>
      <sheetData sheetId="2749">
        <row r="9">
          <cell r="A9" t="str">
            <v>A</v>
          </cell>
        </row>
      </sheetData>
      <sheetData sheetId="2750">
        <row r="9">
          <cell r="A9" t="str">
            <v>A</v>
          </cell>
        </row>
      </sheetData>
      <sheetData sheetId="2751">
        <row r="9">
          <cell r="A9" t="str">
            <v>A</v>
          </cell>
        </row>
      </sheetData>
      <sheetData sheetId="2752">
        <row r="9">
          <cell r="A9" t="str">
            <v>A</v>
          </cell>
        </row>
      </sheetData>
      <sheetData sheetId="2753">
        <row r="9">
          <cell r="A9" t="str">
            <v>A</v>
          </cell>
        </row>
      </sheetData>
      <sheetData sheetId="2754">
        <row r="9">
          <cell r="A9" t="str">
            <v>A</v>
          </cell>
        </row>
      </sheetData>
      <sheetData sheetId="2755">
        <row r="9">
          <cell r="A9" t="str">
            <v>A</v>
          </cell>
        </row>
      </sheetData>
      <sheetData sheetId="2756">
        <row r="9">
          <cell r="A9" t="str">
            <v>A</v>
          </cell>
        </row>
      </sheetData>
      <sheetData sheetId="2757">
        <row r="9">
          <cell r="A9" t="str">
            <v>A</v>
          </cell>
        </row>
      </sheetData>
      <sheetData sheetId="2758">
        <row r="9">
          <cell r="A9" t="str">
            <v>A</v>
          </cell>
        </row>
      </sheetData>
      <sheetData sheetId="2759">
        <row r="9">
          <cell r="A9" t="str">
            <v>A</v>
          </cell>
        </row>
      </sheetData>
      <sheetData sheetId="2760">
        <row r="9">
          <cell r="A9" t="str">
            <v>A</v>
          </cell>
        </row>
      </sheetData>
      <sheetData sheetId="2761">
        <row r="9">
          <cell r="A9" t="str">
            <v>A</v>
          </cell>
        </row>
      </sheetData>
      <sheetData sheetId="2762">
        <row r="9">
          <cell r="A9" t="str">
            <v>A</v>
          </cell>
        </row>
      </sheetData>
      <sheetData sheetId="2763">
        <row r="9">
          <cell r="A9" t="str">
            <v>A</v>
          </cell>
        </row>
      </sheetData>
      <sheetData sheetId="2764">
        <row r="9">
          <cell r="A9" t="str">
            <v>A</v>
          </cell>
        </row>
      </sheetData>
      <sheetData sheetId="2765">
        <row r="9">
          <cell r="A9" t="str">
            <v>A</v>
          </cell>
        </row>
      </sheetData>
      <sheetData sheetId="2766">
        <row r="9">
          <cell r="A9" t="str">
            <v>A</v>
          </cell>
        </row>
      </sheetData>
      <sheetData sheetId="2767">
        <row r="9">
          <cell r="A9" t="str">
            <v>A</v>
          </cell>
        </row>
      </sheetData>
      <sheetData sheetId="2768">
        <row r="9">
          <cell r="A9" t="str">
            <v>A</v>
          </cell>
        </row>
      </sheetData>
      <sheetData sheetId="2769">
        <row r="9">
          <cell r="A9" t="str">
            <v>A</v>
          </cell>
        </row>
      </sheetData>
      <sheetData sheetId="2770">
        <row r="9">
          <cell r="A9" t="str">
            <v>A</v>
          </cell>
        </row>
      </sheetData>
      <sheetData sheetId="2771">
        <row r="9">
          <cell r="A9" t="str">
            <v>A</v>
          </cell>
        </row>
      </sheetData>
      <sheetData sheetId="2772">
        <row r="9">
          <cell r="A9" t="str">
            <v>A</v>
          </cell>
        </row>
      </sheetData>
      <sheetData sheetId="2773">
        <row r="9">
          <cell r="A9" t="str">
            <v>A</v>
          </cell>
        </row>
      </sheetData>
      <sheetData sheetId="2774">
        <row r="9">
          <cell r="A9" t="str">
            <v>A</v>
          </cell>
        </row>
      </sheetData>
      <sheetData sheetId="2775">
        <row r="9">
          <cell r="A9" t="str">
            <v>A</v>
          </cell>
        </row>
      </sheetData>
      <sheetData sheetId="2776">
        <row r="9">
          <cell r="A9" t="str">
            <v>A</v>
          </cell>
        </row>
      </sheetData>
      <sheetData sheetId="2777">
        <row r="9">
          <cell r="A9" t="str">
            <v>A</v>
          </cell>
        </row>
      </sheetData>
      <sheetData sheetId="2778">
        <row r="9">
          <cell r="A9" t="str">
            <v>A</v>
          </cell>
        </row>
      </sheetData>
      <sheetData sheetId="2779">
        <row r="9">
          <cell r="A9" t="str">
            <v>A</v>
          </cell>
        </row>
      </sheetData>
      <sheetData sheetId="2780">
        <row r="9">
          <cell r="A9" t="str">
            <v>A</v>
          </cell>
        </row>
      </sheetData>
      <sheetData sheetId="2781">
        <row r="9">
          <cell r="A9" t="str">
            <v>A</v>
          </cell>
        </row>
      </sheetData>
      <sheetData sheetId="2782">
        <row r="9">
          <cell r="A9" t="str">
            <v>A</v>
          </cell>
        </row>
      </sheetData>
      <sheetData sheetId="2783">
        <row r="9">
          <cell r="A9" t="str">
            <v>A</v>
          </cell>
        </row>
      </sheetData>
      <sheetData sheetId="2784">
        <row r="9">
          <cell r="A9" t="str">
            <v>A</v>
          </cell>
        </row>
      </sheetData>
      <sheetData sheetId="2785">
        <row r="9">
          <cell r="A9" t="str">
            <v>A</v>
          </cell>
        </row>
      </sheetData>
      <sheetData sheetId="2786">
        <row r="9">
          <cell r="A9" t="str">
            <v>A</v>
          </cell>
        </row>
      </sheetData>
      <sheetData sheetId="2787">
        <row r="9">
          <cell r="A9" t="str">
            <v>A</v>
          </cell>
        </row>
      </sheetData>
      <sheetData sheetId="2788">
        <row r="9">
          <cell r="A9" t="str">
            <v>A</v>
          </cell>
        </row>
      </sheetData>
      <sheetData sheetId="2789">
        <row r="9">
          <cell r="A9" t="str">
            <v>A</v>
          </cell>
        </row>
      </sheetData>
      <sheetData sheetId="2790">
        <row r="9">
          <cell r="A9" t="str">
            <v>A</v>
          </cell>
        </row>
      </sheetData>
      <sheetData sheetId="2791">
        <row r="9">
          <cell r="A9" t="str">
            <v>A</v>
          </cell>
        </row>
      </sheetData>
      <sheetData sheetId="2792">
        <row r="9">
          <cell r="A9" t="str">
            <v>A</v>
          </cell>
        </row>
      </sheetData>
      <sheetData sheetId="2793">
        <row r="9">
          <cell r="A9" t="str">
            <v>A</v>
          </cell>
        </row>
      </sheetData>
      <sheetData sheetId="2794">
        <row r="9">
          <cell r="A9" t="str">
            <v>A</v>
          </cell>
        </row>
      </sheetData>
      <sheetData sheetId="2795">
        <row r="9">
          <cell r="A9" t="str">
            <v>A</v>
          </cell>
        </row>
      </sheetData>
      <sheetData sheetId="2796">
        <row r="9">
          <cell r="A9" t="str">
            <v>A</v>
          </cell>
        </row>
      </sheetData>
      <sheetData sheetId="2797">
        <row r="9">
          <cell r="A9" t="str">
            <v>A</v>
          </cell>
        </row>
      </sheetData>
      <sheetData sheetId="2798">
        <row r="9">
          <cell r="A9" t="str">
            <v>A</v>
          </cell>
        </row>
      </sheetData>
      <sheetData sheetId="2799">
        <row r="9">
          <cell r="A9" t="str">
            <v>A</v>
          </cell>
        </row>
      </sheetData>
      <sheetData sheetId="2800">
        <row r="9">
          <cell r="A9" t="str">
            <v>A</v>
          </cell>
        </row>
      </sheetData>
      <sheetData sheetId="2801">
        <row r="9">
          <cell r="A9" t="str">
            <v>A</v>
          </cell>
        </row>
      </sheetData>
      <sheetData sheetId="2802">
        <row r="9">
          <cell r="A9" t="str">
            <v>A</v>
          </cell>
        </row>
      </sheetData>
      <sheetData sheetId="2803">
        <row r="9">
          <cell r="A9" t="str">
            <v>A</v>
          </cell>
        </row>
      </sheetData>
      <sheetData sheetId="2804">
        <row r="9">
          <cell r="A9" t="str">
            <v>A</v>
          </cell>
        </row>
      </sheetData>
      <sheetData sheetId="2805">
        <row r="9">
          <cell r="A9" t="str">
            <v>A</v>
          </cell>
        </row>
      </sheetData>
      <sheetData sheetId="2806">
        <row r="9">
          <cell r="A9" t="str">
            <v>A</v>
          </cell>
        </row>
      </sheetData>
      <sheetData sheetId="2807">
        <row r="9">
          <cell r="A9" t="str">
            <v>A</v>
          </cell>
        </row>
      </sheetData>
      <sheetData sheetId="2808">
        <row r="9">
          <cell r="A9" t="str">
            <v>A</v>
          </cell>
        </row>
      </sheetData>
      <sheetData sheetId="2809">
        <row r="9">
          <cell r="A9" t="str">
            <v>A</v>
          </cell>
        </row>
      </sheetData>
      <sheetData sheetId="2810">
        <row r="9">
          <cell r="A9" t="str">
            <v>A</v>
          </cell>
        </row>
      </sheetData>
      <sheetData sheetId="2811">
        <row r="9">
          <cell r="A9" t="str">
            <v>A</v>
          </cell>
        </row>
      </sheetData>
      <sheetData sheetId="2812">
        <row r="9">
          <cell r="A9" t="str">
            <v>A</v>
          </cell>
        </row>
      </sheetData>
      <sheetData sheetId="2813">
        <row r="9">
          <cell r="A9" t="str">
            <v>A</v>
          </cell>
        </row>
      </sheetData>
      <sheetData sheetId="2814">
        <row r="9">
          <cell r="A9" t="str">
            <v>A</v>
          </cell>
        </row>
      </sheetData>
      <sheetData sheetId="2815">
        <row r="9">
          <cell r="A9" t="str">
            <v>A</v>
          </cell>
        </row>
      </sheetData>
      <sheetData sheetId="2816">
        <row r="9">
          <cell r="A9" t="str">
            <v>A</v>
          </cell>
        </row>
      </sheetData>
      <sheetData sheetId="2817">
        <row r="9">
          <cell r="A9" t="str">
            <v>A</v>
          </cell>
        </row>
      </sheetData>
      <sheetData sheetId="2818">
        <row r="9">
          <cell r="A9" t="str">
            <v>A</v>
          </cell>
        </row>
      </sheetData>
      <sheetData sheetId="2819">
        <row r="9">
          <cell r="A9" t="str">
            <v>A</v>
          </cell>
        </row>
      </sheetData>
      <sheetData sheetId="2820">
        <row r="9">
          <cell r="A9" t="str">
            <v>A</v>
          </cell>
        </row>
      </sheetData>
      <sheetData sheetId="2821">
        <row r="9">
          <cell r="A9" t="str">
            <v>A</v>
          </cell>
        </row>
      </sheetData>
      <sheetData sheetId="2822">
        <row r="9">
          <cell r="A9" t="str">
            <v>A</v>
          </cell>
        </row>
      </sheetData>
      <sheetData sheetId="2823">
        <row r="9">
          <cell r="A9" t="str">
            <v>A</v>
          </cell>
        </row>
      </sheetData>
      <sheetData sheetId="2824">
        <row r="9">
          <cell r="A9" t="str">
            <v>A</v>
          </cell>
        </row>
      </sheetData>
      <sheetData sheetId="2825">
        <row r="9">
          <cell r="A9" t="str">
            <v>A</v>
          </cell>
        </row>
      </sheetData>
      <sheetData sheetId="2826">
        <row r="9">
          <cell r="A9" t="str">
            <v>A</v>
          </cell>
        </row>
      </sheetData>
      <sheetData sheetId="2827">
        <row r="9">
          <cell r="A9" t="str">
            <v>A</v>
          </cell>
        </row>
      </sheetData>
      <sheetData sheetId="2828">
        <row r="9">
          <cell r="A9" t="str">
            <v>A</v>
          </cell>
        </row>
      </sheetData>
      <sheetData sheetId="2829">
        <row r="9">
          <cell r="A9" t="str">
            <v>A</v>
          </cell>
        </row>
      </sheetData>
      <sheetData sheetId="2830">
        <row r="9">
          <cell r="A9" t="str">
            <v>A</v>
          </cell>
        </row>
      </sheetData>
      <sheetData sheetId="2831">
        <row r="9">
          <cell r="A9" t="str">
            <v>A</v>
          </cell>
        </row>
      </sheetData>
      <sheetData sheetId="2832">
        <row r="9">
          <cell r="A9" t="str">
            <v>A</v>
          </cell>
        </row>
      </sheetData>
      <sheetData sheetId="2833">
        <row r="9">
          <cell r="A9" t="str">
            <v>A</v>
          </cell>
        </row>
      </sheetData>
      <sheetData sheetId="2834">
        <row r="9">
          <cell r="A9" t="str">
            <v>A</v>
          </cell>
        </row>
      </sheetData>
      <sheetData sheetId="2835">
        <row r="9">
          <cell r="A9" t="str">
            <v>A</v>
          </cell>
        </row>
      </sheetData>
      <sheetData sheetId="2836">
        <row r="9">
          <cell r="A9" t="str">
            <v>A</v>
          </cell>
        </row>
      </sheetData>
      <sheetData sheetId="2837">
        <row r="9">
          <cell r="A9" t="str">
            <v>A</v>
          </cell>
        </row>
      </sheetData>
      <sheetData sheetId="2838">
        <row r="9">
          <cell r="A9" t="str">
            <v>A</v>
          </cell>
        </row>
      </sheetData>
      <sheetData sheetId="2839">
        <row r="9">
          <cell r="A9" t="str">
            <v>A</v>
          </cell>
        </row>
      </sheetData>
      <sheetData sheetId="2840">
        <row r="9">
          <cell r="A9" t="str">
            <v>A</v>
          </cell>
        </row>
      </sheetData>
      <sheetData sheetId="2841">
        <row r="9">
          <cell r="A9" t="str">
            <v>A</v>
          </cell>
        </row>
      </sheetData>
      <sheetData sheetId="2842">
        <row r="9">
          <cell r="A9" t="str">
            <v>A</v>
          </cell>
        </row>
      </sheetData>
      <sheetData sheetId="2843">
        <row r="9">
          <cell r="A9" t="str">
            <v>A</v>
          </cell>
        </row>
      </sheetData>
      <sheetData sheetId="2844">
        <row r="9">
          <cell r="A9" t="str">
            <v>A</v>
          </cell>
        </row>
      </sheetData>
      <sheetData sheetId="2845">
        <row r="9">
          <cell r="A9" t="str">
            <v>A</v>
          </cell>
        </row>
      </sheetData>
      <sheetData sheetId="2846">
        <row r="9">
          <cell r="A9" t="str">
            <v>A</v>
          </cell>
        </row>
      </sheetData>
      <sheetData sheetId="2847">
        <row r="9">
          <cell r="A9" t="str">
            <v>A</v>
          </cell>
        </row>
      </sheetData>
      <sheetData sheetId="2848">
        <row r="9">
          <cell r="A9" t="str">
            <v>A</v>
          </cell>
        </row>
      </sheetData>
      <sheetData sheetId="2849">
        <row r="9">
          <cell r="A9" t="str">
            <v>A</v>
          </cell>
        </row>
      </sheetData>
      <sheetData sheetId="2850">
        <row r="9">
          <cell r="A9" t="str">
            <v>A</v>
          </cell>
        </row>
      </sheetData>
      <sheetData sheetId="2851">
        <row r="9">
          <cell r="A9" t="str">
            <v>A</v>
          </cell>
        </row>
      </sheetData>
      <sheetData sheetId="2852">
        <row r="9">
          <cell r="A9" t="str">
            <v>A</v>
          </cell>
        </row>
      </sheetData>
      <sheetData sheetId="2853">
        <row r="9">
          <cell r="A9" t="str">
            <v>A</v>
          </cell>
        </row>
      </sheetData>
      <sheetData sheetId="2854">
        <row r="9">
          <cell r="A9" t="str">
            <v>A</v>
          </cell>
        </row>
      </sheetData>
      <sheetData sheetId="2855">
        <row r="9">
          <cell r="A9" t="str">
            <v>A</v>
          </cell>
        </row>
      </sheetData>
      <sheetData sheetId="2856">
        <row r="9">
          <cell r="A9" t="str">
            <v>A</v>
          </cell>
        </row>
      </sheetData>
      <sheetData sheetId="2857">
        <row r="9">
          <cell r="A9" t="str">
            <v>A</v>
          </cell>
        </row>
      </sheetData>
      <sheetData sheetId="2858">
        <row r="9">
          <cell r="A9" t="str">
            <v>A</v>
          </cell>
        </row>
      </sheetData>
      <sheetData sheetId="2859">
        <row r="9">
          <cell r="A9" t="str">
            <v>A</v>
          </cell>
        </row>
      </sheetData>
      <sheetData sheetId="2860">
        <row r="9">
          <cell r="A9" t="str">
            <v>A</v>
          </cell>
        </row>
      </sheetData>
      <sheetData sheetId="2861">
        <row r="9">
          <cell r="A9" t="str">
            <v>A</v>
          </cell>
        </row>
      </sheetData>
      <sheetData sheetId="2862">
        <row r="9">
          <cell r="A9" t="str">
            <v>A</v>
          </cell>
        </row>
      </sheetData>
      <sheetData sheetId="2863">
        <row r="9">
          <cell r="A9" t="str">
            <v>A</v>
          </cell>
        </row>
      </sheetData>
      <sheetData sheetId="2864">
        <row r="9">
          <cell r="A9" t="str">
            <v>A</v>
          </cell>
        </row>
      </sheetData>
      <sheetData sheetId="2865">
        <row r="9">
          <cell r="A9" t="str">
            <v>A</v>
          </cell>
        </row>
      </sheetData>
      <sheetData sheetId="2866">
        <row r="9">
          <cell r="A9" t="str">
            <v>A</v>
          </cell>
        </row>
      </sheetData>
      <sheetData sheetId="2867">
        <row r="9">
          <cell r="A9" t="str">
            <v>A</v>
          </cell>
        </row>
      </sheetData>
      <sheetData sheetId="2868">
        <row r="9">
          <cell r="A9" t="str">
            <v>A</v>
          </cell>
        </row>
      </sheetData>
      <sheetData sheetId="2869">
        <row r="9">
          <cell r="A9" t="str">
            <v>A</v>
          </cell>
        </row>
      </sheetData>
      <sheetData sheetId="2870">
        <row r="9">
          <cell r="A9" t="str">
            <v>A</v>
          </cell>
        </row>
      </sheetData>
      <sheetData sheetId="2871">
        <row r="9">
          <cell r="A9" t="str">
            <v>A</v>
          </cell>
        </row>
      </sheetData>
      <sheetData sheetId="2872">
        <row r="9">
          <cell r="A9" t="str">
            <v>A</v>
          </cell>
        </row>
      </sheetData>
      <sheetData sheetId="2873">
        <row r="9">
          <cell r="A9" t="str">
            <v>A</v>
          </cell>
        </row>
      </sheetData>
      <sheetData sheetId="2874">
        <row r="9">
          <cell r="A9" t="str">
            <v>A</v>
          </cell>
        </row>
      </sheetData>
      <sheetData sheetId="2875">
        <row r="9">
          <cell r="A9" t="str">
            <v>A</v>
          </cell>
        </row>
      </sheetData>
      <sheetData sheetId="2876">
        <row r="9">
          <cell r="A9" t="str">
            <v>A</v>
          </cell>
        </row>
      </sheetData>
      <sheetData sheetId="2877">
        <row r="9">
          <cell r="A9" t="str">
            <v>A</v>
          </cell>
        </row>
      </sheetData>
      <sheetData sheetId="2878">
        <row r="9">
          <cell r="A9" t="str">
            <v>A</v>
          </cell>
        </row>
      </sheetData>
      <sheetData sheetId="2879">
        <row r="9">
          <cell r="A9" t="str">
            <v>A</v>
          </cell>
        </row>
      </sheetData>
      <sheetData sheetId="2880">
        <row r="9">
          <cell r="A9" t="str">
            <v>A</v>
          </cell>
        </row>
      </sheetData>
      <sheetData sheetId="2881">
        <row r="9">
          <cell r="A9" t="str">
            <v>A</v>
          </cell>
        </row>
      </sheetData>
      <sheetData sheetId="2882">
        <row r="9">
          <cell r="A9" t="str">
            <v>A</v>
          </cell>
        </row>
      </sheetData>
      <sheetData sheetId="2883">
        <row r="9">
          <cell r="A9" t="str">
            <v>A</v>
          </cell>
        </row>
      </sheetData>
      <sheetData sheetId="2884">
        <row r="9">
          <cell r="A9" t="str">
            <v>A</v>
          </cell>
        </row>
      </sheetData>
      <sheetData sheetId="2885">
        <row r="9">
          <cell r="A9" t="str">
            <v>A</v>
          </cell>
        </row>
      </sheetData>
      <sheetData sheetId="2886">
        <row r="9">
          <cell r="A9" t="str">
            <v>A</v>
          </cell>
        </row>
      </sheetData>
      <sheetData sheetId="2887">
        <row r="9">
          <cell r="A9" t="str">
            <v>A</v>
          </cell>
        </row>
      </sheetData>
      <sheetData sheetId="2888">
        <row r="9">
          <cell r="A9" t="str">
            <v>A</v>
          </cell>
        </row>
      </sheetData>
      <sheetData sheetId="2889">
        <row r="9">
          <cell r="A9" t="str">
            <v>A</v>
          </cell>
        </row>
      </sheetData>
      <sheetData sheetId="2890">
        <row r="9">
          <cell r="A9" t="str">
            <v>A</v>
          </cell>
        </row>
      </sheetData>
      <sheetData sheetId="2891">
        <row r="9">
          <cell r="A9" t="str">
            <v>A</v>
          </cell>
        </row>
      </sheetData>
      <sheetData sheetId="2892">
        <row r="9">
          <cell r="A9" t="str">
            <v>A</v>
          </cell>
        </row>
      </sheetData>
      <sheetData sheetId="2893">
        <row r="9">
          <cell r="A9" t="str">
            <v>A</v>
          </cell>
        </row>
      </sheetData>
      <sheetData sheetId="2894">
        <row r="9">
          <cell r="A9" t="str">
            <v>A</v>
          </cell>
        </row>
      </sheetData>
      <sheetData sheetId="2895">
        <row r="9">
          <cell r="A9" t="str">
            <v>A</v>
          </cell>
        </row>
      </sheetData>
      <sheetData sheetId="2896">
        <row r="9">
          <cell r="A9" t="str">
            <v>A</v>
          </cell>
        </row>
      </sheetData>
      <sheetData sheetId="2897">
        <row r="9">
          <cell r="A9" t="str">
            <v>A</v>
          </cell>
        </row>
      </sheetData>
      <sheetData sheetId="2898">
        <row r="9">
          <cell r="A9" t="str">
            <v>A</v>
          </cell>
        </row>
      </sheetData>
      <sheetData sheetId="2899">
        <row r="9">
          <cell r="A9" t="str">
            <v>A</v>
          </cell>
        </row>
      </sheetData>
      <sheetData sheetId="2900">
        <row r="9">
          <cell r="A9" t="str">
            <v>A</v>
          </cell>
        </row>
      </sheetData>
      <sheetData sheetId="2901">
        <row r="9">
          <cell r="A9" t="str">
            <v>A</v>
          </cell>
        </row>
      </sheetData>
      <sheetData sheetId="2902">
        <row r="9">
          <cell r="A9" t="str">
            <v>A</v>
          </cell>
        </row>
      </sheetData>
      <sheetData sheetId="2903">
        <row r="9">
          <cell r="A9" t="str">
            <v>A</v>
          </cell>
        </row>
      </sheetData>
      <sheetData sheetId="2904">
        <row r="9">
          <cell r="A9" t="str">
            <v>A</v>
          </cell>
        </row>
      </sheetData>
      <sheetData sheetId="2905">
        <row r="9">
          <cell r="A9" t="str">
            <v>A</v>
          </cell>
        </row>
      </sheetData>
      <sheetData sheetId="2906">
        <row r="9">
          <cell r="A9" t="str">
            <v>A</v>
          </cell>
        </row>
      </sheetData>
      <sheetData sheetId="2907">
        <row r="9">
          <cell r="A9" t="str">
            <v>A</v>
          </cell>
        </row>
      </sheetData>
      <sheetData sheetId="2908">
        <row r="9">
          <cell r="A9" t="str">
            <v>A</v>
          </cell>
        </row>
      </sheetData>
      <sheetData sheetId="2909">
        <row r="9">
          <cell r="A9" t="str">
            <v>A</v>
          </cell>
        </row>
      </sheetData>
      <sheetData sheetId="2910">
        <row r="9">
          <cell r="A9" t="str">
            <v>A</v>
          </cell>
        </row>
      </sheetData>
      <sheetData sheetId="2911">
        <row r="9">
          <cell r="A9" t="str">
            <v>A</v>
          </cell>
        </row>
      </sheetData>
      <sheetData sheetId="2912">
        <row r="9">
          <cell r="A9" t="str">
            <v>A</v>
          </cell>
        </row>
      </sheetData>
      <sheetData sheetId="2913">
        <row r="9">
          <cell r="A9" t="str">
            <v>A</v>
          </cell>
        </row>
      </sheetData>
      <sheetData sheetId="2914">
        <row r="9">
          <cell r="A9" t="str">
            <v>A</v>
          </cell>
        </row>
      </sheetData>
      <sheetData sheetId="2915">
        <row r="9">
          <cell r="A9" t="str">
            <v>A</v>
          </cell>
        </row>
      </sheetData>
      <sheetData sheetId="2916">
        <row r="9">
          <cell r="A9" t="str">
            <v>A</v>
          </cell>
        </row>
      </sheetData>
      <sheetData sheetId="2917">
        <row r="9">
          <cell r="A9" t="str">
            <v>A</v>
          </cell>
        </row>
      </sheetData>
      <sheetData sheetId="2918">
        <row r="9">
          <cell r="A9" t="str">
            <v>A</v>
          </cell>
        </row>
      </sheetData>
      <sheetData sheetId="2919">
        <row r="9">
          <cell r="A9" t="str">
            <v>A</v>
          </cell>
        </row>
      </sheetData>
      <sheetData sheetId="2920">
        <row r="9">
          <cell r="A9" t="str">
            <v>A</v>
          </cell>
        </row>
      </sheetData>
      <sheetData sheetId="2921">
        <row r="9">
          <cell r="A9" t="str">
            <v>A</v>
          </cell>
        </row>
      </sheetData>
      <sheetData sheetId="2922">
        <row r="9">
          <cell r="A9" t="str">
            <v>A</v>
          </cell>
        </row>
      </sheetData>
      <sheetData sheetId="2923">
        <row r="9">
          <cell r="A9" t="str">
            <v>A</v>
          </cell>
        </row>
      </sheetData>
      <sheetData sheetId="2924">
        <row r="9">
          <cell r="A9" t="str">
            <v>A</v>
          </cell>
        </row>
      </sheetData>
      <sheetData sheetId="2925">
        <row r="9">
          <cell r="A9" t="str">
            <v>A</v>
          </cell>
        </row>
      </sheetData>
      <sheetData sheetId="2926">
        <row r="9">
          <cell r="A9" t="str">
            <v>A</v>
          </cell>
        </row>
      </sheetData>
      <sheetData sheetId="2927">
        <row r="9">
          <cell r="A9" t="str">
            <v>A</v>
          </cell>
        </row>
      </sheetData>
      <sheetData sheetId="2928">
        <row r="9">
          <cell r="A9" t="str">
            <v>A</v>
          </cell>
        </row>
      </sheetData>
      <sheetData sheetId="2929">
        <row r="9">
          <cell r="A9" t="str">
            <v>A</v>
          </cell>
        </row>
      </sheetData>
      <sheetData sheetId="2930">
        <row r="9">
          <cell r="A9" t="str">
            <v>A</v>
          </cell>
        </row>
      </sheetData>
      <sheetData sheetId="2931">
        <row r="9">
          <cell r="A9" t="str">
            <v>A</v>
          </cell>
        </row>
      </sheetData>
      <sheetData sheetId="2932">
        <row r="9">
          <cell r="A9" t="str">
            <v>A</v>
          </cell>
        </row>
      </sheetData>
      <sheetData sheetId="2933">
        <row r="9">
          <cell r="A9" t="str">
            <v>A</v>
          </cell>
        </row>
      </sheetData>
      <sheetData sheetId="2934">
        <row r="9">
          <cell r="A9" t="str">
            <v>A</v>
          </cell>
        </row>
      </sheetData>
      <sheetData sheetId="2935">
        <row r="9">
          <cell r="A9" t="str">
            <v>A</v>
          </cell>
        </row>
      </sheetData>
      <sheetData sheetId="2936">
        <row r="9">
          <cell r="A9" t="str">
            <v>A</v>
          </cell>
        </row>
      </sheetData>
      <sheetData sheetId="2937">
        <row r="9">
          <cell r="A9" t="str">
            <v>A</v>
          </cell>
        </row>
      </sheetData>
      <sheetData sheetId="2938">
        <row r="9">
          <cell r="A9" t="str">
            <v>A</v>
          </cell>
        </row>
      </sheetData>
      <sheetData sheetId="2939">
        <row r="9">
          <cell r="A9" t="str">
            <v>A</v>
          </cell>
        </row>
      </sheetData>
      <sheetData sheetId="2940">
        <row r="9">
          <cell r="A9" t="str">
            <v>A</v>
          </cell>
        </row>
      </sheetData>
      <sheetData sheetId="2941">
        <row r="9">
          <cell r="A9" t="str">
            <v>A</v>
          </cell>
        </row>
      </sheetData>
      <sheetData sheetId="2942">
        <row r="9">
          <cell r="A9" t="str">
            <v>A</v>
          </cell>
        </row>
      </sheetData>
      <sheetData sheetId="2943">
        <row r="9">
          <cell r="A9" t="str">
            <v>A</v>
          </cell>
        </row>
      </sheetData>
      <sheetData sheetId="2944">
        <row r="9">
          <cell r="A9" t="str">
            <v>A</v>
          </cell>
        </row>
      </sheetData>
      <sheetData sheetId="2945">
        <row r="9">
          <cell r="A9" t="str">
            <v>A</v>
          </cell>
        </row>
      </sheetData>
      <sheetData sheetId="2946">
        <row r="9">
          <cell r="A9" t="str">
            <v>A</v>
          </cell>
        </row>
      </sheetData>
      <sheetData sheetId="2947">
        <row r="9">
          <cell r="A9" t="str">
            <v>A</v>
          </cell>
        </row>
      </sheetData>
      <sheetData sheetId="2948">
        <row r="9">
          <cell r="A9" t="str">
            <v>A</v>
          </cell>
        </row>
      </sheetData>
      <sheetData sheetId="2949">
        <row r="9">
          <cell r="A9" t="str">
            <v>A</v>
          </cell>
        </row>
      </sheetData>
      <sheetData sheetId="2950">
        <row r="9">
          <cell r="A9" t="str">
            <v>A</v>
          </cell>
        </row>
      </sheetData>
      <sheetData sheetId="2951">
        <row r="9">
          <cell r="A9" t="str">
            <v>A</v>
          </cell>
        </row>
      </sheetData>
      <sheetData sheetId="2952">
        <row r="9">
          <cell r="A9" t="str">
            <v>A</v>
          </cell>
        </row>
      </sheetData>
      <sheetData sheetId="2953">
        <row r="9">
          <cell r="A9" t="str">
            <v>A</v>
          </cell>
        </row>
      </sheetData>
      <sheetData sheetId="2954">
        <row r="9">
          <cell r="A9" t="str">
            <v>A</v>
          </cell>
        </row>
      </sheetData>
      <sheetData sheetId="2955">
        <row r="9">
          <cell r="A9" t="str">
            <v>A</v>
          </cell>
        </row>
      </sheetData>
      <sheetData sheetId="2956">
        <row r="9">
          <cell r="A9" t="str">
            <v>A</v>
          </cell>
        </row>
      </sheetData>
      <sheetData sheetId="2957">
        <row r="9">
          <cell r="A9" t="str">
            <v>A</v>
          </cell>
        </row>
      </sheetData>
      <sheetData sheetId="2958">
        <row r="9">
          <cell r="A9" t="str">
            <v>A</v>
          </cell>
        </row>
      </sheetData>
      <sheetData sheetId="2959">
        <row r="9">
          <cell r="A9" t="str">
            <v>A</v>
          </cell>
        </row>
      </sheetData>
      <sheetData sheetId="2960">
        <row r="9">
          <cell r="A9" t="str">
            <v>A</v>
          </cell>
        </row>
      </sheetData>
      <sheetData sheetId="2961">
        <row r="9">
          <cell r="A9" t="str">
            <v>A</v>
          </cell>
        </row>
      </sheetData>
      <sheetData sheetId="2962">
        <row r="9">
          <cell r="A9" t="str">
            <v>A</v>
          </cell>
        </row>
      </sheetData>
      <sheetData sheetId="2963">
        <row r="9">
          <cell r="A9" t="str">
            <v>A</v>
          </cell>
        </row>
      </sheetData>
      <sheetData sheetId="2964">
        <row r="9">
          <cell r="A9" t="str">
            <v>A</v>
          </cell>
        </row>
      </sheetData>
      <sheetData sheetId="2965">
        <row r="9">
          <cell r="A9" t="str">
            <v>A</v>
          </cell>
        </row>
      </sheetData>
      <sheetData sheetId="2966">
        <row r="9">
          <cell r="A9" t="str">
            <v>A</v>
          </cell>
        </row>
      </sheetData>
      <sheetData sheetId="2967">
        <row r="9">
          <cell r="A9" t="str">
            <v>A</v>
          </cell>
        </row>
      </sheetData>
      <sheetData sheetId="2968">
        <row r="9">
          <cell r="A9" t="str">
            <v>A</v>
          </cell>
        </row>
      </sheetData>
      <sheetData sheetId="2969">
        <row r="9">
          <cell r="A9" t="str">
            <v>A</v>
          </cell>
        </row>
      </sheetData>
      <sheetData sheetId="2970">
        <row r="9">
          <cell r="A9" t="str">
            <v>A</v>
          </cell>
        </row>
      </sheetData>
      <sheetData sheetId="2971">
        <row r="9">
          <cell r="A9" t="str">
            <v>A</v>
          </cell>
        </row>
      </sheetData>
      <sheetData sheetId="2972">
        <row r="9">
          <cell r="A9" t="str">
            <v>A</v>
          </cell>
        </row>
      </sheetData>
      <sheetData sheetId="2973">
        <row r="9">
          <cell r="A9" t="str">
            <v>A</v>
          </cell>
        </row>
      </sheetData>
      <sheetData sheetId="2974">
        <row r="9">
          <cell r="A9" t="str">
            <v>A</v>
          </cell>
        </row>
      </sheetData>
      <sheetData sheetId="2975">
        <row r="9">
          <cell r="A9" t="str">
            <v>A</v>
          </cell>
        </row>
      </sheetData>
      <sheetData sheetId="2976">
        <row r="9">
          <cell r="A9" t="str">
            <v>A</v>
          </cell>
        </row>
      </sheetData>
      <sheetData sheetId="2977">
        <row r="9">
          <cell r="A9" t="str">
            <v>A</v>
          </cell>
        </row>
      </sheetData>
      <sheetData sheetId="2978">
        <row r="9">
          <cell r="A9" t="str">
            <v>A</v>
          </cell>
        </row>
      </sheetData>
      <sheetData sheetId="2979">
        <row r="9">
          <cell r="A9" t="str">
            <v>A</v>
          </cell>
        </row>
      </sheetData>
      <sheetData sheetId="2980">
        <row r="9">
          <cell r="A9" t="str">
            <v>A</v>
          </cell>
        </row>
      </sheetData>
      <sheetData sheetId="2981">
        <row r="9">
          <cell r="A9" t="str">
            <v>A</v>
          </cell>
        </row>
      </sheetData>
      <sheetData sheetId="2982">
        <row r="9">
          <cell r="A9" t="str">
            <v>A</v>
          </cell>
        </row>
      </sheetData>
      <sheetData sheetId="2983">
        <row r="9">
          <cell r="A9" t="str">
            <v>A</v>
          </cell>
        </row>
      </sheetData>
      <sheetData sheetId="2984">
        <row r="9">
          <cell r="A9" t="str">
            <v>A</v>
          </cell>
        </row>
      </sheetData>
      <sheetData sheetId="2985">
        <row r="9">
          <cell r="A9" t="str">
            <v>A</v>
          </cell>
        </row>
      </sheetData>
      <sheetData sheetId="2986">
        <row r="9">
          <cell r="A9" t="str">
            <v>A</v>
          </cell>
        </row>
      </sheetData>
      <sheetData sheetId="2987">
        <row r="9">
          <cell r="A9" t="str">
            <v>A</v>
          </cell>
        </row>
      </sheetData>
      <sheetData sheetId="2988">
        <row r="9">
          <cell r="A9" t="str">
            <v>A</v>
          </cell>
        </row>
      </sheetData>
      <sheetData sheetId="2989">
        <row r="9">
          <cell r="A9" t="str">
            <v>A</v>
          </cell>
        </row>
      </sheetData>
      <sheetData sheetId="2990">
        <row r="9">
          <cell r="A9" t="str">
            <v>A</v>
          </cell>
        </row>
      </sheetData>
      <sheetData sheetId="2991">
        <row r="9">
          <cell r="A9" t="str">
            <v>A</v>
          </cell>
        </row>
      </sheetData>
      <sheetData sheetId="2992">
        <row r="9">
          <cell r="A9" t="str">
            <v>A</v>
          </cell>
        </row>
      </sheetData>
      <sheetData sheetId="2993">
        <row r="9">
          <cell r="A9" t="str">
            <v>A</v>
          </cell>
        </row>
      </sheetData>
      <sheetData sheetId="2994">
        <row r="9">
          <cell r="A9" t="str">
            <v>A</v>
          </cell>
        </row>
      </sheetData>
      <sheetData sheetId="2995">
        <row r="9">
          <cell r="A9" t="str">
            <v>A</v>
          </cell>
        </row>
      </sheetData>
      <sheetData sheetId="2996">
        <row r="9">
          <cell r="A9" t="str">
            <v>A</v>
          </cell>
        </row>
      </sheetData>
      <sheetData sheetId="2997">
        <row r="9">
          <cell r="A9" t="str">
            <v>A</v>
          </cell>
        </row>
      </sheetData>
      <sheetData sheetId="2998">
        <row r="9">
          <cell r="A9" t="str">
            <v>A</v>
          </cell>
        </row>
      </sheetData>
      <sheetData sheetId="2999">
        <row r="9">
          <cell r="A9" t="str">
            <v>A</v>
          </cell>
        </row>
      </sheetData>
      <sheetData sheetId="3000">
        <row r="9">
          <cell r="A9" t="str">
            <v>A</v>
          </cell>
        </row>
      </sheetData>
      <sheetData sheetId="3001">
        <row r="9">
          <cell r="A9" t="str">
            <v>A</v>
          </cell>
        </row>
      </sheetData>
      <sheetData sheetId="3002">
        <row r="9">
          <cell r="A9" t="str">
            <v>A</v>
          </cell>
        </row>
      </sheetData>
      <sheetData sheetId="3003">
        <row r="9">
          <cell r="A9" t="str">
            <v>A</v>
          </cell>
        </row>
      </sheetData>
      <sheetData sheetId="3004">
        <row r="9">
          <cell r="A9" t="str">
            <v>A</v>
          </cell>
        </row>
      </sheetData>
      <sheetData sheetId="3005">
        <row r="9">
          <cell r="A9" t="str">
            <v>A</v>
          </cell>
        </row>
      </sheetData>
      <sheetData sheetId="3006">
        <row r="9">
          <cell r="A9" t="str">
            <v>A</v>
          </cell>
        </row>
      </sheetData>
      <sheetData sheetId="3007">
        <row r="9">
          <cell r="A9" t="str">
            <v>A</v>
          </cell>
        </row>
      </sheetData>
      <sheetData sheetId="3008">
        <row r="9">
          <cell r="A9" t="str">
            <v>A</v>
          </cell>
        </row>
      </sheetData>
      <sheetData sheetId="3009">
        <row r="9">
          <cell r="A9" t="str">
            <v>A</v>
          </cell>
        </row>
      </sheetData>
      <sheetData sheetId="3010">
        <row r="9">
          <cell r="A9" t="str">
            <v>A</v>
          </cell>
        </row>
      </sheetData>
      <sheetData sheetId="3011">
        <row r="9">
          <cell r="A9" t="str">
            <v>A</v>
          </cell>
        </row>
      </sheetData>
      <sheetData sheetId="3012">
        <row r="9">
          <cell r="A9" t="str">
            <v>A</v>
          </cell>
        </row>
      </sheetData>
      <sheetData sheetId="3013">
        <row r="9">
          <cell r="A9" t="str">
            <v>A</v>
          </cell>
        </row>
      </sheetData>
      <sheetData sheetId="3014">
        <row r="9">
          <cell r="A9" t="str">
            <v>A</v>
          </cell>
        </row>
      </sheetData>
      <sheetData sheetId="3015">
        <row r="9">
          <cell r="A9" t="str">
            <v>A</v>
          </cell>
        </row>
      </sheetData>
      <sheetData sheetId="3016">
        <row r="9">
          <cell r="A9" t="str">
            <v>A</v>
          </cell>
        </row>
      </sheetData>
      <sheetData sheetId="3017">
        <row r="9">
          <cell r="A9" t="str">
            <v>A</v>
          </cell>
        </row>
      </sheetData>
      <sheetData sheetId="3018">
        <row r="9">
          <cell r="A9" t="str">
            <v>A</v>
          </cell>
        </row>
      </sheetData>
      <sheetData sheetId="3019">
        <row r="9">
          <cell r="A9" t="str">
            <v>A</v>
          </cell>
        </row>
      </sheetData>
      <sheetData sheetId="3020">
        <row r="9">
          <cell r="A9" t="str">
            <v>A</v>
          </cell>
        </row>
      </sheetData>
      <sheetData sheetId="3021">
        <row r="9">
          <cell r="A9" t="str">
            <v>A</v>
          </cell>
        </row>
      </sheetData>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row r="9">
          <cell r="A9" t="str">
            <v>A</v>
          </cell>
        </row>
      </sheetData>
      <sheetData sheetId="3028">
        <row r="9">
          <cell r="A9" t="str">
            <v>A</v>
          </cell>
        </row>
      </sheetData>
      <sheetData sheetId="3029">
        <row r="9">
          <cell r="A9" t="str">
            <v>A</v>
          </cell>
        </row>
      </sheetData>
      <sheetData sheetId="3030">
        <row r="9">
          <cell r="A9" t="str">
            <v>A</v>
          </cell>
        </row>
      </sheetData>
      <sheetData sheetId="3031">
        <row r="9">
          <cell r="A9" t="str">
            <v>A</v>
          </cell>
        </row>
      </sheetData>
      <sheetData sheetId="3032">
        <row r="9">
          <cell r="A9" t="str">
            <v>A</v>
          </cell>
        </row>
      </sheetData>
      <sheetData sheetId="3033">
        <row r="9">
          <cell r="A9" t="str">
            <v>A</v>
          </cell>
        </row>
      </sheetData>
      <sheetData sheetId="3034">
        <row r="9">
          <cell r="A9" t="str">
            <v>A</v>
          </cell>
        </row>
      </sheetData>
      <sheetData sheetId="3035">
        <row r="9">
          <cell r="A9" t="str">
            <v>A</v>
          </cell>
        </row>
      </sheetData>
      <sheetData sheetId="3036">
        <row r="9">
          <cell r="A9" t="str">
            <v>A</v>
          </cell>
        </row>
      </sheetData>
      <sheetData sheetId="3037">
        <row r="9">
          <cell r="A9" t="str">
            <v>A</v>
          </cell>
        </row>
      </sheetData>
      <sheetData sheetId="3038">
        <row r="9">
          <cell r="A9" t="str">
            <v>A</v>
          </cell>
        </row>
      </sheetData>
      <sheetData sheetId="3039">
        <row r="9">
          <cell r="A9" t="str">
            <v>A</v>
          </cell>
        </row>
      </sheetData>
      <sheetData sheetId="3040">
        <row r="9">
          <cell r="A9" t="str">
            <v>A</v>
          </cell>
        </row>
      </sheetData>
      <sheetData sheetId="3041">
        <row r="9">
          <cell r="A9" t="str">
            <v>A</v>
          </cell>
        </row>
      </sheetData>
      <sheetData sheetId="3042">
        <row r="9">
          <cell r="A9" t="str">
            <v>A</v>
          </cell>
        </row>
      </sheetData>
      <sheetData sheetId="3043">
        <row r="9">
          <cell r="A9" t="str">
            <v>A</v>
          </cell>
        </row>
      </sheetData>
      <sheetData sheetId="3044">
        <row r="9">
          <cell r="A9" t="str">
            <v>A</v>
          </cell>
        </row>
      </sheetData>
      <sheetData sheetId="3045">
        <row r="9">
          <cell r="A9" t="str">
            <v>A</v>
          </cell>
        </row>
      </sheetData>
      <sheetData sheetId="3046">
        <row r="9">
          <cell r="A9" t="str">
            <v>A</v>
          </cell>
        </row>
      </sheetData>
      <sheetData sheetId="3047">
        <row r="9">
          <cell r="A9" t="str">
            <v>A</v>
          </cell>
        </row>
      </sheetData>
      <sheetData sheetId="3048">
        <row r="9">
          <cell r="A9" t="str">
            <v>A</v>
          </cell>
        </row>
      </sheetData>
      <sheetData sheetId="3049">
        <row r="9">
          <cell r="A9" t="str">
            <v>A</v>
          </cell>
        </row>
      </sheetData>
      <sheetData sheetId="3050">
        <row r="9">
          <cell r="A9" t="str">
            <v>A</v>
          </cell>
        </row>
      </sheetData>
      <sheetData sheetId="3051">
        <row r="9">
          <cell r="A9" t="str">
            <v>A</v>
          </cell>
        </row>
      </sheetData>
      <sheetData sheetId="3052">
        <row r="9">
          <cell r="A9" t="str">
            <v>A</v>
          </cell>
        </row>
      </sheetData>
      <sheetData sheetId="3053">
        <row r="9">
          <cell r="A9" t="str">
            <v>A</v>
          </cell>
        </row>
      </sheetData>
      <sheetData sheetId="3054">
        <row r="9">
          <cell r="A9" t="str">
            <v>A</v>
          </cell>
        </row>
      </sheetData>
      <sheetData sheetId="3055">
        <row r="9">
          <cell r="A9" t="str">
            <v>A</v>
          </cell>
        </row>
      </sheetData>
      <sheetData sheetId="3056">
        <row r="9">
          <cell r="A9" t="str">
            <v>A</v>
          </cell>
        </row>
      </sheetData>
      <sheetData sheetId="3057">
        <row r="9">
          <cell r="A9" t="str">
            <v>A</v>
          </cell>
        </row>
      </sheetData>
      <sheetData sheetId="3058">
        <row r="9">
          <cell r="A9" t="str">
            <v>A</v>
          </cell>
        </row>
      </sheetData>
      <sheetData sheetId="3059">
        <row r="9">
          <cell r="A9" t="str">
            <v>A</v>
          </cell>
        </row>
      </sheetData>
      <sheetData sheetId="3060">
        <row r="9">
          <cell r="A9" t="str">
            <v>A</v>
          </cell>
        </row>
      </sheetData>
      <sheetData sheetId="3061">
        <row r="9">
          <cell r="A9" t="str">
            <v>A</v>
          </cell>
        </row>
      </sheetData>
      <sheetData sheetId="3062">
        <row r="9">
          <cell r="A9" t="str">
            <v>A</v>
          </cell>
        </row>
      </sheetData>
      <sheetData sheetId="3063">
        <row r="9">
          <cell r="A9" t="str">
            <v>A</v>
          </cell>
        </row>
      </sheetData>
      <sheetData sheetId="3064">
        <row r="9">
          <cell r="A9" t="str">
            <v>A</v>
          </cell>
        </row>
      </sheetData>
      <sheetData sheetId="3065">
        <row r="9">
          <cell r="A9" t="str">
            <v>A</v>
          </cell>
        </row>
      </sheetData>
      <sheetData sheetId="3066">
        <row r="9">
          <cell r="A9" t="str">
            <v>A</v>
          </cell>
        </row>
      </sheetData>
      <sheetData sheetId="3067">
        <row r="9">
          <cell r="A9" t="str">
            <v>A</v>
          </cell>
        </row>
      </sheetData>
      <sheetData sheetId="3068">
        <row r="9">
          <cell r="A9" t="str">
            <v>A</v>
          </cell>
        </row>
      </sheetData>
      <sheetData sheetId="3069">
        <row r="9">
          <cell r="A9" t="str">
            <v>A</v>
          </cell>
        </row>
      </sheetData>
      <sheetData sheetId="3070">
        <row r="9">
          <cell r="A9" t="str">
            <v>A</v>
          </cell>
        </row>
      </sheetData>
      <sheetData sheetId="3071">
        <row r="9">
          <cell r="A9" t="str">
            <v>A</v>
          </cell>
        </row>
      </sheetData>
      <sheetData sheetId="3072">
        <row r="9">
          <cell r="A9" t="str">
            <v>A</v>
          </cell>
        </row>
      </sheetData>
      <sheetData sheetId="3073">
        <row r="9">
          <cell r="A9" t="str">
            <v>A</v>
          </cell>
        </row>
      </sheetData>
      <sheetData sheetId="3074">
        <row r="9">
          <cell r="A9" t="str">
            <v>A</v>
          </cell>
        </row>
      </sheetData>
      <sheetData sheetId="3075">
        <row r="9">
          <cell r="A9" t="str">
            <v>A</v>
          </cell>
        </row>
      </sheetData>
      <sheetData sheetId="3076">
        <row r="9">
          <cell r="A9" t="str">
            <v>A</v>
          </cell>
        </row>
      </sheetData>
      <sheetData sheetId="3077">
        <row r="9">
          <cell r="A9" t="str">
            <v>A</v>
          </cell>
        </row>
      </sheetData>
      <sheetData sheetId="3078">
        <row r="9">
          <cell r="A9" t="str">
            <v>A</v>
          </cell>
        </row>
      </sheetData>
      <sheetData sheetId="3079">
        <row r="9">
          <cell r="A9" t="str">
            <v>A</v>
          </cell>
        </row>
      </sheetData>
      <sheetData sheetId="3080">
        <row r="9">
          <cell r="A9" t="str">
            <v>A</v>
          </cell>
        </row>
      </sheetData>
      <sheetData sheetId="3081">
        <row r="9">
          <cell r="A9" t="str">
            <v>A</v>
          </cell>
        </row>
      </sheetData>
      <sheetData sheetId="3082">
        <row r="9">
          <cell r="A9" t="str">
            <v>A</v>
          </cell>
        </row>
      </sheetData>
      <sheetData sheetId="3083">
        <row r="9">
          <cell r="A9" t="str">
            <v>A</v>
          </cell>
        </row>
      </sheetData>
      <sheetData sheetId="3084">
        <row r="9">
          <cell r="A9" t="str">
            <v>A</v>
          </cell>
        </row>
      </sheetData>
      <sheetData sheetId="3085">
        <row r="9">
          <cell r="A9" t="str">
            <v>A</v>
          </cell>
        </row>
      </sheetData>
      <sheetData sheetId="3086">
        <row r="9">
          <cell r="A9" t="str">
            <v>A</v>
          </cell>
        </row>
      </sheetData>
      <sheetData sheetId="3087">
        <row r="9">
          <cell r="A9" t="str">
            <v>A</v>
          </cell>
        </row>
      </sheetData>
      <sheetData sheetId="3088">
        <row r="9">
          <cell r="A9" t="str">
            <v>A</v>
          </cell>
        </row>
      </sheetData>
      <sheetData sheetId="3089">
        <row r="9">
          <cell r="A9" t="str">
            <v>A</v>
          </cell>
        </row>
      </sheetData>
      <sheetData sheetId="3090">
        <row r="9">
          <cell r="A9" t="str">
            <v>A</v>
          </cell>
        </row>
      </sheetData>
      <sheetData sheetId="3091">
        <row r="9">
          <cell r="A9" t="str">
            <v>A</v>
          </cell>
        </row>
      </sheetData>
      <sheetData sheetId="3092">
        <row r="9">
          <cell r="A9" t="str">
            <v>A</v>
          </cell>
        </row>
      </sheetData>
      <sheetData sheetId="3093">
        <row r="9">
          <cell r="A9" t="str">
            <v>A</v>
          </cell>
        </row>
      </sheetData>
      <sheetData sheetId="3094">
        <row r="9">
          <cell r="A9" t="str">
            <v>A</v>
          </cell>
        </row>
      </sheetData>
      <sheetData sheetId="3095">
        <row r="9">
          <cell r="A9" t="str">
            <v>A</v>
          </cell>
        </row>
      </sheetData>
      <sheetData sheetId="3096">
        <row r="9">
          <cell r="A9" t="str">
            <v>A</v>
          </cell>
        </row>
      </sheetData>
      <sheetData sheetId="3097">
        <row r="9">
          <cell r="A9" t="str">
            <v>A</v>
          </cell>
        </row>
      </sheetData>
      <sheetData sheetId="3098">
        <row r="9">
          <cell r="A9" t="str">
            <v>A</v>
          </cell>
        </row>
      </sheetData>
      <sheetData sheetId="3099">
        <row r="9">
          <cell r="A9" t="str">
            <v>A</v>
          </cell>
        </row>
      </sheetData>
      <sheetData sheetId="3100">
        <row r="9">
          <cell r="A9" t="str">
            <v>A</v>
          </cell>
        </row>
      </sheetData>
      <sheetData sheetId="3101">
        <row r="9">
          <cell r="A9" t="str">
            <v>A</v>
          </cell>
        </row>
      </sheetData>
      <sheetData sheetId="3102">
        <row r="9">
          <cell r="A9" t="str">
            <v>A</v>
          </cell>
        </row>
      </sheetData>
      <sheetData sheetId="3103">
        <row r="9">
          <cell r="A9" t="str">
            <v>A</v>
          </cell>
        </row>
      </sheetData>
      <sheetData sheetId="3104">
        <row r="9">
          <cell r="A9" t="str">
            <v>A</v>
          </cell>
        </row>
      </sheetData>
      <sheetData sheetId="3105">
        <row r="9">
          <cell r="A9" t="str">
            <v>A</v>
          </cell>
        </row>
      </sheetData>
      <sheetData sheetId="3106">
        <row r="9">
          <cell r="A9" t="str">
            <v>A</v>
          </cell>
        </row>
      </sheetData>
      <sheetData sheetId="3107">
        <row r="9">
          <cell r="A9" t="str">
            <v>A</v>
          </cell>
        </row>
      </sheetData>
      <sheetData sheetId="3108">
        <row r="9">
          <cell r="A9" t="str">
            <v>A</v>
          </cell>
        </row>
      </sheetData>
      <sheetData sheetId="3109">
        <row r="9">
          <cell r="A9" t="str">
            <v>A</v>
          </cell>
        </row>
      </sheetData>
      <sheetData sheetId="3110">
        <row r="9">
          <cell r="A9" t="str">
            <v>A</v>
          </cell>
        </row>
      </sheetData>
      <sheetData sheetId="3111">
        <row r="9">
          <cell r="A9" t="str">
            <v>A</v>
          </cell>
        </row>
      </sheetData>
      <sheetData sheetId="3112">
        <row r="9">
          <cell r="A9" t="str">
            <v>A</v>
          </cell>
        </row>
      </sheetData>
      <sheetData sheetId="3113">
        <row r="9">
          <cell r="A9" t="str">
            <v>A</v>
          </cell>
        </row>
      </sheetData>
      <sheetData sheetId="3114">
        <row r="9">
          <cell r="A9" t="str">
            <v>A</v>
          </cell>
        </row>
      </sheetData>
      <sheetData sheetId="3115">
        <row r="9">
          <cell r="A9" t="str">
            <v>A</v>
          </cell>
        </row>
      </sheetData>
      <sheetData sheetId="3116">
        <row r="9">
          <cell r="A9" t="str">
            <v>A</v>
          </cell>
        </row>
      </sheetData>
      <sheetData sheetId="3117">
        <row r="9">
          <cell r="A9" t="str">
            <v>A</v>
          </cell>
        </row>
      </sheetData>
      <sheetData sheetId="3118">
        <row r="9">
          <cell r="A9" t="str">
            <v>A</v>
          </cell>
        </row>
      </sheetData>
      <sheetData sheetId="3119">
        <row r="9">
          <cell r="A9" t="str">
            <v>A</v>
          </cell>
        </row>
      </sheetData>
      <sheetData sheetId="3120">
        <row r="9">
          <cell r="A9" t="str">
            <v>A</v>
          </cell>
        </row>
      </sheetData>
      <sheetData sheetId="3121">
        <row r="9">
          <cell r="A9" t="str">
            <v>A</v>
          </cell>
        </row>
      </sheetData>
      <sheetData sheetId="3122">
        <row r="9">
          <cell r="A9" t="str">
            <v>A</v>
          </cell>
        </row>
      </sheetData>
      <sheetData sheetId="3123">
        <row r="9">
          <cell r="A9" t="str">
            <v>A</v>
          </cell>
        </row>
      </sheetData>
      <sheetData sheetId="3124">
        <row r="9">
          <cell r="A9" t="str">
            <v>A</v>
          </cell>
        </row>
      </sheetData>
      <sheetData sheetId="3125">
        <row r="9">
          <cell r="A9" t="str">
            <v>A</v>
          </cell>
        </row>
      </sheetData>
      <sheetData sheetId="3126">
        <row r="9">
          <cell r="A9" t="str">
            <v>A</v>
          </cell>
        </row>
      </sheetData>
      <sheetData sheetId="3127">
        <row r="9">
          <cell r="A9" t="str">
            <v>A</v>
          </cell>
        </row>
      </sheetData>
      <sheetData sheetId="3128">
        <row r="9">
          <cell r="A9" t="str">
            <v>A</v>
          </cell>
        </row>
      </sheetData>
      <sheetData sheetId="3129">
        <row r="9">
          <cell r="A9" t="str">
            <v>A</v>
          </cell>
        </row>
      </sheetData>
      <sheetData sheetId="3130">
        <row r="9">
          <cell r="A9" t="str">
            <v>A</v>
          </cell>
        </row>
      </sheetData>
      <sheetData sheetId="3131">
        <row r="9">
          <cell r="A9" t="str">
            <v>A</v>
          </cell>
        </row>
      </sheetData>
      <sheetData sheetId="3132">
        <row r="9">
          <cell r="A9" t="str">
            <v>A</v>
          </cell>
        </row>
      </sheetData>
      <sheetData sheetId="3133">
        <row r="9">
          <cell r="A9" t="str">
            <v>A</v>
          </cell>
        </row>
      </sheetData>
      <sheetData sheetId="3134">
        <row r="9">
          <cell r="A9" t="str">
            <v>A</v>
          </cell>
        </row>
      </sheetData>
      <sheetData sheetId="3135">
        <row r="9">
          <cell r="A9" t="str">
            <v>A</v>
          </cell>
        </row>
      </sheetData>
      <sheetData sheetId="3136">
        <row r="9">
          <cell r="A9" t="str">
            <v>A</v>
          </cell>
        </row>
      </sheetData>
      <sheetData sheetId="3137">
        <row r="9">
          <cell r="A9" t="str">
            <v>A</v>
          </cell>
        </row>
      </sheetData>
      <sheetData sheetId="3138">
        <row r="9">
          <cell r="A9" t="str">
            <v>A</v>
          </cell>
        </row>
      </sheetData>
      <sheetData sheetId="3139">
        <row r="9">
          <cell r="A9" t="str">
            <v>A</v>
          </cell>
        </row>
      </sheetData>
      <sheetData sheetId="3140">
        <row r="9">
          <cell r="A9" t="str">
            <v>A</v>
          </cell>
        </row>
      </sheetData>
      <sheetData sheetId="3141">
        <row r="9">
          <cell r="A9" t="str">
            <v>A</v>
          </cell>
        </row>
      </sheetData>
      <sheetData sheetId="3142">
        <row r="9">
          <cell r="A9" t="str">
            <v>A</v>
          </cell>
        </row>
      </sheetData>
      <sheetData sheetId="3143">
        <row r="9">
          <cell r="A9" t="str">
            <v>A</v>
          </cell>
        </row>
      </sheetData>
      <sheetData sheetId="3144">
        <row r="9">
          <cell r="A9" t="str">
            <v>A</v>
          </cell>
        </row>
      </sheetData>
      <sheetData sheetId="3145">
        <row r="9">
          <cell r="A9" t="str">
            <v>A</v>
          </cell>
        </row>
      </sheetData>
      <sheetData sheetId="3146">
        <row r="9">
          <cell r="A9" t="str">
            <v>A</v>
          </cell>
        </row>
      </sheetData>
      <sheetData sheetId="3147">
        <row r="9">
          <cell r="A9" t="str">
            <v>A</v>
          </cell>
        </row>
      </sheetData>
      <sheetData sheetId="3148">
        <row r="9">
          <cell r="A9" t="str">
            <v>A</v>
          </cell>
        </row>
      </sheetData>
      <sheetData sheetId="3149">
        <row r="9">
          <cell r="A9" t="str">
            <v>A</v>
          </cell>
        </row>
      </sheetData>
      <sheetData sheetId="3150">
        <row r="9">
          <cell r="A9" t="str">
            <v>A</v>
          </cell>
        </row>
      </sheetData>
      <sheetData sheetId="3151">
        <row r="9">
          <cell r="A9" t="str">
            <v>A</v>
          </cell>
        </row>
      </sheetData>
      <sheetData sheetId="3152">
        <row r="9">
          <cell r="A9" t="str">
            <v>A</v>
          </cell>
        </row>
      </sheetData>
      <sheetData sheetId="3153">
        <row r="9">
          <cell r="A9" t="str">
            <v>A</v>
          </cell>
        </row>
      </sheetData>
      <sheetData sheetId="3154">
        <row r="9">
          <cell r="A9" t="str">
            <v>A</v>
          </cell>
        </row>
      </sheetData>
      <sheetData sheetId="3155">
        <row r="9">
          <cell r="A9" t="str">
            <v>A</v>
          </cell>
        </row>
      </sheetData>
      <sheetData sheetId="3156">
        <row r="9">
          <cell r="A9" t="str">
            <v>A</v>
          </cell>
        </row>
      </sheetData>
      <sheetData sheetId="3157">
        <row r="9">
          <cell r="A9" t="str">
            <v>A</v>
          </cell>
        </row>
      </sheetData>
      <sheetData sheetId="3158">
        <row r="9">
          <cell r="A9" t="str">
            <v>A</v>
          </cell>
        </row>
      </sheetData>
      <sheetData sheetId="3159">
        <row r="9">
          <cell r="A9" t="str">
            <v>A</v>
          </cell>
        </row>
      </sheetData>
      <sheetData sheetId="3160">
        <row r="9">
          <cell r="A9" t="str">
            <v>A</v>
          </cell>
        </row>
      </sheetData>
      <sheetData sheetId="3161">
        <row r="9">
          <cell r="A9" t="str">
            <v>A</v>
          </cell>
        </row>
      </sheetData>
      <sheetData sheetId="3162">
        <row r="9">
          <cell r="A9" t="str">
            <v>A</v>
          </cell>
        </row>
      </sheetData>
      <sheetData sheetId="3163">
        <row r="9">
          <cell r="A9" t="str">
            <v>A</v>
          </cell>
        </row>
      </sheetData>
      <sheetData sheetId="3164">
        <row r="9">
          <cell r="A9" t="str">
            <v>A</v>
          </cell>
        </row>
      </sheetData>
      <sheetData sheetId="3165">
        <row r="9">
          <cell r="A9" t="str">
            <v>A</v>
          </cell>
        </row>
      </sheetData>
      <sheetData sheetId="3166">
        <row r="9">
          <cell r="A9" t="str">
            <v>A</v>
          </cell>
        </row>
      </sheetData>
      <sheetData sheetId="3167">
        <row r="9">
          <cell r="A9" t="str">
            <v>A</v>
          </cell>
        </row>
      </sheetData>
      <sheetData sheetId="3168">
        <row r="9">
          <cell r="A9" t="str">
            <v>A</v>
          </cell>
        </row>
      </sheetData>
      <sheetData sheetId="3169">
        <row r="9">
          <cell r="A9" t="str">
            <v>A</v>
          </cell>
        </row>
      </sheetData>
      <sheetData sheetId="3170">
        <row r="9">
          <cell r="A9" t="str">
            <v>A</v>
          </cell>
        </row>
      </sheetData>
      <sheetData sheetId="3171">
        <row r="9">
          <cell r="A9" t="str">
            <v>A</v>
          </cell>
        </row>
      </sheetData>
      <sheetData sheetId="3172">
        <row r="9">
          <cell r="A9" t="str">
            <v>A</v>
          </cell>
        </row>
      </sheetData>
      <sheetData sheetId="3173">
        <row r="9">
          <cell r="A9" t="str">
            <v>A</v>
          </cell>
        </row>
      </sheetData>
      <sheetData sheetId="3174">
        <row r="9">
          <cell r="A9" t="str">
            <v>A</v>
          </cell>
        </row>
      </sheetData>
      <sheetData sheetId="3175">
        <row r="9">
          <cell r="A9" t="str">
            <v>A</v>
          </cell>
        </row>
      </sheetData>
      <sheetData sheetId="3176">
        <row r="9">
          <cell r="A9" t="str">
            <v>A</v>
          </cell>
        </row>
      </sheetData>
      <sheetData sheetId="3177">
        <row r="9">
          <cell r="A9" t="str">
            <v>A</v>
          </cell>
        </row>
      </sheetData>
      <sheetData sheetId="3178">
        <row r="9">
          <cell r="A9" t="str">
            <v>A</v>
          </cell>
        </row>
      </sheetData>
      <sheetData sheetId="3179">
        <row r="9">
          <cell r="A9" t="str">
            <v>A</v>
          </cell>
        </row>
      </sheetData>
      <sheetData sheetId="3180">
        <row r="9">
          <cell r="A9" t="str">
            <v>A</v>
          </cell>
        </row>
      </sheetData>
      <sheetData sheetId="3181">
        <row r="9">
          <cell r="A9" t="str">
            <v>A</v>
          </cell>
        </row>
      </sheetData>
      <sheetData sheetId="3182">
        <row r="9">
          <cell r="A9" t="str">
            <v>A</v>
          </cell>
        </row>
      </sheetData>
      <sheetData sheetId="3183">
        <row r="9">
          <cell r="A9" t="str">
            <v>A</v>
          </cell>
        </row>
      </sheetData>
      <sheetData sheetId="3184">
        <row r="9">
          <cell r="A9" t="str">
            <v>A</v>
          </cell>
        </row>
      </sheetData>
      <sheetData sheetId="3185">
        <row r="9">
          <cell r="A9" t="str">
            <v>A</v>
          </cell>
        </row>
      </sheetData>
      <sheetData sheetId="3186">
        <row r="9">
          <cell r="A9" t="str">
            <v>A</v>
          </cell>
        </row>
      </sheetData>
      <sheetData sheetId="3187">
        <row r="9">
          <cell r="A9" t="str">
            <v>A</v>
          </cell>
        </row>
      </sheetData>
      <sheetData sheetId="3188">
        <row r="9">
          <cell r="A9" t="str">
            <v>A</v>
          </cell>
        </row>
      </sheetData>
      <sheetData sheetId="3189">
        <row r="9">
          <cell r="A9" t="str">
            <v>A</v>
          </cell>
        </row>
      </sheetData>
      <sheetData sheetId="3190">
        <row r="9">
          <cell r="A9" t="str">
            <v>A</v>
          </cell>
        </row>
      </sheetData>
      <sheetData sheetId="3191">
        <row r="9">
          <cell r="A9" t="str">
            <v>A</v>
          </cell>
        </row>
      </sheetData>
      <sheetData sheetId="3192">
        <row r="9">
          <cell r="A9" t="str">
            <v>A</v>
          </cell>
        </row>
      </sheetData>
      <sheetData sheetId="3193">
        <row r="9">
          <cell r="A9" t="str">
            <v>A</v>
          </cell>
        </row>
      </sheetData>
      <sheetData sheetId="3194">
        <row r="9">
          <cell r="A9" t="str">
            <v>A</v>
          </cell>
        </row>
      </sheetData>
      <sheetData sheetId="3195">
        <row r="9">
          <cell r="A9" t="str">
            <v>A</v>
          </cell>
        </row>
      </sheetData>
      <sheetData sheetId="3196">
        <row r="9">
          <cell r="A9" t="str">
            <v>A</v>
          </cell>
        </row>
      </sheetData>
      <sheetData sheetId="3197">
        <row r="9">
          <cell r="A9" t="str">
            <v>A</v>
          </cell>
        </row>
      </sheetData>
      <sheetData sheetId="3198">
        <row r="9">
          <cell r="A9" t="str">
            <v>A</v>
          </cell>
        </row>
      </sheetData>
      <sheetData sheetId="3199">
        <row r="9">
          <cell r="A9" t="str">
            <v>A</v>
          </cell>
        </row>
      </sheetData>
      <sheetData sheetId="3200">
        <row r="9">
          <cell r="A9" t="str">
            <v>A</v>
          </cell>
        </row>
      </sheetData>
      <sheetData sheetId="3201">
        <row r="9">
          <cell r="A9" t="str">
            <v>A</v>
          </cell>
        </row>
      </sheetData>
      <sheetData sheetId="3202">
        <row r="9">
          <cell r="A9" t="str">
            <v>A</v>
          </cell>
        </row>
      </sheetData>
      <sheetData sheetId="3203">
        <row r="9">
          <cell r="A9" t="str">
            <v>A</v>
          </cell>
        </row>
      </sheetData>
      <sheetData sheetId="3204">
        <row r="9">
          <cell r="A9" t="str">
            <v>A</v>
          </cell>
        </row>
      </sheetData>
      <sheetData sheetId="3205">
        <row r="9">
          <cell r="A9" t="str">
            <v>A</v>
          </cell>
        </row>
      </sheetData>
      <sheetData sheetId="3206">
        <row r="9">
          <cell r="A9" t="str">
            <v>A</v>
          </cell>
        </row>
      </sheetData>
      <sheetData sheetId="3207">
        <row r="9">
          <cell r="A9" t="str">
            <v>A</v>
          </cell>
        </row>
      </sheetData>
      <sheetData sheetId="3208">
        <row r="9">
          <cell r="A9" t="str">
            <v>A</v>
          </cell>
        </row>
      </sheetData>
      <sheetData sheetId="3209">
        <row r="9">
          <cell r="A9" t="str">
            <v>A</v>
          </cell>
        </row>
      </sheetData>
      <sheetData sheetId="3210">
        <row r="9">
          <cell r="A9" t="str">
            <v>A</v>
          </cell>
        </row>
      </sheetData>
      <sheetData sheetId="3211">
        <row r="9">
          <cell r="A9" t="str">
            <v>A</v>
          </cell>
        </row>
      </sheetData>
      <sheetData sheetId="3212">
        <row r="9">
          <cell r="A9" t="str">
            <v>A</v>
          </cell>
        </row>
      </sheetData>
      <sheetData sheetId="3213">
        <row r="9">
          <cell r="A9" t="str">
            <v>A</v>
          </cell>
        </row>
      </sheetData>
      <sheetData sheetId="3214">
        <row r="9">
          <cell r="A9" t="str">
            <v>A</v>
          </cell>
        </row>
      </sheetData>
      <sheetData sheetId="3215">
        <row r="9">
          <cell r="A9" t="str">
            <v>A</v>
          </cell>
        </row>
      </sheetData>
      <sheetData sheetId="3216">
        <row r="9">
          <cell r="A9" t="str">
            <v>A</v>
          </cell>
        </row>
      </sheetData>
      <sheetData sheetId="3217">
        <row r="9">
          <cell r="A9" t="str">
            <v>A</v>
          </cell>
        </row>
      </sheetData>
      <sheetData sheetId="3218">
        <row r="9">
          <cell r="A9" t="str">
            <v>A</v>
          </cell>
        </row>
      </sheetData>
      <sheetData sheetId="3219">
        <row r="9">
          <cell r="A9" t="str">
            <v>A</v>
          </cell>
        </row>
      </sheetData>
      <sheetData sheetId="3220">
        <row r="9">
          <cell r="A9" t="str">
            <v>A</v>
          </cell>
        </row>
      </sheetData>
      <sheetData sheetId="3221">
        <row r="9">
          <cell r="A9" t="str">
            <v>A</v>
          </cell>
        </row>
      </sheetData>
      <sheetData sheetId="3222">
        <row r="9">
          <cell r="A9" t="str">
            <v>A</v>
          </cell>
        </row>
      </sheetData>
      <sheetData sheetId="3223">
        <row r="9">
          <cell r="A9" t="str">
            <v>A</v>
          </cell>
        </row>
      </sheetData>
      <sheetData sheetId="3224">
        <row r="9">
          <cell r="A9" t="str">
            <v>A</v>
          </cell>
        </row>
      </sheetData>
      <sheetData sheetId="3225">
        <row r="9">
          <cell r="A9" t="str">
            <v>A</v>
          </cell>
        </row>
      </sheetData>
      <sheetData sheetId="3226">
        <row r="9">
          <cell r="A9" t="str">
            <v>A</v>
          </cell>
        </row>
      </sheetData>
      <sheetData sheetId="3227">
        <row r="9">
          <cell r="A9" t="str">
            <v>A</v>
          </cell>
        </row>
      </sheetData>
      <sheetData sheetId="3228">
        <row r="9">
          <cell r="A9" t="str">
            <v>A</v>
          </cell>
        </row>
      </sheetData>
      <sheetData sheetId="3229">
        <row r="9">
          <cell r="A9" t="str">
            <v>A</v>
          </cell>
        </row>
      </sheetData>
      <sheetData sheetId="3230">
        <row r="9">
          <cell r="A9" t="str">
            <v>A</v>
          </cell>
        </row>
      </sheetData>
      <sheetData sheetId="3231">
        <row r="9">
          <cell r="A9" t="str">
            <v>A</v>
          </cell>
        </row>
      </sheetData>
      <sheetData sheetId="3232">
        <row r="9">
          <cell r="A9" t="str">
            <v>A</v>
          </cell>
        </row>
      </sheetData>
      <sheetData sheetId="3233">
        <row r="9">
          <cell r="A9" t="str">
            <v>A</v>
          </cell>
        </row>
      </sheetData>
      <sheetData sheetId="3234">
        <row r="9">
          <cell r="A9" t="str">
            <v>A</v>
          </cell>
        </row>
      </sheetData>
      <sheetData sheetId="3235">
        <row r="9">
          <cell r="A9" t="str">
            <v>A</v>
          </cell>
        </row>
      </sheetData>
      <sheetData sheetId="3236">
        <row r="9">
          <cell r="A9" t="str">
            <v>A</v>
          </cell>
        </row>
      </sheetData>
      <sheetData sheetId="3237">
        <row r="9">
          <cell r="A9" t="str">
            <v>A</v>
          </cell>
        </row>
      </sheetData>
      <sheetData sheetId="3238">
        <row r="9">
          <cell r="A9" t="str">
            <v>A</v>
          </cell>
        </row>
      </sheetData>
      <sheetData sheetId="3239">
        <row r="9">
          <cell r="A9" t="str">
            <v>A</v>
          </cell>
        </row>
      </sheetData>
      <sheetData sheetId="3240">
        <row r="9">
          <cell r="A9" t="str">
            <v>A</v>
          </cell>
        </row>
      </sheetData>
      <sheetData sheetId="3241">
        <row r="9">
          <cell r="A9" t="str">
            <v>A</v>
          </cell>
        </row>
      </sheetData>
      <sheetData sheetId="3242">
        <row r="9">
          <cell r="A9" t="str">
            <v>A</v>
          </cell>
        </row>
      </sheetData>
      <sheetData sheetId="3243">
        <row r="9">
          <cell r="A9" t="str">
            <v>A</v>
          </cell>
        </row>
      </sheetData>
      <sheetData sheetId="3244">
        <row r="9">
          <cell r="A9" t="str">
            <v>A</v>
          </cell>
        </row>
      </sheetData>
      <sheetData sheetId="3245">
        <row r="9">
          <cell r="A9" t="str">
            <v>A</v>
          </cell>
        </row>
      </sheetData>
      <sheetData sheetId="3246">
        <row r="9">
          <cell r="A9" t="str">
            <v>A</v>
          </cell>
        </row>
      </sheetData>
      <sheetData sheetId="3247">
        <row r="9">
          <cell r="A9" t="str">
            <v>A</v>
          </cell>
        </row>
      </sheetData>
      <sheetData sheetId="3248">
        <row r="9">
          <cell r="A9" t="str">
            <v>A</v>
          </cell>
        </row>
      </sheetData>
      <sheetData sheetId="3249">
        <row r="9">
          <cell r="A9" t="str">
            <v>A</v>
          </cell>
        </row>
      </sheetData>
      <sheetData sheetId="3250">
        <row r="9">
          <cell r="A9" t="str">
            <v>A</v>
          </cell>
        </row>
      </sheetData>
      <sheetData sheetId="3251">
        <row r="9">
          <cell r="A9" t="str">
            <v>A</v>
          </cell>
        </row>
      </sheetData>
      <sheetData sheetId="3252">
        <row r="9">
          <cell r="A9" t="str">
            <v>A</v>
          </cell>
        </row>
      </sheetData>
      <sheetData sheetId="3253">
        <row r="9">
          <cell r="A9" t="str">
            <v>A</v>
          </cell>
        </row>
      </sheetData>
      <sheetData sheetId="3254">
        <row r="9">
          <cell r="A9" t="str">
            <v>A</v>
          </cell>
        </row>
      </sheetData>
      <sheetData sheetId="3255">
        <row r="9">
          <cell r="A9" t="str">
            <v>A</v>
          </cell>
        </row>
      </sheetData>
      <sheetData sheetId="3256">
        <row r="9">
          <cell r="A9" t="str">
            <v>A</v>
          </cell>
        </row>
      </sheetData>
      <sheetData sheetId="3257">
        <row r="9">
          <cell r="A9" t="str">
            <v>A</v>
          </cell>
        </row>
      </sheetData>
      <sheetData sheetId="3258">
        <row r="9">
          <cell r="A9" t="str">
            <v>A</v>
          </cell>
        </row>
      </sheetData>
      <sheetData sheetId="3259">
        <row r="9">
          <cell r="A9" t="str">
            <v>A</v>
          </cell>
        </row>
      </sheetData>
      <sheetData sheetId="3260">
        <row r="9">
          <cell r="A9" t="str">
            <v>A</v>
          </cell>
        </row>
      </sheetData>
      <sheetData sheetId="3261">
        <row r="9">
          <cell r="A9" t="str">
            <v>A</v>
          </cell>
        </row>
      </sheetData>
      <sheetData sheetId="3262">
        <row r="9">
          <cell r="A9" t="str">
            <v>A</v>
          </cell>
        </row>
      </sheetData>
      <sheetData sheetId="3263" refreshError="1"/>
      <sheetData sheetId="3264" refreshError="1"/>
      <sheetData sheetId="3265" refreshError="1"/>
      <sheetData sheetId="3266" refreshError="1"/>
      <sheetData sheetId="3267">
        <row r="9">
          <cell r="A9" t="str">
            <v>A</v>
          </cell>
        </row>
      </sheetData>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ow r="9">
          <cell r="A9" t="str">
            <v>A</v>
          </cell>
        </row>
      </sheetData>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ow r="9">
          <cell r="A9" t="str">
            <v>A</v>
          </cell>
        </row>
      </sheetData>
      <sheetData sheetId="3320">
        <row r="9">
          <cell r="A9" t="str">
            <v>A</v>
          </cell>
        </row>
      </sheetData>
      <sheetData sheetId="3321">
        <row r="9">
          <cell r="A9" t="str">
            <v>A</v>
          </cell>
        </row>
      </sheetData>
      <sheetData sheetId="3322">
        <row r="9">
          <cell r="A9" t="str">
            <v>A</v>
          </cell>
        </row>
      </sheetData>
      <sheetData sheetId="3323" refreshError="1"/>
      <sheetData sheetId="3324" refreshError="1"/>
      <sheetData sheetId="3325" refreshError="1"/>
      <sheetData sheetId="3326" refreshError="1"/>
      <sheetData sheetId="3327" refreshError="1"/>
      <sheetData sheetId="3328" refreshError="1"/>
      <sheetData sheetId="3329">
        <row r="9">
          <cell r="A9" t="str">
            <v>A</v>
          </cell>
        </row>
      </sheetData>
      <sheetData sheetId="3330">
        <row r="9">
          <cell r="A9" t="str">
            <v>A</v>
          </cell>
        </row>
      </sheetData>
      <sheetData sheetId="3331">
        <row r="9">
          <cell r="A9" t="str">
            <v>A</v>
          </cell>
        </row>
      </sheetData>
      <sheetData sheetId="3332">
        <row r="9">
          <cell r="A9" t="str">
            <v>A</v>
          </cell>
        </row>
      </sheetData>
      <sheetData sheetId="3333">
        <row r="9">
          <cell r="A9" t="str">
            <v>A</v>
          </cell>
        </row>
      </sheetData>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ow r="9">
          <cell r="A9" t="str">
            <v>A</v>
          </cell>
        </row>
      </sheetData>
      <sheetData sheetId="3362">
        <row r="9">
          <cell r="A9" t="str">
            <v>A</v>
          </cell>
        </row>
      </sheetData>
      <sheetData sheetId="3363">
        <row r="9">
          <cell r="A9" t="str">
            <v>A</v>
          </cell>
        </row>
      </sheetData>
      <sheetData sheetId="3364">
        <row r="9">
          <cell r="A9" t="str">
            <v>A</v>
          </cell>
        </row>
      </sheetData>
      <sheetData sheetId="3365">
        <row r="9">
          <cell r="A9" t="str">
            <v>A</v>
          </cell>
        </row>
      </sheetData>
      <sheetData sheetId="3366">
        <row r="9">
          <cell r="A9" t="str">
            <v>A</v>
          </cell>
        </row>
      </sheetData>
      <sheetData sheetId="3367">
        <row r="9">
          <cell r="A9" t="str">
            <v>A</v>
          </cell>
        </row>
      </sheetData>
      <sheetData sheetId="3368">
        <row r="9">
          <cell r="A9" t="str">
            <v>A</v>
          </cell>
        </row>
      </sheetData>
      <sheetData sheetId="3369">
        <row r="9">
          <cell r="A9" t="str">
            <v>A</v>
          </cell>
        </row>
      </sheetData>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ow r="9">
          <cell r="A9" t="str">
            <v>A</v>
          </cell>
        </row>
      </sheetData>
      <sheetData sheetId="3420" refreshError="1"/>
      <sheetData sheetId="3421" refreshError="1"/>
      <sheetData sheetId="3422" refreshError="1"/>
      <sheetData sheetId="3423" refreshError="1"/>
      <sheetData sheetId="3424" refreshError="1"/>
      <sheetData sheetId="3425">
        <row r="4">
          <cell r="A4" t="str">
            <v>BẢNG TÍNH TOÁN, ĐO BÓC KHỐI LƯỢNG HOÀN THÀNH ĐƯA VÀO QUYẾT TOÁN</v>
          </cell>
        </row>
      </sheetData>
      <sheetData sheetId="3426">
        <row r="9">
          <cell r="A9" t="str">
            <v>A</v>
          </cell>
        </row>
      </sheetData>
      <sheetData sheetId="3427">
        <row r="4">
          <cell r="A4" t="str">
            <v>BẢNG TÍNH TOÁN, ĐO BÓC KHỐI LƯỢNG HOÀN THÀNH ĐƯA VÀO QUYẾT TOÁN</v>
          </cell>
        </row>
      </sheetData>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ow r="4">
          <cell r="A4" t="str">
            <v>BẢNG TÍNH TOÁN, ĐO BÓC KHỐI LƯỢNG HOÀN THÀNH ĐƯA VÀO QUYẾT TOÁN</v>
          </cell>
        </row>
      </sheetData>
      <sheetData sheetId="4039">
        <row r="4">
          <cell r="A4" t="str">
            <v>BẢNG TÍNH TOÁN, ĐO BÓC KHỐI LƯỢNG HOÀN THÀNH ĐƯA VÀO QUYẾT TOÁN</v>
          </cell>
        </row>
      </sheetData>
      <sheetData sheetId="4040">
        <row r="4">
          <cell r="A4" t="str">
            <v>BẢNG TÍNH TOÁN, ĐO BÓC KHỐI LƯỢNG HOÀN THÀNH ĐƯA VÀO QUYẾT TOÁN</v>
          </cell>
        </row>
      </sheetData>
      <sheetData sheetId="4041">
        <row r="4">
          <cell r="A4" t="str">
            <v>BẢNG TÍNH TOÁN, ĐO BÓC KHỐI LƯỢNG HOÀN THÀNH ĐƯA VÀO QUYẾT TOÁN</v>
          </cell>
        </row>
      </sheetData>
      <sheetData sheetId="4042">
        <row r="4">
          <cell r="A4" t="str">
            <v>BẢNG TÍNH TOÁN, ĐO BÓC KHỐI LƯỢNG HOÀN THÀNH ĐƯA VÀO QUYẾT TOÁN</v>
          </cell>
        </row>
      </sheetData>
      <sheetData sheetId="4043">
        <row r="4">
          <cell r="A4" t="str">
            <v>BẢNG TÍNH TOÁN, ĐO BÓC KHỐI LƯỢNG HOÀN THÀNH ĐƯA VÀO QUYẾT TOÁN</v>
          </cell>
        </row>
      </sheetData>
      <sheetData sheetId="4044">
        <row r="4">
          <cell r="A4" t="str">
            <v>BẢNG TÍNH TOÁN, ĐO BÓC KHỐI LƯỢNG HOÀN THÀNH ĐƯA VÀO QUYẾT TOÁN</v>
          </cell>
        </row>
      </sheetData>
      <sheetData sheetId="4045">
        <row r="4">
          <cell r="A4" t="str">
            <v>BẢNG TÍNH TOÁN, ĐO BÓC KHỐI LƯỢNG HOÀN THÀNH ĐƯA VÀO QUYẾT TOÁN</v>
          </cell>
        </row>
      </sheetData>
      <sheetData sheetId="4046">
        <row r="4">
          <cell r="A4" t="str">
            <v>BẢNG TÍNH TOÁN, ĐO BÓC KHỐI LƯỢNG HOÀN THÀNH ĐƯA VÀO QUYẾT TOÁN</v>
          </cell>
        </row>
      </sheetData>
      <sheetData sheetId="4047">
        <row r="4">
          <cell r="A4" t="str">
            <v>BẢNG TÍNH TOÁN, ĐO BÓC KHỐI LƯỢNG HOÀN THÀNH ĐƯA VÀO QUYẾT TOÁN</v>
          </cell>
        </row>
      </sheetData>
      <sheetData sheetId="4048">
        <row r="4">
          <cell r="A4" t="str">
            <v>BẢNG TÍNH TOÁN, ĐO BÓC KHỐI LƯỢNG HOÀN THÀNH ĐƯA VÀO QUYẾT TOÁN</v>
          </cell>
        </row>
      </sheetData>
      <sheetData sheetId="4049">
        <row r="4">
          <cell r="A4" t="str">
            <v>BẢNG TÍNH TOÁN, ĐO BÓC KHỐI LƯỢNG HOÀN THÀNH ĐƯA VÀO QUYẾT TOÁN</v>
          </cell>
        </row>
      </sheetData>
      <sheetData sheetId="4050">
        <row r="4">
          <cell r="A4" t="str">
            <v>BẢNG TÍNH TOÁN, ĐO BÓC KHỐI LƯỢNG HOÀN THÀNH ĐƯA VÀO QUYẾT TOÁN</v>
          </cell>
        </row>
      </sheetData>
      <sheetData sheetId="4051">
        <row r="4">
          <cell r="A4" t="str">
            <v>BẢNG TÍNH TOÁN, ĐO BÓC KHỐI LƯỢNG HOÀN THÀNH ĐƯA VÀO QUYẾT TOÁN</v>
          </cell>
        </row>
      </sheetData>
      <sheetData sheetId="4052">
        <row r="4">
          <cell r="A4" t="str">
            <v>BẢNG TÍNH TOÁN, ĐO BÓC KHỐI LƯỢNG HOÀN THÀNH ĐƯA VÀO QUYẾT TOÁN</v>
          </cell>
        </row>
      </sheetData>
      <sheetData sheetId="4053">
        <row r="4">
          <cell r="A4" t="str">
            <v>BẢNG TÍNH TOÁN, ĐO BÓC KHỐI LƯỢNG HOÀN THÀNH ĐƯA VÀO QUYẾT TOÁN</v>
          </cell>
        </row>
      </sheetData>
      <sheetData sheetId="4054">
        <row r="4">
          <cell r="A4" t="str">
            <v>BẢNG TÍNH TOÁN, ĐO BÓC KHỐI LƯỢNG HOÀN THÀNH ĐƯA VÀO QUYẾT TOÁN</v>
          </cell>
        </row>
      </sheetData>
      <sheetData sheetId="4055">
        <row r="4">
          <cell r="A4" t="str">
            <v>BẢNG TÍNH TOÁN, ĐO BÓC KHỐI LƯỢNG HOÀN THÀNH ĐƯA VÀO QUYẾT TOÁN</v>
          </cell>
        </row>
      </sheetData>
      <sheetData sheetId="4056">
        <row r="4">
          <cell r="A4" t="str">
            <v>BẢNG TÍNH TOÁN, ĐO BÓC KHỐI LƯỢNG HOÀN THÀNH ĐƯA VÀO QUYẾT TOÁN</v>
          </cell>
        </row>
      </sheetData>
      <sheetData sheetId="4057">
        <row r="4">
          <cell r="A4" t="str">
            <v>BẢNG TÍNH TOÁN, ĐO BÓC KHỐI LƯỢNG HOÀN THÀNH ĐƯA VÀO QUYẾT TOÁN</v>
          </cell>
        </row>
      </sheetData>
      <sheetData sheetId="4058">
        <row r="4">
          <cell r="A4" t="str">
            <v>BẢNG TÍNH TOÁN, ĐO BÓC KHỐI LƯỢNG HOÀN THÀNH ĐƯA VÀO QUYẾT TOÁN</v>
          </cell>
        </row>
      </sheetData>
      <sheetData sheetId="4059">
        <row r="4">
          <cell r="A4" t="str">
            <v>BẢNG TÍNH TOÁN, ĐO BÓC KHỐI LƯỢNG HOÀN THÀNH ĐƯA VÀO QUYẾT TOÁN</v>
          </cell>
        </row>
      </sheetData>
      <sheetData sheetId="4060">
        <row r="4">
          <cell r="A4" t="str">
            <v>BẢNG TÍNH TOÁN, ĐO BÓC KHỐI LƯỢNG HOÀN THÀNH ĐƯA VÀO QUYẾT TOÁN</v>
          </cell>
        </row>
      </sheetData>
      <sheetData sheetId="4061">
        <row r="4">
          <cell r="A4" t="str">
            <v>BẢNG TÍNH TOÁN, ĐO BÓC KHỐI LƯỢNG HOÀN THÀNH ĐƯA VÀO QUYẾT TOÁN</v>
          </cell>
        </row>
      </sheetData>
      <sheetData sheetId="4062">
        <row r="4">
          <cell r="A4" t="str">
            <v>BẢNG TÍNH TOÁN, ĐO BÓC KHỐI LƯỢNG HOÀN THÀNH ĐƯA VÀO QUYẾT TOÁN</v>
          </cell>
        </row>
      </sheetData>
      <sheetData sheetId="4063">
        <row r="4">
          <cell r="A4" t="str">
            <v>BẢNG TÍNH TOÁN, ĐO BÓC KHỐI LƯỢNG HOÀN THÀNH ĐƯA VÀO QUYẾT TOÁN</v>
          </cell>
        </row>
      </sheetData>
      <sheetData sheetId="4064">
        <row r="4">
          <cell r="A4" t="str">
            <v>BẢNG TÍNH TOÁN, ĐO BÓC KHỐI LƯỢNG HOÀN THÀNH ĐƯA VÀO QUYẾT TOÁN</v>
          </cell>
        </row>
      </sheetData>
      <sheetData sheetId="4065">
        <row r="4">
          <cell r="A4" t="str">
            <v>BẢNG TÍNH TOÁN, ĐO BÓC KHỐI LƯỢNG HOÀN THÀNH ĐƯA VÀO QUYẾT TOÁN</v>
          </cell>
        </row>
      </sheetData>
      <sheetData sheetId="4066">
        <row r="4">
          <cell r="A4" t="str">
            <v>BẢNG TÍNH TOÁN, ĐO BÓC KHỐI LƯỢNG HOÀN THÀNH ĐƯA VÀO QUYẾT TOÁN</v>
          </cell>
        </row>
      </sheetData>
      <sheetData sheetId="4067">
        <row r="4">
          <cell r="A4" t="str">
            <v>BẢNG TÍNH TOÁN, ĐO BÓC KHỐI LƯỢNG HOÀN THÀNH ĐƯA VÀO QUYẾT TOÁN</v>
          </cell>
        </row>
      </sheetData>
      <sheetData sheetId="4068">
        <row r="4">
          <cell r="A4" t="str">
            <v>BẢNG TÍNH TOÁN, ĐO BÓC KHỐI LƯỢNG HOÀN THÀNH ĐƯA VÀO QUYẾT TOÁN</v>
          </cell>
        </row>
      </sheetData>
      <sheetData sheetId="4069">
        <row r="4">
          <cell r="A4" t="str">
            <v>BẢNG TÍNH TOÁN, ĐO BÓC KHỐI LƯỢNG HOÀN THÀNH ĐƯA VÀO QUYẾT TOÁN</v>
          </cell>
        </row>
      </sheetData>
      <sheetData sheetId="4070">
        <row r="4">
          <cell r="A4" t="str">
            <v>BẢNG TÍNH TOÁN, ĐO BÓC KHỐI LƯỢNG HOÀN THÀNH ĐƯA VÀO QUYẾT TOÁN</v>
          </cell>
        </row>
      </sheetData>
      <sheetData sheetId="4071">
        <row r="4">
          <cell r="A4" t="str">
            <v>BẢNG TÍNH TOÁN, ĐO BÓC KHỐI LƯỢNG HOÀN THÀNH ĐƯA VÀO QUYẾT TOÁN</v>
          </cell>
        </row>
      </sheetData>
      <sheetData sheetId="4072">
        <row r="4">
          <cell r="A4" t="str">
            <v>BẢNG TÍNH TOÁN, ĐO BÓC KHỐI LƯỢNG HOÀN THÀNH ĐƯA VÀO QUYẾT TOÁN</v>
          </cell>
        </row>
      </sheetData>
      <sheetData sheetId="4073">
        <row r="4">
          <cell r="A4" t="str">
            <v>BẢNG TÍNH TOÁN, ĐO BÓC KHỐI LƯỢNG HOÀN THÀNH ĐƯA VÀO QUYẾT TOÁN</v>
          </cell>
        </row>
      </sheetData>
      <sheetData sheetId="4074">
        <row r="4">
          <cell r="A4" t="str">
            <v>BẢNG TÍNH TOÁN, ĐO BÓC KHỐI LƯỢNG HOÀN THÀNH ĐƯA VÀO QUYẾT TOÁN</v>
          </cell>
        </row>
      </sheetData>
      <sheetData sheetId="4075">
        <row r="4">
          <cell r="A4" t="str">
            <v>BẢNG TÍNH TOÁN, ĐO BÓC KHỐI LƯỢNG HOÀN THÀNH ĐƯA VÀO QUYẾT TOÁN</v>
          </cell>
        </row>
      </sheetData>
      <sheetData sheetId="4076">
        <row r="4">
          <cell r="A4" t="str">
            <v>BẢNG TÍNH TOÁN, ĐO BÓC KHỐI LƯỢNG HOÀN THÀNH ĐƯA VÀO QUYẾT TOÁN</v>
          </cell>
        </row>
      </sheetData>
      <sheetData sheetId="4077">
        <row r="4">
          <cell r="A4" t="str">
            <v>BẢNG TÍNH TOÁN, ĐO BÓC KHỐI LƯỢNG HOÀN THÀNH ĐƯA VÀO QUYẾT TOÁN</v>
          </cell>
        </row>
      </sheetData>
      <sheetData sheetId="4078">
        <row r="4">
          <cell r="A4" t="str">
            <v>BẢNG TÍNH TOÁN, ĐO BÓC KHỐI LƯỢNG HOÀN THÀNH ĐƯA VÀO QUYẾT TOÁN</v>
          </cell>
        </row>
      </sheetData>
      <sheetData sheetId="4079">
        <row r="4">
          <cell r="A4" t="str">
            <v>BẢNG TÍNH TOÁN, ĐO BÓC KHỐI LƯỢNG HOÀN THÀNH ĐƯA VÀO QUYẾT TOÁN</v>
          </cell>
        </row>
      </sheetData>
      <sheetData sheetId="4080">
        <row r="4">
          <cell r="A4" t="str">
            <v>BẢNG TÍNH TOÁN, ĐO BÓC KHỐI LƯỢNG HOÀN THÀNH ĐƯA VÀO QUYẾT TOÁN</v>
          </cell>
        </row>
      </sheetData>
      <sheetData sheetId="4081">
        <row r="4">
          <cell r="A4" t="str">
            <v>BẢNG TÍNH TOÁN, ĐO BÓC KHỐI LƯỢNG HOÀN THÀNH ĐƯA VÀO QUYẾT TOÁN</v>
          </cell>
        </row>
      </sheetData>
      <sheetData sheetId="4082">
        <row r="4">
          <cell r="A4" t="str">
            <v>BẢNG TÍNH TOÁN, ĐO BÓC KHỐI LƯỢNG HOÀN THÀNH ĐƯA VÀO QUYẾT TOÁN</v>
          </cell>
        </row>
      </sheetData>
      <sheetData sheetId="4083">
        <row r="4">
          <cell r="A4" t="str">
            <v>BẢNG TÍNH TOÁN, ĐO BÓC KHỐI LƯỢNG HOÀN THÀNH ĐƯA VÀO QUYẾT TOÁN</v>
          </cell>
        </row>
      </sheetData>
      <sheetData sheetId="4084">
        <row r="4">
          <cell r="A4" t="str">
            <v>BẢNG TÍNH TOÁN, ĐO BÓC KHỐI LƯỢNG HOÀN THÀNH ĐƯA VÀO QUYẾT TOÁN</v>
          </cell>
        </row>
      </sheetData>
      <sheetData sheetId="4085">
        <row r="9">
          <cell r="A9" t="str">
            <v>A</v>
          </cell>
        </row>
      </sheetData>
      <sheetData sheetId="4086">
        <row r="4">
          <cell r="A4" t="str">
            <v>BẢNG TÍNH TOÁN, ĐO BÓC KHỐI LƯỢNG HOÀN THÀNH ĐƯA VÀO QUYẾT TOÁN</v>
          </cell>
        </row>
      </sheetData>
      <sheetData sheetId="4087">
        <row r="4">
          <cell r="A4" t="str">
            <v>BẢNG TÍNH TOÁN, ĐO BÓC KHỐI LƯỢNG HOÀN THÀNH ĐƯA VÀO QUYẾT TOÁN</v>
          </cell>
        </row>
      </sheetData>
      <sheetData sheetId="4088">
        <row r="9">
          <cell r="A9" t="str">
            <v>A</v>
          </cell>
        </row>
      </sheetData>
      <sheetData sheetId="4089">
        <row r="4">
          <cell r="A4" t="str">
            <v>BẢNG TÍNH TOÁN, ĐO BÓC KHỐI LƯỢNG HOÀN THÀNH ĐƯA VÀO QUYẾT TOÁN</v>
          </cell>
        </row>
      </sheetData>
      <sheetData sheetId="4090">
        <row r="4">
          <cell r="A4" t="str">
            <v>BẢNG TÍNH TOÁN, ĐO BÓC KHỐI LƯỢNG HOÀN THÀNH ĐƯA VÀO QUYẾT TOÁN</v>
          </cell>
        </row>
      </sheetData>
      <sheetData sheetId="4091">
        <row r="9">
          <cell r="A9" t="str">
            <v>A</v>
          </cell>
        </row>
      </sheetData>
      <sheetData sheetId="4092">
        <row r="9">
          <cell r="A9" t="str">
            <v>A</v>
          </cell>
        </row>
      </sheetData>
      <sheetData sheetId="4093">
        <row r="9">
          <cell r="A9" t="str">
            <v>A</v>
          </cell>
        </row>
      </sheetData>
      <sheetData sheetId="4094">
        <row r="9">
          <cell r="A9" t="str">
            <v>A</v>
          </cell>
        </row>
      </sheetData>
      <sheetData sheetId="4095">
        <row r="9">
          <cell r="A9" t="str">
            <v>A</v>
          </cell>
        </row>
      </sheetData>
      <sheetData sheetId="4096">
        <row r="4">
          <cell r="A4" t="str">
            <v>BẢNG TÍNH TOÁN, ĐO BÓC KHỐI LƯỢNG HOÀN THÀNH ĐƯA VÀO QUYẾT TOÁN</v>
          </cell>
        </row>
      </sheetData>
      <sheetData sheetId="4097">
        <row r="9">
          <cell r="A9" t="str">
            <v>A</v>
          </cell>
        </row>
      </sheetData>
      <sheetData sheetId="4098">
        <row r="4">
          <cell r="A4" t="str">
            <v>BẢNG TÍNH TOÁN, ĐO BÓC KHỐI LƯỢNG HOÀN THÀNH ĐƯA VÀO QUYẾT TOÁN</v>
          </cell>
        </row>
      </sheetData>
      <sheetData sheetId="4099">
        <row r="4">
          <cell r="A4" t="str">
            <v>BẢNG TÍNH TOÁN, ĐO BÓC KHỐI LƯỢNG HOÀN THÀNH ĐƯA VÀO QUYẾT TOÁN</v>
          </cell>
        </row>
      </sheetData>
      <sheetData sheetId="4100">
        <row r="4">
          <cell r="A4" t="str">
            <v>BẢNG TÍNH TOÁN, ĐO BÓC KHỐI LƯỢNG HOÀN THÀNH ĐƯA VÀO QUYẾT TOÁN</v>
          </cell>
        </row>
      </sheetData>
      <sheetData sheetId="4101">
        <row r="4">
          <cell r="A4" t="str">
            <v>BẢNG TÍNH TOÁN, ĐO BÓC KHỐI LƯỢNG HOÀN THÀNH ĐƯA VÀO QUYẾT TOÁN</v>
          </cell>
        </row>
      </sheetData>
      <sheetData sheetId="4102">
        <row r="4">
          <cell r="A4" t="str">
            <v>BẢNG TÍNH TOÁN, ĐO BÓC KHỐI LƯỢNG HOÀN THÀNH ĐƯA VÀO QUYẾT TOÁN</v>
          </cell>
        </row>
      </sheetData>
      <sheetData sheetId="4103">
        <row r="9">
          <cell r="A9" t="str">
            <v>A</v>
          </cell>
        </row>
      </sheetData>
      <sheetData sheetId="4104">
        <row r="4">
          <cell r="A4" t="str">
            <v>BẢNG TÍNH TOÁN, ĐO BÓC KHỐI LƯỢNG HOÀN THÀNH ĐƯA VÀO QUYẾT TOÁN</v>
          </cell>
        </row>
      </sheetData>
      <sheetData sheetId="4105">
        <row r="4">
          <cell r="A4" t="str">
            <v>BẢNG TÍNH TOÁN, ĐO BÓC KHỐI LƯỢNG HOÀN THÀNH ĐƯA VÀO QUYẾT TOÁN</v>
          </cell>
        </row>
      </sheetData>
      <sheetData sheetId="4106">
        <row r="4">
          <cell r="A4" t="str">
            <v>BẢNG TÍNH TOÁN, ĐO BÓC KHỐI LƯỢNG HOÀN THÀNH ĐƯA VÀO QUYẾT TOÁN</v>
          </cell>
        </row>
      </sheetData>
      <sheetData sheetId="4107">
        <row r="4">
          <cell r="A4" t="str">
            <v>BẢNG TÍNH TOÁN, ĐO BÓC KHỐI LƯỢNG HOÀN THÀNH ĐƯA VÀO QUYẾT TOÁN</v>
          </cell>
        </row>
      </sheetData>
      <sheetData sheetId="4108">
        <row r="9">
          <cell r="A9" t="str">
            <v>A</v>
          </cell>
        </row>
      </sheetData>
      <sheetData sheetId="4109">
        <row r="9">
          <cell r="A9" t="str">
            <v>A</v>
          </cell>
        </row>
      </sheetData>
      <sheetData sheetId="4110">
        <row r="9">
          <cell r="A9" t="str">
            <v>A</v>
          </cell>
        </row>
      </sheetData>
      <sheetData sheetId="4111">
        <row r="9">
          <cell r="A9" t="str">
            <v>A</v>
          </cell>
        </row>
      </sheetData>
      <sheetData sheetId="4112">
        <row r="4">
          <cell r="A4" t="str">
            <v>BẢNG TÍNH TOÁN, ĐO BÓC KHỐI LƯỢNG HOÀN THÀNH ĐƯA VÀO QUYẾT TOÁN</v>
          </cell>
        </row>
      </sheetData>
      <sheetData sheetId="4113">
        <row r="4">
          <cell r="A4" t="str">
            <v>BẢNG TÍNH TOÁN, ĐO BÓC KHỐI LƯỢNG HOÀN THÀNH ĐƯA VÀO QUYẾT TOÁN</v>
          </cell>
        </row>
      </sheetData>
      <sheetData sheetId="4114">
        <row r="4">
          <cell r="A4" t="str">
            <v>BẢNG TÍNH TOÁN, ĐO BÓC KHỐI LƯỢNG HOÀN THÀNH ĐƯA VÀO QUYẾT TOÁN</v>
          </cell>
        </row>
      </sheetData>
      <sheetData sheetId="4115">
        <row r="4">
          <cell r="A4" t="str">
            <v>BẢNG TÍNH TOÁN, ĐO BÓC KHỐI LƯỢNG HOÀN THÀNH ĐƯA VÀO QUYẾT TOÁN</v>
          </cell>
        </row>
      </sheetData>
      <sheetData sheetId="4116">
        <row r="4">
          <cell r="A4" t="str">
            <v>BẢNG TÍNH TOÁN, ĐO BÓC KHỐI LƯỢNG HOÀN THÀNH ĐƯA VÀO QUYẾT TOÁN</v>
          </cell>
        </row>
      </sheetData>
      <sheetData sheetId="4117">
        <row r="4">
          <cell r="A4" t="str">
            <v>BẢNG TÍNH TOÁN, ĐO BÓC KHỐI LƯỢNG HOÀN THÀNH ĐƯA VÀO QUYẾT TOÁN</v>
          </cell>
        </row>
      </sheetData>
      <sheetData sheetId="4118">
        <row r="4">
          <cell r="A4" t="str">
            <v>BẢNG TÍNH TOÁN, ĐO BÓC KHỐI LƯỢNG HOÀN THÀNH ĐƯA VÀO QUYẾT TOÁN</v>
          </cell>
        </row>
      </sheetData>
      <sheetData sheetId="4119">
        <row r="9">
          <cell r="A9" t="str">
            <v>A</v>
          </cell>
        </row>
      </sheetData>
      <sheetData sheetId="4120">
        <row r="4">
          <cell r="A4" t="str">
            <v>BẢNG TÍNH TOÁN, ĐO BÓC KHỐI LƯỢNG HOÀN THÀNH ĐƯA VÀO QUYẾT TOÁN</v>
          </cell>
        </row>
      </sheetData>
      <sheetData sheetId="4121">
        <row r="4">
          <cell r="A4" t="str">
            <v>BẢNG TÍNH TOÁN, ĐO BÓC KHỐI LƯỢNG HOÀN THÀNH ĐƯA VÀO QUYẾT TOÁN</v>
          </cell>
        </row>
      </sheetData>
      <sheetData sheetId="4122">
        <row r="4">
          <cell r="A4" t="str">
            <v>BẢNG TÍNH TOÁN, ĐO BÓC KHỐI LƯỢNG HOÀN THÀNH ĐƯA VÀO QUYẾT TOÁN</v>
          </cell>
        </row>
      </sheetData>
      <sheetData sheetId="4123">
        <row r="4">
          <cell r="A4" t="str">
            <v>BẢNG TÍNH TOÁN, ĐO BÓC KHỐI LƯỢNG HOÀN THÀNH ĐƯA VÀO QUYẾT TOÁN</v>
          </cell>
        </row>
      </sheetData>
      <sheetData sheetId="4124">
        <row r="9">
          <cell r="A9" t="str">
            <v>A</v>
          </cell>
        </row>
      </sheetData>
      <sheetData sheetId="4125">
        <row r="4">
          <cell r="A4" t="str">
            <v>BẢNG TÍNH TOÁN, ĐO BÓC KHỐI LƯỢNG HOÀN THÀNH ĐƯA VÀO QUYẾT TOÁN</v>
          </cell>
        </row>
      </sheetData>
      <sheetData sheetId="4126">
        <row r="4">
          <cell r="A4" t="str">
            <v>BẢNG TÍNH TOÁN, ĐO BÓC KHỐI LƯỢNG HOÀN THÀNH ĐƯA VÀO QUYẾT TOÁN</v>
          </cell>
        </row>
      </sheetData>
      <sheetData sheetId="4127">
        <row r="9">
          <cell r="A9" t="str">
            <v>A</v>
          </cell>
        </row>
      </sheetData>
      <sheetData sheetId="4128">
        <row r="4">
          <cell r="A4" t="str">
            <v>BẢNG TÍNH TOÁN, ĐO BÓC KHỐI LƯỢNG HOÀN THÀNH ĐƯA VÀO QUYẾT TOÁN</v>
          </cell>
        </row>
      </sheetData>
      <sheetData sheetId="4129">
        <row r="4">
          <cell r="A4" t="str">
            <v>BẢNG TÍNH TOÁN, ĐO BÓC KHỐI LƯỢNG HOÀN THÀNH ĐƯA VÀO QUYẾT TOÁN</v>
          </cell>
        </row>
      </sheetData>
      <sheetData sheetId="4130">
        <row r="9">
          <cell r="A9" t="str">
            <v>A</v>
          </cell>
        </row>
      </sheetData>
      <sheetData sheetId="4131">
        <row r="4">
          <cell r="A4" t="str">
            <v>BẢNG TÍNH TOÁN, ĐO BÓC KHỐI LƯỢNG HOÀN THÀNH ĐƯA VÀO QUYẾT TOÁN</v>
          </cell>
        </row>
      </sheetData>
      <sheetData sheetId="4132">
        <row r="9">
          <cell r="A9" t="str">
            <v>A</v>
          </cell>
        </row>
      </sheetData>
      <sheetData sheetId="4133">
        <row r="4">
          <cell r="A4" t="str">
            <v>BẢNG TÍNH TOÁN, ĐO BÓC KHỐI LƯỢNG HOÀN THÀNH ĐƯA VÀO QUYẾT TOÁN</v>
          </cell>
        </row>
      </sheetData>
      <sheetData sheetId="4134">
        <row r="9">
          <cell r="A9" t="str">
            <v>A</v>
          </cell>
        </row>
      </sheetData>
      <sheetData sheetId="4135">
        <row r="4">
          <cell r="A4" t="str">
            <v>BẢNG TÍNH TOÁN, ĐO BÓC KHỐI LƯỢNG HOÀN THÀNH ĐƯA VÀO QUYẾT TOÁN</v>
          </cell>
        </row>
      </sheetData>
      <sheetData sheetId="4136">
        <row r="9">
          <cell r="A9" t="str">
            <v>A</v>
          </cell>
        </row>
      </sheetData>
      <sheetData sheetId="4137">
        <row r="4">
          <cell r="A4" t="str">
            <v>BẢNG TÍNH TOÁN, ĐO BÓC KHỐI LƯỢNG HOÀN THÀNH ĐƯA VÀO QUYẾT TOÁN</v>
          </cell>
        </row>
      </sheetData>
      <sheetData sheetId="4138">
        <row r="9">
          <cell r="A9" t="str">
            <v>A</v>
          </cell>
        </row>
      </sheetData>
      <sheetData sheetId="4139">
        <row r="4">
          <cell r="A4" t="str">
            <v>BẢNG TÍNH TOÁN, ĐO BÓC KHỐI LƯỢNG HOÀN THÀNH ĐƯA VÀO QUYẾT TOÁN</v>
          </cell>
        </row>
      </sheetData>
      <sheetData sheetId="4140">
        <row r="9">
          <cell r="A9" t="str">
            <v>A</v>
          </cell>
        </row>
      </sheetData>
      <sheetData sheetId="4141">
        <row r="9">
          <cell r="A9" t="str">
            <v>A</v>
          </cell>
        </row>
      </sheetData>
      <sheetData sheetId="4142">
        <row r="4">
          <cell r="A4" t="str">
            <v>BẢNG TÍNH TOÁN, ĐO BÓC KHỐI LƯỢNG HOÀN THÀNH ĐƯA VÀO QUYẾT TOÁN</v>
          </cell>
        </row>
      </sheetData>
      <sheetData sheetId="4143">
        <row r="4">
          <cell r="A4" t="str">
            <v>BẢNG TÍNH TOÁN, ĐO BÓC KHỐI LƯỢNG HOÀN THÀNH ĐƯA VÀO QUYẾT TOÁN</v>
          </cell>
        </row>
      </sheetData>
      <sheetData sheetId="4144">
        <row r="9">
          <cell r="A9" t="str">
            <v>A</v>
          </cell>
        </row>
      </sheetData>
      <sheetData sheetId="4145">
        <row r="4">
          <cell r="A4" t="str">
            <v>BẢNG TÍNH TOÁN, ĐO BÓC KHỐI LƯỢNG HOÀN THÀNH ĐƯA VÀO QUYẾT TOÁN</v>
          </cell>
        </row>
      </sheetData>
      <sheetData sheetId="4146">
        <row r="4">
          <cell r="A4" t="str">
            <v>BẢNG TÍNH TOÁN, ĐO BÓC KHỐI LƯỢNG HOÀN THÀNH ĐƯA VÀO QUYẾT TOÁN</v>
          </cell>
        </row>
      </sheetData>
      <sheetData sheetId="4147">
        <row r="4">
          <cell r="A4" t="str">
            <v>BẢNG TÍNH TOÁN, ĐO BÓC KHỐI LƯỢNG HOÀN THÀNH ĐƯA VÀO QUYẾT TOÁN</v>
          </cell>
        </row>
      </sheetData>
      <sheetData sheetId="4148">
        <row r="4">
          <cell r="A4" t="str">
            <v>BẢNG TÍNH TOÁN, ĐO BÓC KHỐI LƯỢNG HOÀN THÀNH ĐƯA VÀO QUYẾT TOÁN</v>
          </cell>
        </row>
      </sheetData>
      <sheetData sheetId="4149">
        <row r="4">
          <cell r="A4" t="str">
            <v>BẢNG TÍNH TOÁN, ĐO BÓC KHỐI LƯỢNG HOÀN THÀNH ĐƯA VÀO QUYẾT TOÁN</v>
          </cell>
        </row>
      </sheetData>
      <sheetData sheetId="4150">
        <row r="4">
          <cell r="A4" t="str">
            <v>BẢNG TÍNH TOÁN, ĐO BÓC KHỐI LƯỢNG HOÀN THÀNH ĐƯA VÀO QUYẾT TOÁN</v>
          </cell>
        </row>
      </sheetData>
      <sheetData sheetId="4151">
        <row r="4">
          <cell r="A4" t="str">
            <v>BẢNG TÍNH TOÁN, ĐO BÓC KHỐI LƯỢNG HOÀN THÀNH ĐƯA VÀO QUYẾT TOÁN</v>
          </cell>
        </row>
      </sheetData>
      <sheetData sheetId="4152">
        <row r="4">
          <cell r="A4" t="str">
            <v>BẢNG TÍNH TOÁN, ĐO BÓC KHỐI LƯỢNG HOÀN THÀNH ĐƯA VÀO QUYẾT TOÁN</v>
          </cell>
        </row>
      </sheetData>
      <sheetData sheetId="4153">
        <row r="4">
          <cell r="A4" t="str">
            <v>BẢNG TÍNH TOÁN, ĐO BÓC KHỐI LƯỢNG HOÀN THÀNH ĐƯA VÀO QUYẾT TOÁN</v>
          </cell>
        </row>
      </sheetData>
      <sheetData sheetId="4154">
        <row r="4">
          <cell r="A4" t="str">
            <v>BẢNG TÍNH TOÁN, ĐO BÓC KHỐI LƯỢNG HOÀN THÀNH ĐƯA VÀO QUYẾT TOÁN</v>
          </cell>
        </row>
      </sheetData>
      <sheetData sheetId="4155">
        <row r="4">
          <cell r="A4" t="str">
            <v>BẢNG TÍNH TOÁN, ĐO BÓC KHỐI LƯỢNG HOÀN THÀNH ĐƯA VÀO QUYẾT TOÁN</v>
          </cell>
        </row>
      </sheetData>
      <sheetData sheetId="4156">
        <row r="4">
          <cell r="A4" t="str">
            <v>BẢNG TÍNH TOÁN, ĐO BÓC KHỐI LƯỢNG HOÀN THÀNH ĐƯA VÀO QUYẾT TOÁN</v>
          </cell>
        </row>
      </sheetData>
      <sheetData sheetId="4157">
        <row r="9">
          <cell r="A9" t="str">
            <v>A</v>
          </cell>
        </row>
      </sheetData>
      <sheetData sheetId="4158">
        <row r="4">
          <cell r="A4" t="str">
            <v>BẢNG TÍNH TOÁN, ĐO BÓC KHỐI LƯỢNG HOÀN THÀNH ĐƯA VÀO QUYẾT TOÁN</v>
          </cell>
        </row>
      </sheetData>
      <sheetData sheetId="4159">
        <row r="4">
          <cell r="A4" t="str">
            <v>BẢNG TÍNH TOÁN, ĐO BÓC KHỐI LƯỢNG HOÀN THÀNH ĐƯA VÀO QUYẾT TOÁN</v>
          </cell>
        </row>
      </sheetData>
      <sheetData sheetId="4160">
        <row r="9">
          <cell r="A9" t="str">
            <v>A</v>
          </cell>
        </row>
      </sheetData>
      <sheetData sheetId="4161">
        <row r="4">
          <cell r="A4" t="str">
            <v>BẢNG TÍNH TOÁN, ĐO BÓC KHỐI LƯỢNG HOÀN THÀNH ĐƯA VÀO QUYẾT TOÁN</v>
          </cell>
        </row>
      </sheetData>
      <sheetData sheetId="4162">
        <row r="9">
          <cell r="A9" t="str">
            <v>A</v>
          </cell>
        </row>
      </sheetData>
      <sheetData sheetId="4163">
        <row r="4">
          <cell r="A4" t="str">
            <v>BẢNG TÍNH TOÁN, ĐO BÓC KHỐI LƯỢNG HOÀN THÀNH ĐƯA VÀO QUYẾT TOÁN</v>
          </cell>
        </row>
      </sheetData>
      <sheetData sheetId="4164">
        <row r="4">
          <cell r="A4" t="str">
            <v>BẢNG TÍNH TOÁN, ĐO BÓC KHỐI LƯỢNG HOÀN THÀNH ĐƯA VÀO QUYẾT TOÁN</v>
          </cell>
        </row>
      </sheetData>
      <sheetData sheetId="4165">
        <row r="4">
          <cell r="A4" t="str">
            <v>BẢNG TÍNH TOÁN, ĐO BÓC KHỐI LƯỢNG HOÀN THÀNH ĐƯA VÀO QUYẾT TOÁN</v>
          </cell>
        </row>
      </sheetData>
      <sheetData sheetId="4166">
        <row r="4">
          <cell r="A4" t="str">
            <v>BẢNG TÍNH TOÁN, ĐO BÓC KHỐI LƯỢNG HOÀN THÀNH ĐƯA VÀO QUYẾT TOÁN</v>
          </cell>
        </row>
      </sheetData>
      <sheetData sheetId="4167">
        <row r="9">
          <cell r="A9" t="str">
            <v>A</v>
          </cell>
        </row>
      </sheetData>
      <sheetData sheetId="4168">
        <row r="4">
          <cell r="A4" t="str">
            <v>BẢNG TÍNH TOÁN, ĐO BÓC KHỐI LƯỢNG HOÀN THÀNH ĐƯA VÀO QUYẾT TOÁN</v>
          </cell>
        </row>
      </sheetData>
      <sheetData sheetId="4169">
        <row r="4">
          <cell r="A4" t="str">
            <v>BẢNG TÍNH TOÁN, ĐO BÓC KHỐI LƯỢNG HOÀN THÀNH ĐƯA VÀO QUYẾT TOÁN</v>
          </cell>
        </row>
      </sheetData>
      <sheetData sheetId="4170">
        <row r="9">
          <cell r="A9" t="str">
            <v>A</v>
          </cell>
        </row>
      </sheetData>
      <sheetData sheetId="4171">
        <row r="9">
          <cell r="A9" t="str">
            <v>A</v>
          </cell>
        </row>
      </sheetData>
      <sheetData sheetId="4172">
        <row r="4">
          <cell r="A4" t="str">
            <v>BẢNG TÍNH TOÁN, ĐO BÓC KHỐI LƯỢNG HOÀN THÀNH ĐƯA VÀO QUYẾT TOÁN</v>
          </cell>
        </row>
      </sheetData>
      <sheetData sheetId="4173">
        <row r="4">
          <cell r="A4" t="str">
            <v>BẢNG TÍNH TOÁN, ĐO BÓC KHỐI LƯỢNG HOÀN THÀNH ĐƯA VÀO QUYẾT TOÁN</v>
          </cell>
        </row>
      </sheetData>
      <sheetData sheetId="4174">
        <row r="4">
          <cell r="A4" t="str">
            <v>BẢNG TÍNH TOÁN, ĐO BÓC KHỐI LƯỢNG HOÀN THÀNH ĐƯA VÀO QUYẾT TOÁN</v>
          </cell>
        </row>
      </sheetData>
      <sheetData sheetId="4175">
        <row r="4">
          <cell r="A4" t="str">
            <v>BẢNG TÍNH TOÁN, ĐO BÓC KHỐI LƯỢNG HOÀN THÀNH ĐƯA VÀO QUYẾT TOÁN</v>
          </cell>
        </row>
      </sheetData>
      <sheetData sheetId="4176">
        <row r="4">
          <cell r="A4" t="str">
            <v>BẢNG TÍNH TOÁN, ĐO BÓC KHỐI LƯỢNG HOÀN THÀNH ĐƯA VÀO QUYẾT TOÁN</v>
          </cell>
        </row>
      </sheetData>
      <sheetData sheetId="4177">
        <row r="9">
          <cell r="A9" t="str">
            <v>A</v>
          </cell>
        </row>
      </sheetData>
      <sheetData sheetId="4178">
        <row r="4">
          <cell r="A4" t="str">
            <v>BẢNG TÍNH TOÁN, ĐO BÓC KHỐI LƯỢNG HOÀN THÀNH ĐƯA VÀO QUYẾT TOÁN</v>
          </cell>
        </row>
      </sheetData>
      <sheetData sheetId="4179">
        <row r="9">
          <cell r="A9" t="str">
            <v>A</v>
          </cell>
        </row>
      </sheetData>
      <sheetData sheetId="4180">
        <row r="4">
          <cell r="A4" t="str">
            <v>BẢNG TÍNH TOÁN, ĐO BÓC KHỐI LƯỢNG HOÀN THÀNH ĐƯA VÀO QUYẾT TOÁN</v>
          </cell>
        </row>
      </sheetData>
      <sheetData sheetId="4181">
        <row r="4">
          <cell r="A4" t="str">
            <v>BẢNG TÍNH TOÁN, ĐO BÓC KHỐI LƯỢNG HOÀN THÀNH ĐƯA VÀO QUYẾT TOÁN</v>
          </cell>
        </row>
      </sheetData>
      <sheetData sheetId="4182">
        <row r="9">
          <cell r="A9" t="str">
            <v>A</v>
          </cell>
        </row>
      </sheetData>
      <sheetData sheetId="4183">
        <row r="4">
          <cell r="A4" t="str">
            <v>BẢNG TÍNH TOÁN, ĐO BÓC KHỐI LƯỢNG HOÀN THÀNH ĐƯA VÀO QUYẾT TOÁN</v>
          </cell>
        </row>
      </sheetData>
      <sheetData sheetId="4184">
        <row r="9">
          <cell r="A9" t="str">
            <v>A</v>
          </cell>
        </row>
      </sheetData>
      <sheetData sheetId="4185">
        <row r="9">
          <cell r="A9" t="str">
            <v>A</v>
          </cell>
        </row>
      </sheetData>
      <sheetData sheetId="4186">
        <row r="4">
          <cell r="A4" t="str">
            <v>BẢNG TÍNH TOÁN, ĐO BÓC KHỐI LƯỢNG HOÀN THÀNH ĐƯA VÀO QUYẾT TOÁN</v>
          </cell>
        </row>
      </sheetData>
      <sheetData sheetId="4187">
        <row r="4">
          <cell r="A4" t="str">
            <v>BẢNG TÍNH TOÁN, ĐO BÓC KHỐI LƯỢNG HOÀN THÀNH ĐƯA VÀO QUYẾT TOÁN</v>
          </cell>
        </row>
      </sheetData>
      <sheetData sheetId="4188">
        <row r="4">
          <cell r="A4" t="str">
            <v>BẢNG TÍNH TOÁN, ĐO BÓC KHỐI LƯỢNG HOÀN THÀNH ĐƯA VÀO QUYẾT TOÁN</v>
          </cell>
        </row>
      </sheetData>
      <sheetData sheetId="4189">
        <row r="9">
          <cell r="A9" t="str">
            <v>A</v>
          </cell>
        </row>
      </sheetData>
      <sheetData sheetId="4190">
        <row r="4">
          <cell r="A4" t="str">
            <v>BẢNG TÍNH TOÁN, ĐO BÓC KHỐI LƯỢNG HOÀN THÀNH ĐƯA VÀO QUYẾT TOÁN</v>
          </cell>
        </row>
      </sheetData>
      <sheetData sheetId="4191">
        <row r="9">
          <cell r="A9" t="str">
            <v>A</v>
          </cell>
        </row>
      </sheetData>
      <sheetData sheetId="4192">
        <row r="9">
          <cell r="A9" t="str">
            <v>A</v>
          </cell>
        </row>
      </sheetData>
      <sheetData sheetId="4193">
        <row r="9">
          <cell r="A9" t="str">
            <v>A</v>
          </cell>
        </row>
      </sheetData>
      <sheetData sheetId="4194">
        <row r="4">
          <cell r="A4" t="str">
            <v>BẢNG TÍNH TOÁN, ĐO BÓC KHỐI LƯỢNG HOÀN THÀNH ĐƯA VÀO QUYẾT TOÁN</v>
          </cell>
        </row>
      </sheetData>
      <sheetData sheetId="4195">
        <row r="4">
          <cell r="A4" t="str">
            <v>BẢNG TÍNH TOÁN, ĐO BÓC KHỐI LƯỢNG HOÀN THÀNH ĐƯA VÀO QUYẾT TOÁN</v>
          </cell>
        </row>
      </sheetData>
      <sheetData sheetId="4196">
        <row r="4">
          <cell r="A4" t="str">
            <v>BẢNG TÍNH TOÁN, ĐO BÓC KHỐI LƯỢNG HOÀN THÀNH ĐƯA VÀO QUYẾT TOÁN</v>
          </cell>
        </row>
      </sheetData>
      <sheetData sheetId="4197">
        <row r="9">
          <cell r="A9" t="str">
            <v>A</v>
          </cell>
        </row>
      </sheetData>
      <sheetData sheetId="4198">
        <row r="4">
          <cell r="A4" t="str">
            <v>BẢNG TÍNH TOÁN, ĐO BÓC KHỐI LƯỢNG HOÀN THÀNH ĐƯA VÀO QUYẾT TOÁN</v>
          </cell>
        </row>
      </sheetData>
      <sheetData sheetId="4199">
        <row r="4">
          <cell r="A4" t="str">
            <v>BẢNG TÍNH TOÁN, ĐO BÓC KHỐI LƯỢNG HOÀN THÀNH ĐƯA VÀO QUYẾT TOÁN</v>
          </cell>
        </row>
      </sheetData>
      <sheetData sheetId="4200">
        <row r="9">
          <cell r="A9" t="str">
            <v>A</v>
          </cell>
        </row>
      </sheetData>
      <sheetData sheetId="4201">
        <row r="9">
          <cell r="A9" t="str">
            <v>A</v>
          </cell>
        </row>
      </sheetData>
      <sheetData sheetId="4202">
        <row r="4">
          <cell r="A4" t="str">
            <v>BẢNG TÍNH TOÁN, ĐO BÓC KHỐI LƯỢNG HOÀN THÀNH ĐƯA VÀO QUYẾT TOÁN</v>
          </cell>
        </row>
      </sheetData>
      <sheetData sheetId="4203">
        <row r="4">
          <cell r="A4" t="str">
            <v>BẢNG TÍNH TOÁN, ĐO BÓC KHỐI LƯỢNG HOÀN THÀNH ĐƯA VÀO QUYẾT TOÁN</v>
          </cell>
        </row>
      </sheetData>
      <sheetData sheetId="4204">
        <row r="9">
          <cell r="A9" t="str">
            <v>A</v>
          </cell>
        </row>
      </sheetData>
      <sheetData sheetId="4205">
        <row r="9">
          <cell r="A9" t="str">
            <v>A</v>
          </cell>
        </row>
      </sheetData>
      <sheetData sheetId="4206">
        <row r="4">
          <cell r="A4" t="str">
            <v>BẢNG TÍNH TOÁN, ĐO BÓC KHỐI LƯỢNG HOÀN THÀNH ĐƯA VÀO QUYẾT TOÁN</v>
          </cell>
        </row>
      </sheetData>
      <sheetData sheetId="4207">
        <row r="9">
          <cell r="A9" t="str">
            <v>A</v>
          </cell>
        </row>
      </sheetData>
      <sheetData sheetId="4208">
        <row r="9">
          <cell r="A9" t="str">
            <v>A</v>
          </cell>
        </row>
      </sheetData>
      <sheetData sheetId="4209">
        <row r="4">
          <cell r="A4" t="str">
            <v>BẢNG TÍNH TOÁN, ĐO BÓC KHỐI LƯỢNG HOÀN THÀNH ĐƯA VÀO QUYẾT TOÁN</v>
          </cell>
        </row>
      </sheetData>
      <sheetData sheetId="4210">
        <row r="9">
          <cell r="A9" t="str">
            <v>A</v>
          </cell>
        </row>
      </sheetData>
      <sheetData sheetId="4211">
        <row r="4">
          <cell r="A4" t="str">
            <v>BẢNG TÍNH TOÁN, ĐO BÓC KHỐI LƯỢNG HOÀN THÀNH ĐƯA VÀO QUYẾT TOÁN</v>
          </cell>
        </row>
      </sheetData>
      <sheetData sheetId="4212">
        <row r="4">
          <cell r="A4" t="str">
            <v>BẢNG TÍNH TOÁN, ĐO BÓC KHỐI LƯỢNG HOÀN THÀNH ĐƯA VÀO QUYẾT TOÁN</v>
          </cell>
        </row>
      </sheetData>
      <sheetData sheetId="4213">
        <row r="4">
          <cell r="A4" t="str">
            <v>BẢNG TÍNH TOÁN, ĐO BÓC KHỐI LƯỢNG HOÀN THÀNH ĐƯA VÀO QUYẾT TOÁN</v>
          </cell>
        </row>
      </sheetData>
      <sheetData sheetId="4214">
        <row r="4">
          <cell r="A4" t="str">
            <v>BẢNG TÍNH TOÁN, ĐO BÓC KHỐI LƯỢNG HOÀN THÀNH ĐƯA VÀO QUYẾT TOÁN</v>
          </cell>
        </row>
      </sheetData>
      <sheetData sheetId="4215">
        <row r="9">
          <cell r="A9" t="str">
            <v>A</v>
          </cell>
        </row>
      </sheetData>
      <sheetData sheetId="4216">
        <row r="4">
          <cell r="A4" t="str">
            <v>BẢNG TÍNH TOÁN, ĐO BÓC KHỐI LƯỢNG HOÀN THÀNH ĐƯA VÀO QUYẾT TOÁN</v>
          </cell>
        </row>
      </sheetData>
      <sheetData sheetId="4217">
        <row r="9">
          <cell r="A9" t="str">
            <v>A</v>
          </cell>
        </row>
      </sheetData>
      <sheetData sheetId="4218">
        <row r="4">
          <cell r="A4" t="str">
            <v>BẢNG TÍNH TOÁN, ĐO BÓC KHỐI LƯỢNG HOÀN THÀNH ĐƯA VÀO QUYẾT TOÁN</v>
          </cell>
        </row>
      </sheetData>
      <sheetData sheetId="4219">
        <row r="4">
          <cell r="A4" t="str">
            <v>BẢNG TÍNH TOÁN, ĐO BÓC KHỐI LƯỢNG HOÀN THÀNH ĐƯA VÀO QUYẾT TOÁN</v>
          </cell>
        </row>
      </sheetData>
      <sheetData sheetId="4220">
        <row r="9">
          <cell r="A9" t="str">
            <v>A</v>
          </cell>
        </row>
      </sheetData>
      <sheetData sheetId="4221">
        <row r="4">
          <cell r="A4" t="str">
            <v>BẢNG TÍNH TOÁN, ĐO BÓC KHỐI LƯỢNG HOÀN THÀNH ĐƯA VÀO QUYẾT TOÁN</v>
          </cell>
        </row>
      </sheetData>
      <sheetData sheetId="4222">
        <row r="9">
          <cell r="A9" t="str">
            <v>A</v>
          </cell>
        </row>
      </sheetData>
      <sheetData sheetId="4223">
        <row r="4">
          <cell r="A4" t="str">
            <v>BẢNG TÍNH TOÁN, ĐO BÓC KHỐI LƯỢNG HOÀN THÀNH ĐƯA VÀO QUYẾT TOÁN</v>
          </cell>
        </row>
      </sheetData>
      <sheetData sheetId="4224">
        <row r="9">
          <cell r="A9" t="str">
            <v>A</v>
          </cell>
        </row>
      </sheetData>
      <sheetData sheetId="4225">
        <row r="9">
          <cell r="A9" t="str">
            <v>A</v>
          </cell>
        </row>
      </sheetData>
      <sheetData sheetId="4226">
        <row r="4">
          <cell r="A4" t="str">
            <v>BẢNG TÍNH TOÁN, ĐO BÓC KHỐI LƯỢNG HOÀN THÀNH ĐƯA VÀO QUYẾT TOÁN</v>
          </cell>
        </row>
      </sheetData>
      <sheetData sheetId="4227">
        <row r="4">
          <cell r="A4" t="str">
            <v>BẢNG TÍNH TOÁN, ĐO BÓC KHỐI LƯỢNG HOÀN THÀNH ĐƯA VÀO QUYẾT TOÁN</v>
          </cell>
        </row>
      </sheetData>
      <sheetData sheetId="4228">
        <row r="9">
          <cell r="A9" t="str">
            <v>A</v>
          </cell>
        </row>
      </sheetData>
      <sheetData sheetId="4229">
        <row r="4">
          <cell r="A4" t="str">
            <v>BẢNG TÍNH TOÁN, ĐO BÓC KHỐI LƯỢNG HOÀN THÀNH ĐƯA VÀO QUYẾT TOÁN</v>
          </cell>
        </row>
      </sheetData>
      <sheetData sheetId="4230">
        <row r="4">
          <cell r="A4" t="str">
            <v>BẢNG TÍNH TOÁN, ĐO BÓC KHỐI LƯỢNG HOÀN THÀNH ĐƯA VÀO QUYẾT TOÁN</v>
          </cell>
        </row>
      </sheetData>
      <sheetData sheetId="4231">
        <row r="4">
          <cell r="A4" t="str">
            <v>BẢNG TÍNH TOÁN, ĐO BÓC KHỐI LƯỢNG HOÀN THÀNH ĐƯA VÀO QUYẾT TOÁN</v>
          </cell>
        </row>
      </sheetData>
      <sheetData sheetId="4232">
        <row r="9">
          <cell r="A9" t="str">
            <v>A</v>
          </cell>
        </row>
      </sheetData>
      <sheetData sheetId="4233">
        <row r="4">
          <cell r="A4" t="str">
            <v>BẢNG TÍNH TOÁN, ĐO BÓC KHỐI LƯỢNG HOÀN THÀNH ĐƯA VÀO QUYẾT TOÁN</v>
          </cell>
        </row>
      </sheetData>
      <sheetData sheetId="4234">
        <row r="4">
          <cell r="A4" t="str">
            <v>BẢNG TÍNH TOÁN, ĐO BÓC KHỐI LƯỢNG HOÀN THÀNH ĐƯA VÀO QUYẾT TOÁN</v>
          </cell>
        </row>
      </sheetData>
      <sheetData sheetId="4235">
        <row r="4">
          <cell r="A4" t="str">
            <v>BẢNG TÍNH TOÁN, ĐO BÓC KHỐI LƯỢNG HOÀN THÀNH ĐƯA VÀO QUYẾT TOÁN</v>
          </cell>
        </row>
      </sheetData>
      <sheetData sheetId="4236">
        <row r="4">
          <cell r="A4" t="str">
            <v>BẢNG TÍNH TOÁN, ĐO BÓC KHỐI LƯỢNG HOÀN THÀNH ĐƯA VÀO QUYẾT TOÁN</v>
          </cell>
        </row>
      </sheetData>
      <sheetData sheetId="4237">
        <row r="4">
          <cell r="A4" t="str">
            <v>BẢNG TÍNH TOÁN, ĐO BÓC KHỐI LƯỢNG HOÀN THÀNH ĐƯA VÀO QUYẾT TOÁN</v>
          </cell>
        </row>
      </sheetData>
      <sheetData sheetId="4238">
        <row r="9">
          <cell r="A9" t="str">
            <v>A</v>
          </cell>
        </row>
      </sheetData>
      <sheetData sheetId="4239">
        <row r="9">
          <cell r="A9" t="str">
            <v>A</v>
          </cell>
        </row>
      </sheetData>
      <sheetData sheetId="4240">
        <row r="9">
          <cell r="A9" t="str">
            <v>A</v>
          </cell>
        </row>
      </sheetData>
      <sheetData sheetId="4241">
        <row r="4">
          <cell r="A4" t="str">
            <v>BẢNG TÍNH TOÁN, ĐO BÓC KHỐI LƯỢNG HOÀN THÀNH ĐƯA VÀO QUYẾT TOÁN</v>
          </cell>
        </row>
      </sheetData>
      <sheetData sheetId="4242">
        <row r="9">
          <cell r="A9" t="str">
            <v>A</v>
          </cell>
        </row>
      </sheetData>
      <sheetData sheetId="4243">
        <row r="4">
          <cell r="A4" t="str">
            <v>BẢNG TÍNH TOÁN, ĐO BÓC KHỐI LƯỢNG HOÀN THÀNH ĐƯA VÀO QUYẾT TOÁN</v>
          </cell>
        </row>
      </sheetData>
      <sheetData sheetId="4244">
        <row r="4">
          <cell r="A4" t="str">
            <v>BẢNG TÍNH TOÁN, ĐO BÓC KHỐI LƯỢNG HOÀN THÀNH ĐƯA VÀO QUYẾT TOÁN</v>
          </cell>
        </row>
      </sheetData>
      <sheetData sheetId="4245">
        <row r="9">
          <cell r="A9" t="str">
            <v>A</v>
          </cell>
        </row>
      </sheetData>
      <sheetData sheetId="4246">
        <row r="9">
          <cell r="A9" t="str">
            <v>A</v>
          </cell>
        </row>
      </sheetData>
      <sheetData sheetId="4247">
        <row r="9">
          <cell r="A9" t="str">
            <v>A</v>
          </cell>
        </row>
      </sheetData>
      <sheetData sheetId="4248">
        <row r="9">
          <cell r="A9" t="str">
            <v>A</v>
          </cell>
        </row>
      </sheetData>
      <sheetData sheetId="4249">
        <row r="4">
          <cell r="A4" t="str">
            <v>BẢNG TÍNH TOÁN, ĐO BÓC KHỐI LƯỢNG HOÀN THÀNH ĐƯA VÀO QUYẾT TOÁN</v>
          </cell>
        </row>
      </sheetData>
      <sheetData sheetId="4250">
        <row r="4">
          <cell r="A4" t="str">
            <v>BẢNG TÍNH TOÁN, ĐO BÓC KHỐI LƯỢNG HOÀN THÀNH ĐƯA VÀO QUYẾT TOÁN</v>
          </cell>
        </row>
      </sheetData>
      <sheetData sheetId="4251">
        <row r="4">
          <cell r="A4" t="str">
            <v>BẢNG TÍNH TOÁN, ĐO BÓC KHỐI LƯỢNG HOÀN THÀNH ĐƯA VÀO QUYẾT TOÁN</v>
          </cell>
        </row>
      </sheetData>
      <sheetData sheetId="4252">
        <row r="9">
          <cell r="A9" t="str">
            <v>A</v>
          </cell>
        </row>
      </sheetData>
      <sheetData sheetId="4253">
        <row r="9">
          <cell r="A9" t="str">
            <v>A</v>
          </cell>
        </row>
      </sheetData>
      <sheetData sheetId="4254">
        <row r="4">
          <cell r="A4" t="str">
            <v>BẢNG TÍNH TOÁN, ĐO BÓC KHỐI LƯỢNG HOÀN THÀNH ĐƯA VÀO QUYẾT TOÁN</v>
          </cell>
        </row>
      </sheetData>
      <sheetData sheetId="4255">
        <row r="4">
          <cell r="A4" t="str">
            <v>BẢNG TÍNH TOÁN, ĐO BÓC KHỐI LƯỢNG HOÀN THÀNH ĐƯA VÀO QUYẾT TOÁN</v>
          </cell>
        </row>
      </sheetData>
      <sheetData sheetId="4256">
        <row r="9">
          <cell r="A9" t="str">
            <v>A</v>
          </cell>
        </row>
      </sheetData>
      <sheetData sheetId="4257">
        <row r="4">
          <cell r="A4" t="str">
            <v>BẢNG TÍNH TOÁN, ĐO BÓC KHỐI LƯỢNG HOÀN THÀNH ĐƯA VÀO QUYẾT TOÁN</v>
          </cell>
        </row>
      </sheetData>
      <sheetData sheetId="4258">
        <row r="9">
          <cell r="A9" t="str">
            <v>A</v>
          </cell>
        </row>
      </sheetData>
      <sheetData sheetId="4259">
        <row r="9">
          <cell r="A9" t="str">
            <v>A</v>
          </cell>
        </row>
      </sheetData>
      <sheetData sheetId="4260">
        <row r="4">
          <cell r="A4" t="str">
            <v>BẢNG TÍNH TOÁN, ĐO BÓC KHỐI LƯỢNG HOÀN THÀNH ĐƯA VÀO QUYẾT TOÁN</v>
          </cell>
        </row>
      </sheetData>
      <sheetData sheetId="4261">
        <row r="4">
          <cell r="A4" t="str">
            <v>BẢNG TÍNH TOÁN, ĐO BÓC KHỐI LƯỢNG HOÀN THÀNH ĐƯA VÀO QUYẾT TOÁN</v>
          </cell>
        </row>
      </sheetData>
      <sheetData sheetId="4262">
        <row r="4">
          <cell r="A4" t="str">
            <v>BẢNG TÍNH TOÁN, ĐO BÓC KHỐI LƯỢNG HOÀN THÀNH ĐƯA VÀO QUYẾT TOÁN</v>
          </cell>
        </row>
      </sheetData>
      <sheetData sheetId="4263">
        <row r="9">
          <cell r="A9" t="str">
            <v>A</v>
          </cell>
        </row>
      </sheetData>
      <sheetData sheetId="4264">
        <row r="9">
          <cell r="A9" t="str">
            <v>A</v>
          </cell>
        </row>
      </sheetData>
      <sheetData sheetId="4265">
        <row r="9">
          <cell r="A9" t="str">
            <v>A</v>
          </cell>
        </row>
      </sheetData>
      <sheetData sheetId="4266">
        <row r="9">
          <cell r="A9" t="str">
            <v>A</v>
          </cell>
        </row>
      </sheetData>
      <sheetData sheetId="4267">
        <row r="4">
          <cell r="A4" t="str">
            <v>BẢNG TÍNH TOÁN, ĐO BÓC KHỐI LƯỢNG HOÀN THÀNH ĐƯA VÀO QUYẾT TOÁN</v>
          </cell>
        </row>
      </sheetData>
      <sheetData sheetId="4268">
        <row r="9">
          <cell r="A9" t="str">
            <v>A</v>
          </cell>
        </row>
      </sheetData>
      <sheetData sheetId="4269">
        <row r="4">
          <cell r="A4" t="str">
            <v>BẢNG TÍNH TOÁN, ĐO BÓC KHỐI LƯỢNG HOÀN THÀNH ĐƯA VÀO QUYẾT TOÁN</v>
          </cell>
        </row>
      </sheetData>
      <sheetData sheetId="4270">
        <row r="9">
          <cell r="A9" t="str">
            <v>A</v>
          </cell>
        </row>
      </sheetData>
      <sheetData sheetId="4271">
        <row r="4">
          <cell r="A4" t="str">
            <v>BẢNG TÍNH TOÁN, ĐO BÓC KHỐI LƯỢNG HOÀN THÀNH ĐƯA VÀO QUYẾT TOÁN</v>
          </cell>
        </row>
      </sheetData>
      <sheetData sheetId="4272">
        <row r="4">
          <cell r="A4" t="str">
            <v>BẢNG TÍNH TOÁN, ĐO BÓC KHỐI LƯỢNG HOÀN THÀNH ĐƯA VÀO QUYẾT TOÁN</v>
          </cell>
        </row>
      </sheetData>
      <sheetData sheetId="4273">
        <row r="4">
          <cell r="A4" t="str">
            <v>BẢNG TÍNH TOÁN, ĐO BÓC KHỐI LƯỢNG HOÀN THÀNH ĐƯA VÀO QUYẾT TOÁN</v>
          </cell>
        </row>
      </sheetData>
      <sheetData sheetId="4274">
        <row r="9">
          <cell r="A9" t="str">
            <v>A</v>
          </cell>
        </row>
      </sheetData>
      <sheetData sheetId="4275">
        <row r="9">
          <cell r="A9" t="str">
            <v>A</v>
          </cell>
        </row>
      </sheetData>
      <sheetData sheetId="4276">
        <row r="9">
          <cell r="A9" t="str">
            <v>A</v>
          </cell>
        </row>
      </sheetData>
      <sheetData sheetId="4277">
        <row r="4">
          <cell r="A4" t="str">
            <v>BẢNG TÍNH TOÁN, ĐO BÓC KHỐI LƯỢNG HOÀN THÀNH ĐƯA VÀO QUYẾT TOÁN</v>
          </cell>
        </row>
      </sheetData>
      <sheetData sheetId="4278">
        <row r="9">
          <cell r="A9" t="str">
            <v>A</v>
          </cell>
        </row>
      </sheetData>
      <sheetData sheetId="4279">
        <row r="4">
          <cell r="A4" t="str">
            <v>BẢNG TÍNH TOÁN, ĐO BÓC KHỐI LƯỢNG HOÀN THÀNH ĐƯA VÀO QUYẾT TOÁN</v>
          </cell>
        </row>
      </sheetData>
      <sheetData sheetId="4280">
        <row r="4">
          <cell r="A4" t="str">
            <v>BẢNG TÍNH TOÁN, ĐO BÓC KHỐI LƯỢNG HOÀN THÀNH ĐƯA VÀO QUYẾT TOÁN</v>
          </cell>
        </row>
      </sheetData>
      <sheetData sheetId="4281">
        <row r="9">
          <cell r="A9" t="str">
            <v>A</v>
          </cell>
        </row>
      </sheetData>
      <sheetData sheetId="4282">
        <row r="9">
          <cell r="A9" t="str">
            <v>A</v>
          </cell>
        </row>
      </sheetData>
      <sheetData sheetId="4283">
        <row r="9">
          <cell r="A9" t="str">
            <v>A</v>
          </cell>
        </row>
      </sheetData>
      <sheetData sheetId="4284">
        <row r="9">
          <cell r="A9" t="str">
            <v>A</v>
          </cell>
        </row>
      </sheetData>
      <sheetData sheetId="4285">
        <row r="9">
          <cell r="A9" t="str">
            <v>A</v>
          </cell>
        </row>
      </sheetData>
      <sheetData sheetId="4286">
        <row r="9">
          <cell r="A9" t="str">
            <v>A</v>
          </cell>
        </row>
      </sheetData>
      <sheetData sheetId="4287">
        <row r="4">
          <cell r="A4" t="str">
            <v>BẢNG TÍNH TOÁN, ĐO BÓC KHỐI LƯỢNG HOÀN THÀNH ĐƯA VÀO QUYẾT TOÁN</v>
          </cell>
        </row>
      </sheetData>
      <sheetData sheetId="4288">
        <row r="4">
          <cell r="A4" t="str">
            <v>BẢNG TÍNH TOÁN, ĐO BÓC KHỐI LƯỢNG HOÀN THÀNH ĐƯA VÀO QUYẾT TOÁN</v>
          </cell>
        </row>
      </sheetData>
      <sheetData sheetId="4289">
        <row r="4">
          <cell r="A4" t="str">
            <v>BẢNG TÍNH TOÁN, ĐO BÓC KHỐI LƯỢNG HOÀN THÀNH ĐƯA VÀO QUYẾT TOÁN</v>
          </cell>
        </row>
      </sheetData>
      <sheetData sheetId="4290">
        <row r="4">
          <cell r="A4" t="str">
            <v>BẢNG TÍNH TOÁN, ĐO BÓC KHỐI LƯỢNG HOÀN THÀNH ĐƯA VÀO QUYẾT TOÁN</v>
          </cell>
        </row>
      </sheetData>
      <sheetData sheetId="4291">
        <row r="9">
          <cell r="A9" t="str">
            <v>A</v>
          </cell>
        </row>
      </sheetData>
      <sheetData sheetId="4292">
        <row r="9">
          <cell r="A9" t="str">
            <v>A</v>
          </cell>
        </row>
      </sheetData>
      <sheetData sheetId="4293">
        <row r="9">
          <cell r="A9" t="str">
            <v>A</v>
          </cell>
        </row>
      </sheetData>
      <sheetData sheetId="4294">
        <row r="9">
          <cell r="A9" t="str">
            <v>A</v>
          </cell>
        </row>
      </sheetData>
      <sheetData sheetId="4295">
        <row r="9">
          <cell r="A9" t="str">
            <v>A</v>
          </cell>
        </row>
      </sheetData>
      <sheetData sheetId="4296">
        <row r="9">
          <cell r="A9" t="str">
            <v>A</v>
          </cell>
        </row>
      </sheetData>
      <sheetData sheetId="4297">
        <row r="4">
          <cell r="A4" t="str">
            <v>BẢNG TÍNH TOÁN, ĐO BÓC KHỐI LƯỢNG HOÀN THÀNH ĐƯA VÀO QUYẾT TOÁN</v>
          </cell>
        </row>
      </sheetData>
      <sheetData sheetId="4298">
        <row r="9">
          <cell r="A9" t="str">
            <v>A</v>
          </cell>
        </row>
      </sheetData>
      <sheetData sheetId="4299">
        <row r="4">
          <cell r="A4" t="str">
            <v>BẢNG TÍNH TOÁN, ĐO BÓC KHỐI LƯỢNG HOÀN THÀNH ĐƯA VÀO QUYẾT TOÁN</v>
          </cell>
        </row>
      </sheetData>
      <sheetData sheetId="4300">
        <row r="4">
          <cell r="A4" t="str">
            <v>BẢNG TÍNH TOÁN, ĐO BÓC KHỐI LƯỢNG HOÀN THÀNH ĐƯA VÀO QUYẾT TOÁN</v>
          </cell>
        </row>
      </sheetData>
      <sheetData sheetId="4301">
        <row r="4">
          <cell r="A4" t="str">
            <v>BẢNG TÍNH TOÁN, ĐO BÓC KHỐI LƯỢNG HOÀN THÀNH ĐƯA VÀO QUYẾT TOÁN</v>
          </cell>
        </row>
      </sheetData>
      <sheetData sheetId="4302">
        <row r="9">
          <cell r="A9" t="str">
            <v>A</v>
          </cell>
        </row>
      </sheetData>
      <sheetData sheetId="4303">
        <row r="4">
          <cell r="A4" t="str">
            <v>BẢNG TÍNH TOÁN, ĐO BÓC KHỐI LƯỢNG HOÀN THÀNH ĐƯA VÀO QUYẾT TOÁN</v>
          </cell>
        </row>
      </sheetData>
      <sheetData sheetId="4304">
        <row r="4">
          <cell r="A4" t="str">
            <v>BẢNG TÍNH TOÁN, ĐO BÓC KHỐI LƯỢNG HOÀN THÀNH ĐƯA VÀO QUYẾT TOÁN</v>
          </cell>
        </row>
      </sheetData>
      <sheetData sheetId="4305">
        <row r="9">
          <cell r="A9" t="str">
            <v>A</v>
          </cell>
        </row>
      </sheetData>
      <sheetData sheetId="4306">
        <row r="9">
          <cell r="A9" t="str">
            <v>A</v>
          </cell>
        </row>
      </sheetData>
      <sheetData sheetId="4307">
        <row r="9">
          <cell r="A9" t="str">
            <v>A</v>
          </cell>
        </row>
      </sheetData>
      <sheetData sheetId="4308">
        <row r="4">
          <cell r="A4" t="str">
            <v>BẢNG TÍNH TOÁN, ĐO BÓC KHỐI LƯỢNG HOÀN THÀNH ĐƯA VÀO QUYẾT TOÁN</v>
          </cell>
        </row>
      </sheetData>
      <sheetData sheetId="4309">
        <row r="9">
          <cell r="A9" t="str">
            <v>A</v>
          </cell>
        </row>
      </sheetData>
      <sheetData sheetId="4310">
        <row r="9">
          <cell r="A9" t="str">
            <v>A</v>
          </cell>
        </row>
      </sheetData>
      <sheetData sheetId="4311">
        <row r="9">
          <cell r="A9" t="str">
            <v>A</v>
          </cell>
        </row>
      </sheetData>
      <sheetData sheetId="4312">
        <row r="4">
          <cell r="A4" t="str">
            <v>BẢNG TÍNH TOÁN, ĐO BÓC KHỐI LƯỢNG HOÀN THÀNH ĐƯA VÀO QUYẾT TOÁN</v>
          </cell>
        </row>
      </sheetData>
      <sheetData sheetId="4313">
        <row r="9">
          <cell r="A9" t="str">
            <v>A</v>
          </cell>
        </row>
      </sheetData>
      <sheetData sheetId="4314">
        <row r="4">
          <cell r="A4" t="str">
            <v>BẢNG TÍNH TOÁN, ĐO BÓC KHỐI LƯỢNG HOÀN THÀNH ĐƯA VÀO QUYẾT TOÁN</v>
          </cell>
        </row>
      </sheetData>
      <sheetData sheetId="4315">
        <row r="9">
          <cell r="A9" t="str">
            <v>A</v>
          </cell>
        </row>
      </sheetData>
      <sheetData sheetId="4316">
        <row r="9">
          <cell r="A9" t="str">
            <v>A</v>
          </cell>
        </row>
      </sheetData>
      <sheetData sheetId="4317">
        <row r="9">
          <cell r="A9" t="str">
            <v>A</v>
          </cell>
        </row>
      </sheetData>
      <sheetData sheetId="4318">
        <row r="9">
          <cell r="A9" t="str">
            <v>A</v>
          </cell>
        </row>
      </sheetData>
      <sheetData sheetId="4319">
        <row r="9">
          <cell r="A9" t="str">
            <v>A</v>
          </cell>
        </row>
      </sheetData>
      <sheetData sheetId="4320">
        <row r="4">
          <cell r="A4" t="str">
            <v>BẢNG TÍNH TOÁN, ĐO BÓC KHỐI LƯỢNG HOÀN THÀNH ĐƯA VÀO QUYẾT TOÁN</v>
          </cell>
        </row>
      </sheetData>
      <sheetData sheetId="4321">
        <row r="9">
          <cell r="A9" t="str">
            <v>A</v>
          </cell>
        </row>
      </sheetData>
      <sheetData sheetId="4322">
        <row r="9">
          <cell r="A9" t="str">
            <v>A</v>
          </cell>
        </row>
      </sheetData>
      <sheetData sheetId="4323">
        <row r="9">
          <cell r="A9" t="str">
            <v>A</v>
          </cell>
        </row>
      </sheetData>
      <sheetData sheetId="4324">
        <row r="9">
          <cell r="A9" t="str">
            <v>A</v>
          </cell>
        </row>
      </sheetData>
      <sheetData sheetId="4325">
        <row r="4">
          <cell r="A4" t="str">
            <v>BẢNG TÍNH TOÁN, ĐO BÓC KHỐI LƯỢNG HOÀN THÀNH ĐƯA VÀO QUYẾT TOÁN</v>
          </cell>
        </row>
      </sheetData>
      <sheetData sheetId="4326">
        <row r="9">
          <cell r="A9" t="str">
            <v>A</v>
          </cell>
        </row>
      </sheetData>
      <sheetData sheetId="4327">
        <row r="4">
          <cell r="A4" t="str">
            <v>BẢNG TÍNH TOÁN, ĐO BÓC KHỐI LƯỢNG HOÀN THÀNH ĐƯA VÀO QUYẾT TOÁN</v>
          </cell>
        </row>
      </sheetData>
      <sheetData sheetId="4328">
        <row r="9">
          <cell r="A9" t="str">
            <v>A</v>
          </cell>
        </row>
      </sheetData>
      <sheetData sheetId="4329">
        <row r="9">
          <cell r="A9" t="str">
            <v>A</v>
          </cell>
        </row>
      </sheetData>
      <sheetData sheetId="4330">
        <row r="4">
          <cell r="A4" t="str">
            <v>BẢNG TÍNH TOÁN, ĐO BÓC KHỐI LƯỢNG HOÀN THÀNH ĐƯA VÀO QUYẾT TOÁN</v>
          </cell>
        </row>
      </sheetData>
      <sheetData sheetId="4331">
        <row r="4">
          <cell r="A4" t="str">
            <v>BẢNG TÍNH TOÁN, ĐO BÓC KHỐI LƯỢNG HOÀN THÀNH ĐƯA VÀO QUYẾT TOÁN</v>
          </cell>
        </row>
      </sheetData>
      <sheetData sheetId="4332">
        <row r="4">
          <cell r="A4" t="str">
            <v>BẢNG TÍNH TOÁN, ĐO BÓC KHỐI LƯỢNG HOÀN THÀNH ĐƯA VÀO QUYẾT TOÁN</v>
          </cell>
        </row>
      </sheetData>
      <sheetData sheetId="4333">
        <row r="4">
          <cell r="A4" t="str">
            <v>BẢNG TÍNH TOÁN, ĐO BÓC KHỐI LƯỢNG HOÀN THÀNH ĐƯA VÀO QUYẾT TOÁN</v>
          </cell>
        </row>
      </sheetData>
      <sheetData sheetId="4334">
        <row r="9">
          <cell r="A9" t="str">
            <v>A</v>
          </cell>
        </row>
      </sheetData>
      <sheetData sheetId="4335">
        <row r="9">
          <cell r="A9" t="str">
            <v>A</v>
          </cell>
        </row>
      </sheetData>
      <sheetData sheetId="4336">
        <row r="4">
          <cell r="A4" t="str">
            <v>BẢNG TÍNH TOÁN, ĐO BÓC KHỐI LƯỢNG HOÀN THÀNH ĐƯA VÀO QUYẾT TOÁN</v>
          </cell>
        </row>
      </sheetData>
      <sheetData sheetId="4337">
        <row r="4">
          <cell r="A4" t="str">
            <v>BẢNG TÍNH TOÁN, ĐO BÓC KHỐI LƯỢNG HOÀN THÀNH ĐƯA VÀO QUYẾT TOÁN</v>
          </cell>
        </row>
      </sheetData>
      <sheetData sheetId="4338">
        <row r="9">
          <cell r="A9" t="str">
            <v>A</v>
          </cell>
        </row>
      </sheetData>
      <sheetData sheetId="4339">
        <row r="9">
          <cell r="A9" t="str">
            <v>A</v>
          </cell>
        </row>
      </sheetData>
      <sheetData sheetId="4340">
        <row r="9">
          <cell r="A9" t="str">
            <v>A</v>
          </cell>
        </row>
      </sheetData>
      <sheetData sheetId="4341">
        <row r="9">
          <cell r="A9" t="str">
            <v>A</v>
          </cell>
        </row>
      </sheetData>
      <sheetData sheetId="4342">
        <row r="9">
          <cell r="A9" t="str">
            <v>A</v>
          </cell>
        </row>
      </sheetData>
      <sheetData sheetId="4343">
        <row r="4">
          <cell r="A4" t="str">
            <v>BẢNG TÍNH TOÁN, ĐO BÓC KHỐI LƯỢNG HOÀN THÀNH ĐƯA VÀO QUYẾT TOÁN</v>
          </cell>
        </row>
      </sheetData>
      <sheetData sheetId="4344">
        <row r="9">
          <cell r="A9" t="str">
            <v>A</v>
          </cell>
        </row>
      </sheetData>
      <sheetData sheetId="4345">
        <row r="9">
          <cell r="A9" t="str">
            <v>A</v>
          </cell>
        </row>
      </sheetData>
      <sheetData sheetId="4346">
        <row r="4">
          <cell r="A4" t="str">
            <v>BẢNG TÍNH TOÁN, ĐO BÓC KHỐI LƯỢNG HOÀN THÀNH ĐƯA VÀO QUYẾT TOÁN</v>
          </cell>
        </row>
      </sheetData>
      <sheetData sheetId="4347">
        <row r="4">
          <cell r="A4" t="str">
            <v>BẢNG TÍNH TOÁN, ĐO BÓC KHỐI LƯỢNG HOÀN THÀNH ĐƯA VÀO QUYẾT TOÁN</v>
          </cell>
        </row>
      </sheetData>
      <sheetData sheetId="4348">
        <row r="9">
          <cell r="A9" t="str">
            <v>A</v>
          </cell>
        </row>
      </sheetData>
      <sheetData sheetId="4349">
        <row r="4">
          <cell r="A4" t="str">
            <v>BẢNG TÍNH TOÁN, ĐO BÓC KHỐI LƯỢNG HOÀN THÀNH ĐƯA VÀO QUYẾT TOÁN</v>
          </cell>
        </row>
      </sheetData>
      <sheetData sheetId="4350">
        <row r="9">
          <cell r="A9" t="str">
            <v>A</v>
          </cell>
        </row>
      </sheetData>
      <sheetData sheetId="4351">
        <row r="9">
          <cell r="A9" t="str">
            <v>A</v>
          </cell>
        </row>
      </sheetData>
      <sheetData sheetId="4352">
        <row r="4">
          <cell r="A4" t="str">
            <v>BẢNG TÍNH TOÁN, ĐO BÓC KHỐI LƯỢNG HOÀN THÀNH ĐƯA VÀO QUYẾT TOÁN</v>
          </cell>
        </row>
      </sheetData>
      <sheetData sheetId="4353">
        <row r="4">
          <cell r="A4" t="str">
            <v>BẢNG TÍNH TOÁN, ĐO BÓC KHỐI LƯỢNG HOÀN THÀNH ĐƯA VÀO QUYẾT TOÁN</v>
          </cell>
        </row>
      </sheetData>
      <sheetData sheetId="4354">
        <row r="4">
          <cell r="A4" t="str">
            <v>BẢNG TÍNH TOÁN, ĐO BÓC KHỐI LƯỢNG HOÀN THÀNH ĐƯA VÀO QUYẾT TOÁN</v>
          </cell>
        </row>
      </sheetData>
      <sheetData sheetId="4355">
        <row r="4">
          <cell r="A4" t="str">
            <v>BẢNG TÍNH TOÁN, ĐO BÓC KHỐI LƯỢNG HOÀN THÀNH ĐƯA VÀO QUYẾT TOÁN</v>
          </cell>
        </row>
      </sheetData>
      <sheetData sheetId="4356">
        <row r="4">
          <cell r="A4" t="str">
            <v>BẢNG TÍNH TOÁN, ĐO BÓC KHỐI LƯỢNG HOÀN THÀNH ĐƯA VÀO QUYẾT TOÁN</v>
          </cell>
        </row>
      </sheetData>
      <sheetData sheetId="4357">
        <row r="4">
          <cell r="A4" t="str">
            <v>BẢNG TÍNH TOÁN, ĐO BÓC KHỐI LƯỢNG HOÀN THÀNH ĐƯA VÀO QUYẾT TOÁN</v>
          </cell>
        </row>
      </sheetData>
      <sheetData sheetId="4358">
        <row r="4">
          <cell r="A4" t="str">
            <v>BẢNG TÍNH TOÁN, ĐO BÓC KHỐI LƯỢNG HOÀN THÀNH ĐƯA VÀO QUYẾT TOÁN</v>
          </cell>
        </row>
      </sheetData>
      <sheetData sheetId="4359">
        <row r="9">
          <cell r="A9" t="str">
            <v>A</v>
          </cell>
        </row>
      </sheetData>
      <sheetData sheetId="4360">
        <row r="4">
          <cell r="A4" t="str">
            <v>BẢNG TÍNH TOÁN, ĐO BÓC KHỐI LƯỢNG HOÀN THÀNH ĐƯA VÀO QUYẾT TOÁN</v>
          </cell>
        </row>
      </sheetData>
      <sheetData sheetId="4361">
        <row r="4">
          <cell r="A4" t="str">
            <v>BẢNG TÍNH TOÁN, ĐO BÓC KHỐI LƯỢNG HOÀN THÀNH ĐƯA VÀO QUYẾT TOÁN</v>
          </cell>
        </row>
      </sheetData>
      <sheetData sheetId="4362">
        <row r="9">
          <cell r="A9" t="str">
            <v>A</v>
          </cell>
        </row>
      </sheetData>
      <sheetData sheetId="4363">
        <row r="4">
          <cell r="A4" t="str">
            <v>BẢNG TÍNH TOÁN, ĐO BÓC KHỐI LƯỢNG HOÀN THÀNH ĐƯA VÀO QUYẾT TOÁN</v>
          </cell>
        </row>
      </sheetData>
      <sheetData sheetId="4364">
        <row r="9">
          <cell r="A9" t="str">
            <v>A</v>
          </cell>
        </row>
      </sheetData>
      <sheetData sheetId="4365">
        <row r="4">
          <cell r="A4" t="str">
            <v>BẢNG TÍNH TOÁN, ĐO BÓC KHỐI LƯỢNG HOÀN THÀNH ĐƯA VÀO QUYẾT TOÁN</v>
          </cell>
        </row>
      </sheetData>
      <sheetData sheetId="4366">
        <row r="4">
          <cell r="A4" t="str">
            <v>BẢNG TÍNH TOÁN, ĐO BÓC KHỐI LƯỢNG HOÀN THÀNH ĐƯA VÀO QUYẾT TOÁN</v>
          </cell>
        </row>
      </sheetData>
      <sheetData sheetId="4367">
        <row r="4">
          <cell r="A4" t="str">
            <v>BẢNG TÍNH TOÁN, ĐO BÓC KHỐI LƯỢNG HOÀN THÀNH ĐƯA VÀO QUYẾT TOÁN</v>
          </cell>
        </row>
      </sheetData>
      <sheetData sheetId="4368">
        <row r="4">
          <cell r="A4" t="str">
            <v>BẢNG TÍNH TOÁN, ĐO BÓC KHỐI LƯỢNG HOÀN THÀNH ĐƯA VÀO QUYẾT TOÁN</v>
          </cell>
        </row>
      </sheetData>
      <sheetData sheetId="4369">
        <row r="4">
          <cell r="A4" t="str">
            <v>BẢNG TÍNH TOÁN, ĐO BÓC KHỐI LƯỢNG HOÀN THÀNH ĐƯA VÀO QUYẾT TOÁN</v>
          </cell>
        </row>
      </sheetData>
      <sheetData sheetId="4370">
        <row r="4">
          <cell r="A4" t="str">
            <v>BẢNG TÍNH TOÁN, ĐO BÓC KHỐI LƯỢNG HOÀN THÀNH ĐƯA VÀO QUYẾT TOÁN</v>
          </cell>
        </row>
      </sheetData>
      <sheetData sheetId="4371">
        <row r="4">
          <cell r="A4" t="str">
            <v>BẢNG TÍNH TOÁN, ĐO BÓC KHỐI LƯỢNG HOÀN THÀNH ĐƯA VÀO QUYẾT TOÁN</v>
          </cell>
        </row>
      </sheetData>
      <sheetData sheetId="4372">
        <row r="4">
          <cell r="A4" t="str">
            <v>BẢNG TÍNH TOÁN, ĐO BÓC KHỐI LƯỢNG HOÀN THÀNH ĐƯA VÀO QUYẾT TOÁN</v>
          </cell>
        </row>
      </sheetData>
      <sheetData sheetId="4373">
        <row r="4">
          <cell r="A4" t="str">
            <v>BẢNG TÍNH TOÁN, ĐO BÓC KHỐI LƯỢNG HOÀN THÀNH ĐƯA VÀO QUYẾT TOÁN</v>
          </cell>
        </row>
      </sheetData>
      <sheetData sheetId="4374">
        <row r="4">
          <cell r="A4" t="str">
            <v>BẢNG TÍNH TOÁN, ĐO BÓC KHỐI LƯỢNG HOÀN THÀNH ĐƯA VÀO QUYẾT TOÁN</v>
          </cell>
        </row>
      </sheetData>
      <sheetData sheetId="4375">
        <row r="4">
          <cell r="A4" t="str">
            <v>BẢNG TÍNH TOÁN, ĐO BÓC KHỐI LƯỢNG HOÀN THÀNH ĐƯA VÀO QUYẾT TOÁN</v>
          </cell>
        </row>
      </sheetData>
      <sheetData sheetId="4376">
        <row r="4">
          <cell r="A4" t="str">
            <v>BẢNG TÍNH TOÁN, ĐO BÓC KHỐI LƯỢNG HOÀN THÀNH ĐƯA VÀO QUYẾT TOÁN</v>
          </cell>
        </row>
      </sheetData>
      <sheetData sheetId="4377">
        <row r="4">
          <cell r="A4" t="str">
            <v>BẢNG TÍNH TOÁN, ĐO BÓC KHỐI LƯỢNG HOÀN THÀNH ĐƯA VÀO QUYẾT TOÁN</v>
          </cell>
        </row>
      </sheetData>
      <sheetData sheetId="4378">
        <row r="4">
          <cell r="A4" t="str">
            <v>BẢNG TÍNH TOÁN, ĐO BÓC KHỐI LƯỢNG HOÀN THÀNH ĐƯA VÀO QUYẾT TOÁN</v>
          </cell>
        </row>
      </sheetData>
      <sheetData sheetId="4379">
        <row r="4">
          <cell r="A4" t="str">
            <v>BẢNG TÍNH TOÁN, ĐO BÓC KHỐI LƯỢNG HOÀN THÀNH ĐƯA VÀO QUYẾT TOÁN</v>
          </cell>
        </row>
      </sheetData>
      <sheetData sheetId="4380">
        <row r="4">
          <cell r="A4" t="str">
            <v>BẢNG TÍNH TOÁN, ĐO BÓC KHỐI LƯỢNG HOÀN THÀNH ĐƯA VÀO QUYẾT TOÁN</v>
          </cell>
        </row>
      </sheetData>
      <sheetData sheetId="4381">
        <row r="4">
          <cell r="A4" t="str">
            <v>BẢNG TÍNH TOÁN, ĐO BÓC KHỐI LƯỢNG HOÀN THÀNH ĐƯA VÀO QUYẾT TOÁN</v>
          </cell>
        </row>
      </sheetData>
      <sheetData sheetId="4382">
        <row r="9">
          <cell r="A9" t="str">
            <v>A</v>
          </cell>
        </row>
      </sheetData>
      <sheetData sheetId="4383">
        <row r="4">
          <cell r="A4" t="str">
            <v>BẢNG TÍNH TOÁN, ĐO BÓC KHỐI LƯỢNG HOÀN THÀNH ĐƯA VÀO QUYẾT TOÁN</v>
          </cell>
        </row>
      </sheetData>
      <sheetData sheetId="4384">
        <row r="4">
          <cell r="A4" t="str">
            <v>BẢNG TÍNH TOÁN, ĐO BÓC KHỐI LƯỢNG HOÀN THÀNH ĐƯA VÀO QUYẾT TOÁN</v>
          </cell>
        </row>
      </sheetData>
      <sheetData sheetId="4385">
        <row r="4">
          <cell r="A4" t="str">
            <v>BẢNG TÍNH TOÁN, ĐO BÓC KHỐI LƯỢNG HOÀN THÀNH ĐƯA VÀO QUYẾT TOÁN</v>
          </cell>
        </row>
      </sheetData>
      <sheetData sheetId="4386">
        <row r="4">
          <cell r="A4" t="str">
            <v>BẢNG TÍNH TOÁN, ĐO BÓC KHỐI LƯỢNG HOÀN THÀNH ĐƯA VÀO QUYẾT TOÁN</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4">
          <cell r="A4" t="str">
            <v>BẢNG TÍNH TOÁN, ĐO BÓC KHỐI LƯỢNG HOÀN THÀNH ĐƯA VÀO QUYẾT TOÁN</v>
          </cell>
        </row>
      </sheetData>
      <sheetData sheetId="4392">
        <row r="4">
          <cell r="A4" t="str">
            <v>BẢNG TÍNH TOÁN, ĐO BÓC KHỐI LƯỢNG HOÀN THÀNH ĐƯA VÀO QUYẾT TOÁN</v>
          </cell>
        </row>
      </sheetData>
      <sheetData sheetId="4393">
        <row r="9">
          <cell r="A9" t="str">
            <v>A</v>
          </cell>
        </row>
      </sheetData>
      <sheetData sheetId="4394">
        <row r="9">
          <cell r="A9" t="str">
            <v>A</v>
          </cell>
        </row>
      </sheetData>
      <sheetData sheetId="4395">
        <row r="4">
          <cell r="A4" t="str">
            <v>BẢNG TÍNH TOÁN, ĐO BÓC KHỐI LƯỢNG HOÀN THÀNH ĐƯA VÀO QUYẾT TOÁN</v>
          </cell>
        </row>
      </sheetData>
      <sheetData sheetId="4396">
        <row r="4">
          <cell r="A4" t="str">
            <v>BẢNG TÍNH TOÁN, ĐO BÓC KHỐI LƯỢNG HOÀN THÀNH ĐƯA VÀO QUYẾT TOÁN</v>
          </cell>
        </row>
      </sheetData>
      <sheetData sheetId="4397">
        <row r="4">
          <cell r="A4" t="str">
            <v>BẢNG TÍNH TOÁN, ĐO BÓC KHỐI LƯỢNG HOÀN THÀNH ĐƯA VÀO QUYẾT TOÁN</v>
          </cell>
        </row>
      </sheetData>
      <sheetData sheetId="4398">
        <row r="4">
          <cell r="A4" t="str">
            <v>BẢNG TÍNH TOÁN, ĐO BÓC KHỐI LƯỢNG HOÀN THÀNH ĐƯA VÀO QUYẾT TOÁN</v>
          </cell>
        </row>
      </sheetData>
      <sheetData sheetId="4399">
        <row r="4">
          <cell r="A4" t="str">
            <v>BẢNG TÍNH TOÁN, ĐO BÓC KHỐI LƯỢNG HOÀN THÀNH ĐƯA VÀO QUYẾT TOÁN</v>
          </cell>
        </row>
      </sheetData>
      <sheetData sheetId="4400">
        <row r="9">
          <cell r="A9" t="str">
            <v>A</v>
          </cell>
        </row>
      </sheetData>
      <sheetData sheetId="4401">
        <row r="4">
          <cell r="A4" t="str">
            <v>BẢNG TÍNH TOÁN, ĐO BÓC KHỐI LƯỢNG HOÀN THÀNH ĐƯA VÀO QUYẾT TOÁN</v>
          </cell>
        </row>
      </sheetData>
      <sheetData sheetId="4402">
        <row r="4">
          <cell r="A4" t="str">
            <v>BẢNG TÍNH TOÁN, ĐO BÓC KHỐI LƯỢNG HOÀN THÀNH ĐƯA VÀO QUYẾT TOÁN</v>
          </cell>
        </row>
      </sheetData>
      <sheetData sheetId="4403">
        <row r="4">
          <cell r="A4" t="str">
            <v>BẢNG TÍNH TOÁN, ĐO BÓC KHỐI LƯỢNG HOÀN THÀNH ĐƯA VÀO QUYẾT TOÁN</v>
          </cell>
        </row>
      </sheetData>
      <sheetData sheetId="4404">
        <row r="9">
          <cell r="A9" t="str">
            <v>A</v>
          </cell>
        </row>
      </sheetData>
      <sheetData sheetId="4405">
        <row r="4">
          <cell r="A4" t="str">
            <v>BẢNG TÍNH TOÁN, ĐO BÓC KHỐI LƯỢNG HOÀN THÀNH ĐƯA VÀO QUYẾT TOÁN</v>
          </cell>
        </row>
      </sheetData>
      <sheetData sheetId="4406">
        <row r="4">
          <cell r="A4" t="str">
            <v>BẢNG TÍNH TOÁN, ĐO BÓC KHỐI LƯỢNG HOÀN THÀNH ĐƯA VÀO QUYẾT TOÁN</v>
          </cell>
        </row>
      </sheetData>
      <sheetData sheetId="4407">
        <row r="4">
          <cell r="A4" t="str">
            <v>BẢNG TÍNH TOÁN, ĐO BÓC KHỐI LƯỢNG HOÀN THÀNH ĐƯA VÀO QUYẾT TOÁN</v>
          </cell>
        </row>
      </sheetData>
      <sheetData sheetId="4408">
        <row r="4">
          <cell r="A4" t="str">
            <v>BẢNG TÍNH TOÁN, ĐO BÓC KHỐI LƯỢNG HOÀN THÀNH ĐƯA VÀO QUYẾT TOÁN</v>
          </cell>
        </row>
      </sheetData>
      <sheetData sheetId="4409">
        <row r="9">
          <cell r="A9" t="str">
            <v>A</v>
          </cell>
        </row>
      </sheetData>
      <sheetData sheetId="4410">
        <row r="4">
          <cell r="A4" t="str">
            <v>BẢNG TÍNH TOÁN, ĐO BÓC KHỐI LƯỢNG HOÀN THÀNH ĐƯA VÀO QUYẾT TOÁN</v>
          </cell>
        </row>
      </sheetData>
      <sheetData sheetId="4411">
        <row r="4">
          <cell r="A4" t="str">
            <v>BẢNG TÍNH TOÁN, ĐO BÓC KHỐI LƯỢNG HOÀN THÀNH ĐƯA VÀO QUYẾT TOÁN</v>
          </cell>
        </row>
      </sheetData>
      <sheetData sheetId="4412">
        <row r="4">
          <cell r="A4" t="str">
            <v>BẢNG TÍNH TOÁN, ĐO BÓC KHỐI LƯỢNG HOÀN THÀNH ĐƯA VÀO QUYẾT TOÁN</v>
          </cell>
        </row>
      </sheetData>
      <sheetData sheetId="4413">
        <row r="4">
          <cell r="A4" t="str">
            <v>BẢNG TÍNH TOÁN, ĐO BÓC KHỐI LƯỢNG HOÀN THÀNH ĐƯA VÀO QUYẾT TOÁN</v>
          </cell>
        </row>
      </sheetData>
      <sheetData sheetId="4414">
        <row r="4">
          <cell r="A4" t="str">
            <v>BẢNG TÍNH TOÁN, ĐO BÓC KHỐI LƯỢNG HOÀN THÀNH ĐƯA VÀO QUYẾT TOÁN</v>
          </cell>
        </row>
      </sheetData>
      <sheetData sheetId="4415">
        <row r="4">
          <cell r="A4" t="str">
            <v>BẢNG TÍNH TOÁN, ĐO BÓC KHỐI LƯỢNG HOÀN THÀNH ĐƯA VÀO QUYẾT TOÁN</v>
          </cell>
        </row>
      </sheetData>
      <sheetData sheetId="4416">
        <row r="9">
          <cell r="A9" t="str">
            <v>A</v>
          </cell>
        </row>
      </sheetData>
      <sheetData sheetId="4417">
        <row r="4">
          <cell r="A4" t="str">
            <v>BẢNG TÍNH TOÁN, ĐO BÓC KHỐI LƯỢNG HOÀN THÀNH ĐƯA VÀO QUYẾT TOÁN</v>
          </cell>
        </row>
      </sheetData>
      <sheetData sheetId="4418">
        <row r="4">
          <cell r="A4" t="str">
            <v>BẢNG TÍNH TOÁN, ĐO BÓC KHỐI LƯỢNG HOÀN THÀNH ĐƯA VÀO QUYẾT TOÁN</v>
          </cell>
        </row>
      </sheetData>
      <sheetData sheetId="4419">
        <row r="4">
          <cell r="A4" t="str">
            <v>BẢNG TÍNH TOÁN, ĐO BÓC KHỐI LƯỢNG HOÀN THÀNH ĐƯA VÀO QUYẾT TOÁN</v>
          </cell>
        </row>
      </sheetData>
      <sheetData sheetId="4420">
        <row r="4">
          <cell r="A4" t="str">
            <v>BẢNG TÍNH TOÁN, ĐO BÓC KHỐI LƯỢNG HOÀN THÀNH ĐƯA VÀO QUYẾT TOÁN</v>
          </cell>
        </row>
      </sheetData>
      <sheetData sheetId="4421">
        <row r="4">
          <cell r="A4" t="str">
            <v>BẢNG TÍNH TOÁN, ĐO BÓC KHỐI LƯỢNG HOÀN THÀNH ĐƯA VÀO QUYẾT TOÁN</v>
          </cell>
        </row>
      </sheetData>
      <sheetData sheetId="4422">
        <row r="4">
          <cell r="A4" t="str">
            <v>BẢNG TÍNH TOÁN, ĐO BÓC KHỐI LƯỢNG HOÀN THÀNH ĐƯA VÀO QUYẾT TOÁN</v>
          </cell>
        </row>
      </sheetData>
      <sheetData sheetId="4423">
        <row r="4">
          <cell r="A4" t="str">
            <v>BẢNG TÍNH TOÁN, ĐO BÓC KHỐI LƯỢNG HOÀN THÀNH ĐƯA VÀO QUYẾT TOÁN</v>
          </cell>
        </row>
      </sheetData>
      <sheetData sheetId="4424">
        <row r="4">
          <cell r="A4" t="str">
            <v>BẢNG TÍNH TOÁN, ĐO BÓC KHỐI LƯỢNG HOÀN THÀNH ĐƯA VÀO QUYẾT TOÁN</v>
          </cell>
        </row>
      </sheetData>
      <sheetData sheetId="4425">
        <row r="4">
          <cell r="A4" t="str">
            <v>BẢNG TÍNH TOÁN, ĐO BÓC KHỐI LƯỢNG HOÀN THÀNH ĐƯA VÀO QUYẾT TOÁN</v>
          </cell>
        </row>
      </sheetData>
      <sheetData sheetId="4426">
        <row r="4">
          <cell r="A4" t="str">
            <v>BẢNG TÍNH TOÁN, ĐO BÓC KHỐI LƯỢNG HOÀN THÀNH ĐƯA VÀO QUYẾT TOÁN</v>
          </cell>
        </row>
      </sheetData>
      <sheetData sheetId="4427">
        <row r="4">
          <cell r="A4" t="str">
            <v>BẢNG TÍNH TOÁN, ĐO BÓC KHỐI LƯỢNG HOÀN THÀNH ĐƯA VÀO QUYẾT TOÁN</v>
          </cell>
        </row>
      </sheetData>
      <sheetData sheetId="4428">
        <row r="4">
          <cell r="A4" t="str">
            <v>BẢNG TÍNH TOÁN, ĐO BÓC KHỐI LƯỢNG HOÀN THÀNH ĐƯA VÀO QUYẾT TOÁN</v>
          </cell>
        </row>
      </sheetData>
      <sheetData sheetId="4429">
        <row r="4">
          <cell r="A4" t="str">
            <v>BẢNG TÍNH TOÁN, ĐO BÓC KHỐI LƯỢNG HOÀN THÀNH ĐƯA VÀO QUYẾT TOÁN</v>
          </cell>
        </row>
      </sheetData>
      <sheetData sheetId="4430">
        <row r="4">
          <cell r="A4" t="str">
            <v>BẢNG TÍNH TOÁN, ĐO BÓC KHỐI LƯỢNG HOÀN THÀNH ĐƯA VÀO QUYẾT TOÁN</v>
          </cell>
        </row>
      </sheetData>
      <sheetData sheetId="4431">
        <row r="4">
          <cell r="A4" t="str">
            <v>BẢNG TÍNH TOÁN, ĐO BÓC KHỐI LƯỢNG HOÀN THÀNH ĐƯA VÀO QUYẾT TOÁN</v>
          </cell>
        </row>
      </sheetData>
      <sheetData sheetId="4432">
        <row r="4">
          <cell r="A4" t="str">
            <v>BẢNG TÍNH TOÁN, ĐO BÓC KHỐI LƯỢNG HOÀN THÀNH ĐƯA VÀO QUYẾT TOÁN</v>
          </cell>
        </row>
      </sheetData>
      <sheetData sheetId="4433">
        <row r="4">
          <cell r="A4" t="str">
            <v>BẢNG TÍNH TOÁN, ĐO BÓC KHỐI LƯỢNG HOÀN THÀNH ĐƯA VÀO QUYẾT TOÁN</v>
          </cell>
        </row>
      </sheetData>
      <sheetData sheetId="4434">
        <row r="4">
          <cell r="A4" t="str">
            <v>BẢNG TÍNH TOÁN, ĐO BÓC KHỐI LƯỢNG HOÀN THÀNH ĐƯA VÀO QUYẾT TOÁN</v>
          </cell>
        </row>
      </sheetData>
      <sheetData sheetId="4435">
        <row r="4">
          <cell r="A4" t="str">
            <v>BẢNG TÍNH TOÁN, ĐO BÓC KHỐI LƯỢNG HOÀN THÀNH ĐƯA VÀO QUYẾT TOÁN</v>
          </cell>
        </row>
      </sheetData>
      <sheetData sheetId="4436">
        <row r="4">
          <cell r="A4" t="str">
            <v>BẢNG TÍNH TOÁN, ĐO BÓC KHỐI LƯỢNG HOÀN THÀNH ĐƯA VÀO QUYẾT TOÁN</v>
          </cell>
        </row>
      </sheetData>
      <sheetData sheetId="4437">
        <row r="4">
          <cell r="A4" t="str">
            <v>BẢNG TÍNH TOÁN, ĐO BÓC KHỐI LƯỢNG HOÀN THÀNH ĐƯA VÀO QUYẾT TOÁN</v>
          </cell>
        </row>
      </sheetData>
      <sheetData sheetId="4438">
        <row r="4">
          <cell r="A4" t="str">
            <v>BẢNG TÍNH TOÁN, ĐO BÓC KHỐI LƯỢNG HOÀN THÀNH ĐƯA VÀO QUYẾT TOÁN</v>
          </cell>
        </row>
      </sheetData>
      <sheetData sheetId="4439">
        <row r="4">
          <cell r="A4" t="str">
            <v>BẢNG TÍNH TOÁN, ĐO BÓC KHỐI LƯỢNG HOÀN THÀNH ĐƯA VÀO QUYẾT TOÁN</v>
          </cell>
        </row>
      </sheetData>
      <sheetData sheetId="4440">
        <row r="4">
          <cell r="A4" t="str">
            <v>BẢNG TÍNH TOÁN, ĐO BÓC KHỐI LƯỢNG HOÀN THÀNH ĐƯA VÀO QUYẾT TOÁN</v>
          </cell>
        </row>
      </sheetData>
      <sheetData sheetId="4441">
        <row r="4">
          <cell r="A4" t="str">
            <v>BẢNG TÍNH TOÁN, ĐO BÓC KHỐI LƯỢNG HOÀN THÀNH ĐƯA VÀO QUYẾT TOÁN</v>
          </cell>
        </row>
      </sheetData>
      <sheetData sheetId="4442">
        <row r="4">
          <cell r="A4" t="str">
            <v>BẢNG TÍNH TOÁN, ĐO BÓC KHỐI LƯỢNG HOÀN THÀNH ĐƯA VÀO QUYẾT TOÁN</v>
          </cell>
        </row>
      </sheetData>
      <sheetData sheetId="4443">
        <row r="4">
          <cell r="A4" t="str">
            <v>BẢNG TÍNH TOÁN, ĐO BÓC KHỐI LƯỢNG HOÀN THÀNH ĐƯA VÀO QUYẾT TOÁN</v>
          </cell>
        </row>
      </sheetData>
      <sheetData sheetId="4444">
        <row r="4">
          <cell r="A4" t="str">
            <v>BẢNG TÍNH TOÁN, ĐO BÓC KHỐI LƯỢNG HOÀN THÀNH ĐƯA VÀO QUYẾT TOÁN</v>
          </cell>
        </row>
      </sheetData>
      <sheetData sheetId="4445">
        <row r="4">
          <cell r="A4" t="str">
            <v>BẢNG TÍNH TOÁN, ĐO BÓC KHỐI LƯỢNG HOÀN THÀNH ĐƯA VÀO QUYẾT TOÁN</v>
          </cell>
        </row>
      </sheetData>
      <sheetData sheetId="4446">
        <row r="4">
          <cell r="A4" t="str">
            <v>BẢNG TÍNH TOÁN, ĐO BÓC KHỐI LƯỢNG HOÀN THÀNH ĐƯA VÀO QUYẾT TOÁN</v>
          </cell>
        </row>
      </sheetData>
      <sheetData sheetId="4447">
        <row r="4">
          <cell r="A4" t="str">
            <v>BẢNG TÍNH TOÁN, ĐO BÓC KHỐI LƯỢNG HOÀN THÀNH ĐƯA VÀO QUYẾT TOÁN</v>
          </cell>
        </row>
      </sheetData>
      <sheetData sheetId="4448">
        <row r="4">
          <cell r="A4" t="str">
            <v>BẢNG TÍNH TOÁN, ĐO BÓC KHỐI LƯỢNG HOÀN THÀNH ĐƯA VÀO QUYẾT TOÁN</v>
          </cell>
        </row>
      </sheetData>
      <sheetData sheetId="4449">
        <row r="4">
          <cell r="A4" t="str">
            <v>BẢNG TÍNH TOÁN, ĐO BÓC KHỐI LƯỢNG HOÀN THÀNH ĐƯA VÀO QUYẾT TOÁN</v>
          </cell>
        </row>
      </sheetData>
      <sheetData sheetId="4450">
        <row r="4">
          <cell r="A4" t="str">
            <v>BẢNG TÍNH TOÁN, ĐO BÓC KHỐI LƯỢNG HOÀN THÀNH ĐƯA VÀO QUYẾT TOÁN</v>
          </cell>
        </row>
      </sheetData>
      <sheetData sheetId="4451">
        <row r="4">
          <cell r="A4" t="str">
            <v>BẢNG TÍNH TOÁN, ĐO BÓC KHỐI LƯỢNG HOÀN THÀNH ĐƯA VÀO QUYẾT TOÁN</v>
          </cell>
        </row>
      </sheetData>
      <sheetData sheetId="4452">
        <row r="4">
          <cell r="A4" t="str">
            <v>BẢNG TÍNH TOÁN, ĐO BÓC KHỐI LƯỢNG HOÀN THÀNH ĐƯA VÀO QUYẾT TOÁN</v>
          </cell>
        </row>
      </sheetData>
      <sheetData sheetId="4453">
        <row r="4">
          <cell r="A4" t="str">
            <v>BẢNG TÍNH TOÁN, ĐO BÓC KHỐI LƯỢNG HOÀN THÀNH ĐƯA VÀO QUYẾT TOÁN</v>
          </cell>
        </row>
      </sheetData>
      <sheetData sheetId="4454">
        <row r="4">
          <cell r="A4" t="str">
            <v>BẢNG TÍNH TOÁN, ĐO BÓC KHỐI LƯỢNG HOÀN THÀNH ĐƯA VÀO QUYẾT TOÁN</v>
          </cell>
        </row>
      </sheetData>
      <sheetData sheetId="4455">
        <row r="4">
          <cell r="A4" t="str">
            <v>BẢNG TÍNH TOÁN, ĐO BÓC KHỐI LƯỢNG HOÀN THÀNH ĐƯA VÀO QUYẾT TOÁN</v>
          </cell>
        </row>
      </sheetData>
      <sheetData sheetId="4456">
        <row r="4">
          <cell r="A4" t="str">
            <v>BẢNG TÍNH TOÁN, ĐO BÓC KHỐI LƯỢNG HOÀN THÀNH ĐƯA VÀO QUYẾT TOÁN</v>
          </cell>
        </row>
      </sheetData>
      <sheetData sheetId="4457">
        <row r="4">
          <cell r="A4" t="str">
            <v>BẢNG TÍNH TOÁN, ĐO BÓC KHỐI LƯỢNG HOÀN THÀNH ĐƯA VÀO QUYẾT TOÁN</v>
          </cell>
        </row>
      </sheetData>
      <sheetData sheetId="4458">
        <row r="4">
          <cell r="A4" t="str">
            <v>BẢNG TÍNH TOÁN, ĐO BÓC KHỐI LƯỢNG HOÀN THÀNH ĐƯA VÀO QUYẾT TOÁN</v>
          </cell>
        </row>
      </sheetData>
      <sheetData sheetId="4459">
        <row r="4">
          <cell r="A4" t="str">
            <v>BẢNG TÍNH TOÁN, ĐO BÓC KHỐI LƯỢNG HOÀN THÀNH ĐƯA VÀO QUYẾT TOÁN</v>
          </cell>
        </row>
      </sheetData>
      <sheetData sheetId="4460">
        <row r="4">
          <cell r="A4" t="str">
            <v>BẢNG TÍNH TOÁN, ĐO BÓC KHỐI LƯỢNG HOÀN THÀNH ĐƯA VÀO QUYẾT TOÁN</v>
          </cell>
        </row>
      </sheetData>
      <sheetData sheetId="4461">
        <row r="4">
          <cell r="A4" t="str">
            <v>BẢNG TÍNH TOÁN, ĐO BÓC KHỐI LƯỢNG HOÀN THÀNH ĐƯA VÀO QUYẾT TOÁN</v>
          </cell>
        </row>
      </sheetData>
      <sheetData sheetId="4462">
        <row r="4">
          <cell r="A4" t="str">
            <v>BẢNG TÍNH TOÁN, ĐO BÓC KHỐI LƯỢNG HOÀN THÀNH ĐƯA VÀO QUYẾT TOÁN</v>
          </cell>
        </row>
      </sheetData>
      <sheetData sheetId="4463">
        <row r="4">
          <cell r="A4" t="str">
            <v>BẢNG TÍNH TOÁN, ĐO BÓC KHỐI LƯỢNG HOÀN THÀNH ĐƯA VÀO QUYẾT TOÁN</v>
          </cell>
        </row>
      </sheetData>
      <sheetData sheetId="4464">
        <row r="4">
          <cell r="A4" t="str">
            <v>BẢNG TÍNH TOÁN, ĐO BÓC KHỐI LƯỢNG HOÀN THÀNH ĐƯA VÀO QUYẾT TOÁN</v>
          </cell>
        </row>
      </sheetData>
      <sheetData sheetId="4465">
        <row r="4">
          <cell r="A4" t="str">
            <v>BẢNG TÍNH TOÁN, ĐO BÓC KHỐI LƯỢNG HOÀN THÀNH ĐƯA VÀO QUYẾT TOÁN</v>
          </cell>
        </row>
      </sheetData>
      <sheetData sheetId="4466">
        <row r="4">
          <cell r="A4" t="str">
            <v>BẢNG TÍNH TOÁN, ĐO BÓC KHỐI LƯỢNG HOÀN THÀNH ĐƯA VÀO QUYẾT TOÁN</v>
          </cell>
        </row>
      </sheetData>
      <sheetData sheetId="4467">
        <row r="4">
          <cell r="A4" t="str">
            <v>BẢNG TÍNH TOÁN, ĐO BÓC KHỐI LƯỢNG HOÀN THÀNH ĐƯA VÀO QUYẾT TOÁN</v>
          </cell>
        </row>
      </sheetData>
      <sheetData sheetId="4468">
        <row r="4">
          <cell r="A4" t="str">
            <v>BẢNG TÍNH TOÁN, ĐO BÓC KHỐI LƯỢNG HOÀN THÀNH ĐƯA VÀO QUYẾT TOÁN</v>
          </cell>
        </row>
      </sheetData>
      <sheetData sheetId="4469">
        <row r="4">
          <cell r="A4" t="str">
            <v>BẢNG TÍNH TOÁN, ĐO BÓC KHỐI LƯỢNG HOÀN THÀNH ĐƯA VÀO QUYẾT TOÁN</v>
          </cell>
        </row>
      </sheetData>
      <sheetData sheetId="4470">
        <row r="4">
          <cell r="A4" t="str">
            <v>BẢNG TÍNH TOÁN, ĐO BÓC KHỐI LƯỢNG HOÀN THÀNH ĐƯA VÀO QUYẾT TOÁN</v>
          </cell>
        </row>
      </sheetData>
      <sheetData sheetId="4471">
        <row r="4">
          <cell r="A4" t="str">
            <v>BẢNG TÍNH TOÁN, ĐO BÓC KHỐI LƯỢNG HOÀN THÀNH ĐƯA VÀO QUYẾT TOÁN</v>
          </cell>
        </row>
      </sheetData>
      <sheetData sheetId="4472">
        <row r="4">
          <cell r="A4" t="str">
            <v>BẢNG TÍNH TOÁN, ĐO BÓC KHỐI LƯỢNG HOÀN THÀNH ĐƯA VÀO QUYẾT TOÁN</v>
          </cell>
        </row>
      </sheetData>
      <sheetData sheetId="4473">
        <row r="4">
          <cell r="A4" t="str">
            <v>BẢNG TÍNH TOÁN, ĐO BÓC KHỐI LƯỢNG HOÀN THÀNH ĐƯA VÀO QUYẾT TOÁN</v>
          </cell>
        </row>
      </sheetData>
      <sheetData sheetId="4474">
        <row r="4">
          <cell r="A4" t="str">
            <v>BẢNG TÍNH TOÁN, ĐO BÓC KHỐI LƯỢNG HOÀN THÀNH ĐƯA VÀO QUYẾT TOÁN</v>
          </cell>
        </row>
      </sheetData>
      <sheetData sheetId="4475">
        <row r="4">
          <cell r="A4" t="str">
            <v>BẢNG TÍNH TOÁN, ĐO BÓC KHỐI LƯỢNG HOÀN THÀNH ĐƯA VÀO QUYẾT TOÁN</v>
          </cell>
        </row>
      </sheetData>
      <sheetData sheetId="4476">
        <row r="4">
          <cell r="A4" t="str">
            <v>BẢNG TÍNH TOÁN, ĐO BÓC KHỐI LƯỢNG HOÀN THÀNH ĐƯA VÀO QUYẾT TOÁN</v>
          </cell>
        </row>
      </sheetData>
      <sheetData sheetId="4477">
        <row r="4">
          <cell r="A4" t="str">
            <v>BẢNG TÍNH TOÁN, ĐO BÓC KHỐI LƯỢNG HOÀN THÀNH ĐƯA VÀO QUYẾT TOÁN</v>
          </cell>
        </row>
      </sheetData>
      <sheetData sheetId="4478">
        <row r="4">
          <cell r="A4" t="str">
            <v>BẢNG TÍNH TOÁN, ĐO BÓC KHỐI LƯỢNG HOÀN THÀNH ĐƯA VÀO QUYẾT TOÁN</v>
          </cell>
        </row>
      </sheetData>
      <sheetData sheetId="4479">
        <row r="4">
          <cell r="A4" t="str">
            <v>BẢNG TÍNH TOÁN, ĐO BÓC KHỐI LƯỢNG HOÀN THÀNH ĐƯA VÀO QUYẾT TOÁN</v>
          </cell>
        </row>
      </sheetData>
      <sheetData sheetId="4480">
        <row r="4">
          <cell r="A4" t="str">
            <v>BẢNG TÍNH TOÁN, ĐO BÓC KHỐI LƯỢNG HOÀN THÀNH ĐƯA VÀO QUYẾT TOÁN</v>
          </cell>
        </row>
      </sheetData>
      <sheetData sheetId="4481">
        <row r="4">
          <cell r="A4" t="str">
            <v>BẢNG TÍNH TOÁN, ĐO BÓC KHỐI LƯỢNG HOÀN THÀNH ĐƯA VÀO QUYẾT TOÁN</v>
          </cell>
        </row>
      </sheetData>
      <sheetData sheetId="4482">
        <row r="4">
          <cell r="A4" t="str">
            <v>BẢNG TÍNH TOÁN, ĐO BÓC KHỐI LƯỢNG HOÀN THÀNH ĐƯA VÀO QUYẾT TOÁN</v>
          </cell>
        </row>
      </sheetData>
      <sheetData sheetId="4483">
        <row r="4">
          <cell r="A4" t="str">
            <v>BẢNG TÍNH TOÁN, ĐO BÓC KHỐI LƯỢNG HOÀN THÀNH ĐƯA VÀO QUYẾT TOÁN</v>
          </cell>
        </row>
      </sheetData>
      <sheetData sheetId="4484">
        <row r="4">
          <cell r="A4" t="str">
            <v>BẢNG TÍNH TOÁN, ĐO BÓC KHỐI LƯỢNG HOÀN THÀNH ĐƯA VÀO QUYẾT TOÁN</v>
          </cell>
        </row>
      </sheetData>
      <sheetData sheetId="4485">
        <row r="4">
          <cell r="A4" t="str">
            <v>BẢNG TÍNH TOÁN, ĐO BÓC KHỐI LƯỢNG HOÀN THÀNH ĐƯA VÀO QUYẾT TOÁN</v>
          </cell>
        </row>
      </sheetData>
      <sheetData sheetId="4486">
        <row r="4">
          <cell r="A4" t="str">
            <v>BẢNG TÍNH TOÁN, ĐO BÓC KHỐI LƯỢNG HOÀN THÀNH ĐƯA VÀO QUYẾT TOÁN</v>
          </cell>
        </row>
      </sheetData>
      <sheetData sheetId="4487">
        <row r="4">
          <cell r="A4" t="str">
            <v>BẢNG TÍNH TOÁN, ĐO BÓC KHỐI LƯỢNG HOÀN THÀNH ĐƯA VÀO QUYẾT TOÁN</v>
          </cell>
        </row>
      </sheetData>
      <sheetData sheetId="4488">
        <row r="4">
          <cell r="A4" t="str">
            <v>BẢNG TÍNH TOÁN, ĐO BÓC KHỐI LƯỢNG HOÀN THÀNH ĐƯA VÀO QUYẾT TOÁN</v>
          </cell>
        </row>
      </sheetData>
      <sheetData sheetId="4489">
        <row r="4">
          <cell r="A4" t="str">
            <v>BẢNG TÍNH TOÁN, ĐO BÓC KHỐI LƯỢNG HOÀN THÀNH ĐƯA VÀO QUYẾT TOÁN</v>
          </cell>
        </row>
      </sheetData>
      <sheetData sheetId="4490">
        <row r="4">
          <cell r="A4" t="str">
            <v>BẢNG TÍNH TOÁN, ĐO BÓC KHỐI LƯỢNG HOÀN THÀNH ĐƯA VÀO QUYẾT TOÁN</v>
          </cell>
        </row>
      </sheetData>
      <sheetData sheetId="4491">
        <row r="4">
          <cell r="A4" t="str">
            <v>BẢNG TÍNH TOÁN, ĐO BÓC KHỐI LƯỢNG HOÀN THÀNH ĐƯA VÀO QUYẾT TOÁN</v>
          </cell>
        </row>
      </sheetData>
      <sheetData sheetId="4492">
        <row r="4">
          <cell r="A4" t="str">
            <v>BẢNG TÍNH TOÁN, ĐO BÓC KHỐI LƯỢNG HOÀN THÀNH ĐƯA VÀO QUYẾT TOÁN</v>
          </cell>
        </row>
      </sheetData>
      <sheetData sheetId="4493">
        <row r="4">
          <cell r="A4" t="str">
            <v>BẢNG TÍNH TOÁN, ĐO BÓC KHỐI LƯỢNG HOÀN THÀNH ĐƯA VÀO QUYẾT TOÁN</v>
          </cell>
        </row>
      </sheetData>
      <sheetData sheetId="4494">
        <row r="4">
          <cell r="A4" t="str">
            <v>BẢNG TÍNH TOÁN, ĐO BÓC KHỐI LƯỢNG HOÀN THÀNH ĐƯA VÀO QUYẾT TOÁN</v>
          </cell>
        </row>
      </sheetData>
      <sheetData sheetId="4495">
        <row r="4">
          <cell r="A4" t="str">
            <v>BẢNG TÍNH TOÁN, ĐO BÓC KHỐI LƯỢNG HOÀN THÀNH ĐƯA VÀO QUYẾT TOÁN</v>
          </cell>
        </row>
      </sheetData>
      <sheetData sheetId="4496">
        <row r="4">
          <cell r="A4" t="str">
            <v>BẢNG TÍNH TOÁN, ĐO BÓC KHỐI LƯỢNG HOÀN THÀNH ĐƯA VÀO QUYẾT TOÁN</v>
          </cell>
        </row>
      </sheetData>
      <sheetData sheetId="4497">
        <row r="4">
          <cell r="A4" t="str">
            <v>BẢNG TÍNH TOÁN, ĐO BÓC KHỐI LƯỢNG HOÀN THÀNH ĐƯA VÀO QUYẾT TOÁN</v>
          </cell>
        </row>
      </sheetData>
      <sheetData sheetId="4498">
        <row r="4">
          <cell r="A4" t="str">
            <v>BẢNG TÍNH TOÁN, ĐO BÓC KHỐI LƯỢNG HOÀN THÀNH ĐƯA VÀO QUYẾT TOÁN</v>
          </cell>
        </row>
      </sheetData>
      <sheetData sheetId="4499">
        <row r="4">
          <cell r="A4" t="str">
            <v>BẢNG TÍNH TOÁN, ĐO BÓC KHỐI LƯỢNG HOÀN THÀNH ĐƯA VÀO QUYẾT TOÁN</v>
          </cell>
        </row>
      </sheetData>
      <sheetData sheetId="4500">
        <row r="4">
          <cell r="A4" t="str">
            <v>BẢNG TÍNH TOÁN, ĐO BÓC KHỐI LƯỢNG HOÀN THÀNH ĐƯA VÀO QUYẾT TOÁN</v>
          </cell>
        </row>
      </sheetData>
      <sheetData sheetId="4501">
        <row r="4">
          <cell r="A4" t="str">
            <v>BẢNG TÍNH TOÁN, ĐO BÓC KHỐI LƯỢNG HOÀN THÀNH ĐƯA VÀO QUYẾT TOÁN</v>
          </cell>
        </row>
      </sheetData>
      <sheetData sheetId="4502">
        <row r="4">
          <cell r="A4" t="str">
            <v>BẢNG TÍNH TOÁN, ĐO BÓC KHỐI LƯỢNG HOÀN THÀNH ĐƯA VÀO QUYẾT TOÁN</v>
          </cell>
        </row>
      </sheetData>
      <sheetData sheetId="4503">
        <row r="4">
          <cell r="A4" t="str">
            <v>BẢNG TÍNH TOÁN, ĐO BÓC KHỐI LƯỢNG HOÀN THÀNH ĐƯA VÀO QUYẾT TOÁN</v>
          </cell>
        </row>
      </sheetData>
      <sheetData sheetId="4504">
        <row r="4">
          <cell r="A4" t="str">
            <v>BẢNG TÍNH TOÁN, ĐO BÓC KHỐI LƯỢNG HOÀN THÀNH ĐƯA VÀO QUYẾT TOÁN</v>
          </cell>
        </row>
      </sheetData>
      <sheetData sheetId="4505">
        <row r="4">
          <cell r="A4" t="str">
            <v>BẢNG TÍNH TOÁN, ĐO BÓC KHỐI LƯỢNG HOÀN THÀNH ĐƯA VÀO QUYẾT TOÁN</v>
          </cell>
        </row>
      </sheetData>
      <sheetData sheetId="4506">
        <row r="4">
          <cell r="A4" t="str">
            <v>BẢNG TÍNH TOÁN, ĐO BÓC KHỐI LƯỢNG HOÀN THÀNH ĐƯA VÀO QUYẾT TOÁN</v>
          </cell>
        </row>
      </sheetData>
      <sheetData sheetId="4507">
        <row r="4">
          <cell r="A4" t="str">
            <v>BẢNG TÍNH TOÁN, ĐO BÓC KHỐI LƯỢNG HOÀN THÀNH ĐƯA VÀO QUYẾT TOÁN</v>
          </cell>
        </row>
      </sheetData>
      <sheetData sheetId="4508">
        <row r="4">
          <cell r="A4" t="str">
            <v>BẢNG TÍNH TOÁN, ĐO BÓC KHỐI LƯỢNG HOÀN THÀNH ĐƯA VÀO QUYẾT TOÁN</v>
          </cell>
        </row>
      </sheetData>
      <sheetData sheetId="4509">
        <row r="4">
          <cell r="A4" t="str">
            <v>BẢNG TÍNH TOÁN, ĐO BÓC KHỐI LƯỢNG HOÀN THÀNH ĐƯA VÀO QUYẾT TOÁN</v>
          </cell>
        </row>
      </sheetData>
      <sheetData sheetId="4510">
        <row r="4">
          <cell r="A4" t="str">
            <v>BẢNG TÍNH TOÁN, ĐO BÓC KHỐI LƯỢNG HOÀN THÀNH ĐƯA VÀO QUYẾT TOÁN</v>
          </cell>
        </row>
      </sheetData>
      <sheetData sheetId="4511">
        <row r="4">
          <cell r="A4" t="str">
            <v>BẢNG TÍNH TOÁN, ĐO BÓC KHỐI LƯỢNG HOÀN THÀNH ĐƯA VÀO QUYẾT TOÁN</v>
          </cell>
        </row>
      </sheetData>
      <sheetData sheetId="4512">
        <row r="4">
          <cell r="A4" t="str">
            <v>BẢNG TÍNH TOÁN, ĐO BÓC KHỐI LƯỢNG HOÀN THÀNH ĐƯA VÀO QUYẾT TOÁN</v>
          </cell>
        </row>
      </sheetData>
      <sheetData sheetId="4513">
        <row r="4">
          <cell r="A4" t="str">
            <v>BẢNG TÍNH TOÁN, ĐO BÓC KHỐI LƯỢNG HOÀN THÀNH ĐƯA VÀO QUYẾT TOÁN</v>
          </cell>
        </row>
      </sheetData>
      <sheetData sheetId="4514">
        <row r="4">
          <cell r="A4" t="str">
            <v>BẢNG TÍNH TOÁN, ĐO BÓC KHỐI LƯỢNG HOÀN THÀNH ĐƯA VÀO QUYẾT TOÁN</v>
          </cell>
        </row>
      </sheetData>
      <sheetData sheetId="4515">
        <row r="4">
          <cell r="A4" t="str">
            <v>BẢNG TÍNH TOÁN, ĐO BÓC KHỐI LƯỢNG HOÀN THÀNH ĐƯA VÀO QUYẾT TOÁN</v>
          </cell>
        </row>
      </sheetData>
      <sheetData sheetId="4516">
        <row r="4">
          <cell r="A4" t="str">
            <v>BẢNG TÍNH TOÁN, ĐO BÓC KHỐI LƯỢNG HOÀN THÀNH ĐƯA VÀO QUYẾT TOÁN</v>
          </cell>
        </row>
      </sheetData>
      <sheetData sheetId="4517">
        <row r="4">
          <cell r="A4" t="str">
            <v>BẢNG TÍNH TOÁN, ĐO BÓC KHỐI LƯỢNG HOÀN THÀNH ĐƯA VÀO QUYẾT TOÁN</v>
          </cell>
        </row>
      </sheetData>
      <sheetData sheetId="4518">
        <row r="4">
          <cell r="A4" t="str">
            <v>BẢNG TÍNH TOÁN, ĐO BÓC KHỐI LƯỢNG HOÀN THÀNH ĐƯA VÀO QUYẾT TOÁN</v>
          </cell>
        </row>
      </sheetData>
      <sheetData sheetId="4519">
        <row r="4">
          <cell r="A4" t="str">
            <v>BẢNG TÍNH TOÁN, ĐO BÓC KHỐI LƯỢNG HOÀN THÀNH ĐƯA VÀO QUYẾT TOÁN</v>
          </cell>
        </row>
      </sheetData>
      <sheetData sheetId="4520">
        <row r="4">
          <cell r="A4" t="str">
            <v>BẢNG TÍNH TOÁN, ĐO BÓC KHỐI LƯỢNG HOÀN THÀNH ĐƯA VÀO QUYẾT TOÁN</v>
          </cell>
        </row>
      </sheetData>
      <sheetData sheetId="4521">
        <row r="4">
          <cell r="A4" t="str">
            <v>BẢNG TÍNH TOÁN, ĐO BÓC KHỐI LƯỢNG HOÀN THÀNH ĐƯA VÀO QUYẾT TOÁN</v>
          </cell>
        </row>
      </sheetData>
      <sheetData sheetId="4522">
        <row r="4">
          <cell r="A4" t="str">
            <v>BẢNG TÍNH TOÁN, ĐO BÓC KHỐI LƯỢNG HOÀN THÀNH ĐƯA VÀO QUYẾT TOÁN</v>
          </cell>
        </row>
      </sheetData>
      <sheetData sheetId="4523">
        <row r="4">
          <cell r="A4" t="str">
            <v>BẢNG TÍNH TOÁN, ĐO BÓC KHỐI LƯỢNG HOÀN THÀNH ĐƯA VÀO QUYẾT TOÁN</v>
          </cell>
        </row>
      </sheetData>
      <sheetData sheetId="4524">
        <row r="4">
          <cell r="A4" t="str">
            <v>BẢNG TÍNH TOÁN, ĐO BÓC KHỐI LƯỢNG HOÀN THÀNH ĐƯA VÀO QUYẾT TOÁN</v>
          </cell>
        </row>
      </sheetData>
      <sheetData sheetId="4525">
        <row r="4">
          <cell r="A4" t="str">
            <v>BẢNG TÍNH TOÁN, ĐO BÓC KHỐI LƯỢNG HOÀN THÀNH ĐƯA VÀO QUYẾT TOÁN</v>
          </cell>
        </row>
      </sheetData>
      <sheetData sheetId="4526">
        <row r="4">
          <cell r="A4" t="str">
            <v>BẢNG TÍNH TOÁN, ĐO BÓC KHỐI LƯỢNG HOÀN THÀNH ĐƯA VÀO QUYẾT TOÁN</v>
          </cell>
        </row>
      </sheetData>
      <sheetData sheetId="4527">
        <row r="4">
          <cell r="A4" t="str">
            <v>BẢNG TÍNH TOÁN, ĐO BÓC KHỐI LƯỢNG HOÀN THÀNH ĐƯA VÀO QUYẾT TOÁN</v>
          </cell>
        </row>
      </sheetData>
      <sheetData sheetId="4528">
        <row r="4">
          <cell r="A4" t="str">
            <v>BẢNG TÍNH TOÁN, ĐO BÓC KHỐI LƯỢNG HOÀN THÀNH ĐƯA VÀO QUYẾT TOÁN</v>
          </cell>
        </row>
      </sheetData>
      <sheetData sheetId="4529">
        <row r="4">
          <cell r="A4" t="str">
            <v>BẢNG TÍNH TOÁN, ĐO BÓC KHỐI LƯỢNG HOÀN THÀNH ĐƯA VÀO QUYẾT TOÁN</v>
          </cell>
        </row>
      </sheetData>
      <sheetData sheetId="4530">
        <row r="4">
          <cell r="A4" t="str">
            <v>BẢNG TÍNH TOÁN, ĐO BÓC KHỐI LƯỢNG HOÀN THÀNH ĐƯA VÀO QUYẾT TOÁN</v>
          </cell>
        </row>
      </sheetData>
      <sheetData sheetId="4531">
        <row r="4">
          <cell r="A4" t="str">
            <v>BẢNG TÍNH TOÁN, ĐO BÓC KHỐI LƯỢNG HOÀN THÀNH ĐƯA VÀO QUYẾT TOÁN</v>
          </cell>
        </row>
      </sheetData>
      <sheetData sheetId="4532">
        <row r="4">
          <cell r="A4" t="str">
            <v>BẢNG TÍNH TOÁN, ĐO BÓC KHỐI LƯỢNG HOÀN THÀNH ĐƯA VÀO QUYẾT TOÁN</v>
          </cell>
        </row>
      </sheetData>
      <sheetData sheetId="4533">
        <row r="4">
          <cell r="A4" t="str">
            <v>BẢNG TÍNH TOÁN, ĐO BÓC KHỐI LƯỢNG HOÀN THÀNH ĐƯA VÀO QUYẾT TOÁN</v>
          </cell>
        </row>
      </sheetData>
      <sheetData sheetId="4534">
        <row r="4">
          <cell r="A4" t="str">
            <v>BẢNG TÍNH TOÁN, ĐO BÓC KHỐI LƯỢNG HOÀN THÀNH ĐƯA VÀO QUYẾT TOÁN</v>
          </cell>
        </row>
      </sheetData>
      <sheetData sheetId="4535">
        <row r="4">
          <cell r="A4" t="str">
            <v>BẢNG TÍNH TOÁN, ĐO BÓC KHỐI LƯỢNG HOÀN THÀNH ĐƯA VÀO QUYẾT TOÁN</v>
          </cell>
        </row>
      </sheetData>
      <sheetData sheetId="4536">
        <row r="4">
          <cell r="A4" t="str">
            <v>BẢNG TÍNH TOÁN, ĐO BÓC KHỐI LƯỢNG HOÀN THÀNH ĐƯA VÀO QUYẾT TOÁN</v>
          </cell>
        </row>
      </sheetData>
      <sheetData sheetId="4537">
        <row r="4">
          <cell r="A4" t="str">
            <v>BẢNG TÍNH TOÁN, ĐO BÓC KHỐI LƯỢNG HOÀN THÀNH ĐƯA VÀO QUYẾT TOÁN</v>
          </cell>
        </row>
      </sheetData>
      <sheetData sheetId="4538">
        <row r="4">
          <cell r="A4" t="str">
            <v>BẢNG TÍNH TOÁN, ĐO BÓC KHỐI LƯỢNG HOÀN THÀNH ĐƯA VÀO QUYẾT TOÁN</v>
          </cell>
        </row>
      </sheetData>
      <sheetData sheetId="4539">
        <row r="4">
          <cell r="A4" t="str">
            <v>BẢNG TÍNH TOÁN, ĐO BÓC KHỐI LƯỢNG HOÀN THÀNH ĐƯA VÀO QUYẾT TOÁN</v>
          </cell>
        </row>
      </sheetData>
      <sheetData sheetId="4540">
        <row r="4">
          <cell r="A4" t="str">
            <v>BẢNG TÍNH TOÁN, ĐO BÓC KHỐI LƯỢNG HOÀN THÀNH ĐƯA VÀO QUYẾT TOÁN</v>
          </cell>
        </row>
      </sheetData>
      <sheetData sheetId="4541">
        <row r="4">
          <cell r="A4" t="str">
            <v>BẢNG TÍNH TOÁN, ĐO BÓC KHỐI LƯỢNG HOÀN THÀNH ĐƯA VÀO QUYẾT TOÁN</v>
          </cell>
        </row>
      </sheetData>
      <sheetData sheetId="4542">
        <row r="4">
          <cell r="A4" t="str">
            <v>BẢNG TÍNH TOÁN, ĐO BÓC KHỐI LƯỢNG HOÀN THÀNH ĐƯA VÀO QUYẾT TOÁN</v>
          </cell>
        </row>
      </sheetData>
      <sheetData sheetId="4543">
        <row r="4">
          <cell r="A4" t="str">
            <v>BẢNG TÍNH TOÁN, ĐO BÓC KHỐI LƯỢNG HOÀN THÀNH ĐƯA VÀO QUYẾT TOÁN</v>
          </cell>
        </row>
      </sheetData>
      <sheetData sheetId="4544">
        <row r="4">
          <cell r="A4" t="str">
            <v>BẢNG TÍNH TOÁN, ĐO BÓC KHỐI LƯỢNG HOÀN THÀNH ĐƯA VÀO QUYẾT TOÁN</v>
          </cell>
        </row>
      </sheetData>
      <sheetData sheetId="4545">
        <row r="4">
          <cell r="A4" t="str">
            <v>BẢNG TÍNH TOÁN, ĐO BÓC KHỐI LƯỢNG HOÀN THÀNH ĐƯA VÀO QUYẾT TOÁN</v>
          </cell>
        </row>
      </sheetData>
      <sheetData sheetId="4546">
        <row r="4">
          <cell r="A4" t="str">
            <v>BẢNG TÍNH TOÁN, ĐO BÓC KHỐI LƯỢNG HOÀN THÀNH ĐƯA VÀO QUYẾT TOÁN</v>
          </cell>
        </row>
      </sheetData>
      <sheetData sheetId="4547">
        <row r="4">
          <cell r="A4" t="str">
            <v>BẢNG TÍNH TOÁN, ĐO BÓC KHỐI LƯỢNG HOÀN THÀNH ĐƯA VÀO QUYẾT TOÁN</v>
          </cell>
        </row>
      </sheetData>
      <sheetData sheetId="4548">
        <row r="4">
          <cell r="A4" t="str">
            <v>BẢNG TÍNH TOÁN, ĐO BÓC KHỐI LƯỢNG HOÀN THÀNH ĐƯA VÀO QUYẾT TOÁN</v>
          </cell>
        </row>
      </sheetData>
      <sheetData sheetId="4549">
        <row r="4">
          <cell r="A4" t="str">
            <v>BẢNG TÍNH TOÁN, ĐO BÓC KHỐI LƯỢNG HOÀN THÀNH ĐƯA VÀO QUYẾT TOÁN</v>
          </cell>
        </row>
      </sheetData>
      <sheetData sheetId="4550">
        <row r="4">
          <cell r="A4" t="str">
            <v>BẢNG TÍNH TOÁN, ĐO BÓC KHỐI LƯỢNG HOÀN THÀNH ĐƯA VÀO QUYẾT TOÁN</v>
          </cell>
        </row>
      </sheetData>
      <sheetData sheetId="4551">
        <row r="4">
          <cell r="A4" t="str">
            <v>BẢNG TÍNH TOÁN, ĐO BÓC KHỐI LƯỢNG HOÀN THÀNH ĐƯA VÀO QUYẾT TOÁN</v>
          </cell>
        </row>
      </sheetData>
      <sheetData sheetId="4552">
        <row r="4">
          <cell r="A4" t="str">
            <v>BẢNG TÍNH TOÁN, ĐO BÓC KHỐI LƯỢNG HOÀN THÀNH ĐƯA VÀO QUYẾT TOÁN</v>
          </cell>
        </row>
      </sheetData>
      <sheetData sheetId="4553">
        <row r="4">
          <cell r="A4" t="str">
            <v>BẢNG TÍNH TOÁN, ĐO BÓC KHỐI LƯỢNG HOÀN THÀNH ĐƯA VÀO QUYẾT TOÁN</v>
          </cell>
        </row>
      </sheetData>
      <sheetData sheetId="4554">
        <row r="4">
          <cell r="A4" t="str">
            <v>BẢNG TÍNH TOÁN, ĐO BÓC KHỐI LƯỢNG HOÀN THÀNH ĐƯA VÀO QUYẾT TOÁN</v>
          </cell>
        </row>
      </sheetData>
      <sheetData sheetId="4555">
        <row r="4">
          <cell r="A4" t="str">
            <v>BẢNG TÍNH TOÁN, ĐO BÓC KHỐI LƯỢNG HOÀN THÀNH ĐƯA VÀO QUYẾT TOÁN</v>
          </cell>
        </row>
      </sheetData>
      <sheetData sheetId="4556">
        <row r="4">
          <cell r="A4" t="str">
            <v>BẢNG TÍNH TOÁN, ĐO BÓC KHỐI LƯỢNG HOÀN THÀNH ĐƯA VÀO QUYẾT TOÁN</v>
          </cell>
        </row>
      </sheetData>
      <sheetData sheetId="4557">
        <row r="4">
          <cell r="A4" t="str">
            <v>BẢNG TÍNH TOÁN, ĐO BÓC KHỐI LƯỢNG HOÀN THÀNH ĐƯA VÀO QUYẾT TOÁN</v>
          </cell>
        </row>
      </sheetData>
      <sheetData sheetId="4558">
        <row r="4">
          <cell r="A4" t="str">
            <v>BẢNG TÍNH TOÁN, ĐO BÓC KHỐI LƯỢNG HOÀN THÀNH ĐƯA VÀO QUYẾT TOÁN</v>
          </cell>
        </row>
      </sheetData>
      <sheetData sheetId="4559">
        <row r="4">
          <cell r="A4" t="str">
            <v>BẢNG TÍNH TOÁN, ĐO BÓC KHỐI LƯỢNG HOÀN THÀNH ĐƯA VÀO QUYẾT TOÁN</v>
          </cell>
        </row>
      </sheetData>
      <sheetData sheetId="4560">
        <row r="4">
          <cell r="A4" t="str">
            <v>BẢNG TÍNH TOÁN, ĐO BÓC KHỐI LƯỢNG HOÀN THÀNH ĐƯA VÀO QUYẾT TOÁN</v>
          </cell>
        </row>
      </sheetData>
      <sheetData sheetId="4561">
        <row r="4">
          <cell r="A4" t="str">
            <v>BẢNG TÍNH TOÁN, ĐO BÓC KHỐI LƯỢNG HOÀN THÀNH ĐƯA VÀO QUYẾT TOÁN</v>
          </cell>
        </row>
      </sheetData>
      <sheetData sheetId="4562">
        <row r="4">
          <cell r="A4" t="str">
            <v>BẢNG TÍNH TOÁN, ĐO BÓC KHỐI LƯỢNG HOÀN THÀNH ĐƯA VÀO QUYẾT TOÁN</v>
          </cell>
        </row>
      </sheetData>
      <sheetData sheetId="4563">
        <row r="4">
          <cell r="A4" t="str">
            <v>BẢNG TÍNH TOÁN, ĐO BÓC KHỐI LƯỢNG HOÀN THÀNH ĐƯA VÀO QUYẾT TOÁN</v>
          </cell>
        </row>
      </sheetData>
      <sheetData sheetId="4564">
        <row r="4">
          <cell r="A4" t="str">
            <v>BẢNG TÍNH TOÁN, ĐO BÓC KHỐI LƯỢNG HOÀN THÀNH ĐƯA VÀO QUYẾT TOÁN</v>
          </cell>
        </row>
      </sheetData>
      <sheetData sheetId="4565">
        <row r="4">
          <cell r="A4" t="str">
            <v>BẢNG TÍNH TOÁN, ĐO BÓC KHỐI LƯỢNG HOÀN THÀNH ĐƯA VÀO QUYẾT TOÁN</v>
          </cell>
        </row>
      </sheetData>
      <sheetData sheetId="4566">
        <row r="4">
          <cell r="A4" t="str">
            <v>BẢNG TÍNH TOÁN, ĐO BÓC KHỐI LƯỢNG HOÀN THÀNH ĐƯA VÀO QUYẾT TOÁN</v>
          </cell>
        </row>
      </sheetData>
      <sheetData sheetId="4567">
        <row r="4">
          <cell r="A4" t="str">
            <v>BẢNG TÍNH TOÁN, ĐO BÓC KHỐI LƯỢNG HOÀN THÀNH ĐƯA VÀO QUYẾT TOÁN</v>
          </cell>
        </row>
      </sheetData>
      <sheetData sheetId="4568">
        <row r="4">
          <cell r="A4" t="str">
            <v>BẢNG TÍNH TOÁN, ĐO BÓC KHỐI LƯỢNG HOÀN THÀNH ĐƯA VÀO QUYẾT TOÁN</v>
          </cell>
        </row>
      </sheetData>
      <sheetData sheetId="4569">
        <row r="4">
          <cell r="A4" t="str">
            <v>BẢNG TÍNH TOÁN, ĐO BÓC KHỐI LƯỢNG HOÀN THÀNH ĐƯA VÀO QUYẾT TOÁN</v>
          </cell>
        </row>
      </sheetData>
      <sheetData sheetId="4570">
        <row r="4">
          <cell r="A4" t="str">
            <v>BẢNG TÍNH TOÁN, ĐO BÓC KHỐI LƯỢNG HOÀN THÀNH ĐƯA VÀO QUYẾT TOÁN</v>
          </cell>
        </row>
      </sheetData>
      <sheetData sheetId="4571">
        <row r="4">
          <cell r="A4" t="str">
            <v>BẢNG TÍNH TOÁN, ĐO BÓC KHỐI LƯỢNG HOÀN THÀNH ĐƯA VÀO QUYẾT TOÁN</v>
          </cell>
        </row>
      </sheetData>
      <sheetData sheetId="4572">
        <row r="4">
          <cell r="A4" t="str">
            <v>BẢNG TÍNH TOÁN, ĐO BÓC KHỐI LƯỢNG HOÀN THÀNH ĐƯA VÀO QUYẾT TOÁN</v>
          </cell>
        </row>
      </sheetData>
      <sheetData sheetId="4573">
        <row r="4">
          <cell r="A4" t="str">
            <v>BẢNG TÍNH TOÁN, ĐO BÓC KHỐI LƯỢNG HOÀN THÀNH ĐƯA VÀO QUYẾT TOÁN</v>
          </cell>
        </row>
      </sheetData>
      <sheetData sheetId="4574">
        <row r="4">
          <cell r="A4" t="str">
            <v>BẢNG TÍNH TOÁN, ĐO BÓC KHỐI LƯỢNG HOÀN THÀNH ĐƯA VÀO QUYẾT TOÁN</v>
          </cell>
        </row>
      </sheetData>
      <sheetData sheetId="4575">
        <row r="4">
          <cell r="A4" t="str">
            <v>BẢNG TÍNH TOÁN, ĐO BÓC KHỐI LƯỢNG HOÀN THÀNH ĐƯA VÀO QUYẾT TOÁN</v>
          </cell>
        </row>
      </sheetData>
      <sheetData sheetId="4576">
        <row r="4">
          <cell r="A4" t="str">
            <v>BẢNG TÍNH TOÁN, ĐO BÓC KHỐI LƯỢNG HOÀN THÀNH ĐƯA VÀO QUYẾT TOÁN</v>
          </cell>
        </row>
      </sheetData>
      <sheetData sheetId="4577">
        <row r="4">
          <cell r="A4" t="str">
            <v>BẢNG TÍNH TOÁN, ĐO BÓC KHỐI LƯỢNG HOÀN THÀNH ĐƯA VÀO QUYẾT TOÁN</v>
          </cell>
        </row>
      </sheetData>
      <sheetData sheetId="4578">
        <row r="4">
          <cell r="A4" t="str">
            <v>BẢNG TÍNH TOÁN, ĐO BÓC KHỐI LƯỢNG HOÀN THÀNH ĐƯA VÀO QUYẾT TOÁN</v>
          </cell>
        </row>
      </sheetData>
      <sheetData sheetId="4579">
        <row r="4">
          <cell r="A4" t="str">
            <v>BẢNG TÍNH TOÁN, ĐO BÓC KHỐI LƯỢNG HOÀN THÀNH ĐƯA VÀO QUYẾT TOÁN</v>
          </cell>
        </row>
      </sheetData>
      <sheetData sheetId="4580">
        <row r="4">
          <cell r="A4" t="str">
            <v>BẢNG TÍNH TOÁN, ĐO BÓC KHỐI LƯỢNG HOÀN THÀNH ĐƯA VÀO QUYẾT TOÁN</v>
          </cell>
        </row>
      </sheetData>
      <sheetData sheetId="4581">
        <row r="4">
          <cell r="A4" t="str">
            <v>BẢNG TÍNH TOÁN, ĐO BÓC KHỐI LƯỢNG HOÀN THÀNH ĐƯA VÀO QUYẾT TOÁN</v>
          </cell>
        </row>
      </sheetData>
      <sheetData sheetId="4582">
        <row r="4">
          <cell r="A4" t="str">
            <v>BẢNG TÍNH TOÁN, ĐO BÓC KHỐI LƯỢNG HOÀN THÀNH ĐƯA VÀO QUYẾT TOÁN</v>
          </cell>
        </row>
      </sheetData>
      <sheetData sheetId="4583">
        <row r="4">
          <cell r="A4" t="str">
            <v>BẢNG TÍNH TOÁN, ĐO BÓC KHỐI LƯỢNG HOÀN THÀNH ĐƯA VÀO QUYẾT TOÁN</v>
          </cell>
        </row>
      </sheetData>
      <sheetData sheetId="4584">
        <row r="4">
          <cell r="A4" t="str">
            <v>BẢNG TÍNH TOÁN, ĐO BÓC KHỐI LƯỢNG HOÀN THÀNH ĐƯA VÀO QUYẾT TOÁN</v>
          </cell>
        </row>
      </sheetData>
      <sheetData sheetId="4585">
        <row r="4">
          <cell r="A4" t="str">
            <v>BẢNG TÍNH TOÁN, ĐO BÓC KHỐI LƯỢNG HOÀN THÀNH ĐƯA VÀO QUYẾT TOÁN</v>
          </cell>
        </row>
      </sheetData>
      <sheetData sheetId="4586">
        <row r="4">
          <cell r="A4" t="str">
            <v>BẢNG TÍNH TOÁN, ĐO BÓC KHỐI LƯỢNG HOÀN THÀNH ĐƯA VÀO QUYẾT TOÁN</v>
          </cell>
        </row>
      </sheetData>
      <sheetData sheetId="4587">
        <row r="4">
          <cell r="A4" t="str">
            <v>BẢNG TÍNH TOÁN, ĐO BÓC KHỐI LƯỢNG HOÀN THÀNH ĐƯA VÀO QUYẾT TOÁN</v>
          </cell>
        </row>
      </sheetData>
      <sheetData sheetId="4588">
        <row r="4">
          <cell r="A4" t="str">
            <v>BẢNG TÍNH TOÁN, ĐO BÓC KHỐI LƯỢNG HOÀN THÀNH ĐƯA VÀO QUYẾT TOÁN</v>
          </cell>
        </row>
      </sheetData>
      <sheetData sheetId="4589">
        <row r="4">
          <cell r="A4" t="str">
            <v>BẢNG TÍNH TOÁN, ĐO BÓC KHỐI LƯỢNG HOÀN THÀNH ĐƯA VÀO QUYẾT TOÁN</v>
          </cell>
        </row>
      </sheetData>
      <sheetData sheetId="4590">
        <row r="4">
          <cell r="A4" t="str">
            <v>BẢNG TÍNH TOÁN, ĐO BÓC KHỐI LƯỢNG HOÀN THÀNH ĐƯA VÀO QUYẾT TOÁN</v>
          </cell>
        </row>
      </sheetData>
      <sheetData sheetId="4591">
        <row r="4">
          <cell r="A4" t="str">
            <v>BẢNG TÍNH TOÁN, ĐO BÓC KHỐI LƯỢNG HOÀN THÀNH ĐƯA VÀO QUYẾT TOÁN</v>
          </cell>
        </row>
      </sheetData>
      <sheetData sheetId="4592">
        <row r="4">
          <cell r="A4" t="str">
            <v>BẢNG TÍNH TOÁN, ĐO BÓC KHỐI LƯỢNG HOÀN THÀNH ĐƯA VÀO QUYẾT TOÁN</v>
          </cell>
        </row>
      </sheetData>
      <sheetData sheetId="4593">
        <row r="4">
          <cell r="A4" t="str">
            <v>BẢNG TÍNH TOÁN, ĐO BÓC KHỐI LƯỢNG HOÀN THÀNH ĐƯA VÀO QUYẾT TOÁN</v>
          </cell>
        </row>
      </sheetData>
      <sheetData sheetId="4594">
        <row r="4">
          <cell r="A4" t="str">
            <v>BẢNG TÍNH TOÁN, ĐO BÓC KHỐI LƯỢNG HOÀN THÀNH ĐƯA VÀO QUYẾT TOÁN</v>
          </cell>
        </row>
      </sheetData>
      <sheetData sheetId="4595">
        <row r="4">
          <cell r="A4" t="str">
            <v>BẢNG TÍNH TOÁN, ĐO BÓC KHỐI LƯỢNG HOÀN THÀNH ĐƯA VÀO QUYẾT TOÁN</v>
          </cell>
        </row>
      </sheetData>
      <sheetData sheetId="4596">
        <row r="4">
          <cell r="A4" t="str">
            <v>BẢNG TÍNH TOÁN, ĐO BÓC KHỐI LƯỢNG HOÀN THÀNH ĐƯA VÀO QUYẾT TOÁN</v>
          </cell>
        </row>
      </sheetData>
      <sheetData sheetId="4597">
        <row r="4">
          <cell r="A4" t="str">
            <v>BẢNG TÍNH TOÁN, ĐO BÓC KHỐI LƯỢNG HOÀN THÀNH ĐƯA VÀO QUYẾT TOÁN</v>
          </cell>
        </row>
      </sheetData>
      <sheetData sheetId="4598">
        <row r="4">
          <cell r="A4" t="str">
            <v>BẢNG TÍNH TOÁN, ĐO BÓC KHỐI LƯỢNG HOÀN THÀNH ĐƯA VÀO QUYẾT TOÁN</v>
          </cell>
        </row>
      </sheetData>
      <sheetData sheetId="4599">
        <row r="4">
          <cell r="A4" t="str">
            <v>BẢNG TÍNH TOÁN, ĐO BÓC KHỐI LƯỢNG HOÀN THÀNH ĐƯA VÀO QUYẾT TOÁN</v>
          </cell>
        </row>
      </sheetData>
      <sheetData sheetId="4600">
        <row r="4">
          <cell r="A4" t="str">
            <v>BẢNG TÍNH TOÁN, ĐO BÓC KHỐI LƯỢNG HOÀN THÀNH ĐƯA VÀO QUYẾT TOÁN</v>
          </cell>
        </row>
      </sheetData>
      <sheetData sheetId="4601">
        <row r="4">
          <cell r="A4" t="str">
            <v>BẢNG TÍNH TOÁN, ĐO BÓC KHỐI LƯỢNG HOÀN THÀNH ĐƯA VÀO QUYẾT TOÁN</v>
          </cell>
        </row>
      </sheetData>
      <sheetData sheetId="4602">
        <row r="4">
          <cell r="A4" t="str">
            <v>BẢNG TÍNH TOÁN, ĐO BÓC KHỐI LƯỢNG HOÀN THÀNH ĐƯA VÀO QUYẾT TOÁN</v>
          </cell>
        </row>
      </sheetData>
      <sheetData sheetId="4603">
        <row r="4">
          <cell r="A4" t="str">
            <v>BẢNG TÍNH TOÁN, ĐO BÓC KHỐI LƯỢNG HOÀN THÀNH ĐƯA VÀO QUYẾT TOÁN</v>
          </cell>
        </row>
      </sheetData>
      <sheetData sheetId="4604">
        <row r="4">
          <cell r="A4" t="str">
            <v>BẢNG TÍNH TOÁN, ĐO BÓC KHỐI LƯỢNG HOÀN THÀNH ĐƯA VÀO QUYẾT TOÁN</v>
          </cell>
        </row>
      </sheetData>
      <sheetData sheetId="4605">
        <row r="4">
          <cell r="A4" t="str">
            <v>BẢNG TÍNH TOÁN, ĐO BÓC KHỐI LƯỢNG HOÀN THÀNH ĐƯA VÀO QUYẾT TOÁN</v>
          </cell>
        </row>
      </sheetData>
      <sheetData sheetId="4606">
        <row r="4">
          <cell r="A4" t="str">
            <v>BẢNG TÍNH TOÁN, ĐO BÓC KHỐI LƯỢNG HOÀN THÀNH ĐƯA VÀO QUYẾT TOÁN</v>
          </cell>
        </row>
      </sheetData>
      <sheetData sheetId="4607">
        <row r="4">
          <cell r="A4" t="str">
            <v>BẢNG TÍNH TOÁN, ĐO BÓC KHỐI LƯỢNG HOÀN THÀNH ĐƯA VÀO QUYẾT TOÁN</v>
          </cell>
        </row>
      </sheetData>
      <sheetData sheetId="4608">
        <row r="4">
          <cell r="A4" t="str">
            <v>BẢNG TÍNH TOÁN, ĐO BÓC KHỐI LƯỢNG HOÀN THÀNH ĐƯA VÀO QUYẾT TOÁN</v>
          </cell>
        </row>
      </sheetData>
      <sheetData sheetId="4609">
        <row r="4">
          <cell r="A4" t="str">
            <v>BẢNG TÍNH TOÁN, ĐO BÓC KHỐI LƯỢNG HOÀN THÀNH ĐƯA VÀO QUYẾT TOÁN</v>
          </cell>
        </row>
      </sheetData>
      <sheetData sheetId="4610">
        <row r="4">
          <cell r="A4" t="str">
            <v>BẢNG TÍNH TOÁN, ĐO BÓC KHỐI LƯỢNG HOÀN THÀNH ĐƯA VÀO QUYẾT TOÁN</v>
          </cell>
        </row>
      </sheetData>
      <sheetData sheetId="4611">
        <row r="4">
          <cell r="A4" t="str">
            <v>BẢNG TÍNH TOÁN, ĐO BÓC KHỐI LƯỢNG HOÀN THÀNH ĐƯA VÀO QUYẾT TOÁN</v>
          </cell>
        </row>
      </sheetData>
      <sheetData sheetId="4612">
        <row r="4">
          <cell r="A4" t="str">
            <v>BẢNG TÍNH TOÁN, ĐO BÓC KHỐI LƯỢNG HOÀN THÀNH ĐƯA VÀO QUYẾT TOÁN</v>
          </cell>
        </row>
      </sheetData>
      <sheetData sheetId="4613">
        <row r="4">
          <cell r="A4" t="str">
            <v>BẢNG TÍNH TOÁN, ĐO BÓC KHỐI LƯỢNG HOÀN THÀNH ĐƯA VÀO QUYẾT TOÁN</v>
          </cell>
        </row>
      </sheetData>
      <sheetData sheetId="4614">
        <row r="4">
          <cell r="A4" t="str">
            <v>BẢNG TÍNH TOÁN, ĐO BÓC KHỐI LƯỢNG HOÀN THÀNH ĐƯA VÀO QUYẾT TOÁN</v>
          </cell>
        </row>
      </sheetData>
      <sheetData sheetId="4615">
        <row r="4">
          <cell r="A4" t="str">
            <v>BẢNG TÍNH TOÁN, ĐO BÓC KHỐI LƯỢNG HOÀN THÀNH ĐƯA VÀO QUYẾT TOÁN</v>
          </cell>
        </row>
      </sheetData>
      <sheetData sheetId="4616">
        <row r="4">
          <cell r="A4" t="str">
            <v>BẢNG TÍNH TOÁN, ĐO BÓC KHỐI LƯỢNG HOÀN THÀNH ĐƯA VÀO QUYẾT TOÁN</v>
          </cell>
        </row>
      </sheetData>
      <sheetData sheetId="4617">
        <row r="4">
          <cell r="A4" t="str">
            <v>BẢNG TÍNH TOÁN, ĐO BÓC KHỐI LƯỢNG HOÀN THÀNH ĐƯA VÀO QUYẾT TOÁN</v>
          </cell>
        </row>
      </sheetData>
      <sheetData sheetId="4618">
        <row r="4">
          <cell r="A4" t="str">
            <v>BẢNG TÍNH TOÁN, ĐO BÓC KHỐI LƯỢNG HOÀN THÀNH ĐƯA VÀO QUYẾT TOÁN</v>
          </cell>
        </row>
      </sheetData>
      <sheetData sheetId="4619">
        <row r="4">
          <cell r="A4" t="str">
            <v>BẢNG TÍNH TOÁN, ĐO BÓC KHỐI LƯỢNG HOÀN THÀNH ĐƯA VÀO QUYẾT TOÁN</v>
          </cell>
        </row>
      </sheetData>
      <sheetData sheetId="4620">
        <row r="4">
          <cell r="A4" t="str">
            <v>BẢNG TÍNH TOÁN, ĐO BÓC KHỐI LƯỢNG HOÀN THÀNH ĐƯA VÀO QUYẾT TOÁN</v>
          </cell>
        </row>
      </sheetData>
      <sheetData sheetId="4621">
        <row r="4">
          <cell r="A4" t="str">
            <v>BẢNG TÍNH TOÁN, ĐO BÓC KHỐI LƯỢNG HOÀN THÀNH ĐƯA VÀO QUYẾT TOÁN</v>
          </cell>
        </row>
      </sheetData>
      <sheetData sheetId="4622">
        <row r="4">
          <cell r="A4" t="str">
            <v>BẢNG TÍNH TOÁN, ĐO BÓC KHỐI LƯỢNG HOÀN THÀNH ĐƯA VÀO QUYẾT TOÁN</v>
          </cell>
        </row>
      </sheetData>
      <sheetData sheetId="4623">
        <row r="4">
          <cell r="A4" t="str">
            <v>BẢNG TÍNH TOÁN, ĐO BÓC KHỐI LƯỢNG HOÀN THÀNH ĐƯA VÀO QUYẾT TOÁN</v>
          </cell>
        </row>
      </sheetData>
      <sheetData sheetId="4624">
        <row r="4">
          <cell r="A4" t="str">
            <v>BẢNG TÍNH TOÁN, ĐO BÓC KHỐI LƯỢNG HOÀN THÀNH ĐƯA VÀO QUYẾT TOÁN</v>
          </cell>
        </row>
      </sheetData>
      <sheetData sheetId="4625">
        <row r="4">
          <cell r="A4" t="str">
            <v>BẢNG TÍNH TOÁN, ĐO BÓC KHỐI LƯỢNG HOÀN THÀNH ĐƯA VÀO QUYẾT TOÁN</v>
          </cell>
        </row>
      </sheetData>
      <sheetData sheetId="4626">
        <row r="4">
          <cell r="A4" t="str">
            <v>BẢNG TÍNH TOÁN, ĐO BÓC KHỐI LƯỢNG HOÀN THÀNH ĐƯA VÀO QUYẾT TOÁN</v>
          </cell>
        </row>
      </sheetData>
      <sheetData sheetId="4627">
        <row r="4">
          <cell r="A4" t="str">
            <v>BẢNG TÍNH TOÁN, ĐO BÓC KHỐI LƯỢNG HOÀN THÀNH ĐƯA VÀO QUYẾT TOÁN</v>
          </cell>
        </row>
      </sheetData>
      <sheetData sheetId="4628">
        <row r="4">
          <cell r="A4" t="str">
            <v>BẢNG TÍNH TOÁN, ĐO BÓC KHỐI LƯỢNG HOÀN THÀNH ĐƯA VÀO QUYẾT TOÁN</v>
          </cell>
        </row>
      </sheetData>
      <sheetData sheetId="4629">
        <row r="4">
          <cell r="A4" t="str">
            <v>BẢNG TÍNH TOÁN, ĐO BÓC KHỐI LƯỢNG HOÀN THÀNH ĐƯA VÀO QUYẾT TOÁN</v>
          </cell>
        </row>
      </sheetData>
      <sheetData sheetId="4630">
        <row r="4">
          <cell r="A4" t="str">
            <v>BẢNG TÍNH TOÁN, ĐO BÓC KHỐI LƯỢNG HOÀN THÀNH ĐƯA VÀO QUYẾT TOÁN</v>
          </cell>
        </row>
      </sheetData>
      <sheetData sheetId="4631">
        <row r="4">
          <cell r="A4" t="str">
            <v>BẢNG TÍNH TOÁN, ĐO BÓC KHỐI LƯỢNG HOÀN THÀNH ĐƯA VÀO QUYẾT TOÁN</v>
          </cell>
        </row>
      </sheetData>
      <sheetData sheetId="4632">
        <row r="4">
          <cell r="A4" t="str">
            <v>BẢNG TÍNH TOÁN, ĐO BÓC KHỐI LƯỢNG HOÀN THÀNH ĐƯA VÀO QUYẾT TOÁN</v>
          </cell>
        </row>
      </sheetData>
      <sheetData sheetId="4633">
        <row r="4">
          <cell r="A4" t="str">
            <v>BẢNG TÍNH TOÁN, ĐO BÓC KHỐI LƯỢNG HOÀN THÀNH ĐƯA VÀO QUYẾT TOÁN</v>
          </cell>
        </row>
      </sheetData>
      <sheetData sheetId="4634">
        <row r="4">
          <cell r="A4" t="str">
            <v>BẢNG TÍNH TOÁN, ĐO BÓC KHỐI LƯỢNG HOÀN THÀNH ĐƯA VÀO QUYẾT TOÁN</v>
          </cell>
        </row>
      </sheetData>
      <sheetData sheetId="4635">
        <row r="4">
          <cell r="A4" t="str">
            <v>BẢNG TÍNH TOÁN, ĐO BÓC KHỐI LƯỢNG HOÀN THÀNH ĐƯA VÀO QUYẾT TOÁN</v>
          </cell>
        </row>
      </sheetData>
      <sheetData sheetId="4636">
        <row r="4">
          <cell r="A4" t="str">
            <v>BẢNG TÍNH TOÁN, ĐO BÓC KHỐI LƯỢNG HOÀN THÀNH ĐƯA VÀO QUYẾT TOÁN</v>
          </cell>
        </row>
      </sheetData>
      <sheetData sheetId="4637">
        <row r="4">
          <cell r="A4" t="str">
            <v>BẢNG TÍNH TOÁN, ĐO BÓC KHỐI LƯỢNG HOÀN THÀNH ĐƯA VÀO QUYẾT TOÁN</v>
          </cell>
        </row>
      </sheetData>
      <sheetData sheetId="4638">
        <row r="4">
          <cell r="A4" t="str">
            <v>BẢNG TÍNH TOÁN, ĐO BÓC KHỐI LƯỢNG HOÀN THÀNH ĐƯA VÀO QUYẾT TOÁN</v>
          </cell>
        </row>
      </sheetData>
      <sheetData sheetId="4639">
        <row r="4">
          <cell r="A4" t="str">
            <v>BẢNG TÍNH TOÁN, ĐO BÓC KHỐI LƯỢNG HOÀN THÀNH ĐƯA VÀO QUYẾT TOÁN</v>
          </cell>
        </row>
      </sheetData>
      <sheetData sheetId="4640">
        <row r="4">
          <cell r="A4" t="str">
            <v>BẢNG TÍNH TOÁN, ĐO BÓC KHỐI LƯỢNG HOÀN THÀNH ĐƯA VÀO QUYẾT TOÁN</v>
          </cell>
        </row>
      </sheetData>
      <sheetData sheetId="4641">
        <row r="4">
          <cell r="A4" t="str">
            <v>BẢNG TÍNH TOÁN, ĐO BÓC KHỐI LƯỢNG HOÀN THÀNH ĐƯA VÀO QUYẾT TOÁN</v>
          </cell>
        </row>
      </sheetData>
      <sheetData sheetId="4642">
        <row r="4">
          <cell r="A4" t="str">
            <v>BẢNG TÍNH TOÁN, ĐO BÓC KHỐI LƯỢNG HOÀN THÀNH ĐƯA VÀO QUYẾT TOÁN</v>
          </cell>
        </row>
      </sheetData>
      <sheetData sheetId="4643">
        <row r="4">
          <cell r="A4" t="str">
            <v>BẢNG TÍNH TOÁN, ĐO BÓC KHỐI LƯỢNG HOÀN THÀNH ĐƯA VÀO QUYẾT TOÁN</v>
          </cell>
        </row>
      </sheetData>
      <sheetData sheetId="4644">
        <row r="4">
          <cell r="A4" t="str">
            <v>BẢNG TÍNH TOÁN, ĐO BÓC KHỐI LƯỢNG HOÀN THÀNH ĐƯA VÀO QUYẾT TOÁN</v>
          </cell>
        </row>
      </sheetData>
      <sheetData sheetId="4645">
        <row r="4">
          <cell r="A4" t="str">
            <v>BẢNG TÍNH TOÁN, ĐO BÓC KHỐI LƯỢNG HOÀN THÀNH ĐƯA VÀO QUYẾT TOÁN</v>
          </cell>
        </row>
      </sheetData>
      <sheetData sheetId="4646">
        <row r="4">
          <cell r="A4" t="str">
            <v>BẢNG TÍNH TOÁN, ĐO BÓC KHỐI LƯỢNG HOÀN THÀNH ĐƯA VÀO QUYẾT TOÁN</v>
          </cell>
        </row>
      </sheetData>
      <sheetData sheetId="4647">
        <row r="4">
          <cell r="A4" t="str">
            <v>BẢNG TÍNH TOÁN, ĐO BÓC KHỐI LƯỢNG HOÀN THÀNH ĐƯA VÀO QUYẾT TOÁN</v>
          </cell>
        </row>
      </sheetData>
      <sheetData sheetId="4648">
        <row r="4">
          <cell r="A4" t="str">
            <v>BẢNG TÍNH TOÁN, ĐO BÓC KHỐI LƯỢNG HOÀN THÀNH ĐƯA VÀO QUYẾT TOÁN</v>
          </cell>
        </row>
      </sheetData>
      <sheetData sheetId="4649">
        <row r="4">
          <cell r="A4" t="str">
            <v>BẢNG TÍNH TOÁN, ĐO BÓC KHỐI LƯỢNG HOÀN THÀNH ĐƯA VÀO QUYẾT TOÁN</v>
          </cell>
        </row>
      </sheetData>
      <sheetData sheetId="4650">
        <row r="4">
          <cell r="A4" t="str">
            <v>BẢNG TÍNH TOÁN, ĐO BÓC KHỐI LƯỢNG HOÀN THÀNH ĐƯA VÀO QUYẾT TOÁN</v>
          </cell>
        </row>
      </sheetData>
      <sheetData sheetId="4651">
        <row r="4">
          <cell r="A4" t="str">
            <v>BẢNG TÍNH TOÁN, ĐO BÓC KHỐI LƯỢNG HOÀN THÀNH ĐƯA VÀO QUYẾT TOÁN</v>
          </cell>
        </row>
      </sheetData>
      <sheetData sheetId="4652">
        <row r="4">
          <cell r="A4" t="str">
            <v>BẢNG TÍNH TOÁN, ĐO BÓC KHỐI LƯỢNG HOÀN THÀNH ĐƯA VÀO QUYẾT TOÁN</v>
          </cell>
        </row>
      </sheetData>
      <sheetData sheetId="4653">
        <row r="4">
          <cell r="A4" t="str">
            <v>BẢNG TÍNH TOÁN, ĐO BÓC KHỐI LƯỢNG HOÀN THÀNH ĐƯA VÀO QUYẾT TOÁN</v>
          </cell>
        </row>
      </sheetData>
      <sheetData sheetId="4654">
        <row r="4">
          <cell r="A4" t="str">
            <v>BẢNG TÍNH TOÁN, ĐO BÓC KHỐI LƯỢNG HOÀN THÀNH ĐƯA VÀO QUYẾT TOÁN</v>
          </cell>
        </row>
      </sheetData>
      <sheetData sheetId="4655">
        <row r="4">
          <cell r="A4" t="str">
            <v>BẢNG TÍNH TOÁN, ĐO BÓC KHỐI LƯỢNG HOÀN THÀNH ĐƯA VÀO QUYẾT TOÁN</v>
          </cell>
        </row>
      </sheetData>
      <sheetData sheetId="4656">
        <row r="4">
          <cell r="A4" t="str">
            <v>BẢNG TÍNH TOÁN, ĐO BÓC KHỐI LƯỢNG HOÀN THÀNH ĐƯA VÀO QUYẾT TOÁN</v>
          </cell>
        </row>
      </sheetData>
      <sheetData sheetId="4657">
        <row r="4">
          <cell r="A4" t="str">
            <v>BẢNG TÍNH TOÁN, ĐO BÓC KHỐI LƯỢNG HOÀN THÀNH ĐƯA VÀO QUYẾT TOÁN</v>
          </cell>
        </row>
      </sheetData>
      <sheetData sheetId="4658">
        <row r="4">
          <cell r="A4" t="str">
            <v>BẢNG TÍNH TOÁN, ĐO BÓC KHỐI LƯỢNG HOÀN THÀNH ĐƯA VÀO QUYẾT TOÁN</v>
          </cell>
        </row>
      </sheetData>
      <sheetData sheetId="4659">
        <row r="4">
          <cell r="A4" t="str">
            <v>BẢNG TÍNH TOÁN, ĐO BÓC KHỐI LƯỢNG HOÀN THÀNH ĐƯA VÀO QUYẾT TOÁN</v>
          </cell>
        </row>
      </sheetData>
      <sheetData sheetId="4660">
        <row r="4">
          <cell r="A4" t="str">
            <v>BẢNG TÍNH TOÁN, ĐO BÓC KHỐI LƯỢNG HOÀN THÀNH ĐƯA VÀO QUYẾT TOÁN</v>
          </cell>
        </row>
      </sheetData>
      <sheetData sheetId="4661">
        <row r="4">
          <cell r="A4" t="str">
            <v>BẢNG TÍNH TOÁN, ĐO BÓC KHỐI LƯỢNG HOÀN THÀNH ĐƯA VÀO QUYẾT TOÁN</v>
          </cell>
        </row>
      </sheetData>
      <sheetData sheetId="4662">
        <row r="4">
          <cell r="A4" t="str">
            <v>BẢNG TÍNH TOÁN, ĐO BÓC KHỐI LƯỢNG HOÀN THÀNH ĐƯA VÀO QUYẾT TOÁN</v>
          </cell>
        </row>
      </sheetData>
      <sheetData sheetId="4663">
        <row r="4">
          <cell r="A4" t="str">
            <v>BẢNG TÍNH TOÁN, ĐO BÓC KHỐI LƯỢNG HOÀN THÀNH ĐƯA VÀO QUYẾT TOÁN</v>
          </cell>
        </row>
      </sheetData>
      <sheetData sheetId="4664">
        <row r="4">
          <cell r="A4" t="str">
            <v>BẢNG TÍNH TOÁN, ĐO BÓC KHỐI LƯỢNG HOÀN THÀNH ĐƯA VÀO QUYẾT TOÁN</v>
          </cell>
        </row>
      </sheetData>
      <sheetData sheetId="4665">
        <row r="4">
          <cell r="A4" t="str">
            <v>BẢNG TÍNH TOÁN, ĐO BÓC KHỐI LƯỢNG HOÀN THÀNH ĐƯA VÀO QUYẾT TOÁN</v>
          </cell>
        </row>
      </sheetData>
      <sheetData sheetId="4666">
        <row r="4">
          <cell r="A4" t="str">
            <v>BẢNG TÍNH TOÁN, ĐO BÓC KHỐI LƯỢNG HOÀN THÀNH ĐƯA VÀO QUYẾT TOÁN</v>
          </cell>
        </row>
      </sheetData>
      <sheetData sheetId="4667">
        <row r="4">
          <cell r="A4" t="str">
            <v>BẢNG TÍNH TOÁN, ĐO BÓC KHỐI LƯỢNG HOÀN THÀNH ĐƯA VÀO QUYẾT TOÁN</v>
          </cell>
        </row>
      </sheetData>
      <sheetData sheetId="4668">
        <row r="4">
          <cell r="A4" t="str">
            <v>BẢNG TÍNH TOÁN, ĐO BÓC KHỐI LƯỢNG HOÀN THÀNH ĐƯA VÀO QUYẾT TOÁN</v>
          </cell>
        </row>
      </sheetData>
      <sheetData sheetId="4669">
        <row r="4">
          <cell r="A4" t="str">
            <v>BẢNG TÍNH TOÁN, ĐO BÓC KHỐI LƯỢNG HOÀN THÀNH ĐƯA VÀO QUYẾT TOÁN</v>
          </cell>
        </row>
      </sheetData>
      <sheetData sheetId="4670">
        <row r="4">
          <cell r="A4" t="str">
            <v>BẢNG TÍNH TOÁN, ĐO BÓC KHỐI LƯỢNG HOÀN THÀNH ĐƯA VÀO QUYẾT TOÁN</v>
          </cell>
        </row>
      </sheetData>
      <sheetData sheetId="4671">
        <row r="4">
          <cell r="A4" t="str">
            <v>BẢNG TÍNH TOÁN, ĐO BÓC KHỐI LƯỢNG HOÀN THÀNH ĐƯA VÀO QUYẾT TOÁN</v>
          </cell>
        </row>
      </sheetData>
      <sheetData sheetId="4672">
        <row r="4">
          <cell r="A4" t="str">
            <v>BẢNG TÍNH TOÁN, ĐO BÓC KHỐI LƯỢNG HOÀN THÀNH ĐƯA VÀO QUYẾT TOÁN</v>
          </cell>
        </row>
      </sheetData>
      <sheetData sheetId="4673">
        <row r="4">
          <cell r="A4" t="str">
            <v>BẢNG TÍNH TOÁN, ĐO BÓC KHỐI LƯỢNG HOÀN THÀNH ĐƯA VÀO QUYẾT TOÁN</v>
          </cell>
        </row>
      </sheetData>
      <sheetData sheetId="4674">
        <row r="4">
          <cell r="A4" t="str">
            <v>BẢNG TÍNH TOÁN, ĐO BÓC KHỐI LƯỢNG HOÀN THÀNH ĐƯA VÀO QUYẾT TOÁN</v>
          </cell>
        </row>
      </sheetData>
      <sheetData sheetId="4675">
        <row r="4">
          <cell r="A4" t="str">
            <v>BẢNG TÍNH TOÁN, ĐO BÓC KHỐI LƯỢNG HOÀN THÀNH ĐƯA VÀO QUYẾT TOÁN</v>
          </cell>
        </row>
      </sheetData>
      <sheetData sheetId="4676">
        <row r="4">
          <cell r="A4" t="str">
            <v>BẢNG TÍNH TOÁN, ĐO BÓC KHỐI LƯỢNG HOÀN THÀNH ĐƯA VÀO QUYẾT TOÁN</v>
          </cell>
        </row>
      </sheetData>
      <sheetData sheetId="4677">
        <row r="4">
          <cell r="A4" t="str">
            <v>BẢNG TÍNH TOÁN, ĐO BÓC KHỐI LƯỢNG HOÀN THÀNH ĐƯA VÀO QUYẾT TOÁN</v>
          </cell>
        </row>
      </sheetData>
      <sheetData sheetId="4678">
        <row r="4">
          <cell r="A4" t="str">
            <v>BẢNG TÍNH TOÁN, ĐO BÓC KHỐI LƯỢNG HOÀN THÀNH ĐƯA VÀO QUYẾT TOÁN</v>
          </cell>
        </row>
      </sheetData>
      <sheetData sheetId="4679">
        <row r="4">
          <cell r="A4" t="str">
            <v>BẢNG TÍNH TOÁN, ĐO BÓC KHỐI LƯỢNG HOÀN THÀNH ĐƯA VÀO QUYẾT TOÁN</v>
          </cell>
        </row>
      </sheetData>
      <sheetData sheetId="4680">
        <row r="4">
          <cell r="A4" t="str">
            <v>BẢNG TÍNH TOÁN, ĐO BÓC KHỐI LƯỢNG HOÀN THÀNH ĐƯA VÀO QUYẾT TOÁN</v>
          </cell>
        </row>
      </sheetData>
      <sheetData sheetId="4681">
        <row r="4">
          <cell r="A4" t="str">
            <v>BẢNG TÍNH TOÁN, ĐO BÓC KHỐI LƯỢNG HOÀN THÀNH ĐƯA VÀO QUYẾT TOÁN</v>
          </cell>
        </row>
      </sheetData>
      <sheetData sheetId="4682">
        <row r="4">
          <cell r="A4" t="str">
            <v>BẢNG TÍNH TOÁN, ĐO BÓC KHỐI LƯỢNG HOÀN THÀNH ĐƯA VÀO QUYẾT TOÁN</v>
          </cell>
        </row>
      </sheetData>
      <sheetData sheetId="4683">
        <row r="4">
          <cell r="A4" t="str">
            <v>BẢNG TÍNH TOÁN, ĐO BÓC KHỐI LƯỢNG HOÀN THÀNH ĐƯA VÀO QUYẾT TOÁN</v>
          </cell>
        </row>
      </sheetData>
      <sheetData sheetId="4684">
        <row r="4">
          <cell r="A4" t="str">
            <v>BẢNG TÍNH TOÁN, ĐO BÓC KHỐI LƯỢNG HOÀN THÀNH ĐƯA VÀO QUYẾT TOÁN</v>
          </cell>
        </row>
      </sheetData>
      <sheetData sheetId="4685">
        <row r="4">
          <cell r="A4" t="str">
            <v>BẢNG TÍNH TOÁN, ĐO BÓC KHỐI LƯỢNG HOÀN THÀNH ĐƯA VÀO QUYẾT TOÁN</v>
          </cell>
        </row>
      </sheetData>
      <sheetData sheetId="4686">
        <row r="4">
          <cell r="A4" t="str">
            <v>BẢNG TÍNH TOÁN, ĐO BÓC KHỐI LƯỢNG HOÀN THÀNH ĐƯA VÀO QUYẾT TOÁN</v>
          </cell>
        </row>
      </sheetData>
      <sheetData sheetId="4687">
        <row r="4">
          <cell r="A4" t="str">
            <v>BẢNG TÍNH TOÁN, ĐO BÓC KHỐI LƯỢNG HOÀN THÀNH ĐƯA VÀO QUYẾT TOÁN</v>
          </cell>
        </row>
      </sheetData>
      <sheetData sheetId="4688">
        <row r="4">
          <cell r="A4" t="str">
            <v>BẢNG TÍNH TOÁN, ĐO BÓC KHỐI LƯỢNG HOÀN THÀNH ĐƯA VÀO QUYẾT TOÁN</v>
          </cell>
        </row>
      </sheetData>
      <sheetData sheetId="4689">
        <row r="4">
          <cell r="A4" t="str">
            <v>BẢNG TÍNH TOÁN, ĐO BÓC KHỐI LƯỢNG HOÀN THÀNH ĐƯA VÀO QUYẾT TOÁN</v>
          </cell>
        </row>
      </sheetData>
      <sheetData sheetId="4690">
        <row r="4">
          <cell r="A4" t="str">
            <v>BẢNG TÍNH TOÁN, ĐO BÓC KHỐI LƯỢNG HOÀN THÀNH ĐƯA VÀO QUYẾT TOÁN</v>
          </cell>
        </row>
      </sheetData>
      <sheetData sheetId="4691">
        <row r="4">
          <cell r="A4" t="str">
            <v>BẢNG TÍNH TOÁN, ĐO BÓC KHỐI LƯỢNG HOÀN THÀNH ĐƯA VÀO QUYẾT TOÁN</v>
          </cell>
        </row>
      </sheetData>
      <sheetData sheetId="4692">
        <row r="4">
          <cell r="A4" t="str">
            <v>BẢNG TÍNH TOÁN, ĐO BÓC KHỐI LƯỢNG HOÀN THÀNH ĐƯA VÀO QUYẾT TOÁN</v>
          </cell>
        </row>
      </sheetData>
      <sheetData sheetId="4693">
        <row r="4">
          <cell r="A4" t="str">
            <v>BẢNG TÍNH TOÁN, ĐO BÓC KHỐI LƯỢNG HOÀN THÀNH ĐƯA VÀO QUYẾT TOÁN</v>
          </cell>
        </row>
      </sheetData>
      <sheetData sheetId="4694">
        <row r="4">
          <cell r="A4" t="str">
            <v>BẢNG TÍNH TOÁN, ĐO BÓC KHỐI LƯỢNG HOÀN THÀNH ĐƯA VÀO QUYẾT TOÁN</v>
          </cell>
        </row>
      </sheetData>
      <sheetData sheetId="4695">
        <row r="4">
          <cell r="A4" t="str">
            <v>BẢNG TÍNH TOÁN, ĐO BÓC KHỐI LƯỢNG HOÀN THÀNH ĐƯA VÀO QUYẾT TOÁN</v>
          </cell>
        </row>
      </sheetData>
      <sheetData sheetId="4696">
        <row r="4">
          <cell r="A4" t="str">
            <v>BẢNG TÍNH TOÁN, ĐO BÓC KHỐI LƯỢNG HOÀN THÀNH ĐƯA VÀO QUYẾT TOÁN</v>
          </cell>
        </row>
      </sheetData>
      <sheetData sheetId="4697">
        <row r="4">
          <cell r="A4" t="str">
            <v>BẢNG TÍNH TOÁN, ĐO BÓC KHỐI LƯỢNG HOÀN THÀNH ĐƯA VÀO QUYẾT TOÁN</v>
          </cell>
        </row>
      </sheetData>
      <sheetData sheetId="4698">
        <row r="4">
          <cell r="A4" t="str">
            <v>BẢNG TÍNH TOÁN, ĐO BÓC KHỐI LƯỢNG HOÀN THÀNH ĐƯA VÀO QUYẾT TOÁN</v>
          </cell>
        </row>
      </sheetData>
      <sheetData sheetId="4699">
        <row r="4">
          <cell r="A4" t="str">
            <v>BẢNG TÍNH TOÁN, ĐO BÓC KHỐI LƯỢNG HOÀN THÀNH ĐƯA VÀO QUYẾT TOÁN</v>
          </cell>
        </row>
      </sheetData>
      <sheetData sheetId="4700">
        <row r="4">
          <cell r="A4" t="str">
            <v>BẢNG TÍNH TOÁN, ĐO BÓC KHỐI LƯỢNG HOÀN THÀNH ĐƯA VÀO QUYẾT TOÁN</v>
          </cell>
        </row>
      </sheetData>
      <sheetData sheetId="4701">
        <row r="4">
          <cell r="A4" t="str">
            <v>BẢNG TÍNH TOÁN, ĐO BÓC KHỐI LƯỢNG HOÀN THÀNH ĐƯA VÀO QUYẾT TOÁN</v>
          </cell>
        </row>
      </sheetData>
      <sheetData sheetId="4702">
        <row r="4">
          <cell r="A4" t="str">
            <v>BẢNG TÍNH TOÁN, ĐO BÓC KHỐI LƯỢNG HOÀN THÀNH ĐƯA VÀO QUYẾT TOÁN</v>
          </cell>
        </row>
      </sheetData>
      <sheetData sheetId="4703">
        <row r="4">
          <cell r="A4" t="str">
            <v>BẢNG TÍNH TOÁN, ĐO BÓC KHỐI LƯỢNG HOÀN THÀNH ĐƯA VÀO QUYẾT TOÁN</v>
          </cell>
        </row>
      </sheetData>
      <sheetData sheetId="4704">
        <row r="4">
          <cell r="A4" t="str">
            <v>BẢNG TÍNH TOÁN, ĐO BÓC KHỐI LƯỢNG HOÀN THÀNH ĐƯA VÀO QUYẾT TOÁN</v>
          </cell>
        </row>
      </sheetData>
      <sheetData sheetId="4705">
        <row r="4">
          <cell r="A4" t="str">
            <v>BẢNG TÍNH TOÁN, ĐO BÓC KHỐI LƯỢNG HOÀN THÀNH ĐƯA VÀO QUYẾT TOÁN</v>
          </cell>
        </row>
      </sheetData>
      <sheetData sheetId="4706">
        <row r="4">
          <cell r="A4" t="str">
            <v>BẢNG TÍNH TOÁN, ĐO BÓC KHỐI LƯỢNG HOÀN THÀNH ĐƯA VÀO QUYẾT TOÁN</v>
          </cell>
        </row>
      </sheetData>
      <sheetData sheetId="4707">
        <row r="4">
          <cell r="A4" t="str">
            <v>BẢNG TÍNH TOÁN, ĐO BÓC KHỐI LƯỢNG HOÀN THÀNH ĐƯA VÀO QUYẾT TOÁN</v>
          </cell>
        </row>
      </sheetData>
      <sheetData sheetId="4708">
        <row r="4">
          <cell r="A4" t="str">
            <v>BẢNG TÍNH TOÁN, ĐO BÓC KHỐI LƯỢNG HOÀN THÀNH ĐƯA VÀO QUYẾT TOÁN</v>
          </cell>
        </row>
      </sheetData>
      <sheetData sheetId="4709">
        <row r="4">
          <cell r="A4" t="str">
            <v>BẢNG TÍNH TOÁN, ĐO BÓC KHỐI LƯỢNG HOÀN THÀNH ĐƯA VÀO QUYẾT TOÁN</v>
          </cell>
        </row>
      </sheetData>
      <sheetData sheetId="4710">
        <row r="4">
          <cell r="A4" t="str">
            <v>BẢNG TÍNH TOÁN, ĐO BÓC KHỐI LƯỢNG HOÀN THÀNH ĐƯA VÀO QUYẾT TOÁN</v>
          </cell>
        </row>
      </sheetData>
      <sheetData sheetId="4711">
        <row r="4">
          <cell r="A4" t="str">
            <v>BẢNG TÍNH TOÁN, ĐO BÓC KHỐI LƯỢNG HOÀN THÀNH ĐƯA VÀO QUYẾT TOÁN</v>
          </cell>
        </row>
      </sheetData>
      <sheetData sheetId="4712">
        <row r="4">
          <cell r="A4" t="str">
            <v>BẢNG TÍNH TOÁN, ĐO BÓC KHỐI LƯỢNG HOÀN THÀNH ĐƯA VÀO QUYẾT TOÁN</v>
          </cell>
        </row>
      </sheetData>
      <sheetData sheetId="4713">
        <row r="4">
          <cell r="A4" t="str">
            <v>BẢNG TÍNH TOÁN, ĐO BÓC KHỐI LƯỢNG HOÀN THÀNH ĐƯA VÀO QUYẾT TOÁN</v>
          </cell>
        </row>
      </sheetData>
      <sheetData sheetId="4714">
        <row r="4">
          <cell r="A4" t="str">
            <v>BẢNG TÍNH TOÁN, ĐO BÓC KHỐI LƯỢNG HOÀN THÀNH ĐƯA VÀO QUYẾT TOÁN</v>
          </cell>
        </row>
      </sheetData>
      <sheetData sheetId="4715">
        <row r="4">
          <cell r="A4" t="str">
            <v>BẢNG TÍNH TOÁN, ĐO BÓC KHỐI LƯỢNG HOÀN THÀNH ĐƯA VÀO QUYẾT TOÁN</v>
          </cell>
        </row>
      </sheetData>
      <sheetData sheetId="4716">
        <row r="4">
          <cell r="A4" t="str">
            <v>BẢNG TÍNH TOÁN, ĐO BÓC KHỐI LƯỢNG HOÀN THÀNH ĐƯA VÀO QUYẾT TOÁN</v>
          </cell>
        </row>
      </sheetData>
      <sheetData sheetId="4717">
        <row r="4">
          <cell r="A4" t="str">
            <v>BẢNG TÍNH TOÁN, ĐO BÓC KHỐI LƯỢNG HOÀN THÀNH ĐƯA VÀO QUYẾT TOÁN</v>
          </cell>
        </row>
      </sheetData>
      <sheetData sheetId="4718">
        <row r="4">
          <cell r="A4" t="str">
            <v>BẢNG TÍNH TOÁN, ĐO BÓC KHỐI LƯỢNG HOÀN THÀNH ĐƯA VÀO QUYẾT TOÁN</v>
          </cell>
        </row>
      </sheetData>
      <sheetData sheetId="4719">
        <row r="4">
          <cell r="A4" t="str">
            <v>BẢNG TÍNH TOÁN, ĐO BÓC KHỐI LƯỢNG HOÀN THÀNH ĐƯA VÀO QUYẾT TOÁN</v>
          </cell>
        </row>
      </sheetData>
      <sheetData sheetId="4720">
        <row r="4">
          <cell r="A4" t="str">
            <v>BẢNG TÍNH TOÁN, ĐO BÓC KHỐI LƯỢNG HOÀN THÀNH ĐƯA VÀO QUYẾT TOÁN</v>
          </cell>
        </row>
      </sheetData>
      <sheetData sheetId="4721">
        <row r="4">
          <cell r="A4" t="str">
            <v>BẢNG TÍNH TOÁN, ĐO BÓC KHỐI LƯỢNG HOÀN THÀNH ĐƯA VÀO QUYẾT TOÁN</v>
          </cell>
        </row>
      </sheetData>
      <sheetData sheetId="4722">
        <row r="4">
          <cell r="A4" t="str">
            <v>BẢNG TÍNH TOÁN, ĐO BÓC KHỐI LƯỢNG HOÀN THÀNH ĐƯA VÀO QUYẾT TOÁN</v>
          </cell>
        </row>
      </sheetData>
      <sheetData sheetId="4723">
        <row r="4">
          <cell r="A4" t="str">
            <v>BẢNG TÍNH TOÁN, ĐO BÓC KHỐI LƯỢNG HOÀN THÀNH ĐƯA VÀO QUYẾT TOÁN</v>
          </cell>
        </row>
      </sheetData>
      <sheetData sheetId="4724">
        <row r="4">
          <cell r="A4" t="str">
            <v>BẢNG TÍNH TOÁN, ĐO BÓC KHỐI LƯỢNG HOÀN THÀNH ĐƯA VÀO QUYẾT TOÁN</v>
          </cell>
        </row>
      </sheetData>
      <sheetData sheetId="4725">
        <row r="4">
          <cell r="A4" t="str">
            <v>BẢNG TÍNH TOÁN, ĐO BÓC KHỐI LƯỢNG HOÀN THÀNH ĐƯA VÀO QUYẾT TOÁN</v>
          </cell>
        </row>
      </sheetData>
      <sheetData sheetId="4726">
        <row r="4">
          <cell r="A4" t="str">
            <v>BẢNG TÍNH TOÁN, ĐO BÓC KHỐI LƯỢNG HOÀN THÀNH ĐƯA VÀO QUYẾT TOÁN</v>
          </cell>
        </row>
      </sheetData>
      <sheetData sheetId="4727">
        <row r="4">
          <cell r="A4" t="str">
            <v>BẢNG TÍNH TOÁN, ĐO BÓC KHỐI LƯỢNG HOÀN THÀNH ĐƯA VÀO QUYẾT TOÁN</v>
          </cell>
        </row>
      </sheetData>
      <sheetData sheetId="4728">
        <row r="4">
          <cell r="A4" t="str">
            <v>BẢNG TÍNH TOÁN, ĐO BÓC KHỐI LƯỢNG HOÀN THÀNH ĐƯA VÀO QUYẾT TOÁN</v>
          </cell>
        </row>
      </sheetData>
      <sheetData sheetId="4729">
        <row r="4">
          <cell r="A4" t="str">
            <v>BẢNG TÍNH TOÁN, ĐO BÓC KHỐI LƯỢNG HOÀN THÀNH ĐƯA VÀO QUYẾT TOÁN</v>
          </cell>
        </row>
      </sheetData>
      <sheetData sheetId="4730">
        <row r="4">
          <cell r="A4" t="str">
            <v>BẢNG TÍNH TOÁN, ĐO BÓC KHỐI LƯỢNG HOÀN THÀNH ĐƯA VÀO QUYẾT TOÁN</v>
          </cell>
        </row>
      </sheetData>
      <sheetData sheetId="4731">
        <row r="4">
          <cell r="A4" t="str">
            <v>BẢNG TÍNH TOÁN, ĐO BÓC KHỐI LƯỢNG HOÀN THÀNH ĐƯA VÀO QUYẾT TOÁN</v>
          </cell>
        </row>
      </sheetData>
      <sheetData sheetId="4732">
        <row r="4">
          <cell r="A4" t="str">
            <v>BẢNG TÍNH TOÁN, ĐO BÓC KHỐI LƯỢNG HOÀN THÀNH ĐƯA VÀO QUYẾT TOÁN</v>
          </cell>
        </row>
      </sheetData>
      <sheetData sheetId="4733">
        <row r="4">
          <cell r="A4" t="str">
            <v>BẢNG TÍNH TOÁN, ĐO BÓC KHỐI LƯỢNG HOÀN THÀNH ĐƯA VÀO QUYẾT TOÁN</v>
          </cell>
        </row>
      </sheetData>
      <sheetData sheetId="4734">
        <row r="4">
          <cell r="A4" t="str">
            <v>BẢNG TÍNH TOÁN, ĐO BÓC KHỐI LƯỢNG HOÀN THÀNH ĐƯA VÀO QUYẾT TOÁN</v>
          </cell>
        </row>
      </sheetData>
      <sheetData sheetId="4735">
        <row r="4">
          <cell r="A4" t="str">
            <v>BẢNG TÍNH TOÁN, ĐO BÓC KHỐI LƯỢNG HOÀN THÀNH ĐƯA VÀO QUYẾT TOÁN</v>
          </cell>
        </row>
      </sheetData>
      <sheetData sheetId="4736">
        <row r="4">
          <cell r="A4" t="str">
            <v>BẢNG TÍNH TOÁN, ĐO BÓC KHỐI LƯỢNG HOÀN THÀNH ĐƯA VÀO QUYẾT TOÁN</v>
          </cell>
        </row>
      </sheetData>
      <sheetData sheetId="4737">
        <row r="4">
          <cell r="A4" t="str">
            <v>BẢNG TÍNH TOÁN, ĐO BÓC KHỐI LƯỢNG HOÀN THÀNH ĐƯA VÀO QUYẾT TOÁN</v>
          </cell>
        </row>
      </sheetData>
      <sheetData sheetId="4738">
        <row r="4">
          <cell r="A4" t="str">
            <v>BẢNG TÍNH TOÁN, ĐO BÓC KHỐI LƯỢNG HOÀN THÀNH ĐƯA VÀO QUYẾT TOÁN</v>
          </cell>
        </row>
      </sheetData>
      <sheetData sheetId="4739">
        <row r="4">
          <cell r="A4" t="str">
            <v>BẢNG TÍNH TOÁN, ĐO BÓC KHỐI LƯỢNG HOÀN THÀNH ĐƯA VÀO QUYẾT TOÁN</v>
          </cell>
        </row>
      </sheetData>
      <sheetData sheetId="4740">
        <row r="4">
          <cell r="A4" t="str">
            <v>BẢNG TÍNH TOÁN, ĐO BÓC KHỐI LƯỢNG HOÀN THÀNH ĐƯA VÀO QUYẾT TOÁN</v>
          </cell>
        </row>
      </sheetData>
      <sheetData sheetId="4741">
        <row r="4">
          <cell r="A4" t="str">
            <v>BẢNG TÍNH TOÁN, ĐO BÓC KHỐI LƯỢNG HOÀN THÀNH ĐƯA VÀO QUYẾT TOÁN</v>
          </cell>
        </row>
      </sheetData>
      <sheetData sheetId="4742">
        <row r="4">
          <cell r="A4" t="str">
            <v>BẢNG TÍNH TOÁN, ĐO BÓC KHỐI LƯỢNG HOÀN THÀNH ĐƯA VÀO QUYẾT TOÁN</v>
          </cell>
        </row>
      </sheetData>
      <sheetData sheetId="4743">
        <row r="4">
          <cell r="A4" t="str">
            <v>BẢNG TÍNH TOÁN, ĐO BÓC KHỐI LƯỢNG HOÀN THÀNH ĐƯA VÀO QUYẾT TOÁN</v>
          </cell>
        </row>
      </sheetData>
      <sheetData sheetId="4744">
        <row r="4">
          <cell r="A4" t="str">
            <v>BẢNG TÍNH TOÁN, ĐO BÓC KHỐI LƯỢNG HOÀN THÀNH ĐƯA VÀO QUYẾT TOÁN</v>
          </cell>
        </row>
      </sheetData>
      <sheetData sheetId="4745">
        <row r="4">
          <cell r="A4" t="str">
            <v>BẢNG TÍNH TOÁN, ĐO BÓC KHỐI LƯỢNG HOÀN THÀNH ĐƯA VÀO QUYẾT TOÁN</v>
          </cell>
        </row>
      </sheetData>
      <sheetData sheetId="4746">
        <row r="4">
          <cell r="A4" t="str">
            <v>BẢNG TÍNH TOÁN, ĐO BÓC KHỐI LƯỢNG HOÀN THÀNH ĐƯA VÀO QUYẾT TOÁN</v>
          </cell>
        </row>
      </sheetData>
      <sheetData sheetId="4747">
        <row r="4">
          <cell r="A4" t="str">
            <v>BẢNG TÍNH TOÁN, ĐO BÓC KHỐI LƯỢNG HOÀN THÀNH ĐƯA VÀO QUYẾT TOÁN</v>
          </cell>
        </row>
      </sheetData>
      <sheetData sheetId="4748">
        <row r="4">
          <cell r="A4" t="str">
            <v>BẢNG TÍNH TOÁN, ĐO BÓC KHỐI LƯỢNG HOÀN THÀNH ĐƯA VÀO QUYẾT TOÁN</v>
          </cell>
        </row>
      </sheetData>
      <sheetData sheetId="4749">
        <row r="4">
          <cell r="A4" t="str">
            <v>BẢNG TÍNH TOÁN, ĐO BÓC KHỐI LƯỢNG HOÀN THÀNH ĐƯA VÀO QUYẾT TOÁN</v>
          </cell>
        </row>
      </sheetData>
      <sheetData sheetId="4750">
        <row r="4">
          <cell r="A4" t="str">
            <v>BẢNG TÍNH TOÁN, ĐO BÓC KHỐI LƯỢNG HOÀN THÀNH ĐƯA VÀO QUYẾT TOÁN</v>
          </cell>
        </row>
      </sheetData>
      <sheetData sheetId="4751">
        <row r="4">
          <cell r="A4" t="str">
            <v>BẢNG TÍNH TOÁN, ĐO BÓC KHỐI LƯỢNG HOÀN THÀNH ĐƯA VÀO QUYẾT TOÁN</v>
          </cell>
        </row>
      </sheetData>
      <sheetData sheetId="4752">
        <row r="4">
          <cell r="A4" t="str">
            <v>BẢNG TÍNH TOÁN, ĐO BÓC KHỐI LƯỢNG HOÀN THÀNH ĐƯA VÀO QUYẾT TOÁN</v>
          </cell>
        </row>
      </sheetData>
      <sheetData sheetId="4753">
        <row r="4">
          <cell r="A4" t="str">
            <v>BẢNG TÍNH TOÁN, ĐO BÓC KHỐI LƯỢNG HOÀN THÀNH ĐƯA VÀO QUYẾT TOÁN</v>
          </cell>
        </row>
      </sheetData>
      <sheetData sheetId="4754">
        <row r="4">
          <cell r="A4" t="str">
            <v>BẢNG TÍNH TOÁN, ĐO BÓC KHỐI LƯỢNG HOÀN THÀNH ĐƯA VÀO QUYẾT TOÁN</v>
          </cell>
        </row>
      </sheetData>
      <sheetData sheetId="4755">
        <row r="4">
          <cell r="A4" t="str">
            <v>BẢNG TÍNH TOÁN, ĐO BÓC KHỐI LƯỢNG HOÀN THÀNH ĐƯA VÀO QUYẾT TOÁN</v>
          </cell>
        </row>
      </sheetData>
      <sheetData sheetId="4756">
        <row r="4">
          <cell r="A4" t="str">
            <v>BẢNG TÍNH TOÁN, ĐO BÓC KHỐI LƯỢNG HOÀN THÀNH ĐƯA VÀO QUYẾT TOÁN</v>
          </cell>
        </row>
      </sheetData>
      <sheetData sheetId="4757">
        <row r="4">
          <cell r="A4" t="str">
            <v>BẢNG TÍNH TOÁN, ĐO BÓC KHỐI LƯỢNG HOÀN THÀNH ĐƯA VÀO QUYẾT TOÁN</v>
          </cell>
        </row>
      </sheetData>
      <sheetData sheetId="4758">
        <row r="4">
          <cell r="A4" t="str">
            <v>BẢNG TÍNH TOÁN, ĐO BÓC KHỐI LƯỢNG HOÀN THÀNH ĐƯA VÀO QUYẾT TOÁN</v>
          </cell>
        </row>
      </sheetData>
      <sheetData sheetId="4759">
        <row r="4">
          <cell r="A4" t="str">
            <v>BẢNG TÍNH TOÁN, ĐO BÓC KHỐI LƯỢNG HOÀN THÀNH ĐƯA VÀO QUYẾT TOÁN</v>
          </cell>
        </row>
      </sheetData>
      <sheetData sheetId="4760">
        <row r="4">
          <cell r="A4" t="str">
            <v>BẢNG TÍNH TOÁN, ĐO BÓC KHỐI LƯỢNG HOÀN THÀNH ĐƯA VÀO QUYẾT TOÁN</v>
          </cell>
        </row>
      </sheetData>
      <sheetData sheetId="4761">
        <row r="4">
          <cell r="A4" t="str">
            <v>BẢNG TÍNH TOÁN, ĐO BÓC KHỐI LƯỢNG HOÀN THÀNH ĐƯA VÀO QUYẾT TOÁN</v>
          </cell>
        </row>
      </sheetData>
      <sheetData sheetId="4762">
        <row r="4">
          <cell r="A4" t="str">
            <v>BẢNG TÍNH TOÁN, ĐO BÓC KHỐI LƯỢNG HOÀN THÀNH ĐƯA VÀO QUYẾT TOÁN</v>
          </cell>
        </row>
      </sheetData>
      <sheetData sheetId="4763">
        <row r="4">
          <cell r="A4" t="str">
            <v>BẢNG TÍNH TOÁN, ĐO BÓC KHỐI LƯỢNG HOÀN THÀNH ĐƯA VÀO QUYẾT TOÁN</v>
          </cell>
        </row>
      </sheetData>
      <sheetData sheetId="4764">
        <row r="4">
          <cell r="A4" t="str">
            <v>BẢNG TÍNH TOÁN, ĐO BÓC KHỐI LƯỢNG HOÀN THÀNH ĐƯA VÀO QUYẾT TOÁN</v>
          </cell>
        </row>
      </sheetData>
      <sheetData sheetId="4765">
        <row r="4">
          <cell r="A4" t="str">
            <v>BẢNG TÍNH TOÁN, ĐO BÓC KHỐI LƯỢNG HOÀN THÀNH ĐƯA VÀO QUYẾT TOÁN</v>
          </cell>
        </row>
      </sheetData>
      <sheetData sheetId="4766">
        <row r="4">
          <cell r="A4" t="str">
            <v>BẢNG TÍNH TOÁN, ĐO BÓC KHỐI LƯỢNG HOÀN THÀNH ĐƯA VÀO QUYẾT TOÁN</v>
          </cell>
        </row>
      </sheetData>
      <sheetData sheetId="4767">
        <row r="4">
          <cell r="A4" t="str">
            <v>BẢNG TÍNH TOÁN, ĐO BÓC KHỐI LƯỢNG HOÀN THÀNH ĐƯA VÀO QUYẾT TOÁN</v>
          </cell>
        </row>
      </sheetData>
      <sheetData sheetId="4768">
        <row r="4">
          <cell r="A4" t="str">
            <v>BẢNG TÍNH TOÁN, ĐO BÓC KHỐI LƯỢNG HOÀN THÀNH ĐƯA VÀO QUYẾT TOÁN</v>
          </cell>
        </row>
      </sheetData>
      <sheetData sheetId="4769">
        <row r="4">
          <cell r="A4" t="str">
            <v>BẢNG TÍNH TOÁN, ĐO BÓC KHỐI LƯỢNG HOÀN THÀNH ĐƯA VÀO QUYẾT TOÁN</v>
          </cell>
        </row>
      </sheetData>
      <sheetData sheetId="4770">
        <row r="4">
          <cell r="A4" t="str">
            <v>BẢNG TÍNH TOÁN, ĐO BÓC KHỐI LƯỢNG HOÀN THÀNH ĐƯA VÀO QUYẾT TOÁN</v>
          </cell>
        </row>
      </sheetData>
      <sheetData sheetId="4771">
        <row r="4">
          <cell r="A4" t="str">
            <v>BẢNG TÍNH TOÁN, ĐO BÓC KHỐI LƯỢNG HOÀN THÀNH ĐƯA VÀO QUYẾT TOÁN</v>
          </cell>
        </row>
      </sheetData>
      <sheetData sheetId="4772">
        <row r="4">
          <cell r="A4" t="str">
            <v>BẢNG TÍNH TOÁN, ĐO BÓC KHỐI LƯỢNG HOÀN THÀNH ĐƯA VÀO QUYẾT TOÁN</v>
          </cell>
        </row>
      </sheetData>
      <sheetData sheetId="4773">
        <row r="4">
          <cell r="A4" t="str">
            <v>BẢNG TÍNH TOÁN, ĐO BÓC KHỐI LƯỢNG HOÀN THÀNH ĐƯA VÀO QUYẾT TOÁN</v>
          </cell>
        </row>
      </sheetData>
      <sheetData sheetId="4774">
        <row r="4">
          <cell r="A4" t="str">
            <v>BẢNG TÍNH TOÁN, ĐO BÓC KHỐI LƯỢNG HOÀN THÀNH ĐƯA VÀO QUYẾT TOÁN</v>
          </cell>
        </row>
      </sheetData>
      <sheetData sheetId="4775">
        <row r="4">
          <cell r="A4" t="str">
            <v>BẢNG TÍNH TOÁN, ĐO BÓC KHỐI LƯỢNG HOÀN THÀNH ĐƯA VÀO QUYẾT TOÁN</v>
          </cell>
        </row>
      </sheetData>
      <sheetData sheetId="4776">
        <row r="4">
          <cell r="A4" t="str">
            <v>BẢNG TÍNH TOÁN, ĐO BÓC KHỐI LƯỢNG HOÀN THÀNH ĐƯA VÀO QUYẾT TOÁN</v>
          </cell>
        </row>
      </sheetData>
      <sheetData sheetId="4777">
        <row r="4">
          <cell r="A4" t="str">
            <v>BẢNG TÍNH TOÁN, ĐO BÓC KHỐI LƯỢNG HOÀN THÀNH ĐƯA VÀO QUYẾT TOÁN</v>
          </cell>
        </row>
      </sheetData>
      <sheetData sheetId="4778">
        <row r="4">
          <cell r="A4" t="str">
            <v>BẢNG TÍNH TOÁN, ĐO BÓC KHỐI LƯỢNG HOÀN THÀNH ĐƯA VÀO QUYẾT TOÁN</v>
          </cell>
        </row>
      </sheetData>
      <sheetData sheetId="4779">
        <row r="4">
          <cell r="A4" t="str">
            <v>BẢNG TÍNH TOÁN, ĐO BÓC KHỐI LƯỢNG HOÀN THÀNH ĐƯA VÀO QUYẾT TOÁN</v>
          </cell>
        </row>
      </sheetData>
      <sheetData sheetId="4780">
        <row r="4">
          <cell r="A4" t="str">
            <v>BẢNG TÍNH TOÁN, ĐO BÓC KHỐI LƯỢNG HOÀN THÀNH ĐƯA VÀO QUYẾT TOÁN</v>
          </cell>
        </row>
      </sheetData>
      <sheetData sheetId="4781">
        <row r="4">
          <cell r="A4" t="str">
            <v>BẢNG TÍNH TOÁN, ĐO BÓC KHỐI LƯỢNG HOÀN THÀNH ĐƯA VÀO QUYẾT TOÁN</v>
          </cell>
        </row>
      </sheetData>
      <sheetData sheetId="4782">
        <row r="4">
          <cell r="A4" t="str">
            <v>BẢNG TÍNH TOÁN, ĐO BÓC KHỐI LƯỢNG HOÀN THÀNH ĐƯA VÀO QUYẾT TOÁN</v>
          </cell>
        </row>
      </sheetData>
      <sheetData sheetId="4783">
        <row r="4">
          <cell r="A4" t="str">
            <v>BẢNG TÍNH TOÁN, ĐO BÓC KHỐI LƯỢNG HOÀN THÀNH ĐƯA VÀO QUYẾT TOÁN</v>
          </cell>
        </row>
      </sheetData>
      <sheetData sheetId="4784">
        <row r="4">
          <cell r="A4" t="str">
            <v>BẢNG TÍNH TOÁN, ĐO BÓC KHỐI LƯỢNG HOÀN THÀNH ĐƯA VÀO QUYẾT TOÁN</v>
          </cell>
        </row>
      </sheetData>
      <sheetData sheetId="4785">
        <row r="4">
          <cell r="A4" t="str">
            <v>BẢNG TÍNH TOÁN, ĐO BÓC KHỐI LƯỢNG HOÀN THÀNH ĐƯA VÀO QUYẾT TOÁN</v>
          </cell>
        </row>
      </sheetData>
      <sheetData sheetId="4786">
        <row r="4">
          <cell r="A4" t="str">
            <v>BẢNG TÍNH TOÁN, ĐO BÓC KHỐI LƯỢNG HOÀN THÀNH ĐƯA VÀO QUYẾT TOÁN</v>
          </cell>
        </row>
      </sheetData>
      <sheetData sheetId="4787">
        <row r="4">
          <cell r="A4" t="str">
            <v>BẢNG TÍNH TOÁN, ĐO BÓC KHỐI LƯỢNG HOÀN THÀNH ĐƯA VÀO QUYẾT TOÁN</v>
          </cell>
        </row>
      </sheetData>
      <sheetData sheetId="4788">
        <row r="4">
          <cell r="A4" t="str">
            <v>BẢNG TÍNH TOÁN, ĐO BÓC KHỐI LƯỢNG HOÀN THÀNH ĐƯA VÀO QUYẾT TOÁN</v>
          </cell>
        </row>
      </sheetData>
      <sheetData sheetId="4789">
        <row r="4">
          <cell r="A4" t="str">
            <v>BẢNG TÍNH TOÁN, ĐO BÓC KHỐI LƯỢNG HOÀN THÀNH ĐƯA VÀO QUYẾT TOÁN</v>
          </cell>
        </row>
      </sheetData>
      <sheetData sheetId="4790">
        <row r="4">
          <cell r="A4" t="str">
            <v>BẢNG TÍNH TOÁN, ĐO BÓC KHỐI LƯỢNG HOÀN THÀNH ĐƯA VÀO QUYẾT TOÁN</v>
          </cell>
        </row>
      </sheetData>
      <sheetData sheetId="4791">
        <row r="4">
          <cell r="A4" t="str">
            <v>BẢNG TÍNH TOÁN, ĐO BÓC KHỐI LƯỢNG HOÀN THÀNH ĐƯA VÀO QUYẾT TOÁN</v>
          </cell>
        </row>
      </sheetData>
      <sheetData sheetId="4792">
        <row r="4">
          <cell r="A4" t="str">
            <v>BẢNG TÍNH TOÁN, ĐO BÓC KHỐI LƯỢNG HOÀN THÀNH ĐƯA VÀO QUYẾT TOÁN</v>
          </cell>
        </row>
      </sheetData>
      <sheetData sheetId="4793">
        <row r="4">
          <cell r="A4" t="str">
            <v>BẢNG TÍNH TOÁN, ĐO BÓC KHỐI LƯỢNG HOÀN THÀNH ĐƯA VÀO QUYẾT TOÁN</v>
          </cell>
        </row>
      </sheetData>
      <sheetData sheetId="4794">
        <row r="4">
          <cell r="A4" t="str">
            <v>BẢNG TÍNH TOÁN, ĐO BÓC KHỐI LƯỢNG HOÀN THÀNH ĐƯA VÀO QUYẾT TOÁN</v>
          </cell>
        </row>
      </sheetData>
      <sheetData sheetId="4795">
        <row r="4">
          <cell r="A4" t="str">
            <v>BẢNG TÍNH TOÁN, ĐO BÓC KHỐI LƯỢNG HOÀN THÀNH ĐƯA VÀO QUYẾT TOÁN</v>
          </cell>
        </row>
      </sheetData>
      <sheetData sheetId="4796">
        <row r="4">
          <cell r="A4" t="str">
            <v>BẢNG TÍNH TOÁN, ĐO BÓC KHỐI LƯỢNG HOÀN THÀNH ĐƯA VÀO QUYẾT TOÁN</v>
          </cell>
        </row>
      </sheetData>
      <sheetData sheetId="4797">
        <row r="4">
          <cell r="A4" t="str">
            <v>BẢNG TÍNH TOÁN, ĐO BÓC KHỐI LƯỢNG HOÀN THÀNH ĐƯA VÀO QUYẾT TOÁN</v>
          </cell>
        </row>
      </sheetData>
      <sheetData sheetId="4798">
        <row r="4">
          <cell r="A4" t="str">
            <v>BẢNG TÍNH TOÁN, ĐO BÓC KHỐI LƯỢNG HOÀN THÀNH ĐƯA VÀO QUYẾT TOÁN</v>
          </cell>
        </row>
      </sheetData>
      <sheetData sheetId="4799">
        <row r="4">
          <cell r="A4" t="str">
            <v>BẢNG TÍNH TOÁN, ĐO BÓC KHỐI LƯỢNG HOÀN THÀNH ĐƯA VÀO QUYẾT TOÁN</v>
          </cell>
        </row>
      </sheetData>
      <sheetData sheetId="4800">
        <row r="4">
          <cell r="A4" t="str">
            <v>BẢNG TÍNH TOÁN, ĐO BÓC KHỐI LƯỢNG HOÀN THÀNH ĐƯA VÀO QUYẾT TOÁN</v>
          </cell>
        </row>
      </sheetData>
      <sheetData sheetId="4801">
        <row r="4">
          <cell r="A4" t="str">
            <v>BẢNG TÍNH TOÁN, ĐO BÓC KHỐI LƯỢNG HOÀN THÀNH ĐƯA VÀO QUYẾT TOÁN</v>
          </cell>
        </row>
      </sheetData>
      <sheetData sheetId="4802">
        <row r="4">
          <cell r="A4" t="str">
            <v>BẢNG TÍNH TOÁN, ĐO BÓC KHỐI LƯỢNG HOÀN THÀNH ĐƯA VÀO QUYẾT TOÁN</v>
          </cell>
        </row>
      </sheetData>
      <sheetData sheetId="4803">
        <row r="4">
          <cell r="A4" t="str">
            <v>BẢNG TÍNH TOÁN, ĐO BÓC KHỐI LƯỢNG HOÀN THÀNH ĐƯA VÀO QUYẾT TOÁN</v>
          </cell>
        </row>
      </sheetData>
      <sheetData sheetId="4804">
        <row r="4">
          <cell r="A4" t="str">
            <v>BẢNG TÍNH TOÁN, ĐO BÓC KHỐI LƯỢNG HOÀN THÀNH ĐƯA VÀO QUYẾT TOÁN</v>
          </cell>
        </row>
      </sheetData>
      <sheetData sheetId="4805">
        <row r="4">
          <cell r="A4" t="str">
            <v>BẢNG TÍNH TOÁN, ĐO BÓC KHỐI LƯỢNG HOÀN THÀNH ĐƯA VÀO QUYẾT TOÁN</v>
          </cell>
        </row>
      </sheetData>
      <sheetData sheetId="4806">
        <row r="4">
          <cell r="A4" t="str">
            <v>BẢNG TÍNH TOÁN, ĐO BÓC KHỐI LƯỢNG HOÀN THÀNH ĐƯA VÀO QUYẾT TOÁN</v>
          </cell>
        </row>
      </sheetData>
      <sheetData sheetId="4807">
        <row r="4">
          <cell r="A4" t="str">
            <v>BẢNG TÍNH TOÁN, ĐO BÓC KHỐI LƯỢNG HOÀN THÀNH ĐƯA VÀO QUYẾT TOÁN</v>
          </cell>
        </row>
      </sheetData>
      <sheetData sheetId="4808">
        <row r="4">
          <cell r="A4" t="str">
            <v>BẢNG TÍNH TOÁN, ĐO BÓC KHỐI LƯỢNG HOÀN THÀNH ĐƯA VÀO QUYẾT TOÁN</v>
          </cell>
        </row>
      </sheetData>
      <sheetData sheetId="4809">
        <row r="4">
          <cell r="A4" t="str">
            <v>BẢNG TÍNH TOÁN, ĐO BÓC KHỐI LƯỢNG HOÀN THÀNH ĐƯA VÀO QUYẾT TOÁN</v>
          </cell>
        </row>
      </sheetData>
      <sheetData sheetId="4810">
        <row r="4">
          <cell r="A4" t="str">
            <v>BẢNG TÍNH TOÁN, ĐO BÓC KHỐI LƯỢNG HOÀN THÀNH ĐƯA VÀO QUYẾT TOÁN</v>
          </cell>
        </row>
      </sheetData>
      <sheetData sheetId="4811">
        <row r="4">
          <cell r="A4" t="str">
            <v>BẢNG TÍNH TOÁN, ĐO BÓC KHỐI LƯỢNG HOÀN THÀNH ĐƯA VÀO QUYẾT TOÁN</v>
          </cell>
        </row>
      </sheetData>
      <sheetData sheetId="4812">
        <row r="4">
          <cell r="A4" t="str">
            <v>BẢNG TÍNH TOÁN, ĐO BÓC KHỐI LƯỢNG HOÀN THÀNH ĐƯA VÀO QUYẾT TOÁN</v>
          </cell>
        </row>
      </sheetData>
      <sheetData sheetId="4813">
        <row r="4">
          <cell r="A4" t="str">
            <v>BẢNG TÍNH TOÁN, ĐO BÓC KHỐI LƯỢNG HOÀN THÀNH ĐƯA VÀO QUYẾT TOÁN</v>
          </cell>
        </row>
      </sheetData>
      <sheetData sheetId="4814">
        <row r="4">
          <cell r="A4" t="str">
            <v>BẢNG TÍNH TOÁN, ĐO BÓC KHỐI LƯỢNG HOÀN THÀNH ĐƯA VÀO QUYẾT TOÁN</v>
          </cell>
        </row>
      </sheetData>
      <sheetData sheetId="4815">
        <row r="4">
          <cell r="A4" t="str">
            <v>BẢNG TÍNH TOÁN, ĐO BÓC KHỐI LƯỢNG HOÀN THÀNH ĐƯA VÀO QUYẾT TOÁN</v>
          </cell>
        </row>
      </sheetData>
      <sheetData sheetId="4816">
        <row r="4">
          <cell r="A4" t="str">
            <v>BẢNG TÍNH TOÁN, ĐO BÓC KHỐI LƯỢNG HOÀN THÀNH ĐƯA VÀO QUYẾT TOÁN</v>
          </cell>
        </row>
      </sheetData>
      <sheetData sheetId="4817">
        <row r="4">
          <cell r="A4" t="str">
            <v>BẢNG TÍNH TOÁN, ĐO BÓC KHỐI LƯỢNG HOÀN THÀNH ĐƯA VÀO QUYẾT TOÁN</v>
          </cell>
        </row>
      </sheetData>
      <sheetData sheetId="4818">
        <row r="4">
          <cell r="A4" t="str">
            <v>BẢNG TÍNH TOÁN, ĐO BÓC KHỐI LƯỢNG HOÀN THÀNH ĐƯA VÀO QUYẾT TOÁN</v>
          </cell>
        </row>
      </sheetData>
      <sheetData sheetId="4819">
        <row r="4">
          <cell r="A4" t="str">
            <v>BẢNG TÍNH TOÁN, ĐO BÓC KHỐI LƯỢNG HOÀN THÀNH ĐƯA VÀO QUYẾT TOÁN</v>
          </cell>
        </row>
      </sheetData>
      <sheetData sheetId="4820">
        <row r="4">
          <cell r="A4" t="str">
            <v>BẢNG TÍNH TOÁN, ĐO BÓC KHỐI LƯỢNG HOÀN THÀNH ĐƯA VÀO QUYẾT TOÁN</v>
          </cell>
        </row>
      </sheetData>
      <sheetData sheetId="4821">
        <row r="4">
          <cell r="A4" t="str">
            <v>BẢNG TÍNH TOÁN, ĐO BÓC KHỐI LƯỢNG HOÀN THÀNH ĐƯA VÀO QUYẾT TOÁN</v>
          </cell>
        </row>
      </sheetData>
      <sheetData sheetId="4822">
        <row r="4">
          <cell r="A4" t="str">
            <v>BẢNG TÍNH TOÁN, ĐO BÓC KHỐI LƯỢNG HOÀN THÀNH ĐƯA VÀO QUYẾT TOÁN</v>
          </cell>
        </row>
      </sheetData>
      <sheetData sheetId="4823">
        <row r="4">
          <cell r="A4" t="str">
            <v>BẢNG TÍNH TOÁN, ĐO BÓC KHỐI LƯỢNG HOÀN THÀNH ĐƯA VÀO QUYẾT TOÁN</v>
          </cell>
        </row>
      </sheetData>
      <sheetData sheetId="4824">
        <row r="4">
          <cell r="A4" t="str">
            <v>BẢNG TÍNH TOÁN, ĐO BÓC KHỐI LƯỢNG HOÀN THÀNH ĐƯA VÀO QUYẾT TOÁN</v>
          </cell>
        </row>
      </sheetData>
      <sheetData sheetId="4825">
        <row r="4">
          <cell r="A4" t="str">
            <v>BẢNG TÍNH TOÁN, ĐO BÓC KHỐI LƯỢNG HOÀN THÀNH ĐƯA VÀO QUYẾT TOÁN</v>
          </cell>
        </row>
      </sheetData>
      <sheetData sheetId="4826">
        <row r="4">
          <cell r="A4" t="str">
            <v>BẢNG TÍNH TOÁN, ĐO BÓC KHỐI LƯỢNG HOÀN THÀNH ĐƯA VÀO QUYẾT TOÁN</v>
          </cell>
        </row>
      </sheetData>
      <sheetData sheetId="4827">
        <row r="4">
          <cell r="A4" t="str">
            <v>BẢNG TÍNH TOÁN, ĐO BÓC KHỐI LƯỢNG HOÀN THÀNH ĐƯA VÀO QUYẾT TOÁN</v>
          </cell>
        </row>
      </sheetData>
      <sheetData sheetId="4828">
        <row r="4">
          <cell r="A4" t="str">
            <v>BẢNG TÍNH TOÁN, ĐO BÓC KHỐI LƯỢNG HOÀN THÀNH ĐƯA VÀO QUYẾT TOÁN</v>
          </cell>
        </row>
      </sheetData>
      <sheetData sheetId="4829">
        <row r="4">
          <cell r="A4" t="str">
            <v>BẢNG TÍNH TOÁN, ĐO BÓC KHỐI LƯỢNG HOÀN THÀNH ĐƯA VÀO QUYẾT TOÁN</v>
          </cell>
        </row>
      </sheetData>
      <sheetData sheetId="4830">
        <row r="4">
          <cell r="A4" t="str">
            <v>BẢNG TÍNH TOÁN, ĐO BÓC KHỐI LƯỢNG HOÀN THÀNH ĐƯA VÀO QUYẾT TOÁN</v>
          </cell>
        </row>
      </sheetData>
      <sheetData sheetId="4831">
        <row r="4">
          <cell r="A4" t="str">
            <v>BẢNG TÍNH TOÁN, ĐO BÓC KHỐI LƯỢNG HOÀN THÀNH ĐƯA VÀO QUYẾT TOÁN</v>
          </cell>
        </row>
      </sheetData>
      <sheetData sheetId="4832">
        <row r="4">
          <cell r="A4" t="str">
            <v>BẢNG TÍNH TOÁN, ĐO BÓC KHỐI LƯỢNG HOÀN THÀNH ĐƯA VÀO QUYẾT TOÁN</v>
          </cell>
        </row>
      </sheetData>
      <sheetData sheetId="4833">
        <row r="4">
          <cell r="A4" t="str">
            <v>BẢNG TÍNH TOÁN, ĐO BÓC KHỐI LƯỢNG HOÀN THÀNH ĐƯA VÀO QUYẾT TOÁN</v>
          </cell>
        </row>
      </sheetData>
      <sheetData sheetId="4834">
        <row r="4">
          <cell r="A4" t="str">
            <v>BẢNG TÍNH TOÁN, ĐO BÓC KHỐI LƯỢNG HOÀN THÀNH ĐƯA VÀO QUYẾT TOÁN</v>
          </cell>
        </row>
      </sheetData>
      <sheetData sheetId="4835">
        <row r="4">
          <cell r="A4" t="str">
            <v>BẢNG TÍNH TOÁN, ĐO BÓC KHỐI LƯỢNG HOÀN THÀNH ĐƯA VÀO QUYẾT TOÁN</v>
          </cell>
        </row>
      </sheetData>
      <sheetData sheetId="4836">
        <row r="4">
          <cell r="A4" t="str">
            <v>BẢNG TÍNH TOÁN, ĐO BÓC KHỐI LƯỢNG HOÀN THÀNH ĐƯA VÀO QUYẾT TOÁN</v>
          </cell>
        </row>
      </sheetData>
      <sheetData sheetId="4837">
        <row r="4">
          <cell r="A4" t="str">
            <v>BẢNG TÍNH TOÁN, ĐO BÓC KHỐI LƯỢNG HOÀN THÀNH ĐƯA VÀO QUYẾT TOÁN</v>
          </cell>
        </row>
      </sheetData>
      <sheetData sheetId="4838">
        <row r="4">
          <cell r="A4" t="str">
            <v>BẢNG TÍNH TOÁN, ĐO BÓC KHỐI LƯỢNG HOÀN THÀNH ĐƯA VÀO QUYẾT TOÁN</v>
          </cell>
        </row>
      </sheetData>
      <sheetData sheetId="4839">
        <row r="4">
          <cell r="A4" t="str">
            <v>BẢNG TÍNH TOÁN, ĐO BÓC KHỐI LƯỢNG HOÀN THÀNH ĐƯA VÀO QUYẾT TOÁN</v>
          </cell>
        </row>
      </sheetData>
      <sheetData sheetId="4840">
        <row r="4">
          <cell r="A4" t="str">
            <v>BẢNG TÍNH TOÁN, ĐO BÓC KHỐI LƯỢNG HOÀN THÀNH ĐƯA VÀO QUYẾT TOÁN</v>
          </cell>
        </row>
      </sheetData>
      <sheetData sheetId="4841">
        <row r="4">
          <cell r="A4" t="str">
            <v>BẢNG TÍNH TOÁN, ĐO BÓC KHỐI LƯỢNG HOÀN THÀNH ĐƯA VÀO QUYẾT TOÁN</v>
          </cell>
        </row>
      </sheetData>
      <sheetData sheetId="4842">
        <row r="4">
          <cell r="A4" t="str">
            <v>BẢNG TÍNH TOÁN, ĐO BÓC KHỐI LƯỢNG HOÀN THÀNH ĐƯA VÀO QUYẾT TOÁN</v>
          </cell>
        </row>
      </sheetData>
      <sheetData sheetId="4843">
        <row r="4">
          <cell r="A4" t="str">
            <v>BẢNG TÍNH TOÁN, ĐO BÓC KHỐI LƯỢNG HOÀN THÀNH ĐƯA VÀO QUYẾT TOÁN</v>
          </cell>
        </row>
      </sheetData>
      <sheetData sheetId="4844">
        <row r="4">
          <cell r="A4" t="str">
            <v>BẢNG TÍNH TOÁN, ĐO BÓC KHỐI LƯỢNG HOÀN THÀNH ĐƯA VÀO QUYẾT TOÁN</v>
          </cell>
        </row>
      </sheetData>
      <sheetData sheetId="4845">
        <row r="4">
          <cell r="A4" t="str">
            <v>BẢNG TÍNH TOÁN, ĐO BÓC KHỐI LƯỢNG HOÀN THÀNH ĐƯA VÀO QUYẾT TOÁN</v>
          </cell>
        </row>
      </sheetData>
      <sheetData sheetId="4846">
        <row r="4">
          <cell r="A4" t="str">
            <v>BẢNG TÍNH TOÁN, ĐO BÓC KHỐI LƯỢNG HOÀN THÀNH ĐƯA VÀO QUYẾT TOÁN</v>
          </cell>
        </row>
      </sheetData>
      <sheetData sheetId="4847">
        <row r="4">
          <cell r="A4" t="str">
            <v>BẢNG TÍNH TOÁN, ĐO BÓC KHỐI LƯỢNG HOÀN THÀNH ĐƯA VÀO QUYẾT TOÁN</v>
          </cell>
        </row>
      </sheetData>
      <sheetData sheetId="4848">
        <row r="4">
          <cell r="A4" t="str">
            <v>BẢNG TÍNH TOÁN, ĐO BÓC KHỐI LƯỢNG HOÀN THÀNH ĐƯA VÀO QUYẾT TOÁN</v>
          </cell>
        </row>
      </sheetData>
      <sheetData sheetId="4849">
        <row r="4">
          <cell r="A4" t="str">
            <v>BẢNG TÍNH TOÁN, ĐO BÓC KHỐI LƯỢNG HOÀN THÀNH ĐƯA VÀO QUYẾT TOÁN</v>
          </cell>
        </row>
      </sheetData>
      <sheetData sheetId="4850">
        <row r="4">
          <cell r="A4" t="str">
            <v>BẢNG TÍNH TOÁN, ĐO BÓC KHỐI LƯỢNG HOÀN THÀNH ĐƯA VÀO QUYẾT TOÁN</v>
          </cell>
        </row>
      </sheetData>
      <sheetData sheetId="4851">
        <row r="4">
          <cell r="A4" t="str">
            <v>BẢNG TÍNH TOÁN, ĐO BÓC KHỐI LƯỢNG HOÀN THÀNH ĐƯA VÀO QUYẾT TOÁN</v>
          </cell>
        </row>
      </sheetData>
      <sheetData sheetId="4852">
        <row r="4">
          <cell r="A4" t="str">
            <v>BẢNG TÍNH TOÁN, ĐO BÓC KHỐI LƯỢNG HOÀN THÀNH ĐƯA VÀO QUYẾT TOÁN</v>
          </cell>
        </row>
      </sheetData>
      <sheetData sheetId="4853">
        <row r="4">
          <cell r="A4" t="str">
            <v>BẢNG TÍNH TOÁN, ĐO BÓC KHỐI LƯỢNG HOÀN THÀNH ĐƯA VÀO QUYẾT TOÁN</v>
          </cell>
        </row>
      </sheetData>
      <sheetData sheetId="4854">
        <row r="4">
          <cell r="A4" t="str">
            <v>BẢNG TÍNH TOÁN, ĐO BÓC KHỐI LƯỢNG HOÀN THÀNH ĐƯA VÀO QUYẾT TOÁN</v>
          </cell>
        </row>
      </sheetData>
      <sheetData sheetId="4855">
        <row r="4">
          <cell r="A4" t="str">
            <v>BẢNG TÍNH TOÁN, ĐO BÓC KHỐI LƯỢNG HOÀN THÀNH ĐƯA VÀO QUYẾT TOÁN</v>
          </cell>
        </row>
      </sheetData>
      <sheetData sheetId="4856">
        <row r="4">
          <cell r="A4" t="str">
            <v>BẢNG TÍNH TOÁN, ĐO BÓC KHỐI LƯỢNG HOÀN THÀNH ĐƯA VÀO QUYẾT TOÁN</v>
          </cell>
        </row>
      </sheetData>
      <sheetData sheetId="4857">
        <row r="4">
          <cell r="A4" t="str">
            <v>BẢNG TÍNH TOÁN, ĐO BÓC KHỐI LƯỢNG HOÀN THÀNH ĐƯA VÀO QUYẾT TOÁN</v>
          </cell>
        </row>
      </sheetData>
      <sheetData sheetId="4858">
        <row r="4">
          <cell r="A4" t="str">
            <v>BẢNG TÍNH TOÁN, ĐO BÓC KHỐI LƯỢNG HOÀN THÀNH ĐƯA VÀO QUYẾT TOÁN</v>
          </cell>
        </row>
      </sheetData>
      <sheetData sheetId="4859">
        <row r="4">
          <cell r="A4" t="str">
            <v>BẢNG TÍNH TOÁN, ĐO BÓC KHỐI LƯỢNG HOÀN THÀNH ĐƯA VÀO QUYẾT TOÁN</v>
          </cell>
        </row>
      </sheetData>
      <sheetData sheetId="4860">
        <row r="4">
          <cell r="A4" t="str">
            <v>BẢNG TÍNH TOÁN, ĐO BÓC KHỐI LƯỢNG HOÀN THÀNH ĐƯA VÀO QUYẾT TOÁN</v>
          </cell>
        </row>
      </sheetData>
      <sheetData sheetId="4861">
        <row r="4">
          <cell r="A4" t="str">
            <v>BẢNG TÍNH TOÁN, ĐO BÓC KHỐI LƯỢNG HOÀN THÀNH ĐƯA VÀO QUYẾT TOÁN</v>
          </cell>
        </row>
      </sheetData>
      <sheetData sheetId="4862">
        <row r="4">
          <cell r="A4" t="str">
            <v>BẢNG TÍNH TOÁN, ĐO BÓC KHỐI LƯỢNG HOÀN THÀNH ĐƯA VÀO QUYẾT TOÁN</v>
          </cell>
        </row>
      </sheetData>
      <sheetData sheetId="4863">
        <row r="4">
          <cell r="A4" t="str">
            <v>BẢNG TÍNH TOÁN, ĐO BÓC KHỐI LƯỢNG HOÀN THÀNH ĐƯA VÀO QUYẾT TOÁN</v>
          </cell>
        </row>
      </sheetData>
      <sheetData sheetId="4864">
        <row r="4">
          <cell r="A4" t="str">
            <v>BẢNG TÍNH TOÁN, ĐO BÓC KHỐI LƯỢNG HOÀN THÀNH ĐƯA VÀO QUYẾT TOÁN</v>
          </cell>
        </row>
      </sheetData>
      <sheetData sheetId="4865">
        <row r="4">
          <cell r="A4" t="str">
            <v>BẢNG TÍNH TOÁN, ĐO BÓC KHỐI LƯỢNG HOÀN THÀNH ĐƯA VÀO QUYẾT TOÁN</v>
          </cell>
        </row>
      </sheetData>
      <sheetData sheetId="4866">
        <row r="4">
          <cell r="A4" t="str">
            <v>BẢNG TÍNH TOÁN, ĐO BÓC KHỐI LƯỢNG HOÀN THÀNH ĐƯA VÀO QUYẾT TOÁN</v>
          </cell>
        </row>
      </sheetData>
      <sheetData sheetId="4867">
        <row r="4">
          <cell r="A4" t="str">
            <v>BẢNG TÍNH TOÁN, ĐO BÓC KHỐI LƯỢNG HOÀN THÀNH ĐƯA VÀO QUYẾT TOÁN</v>
          </cell>
        </row>
      </sheetData>
      <sheetData sheetId="4868">
        <row r="4">
          <cell r="A4" t="str">
            <v>BẢNG TÍNH TOÁN, ĐO BÓC KHỐI LƯỢNG HOÀN THÀNH ĐƯA VÀO QUYẾT TOÁN</v>
          </cell>
        </row>
      </sheetData>
      <sheetData sheetId="4869">
        <row r="4">
          <cell r="A4" t="str">
            <v>BẢNG TÍNH TOÁN, ĐO BÓC KHỐI LƯỢNG HOÀN THÀNH ĐƯA VÀO QUYẾT TOÁN</v>
          </cell>
        </row>
      </sheetData>
      <sheetData sheetId="4870">
        <row r="4">
          <cell r="A4" t="str">
            <v>BẢNG TÍNH TOÁN, ĐO BÓC KHỐI LƯỢNG HOÀN THÀNH ĐƯA VÀO QUYẾT TOÁN</v>
          </cell>
        </row>
      </sheetData>
      <sheetData sheetId="4871">
        <row r="4">
          <cell r="A4" t="str">
            <v>BẢNG TÍNH TOÁN, ĐO BÓC KHỐI LƯỢNG HOÀN THÀNH ĐƯA VÀO QUYẾT TOÁN</v>
          </cell>
        </row>
      </sheetData>
      <sheetData sheetId="4872">
        <row r="4">
          <cell r="A4" t="str">
            <v>BẢNG TÍNH TOÁN, ĐO BÓC KHỐI LƯỢNG HOÀN THÀNH ĐƯA VÀO QUYẾT TOÁN</v>
          </cell>
        </row>
      </sheetData>
      <sheetData sheetId="4873">
        <row r="4">
          <cell r="A4" t="str">
            <v>BẢNG TÍNH TOÁN, ĐO BÓC KHỐI LƯỢNG HOÀN THÀNH ĐƯA VÀO QUYẾT TOÁN</v>
          </cell>
        </row>
      </sheetData>
      <sheetData sheetId="4874">
        <row r="4">
          <cell r="A4" t="str">
            <v>BẢNG TÍNH TOÁN, ĐO BÓC KHỐI LƯỢNG HOÀN THÀNH ĐƯA VÀO QUYẾT TOÁN</v>
          </cell>
        </row>
      </sheetData>
      <sheetData sheetId="4875">
        <row r="4">
          <cell r="A4" t="str">
            <v>BẢNG TÍNH TOÁN, ĐO BÓC KHỐI LƯỢNG HOÀN THÀNH ĐƯA VÀO QUYẾT TOÁN</v>
          </cell>
        </row>
      </sheetData>
      <sheetData sheetId="4876">
        <row r="4">
          <cell r="A4" t="str">
            <v>BẢNG TÍNH TOÁN, ĐO BÓC KHỐI LƯỢNG HOÀN THÀNH ĐƯA VÀO QUYẾT TOÁN</v>
          </cell>
        </row>
      </sheetData>
      <sheetData sheetId="4877">
        <row r="4">
          <cell r="A4" t="str">
            <v>BẢNG TÍNH TOÁN, ĐO BÓC KHỐI LƯỢNG HOÀN THÀNH ĐƯA VÀO QUYẾT TOÁN</v>
          </cell>
        </row>
      </sheetData>
      <sheetData sheetId="4878">
        <row r="4">
          <cell r="A4" t="str">
            <v>BẢNG TÍNH TOÁN, ĐO BÓC KHỐI LƯỢNG HOÀN THÀNH ĐƯA VÀO QUYẾT TOÁN</v>
          </cell>
        </row>
      </sheetData>
      <sheetData sheetId="4879">
        <row r="4">
          <cell r="A4" t="str">
            <v>BẢNG TÍNH TOÁN, ĐO BÓC KHỐI LƯỢNG HOÀN THÀNH ĐƯA VÀO QUYẾT TOÁN</v>
          </cell>
        </row>
      </sheetData>
      <sheetData sheetId="4880">
        <row r="4">
          <cell r="A4" t="str">
            <v>BẢNG TÍNH TOÁN, ĐO BÓC KHỐI LƯỢNG HOÀN THÀNH ĐƯA VÀO QUYẾT TOÁN</v>
          </cell>
        </row>
      </sheetData>
      <sheetData sheetId="4881">
        <row r="4">
          <cell r="A4" t="str">
            <v>BẢNG TÍNH TOÁN, ĐO BÓC KHỐI LƯỢNG HOÀN THÀNH ĐƯA VÀO QUYẾT TOÁN</v>
          </cell>
        </row>
      </sheetData>
      <sheetData sheetId="4882">
        <row r="4">
          <cell r="A4" t="str">
            <v>BẢNG TÍNH TOÁN, ĐO BÓC KHỐI LƯỢNG HOÀN THÀNH ĐƯA VÀO QUYẾT TOÁN</v>
          </cell>
        </row>
      </sheetData>
      <sheetData sheetId="4883">
        <row r="4">
          <cell r="A4" t="str">
            <v>BẢNG TÍNH TOÁN, ĐO BÓC KHỐI LƯỢNG HOÀN THÀNH ĐƯA VÀO QUYẾT TOÁN</v>
          </cell>
        </row>
      </sheetData>
      <sheetData sheetId="4884">
        <row r="4">
          <cell r="A4" t="str">
            <v>BẢNG TÍNH TOÁN, ĐO BÓC KHỐI LƯỢNG HOÀN THÀNH ĐƯA VÀO QUYẾT TOÁN</v>
          </cell>
        </row>
      </sheetData>
      <sheetData sheetId="4885">
        <row r="4">
          <cell r="A4" t="str">
            <v>BẢNG TÍNH TOÁN, ĐO BÓC KHỐI LƯỢNG HOÀN THÀNH ĐƯA VÀO QUYẾT TOÁN</v>
          </cell>
        </row>
      </sheetData>
      <sheetData sheetId="4886">
        <row r="4">
          <cell r="A4" t="str">
            <v>BẢNG TÍNH TOÁN, ĐO BÓC KHỐI LƯỢNG HOÀN THÀNH ĐƯA VÀO QUYẾT TOÁN</v>
          </cell>
        </row>
      </sheetData>
      <sheetData sheetId="4887">
        <row r="4">
          <cell r="A4" t="str">
            <v>BẢNG TÍNH TOÁN, ĐO BÓC KHỐI LƯỢNG HOÀN THÀNH ĐƯA VÀO QUYẾT TOÁN</v>
          </cell>
        </row>
      </sheetData>
      <sheetData sheetId="4888">
        <row r="4">
          <cell r="A4" t="str">
            <v>BẢNG TÍNH TOÁN, ĐO BÓC KHỐI LƯỢNG HOÀN THÀNH ĐƯA VÀO QUYẾT TOÁN</v>
          </cell>
        </row>
      </sheetData>
      <sheetData sheetId="4889">
        <row r="4">
          <cell r="A4" t="str">
            <v>BẢNG TÍNH TOÁN, ĐO BÓC KHỐI LƯỢNG HOÀN THÀNH ĐƯA VÀO QUYẾT TOÁN</v>
          </cell>
        </row>
      </sheetData>
      <sheetData sheetId="4890">
        <row r="4">
          <cell r="A4" t="str">
            <v>BẢNG TÍNH TOÁN, ĐO BÓC KHỐI LƯỢNG HOÀN THÀNH ĐƯA VÀO QUYẾT TOÁN</v>
          </cell>
        </row>
      </sheetData>
      <sheetData sheetId="4891">
        <row r="4">
          <cell r="A4" t="str">
            <v>BẢNG TÍNH TOÁN, ĐO BÓC KHỐI LƯỢNG HOÀN THÀNH ĐƯA VÀO QUYẾT TOÁN</v>
          </cell>
        </row>
      </sheetData>
      <sheetData sheetId="4892">
        <row r="4">
          <cell r="A4" t="str">
            <v>BẢNG TÍNH TOÁN, ĐO BÓC KHỐI LƯỢNG HOÀN THÀNH ĐƯA VÀO QUYẾT TOÁN</v>
          </cell>
        </row>
      </sheetData>
      <sheetData sheetId="4893">
        <row r="4">
          <cell r="A4" t="str">
            <v>BẢNG TÍNH TOÁN, ĐO BÓC KHỐI LƯỢNG HOÀN THÀNH ĐƯA VÀO QUYẾT TOÁN</v>
          </cell>
        </row>
      </sheetData>
      <sheetData sheetId="4894">
        <row r="4">
          <cell r="A4" t="str">
            <v>BẢNG TÍNH TOÁN, ĐO BÓC KHỐI LƯỢNG HOÀN THÀNH ĐƯA VÀO QUYẾT TOÁN</v>
          </cell>
        </row>
      </sheetData>
      <sheetData sheetId="4895">
        <row r="4">
          <cell r="A4" t="str">
            <v>BẢNG TÍNH TOÁN, ĐO BÓC KHỐI LƯỢNG HOÀN THÀNH ĐƯA VÀO QUYẾT TOÁN</v>
          </cell>
        </row>
      </sheetData>
      <sheetData sheetId="4896">
        <row r="4">
          <cell r="A4" t="str">
            <v>BẢNG TÍNH TOÁN, ĐO BÓC KHỐI LƯỢNG HOÀN THÀNH ĐƯA VÀO QUYẾT TOÁN</v>
          </cell>
        </row>
      </sheetData>
      <sheetData sheetId="4897">
        <row r="4">
          <cell r="A4" t="str">
            <v>BẢNG TÍNH TOÁN, ĐO BÓC KHỐI LƯỢNG HOÀN THÀNH ĐƯA VÀO QUYẾT TOÁN</v>
          </cell>
        </row>
      </sheetData>
      <sheetData sheetId="4898">
        <row r="4">
          <cell r="A4" t="str">
            <v>BẢNG TÍNH TOÁN, ĐO BÓC KHỐI LƯỢNG HOÀN THÀNH ĐƯA VÀO QUYẾT TOÁN</v>
          </cell>
        </row>
      </sheetData>
      <sheetData sheetId="4899">
        <row r="4">
          <cell r="A4" t="str">
            <v>BẢNG TÍNH TOÁN, ĐO BÓC KHỐI LƯỢNG HOÀN THÀNH ĐƯA VÀO QUYẾT TOÁN</v>
          </cell>
        </row>
      </sheetData>
      <sheetData sheetId="4900">
        <row r="4">
          <cell r="A4" t="str">
            <v>BẢNG TÍNH TOÁN, ĐO BÓC KHỐI LƯỢNG HOÀN THÀNH ĐƯA VÀO QUYẾT TOÁN</v>
          </cell>
        </row>
      </sheetData>
      <sheetData sheetId="4901">
        <row r="4">
          <cell r="A4" t="str">
            <v>BẢNG TÍNH TOÁN, ĐO BÓC KHỐI LƯỢNG HOÀN THÀNH ĐƯA VÀO QUYẾT TOÁN</v>
          </cell>
        </row>
      </sheetData>
      <sheetData sheetId="4902">
        <row r="4">
          <cell r="A4" t="str">
            <v>BẢNG TÍNH TOÁN, ĐO BÓC KHỐI LƯỢNG HOÀN THÀNH ĐƯA VÀO QUYẾT TOÁN</v>
          </cell>
        </row>
      </sheetData>
      <sheetData sheetId="4903">
        <row r="4">
          <cell r="A4" t="str">
            <v>BẢNG TÍNH TOÁN, ĐO BÓC KHỐI LƯỢNG HOÀN THÀNH ĐƯA VÀO QUYẾT TOÁN</v>
          </cell>
        </row>
      </sheetData>
      <sheetData sheetId="4904">
        <row r="4">
          <cell r="A4" t="str">
            <v>BẢNG TÍNH TOÁN, ĐO BÓC KHỐI LƯỢNG HOÀN THÀNH ĐƯA VÀO QUYẾT TOÁN</v>
          </cell>
        </row>
      </sheetData>
      <sheetData sheetId="4905">
        <row r="4">
          <cell r="A4" t="str">
            <v>BẢNG TÍNH TOÁN, ĐO BÓC KHỐI LƯỢNG HOÀN THÀNH ĐƯA VÀO QUYẾT TOÁN</v>
          </cell>
        </row>
      </sheetData>
      <sheetData sheetId="4906">
        <row r="4">
          <cell r="A4" t="str">
            <v>BẢNG TÍNH TOÁN, ĐO BÓC KHỐI LƯỢNG HOÀN THÀNH ĐƯA VÀO QUYẾT TOÁN</v>
          </cell>
        </row>
      </sheetData>
      <sheetData sheetId="4907">
        <row r="4">
          <cell r="A4" t="str">
            <v>BẢNG TÍNH TOÁN, ĐO BÓC KHỐI LƯỢNG HOÀN THÀNH ĐƯA VÀO QUYẾT TOÁN</v>
          </cell>
        </row>
      </sheetData>
      <sheetData sheetId="4908">
        <row r="4">
          <cell r="A4" t="str">
            <v>BẢNG TÍNH TOÁN, ĐO BÓC KHỐI LƯỢNG HOÀN THÀNH ĐƯA VÀO QUYẾT TOÁN</v>
          </cell>
        </row>
      </sheetData>
      <sheetData sheetId="4909">
        <row r="4">
          <cell r="A4" t="str">
            <v>BẢNG TÍNH TOÁN, ĐO BÓC KHỐI LƯỢNG HOÀN THÀNH ĐƯA VÀO QUYẾT TOÁN</v>
          </cell>
        </row>
      </sheetData>
      <sheetData sheetId="4910">
        <row r="4">
          <cell r="A4" t="str">
            <v>BẢNG TÍNH TOÁN, ĐO BÓC KHỐI LƯỢNG HOÀN THÀNH ĐƯA VÀO QUYẾT TOÁN</v>
          </cell>
        </row>
      </sheetData>
      <sheetData sheetId="4911">
        <row r="4">
          <cell r="A4" t="str">
            <v>BẢNG TÍNH TOÁN, ĐO BÓC KHỐI LƯỢNG HOÀN THÀNH ĐƯA VÀO QUYẾT TOÁN</v>
          </cell>
        </row>
      </sheetData>
      <sheetData sheetId="4912">
        <row r="4">
          <cell r="A4" t="str">
            <v>BẢNG TÍNH TOÁN, ĐO BÓC KHỐI LƯỢNG HOÀN THÀNH ĐƯA VÀO QUYẾT TOÁN</v>
          </cell>
        </row>
      </sheetData>
      <sheetData sheetId="4913">
        <row r="4">
          <cell r="A4" t="str">
            <v>BẢNG TÍNH TOÁN, ĐO BÓC KHỐI LƯỢNG HOÀN THÀNH ĐƯA VÀO QUYẾT TOÁN</v>
          </cell>
        </row>
      </sheetData>
      <sheetData sheetId="4914">
        <row r="4">
          <cell r="A4" t="str">
            <v>BẢNG TÍNH TOÁN, ĐO BÓC KHỐI LƯỢNG HOÀN THÀNH ĐƯA VÀO QUYẾT TOÁN</v>
          </cell>
        </row>
      </sheetData>
      <sheetData sheetId="4915">
        <row r="4">
          <cell r="A4" t="str">
            <v>BẢNG TÍNH TOÁN, ĐO BÓC KHỐI LƯỢNG HOÀN THÀNH ĐƯA VÀO QUYẾT TOÁN</v>
          </cell>
        </row>
      </sheetData>
      <sheetData sheetId="4916">
        <row r="4">
          <cell r="A4" t="str">
            <v>BẢNG TÍNH TOÁN, ĐO BÓC KHỐI LƯỢNG HOÀN THÀNH ĐƯA VÀO QUYẾT TOÁN</v>
          </cell>
        </row>
      </sheetData>
      <sheetData sheetId="4917">
        <row r="4">
          <cell r="A4" t="str">
            <v>BẢNG TÍNH TOÁN, ĐO BÓC KHỐI LƯỢNG HOÀN THÀNH ĐƯA VÀO QUYẾT TOÁN</v>
          </cell>
        </row>
      </sheetData>
      <sheetData sheetId="4918">
        <row r="4">
          <cell r="A4" t="str">
            <v>BẢNG TÍNH TOÁN, ĐO BÓC KHỐI LƯỢNG HOÀN THÀNH ĐƯA VÀO QUYẾT TOÁN</v>
          </cell>
        </row>
      </sheetData>
      <sheetData sheetId="4919">
        <row r="4">
          <cell r="A4" t="str">
            <v>BẢNG TÍNH TOÁN, ĐO BÓC KHỐI LƯỢNG HOÀN THÀNH ĐƯA VÀO QUYẾT TOÁN</v>
          </cell>
        </row>
      </sheetData>
      <sheetData sheetId="4920">
        <row r="4">
          <cell r="A4" t="str">
            <v>BẢNG TÍNH TOÁN, ĐO BÓC KHỐI LƯỢNG HOÀN THÀNH ĐƯA VÀO QUYẾT TOÁN</v>
          </cell>
        </row>
      </sheetData>
      <sheetData sheetId="4921">
        <row r="4">
          <cell r="A4" t="str">
            <v>BẢNG TÍNH TOÁN, ĐO BÓC KHỐI LƯỢNG HOÀN THÀNH ĐƯA VÀO QUYẾT TOÁN</v>
          </cell>
        </row>
      </sheetData>
      <sheetData sheetId="4922">
        <row r="4">
          <cell r="A4" t="str">
            <v>BẢNG TÍNH TOÁN, ĐO BÓC KHỐI LƯỢNG HOÀN THÀNH ĐƯA VÀO QUYẾT TOÁN</v>
          </cell>
        </row>
      </sheetData>
      <sheetData sheetId="4923">
        <row r="4">
          <cell r="A4" t="str">
            <v>BẢNG TÍNH TOÁN, ĐO BÓC KHỐI LƯỢNG HOÀN THÀNH ĐƯA VÀO QUYẾT TOÁN</v>
          </cell>
        </row>
      </sheetData>
      <sheetData sheetId="4924">
        <row r="4">
          <cell r="A4" t="str">
            <v>BẢNG TÍNH TOÁN, ĐO BÓC KHỐI LƯỢNG HOÀN THÀNH ĐƯA VÀO QUYẾT TOÁN</v>
          </cell>
        </row>
      </sheetData>
      <sheetData sheetId="4925">
        <row r="4">
          <cell r="A4" t="str">
            <v>BẢNG TÍNH TOÁN, ĐO BÓC KHỐI LƯỢNG HOÀN THÀNH ĐƯA VÀO QUYẾT TOÁN</v>
          </cell>
        </row>
      </sheetData>
      <sheetData sheetId="4926">
        <row r="4">
          <cell r="A4" t="str">
            <v>BẢNG TÍNH TOÁN, ĐO BÓC KHỐI LƯỢNG HOÀN THÀNH ĐƯA VÀO QUYẾT TOÁN</v>
          </cell>
        </row>
      </sheetData>
      <sheetData sheetId="4927">
        <row r="4">
          <cell r="A4" t="str">
            <v>BẢNG TÍNH TOÁN, ĐO BÓC KHỐI LƯỢNG HOÀN THÀNH ĐƯA VÀO QUYẾT TOÁN</v>
          </cell>
        </row>
      </sheetData>
      <sheetData sheetId="4928">
        <row r="4">
          <cell r="A4" t="str">
            <v>BẢNG TÍNH TOÁN, ĐO BÓC KHỐI LƯỢNG HOÀN THÀNH ĐƯA VÀO QUYẾT TOÁN</v>
          </cell>
        </row>
      </sheetData>
      <sheetData sheetId="4929">
        <row r="4">
          <cell r="A4" t="str">
            <v>BẢNG TÍNH TOÁN, ĐO BÓC KHỐI LƯỢNG HOÀN THÀNH ĐƯA VÀO QUYẾT TOÁN</v>
          </cell>
        </row>
      </sheetData>
      <sheetData sheetId="4930">
        <row r="4">
          <cell r="A4" t="str">
            <v>BẢNG TÍNH TOÁN, ĐO BÓC KHỐI LƯỢNG HOÀN THÀNH ĐƯA VÀO QUYẾT TOÁN</v>
          </cell>
        </row>
      </sheetData>
      <sheetData sheetId="4931">
        <row r="4">
          <cell r="A4" t="str">
            <v>BẢNG TÍNH TOÁN, ĐO BÓC KHỐI LƯỢNG HOÀN THÀNH ĐƯA VÀO QUYẾT TOÁN</v>
          </cell>
        </row>
      </sheetData>
      <sheetData sheetId="4932">
        <row r="4">
          <cell r="A4" t="str">
            <v>BẢNG TÍNH TOÁN, ĐO BÓC KHỐI LƯỢNG HOÀN THÀNH ĐƯA VÀO QUYẾT TOÁN</v>
          </cell>
        </row>
      </sheetData>
      <sheetData sheetId="4933">
        <row r="4">
          <cell r="A4" t="str">
            <v>BẢNG TÍNH TOÁN, ĐO BÓC KHỐI LƯỢNG HOÀN THÀNH ĐƯA VÀO QUYẾT TOÁN</v>
          </cell>
        </row>
      </sheetData>
      <sheetData sheetId="4934">
        <row r="4">
          <cell r="A4" t="str">
            <v>BẢNG TÍNH TOÁN, ĐO BÓC KHỐI LƯỢNG HOÀN THÀNH ĐƯA VÀO QUYẾT TOÁN</v>
          </cell>
        </row>
      </sheetData>
      <sheetData sheetId="4935">
        <row r="4">
          <cell r="A4" t="str">
            <v>BẢNG TÍNH TOÁN, ĐO BÓC KHỐI LƯỢNG HOÀN THÀNH ĐƯA VÀO QUYẾT TOÁN</v>
          </cell>
        </row>
      </sheetData>
      <sheetData sheetId="4936">
        <row r="4">
          <cell r="A4" t="str">
            <v>BẢNG TÍNH TOÁN, ĐO BÓC KHỐI LƯỢNG HOÀN THÀNH ĐƯA VÀO QUYẾT TOÁN</v>
          </cell>
        </row>
      </sheetData>
      <sheetData sheetId="4937">
        <row r="4">
          <cell r="A4" t="str">
            <v>BẢNG TÍNH TOÁN, ĐO BÓC KHỐI LƯỢNG HOÀN THÀNH ĐƯA VÀO QUYẾT TOÁN</v>
          </cell>
        </row>
      </sheetData>
      <sheetData sheetId="4938">
        <row r="4">
          <cell r="A4" t="str">
            <v>BẢNG TÍNH TOÁN, ĐO BÓC KHỐI LƯỢNG HOÀN THÀNH ĐƯA VÀO QUYẾT TOÁN</v>
          </cell>
        </row>
      </sheetData>
      <sheetData sheetId="4939">
        <row r="4">
          <cell r="A4" t="str">
            <v>BẢNG TÍNH TOÁN, ĐO BÓC KHỐI LƯỢNG HOÀN THÀNH ĐƯA VÀO QUYẾT TOÁN</v>
          </cell>
        </row>
      </sheetData>
      <sheetData sheetId="4940">
        <row r="4">
          <cell r="A4" t="str">
            <v>BẢNG TÍNH TOÁN, ĐO BÓC KHỐI LƯỢNG HOÀN THÀNH ĐƯA VÀO QUYẾT TOÁN</v>
          </cell>
        </row>
      </sheetData>
      <sheetData sheetId="4941">
        <row r="4">
          <cell r="A4" t="str">
            <v>BẢNG TÍNH TOÁN, ĐO BÓC KHỐI LƯỢNG HOÀN THÀNH ĐƯA VÀO QUYẾT TOÁN</v>
          </cell>
        </row>
      </sheetData>
      <sheetData sheetId="4942">
        <row r="4">
          <cell r="A4" t="str">
            <v>BẢNG TÍNH TOÁN, ĐO BÓC KHỐI LƯỢNG HOÀN THÀNH ĐƯA VÀO QUYẾT TOÁN</v>
          </cell>
        </row>
      </sheetData>
      <sheetData sheetId="4943">
        <row r="4">
          <cell r="A4" t="str">
            <v>BẢNG TÍNH TOÁN, ĐO BÓC KHỐI LƯỢNG HOÀN THÀNH ĐƯA VÀO QUYẾT TOÁN</v>
          </cell>
        </row>
      </sheetData>
      <sheetData sheetId="4944">
        <row r="4">
          <cell r="A4" t="str">
            <v>BẢNG TÍNH TOÁN, ĐO BÓC KHỐI LƯỢNG HOÀN THÀNH ĐƯA VÀO QUYẾT TOÁN</v>
          </cell>
        </row>
      </sheetData>
      <sheetData sheetId="4945">
        <row r="4">
          <cell r="A4" t="str">
            <v>BẢNG TÍNH TOÁN, ĐO BÓC KHỐI LƯỢNG HOÀN THÀNH ĐƯA VÀO QUYẾT TOÁN</v>
          </cell>
        </row>
      </sheetData>
      <sheetData sheetId="4946">
        <row r="4">
          <cell r="A4" t="str">
            <v>BẢNG TÍNH TOÁN, ĐO BÓC KHỐI LƯỢNG HOÀN THÀNH ĐƯA VÀO QUYẾT TOÁN</v>
          </cell>
        </row>
      </sheetData>
      <sheetData sheetId="4947">
        <row r="4">
          <cell r="A4" t="str">
            <v>BẢNG TÍNH TOÁN, ĐO BÓC KHỐI LƯỢNG HOÀN THÀNH ĐƯA VÀO QUYẾT TOÁN</v>
          </cell>
        </row>
      </sheetData>
      <sheetData sheetId="4948">
        <row r="4">
          <cell r="A4" t="str">
            <v>BẢNG TÍNH TOÁN, ĐO BÓC KHỐI LƯỢNG HOÀN THÀNH ĐƯA VÀO QUYẾT TOÁN</v>
          </cell>
        </row>
      </sheetData>
      <sheetData sheetId="4949">
        <row r="4">
          <cell r="A4" t="str">
            <v>BẢNG TÍNH TOÁN, ĐO BÓC KHỐI LƯỢNG HOÀN THÀNH ĐƯA VÀO QUYẾT TOÁN</v>
          </cell>
        </row>
      </sheetData>
      <sheetData sheetId="4950">
        <row r="4">
          <cell r="A4" t="str">
            <v>BẢNG TÍNH TOÁN, ĐO BÓC KHỐI LƯỢNG HOÀN THÀNH ĐƯA VÀO QUYẾT TOÁN</v>
          </cell>
        </row>
      </sheetData>
      <sheetData sheetId="4951">
        <row r="4">
          <cell r="A4" t="str">
            <v>BẢNG TÍNH TOÁN, ĐO BÓC KHỐI LƯỢNG HOÀN THÀNH ĐƯA VÀO QUYẾT TOÁN</v>
          </cell>
        </row>
      </sheetData>
      <sheetData sheetId="4952">
        <row r="4">
          <cell r="A4" t="str">
            <v>BẢNG TÍNH TOÁN, ĐO BÓC KHỐI LƯỢNG HOÀN THÀNH ĐƯA VÀO QUYẾT TOÁN</v>
          </cell>
        </row>
      </sheetData>
      <sheetData sheetId="4953">
        <row r="4">
          <cell r="A4" t="str">
            <v>BẢNG TÍNH TOÁN, ĐO BÓC KHỐI LƯỢNG HOÀN THÀNH ĐƯA VÀO QUYẾT TOÁN</v>
          </cell>
        </row>
      </sheetData>
      <sheetData sheetId="4954">
        <row r="4">
          <cell r="A4" t="str">
            <v>BẢNG TÍNH TOÁN, ĐO BÓC KHỐI LƯỢNG HOÀN THÀNH ĐƯA VÀO QUYẾT TOÁN</v>
          </cell>
        </row>
      </sheetData>
      <sheetData sheetId="4955">
        <row r="4">
          <cell r="A4" t="str">
            <v>BẢNG TÍNH TOÁN, ĐO BÓC KHỐI LƯỢNG HOÀN THÀNH ĐƯA VÀO QUYẾT TOÁN</v>
          </cell>
        </row>
      </sheetData>
      <sheetData sheetId="4956">
        <row r="4">
          <cell r="A4" t="str">
            <v>BẢNG TÍNH TOÁN, ĐO BÓC KHỐI LƯỢNG HOÀN THÀNH ĐƯA VÀO QUYẾT TOÁN</v>
          </cell>
        </row>
      </sheetData>
      <sheetData sheetId="4957">
        <row r="4">
          <cell r="A4" t="str">
            <v>BẢNG TÍNH TOÁN, ĐO BÓC KHỐI LƯỢNG HOÀN THÀNH ĐƯA VÀO QUYẾT TOÁN</v>
          </cell>
        </row>
      </sheetData>
      <sheetData sheetId="4958">
        <row r="4">
          <cell r="A4" t="str">
            <v>BẢNG TÍNH TOÁN, ĐO BÓC KHỐI LƯỢNG HOÀN THÀNH ĐƯA VÀO QUYẾT TOÁN</v>
          </cell>
        </row>
      </sheetData>
      <sheetData sheetId="4959">
        <row r="4">
          <cell r="A4" t="str">
            <v>BẢNG TÍNH TOÁN, ĐO BÓC KHỐI LƯỢNG HOÀN THÀNH ĐƯA VÀO QUYẾT TOÁN</v>
          </cell>
        </row>
      </sheetData>
      <sheetData sheetId="4960">
        <row r="4">
          <cell r="A4" t="str">
            <v>BẢNG TÍNH TOÁN, ĐO BÓC KHỐI LƯỢNG HOÀN THÀNH ĐƯA VÀO QUYẾT TOÁN</v>
          </cell>
        </row>
      </sheetData>
      <sheetData sheetId="4961">
        <row r="4">
          <cell r="A4" t="str">
            <v>BẢNG TÍNH TOÁN, ĐO BÓC KHỐI LƯỢNG HOÀN THÀNH ĐƯA VÀO QUYẾT TOÁN</v>
          </cell>
        </row>
      </sheetData>
      <sheetData sheetId="4962">
        <row r="4">
          <cell r="A4" t="str">
            <v>BẢNG TÍNH TOÁN, ĐO BÓC KHỐI LƯỢNG HOÀN THÀNH ĐƯA VÀO QUYẾT TOÁN</v>
          </cell>
        </row>
      </sheetData>
      <sheetData sheetId="4963">
        <row r="4">
          <cell r="A4" t="str">
            <v>BẢNG TÍNH TOÁN, ĐO BÓC KHỐI LƯỢNG HOÀN THÀNH ĐƯA VÀO QUYẾT TOÁN</v>
          </cell>
        </row>
      </sheetData>
      <sheetData sheetId="4964">
        <row r="4">
          <cell r="A4" t="str">
            <v>BẢNG TÍNH TOÁN, ĐO BÓC KHỐI LƯỢNG HOÀN THÀNH ĐƯA VÀO QUYẾT TOÁN</v>
          </cell>
        </row>
      </sheetData>
      <sheetData sheetId="4965">
        <row r="4">
          <cell r="A4" t="str">
            <v>BẢNG TÍNH TOÁN, ĐO BÓC KHỐI LƯỢNG HOÀN THÀNH ĐƯA VÀO QUYẾT TOÁN</v>
          </cell>
        </row>
      </sheetData>
      <sheetData sheetId="4966">
        <row r="4">
          <cell r="A4" t="str">
            <v>BẢNG TÍNH TOÁN, ĐO BÓC KHỐI LƯỢNG HOÀN THÀNH ĐƯA VÀO QUYẾT TOÁN</v>
          </cell>
        </row>
      </sheetData>
      <sheetData sheetId="4967">
        <row r="4">
          <cell r="A4" t="str">
            <v>BẢNG TÍNH TOÁN, ĐO BÓC KHỐI LƯỢNG HOÀN THÀNH ĐƯA VÀO QUYẾT TOÁN</v>
          </cell>
        </row>
      </sheetData>
      <sheetData sheetId="4968">
        <row r="4">
          <cell r="A4" t="str">
            <v>BẢNG TÍNH TOÁN, ĐO BÓC KHỐI LƯỢNG HOÀN THÀNH ĐƯA VÀO QUYẾT TOÁN</v>
          </cell>
        </row>
      </sheetData>
      <sheetData sheetId="4969">
        <row r="4">
          <cell r="A4" t="str">
            <v>BẢNG TÍNH TOÁN, ĐO BÓC KHỐI LƯỢNG HOÀN THÀNH ĐƯA VÀO QUYẾT TOÁN</v>
          </cell>
        </row>
      </sheetData>
      <sheetData sheetId="4970">
        <row r="4">
          <cell r="A4" t="str">
            <v>BẢNG TÍNH TOÁN, ĐO BÓC KHỐI LƯỢNG HOÀN THÀNH ĐƯA VÀO QUYẾT TOÁN</v>
          </cell>
        </row>
      </sheetData>
      <sheetData sheetId="4971">
        <row r="4">
          <cell r="A4" t="str">
            <v>BẢNG TÍNH TOÁN, ĐO BÓC KHỐI LƯỢNG HOÀN THÀNH ĐƯA VÀO QUYẾT TOÁN</v>
          </cell>
        </row>
      </sheetData>
      <sheetData sheetId="4972">
        <row r="4">
          <cell r="A4" t="str">
            <v>BẢNG TÍNH TOÁN, ĐO BÓC KHỐI LƯỢNG HOÀN THÀNH ĐƯA VÀO QUYẾT TOÁN</v>
          </cell>
        </row>
      </sheetData>
      <sheetData sheetId="4973">
        <row r="4">
          <cell r="A4" t="str">
            <v>BẢNG TÍNH TOÁN, ĐO BÓC KHỐI LƯỢNG HOÀN THÀNH ĐƯA VÀO QUYẾT TOÁN</v>
          </cell>
        </row>
      </sheetData>
      <sheetData sheetId="4974">
        <row r="4">
          <cell r="A4" t="str">
            <v>BẢNG TÍNH TOÁN, ĐO BÓC KHỐI LƯỢNG HOÀN THÀNH ĐƯA VÀO QUYẾT TOÁN</v>
          </cell>
        </row>
      </sheetData>
      <sheetData sheetId="4975">
        <row r="4">
          <cell r="A4" t="str">
            <v>BẢNG TÍNH TOÁN, ĐO BÓC KHỐI LƯỢNG HOÀN THÀNH ĐƯA VÀO QUYẾT TOÁN</v>
          </cell>
        </row>
      </sheetData>
      <sheetData sheetId="4976">
        <row r="4">
          <cell r="A4" t="str">
            <v>BẢNG TÍNH TOÁN, ĐO BÓC KHỐI LƯỢNG HOÀN THÀNH ĐƯA VÀO QUYẾT TOÁN</v>
          </cell>
        </row>
      </sheetData>
      <sheetData sheetId="4977">
        <row r="4">
          <cell r="A4" t="str">
            <v>BẢNG TÍNH TOÁN, ĐO BÓC KHỐI LƯỢNG HOÀN THÀNH ĐƯA VÀO QUYẾT TOÁN</v>
          </cell>
        </row>
      </sheetData>
      <sheetData sheetId="4978">
        <row r="4">
          <cell r="A4" t="str">
            <v>BẢNG TÍNH TOÁN, ĐO BÓC KHỐI LƯỢNG HOÀN THÀNH ĐƯA VÀO QUYẾT TOÁN</v>
          </cell>
        </row>
      </sheetData>
      <sheetData sheetId="4979">
        <row r="4">
          <cell r="A4" t="str">
            <v>BẢNG TÍNH TOÁN, ĐO BÓC KHỐI LƯỢNG HOÀN THÀNH ĐƯA VÀO QUYẾT TOÁN</v>
          </cell>
        </row>
      </sheetData>
      <sheetData sheetId="4980">
        <row r="4">
          <cell r="A4" t="str">
            <v>BẢNG TÍNH TOÁN, ĐO BÓC KHỐI LƯỢNG HOÀN THÀNH ĐƯA VÀO QUYẾT TOÁN</v>
          </cell>
        </row>
      </sheetData>
      <sheetData sheetId="4981">
        <row r="4">
          <cell r="A4" t="str">
            <v>BẢNG TÍNH TOÁN, ĐO BÓC KHỐI LƯỢNG HOÀN THÀNH ĐƯA VÀO QUYẾT TOÁN</v>
          </cell>
        </row>
      </sheetData>
      <sheetData sheetId="4982">
        <row r="4">
          <cell r="A4" t="str">
            <v>BẢNG TÍNH TOÁN, ĐO BÓC KHỐI LƯỢNG HOÀN THÀNH ĐƯA VÀO QUYẾT TOÁN</v>
          </cell>
        </row>
      </sheetData>
      <sheetData sheetId="4983">
        <row r="4">
          <cell r="A4" t="str">
            <v>BẢNG TÍNH TOÁN, ĐO BÓC KHỐI LƯỢNG HOÀN THÀNH ĐƯA VÀO QUYẾT TOÁN</v>
          </cell>
        </row>
      </sheetData>
      <sheetData sheetId="4984">
        <row r="4">
          <cell r="A4" t="str">
            <v>BẢNG TÍNH TOÁN, ĐO BÓC KHỐI LƯỢNG HOÀN THÀNH ĐƯA VÀO QUYẾT TOÁN</v>
          </cell>
        </row>
      </sheetData>
      <sheetData sheetId="4985">
        <row r="4">
          <cell r="A4" t="str">
            <v>BẢNG TÍNH TOÁN, ĐO BÓC KHỐI LƯỢNG HOÀN THÀNH ĐƯA VÀO QUYẾT TOÁN</v>
          </cell>
        </row>
      </sheetData>
      <sheetData sheetId="4986">
        <row r="4">
          <cell r="A4" t="str">
            <v>BẢNG TÍNH TOÁN, ĐO BÓC KHỐI LƯỢNG HOÀN THÀNH ĐƯA VÀO QUYẾT TOÁN</v>
          </cell>
        </row>
      </sheetData>
      <sheetData sheetId="4987">
        <row r="4">
          <cell r="A4" t="str">
            <v>BẢNG TÍNH TOÁN, ĐO BÓC KHỐI LƯỢNG HOÀN THÀNH ĐƯA VÀO QUYẾT TOÁN</v>
          </cell>
        </row>
      </sheetData>
      <sheetData sheetId="4988">
        <row r="4">
          <cell r="A4" t="str">
            <v>BẢNG TÍNH TOÁN, ĐO BÓC KHỐI LƯỢNG HOÀN THÀNH ĐƯA VÀO QUYẾT TOÁN</v>
          </cell>
        </row>
      </sheetData>
      <sheetData sheetId="4989">
        <row r="4">
          <cell r="A4" t="str">
            <v>BẢNG TÍNH TOÁN, ĐO BÓC KHỐI LƯỢNG HOÀN THÀNH ĐƯA VÀO QUYẾT TOÁN</v>
          </cell>
        </row>
      </sheetData>
      <sheetData sheetId="4990">
        <row r="4">
          <cell r="A4" t="str">
            <v>BẢNG TÍNH TOÁN, ĐO BÓC KHỐI LƯỢNG HOÀN THÀNH ĐƯA VÀO QUYẾT TOÁN</v>
          </cell>
        </row>
      </sheetData>
      <sheetData sheetId="4991">
        <row r="4">
          <cell r="A4" t="str">
            <v>BẢNG TÍNH TOÁN, ĐO BÓC KHỐI LƯỢNG HOÀN THÀNH ĐƯA VÀO QUYẾT TOÁN</v>
          </cell>
        </row>
      </sheetData>
      <sheetData sheetId="4992">
        <row r="4">
          <cell r="A4" t="str">
            <v>BẢNG TÍNH TOÁN, ĐO BÓC KHỐI LƯỢNG HOÀN THÀNH ĐƯA VÀO QUYẾT TOÁN</v>
          </cell>
        </row>
      </sheetData>
      <sheetData sheetId="4993">
        <row r="4">
          <cell r="A4" t="str">
            <v>BẢNG TÍNH TOÁN, ĐO BÓC KHỐI LƯỢNG HOÀN THÀNH ĐƯA VÀO QUYẾT TOÁN</v>
          </cell>
        </row>
      </sheetData>
      <sheetData sheetId="4994">
        <row r="4">
          <cell r="A4" t="str">
            <v>BẢNG TÍNH TOÁN, ĐO BÓC KHỐI LƯỢNG HOÀN THÀNH ĐƯA VÀO QUYẾT TOÁN</v>
          </cell>
        </row>
      </sheetData>
      <sheetData sheetId="4995">
        <row r="4">
          <cell r="A4" t="str">
            <v>BẢNG TÍNH TOÁN, ĐO BÓC KHỐI LƯỢNG HOÀN THÀNH ĐƯA VÀO QUYẾT TOÁN</v>
          </cell>
        </row>
      </sheetData>
      <sheetData sheetId="4996">
        <row r="4">
          <cell r="A4" t="str">
            <v>BẢNG TÍNH TOÁN, ĐO BÓC KHỐI LƯỢNG HOÀN THÀNH ĐƯA VÀO QUYẾT TOÁN</v>
          </cell>
        </row>
      </sheetData>
      <sheetData sheetId="4997">
        <row r="4">
          <cell r="A4" t="str">
            <v>BẢNG TÍNH TOÁN, ĐO BÓC KHỐI LƯỢNG HOÀN THÀNH ĐƯA VÀO QUYẾT TOÁN</v>
          </cell>
        </row>
      </sheetData>
      <sheetData sheetId="4998">
        <row r="4">
          <cell r="A4" t="str">
            <v>BẢNG TÍNH TOÁN, ĐO BÓC KHỐI LƯỢNG HOÀN THÀNH ĐƯA VÀO QUYẾT TOÁN</v>
          </cell>
        </row>
      </sheetData>
      <sheetData sheetId="4999">
        <row r="4">
          <cell r="A4" t="str">
            <v>BẢNG TÍNH TOÁN, ĐO BÓC KHỐI LƯỢNG HOÀN THÀNH ĐƯA VÀO QUYẾT TOÁN</v>
          </cell>
        </row>
      </sheetData>
      <sheetData sheetId="5000">
        <row r="4">
          <cell r="A4" t="str">
            <v>BẢNG TÍNH TOÁN, ĐO BÓC KHỐI LƯỢNG HOÀN THÀNH ĐƯA VÀO QUYẾT TOÁN</v>
          </cell>
        </row>
      </sheetData>
      <sheetData sheetId="5001">
        <row r="4">
          <cell r="A4" t="str">
            <v>BẢNG TÍNH TOÁN, ĐO BÓC KHỐI LƯỢNG HOÀN THÀNH ĐƯA VÀO QUYẾT TOÁN</v>
          </cell>
        </row>
      </sheetData>
      <sheetData sheetId="5002">
        <row r="4">
          <cell r="A4" t="str">
            <v>BẢNG TÍNH TOÁN, ĐO BÓC KHỐI LƯỢNG HOÀN THÀNH ĐƯA VÀO QUYẾT TOÁN</v>
          </cell>
        </row>
      </sheetData>
      <sheetData sheetId="5003">
        <row r="4">
          <cell r="A4" t="str">
            <v>BẢNG TÍNH TOÁN, ĐO BÓC KHỐI LƯỢNG HOÀN THÀNH ĐƯA VÀO QUYẾT TOÁN</v>
          </cell>
        </row>
      </sheetData>
      <sheetData sheetId="5004">
        <row r="4">
          <cell r="A4" t="str">
            <v>BẢNG TÍNH TOÁN, ĐO BÓC KHỐI LƯỢNG HOÀN THÀNH ĐƯA VÀO QUYẾT TOÁN</v>
          </cell>
        </row>
      </sheetData>
      <sheetData sheetId="5005">
        <row r="4">
          <cell r="A4" t="str">
            <v>BẢNG TÍNH TOÁN, ĐO BÓC KHỐI LƯỢNG HOÀN THÀNH ĐƯA VÀO QUYẾT TOÁN</v>
          </cell>
        </row>
      </sheetData>
      <sheetData sheetId="5006">
        <row r="4">
          <cell r="A4" t="str">
            <v>BẢNG TÍNH TOÁN, ĐO BÓC KHỐI LƯỢNG HOÀN THÀNH ĐƯA VÀO QUYẾT TOÁN</v>
          </cell>
        </row>
      </sheetData>
      <sheetData sheetId="5007">
        <row r="4">
          <cell r="A4" t="str">
            <v>BẢNG TÍNH TOÁN, ĐO BÓC KHỐI LƯỢNG HOÀN THÀNH ĐƯA VÀO QUYẾT TOÁN</v>
          </cell>
        </row>
      </sheetData>
      <sheetData sheetId="5008">
        <row r="4">
          <cell r="A4" t="str">
            <v>BẢNG TÍNH TOÁN, ĐO BÓC KHỐI LƯỢNG HOÀN THÀNH ĐƯA VÀO QUYẾT TOÁN</v>
          </cell>
        </row>
      </sheetData>
      <sheetData sheetId="5009">
        <row r="4">
          <cell r="A4" t="str">
            <v>BẢNG TÍNH TOÁN, ĐO BÓC KHỐI LƯỢNG HOÀN THÀNH ĐƯA VÀO QUYẾT TOÁN</v>
          </cell>
        </row>
      </sheetData>
      <sheetData sheetId="5010">
        <row r="4">
          <cell r="A4" t="str">
            <v>BẢNG TÍNH TOÁN, ĐO BÓC KHỐI LƯỢNG HOÀN THÀNH ĐƯA VÀO QUYẾT TOÁN</v>
          </cell>
        </row>
      </sheetData>
      <sheetData sheetId="5011">
        <row r="4">
          <cell r="A4" t="str">
            <v>BẢNG TÍNH TOÁN, ĐO BÓC KHỐI LƯỢNG HOÀN THÀNH ĐƯA VÀO QUYẾT TOÁN</v>
          </cell>
        </row>
      </sheetData>
      <sheetData sheetId="5012">
        <row r="4">
          <cell r="A4" t="str">
            <v>BẢNG TÍNH TOÁN, ĐO BÓC KHỐI LƯỢNG HOÀN THÀNH ĐƯA VÀO QUYẾT TOÁN</v>
          </cell>
        </row>
      </sheetData>
      <sheetData sheetId="5013">
        <row r="4">
          <cell r="A4" t="str">
            <v>BẢNG TÍNH TOÁN, ĐO BÓC KHỐI LƯỢNG HOÀN THÀNH ĐƯA VÀO QUYẾT TOÁN</v>
          </cell>
        </row>
      </sheetData>
      <sheetData sheetId="5014">
        <row r="4">
          <cell r="A4" t="str">
            <v>BẢNG TÍNH TOÁN, ĐO BÓC KHỐI LƯỢNG HOÀN THÀNH ĐƯA VÀO QUYẾT TOÁN</v>
          </cell>
        </row>
      </sheetData>
      <sheetData sheetId="5015">
        <row r="4">
          <cell r="A4" t="str">
            <v>BẢNG TÍNH TOÁN, ĐO BÓC KHỐI LƯỢNG HOÀN THÀNH ĐƯA VÀO QUYẾT TOÁN</v>
          </cell>
        </row>
      </sheetData>
      <sheetData sheetId="5016">
        <row r="4">
          <cell r="A4" t="str">
            <v>BẢNG TÍNH TOÁN, ĐO BÓC KHỐI LƯỢNG HOÀN THÀNH ĐƯA VÀO QUYẾT TOÁN</v>
          </cell>
        </row>
      </sheetData>
      <sheetData sheetId="5017">
        <row r="4">
          <cell r="A4" t="str">
            <v>BẢNG TÍNH TOÁN, ĐO BÓC KHỐI LƯỢNG HOÀN THÀNH ĐƯA VÀO QUYẾT TOÁN</v>
          </cell>
        </row>
      </sheetData>
      <sheetData sheetId="5018">
        <row r="4">
          <cell r="A4" t="str">
            <v>BẢNG TÍNH TOÁN, ĐO BÓC KHỐI LƯỢNG HOÀN THÀNH ĐƯA VÀO QUYẾT TOÁN</v>
          </cell>
        </row>
      </sheetData>
      <sheetData sheetId="5019">
        <row r="4">
          <cell r="A4" t="str">
            <v>BẢNG TÍNH TOÁN, ĐO BÓC KHỐI LƯỢNG HOÀN THÀNH ĐƯA VÀO QUYẾT TOÁN</v>
          </cell>
        </row>
      </sheetData>
      <sheetData sheetId="5020">
        <row r="4">
          <cell r="A4" t="str">
            <v>BẢNG TÍNH TOÁN, ĐO BÓC KHỐI LƯỢNG HOÀN THÀNH ĐƯA VÀO QUYẾT TOÁN</v>
          </cell>
        </row>
      </sheetData>
      <sheetData sheetId="5021">
        <row r="4">
          <cell r="A4" t="str">
            <v>BẢNG TÍNH TOÁN, ĐO BÓC KHỐI LƯỢNG HOÀN THÀNH ĐƯA VÀO QUYẾT TOÁN</v>
          </cell>
        </row>
      </sheetData>
      <sheetData sheetId="5022">
        <row r="4">
          <cell r="A4" t="str">
            <v>BẢNG TÍNH TOÁN, ĐO BÓC KHỐI LƯỢNG HOÀN THÀNH ĐƯA VÀO QUYẾT TOÁN</v>
          </cell>
        </row>
      </sheetData>
      <sheetData sheetId="5023">
        <row r="4">
          <cell r="A4" t="str">
            <v>BẢNG TÍNH TOÁN, ĐO BÓC KHỐI LƯỢNG HOÀN THÀNH ĐƯA VÀO QUYẾT TOÁN</v>
          </cell>
        </row>
      </sheetData>
      <sheetData sheetId="5024">
        <row r="4">
          <cell r="A4" t="str">
            <v>BẢNG TÍNH TOÁN, ĐO BÓC KHỐI LƯỢNG HOÀN THÀNH ĐƯA VÀO QUYẾT TOÁN</v>
          </cell>
        </row>
      </sheetData>
      <sheetData sheetId="5025">
        <row r="4">
          <cell r="A4" t="str">
            <v>BẢNG TÍNH TOÁN, ĐO BÓC KHỐI LƯỢNG HOÀN THÀNH ĐƯA VÀO QUYẾT TOÁN</v>
          </cell>
        </row>
      </sheetData>
      <sheetData sheetId="5026">
        <row r="4">
          <cell r="A4" t="str">
            <v>BẢNG TÍNH TOÁN, ĐO BÓC KHỐI LƯỢNG HOÀN THÀNH ĐƯA VÀO QUYẾT TOÁN</v>
          </cell>
        </row>
      </sheetData>
      <sheetData sheetId="5027">
        <row r="4">
          <cell r="A4" t="str">
            <v>BẢNG TÍNH TOÁN, ĐO BÓC KHỐI LƯỢNG HOÀN THÀNH ĐƯA VÀO QUYẾT TOÁN</v>
          </cell>
        </row>
      </sheetData>
      <sheetData sheetId="5028">
        <row r="4">
          <cell r="A4" t="str">
            <v>BẢNG TÍNH TOÁN, ĐO BÓC KHỐI LƯỢNG HOÀN THÀNH ĐƯA VÀO QUYẾT TOÁN</v>
          </cell>
        </row>
      </sheetData>
      <sheetData sheetId="5029">
        <row r="4">
          <cell r="A4" t="str">
            <v>BẢNG TÍNH TOÁN, ĐO BÓC KHỐI LƯỢNG HOÀN THÀNH ĐƯA VÀO QUYẾT TOÁN</v>
          </cell>
        </row>
      </sheetData>
      <sheetData sheetId="5030">
        <row r="4">
          <cell r="A4" t="str">
            <v>BẢNG TÍNH TOÁN, ĐO BÓC KHỐI LƯỢNG HOÀN THÀNH ĐƯA VÀO QUYẾT TOÁN</v>
          </cell>
        </row>
      </sheetData>
      <sheetData sheetId="5031">
        <row r="4">
          <cell r="A4" t="str">
            <v>BẢNG TÍNH TOÁN, ĐO BÓC KHỐI LƯỢNG HOÀN THÀNH ĐƯA VÀO QUYẾT TOÁN</v>
          </cell>
        </row>
      </sheetData>
      <sheetData sheetId="5032">
        <row r="4">
          <cell r="A4" t="str">
            <v>BẢNG TÍNH TOÁN, ĐO BÓC KHỐI LƯỢNG HOÀN THÀNH ĐƯA VÀO QUYẾT TOÁN</v>
          </cell>
        </row>
      </sheetData>
      <sheetData sheetId="5033">
        <row r="4">
          <cell r="A4" t="str">
            <v>BẢNG TÍNH TOÁN, ĐO BÓC KHỐI LƯỢNG HOÀN THÀNH ĐƯA VÀO QUYẾT TOÁN</v>
          </cell>
        </row>
      </sheetData>
      <sheetData sheetId="5034">
        <row r="4">
          <cell r="A4" t="str">
            <v>BẢNG TÍNH TOÁN, ĐO BÓC KHỐI LƯỢNG HOÀN THÀNH ĐƯA VÀO QUYẾT TOÁN</v>
          </cell>
        </row>
      </sheetData>
      <sheetData sheetId="5035">
        <row r="4">
          <cell r="A4" t="str">
            <v>BẢNG TÍNH TOÁN, ĐO BÓC KHỐI LƯỢNG HOÀN THÀNH ĐƯA VÀO QUYẾT TOÁN</v>
          </cell>
        </row>
      </sheetData>
      <sheetData sheetId="5036">
        <row r="4">
          <cell r="A4" t="str">
            <v>BẢNG TÍNH TOÁN, ĐO BÓC KHỐI LƯỢNG HOÀN THÀNH ĐƯA VÀO QUYẾT TOÁN</v>
          </cell>
        </row>
      </sheetData>
      <sheetData sheetId="5037">
        <row r="4">
          <cell r="A4" t="str">
            <v>BẢNG TÍNH TOÁN, ĐO BÓC KHỐI LƯỢNG HOÀN THÀNH ĐƯA VÀO QUYẾT TOÁN</v>
          </cell>
        </row>
      </sheetData>
      <sheetData sheetId="5038">
        <row r="4">
          <cell r="A4" t="str">
            <v>BẢNG TÍNH TOÁN, ĐO BÓC KHỐI LƯỢNG HOÀN THÀNH ĐƯA VÀO QUYẾT TOÁN</v>
          </cell>
        </row>
      </sheetData>
      <sheetData sheetId="5039">
        <row r="4">
          <cell r="A4" t="str">
            <v>BẢNG TÍNH TOÁN, ĐO BÓC KHỐI LƯỢNG HOÀN THÀNH ĐƯA VÀO QUYẾT TOÁN</v>
          </cell>
        </row>
      </sheetData>
      <sheetData sheetId="5040">
        <row r="4">
          <cell r="A4" t="str">
            <v>BẢNG TÍNH TOÁN, ĐO BÓC KHỐI LƯỢNG HOÀN THÀNH ĐƯA VÀO QUYẾT TOÁN</v>
          </cell>
        </row>
      </sheetData>
      <sheetData sheetId="5041">
        <row r="4">
          <cell r="A4" t="str">
            <v>BẢNG TÍNH TOÁN, ĐO BÓC KHỐI LƯỢNG HOÀN THÀNH ĐƯA VÀO QUYẾT TOÁN</v>
          </cell>
        </row>
      </sheetData>
      <sheetData sheetId="5042">
        <row r="4">
          <cell r="A4" t="str">
            <v>BẢNG TÍNH TOÁN, ĐO BÓC KHỐI LƯỢNG HOÀN THÀNH ĐƯA VÀO QUYẾT TOÁN</v>
          </cell>
        </row>
      </sheetData>
      <sheetData sheetId="5043">
        <row r="4">
          <cell r="A4" t="str">
            <v>BẢNG TÍNH TOÁN, ĐO BÓC KHỐI LƯỢNG HOÀN THÀNH ĐƯA VÀO QUYẾT TOÁN</v>
          </cell>
        </row>
      </sheetData>
      <sheetData sheetId="5044">
        <row r="4">
          <cell r="A4" t="str">
            <v>BẢNG TÍNH TOÁN, ĐO BÓC KHỐI LƯỢNG HOÀN THÀNH ĐƯA VÀO QUYẾT TOÁN</v>
          </cell>
        </row>
      </sheetData>
      <sheetData sheetId="5045">
        <row r="4">
          <cell r="A4" t="str">
            <v>BẢNG TÍNH TOÁN, ĐO BÓC KHỐI LƯỢNG HOÀN THÀNH ĐƯA VÀO QUYẾT TOÁN</v>
          </cell>
        </row>
      </sheetData>
      <sheetData sheetId="5046">
        <row r="4">
          <cell r="A4" t="str">
            <v>BẢNG TÍNH TOÁN, ĐO BÓC KHỐI LƯỢNG HOÀN THÀNH ĐƯA VÀO QUYẾT TOÁN</v>
          </cell>
        </row>
      </sheetData>
      <sheetData sheetId="5047">
        <row r="4">
          <cell r="A4" t="str">
            <v>BẢNG TÍNH TOÁN, ĐO BÓC KHỐI LƯỢNG HOÀN THÀNH ĐƯA VÀO QUYẾT TOÁN</v>
          </cell>
        </row>
      </sheetData>
      <sheetData sheetId="5048">
        <row r="4">
          <cell r="A4" t="str">
            <v>BẢNG TÍNH TOÁN, ĐO BÓC KHỐI LƯỢNG HOÀN THÀNH ĐƯA VÀO QUYẾT TOÁN</v>
          </cell>
        </row>
      </sheetData>
      <sheetData sheetId="5049">
        <row r="4">
          <cell r="A4" t="str">
            <v>BẢNG TÍNH TOÁN, ĐO BÓC KHỐI LƯỢNG HOÀN THÀNH ĐƯA VÀO QUYẾT TOÁN</v>
          </cell>
        </row>
      </sheetData>
      <sheetData sheetId="5050">
        <row r="4">
          <cell r="A4" t="str">
            <v>BẢNG TÍNH TOÁN, ĐO BÓC KHỐI LƯỢNG HOÀN THÀNH ĐƯA VÀO QUYẾT TOÁN</v>
          </cell>
        </row>
      </sheetData>
      <sheetData sheetId="5051">
        <row r="4">
          <cell r="A4" t="str">
            <v>BẢNG TÍNH TOÁN, ĐO BÓC KHỐI LƯỢNG HOÀN THÀNH ĐƯA VÀO QUYẾT TOÁN</v>
          </cell>
        </row>
      </sheetData>
      <sheetData sheetId="5052">
        <row r="4">
          <cell r="A4" t="str">
            <v>BẢNG TÍNH TOÁN, ĐO BÓC KHỐI LƯỢNG HOÀN THÀNH ĐƯA VÀO QUYẾT TOÁN</v>
          </cell>
        </row>
      </sheetData>
      <sheetData sheetId="5053">
        <row r="4">
          <cell r="A4" t="str">
            <v>BẢNG TÍNH TOÁN, ĐO BÓC KHỐI LƯỢNG HOÀN THÀNH ĐƯA VÀO QUYẾT TOÁN</v>
          </cell>
        </row>
      </sheetData>
      <sheetData sheetId="5054">
        <row r="4">
          <cell r="A4" t="str">
            <v>BẢNG TÍNH TOÁN, ĐO BÓC KHỐI LƯỢNG HOÀN THÀNH ĐƯA VÀO QUYẾT TOÁN</v>
          </cell>
        </row>
      </sheetData>
      <sheetData sheetId="5055">
        <row r="4">
          <cell r="A4" t="str">
            <v>BẢNG TÍNH TOÁN, ĐO BÓC KHỐI LƯỢNG HOÀN THÀNH ĐƯA VÀO QUYẾT TOÁN</v>
          </cell>
        </row>
      </sheetData>
      <sheetData sheetId="5056">
        <row r="4">
          <cell r="A4" t="str">
            <v>BẢNG TÍNH TOÁN, ĐO BÓC KHỐI LƯỢNG HOÀN THÀNH ĐƯA VÀO QUYẾT TOÁN</v>
          </cell>
        </row>
      </sheetData>
      <sheetData sheetId="5057">
        <row r="4">
          <cell r="A4" t="str">
            <v>BẢNG TÍNH TOÁN, ĐO BÓC KHỐI LƯỢNG HOÀN THÀNH ĐƯA VÀO QUYẾT TOÁN</v>
          </cell>
        </row>
      </sheetData>
      <sheetData sheetId="5058">
        <row r="4">
          <cell r="A4" t="str">
            <v>BẢNG TÍNH TOÁN, ĐO BÓC KHỐI LƯỢNG HOÀN THÀNH ĐƯA VÀO QUYẾT TOÁN</v>
          </cell>
        </row>
      </sheetData>
      <sheetData sheetId="5059">
        <row r="4">
          <cell r="A4" t="str">
            <v>BẢNG TÍNH TOÁN, ĐO BÓC KHỐI LƯỢNG HOÀN THÀNH ĐƯA VÀO QUYẾT TOÁN</v>
          </cell>
        </row>
      </sheetData>
      <sheetData sheetId="5060">
        <row r="4">
          <cell r="A4" t="str">
            <v>BẢNG TÍNH TOÁN, ĐO BÓC KHỐI LƯỢNG HOÀN THÀNH ĐƯA VÀO QUYẾT TOÁN</v>
          </cell>
        </row>
      </sheetData>
      <sheetData sheetId="5061">
        <row r="4">
          <cell r="A4" t="str">
            <v>BẢNG TÍNH TOÁN, ĐO BÓC KHỐI LƯỢNG HOÀN THÀNH ĐƯA VÀO QUYẾT TOÁN</v>
          </cell>
        </row>
      </sheetData>
      <sheetData sheetId="5062">
        <row r="4">
          <cell r="A4" t="str">
            <v>BẢNG TÍNH TOÁN, ĐO BÓC KHỐI LƯỢNG HOÀN THÀNH ĐƯA VÀO QUYẾT TOÁN</v>
          </cell>
        </row>
      </sheetData>
      <sheetData sheetId="5063">
        <row r="4">
          <cell r="A4" t="str">
            <v>BẢNG TÍNH TOÁN, ĐO BÓC KHỐI LƯỢNG HOÀN THÀNH ĐƯA VÀO QUYẾT TOÁN</v>
          </cell>
        </row>
      </sheetData>
      <sheetData sheetId="5064">
        <row r="4">
          <cell r="A4" t="str">
            <v>BẢNG TÍNH TOÁN, ĐO BÓC KHỐI LƯỢNG HOÀN THÀNH ĐƯA VÀO QUYẾT TOÁN</v>
          </cell>
        </row>
      </sheetData>
      <sheetData sheetId="5065">
        <row r="4">
          <cell r="A4" t="str">
            <v>BẢNG TÍNH TOÁN, ĐO BÓC KHỐI LƯỢNG HOÀN THÀNH ĐƯA VÀO QUYẾT TOÁN</v>
          </cell>
        </row>
      </sheetData>
      <sheetData sheetId="5066">
        <row r="4">
          <cell r="A4" t="str">
            <v>BẢNG TÍNH TOÁN, ĐO BÓC KHỐI LƯỢNG HOÀN THÀNH ĐƯA VÀO QUYẾT TOÁN</v>
          </cell>
        </row>
      </sheetData>
      <sheetData sheetId="5067">
        <row r="4">
          <cell r="A4" t="str">
            <v>BẢNG TÍNH TOÁN, ĐO BÓC KHỐI LƯỢNG HOÀN THÀNH ĐƯA VÀO QUYẾT TOÁN</v>
          </cell>
        </row>
      </sheetData>
      <sheetData sheetId="5068">
        <row r="4">
          <cell r="A4" t="str">
            <v>BẢNG TÍNH TOÁN, ĐO BÓC KHỐI LƯỢNG HOÀN THÀNH ĐƯA VÀO QUYẾT TOÁN</v>
          </cell>
        </row>
      </sheetData>
      <sheetData sheetId="5069">
        <row r="4">
          <cell r="A4" t="str">
            <v>BẢNG TÍNH TOÁN, ĐO BÓC KHỐI LƯỢNG HOÀN THÀNH ĐƯA VÀO QUYẾT TOÁN</v>
          </cell>
        </row>
      </sheetData>
      <sheetData sheetId="5070">
        <row r="4">
          <cell r="A4" t="str">
            <v>BẢNG TÍNH TOÁN, ĐO BÓC KHỐI LƯỢNG HOÀN THÀNH ĐƯA VÀO QUYẾT TOÁN</v>
          </cell>
        </row>
      </sheetData>
      <sheetData sheetId="5071">
        <row r="4">
          <cell r="A4" t="str">
            <v>BẢNG TÍNH TOÁN, ĐO BÓC KHỐI LƯỢNG HOÀN THÀNH ĐƯA VÀO QUYẾT TOÁN</v>
          </cell>
        </row>
      </sheetData>
      <sheetData sheetId="5072">
        <row r="4">
          <cell r="A4" t="str">
            <v>BẢNG TÍNH TOÁN, ĐO BÓC KHỐI LƯỢNG HOÀN THÀNH ĐƯA VÀO QUYẾT TOÁN</v>
          </cell>
        </row>
      </sheetData>
      <sheetData sheetId="5073">
        <row r="4">
          <cell r="A4" t="str">
            <v>BẢNG TÍNH TOÁN, ĐO BÓC KHỐI LƯỢNG HOÀN THÀNH ĐƯA VÀO QUYẾT TOÁN</v>
          </cell>
        </row>
      </sheetData>
      <sheetData sheetId="5074">
        <row r="4">
          <cell r="A4" t="str">
            <v>BẢNG TÍNH TOÁN, ĐO BÓC KHỐI LƯỢNG HOÀN THÀNH ĐƯA VÀO QUYẾT TOÁN</v>
          </cell>
        </row>
      </sheetData>
      <sheetData sheetId="5075">
        <row r="4">
          <cell r="A4" t="str">
            <v>BẢNG TÍNH TOÁN, ĐO BÓC KHỐI LƯỢNG HOÀN THÀNH ĐƯA VÀO QUYẾT TOÁN</v>
          </cell>
        </row>
      </sheetData>
      <sheetData sheetId="5076">
        <row r="4">
          <cell r="A4" t="str">
            <v>BẢNG TÍNH TOÁN, ĐO BÓC KHỐI LƯỢNG HOÀN THÀNH ĐƯA VÀO QUYẾT TOÁN</v>
          </cell>
        </row>
      </sheetData>
      <sheetData sheetId="5077">
        <row r="4">
          <cell r="A4" t="str">
            <v>BẢNG TÍNH TOÁN, ĐO BÓC KHỐI LƯỢNG HOÀN THÀNH ĐƯA VÀO QUYẾT TOÁN</v>
          </cell>
        </row>
      </sheetData>
      <sheetData sheetId="5078">
        <row r="4">
          <cell r="A4" t="str">
            <v>BẢNG TÍNH TOÁN, ĐO BÓC KHỐI LƯỢNG HOÀN THÀNH ĐƯA VÀO QUYẾT TOÁN</v>
          </cell>
        </row>
      </sheetData>
      <sheetData sheetId="5079">
        <row r="4">
          <cell r="A4" t="str">
            <v>BẢNG TÍNH TOÁN, ĐO BÓC KHỐI LƯỢNG HOÀN THÀNH ĐƯA VÀO QUYẾT TOÁN</v>
          </cell>
        </row>
      </sheetData>
      <sheetData sheetId="5080">
        <row r="4">
          <cell r="A4" t="str">
            <v>BẢNG TÍNH TOÁN, ĐO BÓC KHỐI LƯỢNG HOÀN THÀNH ĐƯA VÀO QUYẾT TOÁN</v>
          </cell>
        </row>
      </sheetData>
      <sheetData sheetId="5081">
        <row r="4">
          <cell r="A4" t="str">
            <v>BẢNG TÍNH TOÁN, ĐO BÓC KHỐI LƯỢNG HOÀN THÀNH ĐƯA VÀO QUYẾT TOÁN</v>
          </cell>
        </row>
      </sheetData>
      <sheetData sheetId="5082">
        <row r="4">
          <cell r="A4" t="str">
            <v>BẢNG TÍNH TOÁN, ĐO BÓC KHỐI LƯỢNG HOÀN THÀNH ĐƯA VÀO QUYẾT TOÁN</v>
          </cell>
        </row>
      </sheetData>
      <sheetData sheetId="5083">
        <row r="4">
          <cell r="A4" t="str">
            <v>BẢNG TÍNH TOÁN, ĐO BÓC KHỐI LƯỢNG HOÀN THÀNH ĐƯA VÀO QUYẾT TOÁN</v>
          </cell>
        </row>
      </sheetData>
      <sheetData sheetId="5084">
        <row r="4">
          <cell r="A4" t="str">
            <v>BẢNG TÍNH TOÁN, ĐO BÓC KHỐI LƯỢNG HOÀN THÀNH ĐƯA VÀO QUYẾT TOÁN</v>
          </cell>
        </row>
      </sheetData>
      <sheetData sheetId="5085">
        <row r="4">
          <cell r="A4" t="str">
            <v>BẢNG TÍNH TOÁN, ĐO BÓC KHỐI LƯỢNG HOÀN THÀNH ĐƯA VÀO QUYẾT TOÁN</v>
          </cell>
        </row>
      </sheetData>
      <sheetData sheetId="5086">
        <row r="4">
          <cell r="A4" t="str">
            <v>BẢNG TÍNH TOÁN, ĐO BÓC KHỐI LƯỢNG HOÀN THÀNH ĐƯA VÀO QUYẾT TOÁN</v>
          </cell>
        </row>
      </sheetData>
      <sheetData sheetId="5087">
        <row r="4">
          <cell r="A4" t="str">
            <v>BẢNG TÍNH TOÁN, ĐO BÓC KHỐI LƯỢNG HOÀN THÀNH ĐƯA VÀO QUYẾT TOÁN</v>
          </cell>
        </row>
      </sheetData>
      <sheetData sheetId="5088">
        <row r="4">
          <cell r="A4" t="str">
            <v>BẢNG TÍNH TOÁN, ĐO BÓC KHỐI LƯỢNG HOÀN THÀNH ĐƯA VÀO QUYẾT TOÁN</v>
          </cell>
        </row>
      </sheetData>
      <sheetData sheetId="5089">
        <row r="4">
          <cell r="A4" t="str">
            <v>BẢNG TÍNH TOÁN, ĐO BÓC KHỐI LƯỢNG HOÀN THÀNH ĐƯA VÀO QUYẾT TOÁN</v>
          </cell>
        </row>
      </sheetData>
      <sheetData sheetId="5090">
        <row r="4">
          <cell r="A4" t="str">
            <v>BẢNG TÍNH TOÁN, ĐO BÓC KHỐI LƯỢNG HOÀN THÀNH ĐƯA VÀO QUYẾT TOÁN</v>
          </cell>
        </row>
      </sheetData>
      <sheetData sheetId="5091">
        <row r="4">
          <cell r="A4" t="str">
            <v>BẢNG TÍNH TOÁN, ĐO BÓC KHỐI LƯỢNG HOÀN THÀNH ĐƯA VÀO QUYẾT TOÁN</v>
          </cell>
        </row>
      </sheetData>
      <sheetData sheetId="5092">
        <row r="4">
          <cell r="A4" t="str">
            <v>BẢNG TÍNH TOÁN, ĐO BÓC KHỐI LƯỢNG HOÀN THÀNH ĐƯA VÀO QUYẾT TOÁN</v>
          </cell>
        </row>
      </sheetData>
      <sheetData sheetId="5093">
        <row r="4">
          <cell r="A4" t="str">
            <v>BẢNG TÍNH TOÁN, ĐO BÓC KHỐI LƯỢNG HOÀN THÀNH ĐƯA VÀO QUYẾT TOÁN</v>
          </cell>
        </row>
      </sheetData>
      <sheetData sheetId="5094">
        <row r="4">
          <cell r="A4" t="str">
            <v>BẢNG TÍNH TOÁN, ĐO BÓC KHỐI LƯỢNG HOÀN THÀNH ĐƯA VÀO QUYẾT TOÁN</v>
          </cell>
        </row>
      </sheetData>
      <sheetData sheetId="5095">
        <row r="4">
          <cell r="A4" t="str">
            <v>BẢNG TÍNH TOÁN, ĐO BÓC KHỐI LƯỢNG HOÀN THÀNH ĐƯA VÀO QUYẾT TOÁN</v>
          </cell>
        </row>
      </sheetData>
      <sheetData sheetId="5096">
        <row r="4">
          <cell r="A4" t="str">
            <v>BẢNG TÍNH TOÁN, ĐO BÓC KHỐI LƯỢNG HOÀN THÀNH ĐƯA VÀO QUYẾT TOÁN</v>
          </cell>
        </row>
      </sheetData>
      <sheetData sheetId="5097">
        <row r="4">
          <cell r="A4" t="str">
            <v>BẢNG TÍNH TOÁN, ĐO BÓC KHỐI LƯỢNG HOÀN THÀNH ĐƯA VÀO QUYẾT TOÁN</v>
          </cell>
        </row>
      </sheetData>
      <sheetData sheetId="5098">
        <row r="4">
          <cell r="A4" t="str">
            <v>BẢNG TÍNH TOÁN, ĐO BÓC KHỐI LƯỢNG HOÀN THÀNH ĐƯA VÀO QUYẾT TOÁN</v>
          </cell>
        </row>
      </sheetData>
      <sheetData sheetId="5099">
        <row r="4">
          <cell r="A4" t="str">
            <v>BẢNG TÍNH TOÁN, ĐO BÓC KHỐI LƯỢNG HOÀN THÀNH ĐƯA VÀO QUYẾT TOÁN</v>
          </cell>
        </row>
      </sheetData>
      <sheetData sheetId="5100">
        <row r="4">
          <cell r="A4" t="str">
            <v>BẢNG TÍNH TOÁN, ĐO BÓC KHỐI LƯỢNG HOÀN THÀNH ĐƯA VÀO QUYẾT TOÁN</v>
          </cell>
        </row>
      </sheetData>
      <sheetData sheetId="5101">
        <row r="4">
          <cell r="A4" t="str">
            <v>BẢNG TÍNH TOÁN, ĐO BÓC KHỐI LƯỢNG HOÀN THÀNH ĐƯA VÀO QUYẾT TOÁN</v>
          </cell>
        </row>
      </sheetData>
      <sheetData sheetId="5102">
        <row r="4">
          <cell r="A4" t="str">
            <v>BẢNG TÍNH TOÁN, ĐO BÓC KHỐI LƯỢNG HOÀN THÀNH ĐƯA VÀO QUYẾT TOÁN</v>
          </cell>
        </row>
      </sheetData>
      <sheetData sheetId="5103">
        <row r="4">
          <cell r="A4" t="str">
            <v>BẢNG TÍNH TOÁN, ĐO BÓC KHỐI LƯỢNG HOÀN THÀNH ĐƯA VÀO QUYẾT TOÁN</v>
          </cell>
        </row>
      </sheetData>
      <sheetData sheetId="5104">
        <row r="4">
          <cell r="A4" t="str">
            <v>BẢNG TÍNH TOÁN, ĐO BÓC KHỐI LƯỢNG HOÀN THÀNH ĐƯA VÀO QUYẾT TOÁN</v>
          </cell>
        </row>
      </sheetData>
      <sheetData sheetId="5105">
        <row r="4">
          <cell r="A4" t="str">
            <v>BẢNG TÍNH TOÁN, ĐO BÓC KHỐI LƯỢNG HOÀN THÀNH ĐƯA VÀO QUYẾT TOÁN</v>
          </cell>
        </row>
      </sheetData>
      <sheetData sheetId="5106">
        <row r="4">
          <cell r="A4" t="str">
            <v>BẢNG TÍNH TOÁN, ĐO BÓC KHỐI LƯỢNG HOÀN THÀNH ĐƯA VÀO QUYẾT TOÁN</v>
          </cell>
        </row>
      </sheetData>
      <sheetData sheetId="5107">
        <row r="4">
          <cell r="A4" t="str">
            <v>BẢNG TÍNH TOÁN, ĐO BÓC KHỐI LƯỢNG HOÀN THÀNH ĐƯA VÀO QUYẾT TOÁN</v>
          </cell>
        </row>
      </sheetData>
      <sheetData sheetId="5108">
        <row r="4">
          <cell r="A4" t="str">
            <v>BẢNG TÍNH TOÁN, ĐO BÓC KHỐI LƯỢNG HOÀN THÀNH ĐƯA VÀO QUYẾT TOÁN</v>
          </cell>
        </row>
      </sheetData>
      <sheetData sheetId="5109">
        <row r="4">
          <cell r="A4" t="str">
            <v>BẢNG TÍNH TOÁN, ĐO BÓC KHỐI LƯỢNG HOÀN THÀNH ĐƯA VÀO QUYẾT TOÁN</v>
          </cell>
        </row>
      </sheetData>
      <sheetData sheetId="5110">
        <row r="4">
          <cell r="A4" t="str">
            <v>BẢNG TÍNH TOÁN, ĐO BÓC KHỐI LƯỢNG HOÀN THÀNH ĐƯA VÀO QUYẾT TOÁN</v>
          </cell>
        </row>
      </sheetData>
      <sheetData sheetId="5111">
        <row r="4">
          <cell r="A4" t="str">
            <v>BẢNG TÍNH TOÁN, ĐO BÓC KHỐI LƯỢNG HOÀN THÀNH ĐƯA VÀO QUYẾT TOÁN</v>
          </cell>
        </row>
      </sheetData>
      <sheetData sheetId="5112">
        <row r="4">
          <cell r="A4" t="str">
            <v>BẢNG TÍNH TOÁN, ĐO BÓC KHỐI LƯỢNG HOÀN THÀNH ĐƯA VÀO QUYẾT TOÁN</v>
          </cell>
        </row>
      </sheetData>
      <sheetData sheetId="5113">
        <row r="4">
          <cell r="A4" t="str">
            <v>BẢNG TÍNH TOÁN, ĐO BÓC KHỐI LƯỢNG HOÀN THÀNH ĐƯA VÀO QUYẾT TOÁN</v>
          </cell>
        </row>
      </sheetData>
      <sheetData sheetId="5114">
        <row r="4">
          <cell r="A4" t="str">
            <v>BẢNG TÍNH TOÁN, ĐO BÓC KHỐI LƯỢNG HOÀN THÀNH ĐƯA VÀO QUYẾT TOÁN</v>
          </cell>
        </row>
      </sheetData>
      <sheetData sheetId="5115">
        <row r="4">
          <cell r="A4" t="str">
            <v>BẢNG TÍNH TOÁN, ĐO BÓC KHỐI LƯỢNG HOÀN THÀNH ĐƯA VÀO QUYẾT TOÁN</v>
          </cell>
        </row>
      </sheetData>
      <sheetData sheetId="5116">
        <row r="4">
          <cell r="A4" t="str">
            <v>BẢNG TÍNH TOÁN, ĐO BÓC KHỐI LƯỢNG HOÀN THÀNH ĐƯA VÀO QUYẾT TOÁN</v>
          </cell>
        </row>
      </sheetData>
      <sheetData sheetId="5117">
        <row r="4">
          <cell r="A4" t="str">
            <v>BẢNG TÍNH TOÁN, ĐO BÓC KHỐI LƯỢNG HOÀN THÀNH ĐƯA VÀO QUYẾT TOÁN</v>
          </cell>
        </row>
      </sheetData>
      <sheetData sheetId="5118">
        <row r="4">
          <cell r="A4" t="str">
            <v>BẢNG TÍNH TOÁN, ĐO BÓC KHỐI LƯỢNG HOÀN THÀNH ĐƯA VÀO QUYẾT TOÁN</v>
          </cell>
        </row>
      </sheetData>
      <sheetData sheetId="5119">
        <row r="4">
          <cell r="A4" t="str">
            <v>BẢNG TÍNH TOÁN, ĐO BÓC KHỐI LƯỢNG HOÀN THÀNH ĐƯA VÀO QUYẾT TOÁN</v>
          </cell>
        </row>
      </sheetData>
      <sheetData sheetId="5120">
        <row r="4">
          <cell r="A4" t="str">
            <v>BẢNG TÍNH TOÁN, ĐO BÓC KHỐI LƯỢNG HOÀN THÀNH ĐƯA VÀO QUYẾT TOÁN</v>
          </cell>
        </row>
      </sheetData>
      <sheetData sheetId="5121">
        <row r="4">
          <cell r="A4" t="str">
            <v>BẢNG TÍNH TOÁN, ĐO BÓC KHỐI LƯỢNG HOÀN THÀNH ĐƯA VÀO QUYẾT TOÁN</v>
          </cell>
        </row>
      </sheetData>
      <sheetData sheetId="5122">
        <row r="4">
          <cell r="A4" t="str">
            <v>BẢNG TÍNH TOÁN, ĐO BÓC KHỐI LƯỢNG HOÀN THÀNH ĐƯA VÀO QUYẾT TOÁN</v>
          </cell>
        </row>
      </sheetData>
      <sheetData sheetId="5123">
        <row r="4">
          <cell r="A4" t="str">
            <v>BẢNG TÍNH TOÁN, ĐO BÓC KHỐI LƯỢNG HOÀN THÀNH ĐƯA VÀO QUYẾT TOÁN</v>
          </cell>
        </row>
      </sheetData>
      <sheetData sheetId="5124">
        <row r="4">
          <cell r="A4" t="str">
            <v>BẢNG TÍNH TOÁN, ĐO BÓC KHỐI LƯỢNG HOÀN THÀNH ĐƯA VÀO QUYẾT TOÁN</v>
          </cell>
        </row>
      </sheetData>
      <sheetData sheetId="5125">
        <row r="4">
          <cell r="A4" t="str">
            <v>BẢNG TÍNH TOÁN, ĐO BÓC KHỐI LƯỢNG HOÀN THÀNH ĐƯA VÀO QUYẾT TOÁN</v>
          </cell>
        </row>
      </sheetData>
      <sheetData sheetId="5126">
        <row r="4">
          <cell r="A4" t="str">
            <v>BẢNG TÍNH TOÁN, ĐO BÓC KHỐI LƯỢNG HOÀN THÀNH ĐƯA VÀO QUYẾT TOÁN</v>
          </cell>
        </row>
      </sheetData>
      <sheetData sheetId="5127">
        <row r="4">
          <cell r="A4" t="str">
            <v>BẢNG TÍNH TOÁN, ĐO BÓC KHỐI LƯỢNG HOÀN THÀNH ĐƯA VÀO QUYẾT TOÁN</v>
          </cell>
        </row>
      </sheetData>
      <sheetData sheetId="5128">
        <row r="4">
          <cell r="A4" t="str">
            <v>BẢNG TÍNH TOÁN, ĐO BÓC KHỐI LƯỢNG HOÀN THÀNH ĐƯA VÀO QUYẾT TOÁN</v>
          </cell>
        </row>
      </sheetData>
      <sheetData sheetId="5129">
        <row r="4">
          <cell r="A4" t="str">
            <v>BẢNG TÍNH TOÁN, ĐO BÓC KHỐI LƯỢNG HOÀN THÀNH ĐƯA VÀO QUYẾT TOÁN</v>
          </cell>
        </row>
      </sheetData>
      <sheetData sheetId="5130">
        <row r="4">
          <cell r="A4" t="str">
            <v>BẢNG TÍNH TOÁN, ĐO BÓC KHỐI LƯỢNG HOÀN THÀNH ĐƯA VÀO QUYẾT TOÁN</v>
          </cell>
        </row>
      </sheetData>
      <sheetData sheetId="5131">
        <row r="4">
          <cell r="A4" t="str">
            <v>BẢNG TÍNH TOÁN, ĐO BÓC KHỐI LƯỢNG HOÀN THÀNH ĐƯA VÀO QUYẾT TOÁN</v>
          </cell>
        </row>
      </sheetData>
      <sheetData sheetId="5132">
        <row r="4">
          <cell r="A4" t="str">
            <v>BẢNG TÍNH TOÁN, ĐO BÓC KHỐI LƯỢNG HOÀN THÀNH ĐƯA VÀO QUYẾT TOÁN</v>
          </cell>
        </row>
      </sheetData>
      <sheetData sheetId="5133">
        <row r="4">
          <cell r="A4" t="str">
            <v>BẢNG TÍNH TOÁN, ĐO BÓC KHỐI LƯỢNG HOÀN THÀNH ĐƯA VÀO QUYẾT TOÁN</v>
          </cell>
        </row>
      </sheetData>
      <sheetData sheetId="5134">
        <row r="4">
          <cell r="A4" t="str">
            <v>BẢNG TÍNH TOÁN, ĐO BÓC KHỐI LƯỢNG HOÀN THÀNH ĐƯA VÀO QUYẾT TOÁN</v>
          </cell>
        </row>
      </sheetData>
      <sheetData sheetId="5135">
        <row r="4">
          <cell r="A4" t="str">
            <v>BẢNG TÍNH TOÁN, ĐO BÓC KHỐI LƯỢNG HOÀN THÀNH ĐƯA VÀO QUYẾT TOÁN</v>
          </cell>
        </row>
      </sheetData>
      <sheetData sheetId="5136">
        <row r="4">
          <cell r="A4" t="str">
            <v>BẢNG TÍNH TOÁN, ĐO BÓC KHỐI LƯỢNG HOÀN THÀNH ĐƯA VÀO QUYẾT TOÁN</v>
          </cell>
        </row>
      </sheetData>
      <sheetData sheetId="5137">
        <row r="4">
          <cell r="A4" t="str">
            <v>BẢNG TÍNH TOÁN, ĐO BÓC KHỐI LƯỢNG HOÀN THÀNH ĐƯA VÀO QUYẾT TOÁN</v>
          </cell>
        </row>
      </sheetData>
      <sheetData sheetId="5138">
        <row r="4">
          <cell r="A4" t="str">
            <v>BẢNG TÍNH TOÁN, ĐO BÓC KHỐI LƯỢNG HOÀN THÀNH ĐƯA VÀO QUYẾT TOÁN</v>
          </cell>
        </row>
      </sheetData>
      <sheetData sheetId="5139">
        <row r="4">
          <cell r="A4" t="str">
            <v>BẢNG TÍNH TOÁN, ĐO BÓC KHỐI LƯỢNG HOÀN THÀNH ĐƯA VÀO QUYẾT TOÁN</v>
          </cell>
        </row>
      </sheetData>
      <sheetData sheetId="5140">
        <row r="4">
          <cell r="A4" t="str">
            <v>BẢNG TÍNH TOÁN, ĐO BÓC KHỐI LƯỢNG HOÀN THÀNH ĐƯA VÀO QUYẾT TOÁN</v>
          </cell>
        </row>
      </sheetData>
      <sheetData sheetId="5141">
        <row r="4">
          <cell r="A4" t="str">
            <v>BẢNG TÍNH TOÁN, ĐO BÓC KHỐI LƯỢNG HOÀN THÀNH ĐƯA VÀO QUYẾT TOÁN</v>
          </cell>
        </row>
      </sheetData>
      <sheetData sheetId="5142">
        <row r="4">
          <cell r="A4" t="str">
            <v>BẢNG TÍNH TOÁN, ĐO BÓC KHỐI LƯỢNG HOÀN THÀNH ĐƯA VÀO QUYẾT TOÁN</v>
          </cell>
        </row>
      </sheetData>
      <sheetData sheetId="5143">
        <row r="4">
          <cell r="A4" t="str">
            <v>BẢNG TÍNH TOÁN, ĐO BÓC KHỐI LƯỢNG HOÀN THÀNH ĐƯA VÀO QUYẾT TOÁN</v>
          </cell>
        </row>
      </sheetData>
      <sheetData sheetId="5144">
        <row r="4">
          <cell r="A4" t="str">
            <v>BẢNG TÍNH TOÁN, ĐO BÓC KHỐI LƯỢNG HOÀN THÀNH ĐƯA VÀO QUYẾT TOÁN</v>
          </cell>
        </row>
      </sheetData>
      <sheetData sheetId="5145">
        <row r="4">
          <cell r="A4" t="str">
            <v>BẢNG TÍNH TOÁN, ĐO BÓC KHỐI LƯỢNG HOÀN THÀNH ĐƯA VÀO QUYẾT TOÁN</v>
          </cell>
        </row>
      </sheetData>
      <sheetData sheetId="5146">
        <row r="4">
          <cell r="A4" t="str">
            <v>BẢNG TÍNH TOÁN, ĐO BÓC KHỐI LƯỢNG HOÀN THÀNH ĐƯA VÀO QUYẾT TOÁN</v>
          </cell>
        </row>
      </sheetData>
      <sheetData sheetId="5147">
        <row r="4">
          <cell r="A4" t="str">
            <v>BẢNG TÍNH TOÁN, ĐO BÓC KHỐI LƯỢNG HOÀN THÀNH ĐƯA VÀO QUYẾT TOÁN</v>
          </cell>
        </row>
      </sheetData>
      <sheetData sheetId="5148">
        <row r="4">
          <cell r="A4" t="str">
            <v>BẢNG TÍNH TOÁN, ĐO BÓC KHỐI LƯỢNG HOÀN THÀNH ĐƯA VÀO QUYẾT TOÁN</v>
          </cell>
        </row>
      </sheetData>
      <sheetData sheetId="5149">
        <row r="4">
          <cell r="A4" t="str">
            <v>BẢNG TÍNH TOÁN, ĐO BÓC KHỐI LƯỢNG HOÀN THÀNH ĐƯA VÀO QUYẾT TOÁN</v>
          </cell>
        </row>
      </sheetData>
      <sheetData sheetId="5150">
        <row r="4">
          <cell r="A4" t="str">
            <v>BẢNG TÍNH TOÁN, ĐO BÓC KHỐI LƯỢNG HOÀN THÀNH ĐƯA VÀO QUYẾT TOÁN</v>
          </cell>
        </row>
      </sheetData>
      <sheetData sheetId="5151">
        <row r="4">
          <cell r="A4" t="str">
            <v>BẢNG TÍNH TOÁN, ĐO BÓC KHỐI LƯỢNG HOÀN THÀNH ĐƯA VÀO QUYẾT TOÁN</v>
          </cell>
        </row>
      </sheetData>
      <sheetData sheetId="5152">
        <row r="4">
          <cell r="A4" t="str">
            <v>BẢNG TÍNH TOÁN, ĐO BÓC KHỐI LƯỢNG HOÀN THÀNH ĐƯA VÀO QUYẾT TOÁN</v>
          </cell>
        </row>
      </sheetData>
      <sheetData sheetId="5153">
        <row r="4">
          <cell r="A4" t="str">
            <v>BẢNG TÍNH TOÁN, ĐO BÓC KHỐI LƯỢNG HOÀN THÀNH ĐƯA VÀO QUYẾT TOÁN</v>
          </cell>
        </row>
      </sheetData>
      <sheetData sheetId="5154">
        <row r="4">
          <cell r="A4" t="str">
            <v>BẢNG TÍNH TOÁN, ĐO BÓC KHỐI LƯỢNG HOÀN THÀNH ĐƯA VÀO QUYẾT TOÁN</v>
          </cell>
        </row>
      </sheetData>
      <sheetData sheetId="5155">
        <row r="4">
          <cell r="A4" t="str">
            <v>BẢNG TÍNH TOÁN, ĐO BÓC KHỐI LƯỢNG HOÀN THÀNH ĐƯA VÀO QUYẾT TOÁN</v>
          </cell>
        </row>
      </sheetData>
      <sheetData sheetId="5156">
        <row r="4">
          <cell r="A4" t="str">
            <v>BẢNG TÍNH TOÁN, ĐO BÓC KHỐI LƯỢNG HOÀN THÀNH ĐƯA VÀO QUYẾT TOÁN</v>
          </cell>
        </row>
      </sheetData>
      <sheetData sheetId="5157">
        <row r="4">
          <cell r="A4" t="str">
            <v>BẢNG TÍNH TOÁN, ĐO BÓC KHỐI LƯỢNG HOÀN THÀNH ĐƯA VÀO QUYẾT TOÁN</v>
          </cell>
        </row>
      </sheetData>
      <sheetData sheetId="5158">
        <row r="4">
          <cell r="A4" t="str">
            <v>BẢNG TÍNH TOÁN, ĐO BÓC KHỐI LƯỢNG HOÀN THÀNH ĐƯA VÀO QUYẾT TOÁN</v>
          </cell>
        </row>
      </sheetData>
      <sheetData sheetId="5159">
        <row r="4">
          <cell r="A4" t="str">
            <v>BẢNG TÍNH TOÁN, ĐO BÓC KHỐI LƯỢNG HOÀN THÀNH ĐƯA VÀO QUYẾT TOÁN</v>
          </cell>
        </row>
      </sheetData>
      <sheetData sheetId="5160">
        <row r="4">
          <cell r="A4" t="str">
            <v>BẢNG TÍNH TOÁN, ĐO BÓC KHỐI LƯỢNG HOÀN THÀNH ĐƯA VÀO QUYẾT TOÁN</v>
          </cell>
        </row>
      </sheetData>
      <sheetData sheetId="5161">
        <row r="4">
          <cell r="A4" t="str">
            <v>BẢNG TÍNH TOÁN, ĐO BÓC KHỐI LƯỢNG HOÀN THÀNH ĐƯA VÀO QUYẾT TOÁN</v>
          </cell>
        </row>
      </sheetData>
      <sheetData sheetId="5162">
        <row r="4">
          <cell r="A4" t="str">
            <v>BẢNG TÍNH TOÁN, ĐO BÓC KHỐI LƯỢNG HOÀN THÀNH ĐƯA VÀO QUYẾT TOÁN</v>
          </cell>
        </row>
      </sheetData>
      <sheetData sheetId="5163">
        <row r="4">
          <cell r="A4" t="str">
            <v>BẢNG TÍNH TOÁN, ĐO BÓC KHỐI LƯỢNG HOÀN THÀNH ĐƯA VÀO QUYẾT TOÁN</v>
          </cell>
        </row>
      </sheetData>
      <sheetData sheetId="5164">
        <row r="4">
          <cell r="A4" t="str">
            <v>BẢNG TÍNH TOÁN, ĐO BÓC KHỐI LƯỢNG HOÀN THÀNH ĐƯA VÀO QUYẾT TOÁN</v>
          </cell>
        </row>
      </sheetData>
      <sheetData sheetId="5165">
        <row r="4">
          <cell r="A4" t="str">
            <v>BẢNG TÍNH TOÁN, ĐO BÓC KHỐI LƯỢNG HOÀN THÀNH ĐƯA VÀO QUYẾT TOÁN</v>
          </cell>
        </row>
      </sheetData>
      <sheetData sheetId="5166">
        <row r="4">
          <cell r="A4" t="str">
            <v>BẢNG TÍNH TOÁN, ĐO BÓC KHỐI LƯỢNG HOÀN THÀNH ĐƯA VÀO QUYẾT TOÁN</v>
          </cell>
        </row>
      </sheetData>
      <sheetData sheetId="5167">
        <row r="4">
          <cell r="A4" t="str">
            <v>BẢNG TÍNH TOÁN, ĐO BÓC KHỐI LƯỢNG HOÀN THÀNH ĐƯA VÀO QUYẾT TOÁN</v>
          </cell>
        </row>
      </sheetData>
      <sheetData sheetId="5168">
        <row r="4">
          <cell r="A4" t="str">
            <v>BẢNG TÍNH TOÁN, ĐO BÓC KHỐI LƯỢNG HOÀN THÀNH ĐƯA VÀO QUYẾT TOÁN</v>
          </cell>
        </row>
      </sheetData>
      <sheetData sheetId="5169">
        <row r="4">
          <cell r="A4" t="str">
            <v>BẢNG TÍNH TOÁN, ĐO BÓC KHỐI LƯỢNG HOÀN THÀNH ĐƯA VÀO QUYẾT TOÁN</v>
          </cell>
        </row>
      </sheetData>
      <sheetData sheetId="5170">
        <row r="4">
          <cell r="A4" t="str">
            <v>BẢNG TÍNH TOÁN, ĐO BÓC KHỐI LƯỢNG HOÀN THÀNH ĐƯA VÀO QUYẾT TOÁN</v>
          </cell>
        </row>
      </sheetData>
      <sheetData sheetId="5171">
        <row r="4">
          <cell r="A4" t="str">
            <v>BẢNG TÍNH TOÁN, ĐO BÓC KHỐI LƯỢNG HOÀN THÀNH ĐƯA VÀO QUYẾT TOÁN</v>
          </cell>
        </row>
      </sheetData>
      <sheetData sheetId="5172">
        <row r="4">
          <cell r="A4" t="str">
            <v>BẢNG TÍNH TOÁN, ĐO BÓC KHỐI LƯỢNG HOÀN THÀNH ĐƯA VÀO QUYẾT TOÁN</v>
          </cell>
        </row>
      </sheetData>
      <sheetData sheetId="5173">
        <row r="4">
          <cell r="A4" t="str">
            <v>BẢNG TÍNH TOÁN, ĐO BÓC KHỐI LƯỢNG HOÀN THÀNH ĐƯA VÀO QUYẾT TOÁN</v>
          </cell>
        </row>
      </sheetData>
      <sheetData sheetId="5174">
        <row r="4">
          <cell r="A4" t="str">
            <v>BẢNG TÍNH TOÁN, ĐO BÓC KHỐI LƯỢNG HOÀN THÀNH ĐƯA VÀO QUYẾT TOÁN</v>
          </cell>
        </row>
      </sheetData>
      <sheetData sheetId="5175">
        <row r="4">
          <cell r="A4" t="str">
            <v>BẢNG TÍNH TOÁN, ĐO BÓC KHỐI LƯỢNG HOÀN THÀNH ĐƯA VÀO QUYẾT TOÁN</v>
          </cell>
        </row>
      </sheetData>
      <sheetData sheetId="5176">
        <row r="4">
          <cell r="A4" t="str">
            <v>BẢNG TÍNH TOÁN, ĐO BÓC KHỐI LƯỢNG HOÀN THÀNH ĐƯA VÀO QUYẾT TOÁN</v>
          </cell>
        </row>
      </sheetData>
      <sheetData sheetId="5177">
        <row r="4">
          <cell r="A4" t="str">
            <v>BẢNG TÍNH TOÁN, ĐO BÓC KHỐI LƯỢNG HOÀN THÀNH ĐƯA VÀO QUYẾT TOÁN</v>
          </cell>
        </row>
      </sheetData>
      <sheetData sheetId="5178">
        <row r="4">
          <cell r="A4" t="str">
            <v>BẢNG TÍNH TOÁN, ĐO BÓC KHỐI LƯỢNG HOÀN THÀNH ĐƯA VÀO QUYẾT TOÁN</v>
          </cell>
        </row>
      </sheetData>
      <sheetData sheetId="5179">
        <row r="4">
          <cell r="A4" t="str">
            <v>BẢNG TÍNH TOÁN, ĐO BÓC KHỐI LƯỢNG HOÀN THÀNH ĐƯA VÀO QUYẾT TOÁN</v>
          </cell>
        </row>
      </sheetData>
      <sheetData sheetId="5180">
        <row r="4">
          <cell r="A4" t="str">
            <v>BẢNG TÍNH TOÁN, ĐO BÓC KHỐI LƯỢNG HOÀN THÀNH ĐƯA VÀO QUYẾT TOÁN</v>
          </cell>
        </row>
      </sheetData>
      <sheetData sheetId="5181">
        <row r="4">
          <cell r="A4" t="str">
            <v>BẢNG TÍNH TOÁN, ĐO BÓC KHỐI LƯỢNG HOÀN THÀNH ĐƯA VÀO QUYẾT TOÁN</v>
          </cell>
        </row>
      </sheetData>
      <sheetData sheetId="5182">
        <row r="4">
          <cell r="A4" t="str">
            <v>BẢNG TÍNH TOÁN, ĐO BÓC KHỐI LƯỢNG HOÀN THÀNH ĐƯA VÀO QUYẾT TOÁN</v>
          </cell>
        </row>
      </sheetData>
      <sheetData sheetId="5183">
        <row r="4">
          <cell r="A4" t="str">
            <v>BẢNG TÍNH TOÁN, ĐO BÓC KHỐI LƯỢNG HOÀN THÀNH ĐƯA VÀO QUYẾT TOÁN</v>
          </cell>
        </row>
      </sheetData>
      <sheetData sheetId="5184">
        <row r="4">
          <cell r="A4" t="str">
            <v>BẢNG TÍNH TOÁN, ĐO BÓC KHỐI LƯỢNG HOÀN THÀNH ĐƯA VÀO QUYẾT TOÁN</v>
          </cell>
        </row>
      </sheetData>
      <sheetData sheetId="5185">
        <row r="4">
          <cell r="A4" t="str">
            <v>BẢNG TÍNH TOÁN, ĐO BÓC KHỐI LƯỢNG HOÀN THÀNH ĐƯA VÀO QUYẾT TOÁN</v>
          </cell>
        </row>
      </sheetData>
      <sheetData sheetId="5186">
        <row r="4">
          <cell r="A4" t="str">
            <v>BẢNG TÍNH TOÁN, ĐO BÓC KHỐI LƯỢNG HOÀN THÀNH ĐƯA VÀO QUYẾT TOÁN</v>
          </cell>
        </row>
      </sheetData>
      <sheetData sheetId="5187">
        <row r="4">
          <cell r="A4" t="str">
            <v>BẢNG TÍNH TOÁN, ĐO BÓC KHỐI LƯỢNG HOÀN THÀNH ĐƯA VÀO QUYẾT TOÁN</v>
          </cell>
        </row>
      </sheetData>
      <sheetData sheetId="5188">
        <row r="4">
          <cell r="A4" t="str">
            <v>BẢNG TÍNH TOÁN, ĐO BÓC KHỐI LƯỢNG HOÀN THÀNH ĐƯA VÀO QUYẾT TOÁN</v>
          </cell>
        </row>
      </sheetData>
      <sheetData sheetId="5189">
        <row r="4">
          <cell r="A4" t="str">
            <v>BẢNG TÍNH TOÁN, ĐO BÓC KHỐI LƯỢNG HOÀN THÀNH ĐƯA VÀO QUYẾT TOÁN</v>
          </cell>
        </row>
      </sheetData>
      <sheetData sheetId="5190">
        <row r="4">
          <cell r="A4" t="str">
            <v>BẢNG TÍNH TOÁN, ĐO BÓC KHỐI LƯỢNG HOÀN THÀNH ĐƯA VÀO QUYẾT TOÁN</v>
          </cell>
        </row>
      </sheetData>
      <sheetData sheetId="5191">
        <row r="4">
          <cell r="A4" t="str">
            <v>BẢNG TÍNH TOÁN, ĐO BÓC KHỐI LƯỢNG HOÀN THÀNH ĐƯA VÀO QUYẾT TOÁN</v>
          </cell>
        </row>
      </sheetData>
      <sheetData sheetId="5192">
        <row r="4">
          <cell r="A4" t="str">
            <v>BẢNG TÍNH TOÁN, ĐO BÓC KHỐI LƯỢNG HOÀN THÀNH ĐƯA VÀO QUYẾT TOÁN</v>
          </cell>
        </row>
      </sheetData>
      <sheetData sheetId="5193">
        <row r="4">
          <cell r="A4" t="str">
            <v>BẢNG TÍNH TOÁN, ĐO BÓC KHỐI LƯỢNG HOÀN THÀNH ĐƯA VÀO QUYẾT TOÁN</v>
          </cell>
        </row>
      </sheetData>
      <sheetData sheetId="5194">
        <row r="4">
          <cell r="A4" t="str">
            <v>BẢNG TÍNH TOÁN, ĐO BÓC KHỐI LƯỢNG HOÀN THÀNH ĐƯA VÀO QUYẾT TOÁN</v>
          </cell>
        </row>
      </sheetData>
      <sheetData sheetId="5195">
        <row r="4">
          <cell r="A4" t="str">
            <v>BẢNG TÍNH TOÁN, ĐO BÓC KHỐI LƯỢNG HOÀN THÀNH ĐƯA VÀO QUYẾT TOÁN</v>
          </cell>
        </row>
      </sheetData>
      <sheetData sheetId="5196">
        <row r="4">
          <cell r="A4" t="str">
            <v>BẢNG TÍNH TOÁN, ĐO BÓC KHỐI LƯỢNG HOÀN THÀNH ĐƯA VÀO QUYẾT TOÁN</v>
          </cell>
        </row>
      </sheetData>
      <sheetData sheetId="5197">
        <row r="4">
          <cell r="A4" t="str">
            <v>BẢNG TÍNH TOÁN, ĐO BÓC KHỐI LƯỢNG HOÀN THÀNH ĐƯA VÀO QUYẾT TOÁN</v>
          </cell>
        </row>
      </sheetData>
      <sheetData sheetId="5198">
        <row r="4">
          <cell r="A4" t="str">
            <v>BẢNG TÍNH TOÁN, ĐO BÓC KHỐI LƯỢNG HOÀN THÀNH ĐƯA VÀO QUYẾT TOÁN</v>
          </cell>
        </row>
      </sheetData>
      <sheetData sheetId="5199">
        <row r="4">
          <cell r="A4" t="str">
            <v>BẢNG TÍNH TOÁN, ĐO BÓC KHỐI LƯỢNG HOÀN THÀNH ĐƯA VÀO QUYẾT TOÁN</v>
          </cell>
        </row>
      </sheetData>
      <sheetData sheetId="5200">
        <row r="4">
          <cell r="A4" t="str">
            <v>BẢNG TÍNH TOÁN, ĐO BÓC KHỐI LƯỢNG HOÀN THÀNH ĐƯA VÀO QUYẾT TOÁN</v>
          </cell>
        </row>
      </sheetData>
      <sheetData sheetId="5201">
        <row r="4">
          <cell r="A4" t="str">
            <v>BẢNG TÍNH TOÁN, ĐO BÓC KHỐI LƯỢNG HOÀN THÀNH ĐƯA VÀO QUYẾT TOÁN</v>
          </cell>
        </row>
      </sheetData>
      <sheetData sheetId="5202">
        <row r="4">
          <cell r="A4" t="str">
            <v>BẢNG TÍNH TOÁN, ĐO BÓC KHỐI LƯỢNG HOÀN THÀNH ĐƯA VÀO QUYẾT TOÁN</v>
          </cell>
        </row>
      </sheetData>
      <sheetData sheetId="5203">
        <row r="4">
          <cell r="A4" t="str">
            <v>BẢNG TÍNH TOÁN, ĐO BÓC KHỐI LƯỢNG HOÀN THÀNH ĐƯA VÀO QUYẾT TOÁN</v>
          </cell>
        </row>
      </sheetData>
      <sheetData sheetId="5204">
        <row r="4">
          <cell r="A4" t="str">
            <v>BẢNG TÍNH TOÁN, ĐO BÓC KHỐI LƯỢNG HOÀN THÀNH ĐƯA VÀO QUYẾT TOÁN</v>
          </cell>
        </row>
      </sheetData>
      <sheetData sheetId="5205">
        <row r="4">
          <cell r="A4" t="str">
            <v>BẢNG TÍNH TOÁN, ĐO BÓC KHỐI LƯỢNG HOÀN THÀNH ĐƯA VÀO QUYẾT TOÁN</v>
          </cell>
        </row>
      </sheetData>
      <sheetData sheetId="5206">
        <row r="4">
          <cell r="A4" t="str">
            <v>BẢNG TÍNH TOÁN, ĐO BÓC KHỐI LƯỢNG HOÀN THÀNH ĐƯA VÀO QUYẾT TOÁN</v>
          </cell>
        </row>
      </sheetData>
      <sheetData sheetId="5207">
        <row r="4">
          <cell r="A4" t="str">
            <v>BẢNG TÍNH TOÁN, ĐO BÓC KHỐI LƯỢNG HOÀN THÀNH ĐƯA VÀO QUYẾT TOÁN</v>
          </cell>
        </row>
      </sheetData>
      <sheetData sheetId="5208">
        <row r="4">
          <cell r="A4" t="str">
            <v>BẢNG TÍNH TOÁN, ĐO BÓC KHỐI LƯỢNG HOÀN THÀNH ĐƯA VÀO QUYẾT TOÁN</v>
          </cell>
        </row>
      </sheetData>
      <sheetData sheetId="5209">
        <row r="4">
          <cell r="A4" t="str">
            <v>BẢNG TÍNH TOÁN, ĐO BÓC KHỐI LƯỢNG HOÀN THÀNH ĐƯA VÀO QUYẾT TOÁN</v>
          </cell>
        </row>
      </sheetData>
      <sheetData sheetId="5210">
        <row r="4">
          <cell r="A4" t="str">
            <v>BẢNG TÍNH TOÁN, ĐO BÓC KHỐI LƯỢNG HOÀN THÀNH ĐƯA VÀO QUYẾT TOÁN</v>
          </cell>
        </row>
      </sheetData>
      <sheetData sheetId="5211">
        <row r="4">
          <cell r="A4" t="str">
            <v>BẢNG TÍNH TOÁN, ĐO BÓC KHỐI LƯỢNG HOÀN THÀNH ĐƯA VÀO QUYẾT TOÁN</v>
          </cell>
        </row>
      </sheetData>
      <sheetData sheetId="5212">
        <row r="4">
          <cell r="A4" t="str">
            <v>BẢNG TÍNH TOÁN, ĐO BÓC KHỐI LƯỢNG HOÀN THÀNH ĐƯA VÀO QUYẾT TOÁN</v>
          </cell>
        </row>
      </sheetData>
      <sheetData sheetId="5213">
        <row r="4">
          <cell r="A4" t="str">
            <v>BẢNG TÍNH TOÁN, ĐO BÓC KHỐI LƯỢNG HOÀN THÀNH ĐƯA VÀO QUYẾT TOÁN</v>
          </cell>
        </row>
      </sheetData>
      <sheetData sheetId="5214">
        <row r="4">
          <cell r="A4" t="str">
            <v>BẢNG TÍNH TOÁN, ĐO BÓC KHỐI LƯỢNG HOÀN THÀNH ĐƯA VÀO QUYẾT TOÁN</v>
          </cell>
        </row>
      </sheetData>
      <sheetData sheetId="5215">
        <row r="4">
          <cell r="A4" t="str">
            <v>BẢNG TÍNH TOÁN, ĐO BÓC KHỐI LƯỢNG HOÀN THÀNH ĐƯA VÀO QUYẾT TOÁN</v>
          </cell>
        </row>
      </sheetData>
      <sheetData sheetId="5216">
        <row r="4">
          <cell r="A4" t="str">
            <v>BẢNG TÍNH TOÁN, ĐO BÓC KHỐI LƯỢNG HOÀN THÀNH ĐƯA VÀO QUYẾT TOÁN</v>
          </cell>
        </row>
      </sheetData>
      <sheetData sheetId="5217">
        <row r="4">
          <cell r="A4" t="str">
            <v>BẢNG TÍNH TOÁN, ĐO BÓC KHỐI LƯỢNG HOÀN THÀNH ĐƯA VÀO QUYẾT TOÁN</v>
          </cell>
        </row>
      </sheetData>
      <sheetData sheetId="5218">
        <row r="4">
          <cell r="A4" t="str">
            <v>BẢNG TÍNH TOÁN, ĐO BÓC KHỐI LƯỢNG HOÀN THÀNH ĐƯA VÀO QUYẾT TOÁN</v>
          </cell>
        </row>
      </sheetData>
      <sheetData sheetId="5219">
        <row r="4">
          <cell r="A4" t="str">
            <v>BẢNG TÍNH TOÁN, ĐO BÓC KHỐI LƯỢNG HOÀN THÀNH ĐƯA VÀO QUYẾT TOÁN</v>
          </cell>
        </row>
      </sheetData>
      <sheetData sheetId="5220">
        <row r="4">
          <cell r="A4" t="str">
            <v>BẢNG TÍNH TOÁN, ĐO BÓC KHỐI LƯỢNG HOÀN THÀNH ĐƯA VÀO QUYẾT TOÁN</v>
          </cell>
        </row>
      </sheetData>
      <sheetData sheetId="5221">
        <row r="4">
          <cell r="A4" t="str">
            <v>BẢNG TÍNH TOÁN, ĐO BÓC KHỐI LƯỢNG HOÀN THÀNH ĐƯA VÀO QUYẾT TOÁN</v>
          </cell>
        </row>
      </sheetData>
      <sheetData sheetId="5222">
        <row r="4">
          <cell r="A4" t="str">
            <v>BẢNG TÍNH TOÁN, ĐO BÓC KHỐI LƯỢNG HOÀN THÀNH ĐƯA VÀO QUYẾT TOÁN</v>
          </cell>
        </row>
      </sheetData>
      <sheetData sheetId="5223">
        <row r="4">
          <cell r="A4" t="str">
            <v>BẢNG TÍNH TOÁN, ĐO BÓC KHỐI LƯỢNG HOÀN THÀNH ĐƯA VÀO QUYẾT TOÁN</v>
          </cell>
        </row>
      </sheetData>
      <sheetData sheetId="5224">
        <row r="4">
          <cell r="A4" t="str">
            <v>BẢNG TÍNH TOÁN, ĐO BÓC KHỐI LƯỢNG HOÀN THÀNH ĐƯA VÀO QUYẾT TOÁN</v>
          </cell>
        </row>
      </sheetData>
      <sheetData sheetId="5225">
        <row r="4">
          <cell r="A4" t="str">
            <v>BẢNG TÍNH TOÁN, ĐO BÓC KHỐI LƯỢNG HOÀN THÀNH ĐƯA VÀO QUYẾT TOÁN</v>
          </cell>
        </row>
      </sheetData>
      <sheetData sheetId="5226">
        <row r="4">
          <cell r="A4" t="str">
            <v>BẢNG TÍNH TOÁN, ĐO BÓC KHỐI LƯỢNG HOÀN THÀNH ĐƯA VÀO QUYẾT TOÁN</v>
          </cell>
        </row>
      </sheetData>
      <sheetData sheetId="5227">
        <row r="4">
          <cell r="A4" t="str">
            <v>BẢNG TÍNH TOÁN, ĐO BÓC KHỐI LƯỢNG HOÀN THÀNH ĐƯA VÀO QUYẾT TOÁN</v>
          </cell>
        </row>
      </sheetData>
      <sheetData sheetId="5228">
        <row r="4">
          <cell r="A4" t="str">
            <v>BẢNG TÍNH TOÁN, ĐO BÓC KHỐI LƯỢNG HOÀN THÀNH ĐƯA VÀO QUYẾT TOÁN</v>
          </cell>
        </row>
      </sheetData>
      <sheetData sheetId="5229">
        <row r="4">
          <cell r="A4" t="str">
            <v>BẢNG TÍNH TOÁN, ĐO BÓC KHỐI LƯỢNG HOÀN THÀNH ĐƯA VÀO QUYẾT TOÁN</v>
          </cell>
        </row>
      </sheetData>
      <sheetData sheetId="5230">
        <row r="4">
          <cell r="A4" t="str">
            <v>BẢNG TÍNH TOÁN, ĐO BÓC KHỐI LƯỢNG HOÀN THÀNH ĐƯA VÀO QUYẾT TOÁN</v>
          </cell>
        </row>
      </sheetData>
      <sheetData sheetId="5231">
        <row r="4">
          <cell r="A4" t="str">
            <v>BẢNG TÍNH TOÁN, ĐO BÓC KHỐI LƯỢNG HOÀN THÀNH ĐƯA VÀO QUYẾT TOÁN</v>
          </cell>
        </row>
      </sheetData>
      <sheetData sheetId="5232">
        <row r="4">
          <cell r="A4" t="str">
            <v>BẢNG TÍNH TOÁN, ĐO BÓC KHỐI LƯỢNG HOÀN THÀNH ĐƯA VÀO QUYẾT TOÁN</v>
          </cell>
        </row>
      </sheetData>
      <sheetData sheetId="5233">
        <row r="4">
          <cell r="A4" t="str">
            <v>BẢNG TÍNH TOÁN, ĐO BÓC KHỐI LƯỢNG HOÀN THÀNH ĐƯA VÀO QUYẾT TOÁN</v>
          </cell>
        </row>
      </sheetData>
      <sheetData sheetId="5234">
        <row r="4">
          <cell r="A4" t="str">
            <v>BẢNG TÍNH TOÁN, ĐO BÓC KHỐI LƯỢNG HOÀN THÀNH ĐƯA VÀO QUYẾT TOÁN</v>
          </cell>
        </row>
      </sheetData>
      <sheetData sheetId="5235">
        <row r="4">
          <cell r="A4" t="str">
            <v>BẢNG TÍNH TOÁN, ĐO BÓC KHỐI LƯỢNG HOÀN THÀNH ĐƯA VÀO QUYẾT TOÁN</v>
          </cell>
        </row>
      </sheetData>
      <sheetData sheetId="5236">
        <row r="4">
          <cell r="A4" t="str">
            <v>BẢNG TÍNH TOÁN, ĐO BÓC KHỐI LƯỢNG HOÀN THÀNH ĐƯA VÀO QUYẾT TOÁN</v>
          </cell>
        </row>
      </sheetData>
      <sheetData sheetId="5237">
        <row r="4">
          <cell r="A4" t="str">
            <v>BẢNG TÍNH TOÁN, ĐO BÓC KHỐI LƯỢNG HOÀN THÀNH ĐƯA VÀO QUYẾT TOÁN</v>
          </cell>
        </row>
      </sheetData>
      <sheetData sheetId="5238">
        <row r="4">
          <cell r="A4" t="str">
            <v>BẢNG TÍNH TOÁN, ĐO BÓC KHỐI LƯỢNG HOÀN THÀNH ĐƯA VÀO QUYẾT TOÁN</v>
          </cell>
        </row>
      </sheetData>
      <sheetData sheetId="5239">
        <row r="4">
          <cell r="A4" t="str">
            <v>BẢNG TÍNH TOÁN, ĐO BÓC KHỐI LƯỢNG HOÀN THÀNH ĐƯA VÀO QUYẾT TOÁN</v>
          </cell>
        </row>
      </sheetData>
      <sheetData sheetId="5240">
        <row r="4">
          <cell r="A4" t="str">
            <v>BẢNG TÍNH TOÁN, ĐO BÓC KHỐI LƯỢNG HOÀN THÀNH ĐƯA VÀO QUYẾT TOÁN</v>
          </cell>
        </row>
      </sheetData>
      <sheetData sheetId="5241">
        <row r="4">
          <cell r="A4" t="str">
            <v>BẢNG TÍNH TOÁN, ĐO BÓC KHỐI LƯỢNG HOÀN THÀNH ĐƯA VÀO QUYẾT TOÁN</v>
          </cell>
        </row>
      </sheetData>
      <sheetData sheetId="5242">
        <row r="4">
          <cell r="A4" t="str">
            <v>BẢNG TÍNH TOÁN, ĐO BÓC KHỐI LƯỢNG HOÀN THÀNH ĐƯA VÀO QUYẾT TOÁN</v>
          </cell>
        </row>
      </sheetData>
      <sheetData sheetId="5243">
        <row r="4">
          <cell r="A4" t="str">
            <v>BẢNG TÍNH TOÁN, ĐO BÓC KHỐI LƯỢNG HOÀN THÀNH ĐƯA VÀO QUYẾT TOÁN</v>
          </cell>
        </row>
      </sheetData>
      <sheetData sheetId="5244">
        <row r="4">
          <cell r="A4" t="str">
            <v>BẢNG TÍNH TOÁN, ĐO BÓC KHỐI LƯỢNG HOÀN THÀNH ĐƯA VÀO QUYẾT TOÁN</v>
          </cell>
        </row>
      </sheetData>
      <sheetData sheetId="5245">
        <row r="4">
          <cell r="A4" t="str">
            <v>BẢNG TÍNH TOÁN, ĐO BÓC KHỐI LƯỢNG HOÀN THÀNH ĐƯA VÀO QUYẾT TOÁN</v>
          </cell>
        </row>
      </sheetData>
      <sheetData sheetId="5246">
        <row r="4">
          <cell r="A4" t="str">
            <v>BẢNG TÍNH TOÁN, ĐO BÓC KHỐI LƯỢNG HOÀN THÀNH ĐƯA VÀO QUYẾT TOÁN</v>
          </cell>
        </row>
      </sheetData>
      <sheetData sheetId="5247">
        <row r="4">
          <cell r="A4" t="str">
            <v>BẢNG TÍNH TOÁN, ĐO BÓC KHỐI LƯỢNG HOÀN THÀNH ĐƯA VÀO QUYẾT TOÁN</v>
          </cell>
        </row>
      </sheetData>
      <sheetData sheetId="5248">
        <row r="4">
          <cell r="A4" t="str">
            <v>BẢNG TÍNH TOÁN, ĐO BÓC KHỐI LƯỢNG HOÀN THÀNH ĐƯA VÀO QUYẾT TOÁN</v>
          </cell>
        </row>
      </sheetData>
      <sheetData sheetId="5249">
        <row r="4">
          <cell r="A4" t="str">
            <v>BẢNG TÍNH TOÁN, ĐO BÓC KHỐI LƯỢNG HOÀN THÀNH ĐƯA VÀO QUYẾT TOÁN</v>
          </cell>
        </row>
      </sheetData>
      <sheetData sheetId="5250">
        <row r="4">
          <cell r="A4" t="str">
            <v>BẢNG TÍNH TOÁN, ĐO BÓC KHỐI LƯỢNG HOÀN THÀNH ĐƯA VÀO QUYẾT TOÁN</v>
          </cell>
        </row>
      </sheetData>
      <sheetData sheetId="5251">
        <row r="4">
          <cell r="A4" t="str">
            <v>BẢNG TÍNH TOÁN, ĐO BÓC KHỐI LƯỢNG HOÀN THÀNH ĐƯA VÀO QUYẾT TOÁN</v>
          </cell>
        </row>
      </sheetData>
      <sheetData sheetId="5252">
        <row r="4">
          <cell r="A4" t="str">
            <v>BẢNG TÍNH TOÁN, ĐO BÓC KHỐI LƯỢNG HOÀN THÀNH ĐƯA VÀO QUYẾT TOÁN</v>
          </cell>
        </row>
      </sheetData>
      <sheetData sheetId="5253">
        <row r="4">
          <cell r="A4" t="str">
            <v>BẢNG TÍNH TOÁN, ĐO BÓC KHỐI LƯỢNG HOÀN THÀNH ĐƯA VÀO QUYẾT TOÁN</v>
          </cell>
        </row>
      </sheetData>
      <sheetData sheetId="5254">
        <row r="4">
          <cell r="A4" t="str">
            <v>BẢNG TÍNH TOÁN, ĐO BÓC KHỐI LƯỢNG HOÀN THÀNH ĐƯA VÀO QUYẾT TOÁN</v>
          </cell>
        </row>
      </sheetData>
      <sheetData sheetId="5255">
        <row r="4">
          <cell r="A4" t="str">
            <v>BẢNG TÍNH TOÁN, ĐO BÓC KHỐI LƯỢNG HOÀN THÀNH ĐƯA VÀO QUYẾT TOÁN</v>
          </cell>
        </row>
      </sheetData>
      <sheetData sheetId="5256">
        <row r="4">
          <cell r="A4" t="str">
            <v>BẢNG TÍNH TOÁN, ĐO BÓC KHỐI LƯỢNG HOÀN THÀNH ĐƯA VÀO QUYẾT TOÁN</v>
          </cell>
        </row>
      </sheetData>
      <sheetData sheetId="5257">
        <row r="4">
          <cell r="A4" t="str">
            <v>BẢNG TÍNH TOÁN, ĐO BÓC KHỐI LƯỢNG HOÀN THÀNH ĐƯA VÀO QUYẾT TOÁN</v>
          </cell>
        </row>
      </sheetData>
      <sheetData sheetId="5258">
        <row r="4">
          <cell r="A4" t="str">
            <v>BẢNG TÍNH TOÁN, ĐO BÓC KHỐI LƯỢNG HOÀN THÀNH ĐƯA VÀO QUYẾT TOÁN</v>
          </cell>
        </row>
      </sheetData>
      <sheetData sheetId="5259">
        <row r="4">
          <cell r="A4" t="str">
            <v>BẢNG TÍNH TOÁN, ĐO BÓC KHỐI LƯỢNG HOÀN THÀNH ĐƯA VÀO QUYẾT TOÁN</v>
          </cell>
        </row>
      </sheetData>
      <sheetData sheetId="5260">
        <row r="4">
          <cell r="A4" t="str">
            <v>BẢNG TÍNH TOÁN, ĐO BÓC KHỐI LƯỢNG HOÀN THÀNH ĐƯA VÀO QUYẾT TOÁN</v>
          </cell>
        </row>
      </sheetData>
      <sheetData sheetId="5261">
        <row r="4">
          <cell r="A4" t="str">
            <v>BẢNG TÍNH TOÁN, ĐO BÓC KHỐI LƯỢNG HOÀN THÀNH ĐƯA VÀO QUYẾT TOÁN</v>
          </cell>
        </row>
      </sheetData>
      <sheetData sheetId="5262">
        <row r="4">
          <cell r="A4" t="str">
            <v>BẢNG TÍNH TOÁN, ĐO BÓC KHỐI LƯỢNG HOÀN THÀNH ĐƯA VÀO QUYẾT TOÁN</v>
          </cell>
        </row>
      </sheetData>
      <sheetData sheetId="5263">
        <row r="4">
          <cell r="A4" t="str">
            <v>BẢNG TÍNH TOÁN, ĐO BÓC KHỐI LƯỢNG HOÀN THÀNH ĐƯA VÀO QUYẾT TOÁN</v>
          </cell>
        </row>
      </sheetData>
      <sheetData sheetId="5264">
        <row r="4">
          <cell r="A4" t="str">
            <v>BẢNG TÍNH TOÁN, ĐO BÓC KHỐI LƯỢNG HOÀN THÀNH ĐƯA VÀO QUYẾT TOÁN</v>
          </cell>
        </row>
      </sheetData>
      <sheetData sheetId="5265">
        <row r="4">
          <cell r="A4" t="str">
            <v>BẢNG TÍNH TOÁN, ĐO BÓC KHỐI LƯỢNG HOÀN THÀNH ĐƯA VÀO QUYẾT TOÁN</v>
          </cell>
        </row>
      </sheetData>
      <sheetData sheetId="5266">
        <row r="4">
          <cell r="A4" t="str">
            <v>BẢNG TÍNH TOÁN, ĐO BÓC KHỐI LƯỢNG HOÀN THÀNH ĐƯA VÀO QUYẾT TOÁN</v>
          </cell>
        </row>
      </sheetData>
      <sheetData sheetId="5267">
        <row r="4">
          <cell r="A4" t="str">
            <v>BẢNG TÍNH TOÁN, ĐO BÓC KHỐI LƯỢNG HOÀN THÀNH ĐƯA VÀO QUYẾT TOÁN</v>
          </cell>
        </row>
      </sheetData>
      <sheetData sheetId="5268">
        <row r="4">
          <cell r="A4" t="str">
            <v>BẢNG TÍNH TOÁN, ĐO BÓC KHỐI LƯỢNG HOÀN THÀNH ĐƯA VÀO QUYẾT TOÁN</v>
          </cell>
        </row>
      </sheetData>
      <sheetData sheetId="5269">
        <row r="4">
          <cell r="A4" t="str">
            <v>BẢNG TÍNH TOÁN, ĐO BÓC KHỐI LƯỢNG HOÀN THÀNH ĐƯA VÀO QUYẾT TOÁN</v>
          </cell>
        </row>
      </sheetData>
      <sheetData sheetId="5270">
        <row r="4">
          <cell r="A4" t="str">
            <v>BẢNG TÍNH TOÁN, ĐO BÓC KHỐI LƯỢNG HOÀN THÀNH ĐƯA VÀO QUYẾT TOÁN</v>
          </cell>
        </row>
      </sheetData>
      <sheetData sheetId="5271">
        <row r="4">
          <cell r="A4" t="str">
            <v>BẢNG TÍNH TOÁN, ĐO BÓC KHỐI LƯỢNG HOÀN THÀNH ĐƯA VÀO QUYẾT TOÁN</v>
          </cell>
        </row>
      </sheetData>
      <sheetData sheetId="5272">
        <row r="4">
          <cell r="A4" t="str">
            <v>BẢNG TÍNH TOÁN, ĐO BÓC KHỐI LƯỢNG HOÀN THÀNH ĐƯA VÀO QUYẾT TOÁN</v>
          </cell>
        </row>
      </sheetData>
      <sheetData sheetId="5273">
        <row r="4">
          <cell r="A4" t="str">
            <v>BẢNG TÍNH TOÁN, ĐO BÓC KHỐI LƯỢNG HOÀN THÀNH ĐƯA VÀO QUYẾT TOÁN</v>
          </cell>
        </row>
      </sheetData>
      <sheetData sheetId="5274">
        <row r="4">
          <cell r="A4" t="str">
            <v>BẢNG TÍNH TOÁN, ĐO BÓC KHỐI LƯỢNG HOÀN THÀNH ĐƯA VÀO QUYẾT TOÁN</v>
          </cell>
        </row>
      </sheetData>
      <sheetData sheetId="5275">
        <row r="4">
          <cell r="A4" t="str">
            <v>BẢNG TÍNH TOÁN, ĐO BÓC KHỐI LƯỢNG HOÀN THÀNH ĐƯA VÀO QUYẾT TOÁN</v>
          </cell>
        </row>
      </sheetData>
      <sheetData sheetId="5276">
        <row r="4">
          <cell r="A4" t="str">
            <v>BẢNG TÍNH TOÁN, ĐO BÓC KHỐI LƯỢNG HOÀN THÀNH ĐƯA VÀO QUYẾT TOÁN</v>
          </cell>
        </row>
      </sheetData>
      <sheetData sheetId="5277">
        <row r="4">
          <cell r="A4" t="str">
            <v>BẢNG TÍNH TOÁN, ĐO BÓC KHỐI LƯỢNG HOÀN THÀNH ĐƯA VÀO QUYẾT TOÁN</v>
          </cell>
        </row>
      </sheetData>
      <sheetData sheetId="5278">
        <row r="4">
          <cell r="A4" t="str">
            <v>BẢNG TÍNH TOÁN, ĐO BÓC KHỐI LƯỢNG HOÀN THÀNH ĐƯA VÀO QUYẾT TOÁN</v>
          </cell>
        </row>
      </sheetData>
      <sheetData sheetId="5279">
        <row r="4">
          <cell r="A4" t="str">
            <v>BẢNG TÍNH TOÁN, ĐO BÓC KHỐI LƯỢNG HOÀN THÀNH ĐƯA VÀO QUYẾT TOÁN</v>
          </cell>
        </row>
      </sheetData>
      <sheetData sheetId="5280">
        <row r="4">
          <cell r="A4" t="str">
            <v>BẢNG TÍNH TOÁN, ĐO BÓC KHỐI LƯỢNG HOÀN THÀNH ĐƯA VÀO QUYẾT TOÁN</v>
          </cell>
        </row>
      </sheetData>
      <sheetData sheetId="5281">
        <row r="4">
          <cell r="A4" t="str">
            <v>BẢNG TÍNH TOÁN, ĐO BÓC KHỐI LƯỢNG HOÀN THÀNH ĐƯA VÀO QUYẾT TOÁN</v>
          </cell>
        </row>
      </sheetData>
      <sheetData sheetId="5282">
        <row r="4">
          <cell r="A4" t="str">
            <v>BẢNG TÍNH TOÁN, ĐO BÓC KHỐI LƯỢNG HOÀN THÀNH ĐƯA VÀO QUYẾT TOÁN</v>
          </cell>
        </row>
      </sheetData>
      <sheetData sheetId="5283">
        <row r="4">
          <cell r="A4" t="str">
            <v>BẢNG TÍNH TOÁN, ĐO BÓC KHỐI LƯỢNG HOÀN THÀNH ĐƯA VÀO QUYẾT TOÁN</v>
          </cell>
        </row>
      </sheetData>
      <sheetData sheetId="5284">
        <row r="4">
          <cell r="A4" t="str">
            <v>BẢNG TÍNH TOÁN, ĐO BÓC KHỐI LƯỢNG HOÀN THÀNH ĐƯA VÀO QUYẾT TOÁN</v>
          </cell>
        </row>
      </sheetData>
      <sheetData sheetId="5285">
        <row r="4">
          <cell r="A4" t="str">
            <v>BẢNG TÍNH TOÁN, ĐO BÓC KHỐI LƯỢNG HOÀN THÀNH ĐƯA VÀO QUYẾT TOÁN</v>
          </cell>
        </row>
      </sheetData>
      <sheetData sheetId="5286">
        <row r="4">
          <cell r="A4" t="str">
            <v>BẢNG TÍNH TOÁN, ĐO BÓC KHỐI LƯỢNG HOÀN THÀNH ĐƯA VÀO QUYẾT TOÁN</v>
          </cell>
        </row>
      </sheetData>
      <sheetData sheetId="5287">
        <row r="4">
          <cell r="A4" t="str">
            <v>BẢNG TÍNH TOÁN, ĐO BÓC KHỐI LƯỢNG HOÀN THÀNH ĐƯA VÀO QUYẾT TOÁN</v>
          </cell>
        </row>
      </sheetData>
      <sheetData sheetId="5288">
        <row r="4">
          <cell r="A4" t="str">
            <v>BẢNG TÍNH TOÁN, ĐO BÓC KHỐI LƯỢNG HOÀN THÀNH ĐƯA VÀO QUYẾT TOÁN</v>
          </cell>
        </row>
      </sheetData>
      <sheetData sheetId="5289">
        <row r="4">
          <cell r="A4" t="str">
            <v>BẢNG TÍNH TOÁN, ĐO BÓC KHỐI LƯỢNG HOÀN THÀNH ĐƯA VÀO QUYẾT TOÁN</v>
          </cell>
        </row>
      </sheetData>
      <sheetData sheetId="5290">
        <row r="4">
          <cell r="A4" t="str">
            <v>BẢNG TÍNH TOÁN, ĐO BÓC KHỐI LƯỢNG HOÀN THÀNH ĐƯA VÀO QUYẾT TOÁN</v>
          </cell>
        </row>
      </sheetData>
      <sheetData sheetId="5291">
        <row r="4">
          <cell r="A4" t="str">
            <v>BẢNG TÍNH TOÁN, ĐO BÓC KHỐI LƯỢNG HOÀN THÀNH ĐƯA VÀO QUYẾT TOÁN</v>
          </cell>
        </row>
      </sheetData>
      <sheetData sheetId="5292">
        <row r="4">
          <cell r="A4" t="str">
            <v>BẢNG TÍNH TOÁN, ĐO BÓC KHỐI LƯỢNG HOÀN THÀNH ĐƯA VÀO QUYẾT TOÁN</v>
          </cell>
        </row>
      </sheetData>
      <sheetData sheetId="5293">
        <row r="4">
          <cell r="A4" t="str">
            <v>BẢNG TÍNH TOÁN, ĐO BÓC KHỐI LƯỢNG HOÀN THÀNH ĐƯA VÀO QUYẾT TOÁN</v>
          </cell>
        </row>
      </sheetData>
      <sheetData sheetId="5294">
        <row r="4">
          <cell r="A4" t="str">
            <v>BẢNG TÍNH TOÁN, ĐO BÓC KHỐI LƯỢNG HOÀN THÀNH ĐƯA VÀO QUYẾT TOÁN</v>
          </cell>
        </row>
      </sheetData>
      <sheetData sheetId="5295">
        <row r="4">
          <cell r="A4" t="str">
            <v>BẢNG TÍNH TOÁN, ĐO BÓC KHỐI LƯỢNG HOÀN THÀNH ĐƯA VÀO QUYẾT TOÁN</v>
          </cell>
        </row>
      </sheetData>
      <sheetData sheetId="5296">
        <row r="4">
          <cell r="A4" t="str">
            <v>BẢNG TÍNH TOÁN, ĐO BÓC KHỐI LƯỢNG HOÀN THÀNH ĐƯA VÀO QUYẾT TOÁN</v>
          </cell>
        </row>
      </sheetData>
      <sheetData sheetId="5297">
        <row r="4">
          <cell r="A4" t="str">
            <v>BẢNG TÍNH TOÁN, ĐO BÓC KHỐI LƯỢNG HOÀN THÀNH ĐƯA VÀO QUYẾT TOÁN</v>
          </cell>
        </row>
      </sheetData>
      <sheetData sheetId="5298">
        <row r="4">
          <cell r="A4" t="str">
            <v>BẢNG TÍNH TOÁN, ĐO BÓC KHỐI LƯỢNG HOÀN THÀNH ĐƯA VÀO QUYẾT TOÁN</v>
          </cell>
        </row>
      </sheetData>
      <sheetData sheetId="5299">
        <row r="4">
          <cell r="A4" t="str">
            <v>BẢNG TÍNH TOÁN, ĐO BÓC KHỐI LƯỢNG HOÀN THÀNH ĐƯA VÀO QUYẾT TOÁN</v>
          </cell>
        </row>
      </sheetData>
      <sheetData sheetId="5300">
        <row r="4">
          <cell r="A4" t="str">
            <v>BẢNG TÍNH TOÁN, ĐO BÓC KHỐI LƯỢNG HOÀN THÀNH ĐƯA VÀO QUYẾT TOÁN</v>
          </cell>
        </row>
      </sheetData>
      <sheetData sheetId="5301">
        <row r="4">
          <cell r="A4" t="str">
            <v>BẢNG TÍNH TOÁN, ĐO BÓC KHỐI LƯỢNG HOÀN THÀNH ĐƯA VÀO QUYẾT TOÁN</v>
          </cell>
        </row>
      </sheetData>
      <sheetData sheetId="5302">
        <row r="4">
          <cell r="A4" t="str">
            <v>BẢNG TÍNH TOÁN, ĐO BÓC KHỐI LƯỢNG HOÀN THÀNH ĐƯA VÀO QUYẾT TOÁN</v>
          </cell>
        </row>
      </sheetData>
      <sheetData sheetId="5303">
        <row r="4">
          <cell r="A4" t="str">
            <v>BẢNG TÍNH TOÁN, ĐO BÓC KHỐI LƯỢNG HOÀN THÀNH ĐƯA VÀO QUYẾT TOÁN</v>
          </cell>
        </row>
      </sheetData>
      <sheetData sheetId="5304">
        <row r="4">
          <cell r="A4" t="str">
            <v>BẢNG TÍNH TOÁN, ĐO BÓC KHỐI LƯỢNG HOÀN THÀNH ĐƯA VÀO QUYẾT TOÁN</v>
          </cell>
        </row>
      </sheetData>
      <sheetData sheetId="5305">
        <row r="4">
          <cell r="A4" t="str">
            <v>BẢNG TÍNH TOÁN, ĐO BÓC KHỐI LƯỢNG HOÀN THÀNH ĐƯA VÀO QUYẾT TOÁN</v>
          </cell>
        </row>
      </sheetData>
      <sheetData sheetId="5306">
        <row r="4">
          <cell r="A4" t="str">
            <v>BẢNG TÍNH TOÁN, ĐO BÓC KHỐI LƯỢNG HOÀN THÀNH ĐƯA VÀO QUYẾT TOÁN</v>
          </cell>
        </row>
      </sheetData>
      <sheetData sheetId="5307">
        <row r="4">
          <cell r="A4" t="str">
            <v>BẢNG TÍNH TOÁN, ĐO BÓC KHỐI LƯỢNG HOÀN THÀNH ĐƯA VÀO QUYẾT TOÁN</v>
          </cell>
        </row>
      </sheetData>
      <sheetData sheetId="5308">
        <row r="4">
          <cell r="A4" t="str">
            <v>BẢNG TÍNH TOÁN, ĐO BÓC KHỐI LƯỢNG HOÀN THÀNH ĐƯA VÀO QUYẾT TOÁN</v>
          </cell>
        </row>
      </sheetData>
      <sheetData sheetId="5309">
        <row r="4">
          <cell r="A4" t="str">
            <v>BẢNG TÍNH TOÁN, ĐO BÓC KHỐI LƯỢNG HOÀN THÀNH ĐƯA VÀO QUYẾT TOÁN</v>
          </cell>
        </row>
      </sheetData>
      <sheetData sheetId="5310">
        <row r="4">
          <cell r="A4" t="str">
            <v>BẢNG TÍNH TOÁN, ĐO BÓC KHỐI LƯỢNG HOÀN THÀNH ĐƯA VÀO QUYẾT TOÁN</v>
          </cell>
        </row>
      </sheetData>
      <sheetData sheetId="5311">
        <row r="4">
          <cell r="A4" t="str">
            <v>BẢNG TÍNH TOÁN, ĐO BÓC KHỐI LƯỢNG HOÀN THÀNH ĐƯA VÀO QUYẾT TOÁN</v>
          </cell>
        </row>
      </sheetData>
      <sheetData sheetId="5312">
        <row r="4">
          <cell r="A4" t="str">
            <v>BẢNG TÍNH TOÁN, ĐO BÓC KHỐI LƯỢNG HOÀN THÀNH ĐƯA VÀO QUYẾT TOÁN</v>
          </cell>
        </row>
      </sheetData>
      <sheetData sheetId="5313">
        <row r="4">
          <cell r="A4" t="str">
            <v>BẢNG TÍNH TOÁN, ĐO BÓC KHỐI LƯỢNG HOÀN THÀNH ĐƯA VÀO QUYẾT TOÁN</v>
          </cell>
        </row>
      </sheetData>
      <sheetData sheetId="5314">
        <row r="4">
          <cell r="A4" t="str">
            <v>BẢNG TÍNH TOÁN, ĐO BÓC KHỐI LƯỢNG HOÀN THÀNH ĐƯA VÀO QUYẾT TOÁN</v>
          </cell>
        </row>
      </sheetData>
      <sheetData sheetId="5315">
        <row r="4">
          <cell r="A4" t="str">
            <v>BẢNG TÍNH TOÁN, ĐO BÓC KHỐI LƯỢNG HOÀN THÀNH ĐƯA VÀO QUYẾT TOÁN</v>
          </cell>
        </row>
      </sheetData>
      <sheetData sheetId="5316">
        <row r="4">
          <cell r="A4" t="str">
            <v>BẢNG TÍNH TOÁN, ĐO BÓC KHỐI LƯỢNG HOÀN THÀNH ĐƯA VÀO QUYẾT TOÁN</v>
          </cell>
        </row>
      </sheetData>
      <sheetData sheetId="5317">
        <row r="4">
          <cell r="A4" t="str">
            <v>BẢNG TÍNH TOÁN, ĐO BÓC KHỐI LƯỢNG HOÀN THÀNH ĐƯA VÀO QUYẾT TOÁN</v>
          </cell>
        </row>
      </sheetData>
      <sheetData sheetId="5318">
        <row r="4">
          <cell r="A4" t="str">
            <v>BẢNG TÍNH TOÁN, ĐO BÓC KHỐI LƯỢNG HOÀN THÀNH ĐƯA VÀO QUYẾT TOÁN</v>
          </cell>
        </row>
      </sheetData>
      <sheetData sheetId="5319">
        <row r="4">
          <cell r="A4" t="str">
            <v>BẢNG TÍNH TOÁN, ĐO BÓC KHỐI LƯỢNG HOÀN THÀNH ĐƯA VÀO QUYẾT TOÁN</v>
          </cell>
        </row>
      </sheetData>
      <sheetData sheetId="5320">
        <row r="4">
          <cell r="A4" t="str">
            <v>BẢNG TÍNH TOÁN, ĐO BÓC KHỐI LƯỢNG HOÀN THÀNH ĐƯA VÀO QUYẾT TOÁN</v>
          </cell>
        </row>
      </sheetData>
      <sheetData sheetId="5321">
        <row r="4">
          <cell r="A4" t="str">
            <v>BẢNG TÍNH TOÁN, ĐO BÓC KHỐI LƯỢNG HOÀN THÀNH ĐƯA VÀO QUYẾT TOÁN</v>
          </cell>
        </row>
      </sheetData>
      <sheetData sheetId="5322">
        <row r="4">
          <cell r="A4" t="str">
            <v>BẢNG TÍNH TOÁN, ĐO BÓC KHỐI LƯỢNG HOÀN THÀNH ĐƯA VÀO QUYẾT TOÁN</v>
          </cell>
        </row>
      </sheetData>
      <sheetData sheetId="5323">
        <row r="4">
          <cell r="A4" t="str">
            <v>BẢNG TÍNH TOÁN, ĐO BÓC KHỐI LƯỢNG HOÀN THÀNH ĐƯA VÀO QUYẾT TOÁN</v>
          </cell>
        </row>
      </sheetData>
      <sheetData sheetId="5324">
        <row r="4">
          <cell r="A4" t="str">
            <v>BẢNG TÍNH TOÁN, ĐO BÓC KHỐI LƯỢNG HOÀN THÀNH ĐƯA VÀO QUYẾT TOÁN</v>
          </cell>
        </row>
      </sheetData>
      <sheetData sheetId="5325">
        <row r="4">
          <cell r="A4" t="str">
            <v>BẢNG TÍNH TOÁN, ĐO BÓC KHỐI LƯỢNG HOÀN THÀNH ĐƯA VÀO QUYẾT TOÁN</v>
          </cell>
        </row>
      </sheetData>
      <sheetData sheetId="5326">
        <row r="4">
          <cell r="A4" t="str">
            <v>BẢNG TÍNH TOÁN, ĐO BÓC KHỐI LƯỢNG HOÀN THÀNH ĐƯA VÀO QUYẾT TOÁN</v>
          </cell>
        </row>
      </sheetData>
      <sheetData sheetId="5327">
        <row r="4">
          <cell r="A4" t="str">
            <v>BẢNG TÍNH TOÁN, ĐO BÓC KHỐI LƯỢNG HOÀN THÀNH ĐƯA VÀO QUYẾT TOÁN</v>
          </cell>
        </row>
      </sheetData>
      <sheetData sheetId="5328">
        <row r="4">
          <cell r="A4" t="str">
            <v>BẢNG TÍNH TOÁN, ĐO BÓC KHỐI LƯỢNG HOÀN THÀNH ĐƯA VÀO QUYẾT TOÁN</v>
          </cell>
        </row>
      </sheetData>
      <sheetData sheetId="5329">
        <row r="4">
          <cell r="A4" t="str">
            <v>BẢNG TÍNH TOÁN, ĐO BÓC KHỐI LƯỢNG HOÀN THÀNH ĐƯA VÀO QUYẾT TOÁN</v>
          </cell>
        </row>
      </sheetData>
      <sheetData sheetId="5330">
        <row r="4">
          <cell r="A4" t="str">
            <v>BẢNG TÍNH TOÁN, ĐO BÓC KHỐI LƯỢNG HOÀN THÀNH ĐƯA VÀO QUYẾT TOÁN</v>
          </cell>
        </row>
      </sheetData>
      <sheetData sheetId="5331">
        <row r="4">
          <cell r="A4" t="str">
            <v>BẢNG TÍNH TOÁN, ĐO BÓC KHỐI LƯỢNG HOÀN THÀNH ĐƯA VÀO QUYẾT TOÁN</v>
          </cell>
        </row>
      </sheetData>
      <sheetData sheetId="5332">
        <row r="4">
          <cell r="A4" t="str">
            <v>BẢNG TÍNH TOÁN, ĐO BÓC KHỐI LƯỢNG HOÀN THÀNH ĐƯA VÀO QUYẾT TOÁN</v>
          </cell>
        </row>
      </sheetData>
      <sheetData sheetId="5333">
        <row r="4">
          <cell r="A4" t="str">
            <v>BẢNG TÍNH TOÁN, ĐO BÓC KHỐI LƯỢNG HOÀN THÀNH ĐƯA VÀO QUYẾT TOÁN</v>
          </cell>
        </row>
      </sheetData>
      <sheetData sheetId="5334">
        <row r="4">
          <cell r="A4" t="str">
            <v>BẢNG TÍNH TOÁN, ĐO BÓC KHỐI LƯỢNG HOÀN THÀNH ĐƯA VÀO QUYẾT TOÁN</v>
          </cell>
        </row>
      </sheetData>
      <sheetData sheetId="5335">
        <row r="4">
          <cell r="A4" t="str">
            <v>BẢNG TÍNH TOÁN, ĐO BÓC KHỐI LƯỢNG HOÀN THÀNH ĐƯA VÀO QUYẾT TOÁN</v>
          </cell>
        </row>
      </sheetData>
      <sheetData sheetId="5336">
        <row r="4">
          <cell r="A4" t="str">
            <v>BẢNG TÍNH TOÁN, ĐO BÓC KHỐI LƯỢNG HOÀN THÀNH ĐƯA VÀO QUYẾT TOÁN</v>
          </cell>
        </row>
      </sheetData>
      <sheetData sheetId="5337">
        <row r="4">
          <cell r="A4" t="str">
            <v>BẢNG TÍNH TOÁN, ĐO BÓC KHỐI LƯỢNG HOÀN THÀNH ĐƯA VÀO QUYẾT TOÁN</v>
          </cell>
        </row>
      </sheetData>
      <sheetData sheetId="5338">
        <row r="4">
          <cell r="A4" t="str">
            <v>BẢNG TÍNH TOÁN, ĐO BÓC KHỐI LƯỢNG HOÀN THÀNH ĐƯA VÀO QUYẾT TOÁN</v>
          </cell>
        </row>
      </sheetData>
      <sheetData sheetId="5339">
        <row r="4">
          <cell r="A4" t="str">
            <v>BẢNG TÍNH TOÁN, ĐO BÓC KHỐI LƯỢNG HOÀN THÀNH ĐƯA VÀO QUYẾT TOÁN</v>
          </cell>
        </row>
      </sheetData>
      <sheetData sheetId="5340">
        <row r="4">
          <cell r="A4" t="str">
            <v>BẢNG TÍNH TOÁN, ĐO BÓC KHỐI LƯỢNG HOÀN THÀNH ĐƯA VÀO QUYẾT TOÁN</v>
          </cell>
        </row>
      </sheetData>
      <sheetData sheetId="5341">
        <row r="4">
          <cell r="A4" t="str">
            <v>BẢNG TÍNH TOÁN, ĐO BÓC KHỐI LƯỢNG HOÀN THÀNH ĐƯA VÀO QUYẾT TOÁN</v>
          </cell>
        </row>
      </sheetData>
      <sheetData sheetId="5342">
        <row r="4">
          <cell r="A4" t="str">
            <v>BẢNG TÍNH TOÁN, ĐO BÓC KHỐI LƯỢNG HOÀN THÀNH ĐƯA VÀO QUYẾT TOÁN</v>
          </cell>
        </row>
      </sheetData>
      <sheetData sheetId="5343">
        <row r="4">
          <cell r="A4" t="str">
            <v>BẢNG TÍNH TOÁN, ĐO BÓC KHỐI LƯỢNG HOÀN THÀNH ĐƯA VÀO QUYẾT TOÁN</v>
          </cell>
        </row>
      </sheetData>
      <sheetData sheetId="5344">
        <row r="4">
          <cell r="A4" t="str">
            <v>BẢNG TÍNH TOÁN, ĐO BÓC KHỐI LƯỢNG HOÀN THÀNH ĐƯA VÀO QUYẾT TOÁN</v>
          </cell>
        </row>
      </sheetData>
      <sheetData sheetId="5345">
        <row r="4">
          <cell r="A4" t="str">
            <v>BẢNG TÍNH TOÁN, ĐO BÓC KHỐI LƯỢNG HOÀN THÀNH ĐƯA VÀO QUYẾT TOÁN</v>
          </cell>
        </row>
      </sheetData>
      <sheetData sheetId="5346">
        <row r="4">
          <cell r="A4" t="str">
            <v>BẢNG TÍNH TOÁN, ĐO BÓC KHỐI LƯỢNG HOÀN THÀNH ĐƯA VÀO QUYẾT TOÁN</v>
          </cell>
        </row>
      </sheetData>
      <sheetData sheetId="5347">
        <row r="4">
          <cell r="A4" t="str">
            <v>BẢNG TÍNH TOÁN, ĐO BÓC KHỐI LƯỢNG HOÀN THÀNH ĐƯA VÀO QUYẾT TOÁN</v>
          </cell>
        </row>
      </sheetData>
      <sheetData sheetId="5348">
        <row r="4">
          <cell r="A4" t="str">
            <v>BẢNG TÍNH TOÁN, ĐO BÓC KHỐI LƯỢNG HOÀN THÀNH ĐƯA VÀO QUYẾT TOÁN</v>
          </cell>
        </row>
      </sheetData>
      <sheetData sheetId="5349">
        <row r="4">
          <cell r="A4" t="str">
            <v>BẢNG TÍNH TOÁN, ĐO BÓC KHỐI LƯỢNG HOÀN THÀNH ĐƯA VÀO QUYẾT TOÁN</v>
          </cell>
        </row>
      </sheetData>
      <sheetData sheetId="5350">
        <row r="4">
          <cell r="A4" t="str">
            <v>BẢNG TÍNH TOÁN, ĐO BÓC KHỐI LƯỢNG HOÀN THÀNH ĐƯA VÀO QUYẾT TOÁN</v>
          </cell>
        </row>
      </sheetData>
      <sheetData sheetId="5351">
        <row r="4">
          <cell r="A4" t="str">
            <v>BẢNG TÍNH TOÁN, ĐO BÓC KHỐI LƯỢNG HOÀN THÀNH ĐƯA VÀO QUYẾT TOÁN</v>
          </cell>
        </row>
      </sheetData>
      <sheetData sheetId="5352">
        <row r="4">
          <cell r="A4" t="str">
            <v>BẢNG TÍNH TOÁN, ĐO BÓC KHỐI LƯỢNG HOÀN THÀNH ĐƯA VÀO QUYẾT TOÁN</v>
          </cell>
        </row>
      </sheetData>
      <sheetData sheetId="5353">
        <row r="4">
          <cell r="A4" t="str">
            <v>BẢNG TÍNH TOÁN, ĐO BÓC KHỐI LƯỢNG HOÀN THÀNH ĐƯA VÀO QUYẾT TOÁN</v>
          </cell>
        </row>
      </sheetData>
      <sheetData sheetId="5354">
        <row r="4">
          <cell r="A4" t="str">
            <v>BẢNG TÍNH TOÁN, ĐO BÓC KHỐI LƯỢNG HOÀN THÀNH ĐƯA VÀO QUYẾT TOÁN</v>
          </cell>
        </row>
      </sheetData>
      <sheetData sheetId="5355">
        <row r="4">
          <cell r="A4" t="str">
            <v>BẢNG TÍNH TOÁN, ĐO BÓC KHỐI LƯỢNG HOÀN THÀNH ĐƯA VÀO QUYẾT TOÁN</v>
          </cell>
        </row>
      </sheetData>
      <sheetData sheetId="5356">
        <row r="4">
          <cell r="A4" t="str">
            <v>BẢNG TÍNH TOÁN, ĐO BÓC KHỐI LƯỢNG HOÀN THÀNH ĐƯA VÀO QUYẾT TOÁN</v>
          </cell>
        </row>
      </sheetData>
      <sheetData sheetId="5357">
        <row r="4">
          <cell r="A4" t="str">
            <v>BẢNG TÍNH TOÁN, ĐO BÓC KHỐI LƯỢNG HOÀN THÀNH ĐƯA VÀO QUYẾT TOÁN</v>
          </cell>
        </row>
      </sheetData>
      <sheetData sheetId="5358">
        <row r="4">
          <cell r="A4" t="str">
            <v>BẢNG TÍNH TOÁN, ĐO BÓC KHỐI LƯỢNG HOÀN THÀNH ĐƯA VÀO QUYẾT TOÁN</v>
          </cell>
        </row>
      </sheetData>
      <sheetData sheetId="5359">
        <row r="4">
          <cell r="A4" t="str">
            <v>BẢNG TÍNH TOÁN, ĐO BÓC KHỐI LƯỢNG HOÀN THÀNH ĐƯA VÀO QUYẾT TOÁN</v>
          </cell>
        </row>
      </sheetData>
      <sheetData sheetId="5360">
        <row r="4">
          <cell r="A4" t="str">
            <v>BẢNG TÍNH TOÁN, ĐO BÓC KHỐI LƯỢNG HOÀN THÀNH ĐƯA VÀO QUYẾT TOÁN</v>
          </cell>
        </row>
      </sheetData>
      <sheetData sheetId="5361">
        <row r="4">
          <cell r="A4" t="str">
            <v>BẢNG TÍNH TOÁN, ĐO BÓC KHỐI LƯỢNG HOÀN THÀNH ĐƯA VÀO QUYẾT TOÁN</v>
          </cell>
        </row>
      </sheetData>
      <sheetData sheetId="5362">
        <row r="4">
          <cell r="A4" t="str">
            <v>BẢNG TÍNH TOÁN, ĐO BÓC KHỐI LƯỢNG HOÀN THÀNH ĐƯA VÀO QUYẾT TOÁN</v>
          </cell>
        </row>
      </sheetData>
      <sheetData sheetId="5363">
        <row r="4">
          <cell r="A4" t="str">
            <v>BẢNG TÍNH TOÁN, ĐO BÓC KHỐI LƯỢNG HOÀN THÀNH ĐƯA VÀO QUYẾT TOÁN</v>
          </cell>
        </row>
      </sheetData>
      <sheetData sheetId="5364">
        <row r="4">
          <cell r="A4" t="str">
            <v>BẢNG TÍNH TOÁN, ĐO BÓC KHỐI LƯỢNG HOÀN THÀNH ĐƯA VÀO QUYẾT TOÁN</v>
          </cell>
        </row>
      </sheetData>
      <sheetData sheetId="5365">
        <row r="4">
          <cell r="A4" t="str">
            <v>BẢNG TÍNH TOÁN, ĐO BÓC KHỐI LƯỢNG HOÀN THÀNH ĐƯA VÀO QUYẾT TOÁN</v>
          </cell>
        </row>
      </sheetData>
      <sheetData sheetId="5366">
        <row r="4">
          <cell r="A4" t="str">
            <v>BẢNG TÍNH TOÁN, ĐO BÓC KHỐI LƯỢNG HOÀN THÀNH ĐƯA VÀO QUYẾT TOÁN</v>
          </cell>
        </row>
      </sheetData>
      <sheetData sheetId="5367">
        <row r="4">
          <cell r="A4" t="str">
            <v>BẢNG TÍNH TOÁN, ĐO BÓC KHỐI LƯỢNG HOÀN THÀNH ĐƯA VÀO QUYẾT TOÁN</v>
          </cell>
        </row>
      </sheetData>
      <sheetData sheetId="5368">
        <row r="4">
          <cell r="A4" t="str">
            <v>BẢNG TÍNH TOÁN, ĐO BÓC KHỐI LƯỢNG HOÀN THÀNH ĐƯA VÀO QUYẾT TOÁN</v>
          </cell>
        </row>
      </sheetData>
      <sheetData sheetId="5369">
        <row r="4">
          <cell r="A4" t="str">
            <v>BẢNG TÍNH TOÁN, ĐO BÓC KHỐI LƯỢNG HOÀN THÀNH ĐƯA VÀO QUYẾT TOÁN</v>
          </cell>
        </row>
      </sheetData>
      <sheetData sheetId="5370">
        <row r="4">
          <cell r="A4" t="str">
            <v>BẢNG TÍNH TOÁN, ĐO BÓC KHỐI LƯỢNG HOÀN THÀNH ĐƯA VÀO QUYẾT TOÁN</v>
          </cell>
        </row>
      </sheetData>
      <sheetData sheetId="5371">
        <row r="4">
          <cell r="A4" t="str">
            <v>BẢNG TÍNH TOÁN, ĐO BÓC KHỐI LƯỢNG HOÀN THÀNH ĐƯA VÀO QUYẾT TOÁN</v>
          </cell>
        </row>
      </sheetData>
      <sheetData sheetId="5372">
        <row r="4">
          <cell r="A4" t="str">
            <v>BẢNG TÍNH TOÁN, ĐO BÓC KHỐI LƯỢNG HOÀN THÀNH ĐƯA VÀO QUYẾT TOÁN</v>
          </cell>
        </row>
      </sheetData>
      <sheetData sheetId="5373">
        <row r="4">
          <cell r="A4" t="str">
            <v>BẢNG TÍNH TOÁN, ĐO BÓC KHỐI LƯỢNG HOÀN THÀNH ĐƯA VÀO QUYẾT TOÁN</v>
          </cell>
        </row>
      </sheetData>
      <sheetData sheetId="5374">
        <row r="4">
          <cell r="A4" t="str">
            <v>BẢNG TÍNH TOÁN, ĐO BÓC KHỐI LƯỢNG HOÀN THÀNH ĐƯA VÀO QUYẾT TOÁN</v>
          </cell>
        </row>
      </sheetData>
      <sheetData sheetId="5375">
        <row r="4">
          <cell r="A4" t="str">
            <v>BẢNG TÍNH TOÁN, ĐO BÓC KHỐI LƯỢNG HOÀN THÀNH ĐƯA VÀO QUYẾT TOÁN</v>
          </cell>
        </row>
      </sheetData>
      <sheetData sheetId="5376">
        <row r="4">
          <cell r="A4" t="str">
            <v>BẢNG TÍNH TOÁN, ĐO BÓC KHỐI LƯỢNG HOÀN THÀNH ĐƯA VÀO QUYẾT TOÁN</v>
          </cell>
        </row>
      </sheetData>
      <sheetData sheetId="5377">
        <row r="4">
          <cell r="A4" t="str">
            <v>BẢNG TÍNH TOÁN, ĐO BÓC KHỐI LƯỢNG HOÀN THÀNH ĐƯA VÀO QUYẾT TOÁN</v>
          </cell>
        </row>
      </sheetData>
      <sheetData sheetId="5378">
        <row r="4">
          <cell r="A4" t="str">
            <v>BẢNG TÍNH TOÁN, ĐO BÓC KHỐI LƯỢNG HOÀN THÀNH ĐƯA VÀO QUYẾT TOÁN</v>
          </cell>
        </row>
      </sheetData>
      <sheetData sheetId="5379">
        <row r="4">
          <cell r="A4" t="str">
            <v>BẢNG TÍNH TOÁN, ĐO BÓC KHỐI LƯỢNG HOÀN THÀNH ĐƯA VÀO QUYẾT TOÁN</v>
          </cell>
        </row>
      </sheetData>
      <sheetData sheetId="5380">
        <row r="4">
          <cell r="A4" t="str">
            <v>BẢNG TÍNH TOÁN, ĐO BÓC KHỐI LƯỢNG HOÀN THÀNH ĐƯA VÀO QUYẾT TOÁN</v>
          </cell>
        </row>
      </sheetData>
      <sheetData sheetId="5381">
        <row r="4">
          <cell r="A4" t="str">
            <v>BẢNG TÍNH TOÁN, ĐO BÓC KHỐI LƯỢNG HOÀN THÀNH ĐƯA VÀO QUYẾT TOÁN</v>
          </cell>
        </row>
      </sheetData>
      <sheetData sheetId="5382">
        <row r="4">
          <cell r="A4" t="str">
            <v>BẢNG TÍNH TOÁN, ĐO BÓC KHỐI LƯỢNG HOÀN THÀNH ĐƯA VÀO QUYẾT TOÁN</v>
          </cell>
        </row>
      </sheetData>
      <sheetData sheetId="5383">
        <row r="4">
          <cell r="A4" t="str">
            <v>BẢNG TÍNH TOÁN, ĐO BÓC KHỐI LƯỢNG HOÀN THÀNH ĐƯA VÀO QUYẾT TOÁN</v>
          </cell>
        </row>
      </sheetData>
      <sheetData sheetId="5384">
        <row r="4">
          <cell r="A4" t="str">
            <v>BẢNG TÍNH TOÁN, ĐO BÓC KHỐI LƯỢNG HOÀN THÀNH ĐƯA VÀO QUYẾT TOÁN</v>
          </cell>
        </row>
      </sheetData>
      <sheetData sheetId="5385">
        <row r="4">
          <cell r="A4" t="str">
            <v>BẢNG TÍNH TOÁN, ĐO BÓC KHỐI LƯỢNG HOÀN THÀNH ĐƯA VÀO QUYẾT TOÁN</v>
          </cell>
        </row>
      </sheetData>
      <sheetData sheetId="5386">
        <row r="4">
          <cell r="A4" t="str">
            <v>BẢNG TÍNH TOÁN, ĐO BÓC KHỐI LƯỢNG HOÀN THÀNH ĐƯA VÀO QUYẾT TOÁN</v>
          </cell>
        </row>
      </sheetData>
      <sheetData sheetId="5387">
        <row r="4">
          <cell r="A4" t="str">
            <v>BẢNG TÍNH TOÁN, ĐO BÓC KHỐI LƯỢNG HOÀN THÀNH ĐƯA VÀO QUYẾT TOÁN</v>
          </cell>
        </row>
      </sheetData>
      <sheetData sheetId="5388">
        <row r="4">
          <cell r="A4" t="str">
            <v>BẢNG TÍNH TOÁN, ĐO BÓC KHỐI LƯỢNG HOÀN THÀNH ĐƯA VÀO QUYẾT TOÁN</v>
          </cell>
        </row>
      </sheetData>
      <sheetData sheetId="5389">
        <row r="4">
          <cell r="A4" t="str">
            <v>BẢNG TÍNH TOÁN, ĐO BÓC KHỐI LƯỢNG HOÀN THÀNH ĐƯA VÀO QUYẾT TOÁN</v>
          </cell>
        </row>
      </sheetData>
      <sheetData sheetId="5390">
        <row r="4">
          <cell r="A4" t="str">
            <v>BẢNG TÍNH TOÁN, ĐO BÓC KHỐI LƯỢNG HOÀN THÀNH ĐƯA VÀO QUYẾT TOÁN</v>
          </cell>
        </row>
      </sheetData>
      <sheetData sheetId="5391">
        <row r="4">
          <cell r="A4" t="str">
            <v>BẢNG TÍNH TOÁN, ĐO BÓC KHỐI LƯỢNG HOÀN THÀNH ĐƯA VÀO QUYẾT TOÁN</v>
          </cell>
        </row>
      </sheetData>
      <sheetData sheetId="5392">
        <row r="4">
          <cell r="A4" t="str">
            <v>BẢNG TÍNH TOÁN, ĐO BÓC KHỐI LƯỢNG HOÀN THÀNH ĐƯA VÀO QUYẾT TOÁN</v>
          </cell>
        </row>
      </sheetData>
      <sheetData sheetId="5393">
        <row r="4">
          <cell r="A4" t="str">
            <v>BẢNG TÍNH TOÁN, ĐO BÓC KHỐI LƯỢNG HOÀN THÀNH ĐƯA VÀO QUYẾT TOÁN</v>
          </cell>
        </row>
      </sheetData>
      <sheetData sheetId="5394">
        <row r="4">
          <cell r="A4" t="str">
            <v>BẢNG TÍNH TOÁN, ĐO BÓC KHỐI LƯỢNG HOÀN THÀNH ĐƯA VÀO QUYẾT TOÁN</v>
          </cell>
        </row>
      </sheetData>
      <sheetData sheetId="5395">
        <row r="4">
          <cell r="A4" t="str">
            <v>BẢNG TÍNH TOÁN, ĐO BÓC KHỐI LƯỢNG HOÀN THÀNH ĐƯA VÀO QUYẾT TOÁN</v>
          </cell>
        </row>
      </sheetData>
      <sheetData sheetId="5396">
        <row r="4">
          <cell r="A4" t="str">
            <v>BẢNG TÍNH TOÁN, ĐO BÓC KHỐI LƯỢNG HOÀN THÀNH ĐƯA VÀO QUYẾT TOÁN</v>
          </cell>
        </row>
      </sheetData>
      <sheetData sheetId="5397">
        <row r="4">
          <cell r="A4" t="str">
            <v>BẢNG TÍNH TOÁN, ĐO BÓC KHỐI LƯỢNG HOÀN THÀNH ĐƯA VÀO QUYẾT TOÁN</v>
          </cell>
        </row>
      </sheetData>
      <sheetData sheetId="5398">
        <row r="4">
          <cell r="A4" t="str">
            <v>BẢNG TÍNH TOÁN, ĐO BÓC KHỐI LƯỢNG HOÀN THÀNH ĐƯA VÀO QUYẾT TOÁN</v>
          </cell>
        </row>
      </sheetData>
      <sheetData sheetId="5399">
        <row r="4">
          <cell r="A4" t="str">
            <v>BẢNG TÍNH TOÁN, ĐO BÓC KHỐI LƯỢNG HOÀN THÀNH ĐƯA VÀO QUYẾT TOÁN</v>
          </cell>
        </row>
      </sheetData>
      <sheetData sheetId="5400">
        <row r="4">
          <cell r="A4" t="str">
            <v>BẢNG TÍNH TOÁN, ĐO BÓC KHỐI LƯỢNG HOÀN THÀNH ĐƯA VÀO QUYẾT TOÁN</v>
          </cell>
        </row>
      </sheetData>
      <sheetData sheetId="5401">
        <row r="4">
          <cell r="A4" t="str">
            <v>BẢNG TÍNH TOÁN, ĐO BÓC KHỐI LƯỢNG HOÀN THÀNH ĐƯA VÀO QUYẾT TOÁN</v>
          </cell>
        </row>
      </sheetData>
      <sheetData sheetId="5402">
        <row r="4">
          <cell r="A4" t="str">
            <v>BẢNG TÍNH TOÁN, ĐO BÓC KHỐI LƯỢNG HOÀN THÀNH ĐƯA VÀO QUYẾT TOÁN</v>
          </cell>
        </row>
      </sheetData>
      <sheetData sheetId="5403">
        <row r="4">
          <cell r="A4" t="str">
            <v>BẢNG TÍNH TOÁN, ĐO BÓC KHỐI LƯỢNG HOÀN THÀNH ĐƯA VÀO QUYẾT TOÁN</v>
          </cell>
        </row>
      </sheetData>
      <sheetData sheetId="5404">
        <row r="4">
          <cell r="A4" t="str">
            <v>BẢNG TÍNH TOÁN, ĐO BÓC KHỐI LƯỢNG HOÀN THÀNH ĐƯA VÀO QUYẾT TOÁN</v>
          </cell>
        </row>
      </sheetData>
      <sheetData sheetId="5405">
        <row r="4">
          <cell r="A4" t="str">
            <v>BẢNG TÍNH TOÁN, ĐO BÓC KHỐI LƯỢNG HOÀN THÀNH ĐƯA VÀO QUYẾT TOÁN</v>
          </cell>
        </row>
      </sheetData>
      <sheetData sheetId="5406">
        <row r="4">
          <cell r="A4" t="str">
            <v>BẢNG TÍNH TOÁN, ĐO BÓC KHỐI LƯỢNG HOÀN THÀNH ĐƯA VÀO QUYẾT TOÁN</v>
          </cell>
        </row>
      </sheetData>
      <sheetData sheetId="5407">
        <row r="4">
          <cell r="A4" t="str">
            <v>BẢNG TÍNH TOÁN, ĐO BÓC KHỐI LƯỢNG HOÀN THÀNH ĐƯA VÀO QUYẾT TOÁN</v>
          </cell>
        </row>
      </sheetData>
      <sheetData sheetId="5408">
        <row r="4">
          <cell r="A4" t="str">
            <v>BẢNG TÍNH TOÁN, ĐO BÓC KHỐI LƯỢNG HOÀN THÀNH ĐƯA VÀO QUYẾT TOÁN</v>
          </cell>
        </row>
      </sheetData>
      <sheetData sheetId="5409">
        <row r="4">
          <cell r="A4" t="str">
            <v>BẢNG TÍNH TOÁN, ĐO BÓC KHỐI LƯỢNG HOÀN THÀNH ĐƯA VÀO QUYẾT TOÁN</v>
          </cell>
        </row>
      </sheetData>
      <sheetData sheetId="5410">
        <row r="4">
          <cell r="A4" t="str">
            <v>BẢNG TÍNH TOÁN, ĐO BÓC KHỐI LƯỢNG HOÀN THÀNH ĐƯA VÀO QUYẾT TOÁN</v>
          </cell>
        </row>
      </sheetData>
      <sheetData sheetId="5411">
        <row r="4">
          <cell r="A4" t="str">
            <v>BẢNG TÍNH TOÁN, ĐO BÓC KHỐI LƯỢNG HOÀN THÀNH ĐƯA VÀO QUYẾT TOÁN</v>
          </cell>
        </row>
      </sheetData>
      <sheetData sheetId="5412">
        <row r="4">
          <cell r="A4" t="str">
            <v>BẢNG TÍNH TOÁN, ĐO BÓC KHỐI LƯỢNG HOÀN THÀNH ĐƯA VÀO QUYẾT TOÁN</v>
          </cell>
        </row>
      </sheetData>
      <sheetData sheetId="5413">
        <row r="4">
          <cell r="A4" t="str">
            <v>BẢNG TÍNH TOÁN, ĐO BÓC KHỐI LƯỢNG HOÀN THÀNH ĐƯA VÀO QUYẾT TOÁN</v>
          </cell>
        </row>
      </sheetData>
      <sheetData sheetId="5414">
        <row r="4">
          <cell r="A4" t="str">
            <v>BẢNG TÍNH TOÁN, ĐO BÓC KHỐI LƯỢNG HOÀN THÀNH ĐƯA VÀO QUYẾT TOÁN</v>
          </cell>
        </row>
      </sheetData>
      <sheetData sheetId="5415">
        <row r="4">
          <cell r="A4" t="str">
            <v>BẢNG TÍNH TOÁN, ĐO BÓC KHỐI LƯỢNG HOÀN THÀNH ĐƯA VÀO QUYẾT TOÁN</v>
          </cell>
        </row>
      </sheetData>
      <sheetData sheetId="5416">
        <row r="4">
          <cell r="A4" t="str">
            <v>BẢNG TÍNH TOÁN, ĐO BÓC KHỐI LƯỢNG HOÀN THÀNH ĐƯA VÀO QUYẾT TOÁN</v>
          </cell>
        </row>
      </sheetData>
      <sheetData sheetId="5417">
        <row r="4">
          <cell r="A4" t="str">
            <v>BẢNG TÍNH TOÁN, ĐO BÓC KHỐI LƯỢNG HOÀN THÀNH ĐƯA VÀO QUYẾT TOÁN</v>
          </cell>
        </row>
      </sheetData>
      <sheetData sheetId="5418">
        <row r="4">
          <cell r="A4" t="str">
            <v>BẢNG TÍNH TOÁN, ĐO BÓC KHỐI LƯỢNG HOÀN THÀNH ĐƯA VÀO QUYẾT TOÁN</v>
          </cell>
        </row>
      </sheetData>
      <sheetData sheetId="5419">
        <row r="4">
          <cell r="A4" t="str">
            <v>BẢNG TÍNH TOÁN, ĐO BÓC KHỐI LƯỢNG HOÀN THÀNH ĐƯA VÀO QUYẾT TOÁN</v>
          </cell>
        </row>
      </sheetData>
      <sheetData sheetId="5420">
        <row r="4">
          <cell r="A4" t="str">
            <v>BẢNG TÍNH TOÁN, ĐO BÓC KHỐI LƯỢNG HOÀN THÀNH ĐƯA VÀO QUYẾT TOÁN</v>
          </cell>
        </row>
      </sheetData>
      <sheetData sheetId="5421">
        <row r="4">
          <cell r="A4" t="str">
            <v>BẢNG TÍNH TOÁN, ĐO BÓC KHỐI LƯỢNG HOÀN THÀNH ĐƯA VÀO QUYẾT TOÁN</v>
          </cell>
        </row>
      </sheetData>
      <sheetData sheetId="5422">
        <row r="4">
          <cell r="A4" t="str">
            <v>BẢNG TÍNH TOÁN, ĐO BÓC KHỐI LƯỢNG HOÀN THÀNH ĐƯA VÀO QUYẾT TOÁN</v>
          </cell>
        </row>
      </sheetData>
      <sheetData sheetId="5423">
        <row r="4">
          <cell r="A4" t="str">
            <v>BẢNG TÍNH TOÁN, ĐO BÓC KHỐI LƯỢNG HOÀN THÀNH ĐƯA VÀO QUYẾT TOÁN</v>
          </cell>
        </row>
      </sheetData>
      <sheetData sheetId="5424">
        <row r="4">
          <cell r="A4" t="str">
            <v>BẢNG TÍNH TOÁN, ĐO BÓC KHỐI LƯỢNG HOÀN THÀNH ĐƯA VÀO QUYẾT TOÁN</v>
          </cell>
        </row>
      </sheetData>
      <sheetData sheetId="5425">
        <row r="4">
          <cell r="A4" t="str">
            <v>BẢNG TÍNH TOÁN, ĐO BÓC KHỐI LƯỢNG HOÀN THÀNH ĐƯA VÀO QUYẾT TOÁN</v>
          </cell>
        </row>
      </sheetData>
      <sheetData sheetId="5426">
        <row r="4">
          <cell r="A4" t="str">
            <v>BẢNG TÍNH TOÁN, ĐO BÓC KHỐI LƯỢNG HOÀN THÀNH ĐƯA VÀO QUYẾT TOÁN</v>
          </cell>
        </row>
      </sheetData>
      <sheetData sheetId="5427">
        <row r="4">
          <cell r="A4" t="str">
            <v>BẢNG TÍNH TOÁN, ĐO BÓC KHỐI LƯỢNG HOÀN THÀNH ĐƯA VÀO QUYẾT TOÁN</v>
          </cell>
        </row>
      </sheetData>
      <sheetData sheetId="5428">
        <row r="4">
          <cell r="A4" t="str">
            <v>BẢNG TÍNH TOÁN, ĐO BÓC KHỐI LƯỢNG HOÀN THÀNH ĐƯA VÀO QUYẾT TOÁN</v>
          </cell>
        </row>
      </sheetData>
      <sheetData sheetId="5429">
        <row r="4">
          <cell r="A4" t="str">
            <v>BẢNG TÍNH TOÁN, ĐO BÓC KHỐI LƯỢNG HOÀN THÀNH ĐƯA VÀO QUYẾT TOÁN</v>
          </cell>
        </row>
      </sheetData>
      <sheetData sheetId="5430">
        <row r="4">
          <cell r="A4" t="str">
            <v>BẢNG TÍNH TOÁN, ĐO BÓC KHỐI LƯỢNG HOÀN THÀNH ĐƯA VÀO QUYẾT TOÁN</v>
          </cell>
        </row>
      </sheetData>
      <sheetData sheetId="5431">
        <row r="4">
          <cell r="A4" t="str">
            <v>BẢNG TÍNH TOÁN, ĐO BÓC KHỐI LƯỢNG HOÀN THÀNH ĐƯA VÀO QUYẾT TOÁN</v>
          </cell>
        </row>
      </sheetData>
      <sheetData sheetId="5432">
        <row r="4">
          <cell r="A4" t="str">
            <v>BẢNG TÍNH TOÁN, ĐO BÓC KHỐI LƯỢNG HOÀN THÀNH ĐƯA VÀO QUYẾT TOÁN</v>
          </cell>
        </row>
      </sheetData>
      <sheetData sheetId="5433">
        <row r="4">
          <cell r="A4" t="str">
            <v>BẢNG TÍNH TOÁN, ĐO BÓC KHỐI LƯỢNG HOÀN THÀNH ĐƯA VÀO QUYẾT TOÁN</v>
          </cell>
        </row>
      </sheetData>
      <sheetData sheetId="5434">
        <row r="4">
          <cell r="A4" t="str">
            <v>BẢNG TÍNH TOÁN, ĐO BÓC KHỐI LƯỢNG HOÀN THÀNH ĐƯA VÀO QUYẾT TOÁN</v>
          </cell>
        </row>
      </sheetData>
      <sheetData sheetId="5435">
        <row r="4">
          <cell r="A4" t="str">
            <v>BẢNG TÍNH TOÁN, ĐO BÓC KHỐI LƯỢNG HOÀN THÀNH ĐƯA VÀO QUYẾT TOÁN</v>
          </cell>
        </row>
      </sheetData>
      <sheetData sheetId="5436">
        <row r="4">
          <cell r="A4" t="str">
            <v>BẢNG TÍNH TOÁN, ĐO BÓC KHỐI LƯỢNG HOÀN THÀNH ĐƯA VÀO QUYẾT TOÁN</v>
          </cell>
        </row>
      </sheetData>
      <sheetData sheetId="5437">
        <row r="4">
          <cell r="A4" t="str">
            <v>BẢNG TÍNH TOÁN, ĐO BÓC KHỐI LƯỢNG HOÀN THÀNH ĐƯA VÀO QUYẾT TOÁN</v>
          </cell>
        </row>
      </sheetData>
      <sheetData sheetId="5438">
        <row r="4">
          <cell r="A4" t="str">
            <v>BẢNG TÍNH TOÁN, ĐO BÓC KHỐI LƯỢNG HOÀN THÀNH ĐƯA VÀO QUYẾT TOÁN</v>
          </cell>
        </row>
      </sheetData>
      <sheetData sheetId="5439">
        <row r="4">
          <cell r="A4" t="str">
            <v>BẢNG TÍNH TOÁN, ĐO BÓC KHỐI LƯỢNG HOÀN THÀNH ĐƯA VÀO QUYẾT TOÁN</v>
          </cell>
        </row>
      </sheetData>
      <sheetData sheetId="5440">
        <row r="4">
          <cell r="A4" t="str">
            <v>BẢNG TÍNH TOÁN, ĐO BÓC KHỐI LƯỢNG HOÀN THÀNH ĐƯA VÀO QUYẾT TOÁN</v>
          </cell>
        </row>
      </sheetData>
      <sheetData sheetId="5441">
        <row r="4">
          <cell r="A4" t="str">
            <v>BẢNG TÍNH TOÁN, ĐO BÓC KHỐI LƯỢNG HOÀN THÀNH ĐƯA VÀO QUYẾT TOÁN</v>
          </cell>
        </row>
      </sheetData>
      <sheetData sheetId="5442">
        <row r="4">
          <cell r="A4" t="str">
            <v>BẢNG TÍNH TOÁN, ĐO BÓC KHỐI LƯỢNG HOÀN THÀNH ĐƯA VÀO QUYẾT TOÁN</v>
          </cell>
        </row>
      </sheetData>
      <sheetData sheetId="5443">
        <row r="4">
          <cell r="A4" t="str">
            <v>BẢNG TÍNH TOÁN, ĐO BÓC KHỐI LƯỢNG HOÀN THÀNH ĐƯA VÀO QUYẾT TOÁN</v>
          </cell>
        </row>
      </sheetData>
      <sheetData sheetId="5444">
        <row r="4">
          <cell r="A4" t="str">
            <v>BẢNG TÍNH TOÁN, ĐO BÓC KHỐI LƯỢNG HOÀN THÀNH ĐƯA VÀO QUYẾT TOÁN</v>
          </cell>
        </row>
      </sheetData>
      <sheetData sheetId="5445">
        <row r="4">
          <cell r="A4" t="str">
            <v>BẢNG TÍNH TOÁN, ĐO BÓC KHỐI LƯỢNG HOÀN THÀNH ĐƯA VÀO QUYẾT TOÁN</v>
          </cell>
        </row>
      </sheetData>
      <sheetData sheetId="5446">
        <row r="4">
          <cell r="A4" t="str">
            <v>BẢNG TÍNH TOÁN, ĐO BÓC KHỐI LƯỢNG HOÀN THÀNH ĐƯA VÀO QUYẾT TOÁN</v>
          </cell>
        </row>
      </sheetData>
      <sheetData sheetId="5447">
        <row r="4">
          <cell r="A4" t="str">
            <v>BẢNG TÍNH TOÁN, ĐO BÓC KHỐI LƯỢNG HOÀN THÀNH ĐƯA VÀO QUYẾT TOÁN</v>
          </cell>
        </row>
      </sheetData>
      <sheetData sheetId="5448">
        <row r="4">
          <cell r="A4" t="str">
            <v>BẢNG TÍNH TOÁN, ĐO BÓC KHỐI LƯỢNG HOÀN THÀNH ĐƯA VÀO QUYẾT TOÁN</v>
          </cell>
        </row>
      </sheetData>
      <sheetData sheetId="5449">
        <row r="4">
          <cell r="A4" t="str">
            <v>BẢNG TÍNH TOÁN, ĐO BÓC KHỐI LƯỢNG HOÀN THÀNH ĐƯA VÀO QUYẾT TOÁN</v>
          </cell>
        </row>
      </sheetData>
      <sheetData sheetId="5450">
        <row r="4">
          <cell r="A4" t="str">
            <v>BẢNG TÍNH TOÁN, ĐO BÓC KHỐI LƯỢNG HOÀN THÀNH ĐƯA VÀO QUYẾT TOÁN</v>
          </cell>
        </row>
      </sheetData>
      <sheetData sheetId="5451">
        <row r="4">
          <cell r="A4" t="str">
            <v>BẢNG TÍNH TOÁN, ĐO BÓC KHỐI LƯỢNG HOÀN THÀNH ĐƯA VÀO QUYẾT TOÁN</v>
          </cell>
        </row>
      </sheetData>
      <sheetData sheetId="5452">
        <row r="4">
          <cell r="A4" t="str">
            <v>BẢNG TÍNH TOÁN, ĐO BÓC KHỐI LƯỢNG HOÀN THÀNH ĐƯA VÀO QUYẾT TOÁN</v>
          </cell>
        </row>
      </sheetData>
      <sheetData sheetId="5453">
        <row r="4">
          <cell r="A4" t="str">
            <v>BẢNG TÍNH TOÁN, ĐO BÓC KHỐI LƯỢNG HOÀN THÀNH ĐƯA VÀO QUYẾT TOÁN</v>
          </cell>
        </row>
      </sheetData>
      <sheetData sheetId="5454">
        <row r="4">
          <cell r="A4" t="str">
            <v>BẢNG TÍNH TOÁN, ĐO BÓC KHỐI LƯỢNG HOÀN THÀNH ĐƯA VÀO QUYẾT TOÁN</v>
          </cell>
        </row>
      </sheetData>
      <sheetData sheetId="5455">
        <row r="4">
          <cell r="A4" t="str">
            <v>BẢNG TÍNH TOÁN, ĐO BÓC KHỐI LƯỢNG HOÀN THÀNH ĐƯA VÀO QUYẾT TOÁN</v>
          </cell>
        </row>
      </sheetData>
      <sheetData sheetId="5456">
        <row r="4">
          <cell r="A4" t="str">
            <v>BẢNG TÍNH TOÁN, ĐO BÓC KHỐI LƯỢNG HOÀN THÀNH ĐƯA VÀO QUYẾT TOÁN</v>
          </cell>
        </row>
      </sheetData>
      <sheetData sheetId="5457">
        <row r="4">
          <cell r="A4" t="str">
            <v>BẢNG TÍNH TOÁN, ĐO BÓC KHỐI LƯỢNG HOÀN THÀNH ĐƯA VÀO QUYẾT TOÁN</v>
          </cell>
        </row>
      </sheetData>
      <sheetData sheetId="5458">
        <row r="4">
          <cell r="A4" t="str">
            <v>BẢNG TÍNH TOÁN, ĐO BÓC KHỐI LƯỢNG HOÀN THÀNH ĐƯA VÀO QUYẾT TOÁN</v>
          </cell>
        </row>
      </sheetData>
      <sheetData sheetId="5459">
        <row r="4">
          <cell r="A4" t="str">
            <v>BẢNG TÍNH TOÁN, ĐO BÓC KHỐI LƯỢNG HOÀN THÀNH ĐƯA VÀO QUYẾT TOÁN</v>
          </cell>
        </row>
      </sheetData>
      <sheetData sheetId="5460">
        <row r="4">
          <cell r="A4" t="str">
            <v>BẢNG TÍNH TOÁN, ĐO BÓC KHỐI LƯỢNG HOÀN THÀNH ĐƯA VÀO QUYẾT TOÁN</v>
          </cell>
        </row>
      </sheetData>
      <sheetData sheetId="5461">
        <row r="4">
          <cell r="A4" t="str">
            <v>BẢNG TÍNH TOÁN, ĐO BÓC KHỐI LƯỢNG HOÀN THÀNH ĐƯA VÀO QUYẾT TOÁN</v>
          </cell>
        </row>
      </sheetData>
      <sheetData sheetId="5462">
        <row r="4">
          <cell r="A4" t="str">
            <v>BẢNG TÍNH TOÁN, ĐO BÓC KHỐI LƯỢNG HOÀN THÀNH ĐƯA VÀO QUYẾT TOÁN</v>
          </cell>
        </row>
      </sheetData>
      <sheetData sheetId="5463">
        <row r="4">
          <cell r="A4" t="str">
            <v>BẢNG TÍNH TOÁN, ĐO BÓC KHỐI LƯỢNG HOÀN THÀNH ĐƯA VÀO QUYẾT TOÁN</v>
          </cell>
        </row>
      </sheetData>
      <sheetData sheetId="5464">
        <row r="4">
          <cell r="A4" t="str">
            <v>BẢNG TÍNH TOÁN, ĐO BÓC KHỐI LƯỢNG HOÀN THÀNH ĐƯA VÀO QUYẾT TOÁN</v>
          </cell>
        </row>
      </sheetData>
      <sheetData sheetId="5465">
        <row r="4">
          <cell r="A4" t="str">
            <v>BẢNG TÍNH TOÁN, ĐO BÓC KHỐI LƯỢNG HOÀN THÀNH ĐƯA VÀO QUYẾT TOÁN</v>
          </cell>
        </row>
      </sheetData>
      <sheetData sheetId="5466">
        <row r="4">
          <cell r="A4" t="str">
            <v>BẢNG TÍNH TOÁN, ĐO BÓC KHỐI LƯỢNG HOÀN THÀNH ĐƯA VÀO QUYẾT TOÁN</v>
          </cell>
        </row>
      </sheetData>
      <sheetData sheetId="5467">
        <row r="4">
          <cell r="A4" t="str">
            <v>BẢNG TÍNH TOÁN, ĐO BÓC KHỐI LƯỢNG HOÀN THÀNH ĐƯA VÀO QUYẾT TOÁN</v>
          </cell>
        </row>
      </sheetData>
      <sheetData sheetId="5468">
        <row r="4">
          <cell r="A4" t="str">
            <v>BẢNG TÍNH TOÁN, ĐO BÓC KHỐI LƯỢNG HOÀN THÀNH ĐƯA VÀO QUYẾT TOÁN</v>
          </cell>
        </row>
      </sheetData>
      <sheetData sheetId="5469">
        <row r="4">
          <cell r="A4" t="str">
            <v>BẢNG TÍNH TOÁN, ĐO BÓC KHỐI LƯỢNG HOÀN THÀNH ĐƯA VÀO QUYẾT TOÁN</v>
          </cell>
        </row>
      </sheetData>
      <sheetData sheetId="5470">
        <row r="4">
          <cell r="A4" t="str">
            <v>BẢNG TÍNH TOÁN, ĐO BÓC KHỐI LƯỢNG HOÀN THÀNH ĐƯA VÀO QUYẾT TOÁN</v>
          </cell>
        </row>
      </sheetData>
      <sheetData sheetId="5471">
        <row r="4">
          <cell r="A4" t="str">
            <v>BẢNG TÍNH TOÁN, ĐO BÓC KHỐI LƯỢNG HOÀN THÀNH ĐƯA VÀO QUYẾT TOÁN</v>
          </cell>
        </row>
      </sheetData>
      <sheetData sheetId="5472">
        <row r="4">
          <cell r="A4" t="str">
            <v>BẢNG TÍNH TOÁN, ĐO BÓC KHỐI LƯỢNG HOÀN THÀNH ĐƯA VÀO QUYẾT TOÁN</v>
          </cell>
        </row>
      </sheetData>
      <sheetData sheetId="5473">
        <row r="4">
          <cell r="A4" t="str">
            <v>BẢNG TÍNH TOÁN, ĐO BÓC KHỐI LƯỢNG HOÀN THÀNH ĐƯA VÀO QUYẾT TOÁN</v>
          </cell>
        </row>
      </sheetData>
      <sheetData sheetId="5474">
        <row r="4">
          <cell r="A4" t="str">
            <v>BẢNG TÍNH TOÁN, ĐO BÓC KHỐI LƯỢNG HOÀN THÀNH ĐƯA VÀO QUYẾT TOÁN</v>
          </cell>
        </row>
      </sheetData>
      <sheetData sheetId="5475">
        <row r="4">
          <cell r="A4" t="str">
            <v>BẢNG TÍNH TOÁN, ĐO BÓC KHỐI LƯỢNG HOÀN THÀNH ĐƯA VÀO QUYẾT TOÁN</v>
          </cell>
        </row>
      </sheetData>
      <sheetData sheetId="5476">
        <row r="4">
          <cell r="A4" t="str">
            <v>BẢNG TÍNH TOÁN, ĐO BÓC KHỐI LƯỢNG HOÀN THÀNH ĐƯA VÀO QUYẾT TOÁN</v>
          </cell>
        </row>
      </sheetData>
      <sheetData sheetId="5477">
        <row r="4">
          <cell r="A4" t="str">
            <v>BẢNG TÍNH TOÁN, ĐO BÓC KHỐI LƯỢNG HOÀN THÀNH ĐƯA VÀO QUYẾT TOÁN</v>
          </cell>
        </row>
      </sheetData>
      <sheetData sheetId="5478">
        <row r="4">
          <cell r="A4" t="str">
            <v>BẢNG TÍNH TOÁN, ĐO BÓC KHỐI LƯỢNG HOÀN THÀNH ĐƯA VÀO QUYẾT TOÁN</v>
          </cell>
        </row>
      </sheetData>
      <sheetData sheetId="5479">
        <row r="4">
          <cell r="A4" t="str">
            <v>BẢNG TÍNH TOÁN, ĐO BÓC KHỐI LƯỢNG HOÀN THÀNH ĐƯA VÀO QUYẾT TOÁN</v>
          </cell>
        </row>
      </sheetData>
      <sheetData sheetId="5480">
        <row r="4">
          <cell r="A4" t="str">
            <v>BẢNG TÍNH TOÁN, ĐO BÓC KHỐI LƯỢNG HOÀN THÀNH ĐƯA VÀO QUYẾT TOÁN</v>
          </cell>
        </row>
      </sheetData>
      <sheetData sheetId="5481">
        <row r="4">
          <cell r="A4" t="str">
            <v>BẢNG TÍNH TOÁN, ĐO BÓC KHỐI LƯỢNG HOÀN THÀNH ĐƯA VÀO QUYẾT TOÁN</v>
          </cell>
        </row>
      </sheetData>
      <sheetData sheetId="5482">
        <row r="4">
          <cell r="A4" t="str">
            <v>BẢNG TÍNH TOÁN, ĐO BÓC KHỐI LƯỢNG HOÀN THÀNH ĐƯA VÀO QUYẾT TOÁN</v>
          </cell>
        </row>
      </sheetData>
      <sheetData sheetId="5483">
        <row r="4">
          <cell r="A4" t="str">
            <v>BẢNG TÍNH TOÁN, ĐO BÓC KHỐI LƯỢNG HOÀN THÀNH ĐƯA VÀO QUYẾT TOÁN</v>
          </cell>
        </row>
      </sheetData>
      <sheetData sheetId="5484">
        <row r="4">
          <cell r="A4" t="str">
            <v>BẢNG TÍNH TOÁN, ĐO BÓC KHỐI LƯỢNG HOÀN THÀNH ĐƯA VÀO QUYẾT TOÁN</v>
          </cell>
        </row>
      </sheetData>
      <sheetData sheetId="5485">
        <row r="4">
          <cell r="A4" t="str">
            <v>BẢNG TÍNH TOÁN, ĐO BÓC KHỐI LƯỢNG HOÀN THÀNH ĐƯA VÀO QUYẾT TOÁN</v>
          </cell>
        </row>
      </sheetData>
      <sheetData sheetId="5486">
        <row r="4">
          <cell r="A4" t="str">
            <v>BẢNG TÍNH TOÁN, ĐO BÓC KHỐI LƯỢNG HOÀN THÀNH ĐƯA VÀO QUYẾT TOÁN</v>
          </cell>
        </row>
      </sheetData>
      <sheetData sheetId="5487">
        <row r="4">
          <cell r="A4" t="str">
            <v>BẢNG TÍNH TOÁN, ĐO BÓC KHỐI LƯỢNG HOÀN THÀNH ĐƯA VÀO QUYẾT TOÁN</v>
          </cell>
        </row>
      </sheetData>
      <sheetData sheetId="5488">
        <row r="4">
          <cell r="A4" t="str">
            <v>BẢNG TÍNH TOÁN, ĐO BÓC KHỐI LƯỢNG HOÀN THÀNH ĐƯA VÀO QUYẾT TOÁN</v>
          </cell>
        </row>
      </sheetData>
      <sheetData sheetId="5489">
        <row r="4">
          <cell r="A4" t="str">
            <v>BẢNG TÍNH TOÁN, ĐO BÓC KHỐI LƯỢNG HOÀN THÀNH ĐƯA VÀO QUYẾT TOÁN</v>
          </cell>
        </row>
      </sheetData>
      <sheetData sheetId="5490">
        <row r="4">
          <cell r="A4" t="str">
            <v>BẢNG TÍNH TOÁN, ĐO BÓC KHỐI LƯỢNG HOÀN THÀNH ĐƯA VÀO QUYẾT TOÁN</v>
          </cell>
        </row>
      </sheetData>
      <sheetData sheetId="5491">
        <row r="4">
          <cell r="A4" t="str">
            <v>BẢNG TÍNH TOÁN, ĐO BÓC KHỐI LƯỢNG HOÀN THÀNH ĐƯA VÀO QUYẾT TOÁN</v>
          </cell>
        </row>
      </sheetData>
      <sheetData sheetId="5492">
        <row r="4">
          <cell r="A4" t="str">
            <v>BẢNG TÍNH TOÁN, ĐO BÓC KHỐI LƯỢNG HOÀN THÀNH ĐƯA VÀO QUYẾT TOÁN</v>
          </cell>
        </row>
      </sheetData>
      <sheetData sheetId="5493">
        <row r="4">
          <cell r="A4" t="str">
            <v>BẢNG TÍNH TOÁN, ĐO BÓC KHỐI LƯỢNG HOÀN THÀNH ĐƯA VÀO QUYẾT TOÁN</v>
          </cell>
        </row>
      </sheetData>
      <sheetData sheetId="5494">
        <row r="4">
          <cell r="A4" t="str">
            <v>BẢNG TÍNH TOÁN, ĐO BÓC KHỐI LƯỢNG HOÀN THÀNH ĐƯA VÀO QUYẾT TOÁN</v>
          </cell>
        </row>
      </sheetData>
      <sheetData sheetId="5495">
        <row r="4">
          <cell r="A4" t="str">
            <v>BẢNG TÍNH TOÁN, ĐO BÓC KHỐI LƯỢNG HOÀN THÀNH ĐƯA VÀO QUYẾT TOÁN</v>
          </cell>
        </row>
      </sheetData>
      <sheetData sheetId="5496">
        <row r="4">
          <cell r="A4" t="str">
            <v>BẢNG TÍNH TOÁN, ĐO BÓC KHỐI LƯỢNG HOÀN THÀNH ĐƯA VÀO QUYẾT TOÁN</v>
          </cell>
        </row>
      </sheetData>
      <sheetData sheetId="5497">
        <row r="4">
          <cell r="A4" t="str">
            <v>BẢNG TÍNH TOÁN, ĐO BÓC KHỐI LƯỢNG HOÀN THÀNH ĐƯA VÀO QUYẾT TOÁN</v>
          </cell>
        </row>
      </sheetData>
      <sheetData sheetId="5498">
        <row r="4">
          <cell r="A4" t="str">
            <v>BẢNG TÍNH TOÁN, ĐO BÓC KHỐI LƯỢNG HOÀN THÀNH ĐƯA VÀO QUYẾT TOÁN</v>
          </cell>
        </row>
      </sheetData>
      <sheetData sheetId="5499">
        <row r="4">
          <cell r="A4" t="str">
            <v>BẢNG TÍNH TOÁN, ĐO BÓC KHỐI LƯỢNG HOÀN THÀNH ĐƯA VÀO QUYẾT TOÁN</v>
          </cell>
        </row>
      </sheetData>
      <sheetData sheetId="5500">
        <row r="4">
          <cell r="A4" t="str">
            <v>BẢNG TÍNH TOÁN, ĐO BÓC KHỐI LƯỢNG HOÀN THÀNH ĐƯA VÀO QUYẾT TOÁN</v>
          </cell>
        </row>
      </sheetData>
      <sheetData sheetId="5501">
        <row r="4">
          <cell r="A4" t="str">
            <v>BẢNG TÍNH TOÁN, ĐO BÓC KHỐI LƯỢNG HOÀN THÀNH ĐƯA VÀO QUYẾT TOÁN</v>
          </cell>
        </row>
      </sheetData>
      <sheetData sheetId="5502">
        <row r="4">
          <cell r="A4" t="str">
            <v>BẢNG TÍNH TOÁN, ĐO BÓC KHỐI LƯỢNG HOÀN THÀNH ĐƯA VÀO QUYẾT TOÁN</v>
          </cell>
        </row>
      </sheetData>
      <sheetData sheetId="5503">
        <row r="4">
          <cell r="A4" t="str">
            <v>BẢNG TÍNH TOÁN, ĐO BÓC KHỐI LƯỢNG HOÀN THÀNH ĐƯA VÀO QUYẾT TOÁN</v>
          </cell>
        </row>
      </sheetData>
      <sheetData sheetId="5504">
        <row r="4">
          <cell r="A4" t="str">
            <v>BẢNG TÍNH TOÁN, ĐO BÓC KHỐI LƯỢNG HOÀN THÀNH ĐƯA VÀO QUYẾT TOÁN</v>
          </cell>
        </row>
      </sheetData>
      <sheetData sheetId="5505">
        <row r="4">
          <cell r="A4" t="str">
            <v>BẢNG TÍNH TOÁN, ĐO BÓC KHỐI LƯỢNG HOÀN THÀNH ĐƯA VÀO QUYẾT TOÁN</v>
          </cell>
        </row>
      </sheetData>
      <sheetData sheetId="5506">
        <row r="4">
          <cell r="A4" t="str">
            <v>BẢNG TÍNH TOÁN, ĐO BÓC KHỐI LƯỢNG HOÀN THÀNH ĐƯA VÀO QUYẾT TOÁN</v>
          </cell>
        </row>
      </sheetData>
      <sheetData sheetId="5507">
        <row r="4">
          <cell r="A4" t="str">
            <v>BẢNG TÍNH TOÁN, ĐO BÓC KHỐI LƯỢNG HOÀN THÀNH ĐƯA VÀO QUYẾT TOÁN</v>
          </cell>
        </row>
      </sheetData>
      <sheetData sheetId="5508">
        <row r="4">
          <cell r="A4" t="str">
            <v>BẢNG TÍNH TOÁN, ĐO BÓC KHỐI LƯỢNG HOÀN THÀNH ĐƯA VÀO QUYẾT TOÁN</v>
          </cell>
        </row>
      </sheetData>
      <sheetData sheetId="5509">
        <row r="4">
          <cell r="A4" t="str">
            <v>BẢNG TÍNH TOÁN, ĐO BÓC KHỐI LƯỢNG HOÀN THÀNH ĐƯA VÀO QUYẾT TOÁN</v>
          </cell>
        </row>
      </sheetData>
      <sheetData sheetId="5510">
        <row r="4">
          <cell r="A4" t="str">
            <v>BẢNG TÍNH TOÁN, ĐO BÓC KHỐI LƯỢNG HOÀN THÀNH ĐƯA VÀO QUYẾT TOÁN</v>
          </cell>
        </row>
      </sheetData>
      <sheetData sheetId="5511">
        <row r="4">
          <cell r="A4" t="str">
            <v>BẢNG TÍNH TOÁN, ĐO BÓC KHỐI LƯỢNG HOÀN THÀNH ĐƯA VÀO QUYẾT TOÁN</v>
          </cell>
        </row>
      </sheetData>
      <sheetData sheetId="5512">
        <row r="4">
          <cell r="A4" t="str">
            <v>BẢNG TÍNH TOÁN, ĐO BÓC KHỐI LƯỢNG HOÀN THÀNH ĐƯA VÀO QUYẾT TOÁN</v>
          </cell>
        </row>
      </sheetData>
      <sheetData sheetId="5513">
        <row r="4">
          <cell r="A4" t="str">
            <v>BẢNG TÍNH TOÁN, ĐO BÓC KHỐI LƯỢNG HOÀN THÀNH ĐƯA VÀO QUYẾT TOÁN</v>
          </cell>
        </row>
      </sheetData>
      <sheetData sheetId="5514">
        <row r="4">
          <cell r="A4" t="str">
            <v>BẢNG TÍNH TOÁN, ĐO BÓC KHỐI LƯỢNG HOÀN THÀNH ĐƯA VÀO QUYẾT TOÁN</v>
          </cell>
        </row>
      </sheetData>
      <sheetData sheetId="5515">
        <row r="4">
          <cell r="A4" t="str">
            <v>BẢNG TÍNH TOÁN, ĐO BÓC KHỐI LƯỢNG HOÀN THÀNH ĐƯA VÀO QUYẾT TOÁN</v>
          </cell>
        </row>
      </sheetData>
      <sheetData sheetId="5516">
        <row r="4">
          <cell r="A4" t="str">
            <v>BẢNG TÍNH TOÁN, ĐO BÓC KHỐI LƯỢNG HOÀN THÀNH ĐƯA VÀO QUYẾT TOÁN</v>
          </cell>
        </row>
      </sheetData>
      <sheetData sheetId="5517">
        <row r="4">
          <cell r="A4" t="str">
            <v>BẢNG TÍNH TOÁN, ĐO BÓC KHỐI LƯỢNG HOÀN THÀNH ĐƯA VÀO QUYẾT TOÁN</v>
          </cell>
        </row>
      </sheetData>
      <sheetData sheetId="5518">
        <row r="4">
          <cell r="A4" t="str">
            <v>BẢNG TÍNH TOÁN, ĐO BÓC KHỐI LƯỢNG HOÀN THÀNH ĐƯA VÀO QUYẾT TOÁN</v>
          </cell>
        </row>
      </sheetData>
      <sheetData sheetId="5519">
        <row r="4">
          <cell r="A4" t="str">
            <v>BẢNG TÍNH TOÁN, ĐO BÓC KHỐI LƯỢNG HOÀN THÀNH ĐƯA VÀO QUYẾT TOÁN</v>
          </cell>
        </row>
      </sheetData>
      <sheetData sheetId="5520">
        <row r="4">
          <cell r="A4" t="str">
            <v>BẢNG TÍNH TOÁN, ĐO BÓC KHỐI LƯỢNG HOÀN THÀNH ĐƯA VÀO QUYẾT TOÁN</v>
          </cell>
        </row>
      </sheetData>
      <sheetData sheetId="5521">
        <row r="4">
          <cell r="A4" t="str">
            <v>BẢNG TÍNH TOÁN, ĐO BÓC KHỐI LƯỢNG HOÀN THÀNH ĐƯA VÀO QUYẾT TOÁN</v>
          </cell>
        </row>
      </sheetData>
      <sheetData sheetId="5522">
        <row r="4">
          <cell r="A4" t="str">
            <v>BẢNG TÍNH TOÁN, ĐO BÓC KHỐI LƯỢNG HOÀN THÀNH ĐƯA VÀO QUYẾT TOÁN</v>
          </cell>
        </row>
      </sheetData>
      <sheetData sheetId="5523">
        <row r="4">
          <cell r="A4" t="str">
            <v>BẢNG TÍNH TOÁN, ĐO BÓC KHỐI LƯỢNG HOÀN THÀNH ĐƯA VÀO QUYẾT TOÁN</v>
          </cell>
        </row>
      </sheetData>
      <sheetData sheetId="5524">
        <row r="4">
          <cell r="A4" t="str">
            <v>BẢNG TÍNH TOÁN, ĐO BÓC KHỐI LƯỢNG HOÀN THÀNH ĐƯA VÀO QUYẾT TOÁN</v>
          </cell>
        </row>
      </sheetData>
      <sheetData sheetId="5525">
        <row r="4">
          <cell r="A4" t="str">
            <v>BẢNG TÍNH TOÁN, ĐO BÓC KHỐI LƯỢNG HOÀN THÀNH ĐƯA VÀO QUYẾT TOÁN</v>
          </cell>
        </row>
      </sheetData>
      <sheetData sheetId="5526">
        <row r="4">
          <cell r="A4" t="str">
            <v>BẢNG TÍNH TOÁN, ĐO BÓC KHỐI LƯỢNG HOÀN THÀNH ĐƯA VÀO QUYẾT TOÁN</v>
          </cell>
        </row>
      </sheetData>
      <sheetData sheetId="5527">
        <row r="4">
          <cell r="A4" t="str">
            <v>BẢNG TÍNH TOÁN, ĐO BÓC KHỐI LƯỢNG HOÀN THÀNH ĐƯA VÀO QUYẾT TOÁN</v>
          </cell>
        </row>
      </sheetData>
      <sheetData sheetId="5528">
        <row r="4">
          <cell r="A4" t="str">
            <v>BẢNG TÍNH TOÁN, ĐO BÓC KHỐI LƯỢNG HOÀN THÀNH ĐƯA VÀO QUYẾT TOÁN</v>
          </cell>
        </row>
      </sheetData>
      <sheetData sheetId="5529">
        <row r="4">
          <cell r="A4" t="str">
            <v>BẢNG TÍNH TOÁN, ĐO BÓC KHỐI LƯỢNG HOÀN THÀNH ĐƯA VÀO QUYẾT TOÁN</v>
          </cell>
        </row>
      </sheetData>
      <sheetData sheetId="5530">
        <row r="4">
          <cell r="A4" t="str">
            <v>BẢNG TÍNH TOÁN, ĐO BÓC KHỐI LƯỢNG HOÀN THÀNH ĐƯA VÀO QUYẾT TOÁN</v>
          </cell>
        </row>
      </sheetData>
      <sheetData sheetId="5531">
        <row r="4">
          <cell r="A4" t="str">
            <v>BẢNG TÍNH TOÁN, ĐO BÓC KHỐI LƯỢNG HOÀN THÀNH ĐƯA VÀO QUYẾT TOÁN</v>
          </cell>
        </row>
      </sheetData>
      <sheetData sheetId="5532">
        <row r="4">
          <cell r="A4" t="str">
            <v>BẢNG TÍNH TOÁN, ĐO BÓC KHỐI LƯỢNG HOÀN THÀNH ĐƯA VÀO QUYẾT TOÁN</v>
          </cell>
        </row>
      </sheetData>
      <sheetData sheetId="5533">
        <row r="4">
          <cell r="A4" t="str">
            <v>BẢNG TÍNH TOÁN, ĐO BÓC KHỐI LƯỢNG HOÀN THÀNH ĐƯA VÀO QUYẾT TOÁN</v>
          </cell>
        </row>
      </sheetData>
      <sheetData sheetId="5534">
        <row r="4">
          <cell r="A4" t="str">
            <v>BẢNG TÍNH TOÁN, ĐO BÓC KHỐI LƯỢNG HOÀN THÀNH ĐƯA VÀO QUYẾT TOÁN</v>
          </cell>
        </row>
      </sheetData>
      <sheetData sheetId="5535">
        <row r="4">
          <cell r="A4" t="str">
            <v>BẢNG TÍNH TOÁN, ĐO BÓC KHỐI LƯỢNG HOÀN THÀNH ĐƯA VÀO QUYẾT TOÁN</v>
          </cell>
        </row>
      </sheetData>
      <sheetData sheetId="5536">
        <row r="4">
          <cell r="A4" t="str">
            <v>BẢNG TÍNH TOÁN, ĐO BÓC KHỐI LƯỢNG HOÀN THÀNH ĐƯA VÀO QUYẾT TOÁN</v>
          </cell>
        </row>
      </sheetData>
      <sheetData sheetId="5537">
        <row r="4">
          <cell r="A4" t="str">
            <v>BẢNG TÍNH TOÁN, ĐO BÓC KHỐI LƯỢNG HOÀN THÀNH ĐƯA VÀO QUYẾT TOÁN</v>
          </cell>
        </row>
      </sheetData>
      <sheetData sheetId="5538">
        <row r="4">
          <cell r="A4" t="str">
            <v>BẢNG TÍNH TOÁN, ĐO BÓC KHỐI LƯỢNG HOÀN THÀNH ĐƯA VÀO QUYẾT TOÁN</v>
          </cell>
        </row>
      </sheetData>
      <sheetData sheetId="5539">
        <row r="4">
          <cell r="A4" t="str">
            <v>BẢNG TÍNH TOÁN, ĐO BÓC KHỐI LƯỢNG HOÀN THÀNH ĐƯA VÀO QUYẾT TOÁN</v>
          </cell>
        </row>
      </sheetData>
      <sheetData sheetId="5540">
        <row r="4">
          <cell r="A4" t="str">
            <v>BẢNG TÍNH TOÁN, ĐO BÓC KHỐI LƯỢNG HOÀN THÀNH ĐƯA VÀO QUYẾT TOÁN</v>
          </cell>
        </row>
      </sheetData>
      <sheetData sheetId="5541">
        <row r="4">
          <cell r="A4" t="str">
            <v>BẢNG TÍNH TOÁN, ĐO BÓC KHỐI LƯỢNG HOÀN THÀNH ĐƯA VÀO QUYẾT TOÁN</v>
          </cell>
        </row>
      </sheetData>
      <sheetData sheetId="5542">
        <row r="4">
          <cell r="A4" t="str">
            <v>BẢNG TÍNH TOÁN, ĐO BÓC KHỐI LƯỢNG HOÀN THÀNH ĐƯA VÀO QUYẾT TOÁN</v>
          </cell>
        </row>
      </sheetData>
      <sheetData sheetId="5543">
        <row r="4">
          <cell r="A4" t="str">
            <v>BẢNG TÍNH TOÁN, ĐO BÓC KHỐI LƯỢNG HOÀN THÀNH ĐƯA VÀO QUYẾT TOÁN</v>
          </cell>
        </row>
      </sheetData>
      <sheetData sheetId="5544">
        <row r="4">
          <cell r="A4" t="str">
            <v>BẢNG TÍNH TOÁN, ĐO BÓC KHỐI LƯỢNG HOÀN THÀNH ĐƯA VÀO QUYẾT TOÁN</v>
          </cell>
        </row>
      </sheetData>
      <sheetData sheetId="5545">
        <row r="4">
          <cell r="A4" t="str">
            <v>BẢNG TÍNH TOÁN, ĐO BÓC KHỐI LƯỢNG HOÀN THÀNH ĐƯA VÀO QUYẾT TOÁN</v>
          </cell>
        </row>
      </sheetData>
      <sheetData sheetId="5546">
        <row r="4">
          <cell r="A4" t="str">
            <v>BẢNG TÍNH TOÁN, ĐO BÓC KHỐI LƯỢNG HOÀN THÀNH ĐƯA VÀO QUYẾT TOÁN</v>
          </cell>
        </row>
      </sheetData>
      <sheetData sheetId="5547">
        <row r="4">
          <cell r="A4" t="str">
            <v>BẢNG TÍNH TOÁN, ĐO BÓC KHỐI LƯỢNG HOÀN THÀNH ĐƯA VÀO QUYẾT TOÁN</v>
          </cell>
        </row>
      </sheetData>
      <sheetData sheetId="5548">
        <row r="4">
          <cell r="A4" t="str">
            <v>BẢNG TÍNH TOÁN, ĐO BÓC KHỐI LƯỢNG HOÀN THÀNH ĐƯA VÀO QUYẾT TOÁN</v>
          </cell>
        </row>
      </sheetData>
      <sheetData sheetId="5549">
        <row r="4">
          <cell r="A4" t="str">
            <v>BẢNG TÍNH TOÁN, ĐO BÓC KHỐI LƯỢNG HOÀN THÀNH ĐƯA VÀO QUYẾT TOÁN</v>
          </cell>
        </row>
      </sheetData>
      <sheetData sheetId="5550">
        <row r="4">
          <cell r="A4" t="str">
            <v>BẢNG TÍNH TOÁN, ĐO BÓC KHỐI LƯỢNG HOÀN THÀNH ĐƯA VÀO QUYẾT TOÁN</v>
          </cell>
        </row>
      </sheetData>
      <sheetData sheetId="5551">
        <row r="4">
          <cell r="A4" t="str">
            <v>BẢNG TÍNH TOÁN, ĐO BÓC KHỐI LƯỢNG HOÀN THÀNH ĐƯA VÀO QUYẾT TOÁN</v>
          </cell>
        </row>
      </sheetData>
      <sheetData sheetId="5552">
        <row r="4">
          <cell r="A4" t="str">
            <v>BẢNG TÍNH TOÁN, ĐO BÓC KHỐI LƯỢNG HOÀN THÀNH ĐƯA VÀO QUYẾT TOÁN</v>
          </cell>
        </row>
      </sheetData>
      <sheetData sheetId="5553">
        <row r="4">
          <cell r="A4" t="str">
            <v>BẢNG TÍNH TOÁN, ĐO BÓC KHỐI LƯỢNG HOÀN THÀNH ĐƯA VÀO QUYẾT TOÁN</v>
          </cell>
        </row>
      </sheetData>
      <sheetData sheetId="5554">
        <row r="4">
          <cell r="A4" t="str">
            <v>BẢNG TÍNH TOÁN, ĐO BÓC KHỐI LƯỢNG HOÀN THÀNH ĐƯA VÀO QUYẾT TOÁN</v>
          </cell>
        </row>
      </sheetData>
      <sheetData sheetId="5555">
        <row r="4">
          <cell r="A4" t="str">
            <v>BẢNG TÍNH TOÁN, ĐO BÓC KHỐI LƯỢNG HOÀN THÀNH ĐƯA VÀO QUYẾT TOÁN</v>
          </cell>
        </row>
      </sheetData>
      <sheetData sheetId="5556">
        <row r="4">
          <cell r="A4" t="str">
            <v>BẢNG TÍNH TOÁN, ĐO BÓC KHỐI LƯỢNG HOÀN THÀNH ĐƯA VÀO QUYẾT TOÁN</v>
          </cell>
        </row>
      </sheetData>
      <sheetData sheetId="5557">
        <row r="4">
          <cell r="A4" t="str">
            <v>BẢNG TÍNH TOÁN, ĐO BÓC KHỐI LƯỢNG HOÀN THÀNH ĐƯA VÀO QUYẾT TOÁN</v>
          </cell>
        </row>
      </sheetData>
      <sheetData sheetId="5558">
        <row r="4">
          <cell r="A4" t="str">
            <v>BẢNG TÍNH TOÁN, ĐO BÓC KHỐI LƯỢNG HOÀN THÀNH ĐƯA VÀO QUYẾT TOÁN</v>
          </cell>
        </row>
      </sheetData>
      <sheetData sheetId="5559">
        <row r="4">
          <cell r="A4" t="str">
            <v>BẢNG TÍNH TOÁN, ĐO BÓC KHỐI LƯỢNG HOÀN THÀNH ĐƯA VÀO QUYẾT TOÁN</v>
          </cell>
        </row>
      </sheetData>
      <sheetData sheetId="5560">
        <row r="4">
          <cell r="A4" t="str">
            <v>BẢNG TÍNH TOÁN, ĐO BÓC KHỐI LƯỢNG HOÀN THÀNH ĐƯA VÀO QUYẾT TOÁN</v>
          </cell>
        </row>
      </sheetData>
      <sheetData sheetId="5561">
        <row r="4">
          <cell r="A4" t="str">
            <v>BẢNG TÍNH TOÁN, ĐO BÓC KHỐI LƯỢNG HOÀN THÀNH ĐƯA VÀO QUYẾT TOÁN</v>
          </cell>
        </row>
      </sheetData>
      <sheetData sheetId="5562">
        <row r="4">
          <cell r="A4" t="str">
            <v>BẢNG TÍNH TOÁN, ĐO BÓC KHỐI LƯỢNG HOÀN THÀNH ĐƯA VÀO QUYẾT TOÁN</v>
          </cell>
        </row>
      </sheetData>
      <sheetData sheetId="5563">
        <row r="4">
          <cell r="A4" t="str">
            <v>BẢNG TÍNH TOÁN, ĐO BÓC KHỐI LƯỢNG HOÀN THÀNH ĐƯA VÀO QUYẾT TOÁN</v>
          </cell>
        </row>
      </sheetData>
      <sheetData sheetId="5564">
        <row r="4">
          <cell r="A4" t="str">
            <v>BẢNG TÍNH TOÁN, ĐO BÓC KHỐI LƯỢNG HOÀN THÀNH ĐƯA VÀO QUYẾT TOÁN</v>
          </cell>
        </row>
      </sheetData>
      <sheetData sheetId="5565">
        <row r="4">
          <cell r="A4" t="str">
            <v>BẢNG TÍNH TOÁN, ĐO BÓC KHỐI LƯỢNG HOÀN THÀNH ĐƯA VÀO QUYẾT TOÁN</v>
          </cell>
        </row>
      </sheetData>
      <sheetData sheetId="5566">
        <row r="4">
          <cell r="A4" t="str">
            <v>BẢNG TÍNH TOÁN, ĐO BÓC KHỐI LƯỢNG HOÀN THÀNH ĐƯA VÀO QUYẾT TOÁN</v>
          </cell>
        </row>
      </sheetData>
      <sheetData sheetId="5567">
        <row r="4">
          <cell r="A4" t="str">
            <v>BẢNG TÍNH TOÁN, ĐO BÓC KHỐI LƯỢNG HOÀN THÀNH ĐƯA VÀO QUYẾT TOÁN</v>
          </cell>
        </row>
      </sheetData>
      <sheetData sheetId="5568">
        <row r="4">
          <cell r="A4" t="str">
            <v>BẢNG TÍNH TOÁN, ĐO BÓC KHỐI LƯỢNG HOÀN THÀNH ĐƯA VÀO QUYẾT TOÁN</v>
          </cell>
        </row>
      </sheetData>
      <sheetData sheetId="5569">
        <row r="4">
          <cell r="A4" t="str">
            <v>BẢNG TÍNH TOÁN, ĐO BÓC KHỐI LƯỢNG HOÀN THÀNH ĐƯA VÀO QUYẾT TOÁN</v>
          </cell>
        </row>
      </sheetData>
      <sheetData sheetId="5570">
        <row r="4">
          <cell r="A4" t="str">
            <v>BẢNG TÍNH TOÁN, ĐO BÓC KHỐI LƯỢNG HOÀN THÀNH ĐƯA VÀO QUYẾT TOÁN</v>
          </cell>
        </row>
      </sheetData>
      <sheetData sheetId="5571">
        <row r="4">
          <cell r="A4" t="str">
            <v>BẢNG TÍNH TOÁN, ĐO BÓC KHỐI LƯỢNG HOÀN THÀNH ĐƯA VÀO QUYẾT TOÁN</v>
          </cell>
        </row>
      </sheetData>
      <sheetData sheetId="5572">
        <row r="4">
          <cell r="A4" t="str">
            <v>BẢNG TÍNH TOÁN, ĐO BÓC KHỐI LƯỢNG HOÀN THÀNH ĐƯA VÀO QUYẾT TOÁN</v>
          </cell>
        </row>
      </sheetData>
      <sheetData sheetId="5573">
        <row r="4">
          <cell r="A4" t="str">
            <v>BẢNG TÍNH TOÁN, ĐO BÓC KHỐI LƯỢNG HOÀN THÀNH ĐƯA VÀO QUYẾT TOÁN</v>
          </cell>
        </row>
      </sheetData>
      <sheetData sheetId="5574">
        <row r="4">
          <cell r="A4" t="str">
            <v>BẢNG TÍNH TOÁN, ĐO BÓC KHỐI LƯỢNG HOÀN THÀNH ĐƯA VÀO QUYẾT TOÁN</v>
          </cell>
        </row>
      </sheetData>
      <sheetData sheetId="5575">
        <row r="4">
          <cell r="A4" t="str">
            <v>BẢNG TÍNH TOÁN, ĐO BÓC KHỐI LƯỢNG HOÀN THÀNH ĐƯA VÀO QUYẾT TOÁN</v>
          </cell>
        </row>
      </sheetData>
      <sheetData sheetId="5576">
        <row r="4">
          <cell r="A4" t="str">
            <v>BẢNG TÍNH TOÁN, ĐO BÓC KHỐI LƯỢNG HOÀN THÀNH ĐƯA VÀO QUYẾT TOÁN</v>
          </cell>
        </row>
      </sheetData>
      <sheetData sheetId="5577">
        <row r="4">
          <cell r="A4" t="str">
            <v>BẢNG TÍNH TOÁN, ĐO BÓC KHỐI LƯỢNG HOÀN THÀNH ĐƯA VÀO QUYẾT TOÁN</v>
          </cell>
        </row>
      </sheetData>
      <sheetData sheetId="5578">
        <row r="4">
          <cell r="A4" t="str">
            <v>BẢNG TÍNH TOÁN, ĐO BÓC KHỐI LƯỢNG HOÀN THÀNH ĐƯA VÀO QUYẾT TOÁN</v>
          </cell>
        </row>
      </sheetData>
      <sheetData sheetId="5579">
        <row r="4">
          <cell r="A4" t="str">
            <v>BẢNG TÍNH TOÁN, ĐO BÓC KHỐI LƯỢNG HOÀN THÀNH ĐƯA VÀO QUYẾT TOÁN</v>
          </cell>
        </row>
      </sheetData>
      <sheetData sheetId="5580">
        <row r="4">
          <cell r="A4" t="str">
            <v>BẢNG TÍNH TOÁN, ĐO BÓC KHỐI LƯỢNG HOÀN THÀNH ĐƯA VÀO QUYẾT TOÁN</v>
          </cell>
        </row>
      </sheetData>
      <sheetData sheetId="5581">
        <row r="4">
          <cell r="A4" t="str">
            <v>BẢNG TÍNH TOÁN, ĐO BÓC KHỐI LƯỢNG HOÀN THÀNH ĐƯA VÀO QUYẾT TOÁN</v>
          </cell>
        </row>
      </sheetData>
      <sheetData sheetId="5582">
        <row r="4">
          <cell r="A4" t="str">
            <v>BẢNG TÍNH TOÁN, ĐO BÓC KHỐI LƯỢNG HOÀN THÀNH ĐƯA VÀO QUYẾT TOÁN</v>
          </cell>
        </row>
      </sheetData>
      <sheetData sheetId="5583">
        <row r="4">
          <cell r="A4" t="str">
            <v>BẢNG TÍNH TOÁN, ĐO BÓC KHỐI LƯỢNG HOÀN THÀNH ĐƯA VÀO QUYẾT TOÁN</v>
          </cell>
        </row>
      </sheetData>
      <sheetData sheetId="5584">
        <row r="4">
          <cell r="A4" t="str">
            <v>BẢNG TÍNH TOÁN, ĐO BÓC KHỐI LƯỢNG HOÀN THÀNH ĐƯA VÀO QUYẾT TOÁN</v>
          </cell>
        </row>
      </sheetData>
      <sheetData sheetId="5585">
        <row r="4">
          <cell r="A4" t="str">
            <v>BẢNG TÍNH TOÁN, ĐO BÓC KHỐI LƯỢNG HOÀN THÀNH ĐƯA VÀO QUYẾT TOÁN</v>
          </cell>
        </row>
      </sheetData>
      <sheetData sheetId="5586">
        <row r="4">
          <cell r="A4" t="str">
            <v>BẢNG TÍNH TOÁN, ĐO BÓC KHỐI LƯỢNG HOÀN THÀNH ĐƯA VÀO QUYẾT TOÁN</v>
          </cell>
        </row>
      </sheetData>
      <sheetData sheetId="5587">
        <row r="4">
          <cell r="A4" t="str">
            <v>BẢNG TÍNH TOÁN, ĐO BÓC KHỐI LƯỢNG HOÀN THÀNH ĐƯA VÀO QUYẾT TOÁN</v>
          </cell>
        </row>
      </sheetData>
      <sheetData sheetId="5588">
        <row r="4">
          <cell r="A4" t="str">
            <v>BẢNG TÍNH TOÁN, ĐO BÓC KHỐI LƯỢNG HOÀN THÀNH ĐƯA VÀO QUYẾT TOÁN</v>
          </cell>
        </row>
      </sheetData>
      <sheetData sheetId="5589">
        <row r="4">
          <cell r="A4" t="str">
            <v>BẢNG TÍNH TOÁN, ĐO BÓC KHỐI LƯỢNG HOÀN THÀNH ĐƯA VÀO QUYẾT TOÁN</v>
          </cell>
        </row>
      </sheetData>
      <sheetData sheetId="5590">
        <row r="4">
          <cell r="A4" t="str">
            <v>BẢNG TÍNH TOÁN, ĐO BÓC KHỐI LƯỢNG HOÀN THÀNH ĐƯA VÀO QUYẾT TOÁN</v>
          </cell>
        </row>
      </sheetData>
      <sheetData sheetId="5591">
        <row r="4">
          <cell r="A4" t="str">
            <v>BẢNG TÍNH TOÁN, ĐO BÓC KHỐI LƯỢNG HOÀN THÀNH ĐƯA VÀO QUYẾT TOÁN</v>
          </cell>
        </row>
      </sheetData>
      <sheetData sheetId="5592">
        <row r="4">
          <cell r="A4" t="str">
            <v>BẢNG TÍNH TOÁN, ĐO BÓC KHỐI LƯỢNG HOÀN THÀNH ĐƯA VÀO QUYẾT TOÁN</v>
          </cell>
        </row>
      </sheetData>
      <sheetData sheetId="5593">
        <row r="4">
          <cell r="A4" t="str">
            <v>BẢNG TÍNH TOÁN, ĐO BÓC KHỐI LƯỢNG HOÀN THÀNH ĐƯA VÀO QUYẾT TOÁN</v>
          </cell>
        </row>
      </sheetData>
      <sheetData sheetId="5594">
        <row r="4">
          <cell r="A4" t="str">
            <v>BẢNG TÍNH TOÁN, ĐO BÓC KHỐI LƯỢNG HOÀN THÀNH ĐƯA VÀO QUYẾT TOÁN</v>
          </cell>
        </row>
      </sheetData>
      <sheetData sheetId="5595">
        <row r="4">
          <cell r="A4" t="str">
            <v>BẢNG TÍNH TOÁN, ĐO BÓC KHỐI LƯỢNG HOÀN THÀNH ĐƯA VÀO QUYẾT TOÁN</v>
          </cell>
        </row>
      </sheetData>
      <sheetData sheetId="5596">
        <row r="4">
          <cell r="A4" t="str">
            <v>BẢNG TÍNH TOÁN, ĐO BÓC KHỐI LƯỢNG HOÀN THÀNH ĐƯA VÀO QUYẾT TOÁN</v>
          </cell>
        </row>
      </sheetData>
      <sheetData sheetId="5597">
        <row r="4">
          <cell r="A4" t="str">
            <v>BẢNG TÍNH TOÁN, ĐO BÓC KHỐI LƯỢNG HOÀN THÀNH ĐƯA VÀO QUYẾT TOÁN</v>
          </cell>
        </row>
      </sheetData>
      <sheetData sheetId="5598">
        <row r="4">
          <cell r="A4" t="str">
            <v>BẢNG TÍNH TOÁN, ĐO BÓC KHỐI LƯỢNG HOÀN THÀNH ĐƯA VÀO QUYẾT TOÁN</v>
          </cell>
        </row>
      </sheetData>
      <sheetData sheetId="5599">
        <row r="4">
          <cell r="A4" t="str">
            <v>BẢNG TÍNH TOÁN, ĐO BÓC KHỐI LƯỢNG HOÀN THÀNH ĐƯA VÀO QUYẾT TOÁN</v>
          </cell>
        </row>
      </sheetData>
      <sheetData sheetId="5600">
        <row r="4">
          <cell r="A4" t="str">
            <v>BẢNG TÍNH TOÁN, ĐO BÓC KHỐI LƯỢNG HOÀN THÀNH ĐƯA VÀO QUYẾT TOÁN</v>
          </cell>
        </row>
      </sheetData>
      <sheetData sheetId="5601">
        <row r="4">
          <cell r="A4" t="str">
            <v>BẢNG TÍNH TOÁN, ĐO BÓC KHỐI LƯỢNG HOÀN THÀNH ĐƯA VÀO QUYẾT TOÁN</v>
          </cell>
        </row>
      </sheetData>
      <sheetData sheetId="5602">
        <row r="4">
          <cell r="A4" t="str">
            <v>BẢNG TÍNH TOÁN, ĐO BÓC KHỐI LƯỢNG HOÀN THÀNH ĐƯA VÀO QUYẾT TOÁN</v>
          </cell>
        </row>
      </sheetData>
      <sheetData sheetId="5603">
        <row r="4">
          <cell r="A4" t="str">
            <v>BẢNG TÍNH TOÁN, ĐO BÓC KHỐI LƯỢNG HOÀN THÀNH ĐƯA VÀO QUYẾT TOÁN</v>
          </cell>
        </row>
      </sheetData>
      <sheetData sheetId="5604">
        <row r="4">
          <cell r="A4" t="str">
            <v>BẢNG TÍNH TOÁN, ĐO BÓC KHỐI LƯỢNG HOÀN THÀNH ĐƯA VÀO QUYẾT TOÁN</v>
          </cell>
        </row>
      </sheetData>
      <sheetData sheetId="5605">
        <row r="4">
          <cell r="A4" t="str">
            <v>BẢNG TÍNH TOÁN, ĐO BÓC KHỐI LƯỢNG HOÀN THÀNH ĐƯA VÀO QUYẾT TOÁN</v>
          </cell>
        </row>
      </sheetData>
      <sheetData sheetId="5606">
        <row r="4">
          <cell r="A4" t="str">
            <v>BẢNG TÍNH TOÁN, ĐO BÓC KHỐI LƯỢNG HOÀN THÀNH ĐƯA VÀO QUYẾT TOÁN</v>
          </cell>
        </row>
      </sheetData>
      <sheetData sheetId="5607">
        <row r="4">
          <cell r="A4" t="str">
            <v>BẢNG TÍNH TOÁN, ĐO BÓC KHỐI LƯỢNG HOÀN THÀNH ĐƯA VÀO QUYẾT TOÁN</v>
          </cell>
        </row>
      </sheetData>
      <sheetData sheetId="5608">
        <row r="4">
          <cell r="A4" t="str">
            <v>BẢNG TÍNH TOÁN, ĐO BÓC KHỐI LƯỢNG HOÀN THÀNH ĐƯA VÀO QUYẾT TOÁN</v>
          </cell>
        </row>
      </sheetData>
      <sheetData sheetId="5609">
        <row r="4">
          <cell r="A4" t="str">
            <v>BẢNG TÍNH TOÁN, ĐO BÓC KHỐI LƯỢNG HOÀN THÀNH ĐƯA VÀO QUYẾT TOÁN</v>
          </cell>
        </row>
      </sheetData>
      <sheetData sheetId="5610">
        <row r="4">
          <cell r="A4" t="str">
            <v>BẢNG TÍNH TOÁN, ĐO BÓC KHỐI LƯỢNG HOÀN THÀNH ĐƯA VÀO QUYẾT TOÁN</v>
          </cell>
        </row>
      </sheetData>
      <sheetData sheetId="5611">
        <row r="4">
          <cell r="A4" t="str">
            <v>BẢNG TÍNH TOÁN, ĐO BÓC KHỐI LƯỢNG HOÀN THÀNH ĐƯA VÀO QUYẾT TOÁN</v>
          </cell>
        </row>
      </sheetData>
      <sheetData sheetId="5612">
        <row r="4">
          <cell r="A4" t="str">
            <v>BẢNG TÍNH TOÁN, ĐO BÓC KHỐI LƯỢNG HOÀN THÀNH ĐƯA VÀO QUYẾT TOÁN</v>
          </cell>
        </row>
      </sheetData>
      <sheetData sheetId="5613">
        <row r="4">
          <cell r="A4" t="str">
            <v>BẢNG TÍNH TOÁN, ĐO BÓC KHỐI LƯỢNG HOÀN THÀNH ĐƯA VÀO QUYẾT TOÁN</v>
          </cell>
        </row>
      </sheetData>
      <sheetData sheetId="5614">
        <row r="4">
          <cell r="A4" t="str">
            <v>BẢNG TÍNH TOÁN, ĐO BÓC KHỐI LƯỢNG HOÀN THÀNH ĐƯA VÀO QUYẾT TOÁN</v>
          </cell>
        </row>
      </sheetData>
      <sheetData sheetId="5615">
        <row r="4">
          <cell r="A4" t="str">
            <v>BẢNG TÍNH TOÁN, ĐO BÓC KHỐI LƯỢNG HOÀN THÀNH ĐƯA VÀO QUYẾT TOÁN</v>
          </cell>
        </row>
      </sheetData>
      <sheetData sheetId="5616">
        <row r="4">
          <cell r="A4" t="str">
            <v>BẢNG TÍNH TOÁN, ĐO BÓC KHỐI LƯỢNG HOÀN THÀNH ĐƯA VÀO QUYẾT TOÁN</v>
          </cell>
        </row>
      </sheetData>
      <sheetData sheetId="5617">
        <row r="4">
          <cell r="A4" t="str">
            <v>BẢNG TÍNH TOÁN, ĐO BÓC KHỐI LƯỢNG HOÀN THÀNH ĐƯA VÀO QUYẾT TOÁN</v>
          </cell>
        </row>
      </sheetData>
      <sheetData sheetId="5618">
        <row r="4">
          <cell r="A4" t="str">
            <v>BẢNG TÍNH TOÁN, ĐO BÓC KHỐI LƯỢNG HOÀN THÀNH ĐƯA VÀO QUYẾT TOÁN</v>
          </cell>
        </row>
      </sheetData>
      <sheetData sheetId="5619">
        <row r="4">
          <cell r="A4" t="str">
            <v>BẢNG TÍNH TOÁN, ĐO BÓC KHỐI LƯỢNG HOÀN THÀNH ĐƯA VÀO QUYẾT TOÁN</v>
          </cell>
        </row>
      </sheetData>
      <sheetData sheetId="5620">
        <row r="4">
          <cell r="A4" t="str">
            <v>BẢNG TÍNH TOÁN, ĐO BÓC KHỐI LƯỢNG HOÀN THÀNH ĐƯA VÀO QUYẾT TOÁN</v>
          </cell>
        </row>
      </sheetData>
      <sheetData sheetId="5621">
        <row r="4">
          <cell r="A4" t="str">
            <v>BẢNG TÍNH TOÁN, ĐO BÓC KHỐI LƯỢNG HOÀN THÀNH ĐƯA VÀO QUYẾT TOÁN</v>
          </cell>
        </row>
      </sheetData>
      <sheetData sheetId="5622">
        <row r="4">
          <cell r="A4" t="str">
            <v>BẢNG TÍNH TOÁN, ĐO BÓC KHỐI LƯỢNG HOÀN THÀNH ĐƯA VÀO QUYẾT TOÁN</v>
          </cell>
        </row>
      </sheetData>
      <sheetData sheetId="5623">
        <row r="4">
          <cell r="A4" t="str">
            <v>BẢNG TÍNH TOÁN, ĐO BÓC KHỐI LƯỢNG HOÀN THÀNH ĐƯA VÀO QUYẾT TOÁN</v>
          </cell>
        </row>
      </sheetData>
      <sheetData sheetId="5624">
        <row r="4">
          <cell r="A4" t="str">
            <v>BẢNG TÍNH TOÁN, ĐO BÓC KHỐI LƯỢNG HOÀN THÀNH ĐƯA VÀO QUYẾT TOÁN</v>
          </cell>
        </row>
      </sheetData>
      <sheetData sheetId="5625">
        <row r="4">
          <cell r="A4" t="str">
            <v>BẢNG TÍNH TOÁN, ĐO BÓC KHỐI LƯỢNG HOÀN THÀNH ĐƯA VÀO QUYẾT TOÁN</v>
          </cell>
        </row>
      </sheetData>
      <sheetData sheetId="5626">
        <row r="4">
          <cell r="A4" t="str">
            <v>BẢNG TÍNH TOÁN, ĐO BÓC KHỐI LƯỢNG HOÀN THÀNH ĐƯA VÀO QUYẾT TOÁN</v>
          </cell>
        </row>
      </sheetData>
      <sheetData sheetId="5627">
        <row r="4">
          <cell r="A4" t="str">
            <v>BẢNG TÍNH TOÁN, ĐO BÓC KHỐI LƯỢNG HOÀN THÀNH ĐƯA VÀO QUYẾT TOÁN</v>
          </cell>
        </row>
      </sheetData>
      <sheetData sheetId="5628">
        <row r="4">
          <cell r="A4" t="str">
            <v>BẢNG TÍNH TOÁN, ĐO BÓC KHỐI LƯỢNG HOÀN THÀNH ĐƯA VÀO QUYẾT TOÁN</v>
          </cell>
        </row>
      </sheetData>
      <sheetData sheetId="5629">
        <row r="4">
          <cell r="A4" t="str">
            <v>BẢNG TÍNH TOÁN, ĐO BÓC KHỐI LƯỢNG HOÀN THÀNH ĐƯA VÀO QUYẾT TOÁN</v>
          </cell>
        </row>
      </sheetData>
      <sheetData sheetId="5630">
        <row r="4">
          <cell r="A4" t="str">
            <v>BẢNG TÍNH TOÁN, ĐO BÓC KHỐI LƯỢNG HOÀN THÀNH ĐƯA VÀO QUYẾT TOÁN</v>
          </cell>
        </row>
      </sheetData>
      <sheetData sheetId="5631">
        <row r="4">
          <cell r="A4" t="str">
            <v>BẢNG TÍNH TOÁN, ĐO BÓC KHỐI LƯỢNG HOÀN THÀNH ĐƯA VÀO QUYẾT TOÁN</v>
          </cell>
        </row>
      </sheetData>
      <sheetData sheetId="5632">
        <row r="4">
          <cell r="A4" t="str">
            <v>BẢNG TÍNH TOÁN, ĐO BÓC KHỐI LƯỢNG HOÀN THÀNH ĐƯA VÀO QUYẾT TOÁN</v>
          </cell>
        </row>
      </sheetData>
      <sheetData sheetId="5633">
        <row r="4">
          <cell r="A4" t="str">
            <v>BẢNG TÍNH TOÁN, ĐO BÓC KHỐI LƯỢNG HOÀN THÀNH ĐƯA VÀO QUYẾT TOÁN</v>
          </cell>
        </row>
      </sheetData>
      <sheetData sheetId="5634">
        <row r="4">
          <cell r="A4" t="str">
            <v>BẢNG TÍNH TOÁN, ĐO BÓC KHỐI LƯỢNG HOÀN THÀNH ĐƯA VÀO QUYẾT TOÁN</v>
          </cell>
        </row>
      </sheetData>
      <sheetData sheetId="5635">
        <row r="4">
          <cell r="A4" t="str">
            <v>BẢNG TÍNH TOÁN, ĐO BÓC KHỐI LƯỢNG HOÀN THÀNH ĐƯA VÀO QUYẾT TOÁN</v>
          </cell>
        </row>
      </sheetData>
      <sheetData sheetId="5636">
        <row r="4">
          <cell r="A4" t="str">
            <v>BẢNG TÍNH TOÁN, ĐO BÓC KHỐI LƯỢNG HOÀN THÀNH ĐƯA VÀO QUYẾT TOÁN</v>
          </cell>
        </row>
      </sheetData>
      <sheetData sheetId="5637">
        <row r="4">
          <cell r="A4" t="str">
            <v>BẢNG TÍNH TOÁN, ĐO BÓC KHỐI LƯỢNG HOÀN THÀNH ĐƯA VÀO QUYẾT TOÁN</v>
          </cell>
        </row>
      </sheetData>
      <sheetData sheetId="5638">
        <row r="4">
          <cell r="A4" t="str">
            <v>BẢNG TÍNH TOÁN, ĐO BÓC KHỐI LƯỢNG HOÀN THÀNH ĐƯA VÀO QUYẾT TOÁN</v>
          </cell>
        </row>
      </sheetData>
      <sheetData sheetId="5639">
        <row r="4">
          <cell r="A4" t="str">
            <v>BẢNG TÍNH TOÁN, ĐO BÓC KHỐI LƯỢNG HOÀN THÀNH ĐƯA VÀO QUYẾT TOÁN</v>
          </cell>
        </row>
      </sheetData>
      <sheetData sheetId="5640">
        <row r="4">
          <cell r="A4" t="str">
            <v>BẢNG TÍNH TOÁN, ĐO BÓC KHỐI LƯỢNG HOÀN THÀNH ĐƯA VÀO QUYẾT TOÁN</v>
          </cell>
        </row>
      </sheetData>
      <sheetData sheetId="5641">
        <row r="4">
          <cell r="A4" t="str">
            <v>BẢNG TÍNH TOÁN, ĐO BÓC KHỐI LƯỢNG HOÀN THÀNH ĐƯA VÀO QUYẾT TOÁN</v>
          </cell>
        </row>
      </sheetData>
      <sheetData sheetId="5642">
        <row r="4">
          <cell r="A4" t="str">
            <v>BẢNG TÍNH TOÁN, ĐO BÓC KHỐI LƯỢNG HOÀN THÀNH ĐƯA VÀO QUYẾT TOÁN</v>
          </cell>
        </row>
      </sheetData>
      <sheetData sheetId="5643">
        <row r="4">
          <cell r="A4" t="str">
            <v>BẢNG TÍNH TOÁN, ĐO BÓC KHỐI LƯỢNG HOÀN THÀNH ĐƯA VÀO QUYẾT TOÁN</v>
          </cell>
        </row>
      </sheetData>
      <sheetData sheetId="5644">
        <row r="4">
          <cell r="A4" t="str">
            <v>BẢNG TÍNH TOÁN, ĐO BÓC KHỐI LƯỢNG HOÀN THÀNH ĐƯA VÀO QUYẾT TOÁN</v>
          </cell>
        </row>
      </sheetData>
      <sheetData sheetId="5645">
        <row r="4">
          <cell r="A4" t="str">
            <v>BẢNG TÍNH TOÁN, ĐO BÓC KHỐI LƯỢNG HOÀN THÀNH ĐƯA VÀO QUYẾT TOÁN</v>
          </cell>
        </row>
      </sheetData>
      <sheetData sheetId="5646">
        <row r="4">
          <cell r="A4" t="str">
            <v>BẢNG TÍNH TOÁN, ĐO BÓC KHỐI LƯỢNG HOÀN THÀNH ĐƯA VÀO QUYẾT TOÁN</v>
          </cell>
        </row>
      </sheetData>
      <sheetData sheetId="5647">
        <row r="4">
          <cell r="A4" t="str">
            <v>BẢNG TÍNH TOÁN, ĐO BÓC KHỐI LƯỢNG HOÀN THÀNH ĐƯA VÀO QUYẾT TOÁN</v>
          </cell>
        </row>
      </sheetData>
      <sheetData sheetId="5648">
        <row r="4">
          <cell r="A4" t="str">
            <v>BẢNG TÍNH TOÁN, ĐO BÓC KHỐI LƯỢNG HOÀN THÀNH ĐƯA VÀO QUYẾT TOÁN</v>
          </cell>
        </row>
      </sheetData>
      <sheetData sheetId="5649">
        <row r="4">
          <cell r="A4" t="str">
            <v>BẢNG TÍNH TOÁN, ĐO BÓC KHỐI LƯỢNG HOÀN THÀNH ĐƯA VÀO QUYẾT TOÁN</v>
          </cell>
        </row>
      </sheetData>
      <sheetData sheetId="5650">
        <row r="4">
          <cell r="A4" t="str">
            <v>BẢNG TÍNH TOÁN, ĐO BÓC KHỐI LƯỢNG HOÀN THÀNH ĐƯA VÀO QUYẾT TOÁN</v>
          </cell>
        </row>
      </sheetData>
      <sheetData sheetId="5651">
        <row r="4">
          <cell r="A4" t="str">
            <v>BẢNG TÍNH TOÁN, ĐO BÓC KHỐI LƯỢNG HOÀN THÀNH ĐƯA VÀO QUYẾT TOÁN</v>
          </cell>
        </row>
      </sheetData>
      <sheetData sheetId="5652">
        <row r="4">
          <cell r="A4" t="str">
            <v>BẢNG TÍNH TOÁN, ĐO BÓC KHỐI LƯỢNG HOÀN THÀNH ĐƯA VÀO QUYẾT TOÁN</v>
          </cell>
        </row>
      </sheetData>
      <sheetData sheetId="5653">
        <row r="4">
          <cell r="A4" t="str">
            <v>BẢNG TÍNH TOÁN, ĐO BÓC KHỐI LƯỢNG HOÀN THÀNH ĐƯA VÀO QUYẾT TOÁN</v>
          </cell>
        </row>
      </sheetData>
      <sheetData sheetId="5654">
        <row r="4">
          <cell r="A4" t="str">
            <v>BẢNG TÍNH TOÁN, ĐO BÓC KHỐI LƯỢNG HOÀN THÀNH ĐƯA VÀO QUYẾT TOÁN</v>
          </cell>
        </row>
      </sheetData>
      <sheetData sheetId="5655">
        <row r="4">
          <cell r="A4" t="str">
            <v>BẢNG TÍNH TOÁN, ĐO BÓC KHỐI LƯỢNG HOÀN THÀNH ĐƯA VÀO QUYẾT TOÁN</v>
          </cell>
        </row>
      </sheetData>
      <sheetData sheetId="5656">
        <row r="4">
          <cell r="A4" t="str">
            <v>BẢNG TÍNH TOÁN, ĐO BÓC KHỐI LƯỢNG HOÀN THÀNH ĐƯA VÀO QUYẾT TOÁN</v>
          </cell>
        </row>
      </sheetData>
      <sheetData sheetId="5657">
        <row r="4">
          <cell r="A4" t="str">
            <v>BẢNG TÍNH TOÁN, ĐO BÓC KHỐI LƯỢNG HOÀN THÀNH ĐƯA VÀO QUYẾT TOÁN</v>
          </cell>
        </row>
      </sheetData>
      <sheetData sheetId="5658">
        <row r="4">
          <cell r="A4" t="str">
            <v>BẢNG TÍNH TOÁN, ĐO BÓC KHỐI LƯỢNG HOÀN THÀNH ĐƯA VÀO QUYẾT TOÁN</v>
          </cell>
        </row>
      </sheetData>
      <sheetData sheetId="5659">
        <row r="4">
          <cell r="A4" t="str">
            <v>BẢNG TÍNH TOÁN, ĐO BÓC KHỐI LƯỢNG HOÀN THÀNH ĐƯA VÀO QUYẾT TOÁN</v>
          </cell>
        </row>
      </sheetData>
      <sheetData sheetId="5660">
        <row r="4">
          <cell r="A4" t="str">
            <v>BẢNG TÍNH TOÁN, ĐO BÓC KHỐI LƯỢNG HOÀN THÀNH ĐƯA VÀO QUYẾT TOÁN</v>
          </cell>
        </row>
      </sheetData>
      <sheetData sheetId="5661">
        <row r="4">
          <cell r="A4" t="str">
            <v>BẢNG TÍNH TOÁN, ĐO BÓC KHỐI LƯỢNG HOÀN THÀNH ĐƯA VÀO QUYẾT TOÁN</v>
          </cell>
        </row>
      </sheetData>
      <sheetData sheetId="5662">
        <row r="4">
          <cell r="A4" t="str">
            <v>BẢNG TÍNH TOÁN, ĐO BÓC KHỐI LƯỢNG HOÀN THÀNH ĐƯA VÀO QUYẾT TOÁN</v>
          </cell>
        </row>
      </sheetData>
      <sheetData sheetId="5663">
        <row r="4">
          <cell r="A4" t="str">
            <v>BẢNG TÍNH TOÁN, ĐO BÓC KHỐI LƯỢNG HOÀN THÀNH ĐƯA VÀO QUYẾT TOÁN</v>
          </cell>
        </row>
      </sheetData>
      <sheetData sheetId="5664">
        <row r="4">
          <cell r="A4" t="str">
            <v>BẢNG TÍNH TOÁN, ĐO BÓC KHỐI LƯỢNG HOÀN THÀNH ĐƯA VÀO QUYẾT TOÁN</v>
          </cell>
        </row>
      </sheetData>
      <sheetData sheetId="5665">
        <row r="4">
          <cell r="A4" t="str">
            <v>BẢNG TÍNH TOÁN, ĐO BÓC KHỐI LƯỢNG HOÀN THÀNH ĐƯA VÀO QUYẾT TOÁN</v>
          </cell>
        </row>
      </sheetData>
      <sheetData sheetId="5666">
        <row r="4">
          <cell r="A4" t="str">
            <v>BẢNG TÍNH TOÁN, ĐO BÓC KHỐI LƯỢNG HOÀN THÀNH ĐƯA VÀO QUYẾT TOÁN</v>
          </cell>
        </row>
      </sheetData>
      <sheetData sheetId="5667">
        <row r="4">
          <cell r="A4" t="str">
            <v>BẢNG TÍNH TOÁN, ĐO BÓC KHỐI LƯỢNG HOÀN THÀNH ĐƯA VÀO QUYẾT TOÁN</v>
          </cell>
        </row>
      </sheetData>
      <sheetData sheetId="5668">
        <row r="4">
          <cell r="A4" t="str">
            <v>BẢNG TÍNH TOÁN, ĐO BÓC KHỐI LƯỢNG HOÀN THÀNH ĐƯA VÀO QUYẾT TOÁN</v>
          </cell>
        </row>
      </sheetData>
      <sheetData sheetId="5669">
        <row r="4">
          <cell r="A4" t="str">
            <v>BẢNG TÍNH TOÁN, ĐO BÓC KHỐI LƯỢNG HOÀN THÀNH ĐƯA VÀO QUYẾT TOÁN</v>
          </cell>
        </row>
      </sheetData>
      <sheetData sheetId="5670">
        <row r="4">
          <cell r="A4" t="str">
            <v>BẢNG TÍNH TOÁN, ĐO BÓC KHỐI LƯỢNG HOÀN THÀNH ĐƯA VÀO QUYẾT TOÁN</v>
          </cell>
        </row>
      </sheetData>
      <sheetData sheetId="5671">
        <row r="4">
          <cell r="A4" t="str">
            <v>BẢNG TÍNH TOÁN, ĐO BÓC KHỐI LƯỢNG HOÀN THÀNH ĐƯA VÀO QUYẾT TOÁN</v>
          </cell>
        </row>
      </sheetData>
      <sheetData sheetId="5672">
        <row r="4">
          <cell r="A4" t="str">
            <v>BẢNG TÍNH TOÁN, ĐO BÓC KHỐI LƯỢNG HOÀN THÀNH ĐƯA VÀO QUYẾT TOÁN</v>
          </cell>
        </row>
      </sheetData>
      <sheetData sheetId="5673">
        <row r="4">
          <cell r="A4" t="str">
            <v>BẢNG TÍNH TOÁN, ĐO BÓC KHỐI LƯỢNG HOÀN THÀNH ĐƯA VÀO QUYẾT TOÁN</v>
          </cell>
        </row>
      </sheetData>
      <sheetData sheetId="5674">
        <row r="4">
          <cell r="A4" t="str">
            <v>BẢNG TÍNH TOÁN, ĐO BÓC KHỐI LƯỢNG HOÀN THÀNH ĐƯA VÀO QUYẾT TOÁN</v>
          </cell>
        </row>
      </sheetData>
      <sheetData sheetId="5675">
        <row r="4">
          <cell r="A4" t="str">
            <v>BẢNG TÍNH TOÁN, ĐO BÓC KHỐI LƯỢNG HOÀN THÀNH ĐƯA VÀO QUYẾT TOÁN</v>
          </cell>
        </row>
      </sheetData>
      <sheetData sheetId="5676">
        <row r="4">
          <cell r="A4" t="str">
            <v>BẢNG TÍNH TOÁN, ĐO BÓC KHỐI LƯỢNG HOÀN THÀNH ĐƯA VÀO QUYẾT TOÁN</v>
          </cell>
        </row>
      </sheetData>
      <sheetData sheetId="5677">
        <row r="4">
          <cell r="A4" t="str">
            <v>BẢNG TÍNH TOÁN, ĐO BÓC KHỐI LƯỢNG HOÀN THÀNH ĐƯA VÀO QUYẾT TOÁN</v>
          </cell>
        </row>
      </sheetData>
      <sheetData sheetId="5678">
        <row r="4">
          <cell r="A4" t="str">
            <v>BẢNG TÍNH TOÁN, ĐO BÓC KHỐI LƯỢNG HOÀN THÀNH ĐƯA VÀO QUYẾT TOÁN</v>
          </cell>
        </row>
      </sheetData>
      <sheetData sheetId="5679">
        <row r="4">
          <cell r="A4" t="str">
            <v>BẢNG TÍNH TOÁN, ĐO BÓC KHỐI LƯỢNG HOÀN THÀNH ĐƯA VÀO QUYẾT TOÁN</v>
          </cell>
        </row>
      </sheetData>
      <sheetData sheetId="5680">
        <row r="4">
          <cell r="A4" t="str">
            <v>BẢNG TÍNH TOÁN, ĐO BÓC KHỐI LƯỢNG HOÀN THÀNH ĐƯA VÀO QUYẾT TOÁN</v>
          </cell>
        </row>
      </sheetData>
      <sheetData sheetId="5681">
        <row r="4">
          <cell r="A4" t="str">
            <v>BẢNG TÍNH TOÁN, ĐO BÓC KHỐI LƯỢNG HOÀN THÀNH ĐƯA VÀO QUYẾT TOÁN</v>
          </cell>
        </row>
      </sheetData>
      <sheetData sheetId="5682">
        <row r="4">
          <cell r="A4" t="str">
            <v>BẢNG TÍNH TOÁN, ĐO BÓC KHỐI LƯỢNG HOÀN THÀNH ĐƯA VÀO QUYẾT TOÁN</v>
          </cell>
        </row>
      </sheetData>
      <sheetData sheetId="5683">
        <row r="4">
          <cell r="A4" t="str">
            <v>BẢNG TÍNH TOÁN, ĐO BÓC KHỐI LƯỢNG HOÀN THÀNH ĐƯA VÀO QUYẾT TOÁN</v>
          </cell>
        </row>
      </sheetData>
      <sheetData sheetId="5684">
        <row r="4">
          <cell r="A4" t="str">
            <v>BẢNG TÍNH TOÁN, ĐO BÓC KHỐI LƯỢNG HOÀN THÀNH ĐƯA VÀO QUYẾT TOÁN</v>
          </cell>
        </row>
      </sheetData>
      <sheetData sheetId="5685">
        <row r="4">
          <cell r="A4" t="str">
            <v>BẢNG TÍNH TOÁN, ĐO BÓC KHỐI LƯỢNG HOÀN THÀNH ĐƯA VÀO QUYẾT TOÁN</v>
          </cell>
        </row>
      </sheetData>
      <sheetData sheetId="5686">
        <row r="4">
          <cell r="A4" t="str">
            <v>BẢNG TÍNH TOÁN, ĐO BÓC KHỐI LƯỢNG HOÀN THÀNH ĐƯA VÀO QUYẾT TOÁN</v>
          </cell>
        </row>
      </sheetData>
      <sheetData sheetId="5687">
        <row r="4">
          <cell r="A4" t="str">
            <v>BẢNG TÍNH TOÁN, ĐO BÓC KHỐI LƯỢNG HOÀN THÀNH ĐƯA VÀO QUYẾT TOÁN</v>
          </cell>
        </row>
      </sheetData>
      <sheetData sheetId="5688">
        <row r="4">
          <cell r="A4" t="str">
            <v>BẢNG TÍNH TOÁN, ĐO BÓC KHỐI LƯỢNG HOÀN THÀNH ĐƯA VÀO QUYẾT TOÁN</v>
          </cell>
        </row>
      </sheetData>
      <sheetData sheetId="5689">
        <row r="4">
          <cell r="A4" t="str">
            <v>BẢNG TÍNH TOÁN, ĐO BÓC KHỐI LƯỢNG HOÀN THÀNH ĐƯA VÀO QUYẾT TOÁN</v>
          </cell>
        </row>
      </sheetData>
      <sheetData sheetId="5690">
        <row r="4">
          <cell r="A4" t="str">
            <v>BẢNG TÍNH TOÁN, ĐO BÓC KHỐI LƯỢNG HOÀN THÀNH ĐƯA VÀO QUYẾT TOÁN</v>
          </cell>
        </row>
      </sheetData>
      <sheetData sheetId="5691">
        <row r="4">
          <cell r="A4" t="str">
            <v>BẢNG TÍNH TOÁN, ĐO BÓC KHỐI LƯỢNG HOÀN THÀNH ĐƯA VÀO QUYẾT TOÁN</v>
          </cell>
        </row>
      </sheetData>
      <sheetData sheetId="5692">
        <row r="4">
          <cell r="A4" t="str">
            <v>BẢNG TÍNH TOÁN, ĐO BÓC KHỐI LƯỢNG HOÀN THÀNH ĐƯA VÀO QUYẾT TOÁN</v>
          </cell>
        </row>
      </sheetData>
      <sheetData sheetId="5693">
        <row r="4">
          <cell r="A4" t="str">
            <v>BẢNG TÍNH TOÁN, ĐO BÓC KHỐI LƯỢNG HOÀN THÀNH ĐƯA VÀO QUYẾT TOÁN</v>
          </cell>
        </row>
      </sheetData>
      <sheetData sheetId="5694">
        <row r="4">
          <cell r="A4" t="str">
            <v>BẢNG TÍNH TOÁN, ĐO BÓC KHỐI LƯỢNG HOÀN THÀNH ĐƯA VÀO QUYẾT TOÁN</v>
          </cell>
        </row>
      </sheetData>
      <sheetData sheetId="5695">
        <row r="4">
          <cell r="A4" t="str">
            <v>BẢNG TÍNH TOÁN, ĐO BÓC KHỐI LƯỢNG HOÀN THÀNH ĐƯA VÀO QUYẾT TOÁN</v>
          </cell>
        </row>
      </sheetData>
      <sheetData sheetId="5696">
        <row r="4">
          <cell r="A4" t="str">
            <v>BẢNG TÍNH TOÁN, ĐO BÓC KHỐI LƯỢNG HOÀN THÀNH ĐƯA VÀO QUYẾT TOÁN</v>
          </cell>
        </row>
      </sheetData>
      <sheetData sheetId="5697">
        <row r="4">
          <cell r="A4" t="str">
            <v>BẢNG TÍNH TOÁN, ĐO BÓC KHỐI LƯỢNG HOÀN THÀNH ĐƯA VÀO QUYẾT TOÁN</v>
          </cell>
        </row>
      </sheetData>
      <sheetData sheetId="5698">
        <row r="4">
          <cell r="A4" t="str">
            <v>BẢNG TÍNH TOÁN, ĐO BÓC KHỐI LƯỢNG HOÀN THÀNH ĐƯA VÀO QUYẾT TOÁN</v>
          </cell>
        </row>
      </sheetData>
      <sheetData sheetId="5699">
        <row r="4">
          <cell r="A4" t="str">
            <v>BẢNG TÍNH TOÁN, ĐO BÓC KHỐI LƯỢNG HOÀN THÀNH ĐƯA VÀO QUYẾT TOÁN</v>
          </cell>
        </row>
      </sheetData>
      <sheetData sheetId="5700">
        <row r="4">
          <cell r="A4" t="str">
            <v>BẢNG TÍNH TOÁN, ĐO BÓC KHỐI LƯỢNG HOÀN THÀNH ĐƯA VÀO QUYẾT TOÁN</v>
          </cell>
        </row>
      </sheetData>
      <sheetData sheetId="5701">
        <row r="4">
          <cell r="A4" t="str">
            <v>BẢNG TÍNH TOÁN, ĐO BÓC KHỐI LƯỢNG HOÀN THÀNH ĐƯA VÀO QUYẾT TOÁN</v>
          </cell>
        </row>
      </sheetData>
      <sheetData sheetId="5702">
        <row r="4">
          <cell r="A4" t="str">
            <v>BẢNG TÍNH TOÁN, ĐO BÓC KHỐI LƯỢNG HOÀN THÀNH ĐƯA VÀO QUYẾT TOÁN</v>
          </cell>
        </row>
      </sheetData>
      <sheetData sheetId="5703">
        <row r="4">
          <cell r="A4" t="str">
            <v>BẢNG TÍNH TOÁN, ĐO BÓC KHỐI LƯỢNG HOÀN THÀNH ĐƯA VÀO QUYẾT TOÁN</v>
          </cell>
        </row>
      </sheetData>
      <sheetData sheetId="5704">
        <row r="4">
          <cell r="A4" t="str">
            <v>BẢNG TÍNH TOÁN, ĐO BÓC KHỐI LƯỢNG HOÀN THÀNH ĐƯA VÀO QUYẾT TOÁN</v>
          </cell>
        </row>
      </sheetData>
      <sheetData sheetId="5705">
        <row r="4">
          <cell r="A4" t="str">
            <v>BẢNG TÍNH TOÁN, ĐO BÓC KHỐI LƯỢNG HOÀN THÀNH ĐƯA VÀO QUYẾT TOÁN</v>
          </cell>
        </row>
      </sheetData>
      <sheetData sheetId="5706">
        <row r="4">
          <cell r="A4" t="str">
            <v>BẢNG TÍNH TOÁN, ĐO BÓC KHỐI LƯỢNG HOÀN THÀNH ĐƯA VÀO QUYẾT TOÁN</v>
          </cell>
        </row>
      </sheetData>
      <sheetData sheetId="5707">
        <row r="4">
          <cell r="A4" t="str">
            <v>BẢNG TÍNH TOÁN, ĐO BÓC KHỐI LƯỢNG HOÀN THÀNH ĐƯA VÀO QUYẾT TOÁN</v>
          </cell>
        </row>
      </sheetData>
      <sheetData sheetId="5708">
        <row r="4">
          <cell r="A4" t="str">
            <v>BẢNG TÍNH TOÁN, ĐO BÓC KHỐI LƯỢNG HOÀN THÀNH ĐƯA VÀO QUYẾT TOÁN</v>
          </cell>
        </row>
      </sheetData>
      <sheetData sheetId="5709">
        <row r="4">
          <cell r="A4" t="str">
            <v>BẢNG TÍNH TOÁN, ĐO BÓC KHỐI LƯỢNG HOÀN THÀNH ĐƯA VÀO QUYẾT TOÁN</v>
          </cell>
        </row>
      </sheetData>
      <sheetData sheetId="5710">
        <row r="4">
          <cell r="A4" t="str">
            <v>BẢNG TÍNH TOÁN, ĐO BÓC KHỐI LƯỢNG HOÀN THÀNH ĐƯA VÀO QUYẾT TOÁN</v>
          </cell>
        </row>
      </sheetData>
      <sheetData sheetId="5711">
        <row r="4">
          <cell r="A4" t="str">
            <v>BẢNG TÍNH TOÁN, ĐO BÓC KHỐI LƯỢNG HOÀN THÀNH ĐƯA VÀO QUYẾT TOÁN</v>
          </cell>
        </row>
      </sheetData>
      <sheetData sheetId="5712">
        <row r="4">
          <cell r="A4" t="str">
            <v>BẢNG TÍNH TOÁN, ĐO BÓC KHỐI LƯỢNG HOÀN THÀNH ĐƯA VÀO QUYẾT TOÁN</v>
          </cell>
        </row>
      </sheetData>
      <sheetData sheetId="5713">
        <row r="4">
          <cell r="A4" t="str">
            <v>BẢNG TÍNH TOÁN, ĐO BÓC KHỐI LƯỢNG HOÀN THÀNH ĐƯA VÀO QUYẾT TOÁN</v>
          </cell>
        </row>
      </sheetData>
      <sheetData sheetId="5714">
        <row r="4">
          <cell r="A4" t="str">
            <v>BẢNG TÍNH TOÁN, ĐO BÓC KHỐI LƯỢNG HOÀN THÀNH ĐƯA VÀO QUYẾT TOÁN</v>
          </cell>
        </row>
      </sheetData>
      <sheetData sheetId="5715">
        <row r="4">
          <cell r="A4" t="str">
            <v>BẢNG TÍNH TOÁN, ĐO BÓC KHỐI LƯỢNG HOÀN THÀNH ĐƯA VÀO QUYẾT TOÁN</v>
          </cell>
        </row>
      </sheetData>
      <sheetData sheetId="5716">
        <row r="4">
          <cell r="A4" t="str">
            <v>BẢNG TÍNH TOÁN, ĐO BÓC KHỐI LƯỢNG HOÀN THÀNH ĐƯA VÀO QUYẾT TOÁN</v>
          </cell>
        </row>
      </sheetData>
      <sheetData sheetId="5717">
        <row r="4">
          <cell r="A4" t="str">
            <v>BẢNG TÍNH TOÁN, ĐO BÓC KHỐI LƯỢNG HOÀN THÀNH ĐƯA VÀO QUYẾT TOÁN</v>
          </cell>
        </row>
      </sheetData>
      <sheetData sheetId="5718">
        <row r="4">
          <cell r="A4" t="str">
            <v>BẢNG TÍNH TOÁN, ĐO BÓC KHỐI LƯỢNG HOÀN THÀNH ĐƯA VÀO QUYẾT TOÁN</v>
          </cell>
        </row>
      </sheetData>
      <sheetData sheetId="5719">
        <row r="4">
          <cell r="A4" t="str">
            <v>BẢNG TÍNH TOÁN, ĐO BÓC KHỐI LƯỢNG HOÀN THÀNH ĐƯA VÀO QUYẾT TOÁN</v>
          </cell>
        </row>
      </sheetData>
      <sheetData sheetId="5720">
        <row r="4">
          <cell r="A4" t="str">
            <v>BẢNG TÍNH TOÁN, ĐO BÓC KHỐI LƯỢNG HOÀN THÀNH ĐƯA VÀO QUYẾT TOÁN</v>
          </cell>
        </row>
      </sheetData>
      <sheetData sheetId="5721">
        <row r="4">
          <cell r="A4" t="str">
            <v>BẢNG TÍNH TOÁN, ĐO BÓC KHỐI LƯỢNG HOÀN THÀNH ĐƯA VÀO QUYẾT TOÁN</v>
          </cell>
        </row>
      </sheetData>
      <sheetData sheetId="5722">
        <row r="4">
          <cell r="A4" t="str">
            <v>BẢNG TÍNH TOÁN, ĐO BÓC KHỐI LƯỢNG HOÀN THÀNH ĐƯA VÀO QUYẾT TOÁN</v>
          </cell>
        </row>
      </sheetData>
      <sheetData sheetId="5723">
        <row r="4">
          <cell r="A4" t="str">
            <v>BẢNG TÍNH TOÁN, ĐO BÓC KHỐI LƯỢNG HOÀN THÀNH ĐƯA VÀO QUYẾT TOÁN</v>
          </cell>
        </row>
      </sheetData>
      <sheetData sheetId="5724">
        <row r="4">
          <cell r="A4" t="str">
            <v>BẢNG TÍNH TOÁN, ĐO BÓC KHỐI LƯỢNG HOÀN THÀNH ĐƯA VÀO QUYẾT TOÁN</v>
          </cell>
        </row>
      </sheetData>
      <sheetData sheetId="5725">
        <row r="4">
          <cell r="A4" t="str">
            <v>BẢNG TÍNH TOÁN, ĐO BÓC KHỐI LƯỢNG HOÀN THÀNH ĐƯA VÀO QUYẾT TOÁN</v>
          </cell>
        </row>
      </sheetData>
      <sheetData sheetId="5726">
        <row r="4">
          <cell r="A4" t="str">
            <v>BẢNG TÍNH TOÁN, ĐO BÓC KHỐI LƯỢNG HOÀN THÀNH ĐƯA VÀO QUYẾT TOÁN</v>
          </cell>
        </row>
      </sheetData>
      <sheetData sheetId="5727">
        <row r="4">
          <cell r="A4" t="str">
            <v>BẢNG TÍNH TOÁN, ĐO BÓC KHỐI LƯỢNG HOÀN THÀNH ĐƯA VÀO QUYẾT TOÁN</v>
          </cell>
        </row>
      </sheetData>
      <sheetData sheetId="5728">
        <row r="4">
          <cell r="A4" t="str">
            <v>BẢNG TÍNH TOÁN, ĐO BÓC KHỐI LƯỢNG HOÀN THÀNH ĐƯA VÀO QUYẾT TOÁN</v>
          </cell>
        </row>
      </sheetData>
      <sheetData sheetId="5729">
        <row r="4">
          <cell r="A4" t="str">
            <v>BẢNG TÍNH TOÁN, ĐO BÓC KHỐI LƯỢNG HOÀN THÀNH ĐƯA VÀO QUYẾT TOÁN</v>
          </cell>
        </row>
      </sheetData>
      <sheetData sheetId="5730">
        <row r="4">
          <cell r="A4" t="str">
            <v>BẢNG TÍNH TOÁN, ĐO BÓC KHỐI LƯỢNG HOÀN THÀNH ĐƯA VÀO QUYẾT TOÁN</v>
          </cell>
        </row>
      </sheetData>
      <sheetData sheetId="5731">
        <row r="4">
          <cell r="A4" t="str">
            <v>BẢNG TÍNH TOÁN, ĐO BÓC KHỐI LƯỢNG HOÀN THÀNH ĐƯA VÀO QUYẾT TOÁN</v>
          </cell>
        </row>
      </sheetData>
      <sheetData sheetId="5732">
        <row r="4">
          <cell r="A4" t="str">
            <v>BẢNG TÍNH TOÁN, ĐO BÓC KHỐI LƯỢNG HOÀN THÀNH ĐƯA VÀO QUYẾT TOÁN</v>
          </cell>
        </row>
      </sheetData>
      <sheetData sheetId="5733">
        <row r="4">
          <cell r="A4" t="str">
            <v>BẢNG TÍNH TOÁN, ĐO BÓC KHỐI LƯỢNG HOÀN THÀNH ĐƯA VÀO QUYẾT TOÁN</v>
          </cell>
        </row>
      </sheetData>
      <sheetData sheetId="5734">
        <row r="4">
          <cell r="A4" t="str">
            <v>BẢNG TÍNH TOÁN, ĐO BÓC KHỐI LƯỢNG HOÀN THÀNH ĐƯA VÀO QUYẾT TOÁN</v>
          </cell>
        </row>
      </sheetData>
      <sheetData sheetId="5735">
        <row r="4">
          <cell r="A4" t="str">
            <v>BẢNG TÍNH TOÁN, ĐO BÓC KHỐI LƯỢNG HOÀN THÀNH ĐƯA VÀO QUYẾT TOÁN</v>
          </cell>
        </row>
      </sheetData>
      <sheetData sheetId="5736">
        <row r="4">
          <cell r="A4" t="str">
            <v>BẢNG TÍNH TOÁN, ĐO BÓC KHỐI LƯỢNG HOÀN THÀNH ĐƯA VÀO QUYẾT TOÁN</v>
          </cell>
        </row>
      </sheetData>
      <sheetData sheetId="5737">
        <row r="4">
          <cell r="A4" t="str">
            <v>BẢNG TÍNH TOÁN, ĐO BÓC KHỐI LƯỢNG HOÀN THÀNH ĐƯA VÀO QUYẾT TOÁN</v>
          </cell>
        </row>
      </sheetData>
      <sheetData sheetId="5738">
        <row r="4">
          <cell r="A4" t="str">
            <v>BẢNG TÍNH TOÁN, ĐO BÓC KHỐI LƯỢNG HOÀN THÀNH ĐƯA VÀO QUYẾT TOÁN</v>
          </cell>
        </row>
      </sheetData>
      <sheetData sheetId="5739">
        <row r="4">
          <cell r="A4" t="str">
            <v>BẢNG TÍNH TOÁN, ĐO BÓC KHỐI LƯỢNG HOÀN THÀNH ĐƯA VÀO QUYẾT TOÁN</v>
          </cell>
        </row>
      </sheetData>
      <sheetData sheetId="5740">
        <row r="4">
          <cell r="A4" t="str">
            <v>BẢNG TÍNH TOÁN, ĐO BÓC KHỐI LƯỢNG HOÀN THÀNH ĐƯA VÀO QUYẾT TOÁN</v>
          </cell>
        </row>
      </sheetData>
      <sheetData sheetId="5741">
        <row r="4">
          <cell r="A4" t="str">
            <v>BẢNG TÍNH TOÁN, ĐO BÓC KHỐI LƯỢNG HOÀN THÀNH ĐƯA VÀO QUYẾT TOÁN</v>
          </cell>
        </row>
      </sheetData>
      <sheetData sheetId="5742">
        <row r="4">
          <cell r="A4" t="str">
            <v>BẢNG TÍNH TOÁN, ĐO BÓC KHỐI LƯỢNG HOÀN THÀNH ĐƯA VÀO QUYẾT TOÁN</v>
          </cell>
        </row>
      </sheetData>
      <sheetData sheetId="5743">
        <row r="4">
          <cell r="A4" t="str">
            <v>BẢNG TÍNH TOÁN, ĐO BÓC KHỐI LƯỢNG HOÀN THÀNH ĐƯA VÀO QUYẾT TOÁN</v>
          </cell>
        </row>
      </sheetData>
      <sheetData sheetId="5744">
        <row r="4">
          <cell r="A4" t="str">
            <v>BẢNG TÍNH TOÁN, ĐO BÓC KHỐI LƯỢNG HOÀN THÀNH ĐƯA VÀO QUYẾT TOÁN</v>
          </cell>
        </row>
      </sheetData>
      <sheetData sheetId="5745">
        <row r="4">
          <cell r="A4" t="str">
            <v>BẢNG TÍNH TOÁN, ĐO BÓC KHỐI LƯỢNG HOÀN THÀNH ĐƯA VÀO QUYẾT TOÁN</v>
          </cell>
        </row>
      </sheetData>
      <sheetData sheetId="5746">
        <row r="4">
          <cell r="A4" t="str">
            <v>BẢNG TÍNH TOÁN, ĐO BÓC KHỐI LƯỢNG HOÀN THÀNH ĐƯA VÀO QUYẾT TOÁN</v>
          </cell>
        </row>
      </sheetData>
      <sheetData sheetId="5747">
        <row r="4">
          <cell r="A4" t="str">
            <v>BẢNG TÍNH TOÁN, ĐO BÓC KHỐI LƯỢNG HOÀN THÀNH ĐƯA VÀO QUYẾT TOÁN</v>
          </cell>
        </row>
      </sheetData>
      <sheetData sheetId="5748">
        <row r="4">
          <cell r="A4" t="str">
            <v>BẢNG TÍNH TOÁN, ĐO BÓC KHỐI LƯỢNG HOÀN THÀNH ĐƯA VÀO QUYẾT TOÁN</v>
          </cell>
        </row>
      </sheetData>
      <sheetData sheetId="5749">
        <row r="4">
          <cell r="A4" t="str">
            <v>BẢNG TÍNH TOÁN, ĐO BÓC KHỐI LƯỢNG HOÀN THÀNH ĐƯA VÀO QUYẾT TOÁN</v>
          </cell>
        </row>
      </sheetData>
      <sheetData sheetId="5750">
        <row r="4">
          <cell r="A4" t="str">
            <v>BẢNG TÍNH TOÁN, ĐO BÓC KHỐI LƯỢNG HOÀN THÀNH ĐƯA VÀO QUYẾT TOÁN</v>
          </cell>
        </row>
      </sheetData>
      <sheetData sheetId="5751">
        <row r="4">
          <cell r="A4" t="str">
            <v>BẢNG TÍNH TOÁN, ĐO BÓC KHỐI LƯỢNG HOÀN THÀNH ĐƯA VÀO QUYẾT TOÁN</v>
          </cell>
        </row>
      </sheetData>
      <sheetData sheetId="5752">
        <row r="4">
          <cell r="A4" t="str">
            <v>BẢNG TÍNH TOÁN, ĐO BÓC KHỐI LƯỢNG HOÀN THÀNH ĐƯA VÀO QUYẾT TOÁN</v>
          </cell>
        </row>
      </sheetData>
      <sheetData sheetId="5753">
        <row r="4">
          <cell r="A4" t="str">
            <v>BẢNG TÍNH TOÁN, ĐO BÓC KHỐI LƯỢNG HOÀN THÀNH ĐƯA VÀO QUYẾT TOÁN</v>
          </cell>
        </row>
      </sheetData>
      <sheetData sheetId="5754">
        <row r="4">
          <cell r="A4" t="str">
            <v>BẢNG TÍNH TOÁN, ĐO BÓC KHỐI LƯỢNG HOÀN THÀNH ĐƯA VÀO QUYẾT TOÁN</v>
          </cell>
        </row>
      </sheetData>
      <sheetData sheetId="5755">
        <row r="4">
          <cell r="A4" t="str">
            <v>BẢNG TÍNH TOÁN, ĐO BÓC KHỐI LƯỢNG HOÀN THÀNH ĐƯA VÀO QUYẾT TOÁN</v>
          </cell>
        </row>
      </sheetData>
      <sheetData sheetId="5756">
        <row r="4">
          <cell r="A4" t="str">
            <v>BẢNG TÍNH TOÁN, ĐO BÓC KHỐI LƯỢNG HOÀN THÀNH ĐƯA VÀO QUYẾT TOÁN</v>
          </cell>
        </row>
      </sheetData>
      <sheetData sheetId="5757">
        <row r="4">
          <cell r="A4" t="str">
            <v>BẢNG TÍNH TOÁN, ĐO BÓC KHỐI LƯỢNG HOÀN THÀNH ĐƯA VÀO QUYẾT TOÁN</v>
          </cell>
        </row>
      </sheetData>
      <sheetData sheetId="5758">
        <row r="4">
          <cell r="A4" t="str">
            <v>BẢNG TÍNH TOÁN, ĐO BÓC KHỐI LƯỢNG HOÀN THÀNH ĐƯA VÀO QUYẾT TOÁN</v>
          </cell>
        </row>
      </sheetData>
      <sheetData sheetId="5759">
        <row r="4">
          <cell r="A4" t="str">
            <v>BẢNG TÍNH TOÁN, ĐO BÓC KHỐI LƯỢNG HOÀN THÀNH ĐƯA VÀO QUYẾT TOÁN</v>
          </cell>
        </row>
      </sheetData>
      <sheetData sheetId="5760">
        <row r="4">
          <cell r="A4" t="str">
            <v>BẢNG TÍNH TOÁN, ĐO BÓC KHỐI LƯỢNG HOÀN THÀNH ĐƯA VÀO QUYẾT TOÁN</v>
          </cell>
        </row>
      </sheetData>
      <sheetData sheetId="5761">
        <row r="4">
          <cell r="A4" t="str">
            <v>BẢNG TÍNH TOÁN, ĐO BÓC KHỐI LƯỢNG HOÀN THÀNH ĐƯA VÀO QUYẾT TOÁN</v>
          </cell>
        </row>
      </sheetData>
      <sheetData sheetId="5762">
        <row r="4">
          <cell r="A4" t="str">
            <v>BẢNG TÍNH TOÁN, ĐO BÓC KHỐI LƯỢNG HOÀN THÀNH ĐƯA VÀO QUYẾT TOÁN</v>
          </cell>
        </row>
      </sheetData>
      <sheetData sheetId="5763">
        <row r="4">
          <cell r="A4" t="str">
            <v>BẢNG TÍNH TOÁN, ĐO BÓC KHỐI LƯỢNG HOÀN THÀNH ĐƯA VÀO QUYẾT TOÁN</v>
          </cell>
        </row>
      </sheetData>
      <sheetData sheetId="5764">
        <row r="4">
          <cell r="A4" t="str">
            <v>BẢNG TÍNH TOÁN, ĐO BÓC KHỐI LƯỢNG HOÀN THÀNH ĐƯA VÀO QUYẾT TOÁN</v>
          </cell>
        </row>
      </sheetData>
      <sheetData sheetId="5765">
        <row r="4">
          <cell r="A4" t="str">
            <v>BẢNG TÍNH TOÁN, ĐO BÓC KHỐI LƯỢNG HOÀN THÀNH ĐƯA VÀO QUYẾT TOÁN</v>
          </cell>
        </row>
      </sheetData>
      <sheetData sheetId="5766">
        <row r="4">
          <cell r="A4" t="str">
            <v>BẢNG TÍNH TOÁN, ĐO BÓC KHỐI LƯỢNG HOÀN THÀNH ĐƯA VÀO QUYẾT TOÁN</v>
          </cell>
        </row>
      </sheetData>
      <sheetData sheetId="5767">
        <row r="4">
          <cell r="A4" t="str">
            <v>BẢNG TÍNH TOÁN, ĐO BÓC KHỐI LƯỢNG HOÀN THÀNH ĐƯA VÀO QUYẾT TOÁN</v>
          </cell>
        </row>
      </sheetData>
      <sheetData sheetId="5768">
        <row r="4">
          <cell r="A4" t="str">
            <v>BẢNG TÍNH TOÁN, ĐO BÓC KHỐI LƯỢNG HOÀN THÀNH ĐƯA VÀO QUYẾT TOÁN</v>
          </cell>
        </row>
      </sheetData>
      <sheetData sheetId="5769">
        <row r="4">
          <cell r="A4" t="str">
            <v>BẢNG TÍNH TOÁN, ĐO BÓC KHỐI LƯỢNG HOÀN THÀNH ĐƯA VÀO QUYẾT TOÁN</v>
          </cell>
        </row>
      </sheetData>
      <sheetData sheetId="5770">
        <row r="4">
          <cell r="A4" t="str">
            <v>BẢNG TÍNH TOÁN, ĐO BÓC KHỐI LƯỢNG HOÀN THÀNH ĐƯA VÀO QUYẾT TOÁN</v>
          </cell>
        </row>
      </sheetData>
      <sheetData sheetId="5771">
        <row r="4">
          <cell r="A4" t="str">
            <v>BẢNG TÍNH TOÁN, ĐO BÓC KHỐI LƯỢNG HOÀN THÀNH ĐƯA VÀO QUYẾT TOÁN</v>
          </cell>
        </row>
      </sheetData>
      <sheetData sheetId="5772">
        <row r="4">
          <cell r="A4" t="str">
            <v>BẢNG TÍNH TOÁN, ĐO BÓC KHỐI LƯỢNG HOÀN THÀNH ĐƯA VÀO QUYẾT TOÁN</v>
          </cell>
        </row>
      </sheetData>
      <sheetData sheetId="5773">
        <row r="4">
          <cell r="A4" t="str">
            <v>BẢNG TÍNH TOÁN, ĐO BÓC KHỐI LƯỢNG HOÀN THÀNH ĐƯA VÀO QUYẾT TOÁN</v>
          </cell>
        </row>
      </sheetData>
      <sheetData sheetId="5774">
        <row r="4">
          <cell r="A4" t="str">
            <v>BẢNG TÍNH TOÁN, ĐO BÓC KHỐI LƯỢNG HOÀN THÀNH ĐƯA VÀO QUYẾT TOÁN</v>
          </cell>
        </row>
      </sheetData>
      <sheetData sheetId="5775">
        <row r="4">
          <cell r="A4" t="str">
            <v>BẢNG TÍNH TOÁN, ĐO BÓC KHỐI LƯỢNG HOÀN THÀNH ĐƯA VÀO QUYẾT TOÁN</v>
          </cell>
        </row>
      </sheetData>
      <sheetData sheetId="5776">
        <row r="4">
          <cell r="A4" t="str">
            <v>BẢNG TÍNH TOÁN, ĐO BÓC KHỐI LƯỢNG HOÀN THÀNH ĐƯA VÀO QUYẾT TOÁN</v>
          </cell>
        </row>
      </sheetData>
      <sheetData sheetId="5777">
        <row r="4">
          <cell r="A4" t="str">
            <v>BẢNG TÍNH TOÁN, ĐO BÓC KHỐI LƯỢNG HOÀN THÀNH ĐƯA VÀO QUYẾT TOÁN</v>
          </cell>
        </row>
      </sheetData>
      <sheetData sheetId="5778">
        <row r="4">
          <cell r="A4" t="str">
            <v>BẢNG TÍNH TOÁN, ĐO BÓC KHỐI LƯỢNG HOÀN THÀNH ĐƯA VÀO QUYẾT TOÁN</v>
          </cell>
        </row>
      </sheetData>
      <sheetData sheetId="5779">
        <row r="4">
          <cell r="A4" t="str">
            <v>BẢNG TÍNH TOÁN, ĐO BÓC KHỐI LƯỢNG HOÀN THÀNH ĐƯA VÀO QUYẾT TOÁN</v>
          </cell>
        </row>
      </sheetData>
      <sheetData sheetId="5780">
        <row r="4">
          <cell r="A4" t="str">
            <v>BẢNG TÍNH TOÁN, ĐO BÓC KHỐI LƯỢNG HOÀN THÀNH ĐƯA VÀO QUYẾT TOÁN</v>
          </cell>
        </row>
      </sheetData>
      <sheetData sheetId="5781">
        <row r="4">
          <cell r="A4" t="str">
            <v>BẢNG TÍNH TOÁN, ĐO BÓC KHỐI LƯỢNG HOÀN THÀNH ĐƯA VÀO QUYẾT TOÁN</v>
          </cell>
        </row>
      </sheetData>
      <sheetData sheetId="5782">
        <row r="4">
          <cell r="A4" t="str">
            <v>BẢNG TÍNH TOÁN, ĐO BÓC KHỐI LƯỢNG HOÀN THÀNH ĐƯA VÀO QUYẾT TOÁN</v>
          </cell>
        </row>
      </sheetData>
      <sheetData sheetId="5783">
        <row r="4">
          <cell r="A4" t="str">
            <v>BẢNG TÍNH TOÁN, ĐO BÓC KHỐI LƯỢNG HOÀN THÀNH ĐƯA VÀO QUYẾT TOÁN</v>
          </cell>
        </row>
      </sheetData>
      <sheetData sheetId="5784">
        <row r="4">
          <cell r="A4" t="str">
            <v>BẢNG TÍNH TOÁN, ĐO BÓC KHỐI LƯỢNG HOÀN THÀNH ĐƯA VÀO QUYẾT TOÁN</v>
          </cell>
        </row>
      </sheetData>
      <sheetData sheetId="5785">
        <row r="4">
          <cell r="A4" t="str">
            <v>BẢNG TÍNH TOÁN, ĐO BÓC KHỐI LƯỢNG HOÀN THÀNH ĐƯA VÀO QUYẾT TOÁN</v>
          </cell>
        </row>
      </sheetData>
      <sheetData sheetId="5786">
        <row r="4">
          <cell r="A4" t="str">
            <v>BẢNG TÍNH TOÁN, ĐO BÓC KHỐI LƯỢNG HOÀN THÀNH ĐƯA VÀO QUYẾT TOÁN</v>
          </cell>
        </row>
      </sheetData>
      <sheetData sheetId="5787">
        <row r="4">
          <cell r="A4" t="str">
            <v>BẢNG TÍNH TOÁN, ĐO BÓC KHỐI LƯỢNG HOÀN THÀNH ĐƯA VÀO QUYẾT TOÁN</v>
          </cell>
        </row>
      </sheetData>
      <sheetData sheetId="5788">
        <row r="4">
          <cell r="A4" t="str">
            <v>BẢNG TÍNH TOÁN, ĐO BÓC KHỐI LƯỢNG HOÀN THÀNH ĐƯA VÀO QUYẾT TOÁN</v>
          </cell>
        </row>
      </sheetData>
      <sheetData sheetId="5789">
        <row r="4">
          <cell r="A4" t="str">
            <v>BẢNG TÍNH TOÁN, ĐO BÓC KHỐI LƯỢNG HOÀN THÀNH ĐƯA VÀO QUYẾT TOÁN</v>
          </cell>
        </row>
      </sheetData>
      <sheetData sheetId="5790">
        <row r="4">
          <cell r="A4" t="str">
            <v>BẢNG TÍNH TOÁN, ĐO BÓC KHỐI LƯỢNG HOÀN THÀNH ĐƯA VÀO QUYẾT TOÁN</v>
          </cell>
        </row>
      </sheetData>
      <sheetData sheetId="5791">
        <row r="4">
          <cell r="A4" t="str">
            <v>BẢNG TÍNH TOÁN, ĐO BÓC KHỐI LƯỢNG HOÀN THÀNH ĐƯA VÀO QUYẾT TOÁN</v>
          </cell>
        </row>
      </sheetData>
      <sheetData sheetId="5792">
        <row r="4">
          <cell r="A4" t="str">
            <v>BẢNG TÍNH TOÁN, ĐO BÓC KHỐI LƯỢNG HOÀN THÀNH ĐƯA VÀO QUYẾT TOÁN</v>
          </cell>
        </row>
      </sheetData>
      <sheetData sheetId="5793">
        <row r="4">
          <cell r="A4" t="str">
            <v>BẢNG TÍNH TOÁN, ĐO BÓC KHỐI LƯỢNG HOÀN THÀNH ĐƯA VÀO QUYẾT TOÁN</v>
          </cell>
        </row>
      </sheetData>
      <sheetData sheetId="5794">
        <row r="4">
          <cell r="A4" t="str">
            <v>BẢNG TÍNH TOÁN, ĐO BÓC KHỐI LƯỢNG HOÀN THÀNH ĐƯA VÀO QUYẾT TOÁN</v>
          </cell>
        </row>
      </sheetData>
      <sheetData sheetId="5795">
        <row r="4">
          <cell r="A4" t="str">
            <v>BẢNG TÍNH TOÁN, ĐO BÓC KHỐI LƯỢNG HOÀN THÀNH ĐƯA VÀO QUYẾT TOÁN</v>
          </cell>
        </row>
      </sheetData>
      <sheetData sheetId="5796">
        <row r="4">
          <cell r="A4" t="str">
            <v>BẢNG TÍNH TOÁN, ĐO BÓC KHỐI LƯỢNG HOÀN THÀNH ĐƯA VÀO QUYẾT TOÁN</v>
          </cell>
        </row>
      </sheetData>
      <sheetData sheetId="5797">
        <row r="4">
          <cell r="A4" t="str">
            <v>BẢNG TÍNH TOÁN, ĐO BÓC KHỐI LƯỢNG HOÀN THÀNH ĐƯA VÀO QUYẾT TOÁN</v>
          </cell>
        </row>
      </sheetData>
      <sheetData sheetId="5798">
        <row r="4">
          <cell r="A4" t="str">
            <v>BẢNG TÍNH TOÁN, ĐO BÓC KHỐI LƯỢNG HOÀN THÀNH ĐƯA VÀO QUYẾT TOÁN</v>
          </cell>
        </row>
      </sheetData>
      <sheetData sheetId="5799">
        <row r="4">
          <cell r="A4" t="str">
            <v>BẢNG TÍNH TOÁN, ĐO BÓC KHỐI LƯỢNG HOÀN THÀNH ĐƯA VÀO QUYẾT TOÁN</v>
          </cell>
        </row>
      </sheetData>
      <sheetData sheetId="5800">
        <row r="4">
          <cell r="A4" t="str">
            <v>BẢNG TÍNH TOÁN, ĐO BÓC KHỐI LƯỢNG HOÀN THÀNH ĐƯA VÀO QUYẾT TOÁN</v>
          </cell>
        </row>
      </sheetData>
      <sheetData sheetId="5801">
        <row r="4">
          <cell r="A4" t="str">
            <v>BẢNG TÍNH TOÁN, ĐO BÓC KHỐI LƯỢNG HOÀN THÀNH ĐƯA VÀO QUYẾT TOÁN</v>
          </cell>
        </row>
      </sheetData>
      <sheetData sheetId="5802">
        <row r="4">
          <cell r="A4" t="str">
            <v>BẢNG TÍNH TOÁN, ĐO BÓC KHỐI LƯỢNG HOÀN THÀNH ĐƯA VÀO QUYẾT TOÁN</v>
          </cell>
        </row>
      </sheetData>
      <sheetData sheetId="5803">
        <row r="4">
          <cell r="A4" t="str">
            <v>BẢNG TÍNH TOÁN, ĐO BÓC KHỐI LƯỢNG HOÀN THÀNH ĐƯA VÀO QUYẾT TOÁN</v>
          </cell>
        </row>
      </sheetData>
      <sheetData sheetId="5804">
        <row r="4">
          <cell r="A4" t="str">
            <v>BẢNG TÍNH TOÁN, ĐO BÓC KHỐI LƯỢNG HOÀN THÀNH ĐƯA VÀO QUYẾT TOÁN</v>
          </cell>
        </row>
      </sheetData>
      <sheetData sheetId="5805">
        <row r="4">
          <cell r="A4" t="str">
            <v>BẢNG TÍNH TOÁN, ĐO BÓC KHỐI LƯỢNG HOÀN THÀNH ĐƯA VÀO QUYẾT TOÁN</v>
          </cell>
        </row>
      </sheetData>
      <sheetData sheetId="5806">
        <row r="4">
          <cell r="A4" t="str">
            <v>BẢNG TÍNH TOÁN, ĐO BÓC KHỐI LƯỢNG HOÀN THÀNH ĐƯA VÀO QUYẾT TOÁN</v>
          </cell>
        </row>
      </sheetData>
      <sheetData sheetId="5807">
        <row r="4">
          <cell r="A4" t="str">
            <v>BẢNG TÍNH TOÁN, ĐO BÓC KHỐI LƯỢNG HOÀN THÀNH ĐƯA VÀO QUYẾT TOÁN</v>
          </cell>
        </row>
      </sheetData>
      <sheetData sheetId="5808">
        <row r="4">
          <cell r="A4" t="str">
            <v>BẢNG TÍNH TOÁN, ĐO BÓC KHỐI LƯỢNG HOÀN THÀNH ĐƯA VÀO QUYẾT TOÁN</v>
          </cell>
        </row>
      </sheetData>
      <sheetData sheetId="5809">
        <row r="4">
          <cell r="A4" t="str">
            <v>BẢNG TÍNH TOÁN, ĐO BÓC KHỐI LƯỢNG HOÀN THÀNH ĐƯA VÀO QUYẾT TOÁN</v>
          </cell>
        </row>
      </sheetData>
      <sheetData sheetId="5810">
        <row r="4">
          <cell r="A4" t="str">
            <v>BẢNG TÍNH TOÁN, ĐO BÓC KHỐI LƯỢNG HOÀN THÀNH ĐƯA VÀO QUYẾT TOÁN</v>
          </cell>
        </row>
      </sheetData>
      <sheetData sheetId="5811">
        <row r="4">
          <cell r="A4" t="str">
            <v>BẢNG TÍNH TOÁN, ĐO BÓC KHỐI LƯỢNG HOÀN THÀNH ĐƯA VÀO QUYẾT TOÁN</v>
          </cell>
        </row>
      </sheetData>
      <sheetData sheetId="5812">
        <row r="4">
          <cell r="A4" t="str">
            <v>BẢNG TÍNH TOÁN, ĐO BÓC KHỐI LƯỢNG HOÀN THÀNH ĐƯA VÀO QUYẾT TOÁN</v>
          </cell>
        </row>
      </sheetData>
      <sheetData sheetId="5813">
        <row r="4">
          <cell r="A4" t="str">
            <v>BẢNG TÍNH TOÁN, ĐO BÓC KHỐI LƯỢNG HOÀN THÀNH ĐƯA VÀO QUYẾT TOÁN</v>
          </cell>
        </row>
      </sheetData>
      <sheetData sheetId="5814">
        <row r="4">
          <cell r="A4" t="str">
            <v>BẢNG TÍNH TOÁN, ĐO BÓC KHỐI LƯỢNG HOÀN THÀNH ĐƯA VÀO QUYẾT TOÁN</v>
          </cell>
        </row>
      </sheetData>
      <sheetData sheetId="5815">
        <row r="4">
          <cell r="A4" t="str">
            <v>BẢNG TÍNH TOÁN, ĐO BÓC KHỐI LƯỢNG HOÀN THÀNH ĐƯA VÀO QUYẾT TOÁN</v>
          </cell>
        </row>
      </sheetData>
      <sheetData sheetId="5816">
        <row r="4">
          <cell r="A4" t="str">
            <v>BẢNG TÍNH TOÁN, ĐO BÓC KHỐI LƯỢNG HOÀN THÀNH ĐƯA VÀO QUYẾT TOÁN</v>
          </cell>
        </row>
      </sheetData>
      <sheetData sheetId="5817">
        <row r="4">
          <cell r="A4" t="str">
            <v>BẢNG TÍNH TOÁN, ĐO BÓC KHỐI LƯỢNG HOÀN THÀNH ĐƯA VÀO QUYẾT TOÁN</v>
          </cell>
        </row>
      </sheetData>
      <sheetData sheetId="5818">
        <row r="4">
          <cell r="A4" t="str">
            <v>BẢNG TÍNH TOÁN, ĐO BÓC KHỐI LƯỢNG HOÀN THÀNH ĐƯA VÀO QUYẾT TOÁN</v>
          </cell>
        </row>
      </sheetData>
      <sheetData sheetId="5819">
        <row r="4">
          <cell r="A4" t="str">
            <v>BẢNG TÍNH TOÁN, ĐO BÓC KHỐI LƯỢNG HOÀN THÀNH ĐƯA VÀO QUYẾT TOÁN</v>
          </cell>
        </row>
      </sheetData>
      <sheetData sheetId="5820">
        <row r="4">
          <cell r="A4" t="str">
            <v>BẢNG TÍNH TOÁN, ĐO BÓC KHỐI LƯỢNG HOÀN THÀNH ĐƯA VÀO QUYẾT TOÁN</v>
          </cell>
        </row>
      </sheetData>
      <sheetData sheetId="5821">
        <row r="4">
          <cell r="A4" t="str">
            <v>BẢNG TÍNH TOÁN, ĐO BÓC KHỐI LƯỢNG HOÀN THÀNH ĐƯA VÀO QUYẾT TOÁN</v>
          </cell>
        </row>
      </sheetData>
      <sheetData sheetId="5822">
        <row r="4">
          <cell r="A4" t="str">
            <v>BẢNG TÍNH TOÁN, ĐO BÓC KHỐI LƯỢNG HOÀN THÀNH ĐƯA VÀO QUYẾT TOÁN</v>
          </cell>
        </row>
      </sheetData>
      <sheetData sheetId="5823">
        <row r="4">
          <cell r="A4" t="str">
            <v>BẢNG TÍNH TOÁN, ĐO BÓC KHỐI LƯỢNG HOÀN THÀNH ĐƯA VÀO QUYẾT TOÁN</v>
          </cell>
        </row>
      </sheetData>
      <sheetData sheetId="5824">
        <row r="4">
          <cell r="A4" t="str">
            <v>BẢNG TÍNH TOÁN, ĐO BÓC KHỐI LƯỢNG HOÀN THÀNH ĐƯA VÀO QUYẾT TOÁN</v>
          </cell>
        </row>
      </sheetData>
      <sheetData sheetId="5825">
        <row r="4">
          <cell r="A4" t="str">
            <v>BẢNG TÍNH TOÁN, ĐO BÓC KHỐI LƯỢNG HOÀN THÀNH ĐƯA VÀO QUYẾT TOÁN</v>
          </cell>
        </row>
      </sheetData>
      <sheetData sheetId="5826">
        <row r="4">
          <cell r="A4" t="str">
            <v>BẢNG TÍNH TOÁN, ĐO BÓC KHỐI LƯỢNG HOÀN THÀNH ĐƯA VÀO QUYẾT TOÁN</v>
          </cell>
        </row>
      </sheetData>
      <sheetData sheetId="5827">
        <row r="4">
          <cell r="A4" t="str">
            <v>BẢNG TÍNH TOÁN, ĐO BÓC KHỐI LƯỢNG HOÀN THÀNH ĐƯA VÀO QUYẾT TOÁN</v>
          </cell>
        </row>
      </sheetData>
      <sheetData sheetId="5828">
        <row r="4">
          <cell r="A4" t="str">
            <v>BẢNG TÍNH TOÁN, ĐO BÓC KHỐI LƯỢNG HOÀN THÀNH ĐƯA VÀO QUYẾT TOÁN</v>
          </cell>
        </row>
      </sheetData>
      <sheetData sheetId="5829">
        <row r="4">
          <cell r="A4" t="str">
            <v>BẢNG TÍNH TOÁN, ĐO BÓC KHỐI LƯỢNG HOÀN THÀNH ĐƯA VÀO QUYẾT TOÁN</v>
          </cell>
        </row>
      </sheetData>
      <sheetData sheetId="5830">
        <row r="4">
          <cell r="A4" t="str">
            <v>BẢNG TÍNH TOÁN, ĐO BÓC KHỐI LƯỢNG HOÀN THÀNH ĐƯA VÀO QUYẾT TOÁN</v>
          </cell>
        </row>
      </sheetData>
      <sheetData sheetId="5831">
        <row r="4">
          <cell r="A4" t="str">
            <v>BẢNG TÍNH TOÁN, ĐO BÓC KHỐI LƯỢNG HOÀN THÀNH ĐƯA VÀO QUYẾT TOÁN</v>
          </cell>
        </row>
      </sheetData>
      <sheetData sheetId="5832">
        <row r="4">
          <cell r="A4" t="str">
            <v>BẢNG TÍNH TOÁN, ĐO BÓC KHỐI LƯỢNG HOÀN THÀNH ĐƯA VÀO QUYẾT TOÁN</v>
          </cell>
        </row>
      </sheetData>
      <sheetData sheetId="5833">
        <row r="4">
          <cell r="A4" t="str">
            <v>BẢNG TÍNH TOÁN, ĐO BÓC KHỐI LƯỢNG HOÀN THÀNH ĐƯA VÀO QUYẾT TOÁN</v>
          </cell>
        </row>
      </sheetData>
      <sheetData sheetId="5834">
        <row r="4">
          <cell r="A4" t="str">
            <v>BẢNG TÍNH TOÁN, ĐO BÓC KHỐI LƯỢNG HOÀN THÀNH ĐƯA VÀO QUYẾT TOÁN</v>
          </cell>
        </row>
      </sheetData>
      <sheetData sheetId="5835">
        <row r="4">
          <cell r="A4" t="str">
            <v>BẢNG TÍNH TOÁN, ĐO BÓC KHỐI LƯỢNG HOÀN THÀNH ĐƯA VÀO QUYẾT TOÁN</v>
          </cell>
        </row>
      </sheetData>
      <sheetData sheetId="5836">
        <row r="4">
          <cell r="A4" t="str">
            <v>BẢNG TÍNH TOÁN, ĐO BÓC KHỐI LƯỢNG HOÀN THÀNH ĐƯA VÀO QUYẾT TOÁN</v>
          </cell>
        </row>
      </sheetData>
      <sheetData sheetId="5837">
        <row r="4">
          <cell r="A4" t="str">
            <v>BẢNG TÍNH TOÁN, ĐO BÓC KHỐI LƯỢNG HOÀN THÀNH ĐƯA VÀO QUYẾT TOÁN</v>
          </cell>
        </row>
      </sheetData>
      <sheetData sheetId="5838">
        <row r="4">
          <cell r="A4" t="str">
            <v>BẢNG TÍNH TOÁN, ĐO BÓC KHỐI LƯỢNG HOÀN THÀNH ĐƯA VÀO QUYẾT TOÁN</v>
          </cell>
        </row>
      </sheetData>
      <sheetData sheetId="5839">
        <row r="4">
          <cell r="A4" t="str">
            <v>BẢNG TÍNH TOÁN, ĐO BÓC KHỐI LƯỢNG HOÀN THÀNH ĐƯA VÀO QUYẾT TOÁN</v>
          </cell>
        </row>
      </sheetData>
      <sheetData sheetId="5840">
        <row r="4">
          <cell r="A4" t="str">
            <v>BẢNG TÍNH TOÁN, ĐO BÓC KHỐI LƯỢNG HOÀN THÀNH ĐƯA VÀO QUYẾT TOÁN</v>
          </cell>
        </row>
      </sheetData>
      <sheetData sheetId="5841">
        <row r="4">
          <cell r="A4" t="str">
            <v>BẢNG TÍNH TOÁN, ĐO BÓC KHỐI LƯỢNG HOÀN THÀNH ĐƯA VÀO QUYẾT TOÁN</v>
          </cell>
        </row>
      </sheetData>
      <sheetData sheetId="5842">
        <row r="4">
          <cell r="A4" t="str">
            <v>BẢNG TÍNH TOÁN, ĐO BÓC KHỐI LƯỢNG HOÀN THÀNH ĐƯA VÀO QUYẾT TOÁN</v>
          </cell>
        </row>
      </sheetData>
      <sheetData sheetId="5843">
        <row r="4">
          <cell r="A4" t="str">
            <v>BẢNG TÍNH TOÁN, ĐO BÓC KHỐI LƯỢNG HOÀN THÀNH ĐƯA VÀO QUYẾT TOÁN</v>
          </cell>
        </row>
      </sheetData>
      <sheetData sheetId="5844">
        <row r="4">
          <cell r="A4" t="str">
            <v>BẢNG TÍNH TOÁN, ĐO BÓC KHỐI LƯỢNG HOÀN THÀNH ĐƯA VÀO QUYẾT TOÁN</v>
          </cell>
        </row>
      </sheetData>
      <sheetData sheetId="5845">
        <row r="4">
          <cell r="A4" t="str">
            <v>BẢNG TÍNH TOÁN, ĐO BÓC KHỐI LƯỢNG HOÀN THÀNH ĐƯA VÀO QUYẾT TOÁN</v>
          </cell>
        </row>
      </sheetData>
      <sheetData sheetId="5846">
        <row r="4">
          <cell r="A4" t="str">
            <v>BẢNG TÍNH TOÁN, ĐO BÓC KHỐI LƯỢNG HOÀN THÀNH ĐƯA VÀO QUYẾT TOÁN</v>
          </cell>
        </row>
      </sheetData>
      <sheetData sheetId="5847">
        <row r="4">
          <cell r="A4" t="str">
            <v>BẢNG TÍNH TOÁN, ĐO BÓC KHỐI LƯỢNG HOÀN THÀNH ĐƯA VÀO QUYẾT TOÁN</v>
          </cell>
        </row>
      </sheetData>
      <sheetData sheetId="5848">
        <row r="4">
          <cell r="A4" t="str">
            <v>BẢNG TÍNH TOÁN, ĐO BÓC KHỐI LƯỢNG HOÀN THÀNH ĐƯA VÀO QUYẾT TOÁN</v>
          </cell>
        </row>
      </sheetData>
      <sheetData sheetId="5849">
        <row r="4">
          <cell r="A4" t="str">
            <v>BẢNG TÍNH TOÁN, ĐO BÓC KHỐI LƯỢNG HOÀN THÀNH ĐƯA VÀO QUYẾT TOÁN</v>
          </cell>
        </row>
      </sheetData>
      <sheetData sheetId="5850">
        <row r="4">
          <cell r="A4" t="str">
            <v>BẢNG TÍNH TOÁN, ĐO BÓC KHỐI LƯỢNG HOÀN THÀNH ĐƯA VÀO QUYẾT TOÁN</v>
          </cell>
        </row>
      </sheetData>
      <sheetData sheetId="5851">
        <row r="4">
          <cell r="A4" t="str">
            <v>BẢNG TÍNH TOÁN, ĐO BÓC KHỐI LƯỢNG HOÀN THÀNH ĐƯA VÀO QUYẾT TOÁN</v>
          </cell>
        </row>
      </sheetData>
      <sheetData sheetId="5852">
        <row r="4">
          <cell r="A4" t="str">
            <v>BẢNG TÍNH TOÁN, ĐO BÓC KHỐI LƯỢNG HOÀN THÀNH ĐƯA VÀO QUYẾT TOÁN</v>
          </cell>
        </row>
      </sheetData>
      <sheetData sheetId="5853">
        <row r="4">
          <cell r="A4" t="str">
            <v>BẢNG TÍNH TOÁN, ĐO BÓC KHỐI LƯỢNG HOÀN THÀNH ĐƯA VÀO QUYẾT TOÁN</v>
          </cell>
        </row>
      </sheetData>
      <sheetData sheetId="5854">
        <row r="4">
          <cell r="A4" t="str">
            <v>BẢNG TÍNH TOÁN, ĐO BÓC KHỐI LƯỢNG HOÀN THÀNH ĐƯA VÀO QUYẾT TOÁN</v>
          </cell>
        </row>
      </sheetData>
      <sheetData sheetId="5855">
        <row r="4">
          <cell r="A4" t="str">
            <v>BẢNG TÍNH TOÁN, ĐO BÓC KHỐI LƯỢNG HOÀN THÀNH ĐƯA VÀO QUYẾT TOÁN</v>
          </cell>
        </row>
      </sheetData>
      <sheetData sheetId="5856">
        <row r="4">
          <cell r="A4" t="str">
            <v>BẢNG TÍNH TOÁN, ĐO BÓC KHỐI LƯỢNG HOÀN THÀNH ĐƯA VÀO QUYẾT TOÁN</v>
          </cell>
        </row>
      </sheetData>
      <sheetData sheetId="5857">
        <row r="4">
          <cell r="A4" t="str">
            <v>BẢNG TÍNH TOÁN, ĐO BÓC KHỐI LƯỢNG HOÀN THÀNH ĐƯA VÀO QUYẾT TOÁN</v>
          </cell>
        </row>
      </sheetData>
      <sheetData sheetId="5858">
        <row r="4">
          <cell r="A4" t="str">
            <v>BẢNG TÍNH TOÁN, ĐO BÓC KHỐI LƯỢNG HOÀN THÀNH ĐƯA VÀO QUYẾT TOÁN</v>
          </cell>
        </row>
      </sheetData>
      <sheetData sheetId="5859">
        <row r="4">
          <cell r="A4" t="str">
            <v>BẢNG TÍNH TOÁN, ĐO BÓC KHỐI LƯỢNG HOÀN THÀNH ĐƯA VÀO QUYẾT TOÁN</v>
          </cell>
        </row>
      </sheetData>
      <sheetData sheetId="5860">
        <row r="4">
          <cell r="A4" t="str">
            <v>BẢNG TÍNH TOÁN, ĐO BÓC KHỐI LƯỢNG HOÀN THÀNH ĐƯA VÀO QUYẾT TOÁN</v>
          </cell>
        </row>
      </sheetData>
      <sheetData sheetId="5861">
        <row r="4">
          <cell r="A4" t="str">
            <v>BẢNG TÍNH TOÁN, ĐO BÓC KHỐI LƯỢNG HOÀN THÀNH ĐƯA VÀO QUYẾT TOÁN</v>
          </cell>
        </row>
      </sheetData>
      <sheetData sheetId="5862">
        <row r="4">
          <cell r="A4" t="str">
            <v>BẢNG TÍNH TOÁN, ĐO BÓC KHỐI LƯỢNG HOÀN THÀNH ĐƯA VÀO QUYẾT TOÁN</v>
          </cell>
        </row>
      </sheetData>
      <sheetData sheetId="5863">
        <row r="4">
          <cell r="A4" t="str">
            <v>BẢNG TÍNH TOÁN, ĐO BÓC KHỐI LƯỢNG HOÀN THÀNH ĐƯA VÀO QUYẾT TOÁN</v>
          </cell>
        </row>
      </sheetData>
      <sheetData sheetId="5864">
        <row r="4">
          <cell r="A4" t="str">
            <v>BẢNG TÍNH TOÁN, ĐO BÓC KHỐI LƯỢNG HOÀN THÀNH ĐƯA VÀO QUYẾT TOÁN</v>
          </cell>
        </row>
      </sheetData>
      <sheetData sheetId="5865">
        <row r="4">
          <cell r="A4" t="str">
            <v>BẢNG TÍNH TOÁN, ĐO BÓC KHỐI LƯỢNG HOÀN THÀNH ĐƯA VÀO QUYẾT TOÁN</v>
          </cell>
        </row>
      </sheetData>
      <sheetData sheetId="5866">
        <row r="4">
          <cell r="A4" t="str">
            <v>BẢNG TÍNH TOÁN, ĐO BÓC KHỐI LƯỢNG HOÀN THÀNH ĐƯA VÀO QUYẾT TOÁN</v>
          </cell>
        </row>
      </sheetData>
      <sheetData sheetId="5867">
        <row r="4">
          <cell r="A4" t="str">
            <v>BẢNG TÍNH TOÁN, ĐO BÓC KHỐI LƯỢNG HOÀN THÀNH ĐƯA VÀO QUYẾT TOÁN</v>
          </cell>
        </row>
      </sheetData>
      <sheetData sheetId="5868">
        <row r="4">
          <cell r="A4" t="str">
            <v>BẢNG TÍNH TOÁN, ĐO BÓC KHỐI LƯỢNG HOÀN THÀNH ĐƯA VÀO QUYẾT TOÁN</v>
          </cell>
        </row>
      </sheetData>
      <sheetData sheetId="5869">
        <row r="4">
          <cell r="A4" t="str">
            <v>BẢNG TÍNH TOÁN, ĐO BÓC KHỐI LƯỢNG HOÀN THÀNH ĐƯA VÀO QUYẾT TOÁN</v>
          </cell>
        </row>
      </sheetData>
      <sheetData sheetId="5870">
        <row r="4">
          <cell r="A4" t="str">
            <v>BẢNG TÍNH TOÁN, ĐO BÓC KHỐI LƯỢNG HOÀN THÀNH ĐƯA VÀO QUYẾT TOÁN</v>
          </cell>
        </row>
      </sheetData>
      <sheetData sheetId="5871">
        <row r="4">
          <cell r="A4" t="str">
            <v>BẢNG TÍNH TOÁN, ĐO BÓC KHỐI LƯỢNG HOÀN THÀNH ĐƯA VÀO QUYẾT TOÁN</v>
          </cell>
        </row>
      </sheetData>
      <sheetData sheetId="5872">
        <row r="4">
          <cell r="A4" t="str">
            <v>BẢNG TÍNH TOÁN, ĐO BÓC KHỐI LƯỢNG HOÀN THÀNH ĐƯA VÀO QUYẾT TOÁN</v>
          </cell>
        </row>
      </sheetData>
      <sheetData sheetId="5873">
        <row r="4">
          <cell r="A4" t="str">
            <v>BẢNG TÍNH TOÁN, ĐO BÓC KHỐI LƯỢNG HOÀN THÀNH ĐƯA VÀO QUYẾT TOÁN</v>
          </cell>
        </row>
      </sheetData>
      <sheetData sheetId="5874">
        <row r="4">
          <cell r="A4" t="str">
            <v>BẢNG TÍNH TOÁN, ĐO BÓC KHỐI LƯỢNG HOÀN THÀNH ĐƯA VÀO QUYẾT TOÁN</v>
          </cell>
        </row>
      </sheetData>
      <sheetData sheetId="5875">
        <row r="4">
          <cell r="A4" t="str">
            <v>BẢNG TÍNH TOÁN, ĐO BÓC KHỐI LƯỢNG HOÀN THÀNH ĐƯA VÀO QUYẾT TOÁN</v>
          </cell>
        </row>
      </sheetData>
      <sheetData sheetId="5876">
        <row r="4">
          <cell r="A4" t="str">
            <v>BẢNG TÍNH TOÁN, ĐO BÓC KHỐI LƯỢNG HOÀN THÀNH ĐƯA VÀO QUYẾT TOÁN</v>
          </cell>
        </row>
      </sheetData>
      <sheetData sheetId="5877">
        <row r="4">
          <cell r="A4" t="str">
            <v>BẢNG TÍNH TOÁN, ĐO BÓC KHỐI LƯỢNG HOÀN THÀNH ĐƯA VÀO QUYẾT TOÁN</v>
          </cell>
        </row>
      </sheetData>
      <sheetData sheetId="5878">
        <row r="4">
          <cell r="A4" t="str">
            <v>BẢNG TÍNH TOÁN, ĐO BÓC KHỐI LƯỢNG HOÀN THÀNH ĐƯA VÀO QUYẾT TOÁN</v>
          </cell>
        </row>
      </sheetData>
      <sheetData sheetId="5879">
        <row r="4">
          <cell r="A4" t="str">
            <v>BẢNG TÍNH TOÁN, ĐO BÓC KHỐI LƯỢNG HOÀN THÀNH ĐƯA VÀO QUYẾT TOÁN</v>
          </cell>
        </row>
      </sheetData>
      <sheetData sheetId="5880">
        <row r="4">
          <cell r="A4" t="str">
            <v>BẢNG TÍNH TOÁN, ĐO BÓC KHỐI LƯỢNG HOÀN THÀNH ĐƯA VÀO QUYẾT TOÁN</v>
          </cell>
        </row>
      </sheetData>
      <sheetData sheetId="5881">
        <row r="4">
          <cell r="A4" t="str">
            <v>BẢNG TÍNH TOÁN, ĐO BÓC KHỐI LƯỢNG HOÀN THÀNH ĐƯA VÀO QUYẾT TOÁN</v>
          </cell>
        </row>
      </sheetData>
      <sheetData sheetId="5882">
        <row r="4">
          <cell r="A4" t="str">
            <v>BẢNG TÍNH TOÁN, ĐO BÓC KHỐI LƯỢNG HOÀN THÀNH ĐƯA VÀO QUYẾT TOÁN</v>
          </cell>
        </row>
      </sheetData>
      <sheetData sheetId="5883">
        <row r="4">
          <cell r="A4" t="str">
            <v>BẢNG TÍNH TOÁN, ĐO BÓC KHỐI LƯỢNG HOÀN THÀNH ĐƯA VÀO QUYẾT TOÁN</v>
          </cell>
        </row>
      </sheetData>
      <sheetData sheetId="5884">
        <row r="4">
          <cell r="A4" t="str">
            <v>BẢNG TÍNH TOÁN, ĐO BÓC KHỐI LƯỢNG HOÀN THÀNH ĐƯA VÀO QUYẾT TOÁN</v>
          </cell>
        </row>
      </sheetData>
      <sheetData sheetId="5885">
        <row r="4">
          <cell r="A4" t="str">
            <v>BẢNG TÍNH TOÁN, ĐO BÓC KHỐI LƯỢNG HOÀN THÀNH ĐƯA VÀO QUYẾT TOÁN</v>
          </cell>
        </row>
      </sheetData>
      <sheetData sheetId="5886">
        <row r="4">
          <cell r="A4" t="str">
            <v>BẢNG TÍNH TOÁN, ĐO BÓC KHỐI LƯỢNG HOÀN THÀNH ĐƯA VÀO QUYẾT TOÁN</v>
          </cell>
        </row>
      </sheetData>
      <sheetData sheetId="5887">
        <row r="4">
          <cell r="A4" t="str">
            <v>BẢNG TÍNH TOÁN, ĐO BÓC KHỐI LƯỢNG HOÀN THÀNH ĐƯA VÀO QUYẾT TOÁN</v>
          </cell>
        </row>
      </sheetData>
      <sheetData sheetId="5888">
        <row r="4">
          <cell r="A4" t="str">
            <v>BẢNG TÍNH TOÁN, ĐO BÓC KHỐI LƯỢNG HOÀN THÀNH ĐƯA VÀO QUYẾT TOÁN</v>
          </cell>
        </row>
      </sheetData>
      <sheetData sheetId="5889">
        <row r="4">
          <cell r="A4" t="str">
            <v>BẢNG TÍNH TOÁN, ĐO BÓC KHỐI LƯỢNG HOÀN THÀNH ĐƯA VÀO QUYẾT TOÁN</v>
          </cell>
        </row>
      </sheetData>
      <sheetData sheetId="5890">
        <row r="4">
          <cell r="A4" t="str">
            <v>BẢNG TÍNH TOÁN, ĐO BÓC KHỐI LƯỢNG HOÀN THÀNH ĐƯA VÀO QUYẾT TOÁN</v>
          </cell>
        </row>
      </sheetData>
      <sheetData sheetId="5891">
        <row r="4">
          <cell r="A4" t="str">
            <v>BẢNG TÍNH TOÁN, ĐO BÓC KHỐI LƯỢNG HOÀN THÀNH ĐƯA VÀO QUYẾT TOÁN</v>
          </cell>
        </row>
      </sheetData>
      <sheetData sheetId="5892">
        <row r="4">
          <cell r="A4" t="str">
            <v>BẢNG TÍNH TOÁN, ĐO BÓC KHỐI LƯỢNG HOÀN THÀNH ĐƯA VÀO QUYẾT TOÁN</v>
          </cell>
        </row>
      </sheetData>
      <sheetData sheetId="5893">
        <row r="4">
          <cell r="A4" t="str">
            <v>BẢNG TÍNH TOÁN, ĐO BÓC KHỐI LƯỢNG HOÀN THÀNH ĐƯA VÀO QUYẾT TOÁN</v>
          </cell>
        </row>
      </sheetData>
      <sheetData sheetId="5894">
        <row r="4">
          <cell r="A4" t="str">
            <v>BẢNG TÍNH TOÁN, ĐO BÓC KHỐI LƯỢNG HOÀN THÀNH ĐƯA VÀO QUYẾT TOÁN</v>
          </cell>
        </row>
      </sheetData>
      <sheetData sheetId="5895">
        <row r="4">
          <cell r="A4" t="str">
            <v>BẢNG TÍNH TOÁN, ĐO BÓC KHỐI LƯỢNG HOÀN THÀNH ĐƯA VÀO QUYẾT TOÁN</v>
          </cell>
        </row>
      </sheetData>
      <sheetData sheetId="5896">
        <row r="4">
          <cell r="A4" t="str">
            <v>BẢNG TÍNH TOÁN, ĐO BÓC KHỐI LƯỢNG HOÀN THÀNH ĐƯA VÀO QUYẾT TOÁN</v>
          </cell>
        </row>
      </sheetData>
      <sheetData sheetId="5897">
        <row r="4">
          <cell r="A4" t="str">
            <v>BẢNG TÍNH TOÁN, ĐO BÓC KHỐI LƯỢNG HOÀN THÀNH ĐƯA VÀO QUYẾT TOÁN</v>
          </cell>
        </row>
      </sheetData>
      <sheetData sheetId="5898">
        <row r="4">
          <cell r="A4" t="str">
            <v>BẢNG TÍNH TOÁN, ĐO BÓC KHỐI LƯỢNG HOÀN THÀNH ĐƯA VÀO QUYẾT TOÁN</v>
          </cell>
        </row>
      </sheetData>
      <sheetData sheetId="5899">
        <row r="4">
          <cell r="A4" t="str">
            <v>BẢNG TÍNH TOÁN, ĐO BÓC KHỐI LƯỢNG HOÀN THÀNH ĐƯA VÀO QUYẾT TOÁN</v>
          </cell>
        </row>
      </sheetData>
      <sheetData sheetId="5900">
        <row r="4">
          <cell r="A4" t="str">
            <v>BẢNG TÍNH TOÁN, ĐO BÓC KHỐI LƯỢNG HOÀN THÀNH ĐƯA VÀO QUYẾT TOÁN</v>
          </cell>
        </row>
      </sheetData>
      <sheetData sheetId="5901">
        <row r="4">
          <cell r="A4" t="str">
            <v>BẢNG TÍNH TOÁN, ĐO BÓC KHỐI LƯỢNG HOÀN THÀNH ĐƯA VÀO QUYẾT TOÁN</v>
          </cell>
        </row>
      </sheetData>
      <sheetData sheetId="5902">
        <row r="4">
          <cell r="A4" t="str">
            <v>BẢNG TÍNH TOÁN, ĐO BÓC KHỐI LƯỢNG HOÀN THÀNH ĐƯA VÀO QUYẾT TOÁN</v>
          </cell>
        </row>
      </sheetData>
      <sheetData sheetId="5903">
        <row r="4">
          <cell r="A4" t="str">
            <v>BẢNG TÍNH TOÁN, ĐO BÓC KHỐI LƯỢNG HOÀN THÀNH ĐƯA VÀO QUYẾT TOÁN</v>
          </cell>
        </row>
      </sheetData>
      <sheetData sheetId="5904">
        <row r="4">
          <cell r="A4" t="str">
            <v>BẢNG TÍNH TOÁN, ĐO BÓC KHỐI LƯỢNG HOÀN THÀNH ĐƯA VÀO QUYẾT TOÁN</v>
          </cell>
        </row>
      </sheetData>
      <sheetData sheetId="5905">
        <row r="4">
          <cell r="A4" t="str">
            <v>BẢNG TÍNH TOÁN, ĐO BÓC KHỐI LƯỢNG HOÀN THÀNH ĐƯA VÀO QUYẾT TOÁN</v>
          </cell>
        </row>
      </sheetData>
      <sheetData sheetId="5906">
        <row r="4">
          <cell r="A4" t="str">
            <v>BẢNG TÍNH TOÁN, ĐO BÓC KHỐI LƯỢNG HOÀN THÀNH ĐƯA VÀO QUYẾT TOÁN</v>
          </cell>
        </row>
      </sheetData>
      <sheetData sheetId="5907">
        <row r="4">
          <cell r="A4" t="str">
            <v>BẢNG TÍNH TOÁN, ĐO BÓC KHỐI LƯỢNG HOÀN THÀNH ĐƯA VÀO QUYẾT TOÁN</v>
          </cell>
        </row>
      </sheetData>
      <sheetData sheetId="5908">
        <row r="4">
          <cell r="A4" t="str">
            <v>BẢNG TÍNH TOÁN, ĐO BÓC KHỐI LƯỢNG HOÀN THÀNH ĐƯA VÀO QUYẾT TOÁN</v>
          </cell>
        </row>
      </sheetData>
      <sheetData sheetId="5909">
        <row r="4">
          <cell r="A4" t="str">
            <v>BẢNG TÍNH TOÁN, ĐO BÓC KHỐI LƯỢNG HOÀN THÀNH ĐƯA VÀO QUYẾT TOÁN</v>
          </cell>
        </row>
      </sheetData>
      <sheetData sheetId="5910">
        <row r="4">
          <cell r="A4" t="str">
            <v>BẢNG TÍNH TOÁN, ĐO BÓC KHỐI LƯỢNG HOÀN THÀNH ĐƯA VÀO QUYẾT TOÁN</v>
          </cell>
        </row>
      </sheetData>
      <sheetData sheetId="5911">
        <row r="4">
          <cell r="A4" t="str">
            <v>BẢNG TÍNH TOÁN, ĐO BÓC KHỐI LƯỢNG HOÀN THÀNH ĐƯA VÀO QUYẾT TOÁN</v>
          </cell>
        </row>
      </sheetData>
      <sheetData sheetId="5912">
        <row r="4">
          <cell r="A4" t="str">
            <v>BẢNG TÍNH TOÁN, ĐO BÓC KHỐI LƯỢNG HOÀN THÀNH ĐƯA VÀO QUYẾT TOÁN</v>
          </cell>
        </row>
      </sheetData>
      <sheetData sheetId="5913">
        <row r="4">
          <cell r="A4" t="str">
            <v>BẢNG TÍNH TOÁN, ĐO BÓC KHỐI LƯỢNG HOÀN THÀNH ĐƯA VÀO QUYẾT TOÁN</v>
          </cell>
        </row>
      </sheetData>
      <sheetData sheetId="5914">
        <row r="4">
          <cell r="A4" t="str">
            <v>BẢNG TÍNH TOÁN, ĐO BÓC KHỐI LƯỢNG HOÀN THÀNH ĐƯA VÀO QUYẾT TOÁN</v>
          </cell>
        </row>
      </sheetData>
      <sheetData sheetId="5915">
        <row r="4">
          <cell r="A4" t="str">
            <v>BẢNG TÍNH TOÁN, ĐO BÓC KHỐI LƯỢNG HOÀN THÀNH ĐƯA VÀO QUYẾT TOÁN</v>
          </cell>
        </row>
      </sheetData>
      <sheetData sheetId="5916">
        <row r="4">
          <cell r="A4" t="str">
            <v>BẢNG TÍNH TOÁN, ĐO BÓC KHỐI LƯỢNG HOÀN THÀNH ĐƯA VÀO QUYẾT TOÁN</v>
          </cell>
        </row>
      </sheetData>
      <sheetData sheetId="5917">
        <row r="4">
          <cell r="A4" t="str">
            <v>BẢNG TÍNH TOÁN, ĐO BÓC KHỐI LƯỢNG HOÀN THÀNH ĐƯA VÀO QUYẾT TOÁN</v>
          </cell>
        </row>
      </sheetData>
      <sheetData sheetId="5918">
        <row r="4">
          <cell r="A4" t="str">
            <v>BẢNG TÍNH TOÁN, ĐO BÓC KHỐI LƯỢNG HOÀN THÀNH ĐƯA VÀO QUYẾT TOÁN</v>
          </cell>
        </row>
      </sheetData>
      <sheetData sheetId="5919">
        <row r="4">
          <cell r="A4" t="str">
            <v>BẢNG TÍNH TOÁN, ĐO BÓC KHỐI LƯỢNG HOÀN THÀNH ĐƯA VÀO QUYẾT TOÁN</v>
          </cell>
        </row>
      </sheetData>
      <sheetData sheetId="5920">
        <row r="4">
          <cell r="A4" t="str">
            <v>BẢNG TÍNH TOÁN, ĐO BÓC KHỐI LƯỢNG HOÀN THÀNH ĐƯA VÀO QUYẾT TOÁN</v>
          </cell>
        </row>
      </sheetData>
      <sheetData sheetId="5921">
        <row r="4">
          <cell r="A4" t="str">
            <v>BẢNG TÍNH TOÁN, ĐO BÓC KHỐI LƯỢNG HOÀN THÀNH ĐƯA VÀO QUYẾT TOÁN</v>
          </cell>
        </row>
      </sheetData>
      <sheetData sheetId="5922">
        <row r="4">
          <cell r="A4" t="str">
            <v>BẢNG TÍNH TOÁN, ĐO BÓC KHỐI LƯỢNG HOÀN THÀNH ĐƯA VÀO QUYẾT TOÁN</v>
          </cell>
        </row>
      </sheetData>
      <sheetData sheetId="5923">
        <row r="4">
          <cell r="A4" t="str">
            <v>BẢNG TÍNH TOÁN, ĐO BÓC KHỐI LƯỢNG HOÀN THÀNH ĐƯA VÀO QUYẾT TOÁN</v>
          </cell>
        </row>
      </sheetData>
      <sheetData sheetId="5924">
        <row r="4">
          <cell r="A4" t="str">
            <v>BẢNG TÍNH TOÁN, ĐO BÓC KHỐI LƯỢNG HOÀN THÀNH ĐƯA VÀO QUYẾT TOÁN</v>
          </cell>
        </row>
      </sheetData>
      <sheetData sheetId="5925">
        <row r="4">
          <cell r="A4" t="str">
            <v>BẢNG TÍNH TOÁN, ĐO BÓC KHỐI LƯỢNG HOÀN THÀNH ĐƯA VÀO QUYẾT TOÁN</v>
          </cell>
        </row>
      </sheetData>
      <sheetData sheetId="5926">
        <row r="4">
          <cell r="A4" t="str">
            <v>BẢNG TÍNH TOÁN, ĐO BÓC KHỐI LƯỢNG HOÀN THÀNH ĐƯA VÀO QUYẾT TOÁN</v>
          </cell>
        </row>
      </sheetData>
      <sheetData sheetId="5927">
        <row r="4">
          <cell r="A4" t="str">
            <v>BẢNG TÍNH TOÁN, ĐO BÓC KHỐI LƯỢNG HOÀN THÀNH ĐƯA VÀO QUYẾT TOÁN</v>
          </cell>
        </row>
      </sheetData>
      <sheetData sheetId="5928">
        <row r="4">
          <cell r="A4" t="str">
            <v>BẢNG TÍNH TOÁN, ĐO BÓC KHỐI LƯỢNG HOÀN THÀNH ĐƯA VÀO QUYẾT TOÁN</v>
          </cell>
        </row>
      </sheetData>
      <sheetData sheetId="5929">
        <row r="4">
          <cell r="A4" t="str">
            <v>BẢNG TÍNH TOÁN, ĐO BÓC KHỐI LƯỢNG HOÀN THÀNH ĐƯA VÀO QUYẾT TOÁN</v>
          </cell>
        </row>
      </sheetData>
      <sheetData sheetId="5930">
        <row r="4">
          <cell r="A4" t="str">
            <v>BẢNG TÍNH TOÁN, ĐO BÓC KHỐI LƯỢNG HOÀN THÀNH ĐƯA VÀO QUYẾT TOÁN</v>
          </cell>
        </row>
      </sheetData>
      <sheetData sheetId="5931">
        <row r="4">
          <cell r="A4" t="str">
            <v>BẢNG TÍNH TOÁN, ĐO BÓC KHỐI LƯỢNG HOÀN THÀNH ĐƯA VÀO QUYẾT TOÁN</v>
          </cell>
        </row>
      </sheetData>
      <sheetData sheetId="5932">
        <row r="4">
          <cell r="A4" t="str">
            <v>BẢNG TÍNH TOÁN, ĐO BÓC KHỐI LƯỢNG HOÀN THÀNH ĐƯA VÀO QUYẾT TOÁN</v>
          </cell>
        </row>
      </sheetData>
      <sheetData sheetId="5933">
        <row r="4">
          <cell r="A4" t="str">
            <v>BẢNG TÍNH TOÁN, ĐO BÓC KHỐI LƯỢNG HOÀN THÀNH ĐƯA VÀO QUYẾT TOÁN</v>
          </cell>
        </row>
      </sheetData>
      <sheetData sheetId="5934">
        <row r="4">
          <cell r="A4" t="str">
            <v>BẢNG TÍNH TOÁN, ĐO BÓC KHỐI LƯỢNG HOÀN THÀNH ĐƯA VÀO QUYẾT TOÁN</v>
          </cell>
        </row>
      </sheetData>
      <sheetData sheetId="5935">
        <row r="4">
          <cell r="A4" t="str">
            <v>BẢNG TÍNH TOÁN, ĐO BÓC KHỐI LƯỢNG HOÀN THÀNH ĐƯA VÀO QUYẾT TOÁN</v>
          </cell>
        </row>
      </sheetData>
      <sheetData sheetId="5936">
        <row r="4">
          <cell r="A4" t="str">
            <v>BẢNG TÍNH TOÁN, ĐO BÓC KHỐI LƯỢNG HOÀN THÀNH ĐƯA VÀO QUYẾT TOÁN</v>
          </cell>
        </row>
      </sheetData>
      <sheetData sheetId="5937">
        <row r="4">
          <cell r="A4" t="str">
            <v>BẢNG TÍNH TOÁN, ĐO BÓC KHỐI LƯỢNG HOÀN THÀNH ĐƯA VÀO QUYẾT TOÁN</v>
          </cell>
        </row>
      </sheetData>
      <sheetData sheetId="5938">
        <row r="4">
          <cell r="A4" t="str">
            <v>BẢNG TÍNH TOÁN, ĐO BÓC KHỐI LƯỢNG HOÀN THÀNH ĐƯA VÀO QUYẾT TOÁN</v>
          </cell>
        </row>
      </sheetData>
      <sheetData sheetId="5939">
        <row r="4">
          <cell r="A4" t="str">
            <v>BẢNG TÍNH TOÁN, ĐO BÓC KHỐI LƯỢNG HOÀN THÀNH ĐƯA VÀO QUYẾT TOÁN</v>
          </cell>
        </row>
      </sheetData>
      <sheetData sheetId="5940">
        <row r="4">
          <cell r="A4" t="str">
            <v>BẢNG TÍNH TOÁN, ĐO BÓC KHỐI LƯỢNG HOÀN THÀNH ĐƯA VÀO QUYẾT TOÁN</v>
          </cell>
        </row>
      </sheetData>
      <sheetData sheetId="5941">
        <row r="4">
          <cell r="A4" t="str">
            <v>BẢNG TÍNH TOÁN, ĐO BÓC KHỐI LƯỢNG HOÀN THÀNH ĐƯA VÀO QUYẾT TOÁN</v>
          </cell>
        </row>
      </sheetData>
      <sheetData sheetId="5942">
        <row r="4">
          <cell r="A4" t="str">
            <v>BẢNG TÍNH TOÁN, ĐO BÓC KHỐI LƯỢNG HOÀN THÀNH ĐƯA VÀO QUYẾT TOÁN</v>
          </cell>
        </row>
      </sheetData>
      <sheetData sheetId="5943">
        <row r="4">
          <cell r="A4" t="str">
            <v>BẢNG TÍNH TOÁN, ĐO BÓC KHỐI LƯỢNG HOÀN THÀNH ĐƯA VÀO QUYẾT TOÁN</v>
          </cell>
        </row>
      </sheetData>
      <sheetData sheetId="5944">
        <row r="4">
          <cell r="A4" t="str">
            <v>BẢNG TÍNH TOÁN, ĐO BÓC KHỐI LƯỢNG HOÀN THÀNH ĐƯA VÀO QUYẾT TOÁN</v>
          </cell>
        </row>
      </sheetData>
      <sheetData sheetId="5945">
        <row r="4">
          <cell r="A4" t="str">
            <v>BẢNG TÍNH TOÁN, ĐO BÓC KHỐI LƯỢNG HOÀN THÀNH ĐƯA VÀO QUYẾT TOÁN</v>
          </cell>
        </row>
      </sheetData>
      <sheetData sheetId="5946">
        <row r="4">
          <cell r="A4" t="str">
            <v>BẢNG TÍNH TOÁN, ĐO BÓC KHỐI LƯỢNG HOÀN THÀNH ĐƯA VÀO QUYẾT TOÁN</v>
          </cell>
        </row>
      </sheetData>
      <sheetData sheetId="5947">
        <row r="4">
          <cell r="A4" t="str">
            <v>BẢNG TÍNH TOÁN, ĐO BÓC KHỐI LƯỢNG HOÀN THÀNH ĐƯA VÀO QUYẾT TOÁN</v>
          </cell>
        </row>
      </sheetData>
      <sheetData sheetId="5948">
        <row r="4">
          <cell r="A4" t="str">
            <v>BẢNG TÍNH TOÁN, ĐO BÓC KHỐI LƯỢNG HOÀN THÀNH ĐƯA VÀO QUYẾT TOÁN</v>
          </cell>
        </row>
      </sheetData>
      <sheetData sheetId="5949">
        <row r="4">
          <cell r="A4" t="str">
            <v>BẢNG TÍNH TOÁN, ĐO BÓC KHỐI LƯỢNG HOÀN THÀNH ĐƯA VÀO QUYẾT TOÁN</v>
          </cell>
        </row>
      </sheetData>
      <sheetData sheetId="5950">
        <row r="4">
          <cell r="A4" t="str">
            <v>BẢNG TÍNH TOÁN, ĐO BÓC KHỐI LƯỢNG HOÀN THÀNH ĐƯA VÀO QUYẾT TOÁN</v>
          </cell>
        </row>
      </sheetData>
      <sheetData sheetId="5951">
        <row r="4">
          <cell r="A4" t="str">
            <v>BẢNG TÍNH TOÁN, ĐO BÓC KHỐI LƯỢNG HOÀN THÀNH ĐƯA VÀO QUYẾT TOÁN</v>
          </cell>
        </row>
      </sheetData>
      <sheetData sheetId="5952">
        <row r="4">
          <cell r="A4" t="str">
            <v>BẢNG TÍNH TOÁN, ĐO BÓC KHỐI LƯỢNG HOÀN THÀNH ĐƯA VÀO QUYẾT TOÁN</v>
          </cell>
        </row>
      </sheetData>
      <sheetData sheetId="5953">
        <row r="4">
          <cell r="A4" t="str">
            <v>BẢNG TÍNH TOÁN, ĐO BÓC KHỐI LƯỢNG HOÀN THÀNH ĐƯA VÀO QUYẾT TOÁN</v>
          </cell>
        </row>
      </sheetData>
      <sheetData sheetId="5954">
        <row r="4">
          <cell r="A4" t="str">
            <v>BẢNG TÍNH TOÁN, ĐO BÓC KHỐI LƯỢNG HOÀN THÀNH ĐƯA VÀO QUYẾT TOÁN</v>
          </cell>
        </row>
      </sheetData>
      <sheetData sheetId="5955">
        <row r="4">
          <cell r="A4" t="str">
            <v>BẢNG TÍNH TOÁN, ĐO BÓC KHỐI LƯỢNG HOÀN THÀNH ĐƯA VÀO QUYẾT TOÁN</v>
          </cell>
        </row>
      </sheetData>
      <sheetData sheetId="5956">
        <row r="4">
          <cell r="A4" t="str">
            <v>BẢNG TÍNH TOÁN, ĐO BÓC KHỐI LƯỢNG HOÀN THÀNH ĐƯA VÀO QUYẾT TOÁN</v>
          </cell>
        </row>
      </sheetData>
      <sheetData sheetId="5957">
        <row r="4">
          <cell r="A4" t="str">
            <v>BẢNG TÍNH TOÁN, ĐO BÓC KHỐI LƯỢNG HOÀN THÀNH ĐƯA VÀO QUYẾT TOÁN</v>
          </cell>
        </row>
      </sheetData>
      <sheetData sheetId="5958">
        <row r="4">
          <cell r="A4" t="str">
            <v>BẢNG TÍNH TOÁN, ĐO BÓC KHỐI LƯỢNG HOÀN THÀNH ĐƯA VÀO QUYẾT TOÁN</v>
          </cell>
        </row>
      </sheetData>
      <sheetData sheetId="5959">
        <row r="4">
          <cell r="A4" t="str">
            <v>BẢNG TÍNH TOÁN, ĐO BÓC KHỐI LƯỢNG HOÀN THÀNH ĐƯA VÀO QUYẾT TOÁN</v>
          </cell>
        </row>
      </sheetData>
      <sheetData sheetId="5960">
        <row r="4">
          <cell r="A4" t="str">
            <v>BẢNG TÍNH TOÁN, ĐO BÓC KHỐI LƯỢNG HOÀN THÀNH ĐƯA VÀO QUYẾT TOÁN</v>
          </cell>
        </row>
      </sheetData>
      <sheetData sheetId="5961">
        <row r="4">
          <cell r="A4" t="str">
            <v>BẢNG TÍNH TOÁN, ĐO BÓC KHỐI LƯỢNG HOÀN THÀNH ĐƯA VÀO QUYẾT TOÁN</v>
          </cell>
        </row>
      </sheetData>
      <sheetData sheetId="5962">
        <row r="4">
          <cell r="A4" t="str">
            <v>BẢNG TÍNH TOÁN, ĐO BÓC KHỐI LƯỢNG HOÀN THÀNH ĐƯA VÀO QUYẾT TOÁN</v>
          </cell>
        </row>
      </sheetData>
      <sheetData sheetId="5963">
        <row r="4">
          <cell r="A4" t="str">
            <v>BẢNG TÍNH TOÁN, ĐO BÓC KHỐI LƯỢNG HOÀN THÀNH ĐƯA VÀO QUYẾT TOÁN</v>
          </cell>
        </row>
      </sheetData>
      <sheetData sheetId="5964">
        <row r="4">
          <cell r="A4" t="str">
            <v>BẢNG TÍNH TOÁN, ĐO BÓC KHỐI LƯỢNG HOÀN THÀNH ĐƯA VÀO QUYẾT TOÁN</v>
          </cell>
        </row>
      </sheetData>
      <sheetData sheetId="5965">
        <row r="4">
          <cell r="A4" t="str">
            <v>BẢNG TÍNH TOÁN, ĐO BÓC KHỐI LƯỢNG HOÀN THÀNH ĐƯA VÀO QUYẾT TOÁN</v>
          </cell>
        </row>
      </sheetData>
      <sheetData sheetId="5966">
        <row r="4">
          <cell r="A4" t="str">
            <v>BẢNG TÍNH TOÁN, ĐO BÓC KHỐI LƯỢNG HOÀN THÀNH ĐƯA VÀO QUYẾT TOÁN</v>
          </cell>
        </row>
      </sheetData>
      <sheetData sheetId="5967">
        <row r="4">
          <cell r="A4" t="str">
            <v>BẢNG TÍNH TOÁN, ĐO BÓC KHỐI LƯỢNG HOÀN THÀNH ĐƯA VÀO QUYẾT TOÁN</v>
          </cell>
        </row>
      </sheetData>
      <sheetData sheetId="5968">
        <row r="4">
          <cell r="A4" t="str">
            <v>BẢNG TÍNH TOÁN, ĐO BÓC KHỐI LƯỢNG HOÀN THÀNH ĐƯA VÀO QUYẾT TOÁN</v>
          </cell>
        </row>
      </sheetData>
      <sheetData sheetId="5969">
        <row r="4">
          <cell r="A4" t="str">
            <v>BẢNG TÍNH TOÁN, ĐO BÓC KHỐI LƯỢNG HOÀN THÀNH ĐƯA VÀO QUYẾT TOÁN</v>
          </cell>
        </row>
      </sheetData>
      <sheetData sheetId="5970">
        <row r="4">
          <cell r="A4" t="str">
            <v>BẢNG TÍNH TOÁN, ĐO BÓC KHỐI LƯỢNG HOÀN THÀNH ĐƯA VÀO QUYẾT TOÁN</v>
          </cell>
        </row>
      </sheetData>
      <sheetData sheetId="5971">
        <row r="4">
          <cell r="A4" t="str">
            <v>BẢNG TÍNH TOÁN, ĐO BÓC KHỐI LƯỢNG HOÀN THÀNH ĐƯA VÀO QUYẾT TOÁN</v>
          </cell>
        </row>
      </sheetData>
      <sheetData sheetId="5972">
        <row r="4">
          <cell r="A4" t="str">
            <v>BẢNG TÍNH TOÁN, ĐO BÓC KHỐI LƯỢNG HOÀN THÀNH ĐƯA VÀO QUYẾT TOÁN</v>
          </cell>
        </row>
      </sheetData>
      <sheetData sheetId="5973">
        <row r="4">
          <cell r="A4" t="str">
            <v>BẢNG TÍNH TOÁN, ĐO BÓC KHỐI LƯỢNG HOÀN THÀNH ĐƯA VÀO QUYẾT TOÁN</v>
          </cell>
        </row>
      </sheetData>
      <sheetData sheetId="5974">
        <row r="4">
          <cell r="A4" t="str">
            <v>BẢNG TÍNH TOÁN, ĐO BÓC KHỐI LƯỢNG HOÀN THÀNH ĐƯA VÀO QUYẾT TOÁN</v>
          </cell>
        </row>
      </sheetData>
      <sheetData sheetId="5975">
        <row r="4">
          <cell r="A4" t="str">
            <v>BẢNG TÍNH TOÁN, ĐO BÓC KHỐI LƯỢNG HOÀN THÀNH ĐƯA VÀO QUYẾT TOÁN</v>
          </cell>
        </row>
      </sheetData>
      <sheetData sheetId="5976">
        <row r="4">
          <cell r="A4" t="str">
            <v>BẢNG TÍNH TOÁN, ĐO BÓC KHỐI LƯỢNG HOÀN THÀNH ĐƯA VÀO QUYẾT TOÁN</v>
          </cell>
        </row>
      </sheetData>
      <sheetData sheetId="5977">
        <row r="4">
          <cell r="A4" t="str">
            <v>BẢNG TÍNH TOÁN, ĐO BÓC KHỐI LƯỢNG HOÀN THÀNH ĐƯA VÀO QUYẾT TOÁN</v>
          </cell>
        </row>
      </sheetData>
      <sheetData sheetId="5978">
        <row r="4">
          <cell r="A4" t="str">
            <v>BẢNG TÍNH TOÁN, ĐO BÓC KHỐI LƯỢNG HOÀN THÀNH ĐƯA VÀO QUYẾT TOÁN</v>
          </cell>
        </row>
      </sheetData>
      <sheetData sheetId="5979">
        <row r="4">
          <cell r="A4" t="str">
            <v>BẢNG TÍNH TOÁN, ĐO BÓC KHỐI LƯỢNG HOÀN THÀNH ĐƯA VÀO QUYẾT TOÁN</v>
          </cell>
        </row>
      </sheetData>
      <sheetData sheetId="5980">
        <row r="4">
          <cell r="A4" t="str">
            <v>BẢNG TÍNH TOÁN, ĐO BÓC KHỐI LƯỢNG HOÀN THÀNH ĐƯA VÀO QUYẾT TOÁN</v>
          </cell>
        </row>
      </sheetData>
      <sheetData sheetId="5981">
        <row r="4">
          <cell r="A4" t="str">
            <v>BẢNG TÍNH TOÁN, ĐO BÓC KHỐI LƯỢNG HOÀN THÀNH ĐƯA VÀO QUYẾT TOÁN</v>
          </cell>
        </row>
      </sheetData>
      <sheetData sheetId="5982">
        <row r="4">
          <cell r="A4" t="str">
            <v>BẢNG TÍNH TOÁN, ĐO BÓC KHỐI LƯỢNG HOÀN THÀNH ĐƯA VÀO QUYẾT TOÁN</v>
          </cell>
        </row>
      </sheetData>
      <sheetData sheetId="5983">
        <row r="4">
          <cell r="A4" t="str">
            <v>BẢNG TÍNH TOÁN, ĐO BÓC KHỐI LƯỢNG HOÀN THÀNH ĐƯA VÀO QUYẾT TOÁN</v>
          </cell>
        </row>
      </sheetData>
      <sheetData sheetId="5984">
        <row r="4">
          <cell r="A4" t="str">
            <v>BẢNG TÍNH TOÁN, ĐO BÓC KHỐI LƯỢNG HOÀN THÀNH ĐƯA VÀO QUYẾT TOÁN</v>
          </cell>
        </row>
      </sheetData>
      <sheetData sheetId="5985">
        <row r="4">
          <cell r="A4" t="str">
            <v>BẢNG TÍNH TOÁN, ĐO BÓC KHỐI LƯỢNG HOÀN THÀNH ĐƯA VÀO QUYẾT TOÁN</v>
          </cell>
        </row>
      </sheetData>
      <sheetData sheetId="5986">
        <row r="4">
          <cell r="A4" t="str">
            <v>BẢNG TÍNH TOÁN, ĐO BÓC KHỐI LƯỢNG HOÀN THÀNH ĐƯA VÀO QUYẾT TOÁN</v>
          </cell>
        </row>
      </sheetData>
      <sheetData sheetId="5987">
        <row r="4">
          <cell r="A4" t="str">
            <v>BẢNG TÍNH TOÁN, ĐO BÓC KHỐI LƯỢNG HOÀN THÀNH ĐƯA VÀO QUYẾT TOÁN</v>
          </cell>
        </row>
      </sheetData>
      <sheetData sheetId="5988">
        <row r="4">
          <cell r="A4" t="str">
            <v>BẢNG TÍNH TOÁN, ĐO BÓC KHỐI LƯỢNG HOÀN THÀNH ĐƯA VÀO QUYẾT TOÁN</v>
          </cell>
        </row>
      </sheetData>
      <sheetData sheetId="5989">
        <row r="4">
          <cell r="A4" t="str">
            <v>BẢNG TÍNH TOÁN, ĐO BÓC KHỐI LƯỢNG HOÀN THÀNH ĐƯA VÀO QUYẾT TOÁN</v>
          </cell>
        </row>
      </sheetData>
      <sheetData sheetId="5990">
        <row r="4">
          <cell r="A4" t="str">
            <v>BẢNG TÍNH TOÁN, ĐO BÓC KHỐI LƯỢNG HOÀN THÀNH ĐƯA VÀO QUYẾT TOÁN</v>
          </cell>
        </row>
      </sheetData>
      <sheetData sheetId="5991">
        <row r="4">
          <cell r="A4" t="str">
            <v>BẢNG TÍNH TOÁN, ĐO BÓC KHỐI LƯỢNG HOÀN THÀNH ĐƯA VÀO QUYẾT TOÁN</v>
          </cell>
        </row>
      </sheetData>
      <sheetData sheetId="5992">
        <row r="4">
          <cell r="A4" t="str">
            <v>BẢNG TÍNH TOÁN, ĐO BÓC KHỐI LƯỢNG HOÀN THÀNH ĐƯA VÀO QUYẾT TOÁN</v>
          </cell>
        </row>
      </sheetData>
      <sheetData sheetId="5993">
        <row r="4">
          <cell r="A4" t="str">
            <v>BẢNG TÍNH TOÁN, ĐO BÓC KHỐI LƯỢNG HOÀN THÀNH ĐƯA VÀO QUYẾT TOÁN</v>
          </cell>
        </row>
      </sheetData>
      <sheetData sheetId="5994">
        <row r="4">
          <cell r="A4" t="str">
            <v>BẢNG TÍNH TOÁN, ĐO BÓC KHỐI LƯỢNG HOÀN THÀNH ĐƯA VÀO QUYẾT TOÁN</v>
          </cell>
        </row>
      </sheetData>
      <sheetData sheetId="5995">
        <row r="4">
          <cell r="A4" t="str">
            <v>BẢNG TÍNH TOÁN, ĐO BÓC KHỐI LƯỢNG HOÀN THÀNH ĐƯA VÀO QUYẾT TOÁN</v>
          </cell>
        </row>
      </sheetData>
      <sheetData sheetId="5996">
        <row r="4">
          <cell r="A4" t="str">
            <v>BẢNG TÍNH TOÁN, ĐO BÓC KHỐI LƯỢNG HOÀN THÀNH ĐƯA VÀO QUYẾT TOÁN</v>
          </cell>
        </row>
      </sheetData>
      <sheetData sheetId="5997">
        <row r="4">
          <cell r="A4" t="str">
            <v>BẢNG TÍNH TOÁN, ĐO BÓC KHỐI LƯỢNG HOÀN THÀNH ĐƯA VÀO QUYẾT TOÁN</v>
          </cell>
        </row>
      </sheetData>
      <sheetData sheetId="5998">
        <row r="4">
          <cell r="A4" t="str">
            <v>BẢNG TÍNH TOÁN, ĐO BÓC KHỐI LƯỢNG HOÀN THÀNH ĐƯA VÀO QUYẾT TOÁN</v>
          </cell>
        </row>
      </sheetData>
      <sheetData sheetId="5999">
        <row r="4">
          <cell r="A4" t="str">
            <v>BẢNG TÍNH TOÁN, ĐO BÓC KHỐI LƯỢNG HOÀN THÀNH ĐƯA VÀO QUYẾT TOÁN</v>
          </cell>
        </row>
      </sheetData>
      <sheetData sheetId="6000">
        <row r="4">
          <cell r="A4" t="str">
            <v>BẢNG TÍNH TOÁN, ĐO BÓC KHỐI LƯỢNG HOÀN THÀNH ĐƯA VÀO QUYẾT TOÁN</v>
          </cell>
        </row>
      </sheetData>
      <sheetData sheetId="6001">
        <row r="4">
          <cell r="A4" t="str">
            <v>BẢNG TÍNH TOÁN, ĐO BÓC KHỐI LƯỢNG HOÀN THÀNH ĐƯA VÀO QUYẾT TOÁN</v>
          </cell>
        </row>
      </sheetData>
      <sheetData sheetId="6002">
        <row r="4">
          <cell r="A4" t="str">
            <v>BẢNG TÍNH TOÁN, ĐO BÓC KHỐI LƯỢNG HOÀN THÀNH ĐƯA VÀO QUYẾT TOÁN</v>
          </cell>
        </row>
      </sheetData>
      <sheetData sheetId="6003">
        <row r="4">
          <cell r="A4" t="str">
            <v>BẢNG TÍNH TOÁN, ĐO BÓC KHỐI LƯỢNG HOÀN THÀNH ĐƯA VÀO QUYẾT TOÁN</v>
          </cell>
        </row>
      </sheetData>
      <sheetData sheetId="6004">
        <row r="4">
          <cell r="A4" t="str">
            <v>BẢNG TÍNH TOÁN, ĐO BÓC KHỐI LƯỢNG HOÀN THÀNH ĐƯA VÀO QUYẾT TOÁN</v>
          </cell>
        </row>
      </sheetData>
      <sheetData sheetId="6005">
        <row r="4">
          <cell r="A4" t="str">
            <v>BẢNG TÍNH TOÁN, ĐO BÓC KHỐI LƯỢNG HOÀN THÀNH ĐƯA VÀO QUYẾT TOÁN</v>
          </cell>
        </row>
      </sheetData>
      <sheetData sheetId="6006">
        <row r="4">
          <cell r="A4" t="str">
            <v>BẢNG TÍNH TOÁN, ĐO BÓC KHỐI LƯỢNG HOÀN THÀNH ĐƯA VÀO QUYẾT TOÁN</v>
          </cell>
        </row>
      </sheetData>
      <sheetData sheetId="6007">
        <row r="4">
          <cell r="A4" t="str">
            <v>BẢNG TÍNH TOÁN, ĐO BÓC KHỐI LƯỢNG HOÀN THÀNH ĐƯA VÀO QUYẾT TOÁN</v>
          </cell>
        </row>
      </sheetData>
      <sheetData sheetId="6008">
        <row r="4">
          <cell r="A4" t="str">
            <v>BẢNG TÍNH TOÁN, ĐO BÓC KHỐI LƯỢNG HOÀN THÀNH ĐƯA VÀO QUYẾT TOÁN</v>
          </cell>
        </row>
      </sheetData>
      <sheetData sheetId="6009">
        <row r="4">
          <cell r="A4" t="str">
            <v>BẢNG TÍNH TOÁN, ĐO BÓC KHỐI LƯỢNG HOÀN THÀNH ĐƯA VÀO QUYẾT TOÁN</v>
          </cell>
        </row>
      </sheetData>
      <sheetData sheetId="6010">
        <row r="4">
          <cell r="A4" t="str">
            <v>BẢNG TÍNH TOÁN, ĐO BÓC KHỐI LƯỢNG HOÀN THÀNH ĐƯA VÀO QUYẾT TOÁN</v>
          </cell>
        </row>
      </sheetData>
      <sheetData sheetId="6011">
        <row r="4">
          <cell r="A4" t="str">
            <v>BẢNG TÍNH TOÁN, ĐO BÓC KHỐI LƯỢNG HOÀN THÀNH ĐƯA VÀO QUYẾT TOÁN</v>
          </cell>
        </row>
      </sheetData>
      <sheetData sheetId="6012">
        <row r="4">
          <cell r="A4" t="str">
            <v>BẢNG TÍNH TOÁN, ĐO BÓC KHỐI LƯỢNG HOÀN THÀNH ĐƯA VÀO QUYẾT TOÁN</v>
          </cell>
        </row>
      </sheetData>
      <sheetData sheetId="6013">
        <row r="4">
          <cell r="A4" t="str">
            <v>BẢNG TÍNH TOÁN, ĐO BÓC KHỐI LƯỢNG HOÀN THÀNH ĐƯA VÀO QUYẾT TOÁN</v>
          </cell>
        </row>
      </sheetData>
      <sheetData sheetId="6014">
        <row r="4">
          <cell r="A4" t="str">
            <v>BẢNG TÍNH TOÁN, ĐO BÓC KHỐI LƯỢNG HOÀN THÀNH ĐƯA VÀO QUYẾT TOÁN</v>
          </cell>
        </row>
      </sheetData>
      <sheetData sheetId="6015">
        <row r="4">
          <cell r="A4" t="str">
            <v>BẢNG TÍNH TOÁN, ĐO BÓC KHỐI LƯỢNG HOÀN THÀNH ĐƯA VÀO QUYẾT TOÁN</v>
          </cell>
        </row>
      </sheetData>
      <sheetData sheetId="6016">
        <row r="4">
          <cell r="A4" t="str">
            <v>BẢNG TÍNH TOÁN, ĐO BÓC KHỐI LƯỢNG HOÀN THÀNH ĐƯA VÀO QUYẾT TOÁN</v>
          </cell>
        </row>
      </sheetData>
      <sheetData sheetId="6017">
        <row r="4">
          <cell r="A4" t="str">
            <v>BẢNG TÍNH TOÁN, ĐO BÓC KHỐI LƯỢNG HOÀN THÀNH ĐƯA VÀO QUYẾT TOÁN</v>
          </cell>
        </row>
      </sheetData>
      <sheetData sheetId="6018">
        <row r="4">
          <cell r="A4" t="str">
            <v>BẢNG TÍNH TOÁN, ĐO BÓC KHỐI LƯỢNG HOÀN THÀNH ĐƯA VÀO QUYẾT TOÁN</v>
          </cell>
        </row>
      </sheetData>
      <sheetData sheetId="6019">
        <row r="4">
          <cell r="A4" t="str">
            <v>BẢNG TÍNH TOÁN, ĐO BÓC KHỐI LƯỢNG HOÀN THÀNH ĐƯA VÀO QUYẾT TOÁN</v>
          </cell>
        </row>
      </sheetData>
      <sheetData sheetId="6020">
        <row r="4">
          <cell r="A4" t="str">
            <v>BẢNG TÍNH TOÁN, ĐO BÓC KHỐI LƯỢNG HOÀN THÀNH ĐƯA VÀO QUYẾT TOÁN</v>
          </cell>
        </row>
      </sheetData>
      <sheetData sheetId="6021">
        <row r="4">
          <cell r="A4" t="str">
            <v>BẢNG TÍNH TOÁN, ĐO BÓC KHỐI LƯỢNG HOÀN THÀNH ĐƯA VÀO QUYẾT TOÁN</v>
          </cell>
        </row>
      </sheetData>
      <sheetData sheetId="6022">
        <row r="4">
          <cell r="A4" t="str">
            <v>BẢNG TÍNH TOÁN, ĐO BÓC KHỐI LƯỢNG HOÀN THÀNH ĐƯA VÀO QUYẾT TOÁN</v>
          </cell>
        </row>
      </sheetData>
      <sheetData sheetId="6023">
        <row r="4">
          <cell r="A4" t="str">
            <v>BẢNG TÍNH TOÁN, ĐO BÓC KHỐI LƯỢNG HOÀN THÀNH ĐƯA VÀO QUYẾT TOÁN</v>
          </cell>
        </row>
      </sheetData>
      <sheetData sheetId="6024">
        <row r="4">
          <cell r="A4" t="str">
            <v>BẢNG TÍNH TOÁN, ĐO BÓC KHỐI LƯỢNG HOÀN THÀNH ĐƯA VÀO QUYẾT TOÁN</v>
          </cell>
        </row>
      </sheetData>
      <sheetData sheetId="6025">
        <row r="4">
          <cell r="A4" t="str">
            <v>BẢNG TÍNH TOÁN, ĐO BÓC KHỐI LƯỢNG HOÀN THÀNH ĐƯA VÀO QUYẾT TOÁN</v>
          </cell>
        </row>
      </sheetData>
      <sheetData sheetId="6026">
        <row r="4">
          <cell r="A4" t="str">
            <v>BẢNG TÍNH TOÁN, ĐO BÓC KHỐI LƯỢNG HOÀN THÀNH ĐƯA VÀO QUYẾT TOÁN</v>
          </cell>
        </row>
      </sheetData>
      <sheetData sheetId="6027">
        <row r="4">
          <cell r="A4" t="str">
            <v>BẢNG TÍNH TOÁN, ĐO BÓC KHỐI LƯỢNG HOÀN THÀNH ĐƯA VÀO QUYẾT TOÁN</v>
          </cell>
        </row>
      </sheetData>
      <sheetData sheetId="6028">
        <row r="4">
          <cell r="A4" t="str">
            <v>BẢNG TÍNH TOÁN, ĐO BÓC KHỐI LƯỢNG HOÀN THÀNH ĐƯA VÀO QUYẾT TOÁN</v>
          </cell>
        </row>
      </sheetData>
      <sheetData sheetId="6029">
        <row r="4">
          <cell r="A4" t="str">
            <v>BẢNG TÍNH TOÁN, ĐO BÓC KHỐI LƯỢNG HOÀN THÀNH ĐƯA VÀO QUYẾT TOÁN</v>
          </cell>
        </row>
      </sheetData>
      <sheetData sheetId="6030">
        <row r="4">
          <cell r="A4" t="str">
            <v>BẢNG TÍNH TOÁN, ĐO BÓC KHỐI LƯỢNG HOÀN THÀNH ĐƯA VÀO QUYẾT TOÁN</v>
          </cell>
        </row>
      </sheetData>
      <sheetData sheetId="6031">
        <row r="4">
          <cell r="A4" t="str">
            <v>BẢNG TÍNH TOÁN, ĐO BÓC KHỐI LƯỢNG HOÀN THÀNH ĐƯA VÀO QUYẾT TOÁN</v>
          </cell>
        </row>
      </sheetData>
      <sheetData sheetId="6032">
        <row r="4">
          <cell r="A4" t="str">
            <v>BẢNG TÍNH TOÁN, ĐO BÓC KHỐI LƯỢNG HOÀN THÀNH ĐƯA VÀO QUYẾT TOÁN</v>
          </cell>
        </row>
      </sheetData>
      <sheetData sheetId="6033">
        <row r="4">
          <cell r="A4" t="str">
            <v>BẢNG TÍNH TOÁN, ĐO BÓC KHỐI LƯỢNG HOÀN THÀNH ĐƯA VÀO QUYẾT TOÁN</v>
          </cell>
        </row>
      </sheetData>
      <sheetData sheetId="6034">
        <row r="4">
          <cell r="A4" t="str">
            <v>BẢNG TÍNH TOÁN, ĐO BÓC KHỐI LƯỢNG HOÀN THÀNH ĐƯA VÀO QUYẾT TOÁN</v>
          </cell>
        </row>
      </sheetData>
      <sheetData sheetId="6035">
        <row r="4">
          <cell r="A4" t="str">
            <v>BẢNG TÍNH TOÁN, ĐO BÓC KHỐI LƯỢNG HOÀN THÀNH ĐƯA VÀO QUYẾT TOÁN</v>
          </cell>
        </row>
      </sheetData>
      <sheetData sheetId="6036">
        <row r="4">
          <cell r="A4" t="str">
            <v>BẢNG TÍNH TOÁN, ĐO BÓC KHỐI LƯỢNG HOÀN THÀNH ĐƯA VÀO QUYẾT TOÁN</v>
          </cell>
        </row>
      </sheetData>
      <sheetData sheetId="6037">
        <row r="4">
          <cell r="A4" t="str">
            <v>BẢNG TÍNH TOÁN, ĐO BÓC KHỐI LƯỢNG HOÀN THÀNH ĐƯA VÀO QUYẾT TOÁN</v>
          </cell>
        </row>
      </sheetData>
      <sheetData sheetId="6038">
        <row r="4">
          <cell r="A4" t="str">
            <v>BẢNG TÍNH TOÁN, ĐO BÓC KHỐI LƯỢNG HOÀN THÀNH ĐƯA VÀO QUYẾT TOÁN</v>
          </cell>
        </row>
      </sheetData>
      <sheetData sheetId="6039">
        <row r="4">
          <cell r="A4" t="str">
            <v>BẢNG TÍNH TOÁN, ĐO BÓC KHỐI LƯỢNG HOÀN THÀNH ĐƯA VÀO QUYẾT TOÁN</v>
          </cell>
        </row>
      </sheetData>
      <sheetData sheetId="6040">
        <row r="4">
          <cell r="A4" t="str">
            <v>BẢNG TÍNH TOÁN, ĐO BÓC KHỐI LƯỢNG HOÀN THÀNH ĐƯA VÀO QUYẾT TOÁN</v>
          </cell>
        </row>
      </sheetData>
      <sheetData sheetId="6041">
        <row r="4">
          <cell r="A4" t="str">
            <v>BẢNG TÍNH TOÁN, ĐO BÓC KHỐI LƯỢNG HOÀN THÀNH ĐƯA VÀO QUYẾT TOÁN</v>
          </cell>
        </row>
      </sheetData>
      <sheetData sheetId="6042">
        <row r="4">
          <cell r="A4" t="str">
            <v>BẢNG TÍNH TOÁN, ĐO BÓC KHỐI LƯỢNG HOÀN THÀNH ĐƯA VÀO QUYẾT TOÁN</v>
          </cell>
        </row>
      </sheetData>
      <sheetData sheetId="6043">
        <row r="4">
          <cell r="A4" t="str">
            <v>BẢNG TÍNH TOÁN, ĐO BÓC KHỐI LƯỢNG HOÀN THÀNH ĐƯA VÀO QUYẾT TOÁN</v>
          </cell>
        </row>
      </sheetData>
      <sheetData sheetId="6044">
        <row r="4">
          <cell r="A4" t="str">
            <v>BẢNG TÍNH TOÁN, ĐO BÓC KHỐI LƯỢNG HOÀN THÀNH ĐƯA VÀO QUYẾT TOÁN</v>
          </cell>
        </row>
      </sheetData>
      <sheetData sheetId="6045">
        <row r="4">
          <cell r="A4" t="str">
            <v>BẢNG TÍNH TOÁN, ĐO BÓC KHỐI LƯỢNG HOÀN THÀNH ĐƯA VÀO QUYẾT TOÁN</v>
          </cell>
        </row>
      </sheetData>
      <sheetData sheetId="6046">
        <row r="4">
          <cell r="A4" t="str">
            <v>BẢNG TÍNH TOÁN, ĐO BÓC KHỐI LƯỢNG HOÀN THÀNH ĐƯA VÀO QUYẾT TOÁN</v>
          </cell>
        </row>
      </sheetData>
      <sheetData sheetId="6047">
        <row r="4">
          <cell r="A4" t="str">
            <v>BẢNG TÍNH TOÁN, ĐO BÓC KHỐI LƯỢNG HOÀN THÀNH ĐƯA VÀO QUYẾT TOÁN</v>
          </cell>
        </row>
      </sheetData>
      <sheetData sheetId="6048">
        <row r="4">
          <cell r="A4" t="str">
            <v>BẢNG TÍNH TOÁN, ĐO BÓC KHỐI LƯỢNG HOÀN THÀNH ĐƯA VÀO QUYẾT TOÁN</v>
          </cell>
        </row>
      </sheetData>
      <sheetData sheetId="6049">
        <row r="4">
          <cell r="A4" t="str">
            <v>BẢNG TÍNH TOÁN, ĐO BÓC KHỐI LƯỢNG HOÀN THÀNH ĐƯA VÀO QUYẾT TOÁN</v>
          </cell>
        </row>
      </sheetData>
      <sheetData sheetId="6050">
        <row r="4">
          <cell r="A4" t="str">
            <v>BẢNG TÍNH TOÁN, ĐO BÓC KHỐI LƯỢNG HOÀN THÀNH ĐƯA VÀO QUYẾT TOÁN</v>
          </cell>
        </row>
      </sheetData>
      <sheetData sheetId="6051">
        <row r="4">
          <cell r="A4" t="str">
            <v>BẢNG TÍNH TOÁN, ĐO BÓC KHỐI LƯỢNG HOÀN THÀNH ĐƯA VÀO QUYẾT TOÁN</v>
          </cell>
        </row>
      </sheetData>
      <sheetData sheetId="6052">
        <row r="4">
          <cell r="A4" t="str">
            <v>BẢNG TÍNH TOÁN, ĐO BÓC KHỐI LƯỢNG HOÀN THÀNH ĐƯA VÀO QUYẾT TOÁN</v>
          </cell>
        </row>
      </sheetData>
      <sheetData sheetId="6053">
        <row r="4">
          <cell r="A4" t="str">
            <v>BẢNG TÍNH TOÁN, ĐO BÓC KHỐI LƯỢNG HOÀN THÀNH ĐƯA VÀO QUYẾT TOÁN</v>
          </cell>
        </row>
      </sheetData>
      <sheetData sheetId="6054">
        <row r="4">
          <cell r="A4" t="str">
            <v>BẢNG TÍNH TOÁN, ĐO BÓC KHỐI LƯỢNG HOÀN THÀNH ĐƯA VÀO QUYẾT TOÁN</v>
          </cell>
        </row>
      </sheetData>
      <sheetData sheetId="6055">
        <row r="4">
          <cell r="A4" t="str">
            <v>BẢNG TÍNH TOÁN, ĐO BÓC KHỐI LƯỢNG HOÀN THÀNH ĐƯA VÀO QUYẾT TOÁN</v>
          </cell>
        </row>
      </sheetData>
      <sheetData sheetId="6056">
        <row r="4">
          <cell r="A4" t="str">
            <v>BẢNG TÍNH TOÁN, ĐO BÓC KHỐI LƯỢNG HOÀN THÀNH ĐƯA VÀO QUYẾT TOÁN</v>
          </cell>
        </row>
      </sheetData>
      <sheetData sheetId="6057">
        <row r="4">
          <cell r="A4" t="str">
            <v>BẢNG TÍNH TOÁN, ĐO BÓC KHỐI LƯỢNG HOÀN THÀNH ĐƯA VÀO QUYẾT TOÁN</v>
          </cell>
        </row>
      </sheetData>
      <sheetData sheetId="6058">
        <row r="4">
          <cell r="A4" t="str">
            <v>BẢNG TÍNH TOÁN, ĐO BÓC KHỐI LƯỢNG HOÀN THÀNH ĐƯA VÀO QUYẾT TOÁN</v>
          </cell>
        </row>
      </sheetData>
      <sheetData sheetId="6059">
        <row r="4">
          <cell r="A4" t="str">
            <v>BẢNG TÍNH TOÁN, ĐO BÓC KHỐI LƯỢNG HOÀN THÀNH ĐƯA VÀO QUYẾT TOÁN</v>
          </cell>
        </row>
      </sheetData>
      <sheetData sheetId="6060">
        <row r="4">
          <cell r="A4" t="str">
            <v>BẢNG TÍNH TOÁN, ĐO BÓC KHỐI LƯỢNG HOÀN THÀNH ĐƯA VÀO QUYẾT TOÁN</v>
          </cell>
        </row>
      </sheetData>
      <sheetData sheetId="6061">
        <row r="4">
          <cell r="A4" t="str">
            <v>BẢNG TÍNH TOÁN, ĐO BÓC KHỐI LƯỢNG HOÀN THÀNH ĐƯA VÀO QUYẾT TOÁN</v>
          </cell>
        </row>
      </sheetData>
      <sheetData sheetId="6062">
        <row r="4">
          <cell r="A4" t="str">
            <v>BẢNG TÍNH TOÁN, ĐO BÓC KHỐI LƯỢNG HOÀN THÀNH ĐƯA VÀO QUYẾT TOÁN</v>
          </cell>
        </row>
      </sheetData>
      <sheetData sheetId="6063">
        <row r="4">
          <cell r="A4" t="str">
            <v>BẢNG TÍNH TOÁN, ĐO BÓC KHỐI LƯỢNG HOÀN THÀNH ĐƯA VÀO QUYẾT TOÁN</v>
          </cell>
        </row>
      </sheetData>
      <sheetData sheetId="6064">
        <row r="4">
          <cell r="A4" t="str">
            <v>BẢNG TÍNH TOÁN, ĐO BÓC KHỐI LƯỢNG HOÀN THÀNH ĐƯA VÀO QUYẾT TOÁN</v>
          </cell>
        </row>
      </sheetData>
      <sheetData sheetId="6065">
        <row r="4">
          <cell r="A4" t="str">
            <v>BẢNG TÍNH TOÁN, ĐO BÓC KHỐI LƯỢNG HOÀN THÀNH ĐƯA VÀO QUYẾT TOÁN</v>
          </cell>
        </row>
      </sheetData>
      <sheetData sheetId="6066">
        <row r="4">
          <cell r="A4" t="str">
            <v>BẢNG TÍNH TOÁN, ĐO BÓC KHỐI LƯỢNG HOÀN THÀNH ĐƯA VÀO QUYẾT TOÁN</v>
          </cell>
        </row>
      </sheetData>
      <sheetData sheetId="6067">
        <row r="4">
          <cell r="A4" t="str">
            <v>BẢNG TÍNH TOÁN, ĐO BÓC KHỐI LƯỢNG HOÀN THÀNH ĐƯA VÀO QUYẾT TOÁN</v>
          </cell>
        </row>
      </sheetData>
      <sheetData sheetId="6068">
        <row r="4">
          <cell r="A4" t="str">
            <v>BẢNG TÍNH TOÁN, ĐO BÓC KHỐI LƯỢNG HOÀN THÀNH ĐƯA VÀO QUYẾT TOÁN</v>
          </cell>
        </row>
      </sheetData>
      <sheetData sheetId="6069">
        <row r="4">
          <cell r="A4" t="str">
            <v>BẢNG TÍNH TOÁN, ĐO BÓC KHỐI LƯỢNG HOÀN THÀNH ĐƯA VÀO QUYẾT TOÁN</v>
          </cell>
        </row>
      </sheetData>
      <sheetData sheetId="6070">
        <row r="4">
          <cell r="A4" t="str">
            <v>BẢNG TÍNH TOÁN, ĐO BÓC KHỐI LƯỢNG HOÀN THÀNH ĐƯA VÀO QUYẾT TOÁN</v>
          </cell>
        </row>
      </sheetData>
      <sheetData sheetId="6071">
        <row r="4">
          <cell r="A4" t="str">
            <v>BẢNG TÍNH TOÁN, ĐO BÓC KHỐI LƯỢNG HOÀN THÀNH ĐƯA VÀO QUYẾT TOÁN</v>
          </cell>
        </row>
      </sheetData>
      <sheetData sheetId="6072">
        <row r="4">
          <cell r="A4" t="str">
            <v>BẢNG TÍNH TOÁN, ĐO BÓC KHỐI LƯỢNG HOÀN THÀNH ĐƯA VÀO QUYẾT TOÁN</v>
          </cell>
        </row>
      </sheetData>
      <sheetData sheetId="6073">
        <row r="4">
          <cell r="A4" t="str">
            <v>BẢNG TÍNH TOÁN, ĐO BÓC KHỐI LƯỢNG HOÀN THÀNH ĐƯA VÀO QUYẾT TOÁN</v>
          </cell>
        </row>
      </sheetData>
      <sheetData sheetId="6074">
        <row r="4">
          <cell r="A4" t="str">
            <v>BẢNG TÍNH TOÁN, ĐO BÓC KHỐI LƯỢNG HOÀN THÀNH ĐƯA VÀO QUYẾT TOÁN</v>
          </cell>
        </row>
      </sheetData>
      <sheetData sheetId="6075">
        <row r="4">
          <cell r="A4" t="str">
            <v>BẢNG TÍNH TOÁN, ĐO BÓC KHỐI LƯỢNG HOÀN THÀNH ĐƯA VÀO QUYẾT TOÁN</v>
          </cell>
        </row>
      </sheetData>
      <sheetData sheetId="6076">
        <row r="4">
          <cell r="A4" t="str">
            <v>BẢNG TÍNH TOÁN, ĐO BÓC KHỐI LƯỢNG HOÀN THÀNH ĐƯA VÀO QUYẾT TOÁN</v>
          </cell>
        </row>
      </sheetData>
      <sheetData sheetId="6077">
        <row r="4">
          <cell r="A4" t="str">
            <v>BẢNG TÍNH TOÁN, ĐO BÓC KHỐI LƯỢNG HOÀN THÀNH ĐƯA VÀO QUYẾT TOÁN</v>
          </cell>
        </row>
      </sheetData>
      <sheetData sheetId="6078">
        <row r="4">
          <cell r="A4" t="str">
            <v>BẢNG TÍNH TOÁN, ĐO BÓC KHỐI LƯỢNG HOÀN THÀNH ĐƯA VÀO QUYẾT TOÁN</v>
          </cell>
        </row>
      </sheetData>
      <sheetData sheetId="6079">
        <row r="4">
          <cell r="A4" t="str">
            <v>BẢNG TÍNH TOÁN, ĐO BÓC KHỐI LƯỢNG HOÀN THÀNH ĐƯA VÀO QUYẾT TOÁN</v>
          </cell>
        </row>
      </sheetData>
      <sheetData sheetId="6080">
        <row r="4">
          <cell r="A4" t="str">
            <v>BẢNG TÍNH TOÁN, ĐO BÓC KHỐI LƯỢNG HOÀN THÀNH ĐƯA VÀO QUYẾT TOÁN</v>
          </cell>
        </row>
      </sheetData>
      <sheetData sheetId="6081">
        <row r="4">
          <cell r="A4" t="str">
            <v>BẢNG TÍNH TOÁN, ĐO BÓC KHỐI LƯỢNG HOÀN THÀNH ĐƯA VÀO QUYẾT TOÁN</v>
          </cell>
        </row>
      </sheetData>
      <sheetData sheetId="6082">
        <row r="4">
          <cell r="A4" t="str">
            <v>BẢNG TÍNH TOÁN, ĐO BÓC KHỐI LƯỢNG HOÀN THÀNH ĐƯA VÀO QUYẾT TOÁN</v>
          </cell>
        </row>
      </sheetData>
      <sheetData sheetId="6083">
        <row r="4">
          <cell r="A4" t="str">
            <v>BẢNG TÍNH TOÁN, ĐO BÓC KHỐI LƯỢNG HOÀN THÀNH ĐƯA VÀO QUYẾT TOÁN</v>
          </cell>
        </row>
      </sheetData>
      <sheetData sheetId="6084">
        <row r="4">
          <cell r="A4" t="str">
            <v>BẢNG TÍNH TOÁN, ĐO BÓC KHỐI LƯỢNG HOÀN THÀNH ĐƯA VÀO QUYẾT TOÁN</v>
          </cell>
        </row>
      </sheetData>
      <sheetData sheetId="6085">
        <row r="4">
          <cell r="A4" t="str">
            <v>BẢNG TÍNH TOÁN, ĐO BÓC KHỐI LƯỢNG HOÀN THÀNH ĐƯA VÀO QUYẾT TOÁN</v>
          </cell>
        </row>
      </sheetData>
      <sheetData sheetId="6086">
        <row r="4">
          <cell r="A4" t="str">
            <v>BẢNG TÍNH TOÁN, ĐO BÓC KHỐI LƯỢNG HOÀN THÀNH ĐƯA VÀO QUYẾT TOÁN</v>
          </cell>
        </row>
      </sheetData>
      <sheetData sheetId="6087">
        <row r="4">
          <cell r="A4" t="str">
            <v>BẢNG TÍNH TOÁN, ĐO BÓC KHỐI LƯỢNG HOÀN THÀNH ĐƯA VÀO QUYẾT TOÁN</v>
          </cell>
        </row>
      </sheetData>
      <sheetData sheetId="6088">
        <row r="4">
          <cell r="A4" t="str">
            <v>BẢNG TÍNH TOÁN, ĐO BÓC KHỐI LƯỢNG HOÀN THÀNH ĐƯA VÀO QUYẾT TOÁN</v>
          </cell>
        </row>
      </sheetData>
      <sheetData sheetId="6089">
        <row r="4">
          <cell r="A4" t="str">
            <v>BẢNG TÍNH TOÁN, ĐO BÓC KHỐI LƯỢNG HOÀN THÀNH ĐƯA VÀO QUYẾT TOÁN</v>
          </cell>
        </row>
      </sheetData>
      <sheetData sheetId="6090">
        <row r="4">
          <cell r="A4" t="str">
            <v>BẢNG TÍNH TOÁN, ĐO BÓC KHỐI LƯỢNG HOÀN THÀNH ĐƯA VÀO QUYẾT TOÁN</v>
          </cell>
        </row>
      </sheetData>
      <sheetData sheetId="6091">
        <row r="4">
          <cell r="A4" t="str">
            <v>BẢNG TÍNH TOÁN, ĐO BÓC KHỐI LƯỢNG HOÀN THÀNH ĐƯA VÀO QUYẾT TOÁN</v>
          </cell>
        </row>
      </sheetData>
      <sheetData sheetId="6092">
        <row r="4">
          <cell r="A4" t="str">
            <v>BẢNG TÍNH TOÁN, ĐO BÓC KHỐI LƯỢNG HOÀN THÀNH ĐƯA VÀO QUYẾT TOÁN</v>
          </cell>
        </row>
      </sheetData>
      <sheetData sheetId="6093">
        <row r="4">
          <cell r="A4" t="str">
            <v>BẢNG TÍNH TOÁN, ĐO BÓC KHỐI LƯỢNG HOÀN THÀNH ĐƯA VÀO QUYẾT TOÁN</v>
          </cell>
        </row>
      </sheetData>
      <sheetData sheetId="6094">
        <row r="4">
          <cell r="A4" t="str">
            <v>BẢNG TÍNH TOÁN, ĐO BÓC KHỐI LƯỢNG HOÀN THÀNH ĐƯA VÀO QUYẾT TOÁN</v>
          </cell>
        </row>
      </sheetData>
      <sheetData sheetId="6095">
        <row r="4">
          <cell r="A4" t="str">
            <v>BẢNG TÍNH TOÁN, ĐO BÓC KHỐI LƯỢNG HOÀN THÀNH ĐƯA VÀO QUYẾT TOÁN</v>
          </cell>
        </row>
      </sheetData>
      <sheetData sheetId="6096">
        <row r="4">
          <cell r="A4" t="str">
            <v>BẢNG TÍNH TOÁN, ĐO BÓC KHỐI LƯỢNG HOÀN THÀNH ĐƯA VÀO QUYẾT TOÁN</v>
          </cell>
        </row>
      </sheetData>
      <sheetData sheetId="6097">
        <row r="4">
          <cell r="A4" t="str">
            <v>BẢNG TÍNH TOÁN, ĐO BÓC KHỐI LƯỢNG HOÀN THÀNH ĐƯA VÀO QUYẾT TOÁN</v>
          </cell>
        </row>
      </sheetData>
      <sheetData sheetId="6098">
        <row r="4">
          <cell r="A4" t="str">
            <v>BẢNG TÍNH TOÁN, ĐO BÓC KHỐI LƯỢNG HOÀN THÀNH ĐƯA VÀO QUYẾT TOÁN</v>
          </cell>
        </row>
      </sheetData>
      <sheetData sheetId="6099">
        <row r="4">
          <cell r="A4" t="str">
            <v>BẢNG TÍNH TOÁN, ĐO BÓC KHỐI LƯỢNG HOÀN THÀNH ĐƯA VÀO QUYẾT TOÁN</v>
          </cell>
        </row>
      </sheetData>
      <sheetData sheetId="6100">
        <row r="4">
          <cell r="A4" t="str">
            <v>BẢNG TÍNH TOÁN, ĐO BÓC KHỐI LƯỢNG HOÀN THÀNH ĐƯA VÀO QUYẾT TOÁN</v>
          </cell>
        </row>
      </sheetData>
      <sheetData sheetId="6101">
        <row r="4">
          <cell r="A4" t="str">
            <v>BẢNG TÍNH TOÁN, ĐO BÓC KHỐI LƯỢNG HOÀN THÀNH ĐƯA VÀO QUYẾT TOÁN</v>
          </cell>
        </row>
      </sheetData>
      <sheetData sheetId="6102">
        <row r="4">
          <cell r="A4" t="str">
            <v>BẢNG TÍNH TOÁN, ĐO BÓC KHỐI LƯỢNG HOÀN THÀNH ĐƯA VÀO QUYẾT TOÁN</v>
          </cell>
        </row>
      </sheetData>
      <sheetData sheetId="6103">
        <row r="4">
          <cell r="A4" t="str">
            <v>BẢNG TÍNH TOÁN, ĐO BÓC KHỐI LƯỢNG HOÀN THÀNH ĐƯA VÀO QUYẾT TOÁN</v>
          </cell>
        </row>
      </sheetData>
      <sheetData sheetId="6104">
        <row r="4">
          <cell r="A4" t="str">
            <v>BẢNG TÍNH TOÁN, ĐO BÓC KHỐI LƯỢNG HOÀN THÀNH ĐƯA VÀO QUYẾT TOÁN</v>
          </cell>
        </row>
      </sheetData>
      <sheetData sheetId="6105">
        <row r="4">
          <cell r="A4" t="str">
            <v>BẢNG TÍNH TOÁN, ĐO BÓC KHỐI LƯỢNG HOÀN THÀNH ĐƯA VÀO QUYẾT TOÁN</v>
          </cell>
        </row>
      </sheetData>
      <sheetData sheetId="6106">
        <row r="4">
          <cell r="A4" t="str">
            <v>BẢNG TÍNH TOÁN, ĐO BÓC KHỐI LƯỢNG HOÀN THÀNH ĐƯA VÀO QUYẾT TOÁN</v>
          </cell>
        </row>
      </sheetData>
      <sheetData sheetId="6107">
        <row r="4">
          <cell r="A4" t="str">
            <v>BẢNG TÍNH TOÁN, ĐO BÓC KHỐI LƯỢNG HOÀN THÀNH ĐƯA VÀO QUYẾT TOÁN</v>
          </cell>
        </row>
      </sheetData>
      <sheetData sheetId="6108">
        <row r="4">
          <cell r="A4" t="str">
            <v>BẢNG TÍNH TOÁN, ĐO BÓC KHỐI LƯỢNG HOÀN THÀNH ĐƯA VÀO QUYẾT TOÁN</v>
          </cell>
        </row>
      </sheetData>
      <sheetData sheetId="6109">
        <row r="4">
          <cell r="A4" t="str">
            <v>BẢNG TÍNH TOÁN, ĐO BÓC KHỐI LƯỢNG HOÀN THÀNH ĐƯA VÀO QUYẾT TOÁN</v>
          </cell>
        </row>
      </sheetData>
      <sheetData sheetId="6110">
        <row r="4">
          <cell r="A4" t="str">
            <v>BẢNG TÍNH TOÁN, ĐO BÓC KHỐI LƯỢNG HOÀN THÀNH ĐƯA VÀO QUYẾT TOÁN</v>
          </cell>
        </row>
      </sheetData>
      <sheetData sheetId="6111">
        <row r="4">
          <cell r="A4" t="str">
            <v>BẢNG TÍNH TOÁN, ĐO BÓC KHỐI LƯỢNG HOÀN THÀNH ĐƯA VÀO QUYẾT TOÁN</v>
          </cell>
        </row>
      </sheetData>
      <sheetData sheetId="6112">
        <row r="4">
          <cell r="A4" t="str">
            <v>BẢNG TÍNH TOÁN, ĐO BÓC KHỐI LƯỢNG HOÀN THÀNH ĐƯA VÀO QUYẾT TOÁN</v>
          </cell>
        </row>
      </sheetData>
      <sheetData sheetId="6113">
        <row r="4">
          <cell r="A4" t="str">
            <v>BẢNG TÍNH TOÁN, ĐO BÓC KHỐI LƯỢNG HOÀN THÀNH ĐƯA VÀO QUYẾT TOÁN</v>
          </cell>
        </row>
      </sheetData>
      <sheetData sheetId="6114">
        <row r="4">
          <cell r="A4" t="str">
            <v>BẢNG TÍNH TOÁN, ĐO BÓC KHỐI LƯỢNG HOÀN THÀNH ĐƯA VÀO QUYẾT TOÁN</v>
          </cell>
        </row>
      </sheetData>
      <sheetData sheetId="6115">
        <row r="4">
          <cell r="A4" t="str">
            <v>BẢNG TÍNH TOÁN, ĐO BÓC KHỐI LƯỢNG HOÀN THÀNH ĐƯA VÀO QUYẾT TOÁN</v>
          </cell>
        </row>
      </sheetData>
      <sheetData sheetId="6116">
        <row r="4">
          <cell r="A4" t="str">
            <v>BẢNG TÍNH TOÁN, ĐO BÓC KHỐI LƯỢNG HOÀN THÀNH ĐƯA VÀO QUYẾT TOÁN</v>
          </cell>
        </row>
      </sheetData>
      <sheetData sheetId="6117">
        <row r="4">
          <cell r="A4" t="str">
            <v>BẢNG TÍNH TOÁN, ĐO BÓC KHỐI LƯỢNG HOÀN THÀNH ĐƯA VÀO QUYẾT TOÁN</v>
          </cell>
        </row>
      </sheetData>
      <sheetData sheetId="6118">
        <row r="4">
          <cell r="A4" t="str">
            <v>BẢNG TÍNH TOÁN, ĐO BÓC KHỐI LƯỢNG HOÀN THÀNH ĐƯA VÀO QUYẾT TOÁN</v>
          </cell>
        </row>
      </sheetData>
      <sheetData sheetId="6119">
        <row r="4">
          <cell r="A4" t="str">
            <v>BẢNG TÍNH TOÁN, ĐO BÓC KHỐI LƯỢNG HOÀN THÀNH ĐƯA VÀO QUYẾT TOÁN</v>
          </cell>
        </row>
      </sheetData>
      <sheetData sheetId="6120">
        <row r="4">
          <cell r="A4" t="str">
            <v>BẢNG TÍNH TOÁN, ĐO BÓC KHỐI LƯỢNG HOÀN THÀNH ĐƯA VÀO QUYẾT TOÁN</v>
          </cell>
        </row>
      </sheetData>
      <sheetData sheetId="6121">
        <row r="4">
          <cell r="A4" t="str">
            <v>BẢNG TÍNH TOÁN, ĐO BÓC KHỐI LƯỢNG HOÀN THÀNH ĐƯA VÀO QUYẾT TOÁN</v>
          </cell>
        </row>
      </sheetData>
      <sheetData sheetId="6122">
        <row r="4">
          <cell r="A4" t="str">
            <v>BẢNG TÍNH TOÁN, ĐO BÓC KHỐI LƯỢNG HOÀN THÀNH ĐƯA VÀO QUYẾT TOÁN</v>
          </cell>
        </row>
      </sheetData>
      <sheetData sheetId="6123">
        <row r="4">
          <cell r="A4" t="str">
            <v>BẢNG TÍNH TOÁN, ĐO BÓC KHỐI LƯỢNG HOÀN THÀNH ĐƯA VÀO QUYẾT TOÁN</v>
          </cell>
        </row>
      </sheetData>
      <sheetData sheetId="6124">
        <row r="4">
          <cell r="A4" t="str">
            <v>BẢNG TÍNH TOÁN, ĐO BÓC KHỐI LƯỢNG HOÀN THÀNH ĐƯA VÀO QUYẾT TOÁN</v>
          </cell>
        </row>
      </sheetData>
      <sheetData sheetId="6125">
        <row r="4">
          <cell r="A4" t="str">
            <v>BẢNG TÍNH TOÁN, ĐO BÓC KHỐI LƯỢNG HOÀN THÀNH ĐƯA VÀO QUYẾT TOÁN</v>
          </cell>
        </row>
      </sheetData>
      <sheetData sheetId="6126">
        <row r="4">
          <cell r="A4" t="str">
            <v>BẢNG TÍNH TOÁN, ĐO BÓC KHỐI LƯỢNG HOÀN THÀNH ĐƯA VÀO QUYẾT TOÁN</v>
          </cell>
        </row>
      </sheetData>
      <sheetData sheetId="6127">
        <row r="4">
          <cell r="A4" t="str">
            <v>BẢNG TÍNH TOÁN, ĐO BÓC KHỐI LƯỢNG HOÀN THÀNH ĐƯA VÀO QUYẾT TOÁN</v>
          </cell>
        </row>
      </sheetData>
      <sheetData sheetId="6128">
        <row r="4">
          <cell r="A4" t="str">
            <v>BẢNG TÍNH TOÁN, ĐO BÓC KHỐI LƯỢNG HOÀN THÀNH ĐƯA VÀO QUYẾT TOÁN</v>
          </cell>
        </row>
      </sheetData>
      <sheetData sheetId="6129">
        <row r="4">
          <cell r="A4" t="str">
            <v>BẢNG TÍNH TOÁN, ĐO BÓC KHỐI LƯỢNG HOÀN THÀNH ĐƯA VÀO QUYẾT TOÁN</v>
          </cell>
        </row>
      </sheetData>
      <sheetData sheetId="6130">
        <row r="4">
          <cell r="A4" t="str">
            <v>BẢNG TÍNH TOÁN, ĐO BÓC KHỐI LƯỢNG HOÀN THÀNH ĐƯA VÀO QUYẾT TOÁN</v>
          </cell>
        </row>
      </sheetData>
      <sheetData sheetId="6131">
        <row r="4">
          <cell r="A4" t="str">
            <v>BẢNG TÍNH TOÁN, ĐO BÓC KHỐI LƯỢNG HOÀN THÀNH ĐƯA VÀO QUYẾT TOÁN</v>
          </cell>
        </row>
      </sheetData>
      <sheetData sheetId="6132">
        <row r="4">
          <cell r="A4" t="str">
            <v>BẢNG TÍNH TOÁN, ĐO BÓC KHỐI LƯỢNG HOÀN THÀNH ĐƯA VÀO QUYẾT TOÁN</v>
          </cell>
        </row>
      </sheetData>
      <sheetData sheetId="6133">
        <row r="4">
          <cell r="A4" t="str">
            <v>BẢNG TÍNH TOÁN, ĐO BÓC KHỐI LƯỢNG HOÀN THÀNH ĐƯA VÀO QUYẾT TOÁN</v>
          </cell>
        </row>
      </sheetData>
      <sheetData sheetId="6134">
        <row r="4">
          <cell r="A4" t="str">
            <v>BẢNG TÍNH TOÁN, ĐO BÓC KHỐI LƯỢNG HOÀN THÀNH ĐƯA VÀO QUYẾT TOÁN</v>
          </cell>
        </row>
      </sheetData>
      <sheetData sheetId="6135">
        <row r="4">
          <cell r="A4" t="str">
            <v>BẢNG TÍNH TOÁN, ĐO BÓC KHỐI LƯỢNG HOÀN THÀNH ĐƯA VÀO QUYẾT TOÁN</v>
          </cell>
        </row>
      </sheetData>
      <sheetData sheetId="6136">
        <row r="4">
          <cell r="A4" t="str">
            <v>BẢNG TÍNH TOÁN, ĐO BÓC KHỐI LƯỢNG HOÀN THÀNH ĐƯA VÀO QUYẾT TOÁN</v>
          </cell>
        </row>
      </sheetData>
      <sheetData sheetId="6137">
        <row r="4">
          <cell r="A4" t="str">
            <v>BẢNG TÍNH TOÁN, ĐO BÓC KHỐI LƯỢNG HOÀN THÀNH ĐƯA VÀO QUYẾT TOÁN</v>
          </cell>
        </row>
      </sheetData>
      <sheetData sheetId="6138">
        <row r="4">
          <cell r="A4" t="str">
            <v>BẢNG TÍNH TOÁN, ĐO BÓC KHỐI LƯỢNG HOÀN THÀNH ĐƯA VÀO QUYẾT TOÁN</v>
          </cell>
        </row>
      </sheetData>
      <sheetData sheetId="6139">
        <row r="4">
          <cell r="A4" t="str">
            <v>BẢNG TÍNH TOÁN, ĐO BÓC KHỐI LƯỢNG HOÀN THÀNH ĐƯA VÀO QUYẾT TOÁN</v>
          </cell>
        </row>
      </sheetData>
      <sheetData sheetId="6140">
        <row r="4">
          <cell r="A4" t="str">
            <v>BẢNG TÍNH TOÁN, ĐO BÓC KHỐI LƯỢNG HOÀN THÀNH ĐƯA VÀO QUYẾT TOÁN</v>
          </cell>
        </row>
      </sheetData>
      <sheetData sheetId="6141">
        <row r="4">
          <cell r="A4" t="str">
            <v>BẢNG TÍNH TOÁN, ĐO BÓC KHỐI LƯỢNG HOÀN THÀNH ĐƯA VÀO QUYẾT TOÁN</v>
          </cell>
        </row>
      </sheetData>
      <sheetData sheetId="6142">
        <row r="4">
          <cell r="A4" t="str">
            <v>BẢNG TÍNH TOÁN, ĐO BÓC KHỐI LƯỢNG HOÀN THÀNH ĐƯA VÀO QUYẾT TOÁN</v>
          </cell>
        </row>
      </sheetData>
      <sheetData sheetId="6143">
        <row r="4">
          <cell r="A4" t="str">
            <v>BẢNG TÍNH TOÁN, ĐO BÓC KHỐI LƯỢNG HOÀN THÀNH ĐƯA VÀO QUYẾT TOÁN</v>
          </cell>
        </row>
      </sheetData>
      <sheetData sheetId="6144">
        <row r="4">
          <cell r="A4" t="str">
            <v>BẢNG TÍNH TOÁN, ĐO BÓC KHỐI LƯỢNG HOÀN THÀNH ĐƯA VÀO QUYẾT TOÁN</v>
          </cell>
        </row>
      </sheetData>
      <sheetData sheetId="6145">
        <row r="4">
          <cell r="A4" t="str">
            <v>BẢNG TÍNH TOÁN, ĐO BÓC KHỐI LƯỢNG HOÀN THÀNH ĐƯA VÀO QUYẾT TOÁN</v>
          </cell>
        </row>
      </sheetData>
      <sheetData sheetId="6146">
        <row r="4">
          <cell r="A4" t="str">
            <v>BẢNG TÍNH TOÁN, ĐO BÓC KHỐI LƯỢNG HOÀN THÀNH ĐƯA VÀO QUYẾT TOÁN</v>
          </cell>
        </row>
      </sheetData>
      <sheetData sheetId="6147">
        <row r="4">
          <cell r="A4" t="str">
            <v>BẢNG TÍNH TOÁN, ĐO BÓC KHỐI LƯỢNG HOÀN THÀNH ĐƯA VÀO QUYẾT TOÁN</v>
          </cell>
        </row>
      </sheetData>
      <sheetData sheetId="6148">
        <row r="4">
          <cell r="A4" t="str">
            <v>BẢNG TÍNH TOÁN, ĐO BÓC KHỐI LƯỢNG HOÀN THÀNH ĐƯA VÀO QUYẾT TOÁN</v>
          </cell>
        </row>
      </sheetData>
      <sheetData sheetId="6149">
        <row r="4">
          <cell r="A4" t="str">
            <v>BẢNG TÍNH TOÁN, ĐO BÓC KHỐI LƯỢNG HOÀN THÀNH ĐƯA VÀO QUYẾT TOÁN</v>
          </cell>
        </row>
      </sheetData>
      <sheetData sheetId="6150">
        <row r="4">
          <cell r="A4" t="str">
            <v>BẢNG TÍNH TOÁN, ĐO BÓC KHỐI LƯỢNG HOÀN THÀNH ĐƯA VÀO QUYẾT TOÁN</v>
          </cell>
        </row>
      </sheetData>
      <sheetData sheetId="6151">
        <row r="4">
          <cell r="A4" t="str">
            <v>BẢNG TÍNH TOÁN, ĐO BÓC KHỐI LƯỢNG HOÀN THÀNH ĐƯA VÀO QUYẾT TOÁN</v>
          </cell>
        </row>
      </sheetData>
      <sheetData sheetId="6152">
        <row r="4">
          <cell r="A4" t="str">
            <v>BẢNG TÍNH TOÁN, ĐO BÓC KHỐI LƯỢNG HOÀN THÀNH ĐƯA VÀO QUYẾT TOÁN</v>
          </cell>
        </row>
      </sheetData>
      <sheetData sheetId="6153">
        <row r="4">
          <cell r="A4" t="str">
            <v>BẢNG TÍNH TOÁN, ĐO BÓC KHỐI LƯỢNG HOÀN THÀNH ĐƯA VÀO QUYẾT TOÁN</v>
          </cell>
        </row>
      </sheetData>
      <sheetData sheetId="6154">
        <row r="4">
          <cell r="A4" t="str">
            <v>BẢNG TÍNH TOÁN, ĐO BÓC KHỐI LƯỢNG HOÀN THÀNH ĐƯA VÀO QUYẾT TOÁN</v>
          </cell>
        </row>
      </sheetData>
      <sheetData sheetId="6155">
        <row r="4">
          <cell r="A4" t="str">
            <v>BẢNG TÍNH TOÁN, ĐO BÓC KHỐI LƯỢNG HOÀN THÀNH ĐƯA VÀO QUYẾT TOÁN</v>
          </cell>
        </row>
      </sheetData>
      <sheetData sheetId="6156">
        <row r="4">
          <cell r="A4" t="str">
            <v>BẢNG TÍNH TOÁN, ĐO BÓC KHỐI LƯỢNG HOÀN THÀNH ĐƯA VÀO QUYẾT TOÁN</v>
          </cell>
        </row>
      </sheetData>
      <sheetData sheetId="6157">
        <row r="4">
          <cell r="A4" t="str">
            <v>BẢNG TÍNH TOÁN, ĐO BÓC KHỐI LƯỢNG HOÀN THÀNH ĐƯA VÀO QUYẾT TOÁN</v>
          </cell>
        </row>
      </sheetData>
      <sheetData sheetId="6158">
        <row r="4">
          <cell r="A4" t="str">
            <v>BẢNG TÍNH TOÁN, ĐO BÓC KHỐI LƯỢNG HOÀN THÀNH ĐƯA VÀO QUYẾT TOÁN</v>
          </cell>
        </row>
      </sheetData>
      <sheetData sheetId="6159">
        <row r="4">
          <cell r="A4" t="str">
            <v>BẢNG TÍNH TOÁN, ĐO BÓC KHỐI LƯỢNG HOÀN THÀNH ĐƯA VÀO QUYẾT TOÁN</v>
          </cell>
        </row>
      </sheetData>
      <sheetData sheetId="6160">
        <row r="4">
          <cell r="A4" t="str">
            <v>BẢNG TÍNH TOÁN, ĐO BÓC KHỐI LƯỢNG HOÀN THÀNH ĐƯA VÀO QUYẾT TOÁN</v>
          </cell>
        </row>
      </sheetData>
      <sheetData sheetId="6161">
        <row r="4">
          <cell r="A4" t="str">
            <v>BẢNG TÍNH TOÁN, ĐO BÓC KHỐI LƯỢNG HOÀN THÀNH ĐƯA VÀO QUYẾT TOÁN</v>
          </cell>
        </row>
      </sheetData>
      <sheetData sheetId="6162">
        <row r="4">
          <cell r="A4" t="str">
            <v>BẢNG TÍNH TOÁN, ĐO BÓC KHỐI LƯỢNG HOÀN THÀNH ĐƯA VÀO QUYẾT TOÁN</v>
          </cell>
        </row>
      </sheetData>
      <sheetData sheetId="6163">
        <row r="4">
          <cell r="A4" t="str">
            <v>BẢNG TÍNH TOÁN, ĐO BÓC KHỐI LƯỢNG HOÀN THÀNH ĐƯA VÀO QUYẾT TOÁN</v>
          </cell>
        </row>
      </sheetData>
      <sheetData sheetId="6164">
        <row r="4">
          <cell r="A4" t="str">
            <v>BẢNG TÍNH TOÁN, ĐO BÓC KHỐI LƯỢNG HOÀN THÀNH ĐƯA VÀO QUYẾT TOÁN</v>
          </cell>
        </row>
      </sheetData>
      <sheetData sheetId="6165">
        <row r="4">
          <cell r="A4" t="str">
            <v>BẢNG TÍNH TOÁN, ĐO BÓC KHỐI LƯỢNG HOÀN THÀNH ĐƯA VÀO QUYẾT TOÁN</v>
          </cell>
        </row>
      </sheetData>
      <sheetData sheetId="6166">
        <row r="4">
          <cell r="A4" t="str">
            <v>BẢNG TÍNH TOÁN, ĐO BÓC KHỐI LƯỢNG HOÀN THÀNH ĐƯA VÀO QUYẾT TOÁN</v>
          </cell>
        </row>
      </sheetData>
      <sheetData sheetId="6167">
        <row r="4">
          <cell r="A4" t="str">
            <v>BẢNG TÍNH TOÁN, ĐO BÓC KHỐI LƯỢNG HOÀN THÀNH ĐƯA VÀO QUYẾT TOÁN</v>
          </cell>
        </row>
      </sheetData>
      <sheetData sheetId="6168">
        <row r="4">
          <cell r="A4" t="str">
            <v>BẢNG TÍNH TOÁN, ĐO BÓC KHỐI LƯỢNG HOÀN THÀNH ĐƯA VÀO QUYẾT TOÁN</v>
          </cell>
        </row>
      </sheetData>
      <sheetData sheetId="6169">
        <row r="4">
          <cell r="A4" t="str">
            <v>BẢNG TÍNH TOÁN, ĐO BÓC KHỐI LƯỢNG HOÀN THÀNH ĐƯA VÀO QUYẾT TOÁN</v>
          </cell>
        </row>
      </sheetData>
      <sheetData sheetId="6170">
        <row r="4">
          <cell r="A4" t="str">
            <v>BẢNG TÍNH TOÁN, ĐO BÓC KHỐI LƯỢNG HOÀN THÀNH ĐƯA VÀO QUYẾT TOÁN</v>
          </cell>
        </row>
      </sheetData>
      <sheetData sheetId="6171">
        <row r="4">
          <cell r="A4" t="str">
            <v>BẢNG TÍNH TOÁN, ĐO BÓC KHỐI LƯỢNG HOÀN THÀNH ĐƯA VÀO QUYẾT TOÁN</v>
          </cell>
        </row>
      </sheetData>
      <sheetData sheetId="6172">
        <row r="4">
          <cell r="A4" t="str">
            <v>BẢNG TÍNH TOÁN, ĐO BÓC KHỐI LƯỢNG HOÀN THÀNH ĐƯA VÀO QUYẾT TOÁN</v>
          </cell>
        </row>
      </sheetData>
      <sheetData sheetId="6173">
        <row r="4">
          <cell r="A4" t="str">
            <v>BẢNG TÍNH TOÁN, ĐO BÓC KHỐI LƯỢNG HOÀN THÀNH ĐƯA VÀO QUYẾT TOÁN</v>
          </cell>
        </row>
      </sheetData>
      <sheetData sheetId="6174">
        <row r="4">
          <cell r="A4" t="str">
            <v>BẢNG TÍNH TOÁN, ĐO BÓC KHỐI LƯỢNG HOÀN THÀNH ĐƯA VÀO QUYẾT TOÁN</v>
          </cell>
        </row>
      </sheetData>
      <sheetData sheetId="6175">
        <row r="4">
          <cell r="A4" t="str">
            <v>BẢNG TÍNH TOÁN, ĐO BÓC KHỐI LƯỢNG HOÀN THÀNH ĐƯA VÀO QUYẾT TOÁN</v>
          </cell>
        </row>
      </sheetData>
      <sheetData sheetId="6176">
        <row r="4">
          <cell r="A4" t="str">
            <v>BẢNG TÍNH TOÁN, ĐO BÓC KHỐI LƯỢNG HOÀN THÀNH ĐƯA VÀO QUYẾT TOÁN</v>
          </cell>
        </row>
      </sheetData>
      <sheetData sheetId="6177">
        <row r="4">
          <cell r="A4" t="str">
            <v>BẢNG TÍNH TOÁN, ĐO BÓC KHỐI LƯỢNG HOÀN THÀNH ĐƯA VÀO QUYẾT TOÁN</v>
          </cell>
        </row>
      </sheetData>
      <sheetData sheetId="6178">
        <row r="4">
          <cell r="A4" t="str">
            <v>BẢNG TÍNH TOÁN, ĐO BÓC KHỐI LƯỢNG HOÀN THÀNH ĐƯA VÀO QUYẾT TOÁN</v>
          </cell>
        </row>
      </sheetData>
      <sheetData sheetId="6179">
        <row r="4">
          <cell r="A4" t="str">
            <v>BẢNG TÍNH TOÁN, ĐO BÓC KHỐI LƯỢNG HOÀN THÀNH ĐƯA VÀO QUYẾT TOÁN</v>
          </cell>
        </row>
      </sheetData>
      <sheetData sheetId="6180">
        <row r="4">
          <cell r="A4" t="str">
            <v>BẢNG TÍNH TOÁN, ĐO BÓC KHỐI LƯỢNG HOÀN THÀNH ĐƯA VÀO QUYẾT TOÁN</v>
          </cell>
        </row>
      </sheetData>
      <sheetData sheetId="6181">
        <row r="4">
          <cell r="A4" t="str">
            <v>BẢNG TÍNH TOÁN, ĐO BÓC KHỐI LƯỢNG HOÀN THÀNH ĐƯA VÀO QUYẾT TOÁN</v>
          </cell>
        </row>
      </sheetData>
      <sheetData sheetId="6182">
        <row r="4">
          <cell r="A4" t="str">
            <v>BẢNG TÍNH TOÁN, ĐO BÓC KHỐI LƯỢNG HOÀN THÀNH ĐƯA VÀO QUYẾT TOÁN</v>
          </cell>
        </row>
      </sheetData>
      <sheetData sheetId="6183">
        <row r="4">
          <cell r="A4" t="str">
            <v>BẢNG TÍNH TOÁN, ĐO BÓC KHỐI LƯỢNG HOÀN THÀNH ĐƯA VÀO QUYẾT TOÁN</v>
          </cell>
        </row>
      </sheetData>
      <sheetData sheetId="6184">
        <row r="4">
          <cell r="A4" t="str">
            <v>BẢNG TÍNH TOÁN, ĐO BÓC KHỐI LƯỢNG HOÀN THÀNH ĐƯA VÀO QUYẾT TOÁN</v>
          </cell>
        </row>
      </sheetData>
      <sheetData sheetId="6185">
        <row r="4">
          <cell r="A4" t="str">
            <v>BẢNG TÍNH TOÁN, ĐO BÓC KHỐI LƯỢNG HOÀN THÀNH ĐƯA VÀO QUYẾT TOÁN</v>
          </cell>
        </row>
      </sheetData>
      <sheetData sheetId="6186">
        <row r="4">
          <cell r="A4" t="str">
            <v>BẢNG TÍNH TOÁN, ĐO BÓC KHỐI LƯỢNG HOÀN THÀNH ĐƯA VÀO QUYẾT TOÁN</v>
          </cell>
        </row>
      </sheetData>
      <sheetData sheetId="6187">
        <row r="4">
          <cell r="A4" t="str">
            <v>BẢNG TÍNH TOÁN, ĐO BÓC KHỐI LƯỢNG HOÀN THÀNH ĐƯA VÀO QUYẾT TOÁN</v>
          </cell>
        </row>
      </sheetData>
      <sheetData sheetId="6188">
        <row r="4">
          <cell r="A4" t="str">
            <v>BẢNG TÍNH TOÁN, ĐO BÓC KHỐI LƯỢNG HOÀN THÀNH ĐƯA VÀO QUYẾT TOÁN</v>
          </cell>
        </row>
      </sheetData>
      <sheetData sheetId="6189">
        <row r="4">
          <cell r="A4" t="str">
            <v>BẢNG TÍNH TOÁN, ĐO BÓC KHỐI LƯỢNG HOÀN THÀNH ĐƯA VÀO QUYẾT TOÁN</v>
          </cell>
        </row>
      </sheetData>
      <sheetData sheetId="6190">
        <row r="4">
          <cell r="A4" t="str">
            <v>BẢNG TÍNH TOÁN, ĐO BÓC KHỐI LƯỢNG HOÀN THÀNH ĐƯA VÀO QUYẾT TOÁN</v>
          </cell>
        </row>
      </sheetData>
      <sheetData sheetId="6191">
        <row r="4">
          <cell r="A4" t="str">
            <v>BẢNG TÍNH TOÁN, ĐO BÓC KHỐI LƯỢNG HOÀN THÀNH ĐƯA VÀO QUYẾT TOÁN</v>
          </cell>
        </row>
      </sheetData>
      <sheetData sheetId="6192">
        <row r="4">
          <cell r="A4" t="str">
            <v>BẢNG TÍNH TOÁN, ĐO BÓC KHỐI LƯỢNG HOÀN THÀNH ĐƯA VÀO QUYẾT TOÁN</v>
          </cell>
        </row>
      </sheetData>
      <sheetData sheetId="6193">
        <row r="4">
          <cell r="A4" t="str">
            <v>BẢNG TÍNH TOÁN, ĐO BÓC KHỐI LƯỢNG HOÀN THÀNH ĐƯA VÀO QUYẾT TOÁN</v>
          </cell>
        </row>
      </sheetData>
      <sheetData sheetId="6194">
        <row r="4">
          <cell r="A4" t="str">
            <v>BẢNG TÍNH TOÁN, ĐO BÓC KHỐI LƯỢNG HOÀN THÀNH ĐƯA VÀO QUYẾT TOÁN</v>
          </cell>
        </row>
      </sheetData>
      <sheetData sheetId="6195">
        <row r="4">
          <cell r="A4" t="str">
            <v>BẢNG TÍNH TOÁN, ĐO BÓC KHỐI LƯỢNG HOÀN THÀNH ĐƯA VÀO QUYẾT TOÁN</v>
          </cell>
        </row>
      </sheetData>
      <sheetData sheetId="6196">
        <row r="4">
          <cell r="A4" t="str">
            <v>BẢNG TÍNH TOÁN, ĐO BÓC KHỐI LƯỢNG HOÀN THÀNH ĐƯA VÀO QUYẾT TOÁN</v>
          </cell>
        </row>
      </sheetData>
      <sheetData sheetId="6197">
        <row r="4">
          <cell r="A4" t="str">
            <v>BẢNG TÍNH TOÁN, ĐO BÓC KHỐI LƯỢNG HOÀN THÀNH ĐƯA VÀO QUYẾT TOÁN</v>
          </cell>
        </row>
      </sheetData>
      <sheetData sheetId="6198">
        <row r="4">
          <cell r="A4" t="str">
            <v>BẢNG TÍNH TOÁN, ĐO BÓC KHỐI LƯỢNG HOÀN THÀNH ĐƯA VÀO QUYẾT TOÁN</v>
          </cell>
        </row>
      </sheetData>
      <sheetData sheetId="6199">
        <row r="4">
          <cell r="A4" t="str">
            <v>BẢNG TÍNH TOÁN, ĐO BÓC KHỐI LƯỢNG HOÀN THÀNH ĐƯA VÀO QUYẾT TOÁN</v>
          </cell>
        </row>
      </sheetData>
      <sheetData sheetId="6200">
        <row r="4">
          <cell r="A4" t="str">
            <v>BẢNG TÍNH TOÁN, ĐO BÓC KHỐI LƯỢNG HOÀN THÀNH ĐƯA VÀO QUYẾT TOÁN</v>
          </cell>
        </row>
      </sheetData>
      <sheetData sheetId="6201">
        <row r="4">
          <cell r="A4" t="str">
            <v>BẢNG TÍNH TOÁN, ĐO BÓC KHỐI LƯỢNG HOÀN THÀNH ĐƯA VÀO QUYẾT TOÁN</v>
          </cell>
        </row>
      </sheetData>
      <sheetData sheetId="6202">
        <row r="4">
          <cell r="A4" t="str">
            <v>BẢNG TÍNH TOÁN, ĐO BÓC KHỐI LƯỢNG HOÀN THÀNH ĐƯA VÀO QUYẾT TOÁN</v>
          </cell>
        </row>
      </sheetData>
      <sheetData sheetId="6203">
        <row r="4">
          <cell r="A4" t="str">
            <v>BẢNG TÍNH TOÁN, ĐO BÓC KHỐI LƯỢNG HOÀN THÀNH ĐƯA VÀO QUYẾT TOÁN</v>
          </cell>
        </row>
      </sheetData>
      <sheetData sheetId="6204">
        <row r="4">
          <cell r="A4" t="str">
            <v>BẢNG TÍNH TOÁN, ĐO BÓC KHỐI LƯỢNG HOÀN THÀNH ĐƯA VÀO QUYẾT TOÁN</v>
          </cell>
        </row>
      </sheetData>
      <sheetData sheetId="6205">
        <row r="4">
          <cell r="A4" t="str">
            <v>BẢNG TÍNH TOÁN, ĐO BÓC KHỐI LƯỢNG HOÀN THÀNH ĐƯA VÀO QUYẾT TOÁN</v>
          </cell>
        </row>
      </sheetData>
      <sheetData sheetId="6206">
        <row r="4">
          <cell r="A4" t="str">
            <v>BẢNG TÍNH TOÁN, ĐO BÓC KHỐI LƯỢNG HOÀN THÀNH ĐƯA VÀO QUYẾT TOÁN</v>
          </cell>
        </row>
      </sheetData>
      <sheetData sheetId="6207">
        <row r="4">
          <cell r="A4" t="str">
            <v>BẢNG TÍNH TOÁN, ĐO BÓC KHỐI LƯỢNG HOÀN THÀNH ĐƯA VÀO QUYẾT TOÁN</v>
          </cell>
        </row>
      </sheetData>
      <sheetData sheetId="6208">
        <row r="4">
          <cell r="A4" t="str">
            <v>BẢNG TÍNH TOÁN, ĐO BÓC KHỐI LƯỢNG HOÀN THÀNH ĐƯA VÀO QUYẾT TOÁN</v>
          </cell>
        </row>
      </sheetData>
      <sheetData sheetId="6209">
        <row r="4">
          <cell r="A4" t="str">
            <v>BẢNG TÍNH TOÁN, ĐO BÓC KHỐI LƯỢNG HOÀN THÀNH ĐƯA VÀO QUYẾT TOÁN</v>
          </cell>
        </row>
      </sheetData>
      <sheetData sheetId="6210">
        <row r="4">
          <cell r="A4" t="str">
            <v>BẢNG TÍNH TOÁN, ĐO BÓC KHỐI LƯỢNG HOÀN THÀNH ĐƯA VÀO QUYẾT TOÁN</v>
          </cell>
        </row>
      </sheetData>
      <sheetData sheetId="6211">
        <row r="4">
          <cell r="A4" t="str">
            <v>BẢNG TÍNH TOÁN, ĐO BÓC KHỐI LƯỢNG HOÀN THÀNH ĐƯA VÀO QUYẾT TOÁN</v>
          </cell>
        </row>
      </sheetData>
      <sheetData sheetId="6212">
        <row r="4">
          <cell r="A4" t="str">
            <v>BẢNG TÍNH TOÁN, ĐO BÓC KHỐI LƯỢNG HOÀN THÀNH ĐƯA VÀO QUYẾT TOÁN</v>
          </cell>
        </row>
      </sheetData>
      <sheetData sheetId="6213">
        <row r="4">
          <cell r="A4" t="str">
            <v>BẢNG TÍNH TOÁN, ĐO BÓC KHỐI LƯỢNG HOÀN THÀNH ĐƯA VÀO QUYẾT TOÁN</v>
          </cell>
        </row>
      </sheetData>
      <sheetData sheetId="6214">
        <row r="4">
          <cell r="A4" t="str">
            <v>BẢNG TÍNH TOÁN, ĐO BÓC KHỐI LƯỢNG HOÀN THÀNH ĐƯA VÀO QUYẾT TOÁN</v>
          </cell>
        </row>
      </sheetData>
      <sheetData sheetId="6215">
        <row r="4">
          <cell r="A4" t="str">
            <v>BẢNG TÍNH TOÁN, ĐO BÓC KHỐI LƯỢNG HOÀN THÀNH ĐƯA VÀO QUYẾT TOÁN</v>
          </cell>
        </row>
      </sheetData>
      <sheetData sheetId="6216">
        <row r="4">
          <cell r="A4" t="str">
            <v>BẢNG TÍNH TOÁN, ĐO BÓC KHỐI LƯỢNG HOÀN THÀNH ĐƯA VÀO QUYẾT TOÁN</v>
          </cell>
        </row>
      </sheetData>
      <sheetData sheetId="6217">
        <row r="4">
          <cell r="A4" t="str">
            <v>BẢNG TÍNH TOÁN, ĐO BÓC KHỐI LƯỢNG HOÀN THÀNH ĐƯA VÀO QUYẾT TOÁN</v>
          </cell>
        </row>
      </sheetData>
      <sheetData sheetId="6218">
        <row r="4">
          <cell r="A4" t="str">
            <v>BẢNG TÍNH TOÁN, ĐO BÓC KHỐI LƯỢNG HOÀN THÀNH ĐƯA VÀO QUYẾT TOÁN</v>
          </cell>
        </row>
      </sheetData>
      <sheetData sheetId="6219">
        <row r="4">
          <cell r="A4" t="str">
            <v>BẢNG TÍNH TOÁN, ĐO BÓC KHỐI LƯỢNG HOÀN THÀNH ĐƯA VÀO QUYẾT TOÁN</v>
          </cell>
        </row>
      </sheetData>
      <sheetData sheetId="6220">
        <row r="4">
          <cell r="A4" t="str">
            <v>BẢNG TÍNH TOÁN, ĐO BÓC KHỐI LƯỢNG HOÀN THÀNH ĐƯA VÀO QUYẾT TOÁN</v>
          </cell>
        </row>
      </sheetData>
      <sheetData sheetId="6221">
        <row r="4">
          <cell r="A4" t="str">
            <v>BẢNG TÍNH TOÁN, ĐO BÓC KHỐI LƯỢNG HOÀN THÀNH ĐƯA VÀO QUYẾT TOÁN</v>
          </cell>
        </row>
      </sheetData>
      <sheetData sheetId="6222">
        <row r="4">
          <cell r="A4" t="str">
            <v>BẢNG TÍNH TOÁN, ĐO BÓC KHỐI LƯỢNG HOÀN THÀNH ĐƯA VÀO QUYẾT TOÁN</v>
          </cell>
        </row>
      </sheetData>
      <sheetData sheetId="6223">
        <row r="4">
          <cell r="A4" t="str">
            <v>BẢNG TÍNH TOÁN, ĐO BÓC KHỐI LƯỢNG HOÀN THÀNH ĐƯA VÀO QUYẾT TOÁN</v>
          </cell>
        </row>
      </sheetData>
      <sheetData sheetId="6224">
        <row r="4">
          <cell r="A4" t="str">
            <v>BẢNG TÍNH TOÁN, ĐO BÓC KHỐI LƯỢNG HOÀN THÀNH ĐƯA VÀO QUYẾT TOÁN</v>
          </cell>
        </row>
      </sheetData>
      <sheetData sheetId="6225">
        <row r="4">
          <cell r="A4" t="str">
            <v>BẢNG TÍNH TOÁN, ĐO BÓC KHỐI LƯỢNG HOÀN THÀNH ĐƯA VÀO QUYẾT TOÁN</v>
          </cell>
        </row>
      </sheetData>
      <sheetData sheetId="6226">
        <row r="4">
          <cell r="A4" t="str">
            <v>BẢNG TÍNH TOÁN, ĐO BÓC KHỐI LƯỢNG HOÀN THÀNH ĐƯA VÀO QUYẾT TOÁN</v>
          </cell>
        </row>
      </sheetData>
      <sheetData sheetId="6227">
        <row r="4">
          <cell r="A4" t="str">
            <v>BẢNG TÍNH TOÁN, ĐO BÓC KHỐI LƯỢNG HOÀN THÀNH ĐƯA VÀO QUYẾT TOÁN</v>
          </cell>
        </row>
      </sheetData>
      <sheetData sheetId="6228">
        <row r="4">
          <cell r="A4" t="str">
            <v>BẢNG TÍNH TOÁN, ĐO BÓC KHỐI LƯỢNG HOÀN THÀNH ĐƯA VÀO QUYẾT TOÁN</v>
          </cell>
        </row>
      </sheetData>
      <sheetData sheetId="6229">
        <row r="4">
          <cell r="A4" t="str">
            <v>BẢNG TÍNH TOÁN, ĐO BÓC KHỐI LƯỢNG HOÀN THÀNH ĐƯA VÀO QUYẾT TOÁN</v>
          </cell>
        </row>
      </sheetData>
      <sheetData sheetId="6230">
        <row r="4">
          <cell r="A4" t="str">
            <v>BẢNG TÍNH TOÁN, ĐO BÓC KHỐI LƯỢNG HOÀN THÀNH ĐƯA VÀO QUYẾT TOÁN</v>
          </cell>
        </row>
      </sheetData>
      <sheetData sheetId="6231">
        <row r="4">
          <cell r="A4" t="str">
            <v>BẢNG TÍNH TOÁN, ĐO BÓC KHỐI LƯỢNG HOÀN THÀNH ĐƯA VÀO QUYẾT TOÁN</v>
          </cell>
        </row>
      </sheetData>
      <sheetData sheetId="6232">
        <row r="4">
          <cell r="A4" t="str">
            <v>BẢNG TÍNH TOÁN, ĐO BÓC KHỐI LƯỢNG HOÀN THÀNH ĐƯA VÀO QUYẾT TOÁN</v>
          </cell>
        </row>
      </sheetData>
      <sheetData sheetId="6233">
        <row r="4">
          <cell r="A4" t="str">
            <v>BẢNG TÍNH TOÁN, ĐO BÓC KHỐI LƯỢNG HOÀN THÀNH ĐƯA VÀO QUYẾT TOÁN</v>
          </cell>
        </row>
      </sheetData>
      <sheetData sheetId="6234">
        <row r="4">
          <cell r="A4" t="str">
            <v>BẢNG TÍNH TOÁN, ĐO BÓC KHỐI LƯỢNG HOÀN THÀNH ĐƯA VÀO QUYẾT TOÁN</v>
          </cell>
        </row>
      </sheetData>
      <sheetData sheetId="6235">
        <row r="4">
          <cell r="A4" t="str">
            <v>BẢNG TÍNH TOÁN, ĐO BÓC KHỐI LƯỢNG HOÀN THÀNH ĐƯA VÀO QUYẾT TOÁN</v>
          </cell>
        </row>
      </sheetData>
      <sheetData sheetId="6236">
        <row r="4">
          <cell r="A4" t="str">
            <v>BẢNG TÍNH TOÁN, ĐO BÓC KHỐI LƯỢNG HOÀN THÀNH ĐƯA VÀO QUYẾT TOÁN</v>
          </cell>
        </row>
      </sheetData>
      <sheetData sheetId="6237">
        <row r="4">
          <cell r="A4" t="str">
            <v>BẢNG TÍNH TOÁN, ĐO BÓC KHỐI LƯỢNG HOÀN THÀNH ĐƯA VÀO QUYẾT TOÁN</v>
          </cell>
        </row>
      </sheetData>
      <sheetData sheetId="6238">
        <row r="4">
          <cell r="A4" t="str">
            <v>BẢNG TÍNH TOÁN, ĐO BÓC KHỐI LƯỢNG HOÀN THÀNH ĐƯA VÀO QUYẾT TOÁN</v>
          </cell>
        </row>
      </sheetData>
      <sheetData sheetId="6239">
        <row r="4">
          <cell r="A4" t="str">
            <v>BẢNG TÍNH TOÁN, ĐO BÓC KHỐI LƯỢNG HOÀN THÀNH ĐƯA VÀO QUYẾT TOÁN</v>
          </cell>
        </row>
      </sheetData>
      <sheetData sheetId="6240">
        <row r="4">
          <cell r="A4" t="str">
            <v>BẢNG TÍNH TOÁN, ĐO BÓC KHỐI LƯỢNG HOÀN THÀNH ĐƯA VÀO QUYẾT TOÁN</v>
          </cell>
        </row>
      </sheetData>
      <sheetData sheetId="6241">
        <row r="4">
          <cell r="A4" t="str">
            <v>BẢNG TÍNH TOÁN, ĐO BÓC KHỐI LƯỢNG HOÀN THÀNH ĐƯA VÀO QUYẾT TOÁN</v>
          </cell>
        </row>
      </sheetData>
      <sheetData sheetId="6242">
        <row r="4">
          <cell r="A4" t="str">
            <v>BẢNG TÍNH TOÁN, ĐO BÓC KHỐI LƯỢNG HOÀN THÀNH ĐƯA VÀO QUYẾT TOÁN</v>
          </cell>
        </row>
      </sheetData>
      <sheetData sheetId="6243">
        <row r="4">
          <cell r="A4" t="str">
            <v>BẢNG TÍNH TOÁN, ĐO BÓC KHỐI LƯỢNG HOÀN THÀNH ĐƯA VÀO QUYẾT TOÁN</v>
          </cell>
        </row>
      </sheetData>
      <sheetData sheetId="6244">
        <row r="4">
          <cell r="A4" t="str">
            <v>BẢNG TÍNH TOÁN, ĐO BÓC KHỐI LƯỢNG HOÀN THÀNH ĐƯA VÀO QUYẾT TOÁN</v>
          </cell>
        </row>
      </sheetData>
      <sheetData sheetId="6245">
        <row r="4">
          <cell r="A4" t="str">
            <v>BẢNG TÍNH TOÁN, ĐO BÓC KHỐI LƯỢNG HOÀN THÀNH ĐƯA VÀO QUYẾT TOÁN</v>
          </cell>
        </row>
      </sheetData>
      <sheetData sheetId="6246">
        <row r="4">
          <cell r="A4" t="str">
            <v>BẢNG TÍNH TOÁN, ĐO BÓC KHỐI LƯỢNG HOÀN THÀNH ĐƯA VÀO QUYẾT TOÁN</v>
          </cell>
        </row>
      </sheetData>
      <sheetData sheetId="6247">
        <row r="4">
          <cell r="A4" t="str">
            <v>BẢNG TÍNH TOÁN, ĐO BÓC KHỐI LƯỢNG HOÀN THÀNH ĐƯA VÀO QUYẾT TOÁN</v>
          </cell>
        </row>
      </sheetData>
      <sheetData sheetId="6248">
        <row r="4">
          <cell r="A4" t="str">
            <v>BẢNG TÍNH TOÁN, ĐO BÓC KHỐI LƯỢNG HOÀN THÀNH ĐƯA VÀO QUYẾT TOÁN</v>
          </cell>
        </row>
      </sheetData>
      <sheetData sheetId="6249">
        <row r="4">
          <cell r="A4" t="str">
            <v>BẢNG TÍNH TOÁN, ĐO BÓC KHỐI LƯỢNG HOÀN THÀNH ĐƯA VÀO QUYẾT TOÁN</v>
          </cell>
        </row>
      </sheetData>
      <sheetData sheetId="6250">
        <row r="4">
          <cell r="A4" t="str">
            <v>BẢNG TÍNH TOÁN, ĐO BÓC KHỐI LƯỢNG HOÀN THÀNH ĐƯA VÀO QUYẾT TOÁN</v>
          </cell>
        </row>
      </sheetData>
      <sheetData sheetId="6251">
        <row r="4">
          <cell r="A4" t="str">
            <v>BẢNG TÍNH TOÁN, ĐO BÓC KHỐI LƯỢNG HOÀN THÀNH ĐƯA VÀO QUYẾT TOÁN</v>
          </cell>
        </row>
      </sheetData>
      <sheetData sheetId="6252">
        <row r="4">
          <cell r="A4" t="str">
            <v>BẢNG TÍNH TOÁN, ĐO BÓC KHỐI LƯỢNG HOÀN THÀNH ĐƯA VÀO QUYẾT TOÁN</v>
          </cell>
        </row>
      </sheetData>
      <sheetData sheetId="6253">
        <row r="4">
          <cell r="A4" t="str">
            <v>BẢNG TÍNH TOÁN, ĐO BÓC KHỐI LƯỢNG HOÀN THÀNH ĐƯA VÀO QUYẾT TOÁN</v>
          </cell>
        </row>
      </sheetData>
      <sheetData sheetId="6254">
        <row r="4">
          <cell r="A4" t="str">
            <v>BẢNG TÍNH TOÁN, ĐO BÓC KHỐI LƯỢNG HOÀN THÀNH ĐƯA VÀO QUYẾT TOÁN</v>
          </cell>
        </row>
      </sheetData>
      <sheetData sheetId="6255">
        <row r="4">
          <cell r="A4" t="str">
            <v>BẢNG TÍNH TOÁN, ĐO BÓC KHỐI LƯỢNG HOÀN THÀNH ĐƯA VÀO QUYẾT TOÁN</v>
          </cell>
        </row>
      </sheetData>
      <sheetData sheetId="6256">
        <row r="4">
          <cell r="A4" t="str">
            <v>BẢNG TÍNH TOÁN, ĐO BÓC KHỐI LƯỢNG HOÀN THÀNH ĐƯA VÀO QUYẾT TOÁN</v>
          </cell>
        </row>
      </sheetData>
      <sheetData sheetId="6257">
        <row r="4">
          <cell r="A4" t="str">
            <v>BẢNG TÍNH TOÁN, ĐO BÓC KHỐI LƯỢNG HOÀN THÀNH ĐƯA VÀO QUYẾT TOÁN</v>
          </cell>
        </row>
      </sheetData>
      <sheetData sheetId="6258">
        <row r="4">
          <cell r="A4" t="str">
            <v>BẢNG TÍNH TOÁN, ĐO BÓC KHỐI LƯỢNG HOÀN THÀNH ĐƯA VÀO QUYẾT TOÁN</v>
          </cell>
        </row>
      </sheetData>
      <sheetData sheetId="6259">
        <row r="4">
          <cell r="A4" t="str">
            <v>BẢNG TÍNH TOÁN, ĐO BÓC KHỐI LƯỢNG HOÀN THÀNH ĐƯA VÀO QUYẾT TOÁN</v>
          </cell>
        </row>
      </sheetData>
      <sheetData sheetId="6260">
        <row r="4">
          <cell r="A4" t="str">
            <v>BẢNG TÍNH TOÁN, ĐO BÓC KHỐI LƯỢNG HOÀN THÀNH ĐƯA VÀO QUYẾT TOÁN</v>
          </cell>
        </row>
      </sheetData>
      <sheetData sheetId="6261">
        <row r="4">
          <cell r="A4" t="str">
            <v>BẢNG TÍNH TOÁN, ĐO BÓC KHỐI LƯỢNG HOÀN THÀNH ĐƯA VÀO QUYẾT TOÁN</v>
          </cell>
        </row>
      </sheetData>
      <sheetData sheetId="6262">
        <row r="4">
          <cell r="A4" t="str">
            <v>BẢNG TÍNH TOÁN, ĐO BÓC KHỐI LƯỢNG HOÀN THÀNH ĐƯA VÀO QUYẾT TOÁN</v>
          </cell>
        </row>
      </sheetData>
      <sheetData sheetId="6263">
        <row r="4">
          <cell r="A4" t="str">
            <v>BẢNG TÍNH TOÁN, ĐO BÓC KHỐI LƯỢNG HOÀN THÀNH ĐƯA VÀO QUYẾT TOÁN</v>
          </cell>
        </row>
      </sheetData>
      <sheetData sheetId="6264">
        <row r="4">
          <cell r="A4" t="str">
            <v>BẢNG TÍNH TOÁN, ĐO BÓC KHỐI LƯỢNG HOÀN THÀNH ĐƯA VÀO QUYẾT TOÁN</v>
          </cell>
        </row>
      </sheetData>
      <sheetData sheetId="6265">
        <row r="4">
          <cell r="A4" t="str">
            <v>BẢNG TÍNH TOÁN, ĐO BÓC KHỐI LƯỢNG HOÀN THÀNH ĐƯA VÀO QUYẾT TOÁN</v>
          </cell>
        </row>
      </sheetData>
      <sheetData sheetId="6266">
        <row r="4">
          <cell r="A4" t="str">
            <v>BẢNG TÍNH TOÁN, ĐO BÓC KHỐI LƯỢNG HOÀN THÀNH ĐƯA VÀO QUYẾT TOÁN</v>
          </cell>
        </row>
      </sheetData>
      <sheetData sheetId="6267">
        <row r="4">
          <cell r="A4" t="str">
            <v>BẢNG TÍNH TOÁN, ĐO BÓC KHỐI LƯỢNG HOÀN THÀNH ĐƯA VÀO QUYẾT TOÁN</v>
          </cell>
        </row>
      </sheetData>
      <sheetData sheetId="6268">
        <row r="4">
          <cell r="A4" t="str">
            <v>BẢNG TÍNH TOÁN, ĐO BÓC KHỐI LƯỢNG HOÀN THÀNH ĐƯA VÀO QUYẾT TOÁN</v>
          </cell>
        </row>
      </sheetData>
      <sheetData sheetId="6269">
        <row r="4">
          <cell r="A4" t="str">
            <v>BẢNG TÍNH TOÁN, ĐO BÓC KHỐI LƯỢNG HOÀN THÀNH ĐƯA VÀO QUYẾT TOÁN</v>
          </cell>
        </row>
      </sheetData>
      <sheetData sheetId="6270">
        <row r="4">
          <cell r="A4" t="str">
            <v>BẢNG TÍNH TOÁN, ĐO BÓC KHỐI LƯỢNG HOÀN THÀNH ĐƯA VÀO QUYẾT TOÁN</v>
          </cell>
        </row>
      </sheetData>
      <sheetData sheetId="6271">
        <row r="4">
          <cell r="A4" t="str">
            <v>BẢNG TÍNH TOÁN, ĐO BÓC KHỐI LƯỢNG HOÀN THÀNH ĐƯA VÀO QUYẾT TOÁN</v>
          </cell>
        </row>
      </sheetData>
      <sheetData sheetId="6272">
        <row r="4">
          <cell r="A4" t="str">
            <v>BẢNG TÍNH TOÁN, ĐO BÓC KHỐI LƯỢNG HOÀN THÀNH ĐƯA VÀO QUYẾT TOÁN</v>
          </cell>
        </row>
      </sheetData>
      <sheetData sheetId="6273">
        <row r="4">
          <cell r="A4" t="str">
            <v>BẢNG TÍNH TOÁN, ĐO BÓC KHỐI LƯỢNG HOÀN THÀNH ĐƯA VÀO QUYẾT TOÁN</v>
          </cell>
        </row>
      </sheetData>
      <sheetData sheetId="6274">
        <row r="4">
          <cell r="A4" t="str">
            <v>BẢNG TÍNH TOÁN, ĐO BÓC KHỐI LƯỢNG HOÀN THÀNH ĐƯA VÀO QUYẾT TOÁN</v>
          </cell>
        </row>
      </sheetData>
      <sheetData sheetId="6275">
        <row r="4">
          <cell r="A4" t="str">
            <v>BẢNG TÍNH TOÁN, ĐO BÓC KHỐI LƯỢNG HOÀN THÀNH ĐƯA VÀO QUYẾT TOÁN</v>
          </cell>
        </row>
      </sheetData>
      <sheetData sheetId="6276">
        <row r="4">
          <cell r="A4" t="str">
            <v>BẢNG TÍNH TOÁN, ĐO BÓC KHỐI LƯỢNG HOÀN THÀNH ĐƯA VÀO QUYẾT TOÁN</v>
          </cell>
        </row>
      </sheetData>
      <sheetData sheetId="6277">
        <row r="4">
          <cell r="A4" t="str">
            <v>BẢNG TÍNH TOÁN, ĐO BÓC KHỐI LƯỢNG HOÀN THÀNH ĐƯA VÀO QUYẾT TOÁN</v>
          </cell>
        </row>
      </sheetData>
      <sheetData sheetId="6278">
        <row r="4">
          <cell r="A4" t="str">
            <v>BẢNG TÍNH TOÁN, ĐO BÓC KHỐI LƯỢNG HOÀN THÀNH ĐƯA VÀO QUYẾT TOÁN</v>
          </cell>
        </row>
      </sheetData>
      <sheetData sheetId="6279">
        <row r="4">
          <cell r="A4" t="str">
            <v>BẢNG TÍNH TOÁN, ĐO BÓC KHỐI LƯỢNG HOÀN THÀNH ĐƯA VÀO QUYẾT TOÁN</v>
          </cell>
        </row>
      </sheetData>
      <sheetData sheetId="6280">
        <row r="4">
          <cell r="A4" t="str">
            <v>BẢNG TÍNH TOÁN, ĐO BÓC KHỐI LƯỢNG HOÀN THÀNH ĐƯA VÀO QUYẾT TOÁN</v>
          </cell>
        </row>
      </sheetData>
      <sheetData sheetId="6281">
        <row r="4">
          <cell r="A4" t="str">
            <v>BẢNG TÍNH TOÁN, ĐO BÓC KHỐI LƯỢNG HOÀN THÀNH ĐƯA VÀO QUYẾT TOÁN</v>
          </cell>
        </row>
      </sheetData>
      <sheetData sheetId="6282">
        <row r="4">
          <cell r="A4" t="str">
            <v>BẢNG TÍNH TOÁN, ĐO BÓC KHỐI LƯỢNG HOÀN THÀNH ĐƯA VÀO QUYẾT TOÁN</v>
          </cell>
        </row>
      </sheetData>
      <sheetData sheetId="6283">
        <row r="4">
          <cell r="A4" t="str">
            <v>BẢNG TÍNH TOÁN, ĐO BÓC KHỐI LƯỢNG HOÀN THÀNH ĐƯA VÀO QUYẾT TOÁN</v>
          </cell>
        </row>
      </sheetData>
      <sheetData sheetId="6284">
        <row r="4">
          <cell r="A4" t="str">
            <v>BẢNG TÍNH TOÁN, ĐO BÓC KHỐI LƯỢNG HOÀN THÀNH ĐƯA VÀO QUYẾT TOÁN</v>
          </cell>
        </row>
      </sheetData>
      <sheetData sheetId="6285">
        <row r="4">
          <cell r="A4" t="str">
            <v>BẢNG TÍNH TOÁN, ĐO BÓC KHỐI LƯỢNG HOÀN THÀNH ĐƯA VÀO QUYẾT TOÁN</v>
          </cell>
        </row>
      </sheetData>
      <sheetData sheetId="6286">
        <row r="4">
          <cell r="A4" t="str">
            <v>BẢNG TÍNH TOÁN, ĐO BÓC KHỐI LƯỢNG HOÀN THÀNH ĐƯA VÀO QUYẾT TOÁN</v>
          </cell>
        </row>
      </sheetData>
      <sheetData sheetId="6287">
        <row r="4">
          <cell r="A4" t="str">
            <v>BẢNG TÍNH TOÁN, ĐO BÓC KHỐI LƯỢNG HOÀN THÀNH ĐƯA VÀO QUYẾT TOÁN</v>
          </cell>
        </row>
      </sheetData>
      <sheetData sheetId="6288">
        <row r="4">
          <cell r="A4" t="str">
            <v>BẢNG TÍNH TOÁN, ĐO BÓC KHỐI LƯỢNG HOÀN THÀNH ĐƯA VÀO QUYẾT TOÁN</v>
          </cell>
        </row>
      </sheetData>
      <sheetData sheetId="6289">
        <row r="4">
          <cell r="A4" t="str">
            <v>BẢNG TÍNH TOÁN, ĐO BÓC KHỐI LƯỢNG HOÀN THÀNH ĐƯA VÀO QUYẾT TOÁN</v>
          </cell>
        </row>
      </sheetData>
      <sheetData sheetId="6290">
        <row r="4">
          <cell r="A4" t="str">
            <v>BẢNG TÍNH TOÁN, ĐO BÓC KHỐI LƯỢNG HOÀN THÀNH ĐƯA VÀO QUYẾT TOÁN</v>
          </cell>
        </row>
      </sheetData>
      <sheetData sheetId="6291">
        <row r="4">
          <cell r="A4" t="str">
            <v>BẢNG TÍNH TOÁN, ĐO BÓC KHỐI LƯỢNG HOÀN THÀNH ĐƯA VÀO QUYẾT TOÁN</v>
          </cell>
        </row>
      </sheetData>
      <sheetData sheetId="6292">
        <row r="4">
          <cell r="A4" t="str">
            <v>BẢNG TÍNH TOÁN, ĐO BÓC KHỐI LƯỢNG HOÀN THÀNH ĐƯA VÀO QUYẾT TOÁN</v>
          </cell>
        </row>
      </sheetData>
      <sheetData sheetId="6293">
        <row r="4">
          <cell r="A4" t="str">
            <v>BẢNG TÍNH TOÁN, ĐO BÓC KHỐI LƯỢNG HOÀN THÀNH ĐƯA VÀO QUYẾT TOÁN</v>
          </cell>
        </row>
      </sheetData>
      <sheetData sheetId="6294">
        <row r="4">
          <cell r="A4" t="str">
            <v>BẢNG TÍNH TOÁN, ĐO BÓC KHỐI LƯỢNG HOÀN THÀNH ĐƯA VÀO QUYẾT TOÁN</v>
          </cell>
        </row>
      </sheetData>
      <sheetData sheetId="6295">
        <row r="4">
          <cell r="A4" t="str">
            <v>BẢNG TÍNH TOÁN, ĐO BÓC KHỐI LƯỢNG HOÀN THÀNH ĐƯA VÀO QUYẾT TOÁN</v>
          </cell>
        </row>
      </sheetData>
      <sheetData sheetId="6296">
        <row r="4">
          <cell r="A4" t="str">
            <v>BẢNG TÍNH TOÁN, ĐO BÓC KHỐI LƯỢNG HOÀN THÀNH ĐƯA VÀO QUYẾT TOÁN</v>
          </cell>
        </row>
      </sheetData>
      <sheetData sheetId="6297">
        <row r="4">
          <cell r="A4" t="str">
            <v>BẢNG TÍNH TOÁN, ĐO BÓC KHỐI LƯỢNG HOÀN THÀNH ĐƯA VÀO QUYẾT TOÁN</v>
          </cell>
        </row>
      </sheetData>
      <sheetData sheetId="6298">
        <row r="4">
          <cell r="A4" t="str">
            <v>BẢNG TÍNH TOÁN, ĐO BÓC KHỐI LƯỢNG HOÀN THÀNH ĐƯA VÀO QUYẾT TOÁN</v>
          </cell>
        </row>
      </sheetData>
      <sheetData sheetId="6299">
        <row r="4">
          <cell r="A4" t="str">
            <v>BẢNG TÍNH TOÁN, ĐO BÓC KHỐI LƯỢNG HOÀN THÀNH ĐƯA VÀO QUYẾT TOÁN</v>
          </cell>
        </row>
      </sheetData>
      <sheetData sheetId="6300">
        <row r="4">
          <cell r="A4" t="str">
            <v>BẢNG TÍNH TOÁN, ĐO BÓC KHỐI LƯỢNG HOÀN THÀNH ĐƯA VÀO QUYẾT TOÁN</v>
          </cell>
        </row>
      </sheetData>
      <sheetData sheetId="6301">
        <row r="4">
          <cell r="A4" t="str">
            <v>BẢNG TÍNH TOÁN, ĐO BÓC KHỐI LƯỢNG HOÀN THÀNH ĐƯA VÀO QUYẾT TOÁN</v>
          </cell>
        </row>
      </sheetData>
      <sheetData sheetId="6302">
        <row r="4">
          <cell r="A4" t="str">
            <v>BẢNG TÍNH TOÁN, ĐO BÓC KHỐI LƯỢNG HOÀN THÀNH ĐƯA VÀO QUYẾT TOÁN</v>
          </cell>
        </row>
      </sheetData>
      <sheetData sheetId="6303">
        <row r="4">
          <cell r="A4" t="str">
            <v>BẢNG TÍNH TOÁN, ĐO BÓC KHỐI LƯỢNG HOÀN THÀNH ĐƯA VÀO QUYẾT TOÁN</v>
          </cell>
        </row>
      </sheetData>
      <sheetData sheetId="6304">
        <row r="4">
          <cell r="A4" t="str">
            <v>BẢNG TÍNH TOÁN, ĐO BÓC KHỐI LƯỢNG HOÀN THÀNH ĐƯA VÀO QUYẾT TOÁN</v>
          </cell>
        </row>
      </sheetData>
      <sheetData sheetId="6305">
        <row r="4">
          <cell r="A4" t="str">
            <v>BẢNG TÍNH TOÁN, ĐO BÓC KHỐI LƯỢNG HOÀN THÀNH ĐƯA VÀO QUYẾT TOÁN</v>
          </cell>
        </row>
      </sheetData>
      <sheetData sheetId="6306">
        <row r="4">
          <cell r="A4" t="str">
            <v>BẢNG TÍNH TOÁN, ĐO BÓC KHỐI LƯỢNG HOÀN THÀNH ĐƯA VÀO QUYẾT TOÁN</v>
          </cell>
        </row>
      </sheetData>
      <sheetData sheetId="6307">
        <row r="4">
          <cell r="A4" t="str">
            <v>BẢNG TÍNH TOÁN, ĐO BÓC KHỐI LƯỢNG HOÀN THÀNH ĐƯA VÀO QUYẾT TOÁN</v>
          </cell>
        </row>
      </sheetData>
      <sheetData sheetId="6308">
        <row r="4">
          <cell r="A4" t="str">
            <v>BẢNG TÍNH TOÁN, ĐO BÓC KHỐI LƯỢNG HOÀN THÀNH ĐƯA VÀO QUYẾT TOÁN</v>
          </cell>
        </row>
      </sheetData>
      <sheetData sheetId="6309">
        <row r="4">
          <cell r="A4" t="str">
            <v>BẢNG TÍNH TOÁN, ĐO BÓC KHỐI LƯỢNG HOÀN THÀNH ĐƯA VÀO QUYẾT TOÁN</v>
          </cell>
        </row>
      </sheetData>
      <sheetData sheetId="6310">
        <row r="4">
          <cell r="A4" t="str">
            <v>BẢNG TÍNH TOÁN, ĐO BÓC KHỐI LƯỢNG HOÀN THÀNH ĐƯA VÀO QUYẾT TOÁN</v>
          </cell>
        </row>
      </sheetData>
      <sheetData sheetId="6311">
        <row r="4">
          <cell r="A4" t="str">
            <v>BẢNG TÍNH TOÁN, ĐO BÓC KHỐI LƯỢNG HOÀN THÀNH ĐƯA VÀO QUYẾT TOÁN</v>
          </cell>
        </row>
      </sheetData>
      <sheetData sheetId="6312">
        <row r="4">
          <cell r="A4" t="str">
            <v>BẢNG TÍNH TOÁN, ĐO BÓC KHỐI LƯỢNG HOÀN THÀNH ĐƯA VÀO QUYẾT TOÁN</v>
          </cell>
        </row>
      </sheetData>
      <sheetData sheetId="6313">
        <row r="4">
          <cell r="A4" t="str">
            <v>BẢNG TÍNH TOÁN, ĐO BÓC KHỐI LƯỢNG HOÀN THÀNH ĐƯA VÀO QUYẾT TOÁN</v>
          </cell>
        </row>
      </sheetData>
      <sheetData sheetId="6314">
        <row r="4">
          <cell r="A4" t="str">
            <v>BẢNG TÍNH TOÁN, ĐO BÓC KHỐI LƯỢNG HOÀN THÀNH ĐƯA VÀO QUYẾT TOÁN</v>
          </cell>
        </row>
      </sheetData>
      <sheetData sheetId="6315">
        <row r="4">
          <cell r="A4" t="str">
            <v>BẢNG TÍNH TOÁN, ĐO BÓC KHỐI LƯỢNG HOÀN THÀNH ĐƯA VÀO QUYẾT TOÁN</v>
          </cell>
        </row>
      </sheetData>
      <sheetData sheetId="6316">
        <row r="4">
          <cell r="A4" t="str">
            <v>BẢNG TÍNH TOÁN, ĐO BÓC KHỐI LƯỢNG HOÀN THÀNH ĐƯA VÀO QUYẾT TOÁN</v>
          </cell>
        </row>
      </sheetData>
      <sheetData sheetId="6317">
        <row r="4">
          <cell r="A4" t="str">
            <v>BẢNG TÍNH TOÁN, ĐO BÓC KHỐI LƯỢNG HOÀN THÀNH ĐƯA VÀO QUYẾT TOÁN</v>
          </cell>
        </row>
      </sheetData>
      <sheetData sheetId="6318">
        <row r="4">
          <cell r="A4" t="str">
            <v>BẢNG TÍNH TOÁN, ĐO BÓC KHỐI LƯỢNG HOÀN THÀNH ĐƯA VÀO QUYẾT TOÁN</v>
          </cell>
        </row>
      </sheetData>
      <sheetData sheetId="6319">
        <row r="4">
          <cell r="A4" t="str">
            <v>BẢNG TÍNH TOÁN, ĐO BÓC KHỐI LƯỢNG HOÀN THÀNH ĐƯA VÀO QUYẾT TOÁN</v>
          </cell>
        </row>
      </sheetData>
      <sheetData sheetId="6320">
        <row r="4">
          <cell r="A4" t="str">
            <v>BẢNG TÍNH TOÁN, ĐO BÓC KHỐI LƯỢNG HOÀN THÀNH ĐƯA VÀO QUYẾT TOÁN</v>
          </cell>
        </row>
      </sheetData>
      <sheetData sheetId="6321">
        <row r="4">
          <cell r="A4" t="str">
            <v>BẢNG TÍNH TOÁN, ĐO BÓC KHỐI LƯỢNG HOÀN THÀNH ĐƯA VÀO QUYẾT TOÁN</v>
          </cell>
        </row>
      </sheetData>
      <sheetData sheetId="6322">
        <row r="4">
          <cell r="A4" t="str">
            <v>BẢNG TÍNH TOÁN, ĐO BÓC KHỐI LƯỢNG HOÀN THÀNH ĐƯA VÀO QUYẾT TOÁN</v>
          </cell>
        </row>
      </sheetData>
      <sheetData sheetId="6323">
        <row r="4">
          <cell r="A4" t="str">
            <v>BẢNG TÍNH TOÁN, ĐO BÓC KHỐI LƯỢNG HOÀN THÀNH ĐƯA VÀO QUYẾT TOÁN</v>
          </cell>
        </row>
      </sheetData>
      <sheetData sheetId="6324">
        <row r="4">
          <cell r="A4" t="str">
            <v>BẢNG TÍNH TOÁN, ĐO BÓC KHỐI LƯỢNG HOÀN THÀNH ĐƯA VÀO QUYẾT TOÁN</v>
          </cell>
        </row>
      </sheetData>
      <sheetData sheetId="6325">
        <row r="4">
          <cell r="A4" t="str">
            <v>BẢNG TÍNH TOÁN, ĐO BÓC KHỐI LƯỢNG HOÀN THÀNH ĐƯA VÀO QUYẾT TOÁN</v>
          </cell>
        </row>
      </sheetData>
      <sheetData sheetId="6326">
        <row r="4">
          <cell r="A4" t="str">
            <v>BẢNG TÍNH TOÁN, ĐO BÓC KHỐI LƯỢNG HOÀN THÀNH ĐƯA VÀO QUYẾT TOÁN</v>
          </cell>
        </row>
      </sheetData>
      <sheetData sheetId="6327">
        <row r="4">
          <cell r="A4" t="str">
            <v>BẢNG TÍNH TOÁN, ĐO BÓC KHỐI LƯỢNG HOÀN THÀNH ĐƯA VÀO QUYẾT TOÁN</v>
          </cell>
        </row>
      </sheetData>
      <sheetData sheetId="6328">
        <row r="4">
          <cell r="A4" t="str">
            <v>BẢNG TÍNH TOÁN, ĐO BÓC KHỐI LƯỢNG HOÀN THÀNH ĐƯA VÀO QUYẾT TOÁN</v>
          </cell>
        </row>
      </sheetData>
      <sheetData sheetId="6329">
        <row r="4">
          <cell r="A4" t="str">
            <v>BẢNG TÍNH TOÁN, ĐO BÓC KHỐI LƯỢNG HOÀN THÀNH ĐƯA VÀO QUYẾT TOÁN</v>
          </cell>
        </row>
      </sheetData>
      <sheetData sheetId="6330">
        <row r="4">
          <cell r="A4" t="str">
            <v>BẢNG TÍNH TOÁN, ĐO BÓC KHỐI LƯỢNG HOÀN THÀNH ĐƯA VÀO QUYẾT TOÁN</v>
          </cell>
        </row>
      </sheetData>
      <sheetData sheetId="6331">
        <row r="4">
          <cell r="A4" t="str">
            <v>BẢNG TÍNH TOÁN, ĐO BÓC KHỐI LƯỢNG HOÀN THÀNH ĐƯA VÀO QUYẾT TOÁN</v>
          </cell>
        </row>
      </sheetData>
      <sheetData sheetId="6332">
        <row r="4">
          <cell r="A4" t="str">
            <v>BẢNG TÍNH TOÁN, ĐO BÓC KHỐI LƯỢNG HOÀN THÀNH ĐƯA VÀO QUYẾT TOÁN</v>
          </cell>
        </row>
      </sheetData>
      <sheetData sheetId="6333">
        <row r="4">
          <cell r="A4" t="str">
            <v>BẢNG TÍNH TOÁN, ĐO BÓC KHỐI LƯỢNG HOÀN THÀNH ĐƯA VÀO QUYẾT TOÁN</v>
          </cell>
        </row>
      </sheetData>
      <sheetData sheetId="6334">
        <row r="4">
          <cell r="A4" t="str">
            <v>BẢNG TÍNH TOÁN, ĐO BÓC KHỐI LƯỢNG HOÀN THÀNH ĐƯA VÀO QUYẾT TOÁN</v>
          </cell>
        </row>
      </sheetData>
      <sheetData sheetId="6335">
        <row r="4">
          <cell r="A4" t="str">
            <v>BẢNG TÍNH TOÁN, ĐO BÓC KHỐI LƯỢNG HOÀN THÀNH ĐƯA VÀO QUYẾT TOÁN</v>
          </cell>
        </row>
      </sheetData>
      <sheetData sheetId="6336">
        <row r="4">
          <cell r="A4" t="str">
            <v>BẢNG TÍNH TOÁN, ĐO BÓC KHỐI LƯỢNG HOÀN THÀNH ĐƯA VÀO QUYẾT TOÁN</v>
          </cell>
        </row>
      </sheetData>
      <sheetData sheetId="6337">
        <row r="4">
          <cell r="A4" t="str">
            <v>BẢNG TÍNH TOÁN, ĐO BÓC KHỐI LƯỢNG HOÀN THÀNH ĐƯA VÀO QUYẾT TOÁN</v>
          </cell>
        </row>
      </sheetData>
      <sheetData sheetId="6338">
        <row r="4">
          <cell r="A4" t="str">
            <v>BẢNG TÍNH TOÁN, ĐO BÓC KHỐI LƯỢNG HOÀN THÀNH ĐƯA VÀO QUYẾT TOÁN</v>
          </cell>
        </row>
      </sheetData>
      <sheetData sheetId="6339">
        <row r="4">
          <cell r="A4" t="str">
            <v>BẢNG TÍNH TOÁN, ĐO BÓC KHỐI LƯỢNG HOÀN THÀNH ĐƯA VÀO QUYẾT TOÁN</v>
          </cell>
        </row>
      </sheetData>
      <sheetData sheetId="6340">
        <row r="4">
          <cell r="A4" t="str">
            <v>BẢNG TÍNH TOÁN, ĐO BÓC KHỐI LƯỢNG HOÀN THÀNH ĐƯA VÀO QUYẾT TOÁN</v>
          </cell>
        </row>
      </sheetData>
      <sheetData sheetId="6341">
        <row r="4">
          <cell r="A4" t="str">
            <v>BẢNG TÍNH TOÁN, ĐO BÓC KHỐI LƯỢNG HOÀN THÀNH ĐƯA VÀO QUYẾT TOÁN</v>
          </cell>
        </row>
      </sheetData>
      <sheetData sheetId="6342">
        <row r="4">
          <cell r="A4" t="str">
            <v>BẢNG TÍNH TOÁN, ĐO BÓC KHỐI LƯỢNG HOÀN THÀNH ĐƯA VÀO QUYẾT TOÁN</v>
          </cell>
        </row>
      </sheetData>
      <sheetData sheetId="6343">
        <row r="4">
          <cell r="A4" t="str">
            <v>BẢNG TÍNH TOÁN, ĐO BÓC KHỐI LƯỢNG HOÀN THÀNH ĐƯA VÀO QUYẾT TOÁN</v>
          </cell>
        </row>
      </sheetData>
      <sheetData sheetId="6344">
        <row r="4">
          <cell r="A4" t="str">
            <v>BẢNG TÍNH TOÁN, ĐO BÓC KHỐI LƯỢNG HOÀN THÀNH ĐƯA VÀO QUYẾT TOÁN</v>
          </cell>
        </row>
      </sheetData>
      <sheetData sheetId="6345">
        <row r="4">
          <cell r="A4" t="str">
            <v>BẢNG TÍNH TOÁN, ĐO BÓC KHỐI LƯỢNG HOÀN THÀNH ĐƯA VÀO QUYẾT TOÁN</v>
          </cell>
        </row>
      </sheetData>
      <sheetData sheetId="6346">
        <row r="4">
          <cell r="A4" t="str">
            <v>BẢNG TÍNH TOÁN, ĐO BÓC KHỐI LƯỢNG HOÀN THÀNH ĐƯA VÀO QUYẾT TOÁN</v>
          </cell>
        </row>
      </sheetData>
      <sheetData sheetId="6347">
        <row r="4">
          <cell r="A4" t="str">
            <v>BẢNG TÍNH TOÁN, ĐO BÓC KHỐI LƯỢNG HOÀN THÀNH ĐƯA VÀO QUYẾT TOÁN</v>
          </cell>
        </row>
      </sheetData>
      <sheetData sheetId="6348">
        <row r="4">
          <cell r="A4" t="str">
            <v>BẢNG TÍNH TOÁN, ĐO BÓC KHỐI LƯỢNG HOÀN THÀNH ĐƯA VÀO QUYẾT TOÁN</v>
          </cell>
        </row>
      </sheetData>
      <sheetData sheetId="6349">
        <row r="4">
          <cell r="A4" t="str">
            <v>BẢNG TÍNH TOÁN, ĐO BÓC KHỐI LƯỢNG HOÀN THÀNH ĐƯA VÀO QUYẾT TOÁN</v>
          </cell>
        </row>
      </sheetData>
      <sheetData sheetId="6350">
        <row r="4">
          <cell r="A4" t="str">
            <v>BẢNG TÍNH TOÁN, ĐO BÓC KHỐI LƯỢNG HOÀN THÀNH ĐƯA VÀO QUYẾT TOÁN</v>
          </cell>
        </row>
      </sheetData>
      <sheetData sheetId="6351">
        <row r="4">
          <cell r="A4" t="str">
            <v>BẢNG TÍNH TOÁN, ĐO BÓC KHỐI LƯỢNG HOÀN THÀNH ĐƯA VÀO QUYẾT TOÁN</v>
          </cell>
        </row>
      </sheetData>
      <sheetData sheetId="6352">
        <row r="4">
          <cell r="A4" t="str">
            <v>BẢNG TÍNH TOÁN, ĐO BÓC KHỐI LƯỢNG HOÀN THÀNH ĐƯA VÀO QUYẾT TOÁN</v>
          </cell>
        </row>
      </sheetData>
      <sheetData sheetId="6353">
        <row r="4">
          <cell r="A4" t="str">
            <v>BẢNG TÍNH TOÁN, ĐO BÓC KHỐI LƯỢNG HOÀN THÀNH ĐƯA VÀO QUYẾT TOÁN</v>
          </cell>
        </row>
      </sheetData>
      <sheetData sheetId="6354">
        <row r="4">
          <cell r="A4" t="str">
            <v>BẢNG TÍNH TOÁN, ĐO BÓC KHỐI LƯỢNG HOÀN THÀNH ĐƯA VÀO QUYẾT TOÁN</v>
          </cell>
        </row>
      </sheetData>
      <sheetData sheetId="6355">
        <row r="4">
          <cell r="A4" t="str">
            <v>BẢNG TÍNH TOÁN, ĐO BÓC KHỐI LƯỢNG HOÀN THÀNH ĐƯA VÀO QUYẾT TOÁN</v>
          </cell>
        </row>
      </sheetData>
      <sheetData sheetId="6356">
        <row r="4">
          <cell r="A4" t="str">
            <v>BẢNG TÍNH TOÁN, ĐO BÓC KHỐI LƯỢNG HOÀN THÀNH ĐƯA VÀO QUYẾT TOÁN</v>
          </cell>
        </row>
      </sheetData>
      <sheetData sheetId="6357">
        <row r="4">
          <cell r="A4" t="str">
            <v>BẢNG TÍNH TOÁN, ĐO BÓC KHỐI LƯỢNG HOÀN THÀNH ĐƯA VÀO QUYẾT TOÁN</v>
          </cell>
        </row>
      </sheetData>
      <sheetData sheetId="6358">
        <row r="4">
          <cell r="A4" t="str">
            <v>BẢNG TÍNH TOÁN, ĐO BÓC KHỐI LƯỢNG HOÀN THÀNH ĐƯA VÀO QUYẾT TOÁN</v>
          </cell>
        </row>
      </sheetData>
      <sheetData sheetId="6359">
        <row r="4">
          <cell r="A4" t="str">
            <v>BẢNG TÍNH TOÁN, ĐO BÓC KHỐI LƯỢNG HOÀN THÀNH ĐƯA VÀO QUYẾT TOÁN</v>
          </cell>
        </row>
      </sheetData>
      <sheetData sheetId="6360">
        <row r="4">
          <cell r="A4" t="str">
            <v>BẢNG TÍNH TOÁN, ĐO BÓC KHỐI LƯỢNG HOÀN THÀNH ĐƯA VÀO QUYẾT TOÁN</v>
          </cell>
        </row>
      </sheetData>
      <sheetData sheetId="6361">
        <row r="4">
          <cell r="A4" t="str">
            <v>BẢNG TÍNH TOÁN, ĐO BÓC KHỐI LƯỢNG HOÀN THÀNH ĐƯA VÀO QUYẾT TOÁN</v>
          </cell>
        </row>
      </sheetData>
      <sheetData sheetId="6362">
        <row r="4">
          <cell r="A4" t="str">
            <v>BẢNG TÍNH TOÁN, ĐO BÓC KHỐI LƯỢNG HOÀN THÀNH ĐƯA VÀO QUYẾT TOÁN</v>
          </cell>
        </row>
      </sheetData>
      <sheetData sheetId="6363">
        <row r="4">
          <cell r="A4" t="str">
            <v>BẢNG TÍNH TOÁN, ĐO BÓC KHỐI LƯỢNG HOÀN THÀNH ĐƯA VÀO QUYẾT TOÁN</v>
          </cell>
        </row>
      </sheetData>
      <sheetData sheetId="6364">
        <row r="4">
          <cell r="A4" t="str">
            <v>BẢNG TÍNH TOÁN, ĐO BÓC KHỐI LƯỢNG HOÀN THÀNH ĐƯA VÀO QUYẾT TOÁN</v>
          </cell>
        </row>
      </sheetData>
      <sheetData sheetId="6365">
        <row r="4">
          <cell r="A4" t="str">
            <v>BẢNG TÍNH TOÁN, ĐO BÓC KHỐI LƯỢNG HOÀN THÀNH ĐƯA VÀO QUYẾT TOÁN</v>
          </cell>
        </row>
      </sheetData>
      <sheetData sheetId="6366">
        <row r="4">
          <cell r="A4" t="str">
            <v>BẢNG TÍNH TOÁN, ĐO BÓC KHỐI LƯỢNG HOÀN THÀNH ĐƯA VÀO QUYẾT TOÁN</v>
          </cell>
        </row>
      </sheetData>
      <sheetData sheetId="6367">
        <row r="4">
          <cell r="A4" t="str">
            <v>BẢNG TÍNH TOÁN, ĐO BÓC KHỐI LƯỢNG HOÀN THÀNH ĐƯA VÀO QUYẾT TOÁN</v>
          </cell>
        </row>
      </sheetData>
      <sheetData sheetId="6368">
        <row r="4">
          <cell r="A4" t="str">
            <v>BẢNG TÍNH TOÁN, ĐO BÓC KHỐI LƯỢNG HOÀN THÀNH ĐƯA VÀO QUYẾT TOÁN</v>
          </cell>
        </row>
      </sheetData>
      <sheetData sheetId="6369">
        <row r="4">
          <cell r="A4" t="str">
            <v>BẢNG TÍNH TOÁN, ĐO BÓC KHỐI LƯỢNG HOÀN THÀNH ĐƯA VÀO QUYẾT TOÁN</v>
          </cell>
        </row>
      </sheetData>
      <sheetData sheetId="6370">
        <row r="4">
          <cell r="A4" t="str">
            <v>BẢNG TÍNH TOÁN, ĐO BÓC KHỐI LƯỢNG HOÀN THÀNH ĐƯA VÀO QUYẾT TOÁN</v>
          </cell>
        </row>
      </sheetData>
      <sheetData sheetId="6371">
        <row r="4">
          <cell r="A4" t="str">
            <v>BẢNG TÍNH TOÁN, ĐO BÓC KHỐI LƯỢNG HOÀN THÀNH ĐƯA VÀO QUYẾT TOÁN</v>
          </cell>
        </row>
      </sheetData>
      <sheetData sheetId="6372">
        <row r="4">
          <cell r="A4" t="str">
            <v>BẢNG TÍNH TOÁN, ĐO BÓC KHỐI LƯỢNG HOÀN THÀNH ĐƯA VÀO QUYẾT TOÁN</v>
          </cell>
        </row>
      </sheetData>
      <sheetData sheetId="6373">
        <row r="4">
          <cell r="A4" t="str">
            <v>BẢNG TÍNH TOÁN, ĐO BÓC KHỐI LƯỢNG HOÀN THÀNH ĐƯA VÀO QUYẾT TOÁN</v>
          </cell>
        </row>
      </sheetData>
      <sheetData sheetId="6374">
        <row r="4">
          <cell r="A4" t="str">
            <v>BẢNG TÍNH TOÁN, ĐO BÓC KHỐI LƯỢNG HOÀN THÀNH ĐƯA VÀO QUYẾT TOÁN</v>
          </cell>
        </row>
      </sheetData>
      <sheetData sheetId="6375">
        <row r="4">
          <cell r="A4" t="str">
            <v>BẢNG TÍNH TOÁN, ĐO BÓC KHỐI LƯỢNG HOÀN THÀNH ĐƯA VÀO QUYẾT TOÁN</v>
          </cell>
        </row>
      </sheetData>
      <sheetData sheetId="6376">
        <row r="4">
          <cell r="A4" t="str">
            <v>BẢNG TÍNH TOÁN, ĐO BÓC KHỐI LƯỢNG HOÀN THÀNH ĐƯA VÀO QUYẾT TOÁN</v>
          </cell>
        </row>
      </sheetData>
      <sheetData sheetId="6377">
        <row r="4">
          <cell r="A4" t="str">
            <v>BẢNG TÍNH TOÁN, ĐO BÓC KHỐI LƯỢNG HOÀN THÀNH ĐƯA VÀO QUYẾT TOÁN</v>
          </cell>
        </row>
      </sheetData>
      <sheetData sheetId="6378">
        <row r="4">
          <cell r="A4" t="str">
            <v>BẢNG TÍNH TOÁN, ĐO BÓC KHỐI LƯỢNG HOÀN THÀNH ĐƯA VÀO QUYẾT TOÁN</v>
          </cell>
        </row>
      </sheetData>
      <sheetData sheetId="6379">
        <row r="4">
          <cell r="A4" t="str">
            <v>BẢNG TÍNH TOÁN, ĐO BÓC KHỐI LƯỢNG HOÀN THÀNH ĐƯA VÀO QUYẾT TOÁN</v>
          </cell>
        </row>
      </sheetData>
      <sheetData sheetId="6380">
        <row r="4">
          <cell r="A4" t="str">
            <v>BẢNG TÍNH TOÁN, ĐO BÓC KHỐI LƯỢNG HOÀN THÀNH ĐƯA VÀO QUYẾT TOÁN</v>
          </cell>
        </row>
      </sheetData>
      <sheetData sheetId="6381">
        <row r="4">
          <cell r="A4" t="str">
            <v>BẢNG TÍNH TOÁN, ĐO BÓC KHỐI LƯỢNG HOÀN THÀNH ĐƯA VÀO QUYẾT TOÁN</v>
          </cell>
        </row>
      </sheetData>
      <sheetData sheetId="6382">
        <row r="4">
          <cell r="A4" t="str">
            <v>BẢNG TÍNH TOÁN, ĐO BÓC KHỐI LƯỢNG HOÀN THÀNH ĐƯA VÀO QUYẾT TOÁN</v>
          </cell>
        </row>
      </sheetData>
      <sheetData sheetId="6383">
        <row r="4">
          <cell r="A4" t="str">
            <v>BẢNG TÍNH TOÁN, ĐO BÓC KHỐI LƯỢNG HOÀN THÀNH ĐƯA VÀO QUYẾT TOÁN</v>
          </cell>
        </row>
      </sheetData>
      <sheetData sheetId="6384">
        <row r="4">
          <cell r="A4" t="str">
            <v>BẢNG TÍNH TOÁN, ĐO BÓC KHỐI LƯỢNG HOÀN THÀNH ĐƯA VÀO QUYẾT TOÁN</v>
          </cell>
        </row>
      </sheetData>
      <sheetData sheetId="6385">
        <row r="4">
          <cell r="A4" t="str">
            <v>BẢNG TÍNH TOÁN, ĐO BÓC KHỐI LƯỢNG HOÀN THÀNH ĐƯA VÀO QUYẾT TOÁN</v>
          </cell>
        </row>
      </sheetData>
      <sheetData sheetId="6386">
        <row r="4">
          <cell r="A4" t="str">
            <v>BẢNG TÍNH TOÁN, ĐO BÓC KHỐI LƯỢNG HOÀN THÀNH ĐƯA VÀO QUYẾT TOÁN</v>
          </cell>
        </row>
      </sheetData>
      <sheetData sheetId="6387">
        <row r="4">
          <cell r="A4" t="str">
            <v>BẢNG TÍNH TOÁN, ĐO BÓC KHỐI LƯỢNG HOÀN THÀNH ĐƯA VÀO QUYẾT TOÁN</v>
          </cell>
        </row>
      </sheetData>
      <sheetData sheetId="6388">
        <row r="4">
          <cell r="A4" t="str">
            <v>BẢNG TÍNH TOÁN, ĐO BÓC KHỐI LƯỢNG HOÀN THÀNH ĐƯA VÀO QUYẾT TOÁN</v>
          </cell>
        </row>
      </sheetData>
      <sheetData sheetId="6389">
        <row r="4">
          <cell r="A4" t="str">
            <v>BẢNG TÍNH TOÁN, ĐO BÓC KHỐI LƯỢNG HOÀN THÀNH ĐƯA VÀO QUYẾT TOÁN</v>
          </cell>
        </row>
      </sheetData>
      <sheetData sheetId="6390">
        <row r="4">
          <cell r="A4" t="str">
            <v>BẢNG TÍNH TOÁN, ĐO BÓC KHỐI LƯỢNG HOÀN THÀNH ĐƯA VÀO QUYẾT TOÁN</v>
          </cell>
        </row>
      </sheetData>
      <sheetData sheetId="6391">
        <row r="4">
          <cell r="A4" t="str">
            <v>BẢNG TÍNH TOÁN, ĐO BÓC KHỐI LƯỢNG HOÀN THÀNH ĐƯA VÀO QUYẾT TOÁN</v>
          </cell>
        </row>
      </sheetData>
      <sheetData sheetId="6392">
        <row r="4">
          <cell r="A4" t="str">
            <v>BẢNG TÍNH TOÁN, ĐO BÓC KHỐI LƯỢNG HOÀN THÀNH ĐƯA VÀO QUYẾT TOÁN</v>
          </cell>
        </row>
      </sheetData>
      <sheetData sheetId="6393">
        <row r="4">
          <cell r="A4" t="str">
            <v>BẢNG TÍNH TOÁN, ĐO BÓC KHỐI LƯỢNG HOÀN THÀNH ĐƯA VÀO QUYẾT TOÁN</v>
          </cell>
        </row>
      </sheetData>
      <sheetData sheetId="6394">
        <row r="4">
          <cell r="A4" t="str">
            <v>BẢNG TÍNH TOÁN, ĐO BÓC KHỐI LƯỢNG HOÀN THÀNH ĐƯA VÀO QUYẾT TOÁN</v>
          </cell>
        </row>
      </sheetData>
      <sheetData sheetId="6395">
        <row r="4">
          <cell r="A4" t="str">
            <v>BẢNG TÍNH TOÁN, ĐO BÓC KHỐI LƯỢNG HOÀN THÀNH ĐƯA VÀO QUYẾT TOÁN</v>
          </cell>
        </row>
      </sheetData>
      <sheetData sheetId="6396">
        <row r="4">
          <cell r="A4" t="str">
            <v>BẢNG TÍNH TOÁN, ĐO BÓC KHỐI LƯỢNG HOÀN THÀNH ĐƯA VÀO QUYẾT TOÁN</v>
          </cell>
        </row>
      </sheetData>
      <sheetData sheetId="6397">
        <row r="9">
          <cell r="A9" t="str">
            <v>A</v>
          </cell>
        </row>
      </sheetData>
      <sheetData sheetId="6398">
        <row r="4">
          <cell r="A4" t="str">
            <v>BẢNG TÍNH TOÁN, ĐO BÓC KHỐI LƯỢNG HOÀN THÀNH ĐƯA VÀO QUYẾT TOÁN</v>
          </cell>
        </row>
      </sheetData>
      <sheetData sheetId="6399">
        <row r="4">
          <cell r="A4" t="str">
            <v>BẢNG TÍNH TOÁN, ĐO BÓC KHỐI LƯỢNG HOÀN THÀNH ĐƯA VÀO QUYẾT TOÁN</v>
          </cell>
        </row>
      </sheetData>
      <sheetData sheetId="6400">
        <row r="4">
          <cell r="A4" t="str">
            <v>BẢNG TÍNH TOÁN, ĐO BÓC KHỐI LƯỢNG HOÀN THÀNH ĐƯA VÀO QUYẾT TOÁN</v>
          </cell>
        </row>
      </sheetData>
      <sheetData sheetId="6401">
        <row r="4">
          <cell r="A4" t="str">
            <v>BẢNG TÍNH TOÁN, ĐO BÓC KHỐI LƯỢNG HOÀN THÀNH ĐƯA VÀO QUYẾT TOÁN</v>
          </cell>
        </row>
      </sheetData>
      <sheetData sheetId="6402">
        <row r="4">
          <cell r="A4" t="str">
            <v>BẢNG TÍNH TOÁN, ĐO BÓC KHỐI LƯỢNG HOÀN THÀNH ĐƯA VÀO QUYẾT TOÁN</v>
          </cell>
        </row>
      </sheetData>
      <sheetData sheetId="6403">
        <row r="4">
          <cell r="A4" t="str">
            <v>BẢNG TÍNH TOÁN, ĐO BÓC KHỐI LƯỢNG HOÀN THÀNH ĐƯA VÀO QUYẾT TOÁN</v>
          </cell>
        </row>
      </sheetData>
      <sheetData sheetId="6404">
        <row r="4">
          <cell r="A4" t="str">
            <v>BẢNG TÍNH TOÁN, ĐO BÓC KHỐI LƯỢNG HOÀN THÀNH ĐƯA VÀO QUYẾT TOÁN</v>
          </cell>
        </row>
      </sheetData>
      <sheetData sheetId="6405">
        <row r="4">
          <cell r="A4" t="str">
            <v>BẢNG TÍNH TOÁN, ĐO BÓC KHỐI LƯỢNG HOÀN THÀNH ĐƯA VÀO QUYẾT TOÁN</v>
          </cell>
        </row>
      </sheetData>
      <sheetData sheetId="6406">
        <row r="4">
          <cell r="A4" t="str">
            <v>BẢNG TÍNH TOÁN, ĐO BÓC KHỐI LƯỢNG HOÀN THÀNH ĐƯA VÀO QUYẾT TOÁN</v>
          </cell>
        </row>
      </sheetData>
      <sheetData sheetId="6407">
        <row r="4">
          <cell r="A4" t="str">
            <v>BẢNG TÍNH TOÁN, ĐO BÓC KHỐI LƯỢNG HOÀN THÀNH ĐƯA VÀO QUYẾT TOÁN</v>
          </cell>
        </row>
      </sheetData>
      <sheetData sheetId="6408">
        <row r="4">
          <cell r="A4" t="str">
            <v>BẢNG TÍNH TOÁN, ĐO BÓC KHỐI LƯỢNG HOÀN THÀNH ĐƯA VÀO QUYẾT TOÁN</v>
          </cell>
        </row>
      </sheetData>
      <sheetData sheetId="6409">
        <row r="4">
          <cell r="A4" t="str">
            <v>BẢNG TÍNH TOÁN, ĐO BÓC KHỐI LƯỢNG HOÀN THÀNH ĐƯA VÀO QUYẾT TOÁN</v>
          </cell>
        </row>
      </sheetData>
      <sheetData sheetId="6410">
        <row r="4">
          <cell r="A4" t="str">
            <v>BẢNG TÍNH TOÁN, ĐO BÓC KHỐI LƯỢNG HOÀN THÀNH ĐƯA VÀO QUYẾT TOÁN</v>
          </cell>
        </row>
      </sheetData>
      <sheetData sheetId="6411">
        <row r="4">
          <cell r="A4" t="str">
            <v>BẢNG TÍNH TOÁN, ĐO BÓC KHỐI LƯỢNG HOÀN THÀNH ĐƯA VÀO QUYẾT TOÁN</v>
          </cell>
        </row>
      </sheetData>
      <sheetData sheetId="6412">
        <row r="4">
          <cell r="A4" t="str">
            <v>BẢNG TÍNH TOÁN, ĐO BÓC KHỐI LƯỢNG HOÀN THÀNH ĐƯA VÀO QUYẾT TOÁN</v>
          </cell>
        </row>
      </sheetData>
      <sheetData sheetId="6413">
        <row r="4">
          <cell r="A4" t="str">
            <v>BẢNG TÍNH TOÁN, ĐO BÓC KHỐI LƯỢNG HOÀN THÀNH ĐƯA VÀO QUYẾT TOÁN</v>
          </cell>
        </row>
      </sheetData>
      <sheetData sheetId="6414">
        <row r="4">
          <cell r="A4" t="str">
            <v>BẢNG TÍNH TOÁN, ĐO BÓC KHỐI LƯỢNG HOÀN THÀNH ĐƯA VÀO QUYẾT TOÁN</v>
          </cell>
        </row>
      </sheetData>
      <sheetData sheetId="6415">
        <row r="4">
          <cell r="A4" t="str">
            <v>BẢNG TÍNH TOÁN, ĐO BÓC KHỐI LƯỢNG HOÀN THÀNH ĐƯA VÀO QUYẾT TOÁN</v>
          </cell>
        </row>
      </sheetData>
      <sheetData sheetId="6416">
        <row r="4">
          <cell r="A4" t="str">
            <v>BẢNG TÍNH TOÁN, ĐO BÓC KHỐI LƯỢNG HOÀN THÀNH ĐƯA VÀO QUYẾT TOÁN</v>
          </cell>
        </row>
      </sheetData>
      <sheetData sheetId="6417">
        <row r="4">
          <cell r="A4" t="str">
            <v>BẢNG TÍNH TOÁN, ĐO BÓC KHỐI LƯỢNG HOÀN THÀNH ĐƯA VÀO QUYẾT TOÁN</v>
          </cell>
        </row>
      </sheetData>
      <sheetData sheetId="6418">
        <row r="4">
          <cell r="A4" t="str">
            <v>BẢNG TÍNH TOÁN, ĐO BÓC KHỐI LƯỢNG HOÀN THÀNH ĐƯA VÀO QUYẾT TOÁN</v>
          </cell>
        </row>
      </sheetData>
      <sheetData sheetId="6419">
        <row r="4">
          <cell r="A4" t="str">
            <v>BẢNG TÍNH TOÁN, ĐO BÓC KHỐI LƯỢNG HOÀN THÀNH ĐƯA VÀO QUYẾT TOÁN</v>
          </cell>
        </row>
      </sheetData>
      <sheetData sheetId="6420">
        <row r="4">
          <cell r="A4" t="str">
            <v>BẢNG TÍNH TOÁN, ĐO BÓC KHỐI LƯỢNG HOÀN THÀNH ĐƯA VÀO QUYẾT TOÁN</v>
          </cell>
        </row>
      </sheetData>
      <sheetData sheetId="6421">
        <row r="4">
          <cell r="A4" t="str">
            <v>BẢNG TÍNH TOÁN, ĐO BÓC KHỐI LƯỢNG HOÀN THÀNH ĐƯA VÀO QUYẾT TOÁN</v>
          </cell>
        </row>
      </sheetData>
      <sheetData sheetId="6422">
        <row r="4">
          <cell r="A4" t="str">
            <v>BẢNG TÍNH TOÁN, ĐO BÓC KHỐI LƯỢNG HOÀN THÀNH ĐƯA VÀO QUYẾT TOÁN</v>
          </cell>
        </row>
      </sheetData>
      <sheetData sheetId="6423">
        <row r="4">
          <cell r="A4" t="str">
            <v>BẢNG TÍNH TOÁN, ĐO BÓC KHỐI LƯỢNG HOÀN THÀNH ĐƯA VÀO QUYẾT TOÁN</v>
          </cell>
        </row>
      </sheetData>
      <sheetData sheetId="6424">
        <row r="4">
          <cell r="A4" t="str">
            <v>BẢNG TÍNH TOÁN, ĐO BÓC KHỐI LƯỢNG HOÀN THÀNH ĐƯA VÀO QUYẾT TOÁN</v>
          </cell>
        </row>
      </sheetData>
      <sheetData sheetId="6425">
        <row r="4">
          <cell r="A4" t="str">
            <v>BẢNG TÍNH TOÁN, ĐO BÓC KHỐI LƯỢNG HOÀN THÀNH ĐƯA VÀO QUYẾT TOÁN</v>
          </cell>
        </row>
      </sheetData>
      <sheetData sheetId="6426">
        <row r="4">
          <cell r="A4" t="str">
            <v>BẢNG TÍNH TOÁN, ĐO BÓC KHỐI LƯỢNG HOÀN THÀNH ĐƯA VÀO QUYẾT TOÁN</v>
          </cell>
        </row>
      </sheetData>
      <sheetData sheetId="6427">
        <row r="4">
          <cell r="A4" t="str">
            <v>BẢNG TÍNH TOÁN, ĐO BÓC KHỐI LƯỢNG HOÀN THÀNH ĐƯA VÀO QUYẾT TOÁN</v>
          </cell>
        </row>
      </sheetData>
      <sheetData sheetId="6428">
        <row r="4">
          <cell r="A4" t="str">
            <v>BẢNG TÍNH TOÁN, ĐO BÓC KHỐI LƯỢNG HOÀN THÀNH ĐƯA VÀO QUYẾT TOÁN</v>
          </cell>
        </row>
      </sheetData>
      <sheetData sheetId="6429">
        <row r="4">
          <cell r="A4" t="str">
            <v>BẢNG TÍNH TOÁN, ĐO BÓC KHỐI LƯỢNG HOÀN THÀNH ĐƯA VÀO QUYẾT TOÁN</v>
          </cell>
        </row>
      </sheetData>
      <sheetData sheetId="6430">
        <row r="4">
          <cell r="A4" t="str">
            <v>BẢNG TÍNH TOÁN, ĐO BÓC KHỐI LƯỢNG HOÀN THÀNH ĐƯA VÀO QUYẾT TOÁN</v>
          </cell>
        </row>
      </sheetData>
      <sheetData sheetId="6431">
        <row r="4">
          <cell r="A4" t="str">
            <v>BẢNG TÍNH TOÁN, ĐO BÓC KHỐI LƯỢNG HOÀN THÀNH ĐƯA VÀO QUYẾT TOÁN</v>
          </cell>
        </row>
      </sheetData>
      <sheetData sheetId="6432">
        <row r="4">
          <cell r="A4" t="str">
            <v>BẢNG TÍNH TOÁN, ĐO BÓC KHỐI LƯỢNG HOÀN THÀNH ĐƯA VÀO QUYẾT TOÁN</v>
          </cell>
        </row>
      </sheetData>
      <sheetData sheetId="6433">
        <row r="4">
          <cell r="A4" t="str">
            <v>BẢNG TÍNH TOÁN, ĐO BÓC KHỐI LƯỢNG HOÀN THÀNH ĐƯA VÀO QUYẾT TOÁN</v>
          </cell>
        </row>
      </sheetData>
      <sheetData sheetId="6434">
        <row r="4">
          <cell r="A4" t="str">
            <v>BẢNG TÍNH TOÁN, ĐO BÓC KHỐI LƯỢNG HOÀN THÀNH ĐƯA VÀO QUYẾT TOÁN</v>
          </cell>
        </row>
      </sheetData>
      <sheetData sheetId="6435">
        <row r="4">
          <cell r="A4" t="str">
            <v>BẢNG TÍNH TOÁN, ĐO BÓC KHỐI LƯỢNG HOÀN THÀNH ĐƯA VÀO QUYẾT TOÁN</v>
          </cell>
        </row>
      </sheetData>
      <sheetData sheetId="6436">
        <row r="4">
          <cell r="A4" t="str">
            <v>BẢNG TÍNH TOÁN, ĐO BÓC KHỐI LƯỢNG HOÀN THÀNH ĐƯA VÀO QUYẾT TOÁN</v>
          </cell>
        </row>
      </sheetData>
      <sheetData sheetId="6437">
        <row r="4">
          <cell r="A4" t="str">
            <v>BẢNG TÍNH TOÁN, ĐO BÓC KHỐI LƯỢNG HOÀN THÀNH ĐƯA VÀO QUYẾT TOÁN</v>
          </cell>
        </row>
      </sheetData>
      <sheetData sheetId="6438">
        <row r="4">
          <cell r="A4" t="str">
            <v>BẢNG TÍNH TOÁN, ĐO BÓC KHỐI LƯỢNG HOÀN THÀNH ĐƯA VÀO QUYẾT TOÁN</v>
          </cell>
        </row>
      </sheetData>
      <sheetData sheetId="6439">
        <row r="4">
          <cell r="A4" t="str">
            <v>BẢNG TÍNH TOÁN, ĐO BÓC KHỐI LƯỢNG HOÀN THÀNH ĐƯA VÀO QUYẾT TOÁN</v>
          </cell>
        </row>
      </sheetData>
      <sheetData sheetId="6440">
        <row r="4">
          <cell r="A4" t="str">
            <v>BẢNG TÍNH TOÁN, ĐO BÓC KHỐI LƯỢNG HOÀN THÀNH ĐƯA VÀO QUYẾT TOÁN</v>
          </cell>
        </row>
      </sheetData>
      <sheetData sheetId="6441">
        <row r="4">
          <cell r="A4" t="str">
            <v>BẢNG TÍNH TOÁN, ĐO BÓC KHỐI LƯỢNG HOÀN THÀNH ĐƯA VÀO QUYẾT TOÁN</v>
          </cell>
        </row>
      </sheetData>
      <sheetData sheetId="6442">
        <row r="4">
          <cell r="A4" t="str">
            <v>BẢNG TÍNH TOÁN, ĐO BÓC KHỐI LƯỢNG HOÀN THÀNH ĐƯA VÀO QUYẾT TOÁN</v>
          </cell>
        </row>
      </sheetData>
      <sheetData sheetId="6443">
        <row r="4">
          <cell r="A4" t="str">
            <v>BẢNG TÍNH TOÁN, ĐO BÓC KHỐI LƯỢNG HOÀN THÀNH ĐƯA VÀO QUYẾT TOÁN</v>
          </cell>
        </row>
      </sheetData>
      <sheetData sheetId="6444">
        <row r="4">
          <cell r="A4" t="str">
            <v>BẢNG TÍNH TOÁN, ĐO BÓC KHỐI LƯỢNG HOÀN THÀNH ĐƯA VÀO QUYẾT TOÁN</v>
          </cell>
        </row>
      </sheetData>
      <sheetData sheetId="6445">
        <row r="4">
          <cell r="A4" t="str">
            <v>BẢNG TÍNH TOÁN, ĐO BÓC KHỐI LƯỢNG HOÀN THÀNH ĐƯA VÀO QUYẾT TOÁN</v>
          </cell>
        </row>
      </sheetData>
      <sheetData sheetId="6446">
        <row r="4">
          <cell r="A4" t="str">
            <v>BẢNG TÍNH TOÁN, ĐO BÓC KHỐI LƯỢNG HOÀN THÀNH ĐƯA VÀO QUYẾT TOÁN</v>
          </cell>
        </row>
      </sheetData>
      <sheetData sheetId="6447">
        <row r="4">
          <cell r="A4" t="str">
            <v>BẢNG TÍNH TOÁN, ĐO BÓC KHỐI LƯỢNG HOÀN THÀNH ĐƯA VÀO QUYẾT TOÁN</v>
          </cell>
        </row>
      </sheetData>
      <sheetData sheetId="6448">
        <row r="4">
          <cell r="A4" t="str">
            <v>BẢNG TÍNH TOÁN, ĐO BÓC KHỐI LƯỢNG HOÀN THÀNH ĐƯA VÀO QUYẾT TOÁN</v>
          </cell>
        </row>
      </sheetData>
      <sheetData sheetId="6449">
        <row r="4">
          <cell r="A4" t="str">
            <v>BẢNG TÍNH TOÁN, ĐO BÓC KHỐI LƯỢNG HOÀN THÀNH ĐƯA VÀO QUYẾT TOÁN</v>
          </cell>
        </row>
      </sheetData>
      <sheetData sheetId="6450">
        <row r="4">
          <cell r="A4" t="str">
            <v>BẢNG TÍNH TOÁN, ĐO BÓC KHỐI LƯỢNG HOÀN THÀNH ĐƯA VÀO QUYẾT TOÁN</v>
          </cell>
        </row>
      </sheetData>
      <sheetData sheetId="6451">
        <row r="4">
          <cell r="A4" t="str">
            <v>BẢNG TÍNH TOÁN, ĐO BÓC KHỐI LƯỢNG HOÀN THÀNH ĐƯA VÀO QUYẾT TOÁN</v>
          </cell>
        </row>
      </sheetData>
      <sheetData sheetId="6452">
        <row r="4">
          <cell r="A4" t="str">
            <v>BẢNG TÍNH TOÁN, ĐO BÓC KHỐI LƯỢNG HOÀN THÀNH ĐƯA VÀO QUYẾT TOÁN</v>
          </cell>
        </row>
      </sheetData>
      <sheetData sheetId="6453">
        <row r="4">
          <cell r="A4" t="str">
            <v>BẢNG TÍNH TOÁN, ĐO BÓC KHỐI LƯỢNG HOÀN THÀNH ĐƯA VÀO QUYẾT TOÁN</v>
          </cell>
        </row>
      </sheetData>
      <sheetData sheetId="6454">
        <row r="4">
          <cell r="A4" t="str">
            <v>BẢNG TÍNH TOÁN, ĐO BÓC KHỐI LƯỢNG HOÀN THÀNH ĐƯA VÀO QUYẾT TOÁN</v>
          </cell>
        </row>
      </sheetData>
      <sheetData sheetId="6455">
        <row r="4">
          <cell r="A4" t="str">
            <v>BẢNG TÍNH TOÁN, ĐO BÓC KHỐI LƯỢNG HOÀN THÀNH ĐƯA VÀO QUYẾT TOÁN</v>
          </cell>
        </row>
      </sheetData>
      <sheetData sheetId="6456">
        <row r="4">
          <cell r="A4" t="str">
            <v>BẢNG TÍNH TOÁN, ĐO BÓC KHỐI LƯỢNG HOÀN THÀNH ĐƯA VÀO QUYẾT TOÁN</v>
          </cell>
        </row>
      </sheetData>
      <sheetData sheetId="6457">
        <row r="4">
          <cell r="A4" t="str">
            <v>BẢNG TÍNH TOÁN, ĐO BÓC KHỐI LƯỢNG HOÀN THÀNH ĐƯA VÀO QUYẾT TOÁN</v>
          </cell>
        </row>
      </sheetData>
      <sheetData sheetId="6458">
        <row r="4">
          <cell r="A4" t="str">
            <v>BẢNG TÍNH TOÁN, ĐO BÓC KHỐI LƯỢNG HOÀN THÀNH ĐƯA VÀO QUYẾT TOÁN</v>
          </cell>
        </row>
      </sheetData>
      <sheetData sheetId="6459">
        <row r="4">
          <cell r="A4" t="str">
            <v>BẢNG TÍNH TOÁN, ĐO BÓC KHỐI LƯỢNG HOÀN THÀNH ĐƯA VÀO QUYẾT TOÁN</v>
          </cell>
        </row>
      </sheetData>
      <sheetData sheetId="6460">
        <row r="4">
          <cell r="A4" t="str">
            <v>BẢNG TÍNH TOÁN, ĐO BÓC KHỐI LƯỢNG HOÀN THÀNH ĐƯA VÀO QUYẾT TOÁN</v>
          </cell>
        </row>
      </sheetData>
      <sheetData sheetId="6461">
        <row r="4">
          <cell r="A4" t="str">
            <v>BẢNG TÍNH TOÁN, ĐO BÓC KHỐI LƯỢNG HOÀN THÀNH ĐƯA VÀO QUYẾT TOÁN</v>
          </cell>
        </row>
      </sheetData>
      <sheetData sheetId="6462">
        <row r="4">
          <cell r="A4" t="str">
            <v>BẢNG TÍNH TOÁN, ĐO BÓC KHỐI LƯỢNG HOÀN THÀNH ĐƯA VÀO QUYẾT TOÁN</v>
          </cell>
        </row>
      </sheetData>
      <sheetData sheetId="6463">
        <row r="4">
          <cell r="A4" t="str">
            <v>BẢNG TÍNH TOÁN, ĐO BÓC KHỐI LƯỢNG HOÀN THÀNH ĐƯA VÀO QUYẾT TOÁN</v>
          </cell>
        </row>
      </sheetData>
      <sheetData sheetId="6464">
        <row r="4">
          <cell r="A4" t="str">
            <v>BẢNG TÍNH TOÁN, ĐO BÓC KHỐI LƯỢNG HOÀN THÀNH ĐƯA VÀO QUYẾT TOÁN</v>
          </cell>
        </row>
      </sheetData>
      <sheetData sheetId="6465">
        <row r="4">
          <cell r="A4" t="str">
            <v>BẢNG TÍNH TOÁN, ĐO BÓC KHỐI LƯỢNG HOÀN THÀNH ĐƯA VÀO QUYẾT TOÁN</v>
          </cell>
        </row>
      </sheetData>
      <sheetData sheetId="6466">
        <row r="4">
          <cell r="A4" t="str">
            <v>BẢNG TÍNH TOÁN, ĐO BÓC KHỐI LƯỢNG HOÀN THÀNH ĐƯA VÀO QUYẾT TOÁN</v>
          </cell>
        </row>
      </sheetData>
      <sheetData sheetId="6467">
        <row r="4">
          <cell r="A4" t="str">
            <v>BẢNG TÍNH TOÁN, ĐO BÓC KHỐI LƯỢNG HOÀN THÀNH ĐƯA VÀO QUYẾT TOÁN</v>
          </cell>
        </row>
      </sheetData>
      <sheetData sheetId="6468">
        <row r="4">
          <cell r="A4" t="str">
            <v>BẢNG TÍNH TOÁN, ĐO BÓC KHỐI LƯỢNG HOÀN THÀNH ĐƯA VÀO QUYẾT TOÁN</v>
          </cell>
        </row>
      </sheetData>
      <sheetData sheetId="6469">
        <row r="4">
          <cell r="A4" t="str">
            <v>BẢNG TÍNH TOÁN, ĐO BÓC KHỐI LƯỢNG HOÀN THÀNH ĐƯA VÀO QUYẾT TOÁN</v>
          </cell>
        </row>
      </sheetData>
      <sheetData sheetId="6470">
        <row r="4">
          <cell r="A4" t="str">
            <v>BẢNG TÍNH TOÁN, ĐO BÓC KHỐI LƯỢNG HOÀN THÀNH ĐƯA VÀO QUYẾT TOÁN</v>
          </cell>
        </row>
      </sheetData>
      <sheetData sheetId="6471">
        <row r="4">
          <cell r="A4" t="str">
            <v>BẢNG TÍNH TOÁN, ĐO BÓC KHỐI LƯỢNG HOÀN THÀNH ĐƯA VÀO QUYẾT TOÁN</v>
          </cell>
        </row>
      </sheetData>
      <sheetData sheetId="6472">
        <row r="4">
          <cell r="A4" t="str">
            <v>BẢNG TÍNH TOÁN, ĐO BÓC KHỐI LƯỢNG HOÀN THÀNH ĐƯA VÀO QUYẾT TOÁN</v>
          </cell>
        </row>
      </sheetData>
      <sheetData sheetId="6473">
        <row r="4">
          <cell r="A4" t="str">
            <v>BẢNG TÍNH TOÁN, ĐO BÓC KHỐI LƯỢNG HOÀN THÀNH ĐƯA VÀO QUYẾT TOÁN</v>
          </cell>
        </row>
      </sheetData>
      <sheetData sheetId="6474">
        <row r="4">
          <cell r="A4" t="str">
            <v>BẢNG TÍNH TOÁN, ĐO BÓC KHỐI LƯỢNG HOÀN THÀNH ĐƯA VÀO QUYẾT TOÁN</v>
          </cell>
        </row>
      </sheetData>
      <sheetData sheetId="6475">
        <row r="4">
          <cell r="A4" t="str">
            <v>BẢNG TÍNH TOÁN, ĐO BÓC KHỐI LƯỢNG HOÀN THÀNH ĐƯA VÀO QUYẾT TOÁN</v>
          </cell>
        </row>
      </sheetData>
      <sheetData sheetId="6476">
        <row r="4">
          <cell r="A4" t="str">
            <v>BẢNG TÍNH TOÁN, ĐO BÓC KHỐI LƯỢNG HOÀN THÀNH ĐƯA VÀO QUYẾT TOÁN</v>
          </cell>
        </row>
      </sheetData>
      <sheetData sheetId="6477">
        <row r="4">
          <cell r="A4" t="str">
            <v>BẢNG TÍNH TOÁN, ĐO BÓC KHỐI LƯỢNG HOÀN THÀNH ĐƯA VÀO QUYẾT TOÁN</v>
          </cell>
        </row>
      </sheetData>
      <sheetData sheetId="6478">
        <row r="4">
          <cell r="A4" t="str">
            <v>BẢNG TÍNH TOÁN, ĐO BÓC KHỐI LƯỢNG HOÀN THÀNH ĐƯA VÀO QUYẾT TOÁN</v>
          </cell>
        </row>
      </sheetData>
      <sheetData sheetId="6479">
        <row r="4">
          <cell r="A4" t="str">
            <v>BẢNG TÍNH TOÁN, ĐO BÓC KHỐI LƯỢNG HOÀN THÀNH ĐƯA VÀO QUYẾT TOÁN</v>
          </cell>
        </row>
      </sheetData>
      <sheetData sheetId="6480">
        <row r="4">
          <cell r="A4" t="str">
            <v>BẢNG TÍNH TOÁN, ĐO BÓC KHỐI LƯỢNG HOÀN THÀNH ĐƯA VÀO QUYẾT TOÁN</v>
          </cell>
        </row>
      </sheetData>
      <sheetData sheetId="6481">
        <row r="4">
          <cell r="A4" t="str">
            <v>BẢNG TÍNH TOÁN, ĐO BÓC KHỐI LƯỢNG HOÀN THÀNH ĐƯA VÀO QUYẾT TOÁN</v>
          </cell>
        </row>
      </sheetData>
      <sheetData sheetId="6482">
        <row r="4">
          <cell r="A4" t="str">
            <v>BẢNG TÍNH TOÁN, ĐO BÓC KHỐI LƯỢNG HOÀN THÀNH ĐƯA VÀO QUYẾT TOÁN</v>
          </cell>
        </row>
      </sheetData>
      <sheetData sheetId="6483">
        <row r="4">
          <cell r="A4" t="str">
            <v>BẢNG TÍNH TOÁN, ĐO BÓC KHỐI LƯỢNG HOÀN THÀNH ĐƯA VÀO QUYẾT TOÁN</v>
          </cell>
        </row>
      </sheetData>
      <sheetData sheetId="6484">
        <row r="4">
          <cell r="A4" t="str">
            <v>BẢNG TÍNH TOÁN, ĐO BÓC KHỐI LƯỢNG HOÀN THÀNH ĐƯA VÀO QUYẾT TOÁN</v>
          </cell>
        </row>
      </sheetData>
      <sheetData sheetId="6485">
        <row r="4">
          <cell r="A4" t="str">
            <v>BẢNG TÍNH TOÁN, ĐO BÓC KHỐI LƯỢNG HOÀN THÀNH ĐƯA VÀO QUYẾT TOÁN</v>
          </cell>
        </row>
      </sheetData>
      <sheetData sheetId="6486">
        <row r="4">
          <cell r="A4" t="str">
            <v>BẢNG TÍNH TOÁN, ĐO BÓC KHỐI LƯỢNG HOÀN THÀNH ĐƯA VÀO QUYẾT TOÁN</v>
          </cell>
        </row>
      </sheetData>
      <sheetData sheetId="6487">
        <row r="4">
          <cell r="A4" t="str">
            <v>BẢNG TÍNH TOÁN, ĐO BÓC KHỐI LƯỢNG HOÀN THÀNH ĐƯA VÀO QUYẾT TOÁN</v>
          </cell>
        </row>
      </sheetData>
      <sheetData sheetId="6488">
        <row r="4">
          <cell r="A4" t="str">
            <v>BẢNG TÍNH TOÁN, ĐO BÓC KHỐI LƯỢNG HOÀN THÀNH ĐƯA VÀO QUYẾT TOÁN</v>
          </cell>
        </row>
      </sheetData>
      <sheetData sheetId="6489">
        <row r="4">
          <cell r="A4" t="str">
            <v>BẢNG TÍNH TOÁN, ĐO BÓC KHỐI LƯỢNG HOÀN THÀNH ĐƯA VÀO QUYẾT TOÁN</v>
          </cell>
        </row>
      </sheetData>
      <sheetData sheetId="6490">
        <row r="4">
          <cell r="A4" t="str">
            <v>BẢNG TÍNH TOÁN, ĐO BÓC KHỐI LƯỢNG HOÀN THÀNH ĐƯA VÀO QUYẾT TOÁN</v>
          </cell>
        </row>
      </sheetData>
      <sheetData sheetId="6491">
        <row r="4">
          <cell r="A4" t="str">
            <v>BẢNG TÍNH TOÁN, ĐO BÓC KHỐI LƯỢNG HOÀN THÀNH ĐƯA VÀO QUYẾT TOÁN</v>
          </cell>
        </row>
      </sheetData>
      <sheetData sheetId="6492">
        <row r="4">
          <cell r="A4" t="str">
            <v>BẢNG TÍNH TOÁN, ĐO BÓC KHỐI LƯỢNG HOÀN THÀNH ĐƯA VÀO QUYẾT TOÁN</v>
          </cell>
        </row>
      </sheetData>
      <sheetData sheetId="6493">
        <row r="4">
          <cell r="A4" t="str">
            <v>BẢNG TÍNH TOÁN, ĐO BÓC KHỐI LƯỢNG HOÀN THÀNH ĐƯA VÀO QUYẾT TOÁN</v>
          </cell>
        </row>
      </sheetData>
      <sheetData sheetId="6494">
        <row r="4">
          <cell r="A4" t="str">
            <v>BẢNG TÍNH TOÁN, ĐO BÓC KHỐI LƯỢNG HOÀN THÀNH ĐƯA VÀO QUYẾT TOÁN</v>
          </cell>
        </row>
      </sheetData>
      <sheetData sheetId="6495">
        <row r="4">
          <cell r="A4" t="str">
            <v>BẢNG TÍNH TOÁN, ĐO BÓC KHỐI LƯỢNG HOÀN THÀNH ĐƯA VÀO QUYẾT TOÁN</v>
          </cell>
        </row>
      </sheetData>
      <sheetData sheetId="6496">
        <row r="4">
          <cell r="A4" t="str">
            <v>BẢNG TÍNH TOÁN, ĐO BÓC KHỐI LƯỢNG HOÀN THÀNH ĐƯA VÀO QUYẾT TOÁN</v>
          </cell>
        </row>
      </sheetData>
      <sheetData sheetId="6497">
        <row r="4">
          <cell r="A4" t="str">
            <v>BẢNG TÍNH TOÁN, ĐO BÓC KHỐI LƯỢNG HOÀN THÀNH ĐƯA VÀO QUYẾT TOÁN</v>
          </cell>
        </row>
      </sheetData>
      <sheetData sheetId="6498">
        <row r="4">
          <cell r="A4" t="str">
            <v>BẢNG TÍNH TOÁN, ĐO BÓC KHỐI LƯỢNG HOÀN THÀNH ĐƯA VÀO QUYẾT TOÁN</v>
          </cell>
        </row>
      </sheetData>
      <sheetData sheetId="6499">
        <row r="4">
          <cell r="A4" t="str">
            <v>BẢNG TÍNH TOÁN, ĐO BÓC KHỐI LƯỢNG HOÀN THÀNH ĐƯA VÀO QUYẾT TOÁN</v>
          </cell>
        </row>
      </sheetData>
      <sheetData sheetId="6500">
        <row r="4">
          <cell r="A4" t="str">
            <v>BẢNG TÍNH TOÁN, ĐO BÓC KHỐI LƯỢNG HOÀN THÀNH ĐƯA VÀO QUYẾT TOÁN</v>
          </cell>
        </row>
      </sheetData>
      <sheetData sheetId="6501">
        <row r="4">
          <cell r="A4" t="str">
            <v>BẢNG TÍNH TOÁN, ĐO BÓC KHỐI LƯỢNG HOÀN THÀNH ĐƯA VÀO QUYẾT TOÁN</v>
          </cell>
        </row>
      </sheetData>
      <sheetData sheetId="6502">
        <row r="4">
          <cell r="A4" t="str">
            <v>BẢNG TÍNH TOÁN, ĐO BÓC KHỐI LƯỢNG HOÀN THÀNH ĐƯA VÀO QUYẾT TOÁN</v>
          </cell>
        </row>
      </sheetData>
      <sheetData sheetId="6503">
        <row r="4">
          <cell r="A4" t="str">
            <v>BẢNG TÍNH TOÁN, ĐO BÓC KHỐI LƯỢNG HOÀN THÀNH ĐƯA VÀO QUYẾT TOÁN</v>
          </cell>
        </row>
      </sheetData>
      <sheetData sheetId="6504">
        <row r="4">
          <cell r="A4" t="str">
            <v>BẢNG TÍNH TOÁN, ĐO BÓC KHỐI LƯỢNG HOÀN THÀNH ĐƯA VÀO QUYẾT TOÁN</v>
          </cell>
        </row>
      </sheetData>
      <sheetData sheetId="6505">
        <row r="4">
          <cell r="A4" t="str">
            <v>BẢNG TÍNH TOÁN, ĐO BÓC KHỐI LƯỢNG HOÀN THÀNH ĐƯA VÀO QUYẾT TOÁN</v>
          </cell>
        </row>
      </sheetData>
      <sheetData sheetId="6506">
        <row r="4">
          <cell r="A4" t="str">
            <v>BẢNG TÍNH TOÁN, ĐO BÓC KHỐI LƯỢNG HOÀN THÀNH ĐƯA VÀO QUYẾT TOÁN</v>
          </cell>
        </row>
      </sheetData>
      <sheetData sheetId="6507">
        <row r="4">
          <cell r="A4" t="str">
            <v>BẢNG TÍNH TOÁN, ĐO BÓC KHỐI LƯỢNG HOÀN THÀNH ĐƯA VÀO QUYẾT TOÁN</v>
          </cell>
        </row>
      </sheetData>
      <sheetData sheetId="6508">
        <row r="4">
          <cell r="A4" t="str">
            <v>BẢNG TÍNH TOÁN, ĐO BÓC KHỐI LƯỢNG HOÀN THÀNH ĐƯA VÀO QUYẾT TOÁN</v>
          </cell>
        </row>
      </sheetData>
      <sheetData sheetId="6509">
        <row r="4">
          <cell r="A4" t="str">
            <v>BẢNG TÍNH TOÁN, ĐO BÓC KHỐI LƯỢNG HOÀN THÀNH ĐƯA VÀO QUYẾT TOÁN</v>
          </cell>
        </row>
      </sheetData>
      <sheetData sheetId="6510">
        <row r="4">
          <cell r="A4" t="str">
            <v>BẢNG TÍNH TOÁN, ĐO BÓC KHỐI LƯỢNG HOÀN THÀNH ĐƯA VÀO QUYẾT TOÁN</v>
          </cell>
        </row>
      </sheetData>
      <sheetData sheetId="6511">
        <row r="4">
          <cell r="A4" t="str">
            <v>BẢNG TÍNH TOÁN, ĐO BÓC KHỐI LƯỢNG HOÀN THÀNH ĐƯA VÀO QUYẾT TOÁN</v>
          </cell>
        </row>
      </sheetData>
      <sheetData sheetId="6512">
        <row r="4">
          <cell r="A4" t="str">
            <v>BẢNG TÍNH TOÁN, ĐO BÓC KHỐI LƯỢNG HOÀN THÀNH ĐƯA VÀO QUYẾT TOÁN</v>
          </cell>
        </row>
      </sheetData>
      <sheetData sheetId="6513">
        <row r="4">
          <cell r="A4" t="str">
            <v>BẢNG TÍNH TOÁN, ĐO BÓC KHỐI LƯỢNG HOÀN THÀNH ĐƯA VÀO QUYẾT TOÁN</v>
          </cell>
        </row>
      </sheetData>
      <sheetData sheetId="6514">
        <row r="9">
          <cell r="A9" t="str">
            <v>A</v>
          </cell>
        </row>
      </sheetData>
      <sheetData sheetId="6515">
        <row r="4">
          <cell r="A4" t="str">
            <v>BẢNG TÍNH TOÁN, ĐO BÓC KHỐI LƯỢNG HOÀN THÀNH ĐƯA VÀO QUYẾT TOÁN</v>
          </cell>
        </row>
      </sheetData>
      <sheetData sheetId="6516">
        <row r="4">
          <cell r="A4" t="str">
            <v>BẢNG TÍNH TOÁN, ĐO BÓC KHỐI LƯỢNG HOÀN THÀNH ĐƯA VÀO QUYẾT TOÁN</v>
          </cell>
        </row>
      </sheetData>
      <sheetData sheetId="6517">
        <row r="4">
          <cell r="A4" t="str">
            <v>BẢNG TÍNH TOÁN, ĐO BÓC KHỐI LƯỢNG HOÀN THÀNH ĐƯA VÀO QUYẾT TOÁN</v>
          </cell>
        </row>
      </sheetData>
      <sheetData sheetId="6518">
        <row r="4">
          <cell r="A4" t="str">
            <v>BẢNG TÍNH TOÁN, ĐO BÓC KHỐI LƯỢNG HOÀN THÀNH ĐƯA VÀO QUYẾT TOÁN</v>
          </cell>
        </row>
      </sheetData>
      <sheetData sheetId="6519">
        <row r="4">
          <cell r="A4" t="str">
            <v>BẢNG TÍNH TOÁN, ĐO BÓC KHỐI LƯỢNG HOÀN THÀNH ĐƯA VÀO QUYẾT TOÁN</v>
          </cell>
        </row>
      </sheetData>
      <sheetData sheetId="6520">
        <row r="4">
          <cell r="A4" t="str">
            <v>BẢNG TÍNH TOÁN, ĐO BÓC KHỐI LƯỢNG HOÀN THÀNH ĐƯA VÀO QUYẾT TOÁN</v>
          </cell>
        </row>
      </sheetData>
      <sheetData sheetId="6521">
        <row r="4">
          <cell r="A4" t="str">
            <v>BẢNG TÍNH TOÁN, ĐO BÓC KHỐI LƯỢNG HOÀN THÀNH ĐƯA VÀO QUYẾT TOÁN</v>
          </cell>
        </row>
      </sheetData>
      <sheetData sheetId="6522">
        <row r="4">
          <cell r="A4" t="str">
            <v>BẢNG TÍNH TOÁN, ĐO BÓC KHỐI LƯỢNG HOÀN THÀNH ĐƯA VÀO QUYẾT TOÁN</v>
          </cell>
        </row>
      </sheetData>
      <sheetData sheetId="6523">
        <row r="4">
          <cell r="A4" t="str">
            <v>BẢNG TÍNH TOÁN, ĐO BÓC KHỐI LƯỢNG HOÀN THÀNH ĐƯA VÀO QUYẾT TOÁN</v>
          </cell>
        </row>
      </sheetData>
      <sheetData sheetId="6524">
        <row r="9">
          <cell r="A9" t="str">
            <v>A</v>
          </cell>
        </row>
      </sheetData>
      <sheetData sheetId="6525">
        <row r="9">
          <cell r="A9" t="str">
            <v>A</v>
          </cell>
        </row>
      </sheetData>
      <sheetData sheetId="6526">
        <row r="9">
          <cell r="A9" t="str">
            <v>A</v>
          </cell>
        </row>
      </sheetData>
      <sheetData sheetId="6527">
        <row r="4">
          <cell r="A4" t="str">
            <v>BẢNG TÍNH TOÁN, ĐO BÓC KHỐI LƯỢNG HOÀN THÀNH ĐƯA VÀO QUYẾT TOÁN</v>
          </cell>
        </row>
      </sheetData>
      <sheetData sheetId="6528">
        <row r="4">
          <cell r="A4" t="str">
            <v>BẢNG TÍNH TOÁN, ĐO BÓC KHỐI LƯỢNG HOÀN THÀNH ĐƯA VÀO QUYẾT TOÁN</v>
          </cell>
        </row>
      </sheetData>
      <sheetData sheetId="6529">
        <row r="9">
          <cell r="A9" t="str">
            <v>A</v>
          </cell>
        </row>
      </sheetData>
      <sheetData sheetId="6530">
        <row r="4">
          <cell r="A4" t="str">
            <v>BẢNG TÍNH TOÁN, ĐO BÓC KHỐI LƯỢNG HOÀN THÀNH ĐƯA VÀO QUYẾT TOÁN</v>
          </cell>
        </row>
      </sheetData>
      <sheetData sheetId="6531">
        <row r="9">
          <cell r="A9" t="str">
            <v>A</v>
          </cell>
        </row>
      </sheetData>
      <sheetData sheetId="6532">
        <row r="4">
          <cell r="A4" t="str">
            <v>BẢNG TÍNH TOÁN, ĐO BÓC KHỐI LƯỢNG HOÀN THÀNH ĐƯA VÀO QUYẾT TOÁN</v>
          </cell>
        </row>
      </sheetData>
      <sheetData sheetId="6533">
        <row r="4">
          <cell r="A4" t="str">
            <v>BẢNG TÍNH TOÁN, ĐO BÓC KHỐI LƯỢNG HOÀN THÀNH ĐƯA VÀO QUYẾT TOÁN</v>
          </cell>
        </row>
      </sheetData>
      <sheetData sheetId="6534">
        <row r="4">
          <cell r="A4" t="str">
            <v>BẢNG TÍNH TOÁN, ĐO BÓC KHỐI LƯỢNG HOÀN THÀNH ĐƯA VÀO QUYẾT TOÁN</v>
          </cell>
        </row>
      </sheetData>
      <sheetData sheetId="6535">
        <row r="4">
          <cell r="A4" t="str">
            <v>BẢNG TÍNH TOÁN, ĐO BÓC KHỐI LƯỢNG HOÀN THÀNH ĐƯA VÀO QUYẾT TOÁN</v>
          </cell>
        </row>
      </sheetData>
      <sheetData sheetId="6536">
        <row r="9">
          <cell r="A9" t="str">
            <v>A</v>
          </cell>
        </row>
      </sheetData>
      <sheetData sheetId="6537">
        <row r="4">
          <cell r="A4" t="str">
            <v>BẢNG TÍNH TOÁN, ĐO BÓC KHỐI LƯỢNG HOÀN THÀNH ĐƯA VÀO QUYẾT TOÁN</v>
          </cell>
        </row>
      </sheetData>
      <sheetData sheetId="6538">
        <row r="4">
          <cell r="A4" t="str">
            <v>BẢNG TÍNH TOÁN, ĐO BÓC KHỐI LƯỢNG HOÀN THÀNH ĐƯA VÀO QUYẾT TOÁN</v>
          </cell>
        </row>
      </sheetData>
      <sheetData sheetId="6539">
        <row r="4">
          <cell r="A4" t="str">
            <v>BẢNG TÍNH TOÁN, ĐO BÓC KHỐI LƯỢNG HOÀN THÀNH ĐƯA VÀO QUYẾT TOÁN</v>
          </cell>
        </row>
      </sheetData>
      <sheetData sheetId="6540">
        <row r="9">
          <cell r="A9" t="str">
            <v>A</v>
          </cell>
        </row>
      </sheetData>
      <sheetData sheetId="6541">
        <row r="4">
          <cell r="A4" t="str">
            <v>BẢNG TÍNH TOÁN, ĐO BÓC KHỐI LƯỢNG HOÀN THÀNH ĐƯA VÀO QUYẾT TOÁN</v>
          </cell>
        </row>
      </sheetData>
      <sheetData sheetId="6542">
        <row r="4">
          <cell r="A4" t="str">
            <v>BẢNG TÍNH TOÁN, ĐO BÓC KHỐI LƯỢNG HOÀN THÀNH ĐƯA VÀO QUYẾT TOÁN</v>
          </cell>
        </row>
      </sheetData>
      <sheetData sheetId="6543">
        <row r="4">
          <cell r="A4" t="str">
            <v>BẢNG TÍNH TOÁN, ĐO BÓC KHỐI LƯỢNG HOÀN THÀNH ĐƯA VÀO QUYẾT TOÁN</v>
          </cell>
        </row>
      </sheetData>
      <sheetData sheetId="6544">
        <row r="4">
          <cell r="A4" t="str">
            <v>BẢNG TÍNH TOÁN, ĐO BÓC KHỐI LƯỢNG HOÀN THÀNH ĐƯA VÀO QUYẾT TOÁN</v>
          </cell>
        </row>
      </sheetData>
      <sheetData sheetId="6545">
        <row r="4">
          <cell r="A4" t="str">
            <v>BẢNG TÍNH TOÁN, ĐO BÓC KHỐI LƯỢNG HOÀN THÀNH ĐƯA VÀO QUYẾT TOÁN</v>
          </cell>
        </row>
      </sheetData>
      <sheetData sheetId="6546">
        <row r="4">
          <cell r="A4" t="str">
            <v>BẢNG TÍNH TOÁN, ĐO BÓC KHỐI LƯỢNG HOÀN THÀNH ĐƯA VÀO QUYẾT TOÁN</v>
          </cell>
        </row>
      </sheetData>
      <sheetData sheetId="6547">
        <row r="4">
          <cell r="A4" t="str">
            <v>BẢNG TÍNH TOÁN, ĐO BÓC KHỐI LƯỢNG HOÀN THÀNH ĐƯA VÀO QUYẾT TOÁN</v>
          </cell>
        </row>
      </sheetData>
      <sheetData sheetId="6548">
        <row r="4">
          <cell r="A4" t="str">
            <v>BẢNG TÍNH TOÁN, ĐO BÓC KHỐI LƯỢNG HOÀN THÀNH ĐƯA VÀO QUYẾT TOÁN</v>
          </cell>
        </row>
      </sheetData>
      <sheetData sheetId="6549">
        <row r="4">
          <cell r="A4" t="str">
            <v>BẢNG TÍNH TOÁN, ĐO BÓC KHỐI LƯỢNG HOÀN THÀNH ĐƯA VÀO QUYẾT TOÁN</v>
          </cell>
        </row>
      </sheetData>
      <sheetData sheetId="6550">
        <row r="4">
          <cell r="A4" t="str">
            <v>BẢNG TÍNH TOÁN, ĐO BÓC KHỐI LƯỢNG HOÀN THÀNH ĐƯA VÀO QUYẾT TOÁN</v>
          </cell>
        </row>
      </sheetData>
      <sheetData sheetId="6551">
        <row r="4">
          <cell r="A4" t="str">
            <v>BẢNG TÍNH TOÁN, ĐO BÓC KHỐI LƯỢNG HOÀN THÀNH ĐƯA VÀO QUYẾT TOÁN</v>
          </cell>
        </row>
      </sheetData>
      <sheetData sheetId="6552">
        <row r="4">
          <cell r="A4" t="str">
            <v>BẢNG TÍNH TOÁN, ĐO BÓC KHỐI LƯỢNG HOÀN THÀNH ĐƯA VÀO QUYẾT TOÁN</v>
          </cell>
        </row>
      </sheetData>
      <sheetData sheetId="6553">
        <row r="4">
          <cell r="A4" t="str">
            <v>BẢNG TÍNH TOÁN, ĐO BÓC KHỐI LƯỢNG HOÀN THÀNH ĐƯA VÀO QUYẾT TOÁN</v>
          </cell>
        </row>
      </sheetData>
      <sheetData sheetId="6554">
        <row r="4">
          <cell r="A4" t="str">
            <v>BẢNG TÍNH TOÁN, ĐO BÓC KHỐI LƯỢNG HOÀN THÀNH ĐƯA VÀO QUYẾT TOÁN</v>
          </cell>
        </row>
      </sheetData>
      <sheetData sheetId="6555">
        <row r="4">
          <cell r="A4" t="str">
            <v>BẢNG TÍNH TOÁN, ĐO BÓC KHỐI LƯỢNG HOÀN THÀNH ĐƯA VÀO QUYẾT TOÁN</v>
          </cell>
        </row>
      </sheetData>
      <sheetData sheetId="6556">
        <row r="4">
          <cell r="A4" t="str">
            <v>BẢNG TÍNH TOÁN, ĐO BÓC KHỐI LƯỢNG HOÀN THÀNH ĐƯA VÀO QUYẾT TOÁN</v>
          </cell>
        </row>
      </sheetData>
      <sheetData sheetId="6557">
        <row r="4">
          <cell r="A4" t="str">
            <v>BẢNG TÍNH TOÁN, ĐO BÓC KHỐI LƯỢNG HOÀN THÀNH ĐƯA VÀO QUYẾT TOÁN</v>
          </cell>
        </row>
      </sheetData>
      <sheetData sheetId="6558">
        <row r="4">
          <cell r="A4" t="str">
            <v>BẢNG TÍNH TOÁN, ĐO BÓC KHỐI LƯỢNG HOÀN THÀNH ĐƯA VÀO QUYẾT TOÁN</v>
          </cell>
        </row>
      </sheetData>
      <sheetData sheetId="6559">
        <row r="4">
          <cell r="A4" t="str">
            <v>BẢNG TÍNH TOÁN, ĐO BÓC KHỐI LƯỢNG HOÀN THÀNH ĐƯA VÀO QUYẾT TOÁN</v>
          </cell>
        </row>
      </sheetData>
      <sheetData sheetId="6560">
        <row r="4">
          <cell r="A4" t="str">
            <v>BẢNG TÍNH TOÁN, ĐO BÓC KHỐI LƯỢNG HOÀN THÀNH ĐƯA VÀO QUYẾT TOÁN</v>
          </cell>
        </row>
      </sheetData>
      <sheetData sheetId="6561">
        <row r="9">
          <cell r="A9" t="str">
            <v>A</v>
          </cell>
        </row>
      </sheetData>
      <sheetData sheetId="6562">
        <row r="4">
          <cell r="A4" t="str">
            <v>BẢNG TÍNH TOÁN, ĐO BÓC KHỐI LƯỢNG HOÀN THÀNH ĐƯA VÀO QUYẾT TOÁN</v>
          </cell>
        </row>
      </sheetData>
      <sheetData sheetId="6563">
        <row r="4">
          <cell r="A4" t="str">
            <v>BẢNG TÍNH TOÁN, ĐO BÓC KHỐI LƯỢNG HOÀN THÀNH ĐƯA VÀO QUYẾT TOÁN</v>
          </cell>
        </row>
      </sheetData>
      <sheetData sheetId="6564">
        <row r="4">
          <cell r="A4" t="str">
            <v>BẢNG TÍNH TOÁN, ĐO BÓC KHỐI LƯỢNG HOÀN THÀNH ĐƯA VÀO QUYẾT TOÁN</v>
          </cell>
        </row>
      </sheetData>
      <sheetData sheetId="6565">
        <row r="9">
          <cell r="A9" t="str">
            <v>A</v>
          </cell>
        </row>
      </sheetData>
      <sheetData sheetId="6566">
        <row r="4">
          <cell r="A4" t="str">
            <v>BẢNG TÍNH TOÁN, ĐO BÓC KHỐI LƯỢNG HOÀN THÀNH ĐƯA VÀO QUYẾT TOÁN</v>
          </cell>
        </row>
      </sheetData>
      <sheetData sheetId="6567">
        <row r="4">
          <cell r="A4" t="str">
            <v>BẢNG TÍNH TOÁN, ĐO BÓC KHỐI LƯỢNG HOÀN THÀNH ĐƯA VÀO QUYẾT TOÁN</v>
          </cell>
        </row>
      </sheetData>
      <sheetData sheetId="6568">
        <row r="4">
          <cell r="A4" t="str">
            <v>BẢNG TÍNH TOÁN, ĐO BÓC KHỐI LƯỢNG HOÀN THÀNH ĐƯA VÀO QUYẾT TOÁN</v>
          </cell>
        </row>
      </sheetData>
      <sheetData sheetId="6569">
        <row r="4">
          <cell r="A4" t="str">
            <v>BẢNG TÍNH TOÁN, ĐO BÓC KHỐI LƯỢNG HOÀN THÀNH ĐƯA VÀO QUYẾT TOÁN</v>
          </cell>
        </row>
      </sheetData>
      <sheetData sheetId="6570">
        <row r="4">
          <cell r="A4" t="str">
            <v>BẢNG TÍNH TOÁN, ĐO BÓC KHỐI LƯỢNG HOÀN THÀNH ĐƯA VÀO QUYẾT TOÁN</v>
          </cell>
        </row>
      </sheetData>
      <sheetData sheetId="6571">
        <row r="9">
          <cell r="A9" t="str">
            <v>A</v>
          </cell>
        </row>
      </sheetData>
      <sheetData sheetId="6572">
        <row r="9">
          <cell r="A9" t="str">
            <v>A</v>
          </cell>
        </row>
      </sheetData>
      <sheetData sheetId="6573">
        <row r="4">
          <cell r="A4" t="str">
            <v>BẢNG TÍNH TOÁN, ĐO BÓC KHỐI LƯỢNG HOÀN THÀNH ĐƯA VÀO QUYẾT TOÁN</v>
          </cell>
        </row>
      </sheetData>
      <sheetData sheetId="6574">
        <row r="4">
          <cell r="A4" t="str">
            <v>BẢNG TÍNH TOÁN, ĐO BÓC KHỐI LƯỢNG HOÀN THÀNH ĐƯA VÀO QUYẾT TOÁN</v>
          </cell>
        </row>
      </sheetData>
      <sheetData sheetId="6575">
        <row r="4">
          <cell r="A4" t="str">
            <v>BẢNG TÍNH TOÁN, ĐO BÓC KHỐI LƯỢNG HOÀN THÀNH ĐƯA VÀO QUYẾT TOÁN</v>
          </cell>
        </row>
      </sheetData>
      <sheetData sheetId="6576">
        <row r="4">
          <cell r="A4" t="str">
            <v>BẢNG TÍNH TOÁN, ĐO BÓC KHỐI LƯỢNG HOÀN THÀNH ĐƯA VÀO QUYẾT TOÁN</v>
          </cell>
        </row>
      </sheetData>
      <sheetData sheetId="6577">
        <row r="9">
          <cell r="A9" t="str">
            <v>A</v>
          </cell>
        </row>
      </sheetData>
      <sheetData sheetId="6578">
        <row r="9">
          <cell r="A9" t="str">
            <v>A</v>
          </cell>
        </row>
      </sheetData>
      <sheetData sheetId="6579">
        <row r="4">
          <cell r="A4" t="str">
            <v>BẢNG TÍNH TOÁN, ĐO BÓC KHỐI LƯỢNG HOÀN THÀNH ĐƯA VÀO QUYẾT TOÁN</v>
          </cell>
        </row>
      </sheetData>
      <sheetData sheetId="6580">
        <row r="4">
          <cell r="A4" t="str">
            <v>BẢNG TÍNH TOÁN, ĐO BÓC KHỐI LƯỢNG HOÀN THÀNH ĐƯA VÀO QUYẾT TOÁN</v>
          </cell>
        </row>
      </sheetData>
      <sheetData sheetId="6581">
        <row r="4">
          <cell r="A4" t="str">
            <v>BẢNG TÍNH TOÁN, ĐO BÓC KHỐI LƯỢNG HOÀN THÀNH ĐƯA VÀO QUYẾT TOÁN</v>
          </cell>
        </row>
      </sheetData>
      <sheetData sheetId="6582">
        <row r="4">
          <cell r="A4" t="str">
            <v>BẢNG TÍNH TOÁN, ĐO BÓC KHỐI LƯỢNG HOÀN THÀNH ĐƯA VÀO QUYẾT TOÁN</v>
          </cell>
        </row>
      </sheetData>
      <sheetData sheetId="6583">
        <row r="4">
          <cell r="A4" t="str">
            <v>BẢNG TÍNH TOÁN, ĐO BÓC KHỐI LƯỢNG HOÀN THÀNH ĐƯA VÀO QUYẾT TOÁN</v>
          </cell>
        </row>
      </sheetData>
      <sheetData sheetId="6584">
        <row r="9">
          <cell r="A9" t="str">
            <v>A</v>
          </cell>
        </row>
      </sheetData>
      <sheetData sheetId="6585">
        <row r="4">
          <cell r="A4" t="str">
            <v>BẢNG TÍNH TOÁN, ĐO BÓC KHỐI LƯỢNG HOÀN THÀNH ĐƯA VÀO QUYẾT TOÁN</v>
          </cell>
        </row>
      </sheetData>
      <sheetData sheetId="6586">
        <row r="4">
          <cell r="A4" t="str">
            <v>BẢNG TÍNH TOÁN, ĐO BÓC KHỐI LƯỢNG HOÀN THÀNH ĐƯA VÀO QUYẾT TOÁN</v>
          </cell>
        </row>
      </sheetData>
      <sheetData sheetId="6587">
        <row r="9">
          <cell r="A9" t="str">
            <v>A</v>
          </cell>
        </row>
      </sheetData>
      <sheetData sheetId="6588">
        <row r="4">
          <cell r="A4" t="str">
            <v>BẢNG TÍNH TOÁN, ĐO BÓC KHỐI LƯỢNG HOÀN THÀNH ĐƯA VÀO QUYẾT TOÁN</v>
          </cell>
        </row>
      </sheetData>
      <sheetData sheetId="6589">
        <row r="4">
          <cell r="A4" t="str">
            <v>BẢNG TÍNH TOÁN, ĐO BÓC KHỐI LƯỢNG HOÀN THÀNH ĐƯA VÀO QUYẾT TOÁN</v>
          </cell>
        </row>
      </sheetData>
      <sheetData sheetId="6590">
        <row r="4">
          <cell r="A4" t="str">
            <v>BẢNG TÍNH TOÁN, ĐO BÓC KHỐI LƯỢNG HOÀN THÀNH ĐƯA VÀO QUYẾT TOÁN</v>
          </cell>
        </row>
      </sheetData>
      <sheetData sheetId="6591">
        <row r="4">
          <cell r="A4" t="str">
            <v>BẢNG TÍNH TOÁN, ĐO BÓC KHỐI LƯỢNG HOÀN THÀNH ĐƯA VÀO QUYẾT TOÁN</v>
          </cell>
        </row>
      </sheetData>
      <sheetData sheetId="6592">
        <row r="4">
          <cell r="A4" t="str">
            <v>BẢNG TÍNH TOÁN, ĐO BÓC KHỐI LƯỢNG HOÀN THÀNH ĐƯA VÀO QUYẾT TOÁN</v>
          </cell>
        </row>
      </sheetData>
      <sheetData sheetId="6593">
        <row r="4">
          <cell r="A4" t="str">
            <v>BẢNG TÍNH TOÁN, ĐO BÓC KHỐI LƯỢNG HOÀN THÀNH ĐƯA VÀO QUYẾT TOÁN</v>
          </cell>
        </row>
      </sheetData>
      <sheetData sheetId="6594">
        <row r="9">
          <cell r="A9" t="str">
            <v>A</v>
          </cell>
        </row>
      </sheetData>
      <sheetData sheetId="6595">
        <row r="4">
          <cell r="A4" t="str">
            <v>BẢNG TÍNH TOÁN, ĐO BÓC KHỐI LƯỢNG HOÀN THÀNH ĐƯA VÀO QUYẾT TOÁN</v>
          </cell>
        </row>
      </sheetData>
      <sheetData sheetId="6596">
        <row r="4">
          <cell r="A4" t="str">
            <v>BẢNG TÍNH TOÁN, ĐO BÓC KHỐI LƯỢNG HOÀN THÀNH ĐƯA VÀO QUYẾT TOÁN</v>
          </cell>
        </row>
      </sheetData>
      <sheetData sheetId="6597">
        <row r="9">
          <cell r="A9" t="str">
            <v>A</v>
          </cell>
        </row>
      </sheetData>
      <sheetData sheetId="6598">
        <row r="4">
          <cell r="A4" t="str">
            <v>BẢNG TÍNH TOÁN, ĐO BÓC KHỐI LƯỢNG HOÀN THÀNH ĐƯA VÀO QUYẾT TOÁN</v>
          </cell>
        </row>
      </sheetData>
      <sheetData sheetId="6599">
        <row r="4">
          <cell r="A4" t="str">
            <v>BẢNG TÍNH TOÁN, ĐO BÓC KHỐI LƯỢNG HOÀN THÀNH ĐƯA VÀO QUYẾT TOÁN</v>
          </cell>
        </row>
      </sheetData>
      <sheetData sheetId="6600">
        <row r="4">
          <cell r="A4" t="str">
            <v>BẢNG TÍNH TOÁN, ĐO BÓC KHỐI LƯỢNG HOÀN THÀNH ĐƯA VÀO QUYẾT TOÁN</v>
          </cell>
        </row>
      </sheetData>
      <sheetData sheetId="6601">
        <row r="4">
          <cell r="A4" t="str">
            <v>BẢNG TÍNH TOÁN, ĐO BÓC KHỐI LƯỢNG HOÀN THÀNH ĐƯA VÀO QUYẾT TOÁN</v>
          </cell>
        </row>
      </sheetData>
      <sheetData sheetId="6602">
        <row r="4">
          <cell r="A4" t="str">
            <v>BẢNG TÍNH TOÁN, ĐO BÓC KHỐI LƯỢNG HOÀN THÀNH ĐƯA VÀO QUYẾT TOÁN</v>
          </cell>
        </row>
      </sheetData>
      <sheetData sheetId="6603">
        <row r="4">
          <cell r="A4" t="str">
            <v>BẢNG TÍNH TOÁN, ĐO BÓC KHỐI LƯỢNG HOÀN THÀNH ĐƯA VÀO QUYẾT TOÁN</v>
          </cell>
        </row>
      </sheetData>
      <sheetData sheetId="6604">
        <row r="4">
          <cell r="A4" t="str">
            <v>BẢNG TÍNH TOÁN, ĐO BÓC KHỐI LƯỢNG HOÀN THÀNH ĐƯA VÀO QUYẾT TOÁN</v>
          </cell>
        </row>
      </sheetData>
      <sheetData sheetId="6605">
        <row r="4">
          <cell r="A4" t="str">
            <v>BẢNG TÍNH TOÁN, ĐO BÓC KHỐI LƯỢNG HOÀN THÀNH ĐƯA VÀO QUYẾT TOÁN</v>
          </cell>
        </row>
      </sheetData>
      <sheetData sheetId="6606">
        <row r="4">
          <cell r="A4" t="str">
            <v>BẢNG TÍNH TOÁN, ĐO BÓC KHỐI LƯỢNG HOÀN THÀNH ĐƯA VÀO QUYẾT TOÁN</v>
          </cell>
        </row>
      </sheetData>
      <sheetData sheetId="6607">
        <row r="4">
          <cell r="A4" t="str">
            <v>BẢNG TÍNH TOÁN, ĐO BÓC KHỐI LƯỢNG HOÀN THÀNH ĐƯA VÀO QUYẾT TOÁN</v>
          </cell>
        </row>
      </sheetData>
      <sheetData sheetId="6608">
        <row r="9">
          <cell r="A9" t="str">
            <v>A</v>
          </cell>
        </row>
      </sheetData>
      <sheetData sheetId="6609">
        <row r="4">
          <cell r="A4" t="str">
            <v>BẢNG TÍNH TOÁN, ĐO BÓC KHỐI LƯỢNG HOÀN THÀNH ĐƯA VÀO QUYẾT TOÁN</v>
          </cell>
        </row>
      </sheetData>
      <sheetData sheetId="6610">
        <row r="9">
          <cell r="A9" t="str">
            <v>A</v>
          </cell>
        </row>
      </sheetData>
      <sheetData sheetId="6611">
        <row r="4">
          <cell r="A4" t="str">
            <v>BẢNG TÍNH TOÁN, ĐO BÓC KHỐI LƯỢNG HOÀN THÀNH ĐƯA VÀO QUYẾT TOÁN</v>
          </cell>
        </row>
      </sheetData>
      <sheetData sheetId="6612">
        <row r="4">
          <cell r="A4" t="str">
            <v>BẢNG TÍNH TOÁN, ĐO BÓC KHỐI LƯỢNG HOÀN THÀNH ĐƯA VÀO QUYẾT TOÁN</v>
          </cell>
        </row>
      </sheetData>
      <sheetData sheetId="6613">
        <row r="4">
          <cell r="A4" t="str">
            <v>BẢNG TÍNH TOÁN, ĐO BÓC KHỐI LƯỢNG HOÀN THÀNH ĐƯA VÀO QUYẾT TOÁN</v>
          </cell>
        </row>
      </sheetData>
      <sheetData sheetId="6614">
        <row r="4">
          <cell r="A4" t="str">
            <v>BẢNG TÍNH TOÁN, ĐO BÓC KHỐI LƯỢNG HOÀN THÀNH ĐƯA VÀO QUYẾT TOÁN</v>
          </cell>
        </row>
      </sheetData>
      <sheetData sheetId="6615">
        <row r="4">
          <cell r="A4" t="str">
            <v>BẢNG TÍNH TOÁN, ĐO BÓC KHỐI LƯỢNG HOÀN THÀNH ĐƯA VÀO QUYẾT TOÁN</v>
          </cell>
        </row>
      </sheetData>
      <sheetData sheetId="6616">
        <row r="4">
          <cell r="A4" t="str">
            <v>BẢNG TÍNH TOÁN, ĐO BÓC KHỐI LƯỢNG HOÀN THÀNH ĐƯA VÀO QUYẾT TOÁN</v>
          </cell>
        </row>
      </sheetData>
      <sheetData sheetId="6617">
        <row r="4">
          <cell r="A4" t="str">
            <v>BẢNG TÍNH TOÁN, ĐO BÓC KHỐI LƯỢNG HOÀN THÀNH ĐƯA VÀO QUYẾT TOÁN</v>
          </cell>
        </row>
      </sheetData>
      <sheetData sheetId="6618">
        <row r="4">
          <cell r="A4" t="str">
            <v>BẢNG TÍNH TOÁN, ĐO BÓC KHỐI LƯỢNG HOÀN THÀNH ĐƯA VÀO QUYẾT TOÁN</v>
          </cell>
        </row>
      </sheetData>
      <sheetData sheetId="6619">
        <row r="4">
          <cell r="A4" t="str">
            <v>BẢNG TÍNH TOÁN, ĐO BÓC KHỐI LƯỢNG HOÀN THÀNH ĐƯA VÀO QUYẾT TOÁN</v>
          </cell>
        </row>
      </sheetData>
      <sheetData sheetId="6620">
        <row r="4">
          <cell r="A4" t="str">
            <v>BẢNG TÍNH TOÁN, ĐO BÓC KHỐI LƯỢNG HOÀN THÀNH ĐƯA VÀO QUYẾT TOÁN</v>
          </cell>
        </row>
      </sheetData>
      <sheetData sheetId="6621">
        <row r="9">
          <cell r="A9" t="str">
            <v>A</v>
          </cell>
        </row>
      </sheetData>
      <sheetData sheetId="6622">
        <row r="4">
          <cell r="A4" t="str">
            <v>BẢNG TÍNH TOÁN, ĐO BÓC KHỐI LƯỢNG HOÀN THÀNH ĐƯA VÀO QUYẾT TOÁN</v>
          </cell>
        </row>
      </sheetData>
      <sheetData sheetId="6623">
        <row r="4">
          <cell r="A4" t="str">
            <v>BẢNG TÍNH TOÁN, ĐO BÓC KHỐI LƯỢNG HOÀN THÀNH ĐƯA VÀO QUYẾT TOÁN</v>
          </cell>
        </row>
      </sheetData>
      <sheetData sheetId="6624">
        <row r="4">
          <cell r="A4" t="str">
            <v>BẢNG TÍNH TOÁN, ĐO BÓC KHỐI LƯỢNG HOÀN THÀNH ĐƯA VÀO QUYẾT TOÁN</v>
          </cell>
        </row>
      </sheetData>
      <sheetData sheetId="6625">
        <row r="4">
          <cell r="A4" t="str">
            <v>BẢNG TÍNH TOÁN, ĐO BÓC KHỐI LƯỢNG HOÀN THÀNH ĐƯA VÀO QUYẾT TOÁN</v>
          </cell>
        </row>
      </sheetData>
      <sheetData sheetId="6626">
        <row r="4">
          <cell r="A4" t="str">
            <v>BẢNG TÍNH TOÁN, ĐO BÓC KHỐI LƯỢNG HOÀN THÀNH ĐƯA VÀO QUYẾT TOÁN</v>
          </cell>
        </row>
      </sheetData>
      <sheetData sheetId="6627">
        <row r="4">
          <cell r="A4" t="str">
            <v>BẢNG TÍNH TOÁN, ĐO BÓC KHỐI LƯỢNG HOÀN THÀNH ĐƯA VÀO QUYẾT TOÁN</v>
          </cell>
        </row>
      </sheetData>
      <sheetData sheetId="6628">
        <row r="4">
          <cell r="A4" t="str">
            <v>BẢNG TÍNH TOÁN, ĐO BÓC KHỐI LƯỢNG HOÀN THÀNH ĐƯA VÀO QUYẾT TOÁN</v>
          </cell>
        </row>
      </sheetData>
      <sheetData sheetId="6629">
        <row r="4">
          <cell r="A4" t="str">
            <v>BẢNG TÍNH TOÁN, ĐO BÓC KHỐI LƯỢNG HOÀN THÀNH ĐƯA VÀO QUYẾT TOÁN</v>
          </cell>
        </row>
      </sheetData>
      <sheetData sheetId="6630">
        <row r="4">
          <cell r="A4" t="str">
            <v>BẢNG TÍNH TOÁN, ĐO BÓC KHỐI LƯỢNG HOÀN THÀNH ĐƯA VÀO QUYẾT TOÁN</v>
          </cell>
        </row>
      </sheetData>
      <sheetData sheetId="6631">
        <row r="4">
          <cell r="A4" t="str">
            <v>BẢNG TÍNH TOÁN, ĐO BÓC KHỐI LƯỢNG HOÀN THÀNH ĐƯA VÀO QUYẾT TOÁN</v>
          </cell>
        </row>
      </sheetData>
      <sheetData sheetId="6632">
        <row r="4">
          <cell r="A4" t="str">
            <v>BẢNG TÍNH TOÁN, ĐO BÓC KHỐI LƯỢNG HOÀN THÀNH ĐƯA VÀO QUYẾT TOÁN</v>
          </cell>
        </row>
      </sheetData>
      <sheetData sheetId="6633">
        <row r="4">
          <cell r="A4" t="str">
            <v>BẢNG TÍNH TOÁN, ĐO BÓC KHỐI LƯỢNG HOÀN THÀNH ĐƯA VÀO QUYẾT TOÁN</v>
          </cell>
        </row>
      </sheetData>
      <sheetData sheetId="6634">
        <row r="4">
          <cell r="A4" t="str">
            <v>BẢNG TÍNH TOÁN, ĐO BÓC KHỐI LƯỢNG HOÀN THÀNH ĐƯA VÀO QUYẾT TOÁN</v>
          </cell>
        </row>
      </sheetData>
      <sheetData sheetId="6635">
        <row r="4">
          <cell r="A4" t="str">
            <v>BẢNG TÍNH TOÁN, ĐO BÓC KHỐI LƯỢNG HOÀN THÀNH ĐƯA VÀO QUYẾT TOÁN</v>
          </cell>
        </row>
      </sheetData>
      <sheetData sheetId="6636">
        <row r="4">
          <cell r="A4" t="str">
            <v>BẢNG TÍNH TOÁN, ĐO BÓC KHỐI LƯỢNG HOÀN THÀNH ĐƯA VÀO QUYẾT TOÁN</v>
          </cell>
        </row>
      </sheetData>
      <sheetData sheetId="6637">
        <row r="4">
          <cell r="A4" t="str">
            <v>BẢNG TÍNH TOÁN, ĐO BÓC KHỐI LƯỢNG HOÀN THÀNH ĐƯA VÀO QUYẾT TOÁN</v>
          </cell>
        </row>
      </sheetData>
      <sheetData sheetId="6638">
        <row r="4">
          <cell r="A4" t="str">
            <v>BẢNG TÍNH TOÁN, ĐO BÓC KHỐI LƯỢNG HOÀN THÀNH ĐƯA VÀO QUYẾT TOÁN</v>
          </cell>
        </row>
      </sheetData>
      <sheetData sheetId="6639">
        <row r="4">
          <cell r="A4" t="str">
            <v>BẢNG TÍNH TOÁN, ĐO BÓC KHỐI LƯỢNG HOÀN THÀNH ĐƯA VÀO QUYẾT TOÁN</v>
          </cell>
        </row>
      </sheetData>
      <sheetData sheetId="6640">
        <row r="4">
          <cell r="A4" t="str">
            <v>BẢNG TÍNH TOÁN, ĐO BÓC KHỐI LƯỢNG HOÀN THÀNH ĐƯA VÀO QUYẾT TOÁN</v>
          </cell>
        </row>
      </sheetData>
      <sheetData sheetId="6641">
        <row r="4">
          <cell r="A4" t="str">
            <v>BẢNG TÍNH TOÁN, ĐO BÓC KHỐI LƯỢNG HOÀN THÀNH ĐƯA VÀO QUYẾT TOÁN</v>
          </cell>
        </row>
      </sheetData>
      <sheetData sheetId="6642">
        <row r="4">
          <cell r="A4" t="str">
            <v>BẢNG TÍNH TOÁN, ĐO BÓC KHỐI LƯỢNG HOÀN THÀNH ĐƯA VÀO QUYẾT TOÁN</v>
          </cell>
        </row>
      </sheetData>
      <sheetData sheetId="6643">
        <row r="4">
          <cell r="A4" t="str">
            <v>BẢNG TÍNH TOÁN, ĐO BÓC KHỐI LƯỢNG HOÀN THÀNH ĐƯA VÀO QUYẾT TOÁN</v>
          </cell>
        </row>
      </sheetData>
      <sheetData sheetId="6644">
        <row r="4">
          <cell r="A4" t="str">
            <v>BẢNG TÍNH TOÁN, ĐO BÓC KHỐI LƯỢNG HOÀN THÀNH ĐƯA VÀO QUYẾT TOÁN</v>
          </cell>
        </row>
      </sheetData>
      <sheetData sheetId="6645">
        <row r="9">
          <cell r="A9" t="str">
            <v>A</v>
          </cell>
        </row>
      </sheetData>
      <sheetData sheetId="6646">
        <row r="4">
          <cell r="A4" t="str">
            <v>BẢNG TÍNH TOÁN, ĐO BÓC KHỐI LƯỢNG HOÀN THÀNH ĐƯA VÀO QUYẾT TOÁN</v>
          </cell>
        </row>
      </sheetData>
      <sheetData sheetId="6647">
        <row r="9">
          <cell r="A9" t="str">
            <v>A</v>
          </cell>
        </row>
      </sheetData>
      <sheetData sheetId="6648">
        <row r="4">
          <cell r="A4" t="str">
            <v>BẢNG TÍNH TOÁN, ĐO BÓC KHỐI LƯỢNG HOÀN THÀNH ĐƯA VÀO QUYẾT TOÁN</v>
          </cell>
        </row>
      </sheetData>
      <sheetData sheetId="6649">
        <row r="4">
          <cell r="A4" t="str">
            <v>BẢNG TÍNH TOÁN, ĐO BÓC KHỐI LƯỢNG HOÀN THÀNH ĐƯA VÀO QUYẾT TOÁN</v>
          </cell>
        </row>
      </sheetData>
      <sheetData sheetId="6650">
        <row r="4">
          <cell r="A4" t="str">
            <v>BẢNG TÍNH TOÁN, ĐO BÓC KHỐI LƯỢNG HOÀN THÀNH ĐƯA VÀO QUYẾT TOÁN</v>
          </cell>
        </row>
      </sheetData>
      <sheetData sheetId="6651">
        <row r="4">
          <cell r="A4" t="str">
            <v>BẢNG TÍNH TOÁN, ĐO BÓC KHỐI LƯỢNG HOÀN THÀNH ĐƯA VÀO QUYẾT TOÁN</v>
          </cell>
        </row>
      </sheetData>
      <sheetData sheetId="6652">
        <row r="4">
          <cell r="A4" t="str">
            <v>BẢNG TÍNH TOÁN, ĐO BÓC KHỐI LƯỢNG HOÀN THÀNH ĐƯA VÀO QUYẾT TOÁN</v>
          </cell>
        </row>
      </sheetData>
      <sheetData sheetId="6653">
        <row r="4">
          <cell r="A4" t="str">
            <v>BẢNG TÍNH TOÁN, ĐO BÓC KHỐI LƯỢNG HOÀN THÀNH ĐƯA VÀO QUYẾT TOÁN</v>
          </cell>
        </row>
      </sheetData>
      <sheetData sheetId="6654">
        <row r="9">
          <cell r="A9" t="str">
            <v>A</v>
          </cell>
        </row>
      </sheetData>
      <sheetData sheetId="6655">
        <row r="4">
          <cell r="A4" t="str">
            <v>BẢNG TÍNH TOÁN, ĐO BÓC KHỐI LƯỢNG HOÀN THÀNH ĐƯA VÀO QUYẾT TOÁN</v>
          </cell>
        </row>
      </sheetData>
      <sheetData sheetId="6656">
        <row r="4">
          <cell r="A4" t="str">
            <v>BẢNG TÍNH TOÁN, ĐO BÓC KHỐI LƯỢNG HOÀN THÀNH ĐƯA VÀO QUYẾT TOÁN</v>
          </cell>
        </row>
      </sheetData>
      <sheetData sheetId="6657">
        <row r="4">
          <cell r="A4" t="str">
            <v>BẢNG TÍNH TOÁN, ĐO BÓC KHỐI LƯỢNG HOÀN THÀNH ĐƯA VÀO QUYẾT TOÁN</v>
          </cell>
        </row>
      </sheetData>
      <sheetData sheetId="6658">
        <row r="4">
          <cell r="A4" t="str">
            <v>BẢNG TÍNH TOÁN, ĐO BÓC KHỐI LƯỢNG HOÀN THÀNH ĐƯA VÀO QUYẾT TOÁN</v>
          </cell>
        </row>
      </sheetData>
      <sheetData sheetId="6659">
        <row r="4">
          <cell r="A4" t="str">
            <v>BẢNG TÍNH TOÁN, ĐO BÓC KHỐI LƯỢNG HOÀN THÀNH ĐƯA VÀO QUYẾT TOÁN</v>
          </cell>
        </row>
      </sheetData>
      <sheetData sheetId="6660">
        <row r="4">
          <cell r="A4" t="str">
            <v>BẢNG TÍNH TOÁN, ĐO BÓC KHỐI LƯỢNG HOÀN THÀNH ĐƯA VÀO QUYẾT TOÁN</v>
          </cell>
        </row>
      </sheetData>
      <sheetData sheetId="6661">
        <row r="4">
          <cell r="A4" t="str">
            <v>BẢNG TÍNH TOÁN, ĐO BÓC KHỐI LƯỢNG HOÀN THÀNH ĐƯA VÀO QUYẾT TOÁN</v>
          </cell>
        </row>
      </sheetData>
      <sheetData sheetId="6662">
        <row r="4">
          <cell r="A4" t="str">
            <v>BẢNG TÍNH TOÁN, ĐO BÓC KHỐI LƯỢNG HOÀN THÀNH ĐƯA VÀO QUYẾT TOÁN</v>
          </cell>
        </row>
      </sheetData>
      <sheetData sheetId="6663">
        <row r="4">
          <cell r="A4" t="str">
            <v>BẢNG TÍNH TOÁN, ĐO BÓC KHỐI LƯỢNG HOÀN THÀNH ĐƯA VÀO QUYẾT TOÁN</v>
          </cell>
        </row>
      </sheetData>
      <sheetData sheetId="6664">
        <row r="4">
          <cell r="A4" t="str">
            <v>BẢNG TÍNH TOÁN, ĐO BÓC KHỐI LƯỢNG HOÀN THÀNH ĐƯA VÀO QUYẾT TOÁN</v>
          </cell>
        </row>
      </sheetData>
      <sheetData sheetId="6665">
        <row r="4">
          <cell r="A4" t="str">
            <v>BẢNG TÍNH TOÁN, ĐO BÓC KHỐI LƯỢNG HOÀN THÀNH ĐƯA VÀO QUYẾT TOÁN</v>
          </cell>
        </row>
      </sheetData>
      <sheetData sheetId="6666">
        <row r="4">
          <cell r="A4" t="str">
            <v>BẢNG TÍNH TOÁN, ĐO BÓC KHỐI LƯỢNG HOÀN THÀNH ĐƯA VÀO QUYẾT TOÁN</v>
          </cell>
        </row>
      </sheetData>
      <sheetData sheetId="6667">
        <row r="4">
          <cell r="A4" t="str">
            <v>BẢNG TÍNH TOÁN, ĐO BÓC KHỐI LƯỢNG HOÀN THÀNH ĐƯA VÀO QUYẾT TOÁN</v>
          </cell>
        </row>
      </sheetData>
      <sheetData sheetId="6668">
        <row r="4">
          <cell r="A4" t="str">
            <v>BẢNG TÍNH TOÁN, ĐO BÓC KHỐI LƯỢNG HOÀN THÀNH ĐƯA VÀO QUYẾT TOÁN</v>
          </cell>
        </row>
      </sheetData>
      <sheetData sheetId="6669">
        <row r="4">
          <cell r="A4" t="str">
            <v>BẢNG TÍNH TOÁN, ĐO BÓC KHỐI LƯỢNG HOÀN THÀNH ĐƯA VÀO QUYẾT TOÁN</v>
          </cell>
        </row>
      </sheetData>
      <sheetData sheetId="6670">
        <row r="4">
          <cell r="A4" t="str">
            <v>BẢNG TÍNH TOÁN, ĐO BÓC KHỐI LƯỢNG HOÀN THÀNH ĐƯA VÀO QUYẾT TOÁN</v>
          </cell>
        </row>
      </sheetData>
      <sheetData sheetId="6671">
        <row r="4">
          <cell r="A4" t="str">
            <v>BẢNG TÍNH TOÁN, ĐO BÓC KHỐI LƯỢNG HOÀN THÀNH ĐƯA VÀO QUYẾT TOÁN</v>
          </cell>
        </row>
      </sheetData>
      <sheetData sheetId="6672">
        <row r="4">
          <cell r="A4" t="str">
            <v>BẢNG TÍNH TOÁN, ĐO BÓC KHỐI LƯỢNG HOÀN THÀNH ĐƯA VÀO QUYẾT TOÁN</v>
          </cell>
        </row>
      </sheetData>
      <sheetData sheetId="6673">
        <row r="4">
          <cell r="A4" t="str">
            <v>BẢNG TÍNH TOÁN, ĐO BÓC KHỐI LƯỢNG HOÀN THÀNH ĐƯA VÀO QUYẾT TOÁN</v>
          </cell>
        </row>
      </sheetData>
      <sheetData sheetId="6674">
        <row r="9">
          <cell r="A9" t="str">
            <v>A</v>
          </cell>
        </row>
      </sheetData>
      <sheetData sheetId="6675">
        <row r="4">
          <cell r="A4" t="str">
            <v>BẢNG TÍNH TOÁN, ĐO BÓC KHỐI LƯỢNG HOÀN THÀNH ĐƯA VÀO QUYẾT TOÁN</v>
          </cell>
        </row>
      </sheetData>
      <sheetData sheetId="6676">
        <row r="4">
          <cell r="A4" t="str">
            <v>BẢNG TÍNH TOÁN, ĐO BÓC KHỐI LƯỢNG HOÀN THÀNH ĐƯA VÀO QUYẾT TOÁN</v>
          </cell>
        </row>
      </sheetData>
      <sheetData sheetId="6677">
        <row r="4">
          <cell r="A4" t="str">
            <v>BẢNG TÍNH TOÁN, ĐO BÓC KHỐI LƯỢNG HOÀN THÀNH ĐƯA VÀO QUYẾT TOÁN</v>
          </cell>
        </row>
      </sheetData>
      <sheetData sheetId="6678">
        <row r="4">
          <cell r="A4" t="str">
            <v>BẢNG TÍNH TOÁN, ĐO BÓC KHỐI LƯỢNG HOÀN THÀNH ĐƯA VÀO QUYẾT TOÁN</v>
          </cell>
        </row>
      </sheetData>
      <sheetData sheetId="6679">
        <row r="4">
          <cell r="A4" t="str">
            <v>BẢNG TÍNH TOÁN, ĐO BÓC KHỐI LƯỢNG HOÀN THÀNH ĐƯA VÀO QUYẾT TOÁN</v>
          </cell>
        </row>
      </sheetData>
      <sheetData sheetId="6680">
        <row r="4">
          <cell r="A4" t="str">
            <v>BẢNG TÍNH TOÁN, ĐO BÓC KHỐI LƯỢNG HOÀN THÀNH ĐƯA VÀO QUYẾT TOÁN</v>
          </cell>
        </row>
      </sheetData>
      <sheetData sheetId="6681">
        <row r="4">
          <cell r="A4" t="str">
            <v>BẢNG TÍNH TOÁN, ĐO BÓC KHỐI LƯỢNG HOÀN THÀNH ĐƯA VÀO QUYẾT TOÁN</v>
          </cell>
        </row>
      </sheetData>
      <sheetData sheetId="6682">
        <row r="4">
          <cell r="A4" t="str">
            <v>BẢNG TÍNH TOÁN, ĐO BÓC KHỐI LƯỢNG HOÀN THÀNH ĐƯA VÀO QUYẾT TOÁN</v>
          </cell>
        </row>
      </sheetData>
      <sheetData sheetId="6683">
        <row r="4">
          <cell r="A4" t="str">
            <v>BẢNG TÍNH TOÁN, ĐO BÓC KHỐI LƯỢNG HOÀN THÀNH ĐƯA VÀO QUYẾT TOÁN</v>
          </cell>
        </row>
      </sheetData>
      <sheetData sheetId="6684">
        <row r="4">
          <cell r="A4" t="str">
            <v>BẢNG TÍNH TOÁN, ĐO BÓC KHỐI LƯỢNG HOÀN THÀNH ĐƯA VÀO QUYẾT TOÁN</v>
          </cell>
        </row>
      </sheetData>
      <sheetData sheetId="6685">
        <row r="4">
          <cell r="A4" t="str">
            <v>BẢNG TÍNH TOÁN, ĐO BÓC KHỐI LƯỢNG HOÀN THÀNH ĐƯA VÀO QUYẾT TOÁN</v>
          </cell>
        </row>
      </sheetData>
      <sheetData sheetId="6686">
        <row r="4">
          <cell r="A4" t="str">
            <v>BẢNG TÍNH TOÁN, ĐO BÓC KHỐI LƯỢNG HOÀN THÀNH ĐƯA VÀO QUYẾT TOÁN</v>
          </cell>
        </row>
      </sheetData>
      <sheetData sheetId="6687">
        <row r="4">
          <cell r="A4" t="str">
            <v>BẢNG TÍNH TOÁN, ĐO BÓC KHỐI LƯỢNG HOÀN THÀNH ĐƯA VÀO QUYẾT TOÁN</v>
          </cell>
        </row>
      </sheetData>
      <sheetData sheetId="6688">
        <row r="9">
          <cell r="A9" t="str">
            <v>A</v>
          </cell>
        </row>
      </sheetData>
      <sheetData sheetId="6689">
        <row r="4">
          <cell r="A4" t="str">
            <v>BẢNG TÍNH TOÁN, ĐO BÓC KHỐI LƯỢNG HOÀN THÀNH ĐƯA VÀO QUYẾT TOÁN</v>
          </cell>
        </row>
      </sheetData>
      <sheetData sheetId="6690">
        <row r="4">
          <cell r="A4" t="str">
            <v>BẢNG TÍNH TOÁN, ĐO BÓC KHỐI LƯỢNG HOÀN THÀNH ĐƯA VÀO QUYẾT TOÁN</v>
          </cell>
        </row>
      </sheetData>
      <sheetData sheetId="6691">
        <row r="9">
          <cell r="A9" t="str">
            <v>A</v>
          </cell>
        </row>
      </sheetData>
      <sheetData sheetId="6692">
        <row r="9">
          <cell r="A9" t="str">
            <v>A</v>
          </cell>
        </row>
      </sheetData>
      <sheetData sheetId="6693">
        <row r="4">
          <cell r="A4" t="str">
            <v>BẢNG TÍNH TOÁN, ĐO BÓC KHỐI LƯỢNG HOÀN THÀNH ĐƯA VÀO QUYẾT TOÁN</v>
          </cell>
        </row>
      </sheetData>
      <sheetData sheetId="6694">
        <row r="9">
          <cell r="A9" t="str">
            <v>A</v>
          </cell>
        </row>
      </sheetData>
      <sheetData sheetId="6695">
        <row r="4">
          <cell r="A4" t="str">
            <v>BẢNG TÍNH TOÁN, ĐO BÓC KHỐI LƯỢNG HOÀN THÀNH ĐƯA VÀO QUYẾT TOÁN</v>
          </cell>
        </row>
      </sheetData>
      <sheetData sheetId="6696">
        <row r="4">
          <cell r="A4" t="str">
            <v>BẢNG TÍNH TOÁN, ĐO BÓC KHỐI LƯỢNG HOÀN THÀNH ĐƯA VÀO QUYẾT TOÁN</v>
          </cell>
        </row>
      </sheetData>
      <sheetData sheetId="6697">
        <row r="4">
          <cell r="A4" t="str">
            <v>BẢNG TÍNH TOÁN, ĐO BÓC KHỐI LƯỢNG HOÀN THÀNH ĐƯA VÀO QUYẾT TOÁN</v>
          </cell>
        </row>
      </sheetData>
      <sheetData sheetId="6698">
        <row r="4">
          <cell r="A4" t="str">
            <v>BẢNG TÍNH TOÁN, ĐO BÓC KHỐI LƯỢNG HOÀN THÀNH ĐƯA VÀO QUYẾT TOÁN</v>
          </cell>
        </row>
      </sheetData>
      <sheetData sheetId="6699">
        <row r="4">
          <cell r="A4" t="str">
            <v>BẢNG TÍNH TOÁN, ĐO BÓC KHỐI LƯỢNG HOÀN THÀNH ĐƯA VÀO QUYẾT TOÁN</v>
          </cell>
        </row>
      </sheetData>
      <sheetData sheetId="6700">
        <row r="4">
          <cell r="A4" t="str">
            <v>BẢNG TÍNH TOÁN, ĐO BÓC KHỐI LƯỢNG HOÀN THÀNH ĐƯA VÀO QUYẾT TOÁN</v>
          </cell>
        </row>
      </sheetData>
      <sheetData sheetId="6701">
        <row r="4">
          <cell r="A4" t="str">
            <v>BẢNG TÍNH TOÁN, ĐO BÓC KHỐI LƯỢNG HOÀN THÀNH ĐƯA VÀO QUYẾT TOÁN</v>
          </cell>
        </row>
      </sheetData>
      <sheetData sheetId="6702">
        <row r="4">
          <cell r="A4" t="str">
            <v>BẢNG TÍNH TOÁN, ĐO BÓC KHỐI LƯỢNG HOÀN THÀNH ĐƯA VÀO QUYẾT TOÁN</v>
          </cell>
        </row>
      </sheetData>
      <sheetData sheetId="6703">
        <row r="4">
          <cell r="A4" t="str">
            <v>BẢNG TÍNH TOÁN, ĐO BÓC KHỐI LƯỢNG HOÀN THÀNH ĐƯA VÀO QUYẾT TOÁN</v>
          </cell>
        </row>
      </sheetData>
      <sheetData sheetId="6704">
        <row r="9">
          <cell r="A9" t="str">
            <v>A</v>
          </cell>
        </row>
      </sheetData>
      <sheetData sheetId="6705">
        <row r="4">
          <cell r="A4" t="str">
            <v>BẢNG TÍNH TOÁN, ĐO BÓC KHỐI LƯỢNG HOÀN THÀNH ĐƯA VÀO QUYẾT TOÁN</v>
          </cell>
        </row>
      </sheetData>
      <sheetData sheetId="6706">
        <row r="4">
          <cell r="A4" t="str">
            <v>BẢNG TÍNH TOÁN, ĐO BÓC KHỐI LƯỢNG HOÀN THÀNH ĐƯA VÀO QUYẾT TOÁN</v>
          </cell>
        </row>
      </sheetData>
      <sheetData sheetId="6707">
        <row r="4">
          <cell r="A4" t="str">
            <v>BẢNG TÍNH TOÁN, ĐO BÓC KHỐI LƯỢNG HOÀN THÀNH ĐƯA VÀO QUYẾT TOÁN</v>
          </cell>
        </row>
      </sheetData>
      <sheetData sheetId="6708">
        <row r="4">
          <cell r="A4" t="str">
            <v>BẢNG TÍNH TOÁN, ĐO BÓC KHỐI LƯỢNG HOÀN THÀNH ĐƯA VÀO QUYẾT TOÁN</v>
          </cell>
        </row>
      </sheetData>
      <sheetData sheetId="6709">
        <row r="4">
          <cell r="A4" t="str">
            <v>BẢNG TÍNH TOÁN, ĐO BÓC KHỐI LƯỢNG HOÀN THÀNH ĐƯA VÀO QUYẾT TOÁN</v>
          </cell>
        </row>
      </sheetData>
      <sheetData sheetId="6710">
        <row r="4">
          <cell r="A4" t="str">
            <v>BẢNG TÍNH TOÁN, ĐO BÓC KHỐI LƯỢNG HOÀN THÀNH ĐƯA VÀO QUYẾT TOÁN</v>
          </cell>
        </row>
      </sheetData>
      <sheetData sheetId="6711">
        <row r="4">
          <cell r="A4" t="str">
            <v>BẢNG TÍNH TOÁN, ĐO BÓC KHỐI LƯỢNG HOÀN THÀNH ĐƯA VÀO QUYẾT TOÁN</v>
          </cell>
        </row>
      </sheetData>
      <sheetData sheetId="6712">
        <row r="4">
          <cell r="A4" t="str">
            <v>BẢNG TÍNH TOÁN, ĐO BÓC KHỐI LƯỢNG HOÀN THÀNH ĐƯA VÀO QUYẾT TOÁN</v>
          </cell>
        </row>
      </sheetData>
      <sheetData sheetId="6713">
        <row r="4">
          <cell r="A4" t="str">
            <v>BẢNG TÍNH TOÁN, ĐO BÓC KHỐI LƯỢNG HOÀN THÀNH ĐƯA VÀO QUYẾT TOÁN</v>
          </cell>
        </row>
      </sheetData>
      <sheetData sheetId="6714">
        <row r="4">
          <cell r="A4" t="str">
            <v>BẢNG TÍNH TOÁN, ĐO BÓC KHỐI LƯỢNG HOÀN THÀNH ĐƯA VÀO QUYẾT TOÁN</v>
          </cell>
        </row>
      </sheetData>
      <sheetData sheetId="6715">
        <row r="4">
          <cell r="A4" t="str">
            <v>BẢNG TÍNH TOÁN, ĐO BÓC KHỐI LƯỢNG HOÀN THÀNH ĐƯA VÀO QUYẾT TOÁN</v>
          </cell>
        </row>
      </sheetData>
      <sheetData sheetId="6716">
        <row r="4">
          <cell r="A4" t="str">
            <v>BẢNG TÍNH TOÁN, ĐO BÓC KHỐI LƯỢNG HOÀN THÀNH ĐƯA VÀO QUYẾT TOÁN</v>
          </cell>
        </row>
      </sheetData>
      <sheetData sheetId="6717">
        <row r="4">
          <cell r="A4" t="str">
            <v>BẢNG TÍNH TOÁN, ĐO BÓC KHỐI LƯỢNG HOÀN THÀNH ĐƯA VÀO QUYẾT TOÁN</v>
          </cell>
        </row>
      </sheetData>
      <sheetData sheetId="6718">
        <row r="4">
          <cell r="A4" t="str">
            <v>BẢNG TÍNH TOÁN, ĐO BÓC KHỐI LƯỢNG HOÀN THÀNH ĐƯA VÀO QUYẾT TOÁN</v>
          </cell>
        </row>
      </sheetData>
      <sheetData sheetId="6719">
        <row r="4">
          <cell r="A4" t="str">
            <v>BẢNG TÍNH TOÁN, ĐO BÓC KHỐI LƯỢNG HOÀN THÀNH ĐƯA VÀO QUYẾT TOÁN</v>
          </cell>
        </row>
      </sheetData>
      <sheetData sheetId="6720">
        <row r="4">
          <cell r="A4" t="str">
            <v>BẢNG TÍNH TOÁN, ĐO BÓC KHỐI LƯỢNG HOÀN THÀNH ĐƯA VÀO QUYẾT TOÁN</v>
          </cell>
        </row>
      </sheetData>
      <sheetData sheetId="6721">
        <row r="4">
          <cell r="A4" t="str">
            <v>BẢNG TÍNH TOÁN, ĐO BÓC KHỐI LƯỢNG HOÀN THÀNH ĐƯA VÀO QUYẾT TOÁN</v>
          </cell>
        </row>
      </sheetData>
      <sheetData sheetId="6722">
        <row r="4">
          <cell r="A4" t="str">
            <v>BẢNG TÍNH TOÁN, ĐO BÓC KHỐI LƯỢNG HOÀN THÀNH ĐƯA VÀO QUYẾT TOÁN</v>
          </cell>
        </row>
      </sheetData>
      <sheetData sheetId="6723">
        <row r="4">
          <cell r="A4" t="str">
            <v>BẢNG TÍNH TOÁN, ĐO BÓC KHỐI LƯỢNG HOÀN THÀNH ĐƯA VÀO QUYẾT TOÁN</v>
          </cell>
        </row>
      </sheetData>
      <sheetData sheetId="6724">
        <row r="4">
          <cell r="A4" t="str">
            <v>BẢNG TÍNH TOÁN, ĐO BÓC KHỐI LƯỢNG HOÀN THÀNH ĐƯA VÀO QUYẾT TOÁN</v>
          </cell>
        </row>
      </sheetData>
      <sheetData sheetId="6725">
        <row r="4">
          <cell r="A4" t="str">
            <v>BẢNG TÍNH TOÁN, ĐO BÓC KHỐI LƯỢNG HOÀN THÀNH ĐƯA VÀO QUYẾT TOÁN</v>
          </cell>
        </row>
      </sheetData>
      <sheetData sheetId="6726">
        <row r="4">
          <cell r="A4" t="str">
            <v>BẢNG TÍNH TOÁN, ĐO BÓC KHỐI LƯỢNG HOÀN THÀNH ĐƯA VÀO QUYẾT TOÁN</v>
          </cell>
        </row>
      </sheetData>
      <sheetData sheetId="6727">
        <row r="4">
          <cell r="A4" t="str">
            <v>BẢNG TÍNH TOÁN, ĐO BÓC KHỐI LƯỢNG HOÀN THÀNH ĐƯA VÀO QUYẾT TOÁN</v>
          </cell>
        </row>
      </sheetData>
      <sheetData sheetId="6728">
        <row r="4">
          <cell r="A4" t="str">
            <v>BẢNG TÍNH TOÁN, ĐO BÓC KHỐI LƯỢNG HOÀN THÀNH ĐƯA VÀO QUYẾT TOÁN</v>
          </cell>
        </row>
      </sheetData>
      <sheetData sheetId="6729">
        <row r="4">
          <cell r="A4" t="str">
            <v>BẢNG TÍNH TOÁN, ĐO BÓC KHỐI LƯỢNG HOÀN THÀNH ĐƯA VÀO QUYẾT TOÁN</v>
          </cell>
        </row>
      </sheetData>
      <sheetData sheetId="6730">
        <row r="4">
          <cell r="A4" t="str">
            <v>BẢNG TÍNH TOÁN, ĐO BÓC KHỐI LƯỢNG HOÀN THÀNH ĐƯA VÀO QUYẾT TOÁN</v>
          </cell>
        </row>
      </sheetData>
      <sheetData sheetId="6731">
        <row r="4">
          <cell r="A4" t="str">
            <v>BẢNG TÍNH TOÁN, ĐO BÓC KHỐI LƯỢNG HOÀN THÀNH ĐƯA VÀO QUYẾT TOÁN</v>
          </cell>
        </row>
      </sheetData>
      <sheetData sheetId="6732">
        <row r="4">
          <cell r="A4" t="str">
            <v>BẢNG TÍNH TOÁN, ĐO BÓC KHỐI LƯỢNG HOÀN THÀNH ĐƯA VÀO QUYẾT TOÁN</v>
          </cell>
        </row>
      </sheetData>
      <sheetData sheetId="6733">
        <row r="4">
          <cell r="A4" t="str">
            <v>BẢNG TÍNH TOÁN, ĐO BÓC KHỐI LƯỢNG HOÀN THÀNH ĐƯA VÀO QUYẾT TOÁN</v>
          </cell>
        </row>
      </sheetData>
      <sheetData sheetId="6734">
        <row r="4">
          <cell r="A4" t="str">
            <v>BẢNG TÍNH TOÁN, ĐO BÓC KHỐI LƯỢNG HOÀN THÀNH ĐƯA VÀO QUYẾT TOÁN</v>
          </cell>
        </row>
      </sheetData>
      <sheetData sheetId="6735">
        <row r="4">
          <cell r="A4" t="str">
            <v>BẢNG TÍNH TOÁN, ĐO BÓC KHỐI LƯỢNG HOÀN THÀNH ĐƯA VÀO QUYẾT TOÁN</v>
          </cell>
        </row>
      </sheetData>
      <sheetData sheetId="6736">
        <row r="4">
          <cell r="A4" t="str">
            <v>BẢNG TÍNH TOÁN, ĐO BÓC KHỐI LƯỢNG HOÀN THÀNH ĐƯA VÀO QUYẾT TOÁN</v>
          </cell>
        </row>
      </sheetData>
      <sheetData sheetId="6737">
        <row r="4">
          <cell r="A4" t="str">
            <v>BẢNG TÍNH TOÁN, ĐO BÓC KHỐI LƯỢNG HOÀN THÀNH ĐƯA VÀO QUYẾT TOÁN</v>
          </cell>
        </row>
      </sheetData>
      <sheetData sheetId="6738">
        <row r="4">
          <cell r="A4" t="str">
            <v>BẢNG TÍNH TOÁN, ĐO BÓC KHỐI LƯỢNG HOÀN THÀNH ĐƯA VÀO QUYẾT TOÁN</v>
          </cell>
        </row>
      </sheetData>
      <sheetData sheetId="6739">
        <row r="4">
          <cell r="A4" t="str">
            <v>BẢNG TÍNH TOÁN, ĐO BÓC KHỐI LƯỢNG HOÀN THÀNH ĐƯA VÀO QUYẾT TOÁN</v>
          </cell>
        </row>
      </sheetData>
      <sheetData sheetId="6740">
        <row r="4">
          <cell r="A4" t="str">
            <v>BẢNG TÍNH TOÁN, ĐO BÓC KHỐI LƯỢNG HOÀN THÀNH ĐƯA VÀO QUYẾT TOÁN</v>
          </cell>
        </row>
      </sheetData>
      <sheetData sheetId="6741">
        <row r="4">
          <cell r="A4" t="str">
            <v>BẢNG TÍNH TOÁN, ĐO BÓC KHỐI LƯỢNG HOÀN THÀNH ĐƯA VÀO QUYẾT TOÁN</v>
          </cell>
        </row>
      </sheetData>
      <sheetData sheetId="6742">
        <row r="4">
          <cell r="A4" t="str">
            <v>BẢNG TÍNH TOÁN, ĐO BÓC KHỐI LƯỢNG HOÀN THÀNH ĐƯA VÀO QUYẾT TOÁN</v>
          </cell>
        </row>
      </sheetData>
      <sheetData sheetId="6743">
        <row r="4">
          <cell r="A4" t="str">
            <v>BẢNG TÍNH TOÁN, ĐO BÓC KHỐI LƯỢNG HOÀN THÀNH ĐƯA VÀO QUYẾT TOÁN</v>
          </cell>
        </row>
      </sheetData>
      <sheetData sheetId="6744">
        <row r="4">
          <cell r="A4" t="str">
            <v>BẢNG TÍNH TOÁN, ĐO BÓC KHỐI LƯỢNG HOÀN THÀNH ĐƯA VÀO QUYẾT TOÁN</v>
          </cell>
        </row>
      </sheetData>
      <sheetData sheetId="6745">
        <row r="4">
          <cell r="A4" t="str">
            <v>BẢNG TÍNH TOÁN, ĐO BÓC KHỐI LƯỢNG HOÀN THÀNH ĐƯA VÀO QUYẾT TOÁN</v>
          </cell>
        </row>
      </sheetData>
      <sheetData sheetId="6746">
        <row r="4">
          <cell r="A4" t="str">
            <v>BẢNG TÍNH TOÁN, ĐO BÓC KHỐI LƯỢNG HOÀN THÀNH ĐƯA VÀO QUYẾT TOÁN</v>
          </cell>
        </row>
      </sheetData>
      <sheetData sheetId="6747">
        <row r="4">
          <cell r="A4" t="str">
            <v>BẢNG TÍNH TOÁN, ĐO BÓC KHỐI LƯỢNG HOÀN THÀNH ĐƯA VÀO QUYẾT TOÁN</v>
          </cell>
        </row>
      </sheetData>
      <sheetData sheetId="6748">
        <row r="4">
          <cell r="A4" t="str">
            <v>BẢNG TÍNH TOÁN, ĐO BÓC KHỐI LƯỢNG HOÀN THÀNH ĐƯA VÀO QUYẾT TOÁN</v>
          </cell>
        </row>
      </sheetData>
      <sheetData sheetId="6749">
        <row r="4">
          <cell r="A4" t="str">
            <v>BẢNG TÍNH TOÁN, ĐO BÓC KHỐI LƯỢNG HOÀN THÀNH ĐƯA VÀO QUYẾT TOÁN</v>
          </cell>
        </row>
      </sheetData>
      <sheetData sheetId="6750">
        <row r="4">
          <cell r="A4" t="str">
            <v>BẢNG TÍNH TOÁN, ĐO BÓC KHỐI LƯỢNG HOÀN THÀNH ĐƯA VÀO QUYẾT TOÁN</v>
          </cell>
        </row>
      </sheetData>
      <sheetData sheetId="6751">
        <row r="4">
          <cell r="A4" t="str">
            <v>BẢNG TÍNH TOÁN, ĐO BÓC KHỐI LƯỢNG HOÀN THÀNH ĐƯA VÀO QUYẾT TOÁN</v>
          </cell>
        </row>
      </sheetData>
      <sheetData sheetId="6752">
        <row r="4">
          <cell r="A4" t="str">
            <v>BẢNG TÍNH TOÁN, ĐO BÓC KHỐI LƯỢNG HOÀN THÀNH ĐƯA VÀO QUYẾT TOÁN</v>
          </cell>
        </row>
      </sheetData>
      <sheetData sheetId="6753">
        <row r="4">
          <cell r="A4" t="str">
            <v>BẢNG TÍNH TOÁN, ĐO BÓC KHỐI LƯỢNG HOÀN THÀNH ĐƯA VÀO QUYẾT TOÁN</v>
          </cell>
        </row>
      </sheetData>
      <sheetData sheetId="6754">
        <row r="4">
          <cell r="A4" t="str">
            <v>BẢNG TÍNH TOÁN, ĐO BÓC KHỐI LƯỢNG HOÀN THÀNH ĐƯA VÀO QUYẾT TOÁN</v>
          </cell>
        </row>
      </sheetData>
      <sheetData sheetId="6755">
        <row r="4">
          <cell r="A4" t="str">
            <v>BẢNG TÍNH TOÁN, ĐO BÓC KHỐI LƯỢNG HOÀN THÀNH ĐƯA VÀO QUYẾT TOÁN</v>
          </cell>
        </row>
      </sheetData>
      <sheetData sheetId="6756">
        <row r="4">
          <cell r="A4" t="str">
            <v>BẢNG TÍNH TOÁN, ĐO BÓC KHỐI LƯỢNG HOÀN THÀNH ĐƯA VÀO QUYẾT TOÁN</v>
          </cell>
        </row>
      </sheetData>
      <sheetData sheetId="6757">
        <row r="4">
          <cell r="A4" t="str">
            <v>BẢNG TÍNH TOÁN, ĐO BÓC KHỐI LƯỢNG HOÀN THÀNH ĐƯA VÀO QUYẾT TOÁN</v>
          </cell>
        </row>
      </sheetData>
      <sheetData sheetId="6758">
        <row r="4">
          <cell r="A4" t="str">
            <v>BẢNG TÍNH TOÁN, ĐO BÓC KHỐI LƯỢNG HOÀN THÀNH ĐƯA VÀO QUYẾT TOÁN</v>
          </cell>
        </row>
      </sheetData>
      <sheetData sheetId="6759">
        <row r="4">
          <cell r="A4" t="str">
            <v>BẢNG TÍNH TOÁN, ĐO BÓC KHỐI LƯỢNG HOÀN THÀNH ĐƯA VÀO QUYẾT TOÁN</v>
          </cell>
        </row>
      </sheetData>
      <sheetData sheetId="6760">
        <row r="4">
          <cell r="A4" t="str">
            <v>BẢNG TÍNH TOÁN, ĐO BÓC KHỐI LƯỢNG HOÀN THÀNH ĐƯA VÀO QUYẾT TOÁN</v>
          </cell>
        </row>
      </sheetData>
      <sheetData sheetId="6761">
        <row r="4">
          <cell r="A4" t="str">
            <v>BẢNG TÍNH TOÁN, ĐO BÓC KHỐI LƯỢNG HOÀN THÀNH ĐƯA VÀO QUYẾT TOÁN</v>
          </cell>
        </row>
      </sheetData>
      <sheetData sheetId="6762">
        <row r="4">
          <cell r="A4" t="str">
            <v>BẢNG TÍNH TOÁN, ĐO BÓC KHỐI LƯỢNG HOÀN THÀNH ĐƯA VÀO QUYẾT TOÁN</v>
          </cell>
        </row>
      </sheetData>
      <sheetData sheetId="6763">
        <row r="4">
          <cell r="A4" t="str">
            <v>BẢNG TÍNH TOÁN, ĐO BÓC KHỐI LƯỢNG HOÀN THÀNH ĐƯA VÀO QUYẾT TOÁN</v>
          </cell>
        </row>
      </sheetData>
      <sheetData sheetId="6764">
        <row r="4">
          <cell r="A4" t="str">
            <v>BẢNG TÍNH TOÁN, ĐO BÓC KHỐI LƯỢNG HOÀN THÀNH ĐƯA VÀO QUYẾT TOÁN</v>
          </cell>
        </row>
      </sheetData>
      <sheetData sheetId="6765">
        <row r="4">
          <cell r="A4" t="str">
            <v>BẢNG TÍNH TOÁN, ĐO BÓC KHỐI LƯỢNG HOÀN THÀNH ĐƯA VÀO QUYẾT TOÁN</v>
          </cell>
        </row>
      </sheetData>
      <sheetData sheetId="6766">
        <row r="4">
          <cell r="A4" t="str">
            <v>BẢNG TÍNH TOÁN, ĐO BÓC KHỐI LƯỢNG HOÀN THÀNH ĐƯA VÀO QUYẾT TOÁN</v>
          </cell>
        </row>
      </sheetData>
      <sheetData sheetId="6767">
        <row r="4">
          <cell r="A4" t="str">
            <v>BẢNG TÍNH TOÁN, ĐO BÓC KHỐI LƯỢNG HOÀN THÀNH ĐƯA VÀO QUYẾT TOÁN</v>
          </cell>
        </row>
      </sheetData>
      <sheetData sheetId="6768">
        <row r="4">
          <cell r="A4" t="str">
            <v>BẢNG TÍNH TOÁN, ĐO BÓC KHỐI LƯỢNG HOÀN THÀNH ĐƯA VÀO QUYẾT TOÁN</v>
          </cell>
        </row>
      </sheetData>
      <sheetData sheetId="6769">
        <row r="4">
          <cell r="A4" t="str">
            <v>BẢNG TÍNH TOÁN, ĐO BÓC KHỐI LƯỢNG HOÀN THÀNH ĐƯA VÀO QUYẾT TOÁN</v>
          </cell>
        </row>
      </sheetData>
      <sheetData sheetId="6770">
        <row r="4">
          <cell r="A4" t="str">
            <v>BẢNG TÍNH TOÁN, ĐO BÓC KHỐI LƯỢNG HOÀN THÀNH ĐƯA VÀO QUYẾT TOÁN</v>
          </cell>
        </row>
      </sheetData>
      <sheetData sheetId="6771">
        <row r="4">
          <cell r="A4" t="str">
            <v>BẢNG TÍNH TOÁN, ĐO BÓC KHỐI LƯỢNG HOÀN THÀNH ĐƯA VÀO QUYẾT TOÁN</v>
          </cell>
        </row>
      </sheetData>
      <sheetData sheetId="6772">
        <row r="4">
          <cell r="A4" t="str">
            <v>BẢNG TÍNH TOÁN, ĐO BÓC KHỐI LƯỢNG HOÀN THÀNH ĐƯA VÀO QUYẾT TOÁN</v>
          </cell>
        </row>
      </sheetData>
      <sheetData sheetId="6773">
        <row r="4">
          <cell r="A4" t="str">
            <v>BẢNG TÍNH TOÁN, ĐO BÓC KHỐI LƯỢNG HOÀN THÀNH ĐƯA VÀO QUYẾT TOÁN</v>
          </cell>
        </row>
      </sheetData>
      <sheetData sheetId="6774">
        <row r="4">
          <cell r="A4" t="str">
            <v>BẢNG TÍNH TOÁN, ĐO BÓC KHỐI LƯỢNG HOÀN THÀNH ĐƯA VÀO QUYẾT TOÁN</v>
          </cell>
        </row>
      </sheetData>
      <sheetData sheetId="6775">
        <row r="4">
          <cell r="A4" t="str">
            <v>BẢNG TÍNH TOÁN, ĐO BÓC KHỐI LƯỢNG HOÀN THÀNH ĐƯA VÀO QUYẾT TOÁN</v>
          </cell>
        </row>
      </sheetData>
      <sheetData sheetId="6776">
        <row r="4">
          <cell r="A4" t="str">
            <v>BẢNG TÍNH TOÁN, ĐO BÓC KHỐI LƯỢNG HOÀN THÀNH ĐƯA VÀO QUYẾT TOÁN</v>
          </cell>
        </row>
      </sheetData>
      <sheetData sheetId="6777">
        <row r="4">
          <cell r="A4" t="str">
            <v>BẢNG TÍNH TOÁN, ĐO BÓC KHỐI LƯỢNG HOÀN THÀNH ĐƯA VÀO QUYẾT TOÁN</v>
          </cell>
        </row>
      </sheetData>
      <sheetData sheetId="6778">
        <row r="4">
          <cell r="A4" t="str">
            <v>BẢNG TÍNH TOÁN, ĐO BÓC KHỐI LƯỢNG HOÀN THÀNH ĐƯA VÀO QUYẾT TOÁN</v>
          </cell>
        </row>
      </sheetData>
      <sheetData sheetId="6779">
        <row r="4">
          <cell r="A4" t="str">
            <v>BẢNG TÍNH TOÁN, ĐO BÓC KHỐI LƯỢNG HOÀN THÀNH ĐƯA VÀO QUYẾT TOÁN</v>
          </cell>
        </row>
      </sheetData>
      <sheetData sheetId="6780">
        <row r="4">
          <cell r="A4" t="str">
            <v>BẢNG TÍNH TOÁN, ĐO BÓC KHỐI LƯỢNG HOÀN THÀNH ĐƯA VÀO QUYẾT TOÁN</v>
          </cell>
        </row>
      </sheetData>
      <sheetData sheetId="6781">
        <row r="9">
          <cell r="A9" t="str">
            <v>A</v>
          </cell>
        </row>
      </sheetData>
      <sheetData sheetId="6782">
        <row r="4">
          <cell r="A4" t="str">
            <v>BẢNG TÍNH TOÁN, ĐO BÓC KHỐI LƯỢNG HOÀN THÀNH ĐƯA VÀO QUYẾT TOÁN</v>
          </cell>
        </row>
      </sheetData>
      <sheetData sheetId="6783">
        <row r="4">
          <cell r="A4" t="str">
            <v>BẢNG TÍNH TOÁN, ĐO BÓC KHỐI LƯỢNG HOÀN THÀNH ĐƯA VÀO QUYẾT TOÁN</v>
          </cell>
        </row>
      </sheetData>
      <sheetData sheetId="6784">
        <row r="4">
          <cell r="A4" t="str">
            <v>BẢNG TÍNH TOÁN, ĐO BÓC KHỐI LƯỢNG HOÀN THÀNH ĐƯA VÀO QUYẾT TOÁN</v>
          </cell>
        </row>
      </sheetData>
      <sheetData sheetId="6785">
        <row r="4">
          <cell r="A4" t="str">
            <v>BẢNG TÍNH TOÁN, ĐO BÓC KHỐI LƯỢNG HOÀN THÀNH ĐƯA VÀO QUYẾT TOÁN</v>
          </cell>
        </row>
      </sheetData>
      <sheetData sheetId="6786">
        <row r="4">
          <cell r="A4" t="str">
            <v>BẢNG TÍNH TOÁN, ĐO BÓC KHỐI LƯỢNG HOÀN THÀNH ĐƯA VÀO QUYẾT TOÁN</v>
          </cell>
        </row>
      </sheetData>
      <sheetData sheetId="6787">
        <row r="4">
          <cell r="A4" t="str">
            <v>BẢNG TÍNH TOÁN, ĐO BÓC KHỐI LƯỢNG HOÀN THÀNH ĐƯA VÀO QUYẾT TOÁN</v>
          </cell>
        </row>
      </sheetData>
      <sheetData sheetId="6788">
        <row r="4">
          <cell r="A4" t="str">
            <v>BẢNG TÍNH TOÁN, ĐO BÓC KHỐI LƯỢNG HOÀN THÀNH ĐƯA VÀO QUYẾT TOÁN</v>
          </cell>
        </row>
      </sheetData>
      <sheetData sheetId="6789">
        <row r="4">
          <cell r="A4" t="str">
            <v>BẢNG TÍNH TOÁN, ĐO BÓC KHỐI LƯỢNG HOÀN THÀNH ĐƯA VÀO QUYẾT TOÁN</v>
          </cell>
        </row>
      </sheetData>
      <sheetData sheetId="6790">
        <row r="4">
          <cell r="A4" t="str">
            <v>BẢNG TÍNH TOÁN, ĐO BÓC KHỐI LƯỢNG HOÀN THÀNH ĐƯA VÀO QUYẾT TOÁN</v>
          </cell>
        </row>
      </sheetData>
      <sheetData sheetId="6791">
        <row r="4">
          <cell r="A4" t="str">
            <v>BẢNG TÍNH TOÁN, ĐO BÓC KHỐI LƯỢNG HOÀN THÀNH ĐƯA VÀO QUYẾT TOÁN</v>
          </cell>
        </row>
      </sheetData>
      <sheetData sheetId="6792">
        <row r="4">
          <cell r="A4" t="str">
            <v>BẢNG TÍNH TOÁN, ĐO BÓC KHỐI LƯỢNG HOÀN THÀNH ĐƯA VÀO QUYẾT TOÁN</v>
          </cell>
        </row>
      </sheetData>
      <sheetData sheetId="6793">
        <row r="4">
          <cell r="A4" t="str">
            <v>BẢNG TÍNH TOÁN, ĐO BÓC KHỐI LƯỢNG HOÀN THÀNH ĐƯA VÀO QUYẾT TOÁN</v>
          </cell>
        </row>
      </sheetData>
      <sheetData sheetId="6794">
        <row r="4">
          <cell r="A4" t="str">
            <v>BẢNG TÍNH TOÁN, ĐO BÓC KHỐI LƯỢNG HOÀN THÀNH ĐƯA VÀO QUYẾT TOÁN</v>
          </cell>
        </row>
      </sheetData>
      <sheetData sheetId="6795">
        <row r="4">
          <cell r="A4" t="str">
            <v>BẢNG TÍNH TOÁN, ĐO BÓC KHỐI LƯỢNG HOÀN THÀNH ĐƯA VÀO QUYẾT TOÁN</v>
          </cell>
        </row>
      </sheetData>
      <sheetData sheetId="6796">
        <row r="4">
          <cell r="A4" t="str">
            <v>BẢNG TÍNH TOÁN, ĐO BÓC KHỐI LƯỢNG HOÀN THÀNH ĐƯA VÀO QUYẾT TOÁN</v>
          </cell>
        </row>
      </sheetData>
      <sheetData sheetId="6797">
        <row r="4">
          <cell r="A4" t="str">
            <v>BẢNG TÍNH TOÁN, ĐO BÓC KHỐI LƯỢNG HOÀN THÀNH ĐƯA VÀO QUYẾT TOÁN</v>
          </cell>
        </row>
      </sheetData>
      <sheetData sheetId="6798">
        <row r="4">
          <cell r="A4" t="str">
            <v>BẢNG TÍNH TOÁN, ĐO BÓC KHỐI LƯỢNG HOÀN THÀNH ĐƯA VÀO QUYẾT TOÁN</v>
          </cell>
        </row>
      </sheetData>
      <sheetData sheetId="6799">
        <row r="4">
          <cell r="A4" t="str">
            <v>BẢNG TÍNH TOÁN, ĐO BÓC KHỐI LƯỢNG HOÀN THÀNH ĐƯA VÀO QUYẾT TOÁN</v>
          </cell>
        </row>
      </sheetData>
      <sheetData sheetId="6800">
        <row r="4">
          <cell r="A4" t="str">
            <v>BẢNG TÍNH TOÁN, ĐO BÓC KHỐI LƯỢNG HOÀN THÀNH ĐƯA VÀO QUYẾT TOÁN</v>
          </cell>
        </row>
      </sheetData>
      <sheetData sheetId="6801">
        <row r="4">
          <cell r="A4" t="str">
            <v>BẢNG TÍNH TOÁN, ĐO BÓC KHỐI LƯỢNG HOÀN THÀNH ĐƯA VÀO QUYẾT TOÁN</v>
          </cell>
        </row>
      </sheetData>
      <sheetData sheetId="6802">
        <row r="4">
          <cell r="A4" t="str">
            <v>BẢNG TÍNH TOÁN, ĐO BÓC KHỐI LƯỢNG HOÀN THÀNH ĐƯA VÀO QUYẾT TOÁN</v>
          </cell>
        </row>
      </sheetData>
      <sheetData sheetId="6803">
        <row r="4">
          <cell r="A4" t="str">
            <v>BẢNG TÍNH TOÁN, ĐO BÓC KHỐI LƯỢNG HOÀN THÀNH ĐƯA VÀO QUYẾT TOÁN</v>
          </cell>
        </row>
      </sheetData>
      <sheetData sheetId="6804">
        <row r="4">
          <cell r="A4" t="str">
            <v>BẢNG TÍNH TOÁN, ĐO BÓC KHỐI LƯỢNG HOÀN THÀNH ĐƯA VÀO QUYẾT TOÁN</v>
          </cell>
        </row>
      </sheetData>
      <sheetData sheetId="6805">
        <row r="4">
          <cell r="A4" t="str">
            <v>BẢNG TÍNH TOÁN, ĐO BÓC KHỐI LƯỢNG HOÀN THÀNH ĐƯA VÀO QUYẾT TOÁN</v>
          </cell>
        </row>
      </sheetData>
      <sheetData sheetId="6806">
        <row r="4">
          <cell r="A4" t="str">
            <v>BẢNG TÍNH TOÁN, ĐO BÓC KHỐI LƯỢNG HOÀN THÀNH ĐƯA VÀO QUYẾT TOÁN</v>
          </cell>
        </row>
      </sheetData>
      <sheetData sheetId="6807">
        <row r="4">
          <cell r="A4" t="str">
            <v>BẢNG TÍNH TOÁN, ĐO BÓC KHỐI LƯỢNG HOÀN THÀNH ĐƯA VÀO QUYẾT TOÁN</v>
          </cell>
        </row>
      </sheetData>
      <sheetData sheetId="6808">
        <row r="4">
          <cell r="A4" t="str">
            <v>BẢNG TÍNH TOÁN, ĐO BÓC KHỐI LƯỢNG HOÀN THÀNH ĐƯA VÀO QUYẾT TOÁN</v>
          </cell>
        </row>
      </sheetData>
      <sheetData sheetId="6809">
        <row r="4">
          <cell r="A4" t="str">
            <v>BẢNG TÍNH TOÁN, ĐO BÓC KHỐI LƯỢNG HOÀN THÀNH ĐƯA VÀO QUYẾT TOÁN</v>
          </cell>
        </row>
      </sheetData>
      <sheetData sheetId="6810">
        <row r="4">
          <cell r="A4" t="str">
            <v>BẢNG TÍNH TOÁN, ĐO BÓC KHỐI LƯỢNG HOÀN THÀNH ĐƯA VÀO QUYẾT TOÁN</v>
          </cell>
        </row>
      </sheetData>
      <sheetData sheetId="6811">
        <row r="4">
          <cell r="A4" t="str">
            <v>BẢNG TÍNH TOÁN, ĐO BÓC KHỐI LƯỢNG HOÀN THÀNH ĐƯA VÀO QUYẾT TOÁN</v>
          </cell>
        </row>
      </sheetData>
      <sheetData sheetId="6812">
        <row r="4">
          <cell r="A4" t="str">
            <v>BẢNG TÍNH TOÁN, ĐO BÓC KHỐI LƯỢNG HOÀN THÀNH ĐƯA VÀO QUYẾT TOÁN</v>
          </cell>
        </row>
      </sheetData>
      <sheetData sheetId="6813">
        <row r="4">
          <cell r="A4" t="str">
            <v>BẢNG TÍNH TOÁN, ĐO BÓC KHỐI LƯỢNG HOÀN THÀNH ĐƯA VÀO QUYẾT TOÁN</v>
          </cell>
        </row>
      </sheetData>
      <sheetData sheetId="6814">
        <row r="4">
          <cell r="A4" t="str">
            <v>BẢNG TÍNH TOÁN, ĐO BÓC KHỐI LƯỢNG HOÀN THÀNH ĐƯA VÀO QUYẾT TOÁN</v>
          </cell>
        </row>
      </sheetData>
      <sheetData sheetId="6815">
        <row r="4">
          <cell r="A4" t="str">
            <v>BẢNG TÍNH TOÁN, ĐO BÓC KHỐI LƯỢNG HOÀN THÀNH ĐƯA VÀO QUYẾT TOÁN</v>
          </cell>
        </row>
      </sheetData>
      <sheetData sheetId="6816">
        <row r="4">
          <cell r="A4" t="str">
            <v>BẢNG TÍNH TOÁN, ĐO BÓC KHỐI LƯỢNG HOÀN THÀNH ĐƯA VÀO QUYẾT TOÁN</v>
          </cell>
        </row>
      </sheetData>
      <sheetData sheetId="6817">
        <row r="4">
          <cell r="A4" t="str">
            <v>BẢNG TÍNH TOÁN, ĐO BÓC KHỐI LƯỢNG HOÀN THÀNH ĐƯA VÀO QUYẾT TOÁN</v>
          </cell>
        </row>
      </sheetData>
      <sheetData sheetId="6818">
        <row r="4">
          <cell r="A4" t="str">
            <v>BẢNG TÍNH TOÁN, ĐO BÓC KHỐI LƯỢNG HOÀN THÀNH ĐƯA VÀO QUYẾT TOÁN</v>
          </cell>
        </row>
      </sheetData>
      <sheetData sheetId="6819">
        <row r="4">
          <cell r="A4" t="str">
            <v>BẢNG TÍNH TOÁN, ĐO BÓC KHỐI LƯỢNG HOÀN THÀNH ĐƯA VÀO QUYẾT TOÁN</v>
          </cell>
        </row>
      </sheetData>
      <sheetData sheetId="6820">
        <row r="4">
          <cell r="A4" t="str">
            <v>BẢNG TÍNH TOÁN, ĐO BÓC KHỐI LƯỢNG HOÀN THÀNH ĐƯA VÀO QUYẾT TOÁN</v>
          </cell>
        </row>
      </sheetData>
      <sheetData sheetId="6821">
        <row r="4">
          <cell r="A4" t="str">
            <v>BẢNG TÍNH TOÁN, ĐO BÓC KHỐI LƯỢNG HOÀN THÀNH ĐƯA VÀO QUYẾT TOÁN</v>
          </cell>
        </row>
      </sheetData>
      <sheetData sheetId="6822">
        <row r="4">
          <cell r="A4" t="str">
            <v>BẢNG TÍNH TOÁN, ĐO BÓC KHỐI LƯỢNG HOÀN THÀNH ĐƯA VÀO QUYẾT TOÁN</v>
          </cell>
        </row>
      </sheetData>
      <sheetData sheetId="6823">
        <row r="4">
          <cell r="A4" t="str">
            <v>BẢNG TÍNH TOÁN, ĐO BÓC KHỐI LƯỢNG HOÀN THÀNH ĐƯA VÀO QUYẾT TOÁN</v>
          </cell>
        </row>
      </sheetData>
      <sheetData sheetId="6824">
        <row r="4">
          <cell r="A4" t="str">
            <v>BẢNG TÍNH TOÁN, ĐO BÓC KHỐI LƯỢNG HOÀN THÀNH ĐƯA VÀO QUYẾT TOÁN</v>
          </cell>
        </row>
      </sheetData>
      <sheetData sheetId="6825">
        <row r="4">
          <cell r="A4" t="str">
            <v>BẢNG TÍNH TOÁN, ĐO BÓC KHỐI LƯỢNG HOÀN THÀNH ĐƯA VÀO QUYẾT TOÁN</v>
          </cell>
        </row>
      </sheetData>
      <sheetData sheetId="6826">
        <row r="4">
          <cell r="A4" t="str">
            <v>BẢNG TÍNH TOÁN, ĐO BÓC KHỐI LƯỢNG HOÀN THÀNH ĐƯA VÀO QUYẾT TOÁN</v>
          </cell>
        </row>
      </sheetData>
      <sheetData sheetId="6827">
        <row r="4">
          <cell r="A4" t="str">
            <v>BẢNG TÍNH TOÁN, ĐO BÓC KHỐI LƯỢNG HOÀN THÀNH ĐƯA VÀO QUYẾT TOÁN</v>
          </cell>
        </row>
      </sheetData>
      <sheetData sheetId="6828">
        <row r="4">
          <cell r="A4" t="str">
            <v>BẢNG TÍNH TOÁN, ĐO BÓC KHỐI LƯỢNG HOÀN THÀNH ĐƯA VÀO QUYẾT TOÁN</v>
          </cell>
        </row>
      </sheetData>
      <sheetData sheetId="6829">
        <row r="4">
          <cell r="A4" t="str">
            <v>BẢNG TÍNH TOÁN, ĐO BÓC KHỐI LƯỢNG HOÀN THÀNH ĐƯA VÀO QUYẾT TOÁN</v>
          </cell>
        </row>
      </sheetData>
      <sheetData sheetId="6830">
        <row r="4">
          <cell r="A4" t="str">
            <v>BẢNG TÍNH TOÁN, ĐO BÓC KHỐI LƯỢNG HOÀN THÀNH ĐƯA VÀO QUYẾT TOÁN</v>
          </cell>
        </row>
      </sheetData>
      <sheetData sheetId="6831">
        <row r="4">
          <cell r="A4" t="str">
            <v>BẢNG TÍNH TOÁN, ĐO BÓC KHỐI LƯỢNG HOÀN THÀNH ĐƯA VÀO QUYẾT TOÁN</v>
          </cell>
        </row>
      </sheetData>
      <sheetData sheetId="6832">
        <row r="9">
          <cell r="A9" t="str">
            <v>A</v>
          </cell>
        </row>
      </sheetData>
      <sheetData sheetId="6833">
        <row r="4">
          <cell r="A4" t="str">
            <v>BẢNG TÍNH TOÁN, ĐO BÓC KHỐI LƯỢNG HOÀN THÀNH ĐƯA VÀO QUYẾT TOÁN</v>
          </cell>
        </row>
      </sheetData>
      <sheetData sheetId="6834">
        <row r="4">
          <cell r="A4" t="str">
            <v>BẢNG TÍNH TOÁN, ĐO BÓC KHỐI LƯỢNG HOÀN THÀNH ĐƯA VÀO QUYẾT TOÁN</v>
          </cell>
        </row>
      </sheetData>
      <sheetData sheetId="6835">
        <row r="4">
          <cell r="A4" t="str">
            <v>BẢNG TÍNH TOÁN, ĐO BÓC KHỐI LƯỢNG HOÀN THÀNH ĐƯA VÀO QUYẾT TOÁN</v>
          </cell>
        </row>
      </sheetData>
      <sheetData sheetId="6836">
        <row r="4">
          <cell r="A4" t="str">
            <v>BẢNG TÍNH TOÁN, ĐO BÓC KHỐI LƯỢNG HOÀN THÀNH ĐƯA VÀO QUYẾT TOÁN</v>
          </cell>
        </row>
      </sheetData>
      <sheetData sheetId="6837">
        <row r="4">
          <cell r="A4" t="str">
            <v>BẢNG TÍNH TOÁN, ĐO BÓC KHỐI LƯỢNG HOÀN THÀNH ĐƯA VÀO QUYẾT TOÁN</v>
          </cell>
        </row>
      </sheetData>
      <sheetData sheetId="6838">
        <row r="4">
          <cell r="A4" t="str">
            <v>BẢNG TÍNH TOÁN, ĐO BÓC KHỐI LƯỢNG HOÀN THÀNH ĐƯA VÀO QUYẾT TOÁN</v>
          </cell>
        </row>
      </sheetData>
      <sheetData sheetId="6839">
        <row r="4">
          <cell r="A4" t="str">
            <v>BẢNG TÍNH TOÁN, ĐO BÓC KHỐI LƯỢNG HOÀN THÀNH ĐƯA VÀO QUYẾT TOÁN</v>
          </cell>
        </row>
      </sheetData>
      <sheetData sheetId="6840">
        <row r="4">
          <cell r="A4" t="str">
            <v>BẢNG TÍNH TOÁN, ĐO BÓC KHỐI LƯỢNG HOÀN THÀNH ĐƯA VÀO QUYẾT TOÁN</v>
          </cell>
        </row>
      </sheetData>
      <sheetData sheetId="6841">
        <row r="4">
          <cell r="A4" t="str">
            <v>BẢNG TÍNH TOÁN, ĐO BÓC KHỐI LƯỢNG HOÀN THÀNH ĐƯA VÀO QUYẾT TOÁN</v>
          </cell>
        </row>
      </sheetData>
      <sheetData sheetId="6842">
        <row r="4">
          <cell r="A4" t="str">
            <v>BẢNG TÍNH TOÁN, ĐO BÓC KHỐI LƯỢNG HOÀN THÀNH ĐƯA VÀO QUYẾT TOÁN</v>
          </cell>
        </row>
      </sheetData>
      <sheetData sheetId="6843">
        <row r="4">
          <cell r="A4" t="str">
            <v>BẢNG TÍNH TOÁN, ĐO BÓC KHỐI LƯỢNG HOÀN THÀNH ĐƯA VÀO QUYẾT TOÁN</v>
          </cell>
        </row>
      </sheetData>
      <sheetData sheetId="6844">
        <row r="4">
          <cell r="A4" t="str">
            <v>BẢNG TÍNH TOÁN, ĐO BÓC KHỐI LƯỢNG HOÀN THÀNH ĐƯA VÀO QUYẾT TOÁN</v>
          </cell>
        </row>
      </sheetData>
      <sheetData sheetId="6845">
        <row r="4">
          <cell r="A4" t="str">
            <v>BẢNG TÍNH TOÁN, ĐO BÓC KHỐI LƯỢNG HOÀN THÀNH ĐƯA VÀO QUYẾT TOÁN</v>
          </cell>
        </row>
      </sheetData>
      <sheetData sheetId="6846">
        <row r="4">
          <cell r="A4" t="str">
            <v>BẢNG TÍNH TOÁN, ĐO BÓC KHỐI LƯỢNG HOÀN THÀNH ĐƯA VÀO QUYẾT TOÁN</v>
          </cell>
        </row>
      </sheetData>
      <sheetData sheetId="6847">
        <row r="4">
          <cell r="A4" t="str">
            <v>BẢNG TÍNH TOÁN, ĐO BÓC KHỐI LƯỢNG HOÀN THÀNH ĐƯA VÀO QUYẾT TOÁN</v>
          </cell>
        </row>
      </sheetData>
      <sheetData sheetId="6848">
        <row r="4">
          <cell r="A4" t="str">
            <v>BẢNG TÍNH TOÁN, ĐO BÓC KHỐI LƯỢNG HOÀN THÀNH ĐƯA VÀO QUYẾT TOÁN</v>
          </cell>
        </row>
      </sheetData>
      <sheetData sheetId="6849">
        <row r="4">
          <cell r="A4" t="str">
            <v>BẢNG TÍNH TOÁN, ĐO BÓC KHỐI LƯỢNG HOÀN THÀNH ĐƯA VÀO QUYẾT TOÁN</v>
          </cell>
        </row>
      </sheetData>
      <sheetData sheetId="6850">
        <row r="4">
          <cell r="A4" t="str">
            <v>BẢNG TÍNH TOÁN, ĐO BÓC KHỐI LƯỢNG HOÀN THÀNH ĐƯA VÀO QUYẾT TOÁN</v>
          </cell>
        </row>
      </sheetData>
      <sheetData sheetId="6851">
        <row r="4">
          <cell r="A4" t="str">
            <v>BẢNG TÍNH TOÁN, ĐO BÓC KHỐI LƯỢNG HOÀN THÀNH ĐƯA VÀO QUYẾT TOÁN</v>
          </cell>
        </row>
      </sheetData>
      <sheetData sheetId="6852">
        <row r="4">
          <cell r="A4" t="str">
            <v>BẢNG TÍNH TOÁN, ĐO BÓC KHỐI LƯỢNG HOÀN THÀNH ĐƯA VÀO QUYẾT TOÁN</v>
          </cell>
        </row>
      </sheetData>
      <sheetData sheetId="6853">
        <row r="4">
          <cell r="A4" t="str">
            <v>BẢNG TÍNH TOÁN, ĐO BÓC KHỐI LƯỢNG HOÀN THÀNH ĐƯA VÀO QUYẾT TOÁN</v>
          </cell>
        </row>
      </sheetData>
      <sheetData sheetId="6854">
        <row r="4">
          <cell r="A4" t="str">
            <v>BẢNG TÍNH TOÁN, ĐO BÓC KHỐI LƯỢNG HOÀN THÀNH ĐƯA VÀO QUYẾT TOÁN</v>
          </cell>
        </row>
      </sheetData>
      <sheetData sheetId="6855">
        <row r="4">
          <cell r="A4" t="str">
            <v>BẢNG TÍNH TOÁN, ĐO BÓC KHỐI LƯỢNG HOÀN THÀNH ĐƯA VÀO QUYẾT TOÁN</v>
          </cell>
        </row>
      </sheetData>
      <sheetData sheetId="6856">
        <row r="4">
          <cell r="A4" t="str">
            <v>BẢNG TÍNH TOÁN, ĐO BÓC KHỐI LƯỢNG HOÀN THÀNH ĐƯA VÀO QUYẾT TOÁN</v>
          </cell>
        </row>
      </sheetData>
      <sheetData sheetId="6857">
        <row r="4">
          <cell r="A4" t="str">
            <v>BẢNG TÍNH TOÁN, ĐO BÓC KHỐI LƯỢNG HOÀN THÀNH ĐƯA VÀO QUYẾT TOÁN</v>
          </cell>
        </row>
      </sheetData>
      <sheetData sheetId="6858">
        <row r="4">
          <cell r="A4" t="str">
            <v>BẢNG TÍNH TOÁN, ĐO BÓC KHỐI LƯỢNG HOÀN THÀNH ĐƯA VÀO QUYẾT TOÁN</v>
          </cell>
        </row>
      </sheetData>
      <sheetData sheetId="6859">
        <row r="4">
          <cell r="A4" t="str">
            <v>BẢNG TÍNH TOÁN, ĐO BÓC KHỐI LƯỢNG HOÀN THÀNH ĐƯA VÀO QUYẾT TOÁN</v>
          </cell>
        </row>
      </sheetData>
      <sheetData sheetId="6860">
        <row r="9">
          <cell r="A9" t="str">
            <v>A</v>
          </cell>
        </row>
      </sheetData>
      <sheetData sheetId="6861">
        <row r="4">
          <cell r="A4" t="str">
            <v>BẢNG TÍNH TOÁN, ĐO BÓC KHỐI LƯỢNG HOÀN THÀNH ĐƯA VÀO QUYẾT TOÁN</v>
          </cell>
        </row>
      </sheetData>
      <sheetData sheetId="6862">
        <row r="4">
          <cell r="A4" t="str">
            <v>BẢNG TÍNH TOÁN, ĐO BÓC KHỐI LƯỢNG HOÀN THÀNH ĐƯA VÀO QUYẾT TOÁN</v>
          </cell>
        </row>
      </sheetData>
      <sheetData sheetId="6863">
        <row r="4">
          <cell r="A4" t="str">
            <v>BẢNG TÍNH TOÁN, ĐO BÓC KHỐI LƯỢNG HOÀN THÀNH ĐƯA VÀO QUYẾT TOÁN</v>
          </cell>
        </row>
      </sheetData>
      <sheetData sheetId="6864">
        <row r="9">
          <cell r="A9" t="str">
            <v>A</v>
          </cell>
        </row>
      </sheetData>
      <sheetData sheetId="6865">
        <row r="4">
          <cell r="A4" t="str">
            <v>BẢNG TÍNH TOÁN, ĐO BÓC KHỐI LƯỢNG HOÀN THÀNH ĐƯA VÀO QUYẾT TOÁN</v>
          </cell>
        </row>
      </sheetData>
      <sheetData sheetId="6866">
        <row r="4">
          <cell r="A4" t="str">
            <v>BẢNG TÍNH TOÁN, ĐO BÓC KHỐI LƯỢNG HOÀN THÀNH ĐƯA VÀO QUYẾT TOÁN</v>
          </cell>
        </row>
      </sheetData>
      <sheetData sheetId="6867">
        <row r="4">
          <cell r="A4" t="str">
            <v>BẢNG TÍNH TOÁN, ĐO BÓC KHỐI LƯỢNG HOÀN THÀNH ĐƯA VÀO QUYẾT TOÁN</v>
          </cell>
        </row>
      </sheetData>
      <sheetData sheetId="6868">
        <row r="4">
          <cell r="A4" t="str">
            <v>BẢNG TÍNH TOÁN, ĐO BÓC KHỐI LƯỢNG HOÀN THÀNH ĐƯA VÀO QUYẾT TOÁN</v>
          </cell>
        </row>
      </sheetData>
      <sheetData sheetId="6869">
        <row r="4">
          <cell r="A4" t="str">
            <v>BẢNG TÍNH TOÁN, ĐO BÓC KHỐI LƯỢNG HOÀN THÀNH ĐƯA VÀO QUYẾT TOÁN</v>
          </cell>
        </row>
      </sheetData>
      <sheetData sheetId="6870">
        <row r="4">
          <cell r="A4" t="str">
            <v>BẢNG TÍNH TOÁN, ĐO BÓC KHỐI LƯỢNG HOÀN THÀNH ĐƯA VÀO QUYẾT TOÁN</v>
          </cell>
        </row>
      </sheetData>
      <sheetData sheetId="6871">
        <row r="4">
          <cell r="A4" t="str">
            <v>BẢNG TÍNH TOÁN, ĐO BÓC KHỐI LƯỢNG HOÀN THÀNH ĐƯA VÀO QUYẾT TOÁN</v>
          </cell>
        </row>
      </sheetData>
      <sheetData sheetId="6872">
        <row r="4">
          <cell r="A4" t="str">
            <v>BẢNG TÍNH TOÁN, ĐO BÓC KHỐI LƯỢNG HOÀN THÀNH ĐƯA VÀO QUYẾT TOÁN</v>
          </cell>
        </row>
      </sheetData>
      <sheetData sheetId="6873">
        <row r="4">
          <cell r="A4" t="str">
            <v>BẢNG TÍNH TOÁN, ĐO BÓC KHỐI LƯỢNG HOÀN THÀNH ĐƯA VÀO QUYẾT TOÁN</v>
          </cell>
        </row>
      </sheetData>
      <sheetData sheetId="6874">
        <row r="4">
          <cell r="A4" t="str">
            <v>BẢNG TÍNH TOÁN, ĐO BÓC KHỐI LƯỢNG HOÀN THÀNH ĐƯA VÀO QUYẾT TOÁN</v>
          </cell>
        </row>
      </sheetData>
      <sheetData sheetId="6875">
        <row r="4">
          <cell r="A4" t="str">
            <v>BẢNG TÍNH TOÁN, ĐO BÓC KHỐI LƯỢNG HOÀN THÀNH ĐƯA VÀO QUYẾT TOÁN</v>
          </cell>
        </row>
      </sheetData>
      <sheetData sheetId="6876">
        <row r="4">
          <cell r="A4" t="str">
            <v>BẢNG TÍNH TOÁN, ĐO BÓC KHỐI LƯỢNG HOÀN THÀNH ĐƯA VÀO QUYẾT TOÁN</v>
          </cell>
        </row>
      </sheetData>
      <sheetData sheetId="6877">
        <row r="4">
          <cell r="A4" t="str">
            <v>BẢNG TÍNH TOÁN, ĐO BÓC KHỐI LƯỢNG HOÀN THÀNH ĐƯA VÀO QUYẾT TOÁN</v>
          </cell>
        </row>
      </sheetData>
      <sheetData sheetId="6878">
        <row r="4">
          <cell r="A4" t="str">
            <v>BẢNG TÍNH TOÁN, ĐO BÓC KHỐI LƯỢNG HOÀN THÀNH ĐƯA VÀO QUYẾT TOÁN</v>
          </cell>
        </row>
      </sheetData>
      <sheetData sheetId="6879">
        <row r="4">
          <cell r="A4" t="str">
            <v>BẢNG TÍNH TOÁN, ĐO BÓC KHỐI LƯỢNG HOÀN THÀNH ĐƯA VÀO QUYẾT TOÁN</v>
          </cell>
        </row>
      </sheetData>
      <sheetData sheetId="6880">
        <row r="4">
          <cell r="A4" t="str">
            <v>BẢNG TÍNH TOÁN, ĐO BÓC KHỐI LƯỢNG HOÀN THÀNH ĐƯA VÀO QUYẾT TOÁN</v>
          </cell>
        </row>
      </sheetData>
      <sheetData sheetId="6881">
        <row r="4">
          <cell r="A4" t="str">
            <v>BẢNG TÍNH TOÁN, ĐO BÓC KHỐI LƯỢNG HOÀN THÀNH ĐƯA VÀO QUYẾT TOÁN</v>
          </cell>
        </row>
      </sheetData>
      <sheetData sheetId="6882">
        <row r="4">
          <cell r="A4" t="str">
            <v>BẢNG TÍNH TOÁN, ĐO BÓC KHỐI LƯỢNG HOÀN THÀNH ĐƯA VÀO QUYẾT TOÁN</v>
          </cell>
        </row>
      </sheetData>
      <sheetData sheetId="6883">
        <row r="4">
          <cell r="A4" t="str">
            <v>BẢNG TÍNH TOÁN, ĐO BÓC KHỐI LƯỢNG HOÀN THÀNH ĐƯA VÀO QUYẾT TOÁN</v>
          </cell>
        </row>
      </sheetData>
      <sheetData sheetId="6884">
        <row r="4">
          <cell r="A4" t="str">
            <v>BẢNG TÍNH TOÁN, ĐO BÓC KHỐI LƯỢNG HOÀN THÀNH ĐƯA VÀO QUYẾT TOÁN</v>
          </cell>
        </row>
      </sheetData>
      <sheetData sheetId="6885">
        <row r="4">
          <cell r="A4" t="str">
            <v>BẢNG TÍNH TOÁN, ĐO BÓC KHỐI LƯỢNG HOÀN THÀNH ĐƯA VÀO QUYẾT TOÁN</v>
          </cell>
        </row>
      </sheetData>
      <sheetData sheetId="6886">
        <row r="4">
          <cell r="A4" t="str">
            <v>BẢNG TÍNH TOÁN, ĐO BÓC KHỐI LƯỢNG HOÀN THÀNH ĐƯA VÀO QUYẾT TOÁN</v>
          </cell>
        </row>
      </sheetData>
      <sheetData sheetId="6887">
        <row r="4">
          <cell r="A4" t="str">
            <v>BẢNG TÍNH TOÁN, ĐO BÓC KHỐI LƯỢNG HOÀN THÀNH ĐƯA VÀO QUYẾT TOÁN</v>
          </cell>
        </row>
      </sheetData>
      <sheetData sheetId="6888">
        <row r="4">
          <cell r="A4" t="str">
            <v>BẢNG TÍNH TOÁN, ĐO BÓC KHỐI LƯỢNG HOÀN THÀNH ĐƯA VÀO QUYẾT TOÁN</v>
          </cell>
        </row>
      </sheetData>
      <sheetData sheetId="6889">
        <row r="4">
          <cell r="A4" t="str">
            <v>BẢNG TÍNH TOÁN, ĐO BÓC KHỐI LƯỢNG HOÀN THÀNH ĐƯA VÀO QUYẾT TOÁN</v>
          </cell>
        </row>
      </sheetData>
      <sheetData sheetId="6890">
        <row r="4">
          <cell r="A4" t="str">
            <v>BẢNG TÍNH TOÁN, ĐO BÓC KHỐI LƯỢNG HOÀN THÀNH ĐƯA VÀO QUYẾT TOÁN</v>
          </cell>
        </row>
      </sheetData>
      <sheetData sheetId="6891">
        <row r="4">
          <cell r="A4" t="str">
            <v>BẢNG TÍNH TOÁN, ĐO BÓC KHỐI LƯỢNG HOÀN THÀNH ĐƯA VÀO QUYẾT TOÁN</v>
          </cell>
        </row>
      </sheetData>
      <sheetData sheetId="6892">
        <row r="4">
          <cell r="A4" t="str">
            <v>BẢNG TÍNH TOÁN, ĐO BÓC KHỐI LƯỢNG HOÀN THÀNH ĐƯA VÀO QUYẾT TOÁN</v>
          </cell>
        </row>
      </sheetData>
      <sheetData sheetId="6893">
        <row r="4">
          <cell r="A4" t="str">
            <v>BẢNG TÍNH TOÁN, ĐO BÓC KHỐI LƯỢNG HOÀN THÀNH ĐƯA VÀO QUYẾT TOÁN</v>
          </cell>
        </row>
      </sheetData>
      <sheetData sheetId="6894">
        <row r="4">
          <cell r="A4" t="str">
            <v>BẢNG TÍNH TOÁN, ĐO BÓC KHỐI LƯỢNG HOÀN THÀNH ĐƯA VÀO QUYẾT TOÁN</v>
          </cell>
        </row>
      </sheetData>
      <sheetData sheetId="6895">
        <row r="4">
          <cell r="A4" t="str">
            <v>BẢNG TÍNH TOÁN, ĐO BÓC KHỐI LƯỢNG HOÀN THÀNH ĐƯA VÀO QUYẾT TOÁN</v>
          </cell>
        </row>
      </sheetData>
      <sheetData sheetId="6896">
        <row r="4">
          <cell r="A4" t="str">
            <v>BẢNG TÍNH TOÁN, ĐO BÓC KHỐI LƯỢNG HOÀN THÀNH ĐƯA VÀO QUYẾT TOÁN</v>
          </cell>
        </row>
      </sheetData>
      <sheetData sheetId="6897">
        <row r="4">
          <cell r="A4" t="str">
            <v>BẢNG TÍNH TOÁN, ĐO BÓC KHỐI LƯỢNG HOÀN THÀNH ĐƯA VÀO QUYẾT TOÁN</v>
          </cell>
        </row>
      </sheetData>
      <sheetData sheetId="6898">
        <row r="4">
          <cell r="A4" t="str">
            <v>BẢNG TÍNH TOÁN, ĐO BÓC KHỐI LƯỢNG HOÀN THÀNH ĐƯA VÀO QUYẾT TOÁN</v>
          </cell>
        </row>
      </sheetData>
      <sheetData sheetId="6899">
        <row r="4">
          <cell r="A4" t="str">
            <v>BẢNG TÍNH TOÁN, ĐO BÓC KHỐI LƯỢNG HOÀN THÀNH ĐƯA VÀO QUYẾT TOÁN</v>
          </cell>
        </row>
      </sheetData>
      <sheetData sheetId="6900">
        <row r="4">
          <cell r="A4" t="str">
            <v>BẢNG TÍNH TOÁN, ĐO BÓC KHỐI LƯỢNG HOÀN THÀNH ĐƯA VÀO QUYẾT TOÁN</v>
          </cell>
        </row>
      </sheetData>
      <sheetData sheetId="6901">
        <row r="4">
          <cell r="A4" t="str">
            <v>BẢNG TÍNH TOÁN, ĐO BÓC KHỐI LƯỢNG HOÀN THÀNH ĐƯA VÀO QUYẾT TOÁN</v>
          </cell>
        </row>
      </sheetData>
      <sheetData sheetId="6902">
        <row r="4">
          <cell r="A4" t="str">
            <v>BẢNG TÍNH TOÁN, ĐO BÓC KHỐI LƯỢNG HOÀN THÀNH ĐƯA VÀO QUYẾT TOÁN</v>
          </cell>
        </row>
      </sheetData>
      <sheetData sheetId="6903">
        <row r="4">
          <cell r="A4" t="str">
            <v>BẢNG TÍNH TOÁN, ĐO BÓC KHỐI LƯỢNG HOÀN THÀNH ĐƯA VÀO QUYẾT TOÁN</v>
          </cell>
        </row>
      </sheetData>
      <sheetData sheetId="6904">
        <row r="4">
          <cell r="A4" t="str">
            <v>BẢNG TÍNH TOÁN, ĐO BÓC KHỐI LƯỢNG HOÀN THÀNH ĐƯA VÀO QUYẾT TOÁN</v>
          </cell>
        </row>
      </sheetData>
      <sheetData sheetId="6905">
        <row r="4">
          <cell r="A4" t="str">
            <v>BẢNG TÍNH TOÁN, ĐO BÓC KHỐI LƯỢNG HOÀN THÀNH ĐƯA VÀO QUYẾT TOÁN</v>
          </cell>
        </row>
      </sheetData>
      <sheetData sheetId="6906">
        <row r="4">
          <cell r="A4" t="str">
            <v>BẢNG TÍNH TOÁN, ĐO BÓC KHỐI LƯỢNG HOÀN THÀNH ĐƯA VÀO QUYẾT TOÁN</v>
          </cell>
        </row>
      </sheetData>
      <sheetData sheetId="6907">
        <row r="4">
          <cell r="A4" t="str">
            <v>BẢNG TÍNH TOÁN, ĐO BÓC KHỐI LƯỢNG HOÀN THÀNH ĐƯA VÀO QUYẾT TOÁN</v>
          </cell>
        </row>
      </sheetData>
      <sheetData sheetId="6908">
        <row r="4">
          <cell r="A4" t="str">
            <v>BẢNG TÍNH TOÁN, ĐO BÓC KHỐI LƯỢNG HOÀN THÀNH ĐƯA VÀO QUYẾT TOÁN</v>
          </cell>
        </row>
      </sheetData>
      <sheetData sheetId="6909">
        <row r="4">
          <cell r="A4" t="str">
            <v>BẢNG TÍNH TOÁN, ĐO BÓC KHỐI LƯỢNG HOÀN THÀNH ĐƯA VÀO QUYẾT TOÁN</v>
          </cell>
        </row>
      </sheetData>
      <sheetData sheetId="6910">
        <row r="4">
          <cell r="A4" t="str">
            <v>BẢNG TÍNH TOÁN, ĐO BÓC KHỐI LƯỢNG HOÀN THÀNH ĐƯA VÀO QUYẾT TOÁN</v>
          </cell>
        </row>
      </sheetData>
      <sheetData sheetId="6911">
        <row r="4">
          <cell r="A4" t="str">
            <v>BẢNG TÍNH TOÁN, ĐO BÓC KHỐI LƯỢNG HOÀN THÀNH ĐƯA VÀO QUYẾT TOÁN</v>
          </cell>
        </row>
      </sheetData>
      <sheetData sheetId="6912">
        <row r="4">
          <cell r="A4" t="str">
            <v>BẢNG TÍNH TOÁN, ĐO BÓC KHỐI LƯỢNG HOÀN THÀNH ĐƯA VÀO QUYẾT TOÁN</v>
          </cell>
        </row>
      </sheetData>
      <sheetData sheetId="6913">
        <row r="4">
          <cell r="A4" t="str">
            <v>BẢNG TÍNH TOÁN, ĐO BÓC KHỐI LƯỢNG HOÀN THÀNH ĐƯA VÀO QUYẾT TOÁN</v>
          </cell>
        </row>
      </sheetData>
      <sheetData sheetId="6914">
        <row r="4">
          <cell r="A4" t="str">
            <v>BẢNG TÍNH TOÁN, ĐO BÓC KHỐI LƯỢNG HOÀN THÀNH ĐƯA VÀO QUYẾT TOÁN</v>
          </cell>
        </row>
      </sheetData>
      <sheetData sheetId="6915">
        <row r="4">
          <cell r="A4" t="str">
            <v>BẢNG TÍNH TOÁN, ĐO BÓC KHỐI LƯỢNG HOÀN THÀNH ĐƯA VÀO QUYẾT TOÁN</v>
          </cell>
        </row>
      </sheetData>
      <sheetData sheetId="6916">
        <row r="4">
          <cell r="A4" t="str">
            <v>BẢNG TÍNH TOÁN, ĐO BÓC KHỐI LƯỢNG HOÀN THÀNH ĐƯA VÀO QUYẾT TOÁN</v>
          </cell>
        </row>
      </sheetData>
      <sheetData sheetId="6917">
        <row r="4">
          <cell r="A4" t="str">
            <v>BẢNG TÍNH TOÁN, ĐO BÓC KHỐI LƯỢNG HOÀN THÀNH ĐƯA VÀO QUYẾT TOÁN</v>
          </cell>
        </row>
      </sheetData>
      <sheetData sheetId="6918">
        <row r="4">
          <cell r="A4" t="str">
            <v>BẢNG TÍNH TOÁN, ĐO BÓC KHỐI LƯỢNG HOÀN THÀNH ĐƯA VÀO QUYẾT TOÁN</v>
          </cell>
        </row>
      </sheetData>
      <sheetData sheetId="6919">
        <row r="4">
          <cell r="A4" t="str">
            <v>BẢNG TÍNH TOÁN, ĐO BÓC KHỐI LƯỢNG HOÀN THÀNH ĐƯA VÀO QUYẾT TOÁN</v>
          </cell>
        </row>
      </sheetData>
      <sheetData sheetId="6920">
        <row r="4">
          <cell r="A4" t="str">
            <v>BẢNG TÍNH TOÁN, ĐO BÓC KHỐI LƯỢNG HOÀN THÀNH ĐƯA VÀO QUYẾT TOÁN</v>
          </cell>
        </row>
      </sheetData>
      <sheetData sheetId="6921">
        <row r="4">
          <cell r="A4" t="str">
            <v>BẢNG TÍNH TOÁN, ĐO BÓC KHỐI LƯỢNG HOÀN THÀNH ĐƯA VÀO QUYẾT TOÁN</v>
          </cell>
        </row>
      </sheetData>
      <sheetData sheetId="6922">
        <row r="4">
          <cell r="A4" t="str">
            <v>BẢNG TÍNH TOÁN, ĐO BÓC KHỐI LƯỢNG HOÀN THÀNH ĐƯA VÀO QUYẾT TOÁN</v>
          </cell>
        </row>
      </sheetData>
      <sheetData sheetId="6923">
        <row r="4">
          <cell r="A4" t="str">
            <v>BẢNG TÍNH TOÁN, ĐO BÓC KHỐI LƯỢNG HOÀN THÀNH ĐƯA VÀO QUYẾT TOÁN</v>
          </cell>
        </row>
      </sheetData>
      <sheetData sheetId="6924">
        <row r="4">
          <cell r="A4" t="str">
            <v>BẢNG TÍNH TOÁN, ĐO BÓC KHỐI LƯỢNG HOÀN THÀNH ĐƯA VÀO QUYẾT TOÁN</v>
          </cell>
        </row>
      </sheetData>
      <sheetData sheetId="6925">
        <row r="4">
          <cell r="A4" t="str">
            <v>BẢNG TÍNH TOÁN, ĐO BÓC KHỐI LƯỢNG HOÀN THÀNH ĐƯA VÀO QUYẾT TOÁN</v>
          </cell>
        </row>
      </sheetData>
      <sheetData sheetId="6926">
        <row r="4">
          <cell r="A4" t="str">
            <v>BẢNG TÍNH TOÁN, ĐO BÓC KHỐI LƯỢNG HOÀN THÀNH ĐƯA VÀO QUYẾT TOÁN</v>
          </cell>
        </row>
      </sheetData>
      <sheetData sheetId="6927">
        <row r="4">
          <cell r="A4" t="str">
            <v>BẢNG TÍNH TOÁN, ĐO BÓC KHỐI LƯỢNG HOÀN THÀNH ĐƯA VÀO QUYẾT TOÁN</v>
          </cell>
        </row>
      </sheetData>
      <sheetData sheetId="6928">
        <row r="4">
          <cell r="A4" t="str">
            <v>BẢNG TÍNH TOÁN, ĐO BÓC KHỐI LƯỢNG HOÀN THÀNH ĐƯA VÀO QUYẾT TOÁN</v>
          </cell>
        </row>
      </sheetData>
      <sheetData sheetId="6929">
        <row r="4">
          <cell r="A4" t="str">
            <v>BẢNG TÍNH TOÁN, ĐO BÓC KHỐI LƯỢNG HOÀN THÀNH ĐƯA VÀO QUYẾT TOÁN</v>
          </cell>
        </row>
      </sheetData>
      <sheetData sheetId="6930">
        <row r="4">
          <cell r="A4" t="str">
            <v>BẢNG TÍNH TOÁN, ĐO BÓC KHỐI LƯỢNG HOÀN THÀNH ĐƯA VÀO QUYẾT TOÁN</v>
          </cell>
        </row>
      </sheetData>
      <sheetData sheetId="6931">
        <row r="4">
          <cell r="A4" t="str">
            <v>BẢNG TÍNH TOÁN, ĐO BÓC KHỐI LƯỢNG HOÀN THÀNH ĐƯA VÀO QUYẾT TOÁN</v>
          </cell>
        </row>
      </sheetData>
      <sheetData sheetId="6932">
        <row r="4">
          <cell r="A4" t="str">
            <v>BẢNG TÍNH TOÁN, ĐO BÓC KHỐI LƯỢNG HOÀN THÀNH ĐƯA VÀO QUYẾT TOÁN</v>
          </cell>
        </row>
      </sheetData>
      <sheetData sheetId="6933">
        <row r="4">
          <cell r="A4" t="str">
            <v>BẢNG TÍNH TOÁN, ĐO BÓC KHỐI LƯỢNG HOÀN THÀNH ĐƯA VÀO QUYẾT TOÁN</v>
          </cell>
        </row>
      </sheetData>
      <sheetData sheetId="6934">
        <row r="4">
          <cell r="A4" t="str">
            <v>BẢNG TÍNH TOÁN, ĐO BÓC KHỐI LƯỢNG HOÀN THÀNH ĐƯA VÀO QUYẾT TOÁN</v>
          </cell>
        </row>
      </sheetData>
      <sheetData sheetId="6935">
        <row r="4">
          <cell r="A4" t="str">
            <v>BẢNG TÍNH TOÁN, ĐO BÓC KHỐI LƯỢNG HOÀN THÀNH ĐƯA VÀO QUYẾT TOÁN</v>
          </cell>
        </row>
      </sheetData>
      <sheetData sheetId="6936">
        <row r="4">
          <cell r="A4" t="str">
            <v>BẢNG TÍNH TOÁN, ĐO BÓC KHỐI LƯỢNG HOÀN THÀNH ĐƯA VÀO QUYẾT TOÁN</v>
          </cell>
        </row>
      </sheetData>
      <sheetData sheetId="6937">
        <row r="4">
          <cell r="A4" t="str">
            <v>BẢNG TÍNH TOÁN, ĐO BÓC KHỐI LƯỢNG HOÀN THÀNH ĐƯA VÀO QUYẾT TOÁN</v>
          </cell>
        </row>
      </sheetData>
      <sheetData sheetId="6938">
        <row r="4">
          <cell r="A4" t="str">
            <v>BẢNG TÍNH TOÁN, ĐO BÓC KHỐI LƯỢNG HOÀN THÀNH ĐƯA VÀO QUYẾT TOÁN</v>
          </cell>
        </row>
      </sheetData>
      <sheetData sheetId="6939">
        <row r="4">
          <cell r="A4" t="str">
            <v>BẢNG TÍNH TOÁN, ĐO BÓC KHỐI LƯỢNG HOÀN THÀNH ĐƯA VÀO QUYẾT TOÁN</v>
          </cell>
        </row>
      </sheetData>
      <sheetData sheetId="6940">
        <row r="4">
          <cell r="A4" t="str">
            <v>BẢNG TÍNH TOÁN, ĐO BÓC KHỐI LƯỢNG HOÀN THÀNH ĐƯA VÀO QUYẾT TOÁN</v>
          </cell>
        </row>
      </sheetData>
      <sheetData sheetId="6941">
        <row r="4">
          <cell r="A4" t="str">
            <v>BẢNG TÍNH TOÁN, ĐO BÓC KHỐI LƯỢNG HOÀN THÀNH ĐƯA VÀO QUYẾT TOÁN</v>
          </cell>
        </row>
      </sheetData>
      <sheetData sheetId="6942">
        <row r="4">
          <cell r="A4" t="str">
            <v>BẢNG TÍNH TOÁN, ĐO BÓC KHỐI LƯỢNG HOÀN THÀNH ĐƯA VÀO QUYẾT TOÁN</v>
          </cell>
        </row>
      </sheetData>
      <sheetData sheetId="6943">
        <row r="4">
          <cell r="A4" t="str">
            <v>BẢNG TÍNH TOÁN, ĐO BÓC KHỐI LƯỢNG HOÀN THÀNH ĐƯA VÀO QUYẾT TOÁN</v>
          </cell>
        </row>
      </sheetData>
      <sheetData sheetId="6944">
        <row r="4">
          <cell r="A4" t="str">
            <v>BẢNG TÍNH TOÁN, ĐO BÓC KHỐI LƯỢNG HOÀN THÀNH ĐƯA VÀO QUYẾT TOÁN</v>
          </cell>
        </row>
      </sheetData>
      <sheetData sheetId="6945">
        <row r="4">
          <cell r="A4" t="str">
            <v>BẢNG TÍNH TOÁN, ĐO BÓC KHỐI LƯỢNG HOÀN THÀNH ĐƯA VÀO QUYẾT TOÁN</v>
          </cell>
        </row>
      </sheetData>
      <sheetData sheetId="6946">
        <row r="4">
          <cell r="A4" t="str">
            <v>BẢNG TÍNH TOÁN, ĐO BÓC KHỐI LƯỢNG HOÀN THÀNH ĐƯA VÀO QUYẾT TOÁN</v>
          </cell>
        </row>
      </sheetData>
      <sheetData sheetId="6947">
        <row r="4">
          <cell r="A4" t="str">
            <v>BẢNG TÍNH TOÁN, ĐO BÓC KHỐI LƯỢNG HOÀN THÀNH ĐƯA VÀO QUYẾT TOÁN</v>
          </cell>
        </row>
      </sheetData>
      <sheetData sheetId="6948">
        <row r="4">
          <cell r="A4" t="str">
            <v>BẢNG TÍNH TOÁN, ĐO BÓC KHỐI LƯỢNG HOÀN THÀNH ĐƯA VÀO QUYẾT TOÁN</v>
          </cell>
        </row>
      </sheetData>
      <sheetData sheetId="6949">
        <row r="4">
          <cell r="A4" t="str">
            <v>BẢNG TÍNH TOÁN, ĐO BÓC KHỐI LƯỢNG HOÀN THÀNH ĐƯA VÀO QUYẾT TOÁN</v>
          </cell>
        </row>
      </sheetData>
      <sheetData sheetId="6950">
        <row r="4">
          <cell r="A4" t="str">
            <v>BẢNG TÍNH TOÁN, ĐO BÓC KHỐI LƯỢNG HOÀN THÀNH ĐƯA VÀO QUYẾT TOÁN</v>
          </cell>
        </row>
      </sheetData>
      <sheetData sheetId="6951">
        <row r="4">
          <cell r="A4" t="str">
            <v>BẢNG TÍNH TOÁN, ĐO BÓC KHỐI LƯỢNG HOÀN THÀNH ĐƯA VÀO QUYẾT TOÁN</v>
          </cell>
        </row>
      </sheetData>
      <sheetData sheetId="6952">
        <row r="4">
          <cell r="A4" t="str">
            <v>BẢNG TÍNH TOÁN, ĐO BÓC KHỐI LƯỢNG HOÀN THÀNH ĐƯA VÀO QUYẾT TOÁN</v>
          </cell>
        </row>
      </sheetData>
      <sheetData sheetId="6953">
        <row r="4">
          <cell r="A4" t="str">
            <v>BẢNG TÍNH TOÁN, ĐO BÓC KHỐI LƯỢNG HOÀN THÀNH ĐƯA VÀO QUYẾT TOÁN</v>
          </cell>
        </row>
      </sheetData>
      <sheetData sheetId="6954">
        <row r="4">
          <cell r="A4" t="str">
            <v>BẢNG TÍNH TOÁN, ĐO BÓC KHỐI LƯỢNG HOÀN THÀNH ĐƯA VÀO QUYẾT TOÁN</v>
          </cell>
        </row>
      </sheetData>
      <sheetData sheetId="6955">
        <row r="4">
          <cell r="A4" t="str">
            <v>BẢNG TÍNH TOÁN, ĐO BÓC KHỐI LƯỢNG HOÀN THÀNH ĐƯA VÀO QUYẾT TOÁN</v>
          </cell>
        </row>
      </sheetData>
      <sheetData sheetId="6956">
        <row r="4">
          <cell r="A4" t="str">
            <v>BẢNG TÍNH TOÁN, ĐO BÓC KHỐI LƯỢNG HOÀN THÀNH ĐƯA VÀO QUYẾT TOÁN</v>
          </cell>
        </row>
      </sheetData>
      <sheetData sheetId="6957">
        <row r="4">
          <cell r="A4" t="str">
            <v>BẢNG TÍNH TOÁN, ĐO BÓC KHỐI LƯỢNG HOÀN THÀNH ĐƯA VÀO QUYẾT TOÁN</v>
          </cell>
        </row>
      </sheetData>
      <sheetData sheetId="6958">
        <row r="4">
          <cell r="A4" t="str">
            <v>BẢNG TÍNH TOÁN, ĐO BÓC KHỐI LƯỢNG HOÀN THÀNH ĐƯA VÀO QUYẾT TOÁN</v>
          </cell>
        </row>
      </sheetData>
      <sheetData sheetId="6959">
        <row r="4">
          <cell r="A4" t="str">
            <v>BẢNG TÍNH TOÁN, ĐO BÓC KHỐI LƯỢNG HOÀN THÀNH ĐƯA VÀO QUYẾT TOÁN</v>
          </cell>
        </row>
      </sheetData>
      <sheetData sheetId="6960">
        <row r="4">
          <cell r="A4" t="str">
            <v>BẢNG TÍNH TOÁN, ĐO BÓC KHỐI LƯỢNG HOÀN THÀNH ĐƯA VÀO QUYẾT TOÁN</v>
          </cell>
        </row>
      </sheetData>
      <sheetData sheetId="6961">
        <row r="4">
          <cell r="A4" t="str">
            <v>BẢNG TÍNH TOÁN, ĐO BÓC KHỐI LƯỢNG HOÀN THÀNH ĐƯA VÀO QUYẾT TOÁN</v>
          </cell>
        </row>
      </sheetData>
      <sheetData sheetId="6962">
        <row r="4">
          <cell r="A4" t="str">
            <v>BẢNG TÍNH TOÁN, ĐO BÓC KHỐI LƯỢNG HOÀN THÀNH ĐƯA VÀO QUYẾT TOÁN</v>
          </cell>
        </row>
      </sheetData>
      <sheetData sheetId="6963">
        <row r="4">
          <cell r="A4" t="str">
            <v>BẢNG TÍNH TOÁN, ĐO BÓC KHỐI LƯỢNG HOÀN THÀNH ĐƯA VÀO QUYẾT TOÁN</v>
          </cell>
        </row>
      </sheetData>
      <sheetData sheetId="6964">
        <row r="4">
          <cell r="A4" t="str">
            <v>BẢNG TÍNH TOÁN, ĐO BÓC KHỐI LƯỢNG HOÀN THÀNH ĐƯA VÀO QUYẾT TOÁN</v>
          </cell>
        </row>
      </sheetData>
      <sheetData sheetId="6965">
        <row r="4">
          <cell r="A4" t="str">
            <v>BẢNG TÍNH TOÁN, ĐO BÓC KHỐI LƯỢNG HOÀN THÀNH ĐƯA VÀO QUYẾT TOÁN</v>
          </cell>
        </row>
      </sheetData>
      <sheetData sheetId="6966">
        <row r="4">
          <cell r="A4" t="str">
            <v>BẢNG TÍNH TOÁN, ĐO BÓC KHỐI LƯỢNG HOÀN THÀNH ĐƯA VÀO QUYẾT TOÁN</v>
          </cell>
        </row>
      </sheetData>
      <sheetData sheetId="6967">
        <row r="4">
          <cell r="A4" t="str">
            <v>BẢNG TÍNH TOÁN, ĐO BÓC KHỐI LƯỢNG HOÀN THÀNH ĐƯA VÀO QUYẾT TOÁN</v>
          </cell>
        </row>
      </sheetData>
      <sheetData sheetId="6968">
        <row r="4">
          <cell r="A4" t="str">
            <v>BẢNG TÍNH TOÁN, ĐO BÓC KHỐI LƯỢNG HOÀN THÀNH ĐƯA VÀO QUYẾT TOÁN</v>
          </cell>
        </row>
      </sheetData>
      <sheetData sheetId="6969">
        <row r="4">
          <cell r="A4" t="str">
            <v>BẢNG TÍNH TOÁN, ĐO BÓC KHỐI LƯỢNG HOÀN THÀNH ĐƯA VÀO QUYẾT TOÁN</v>
          </cell>
        </row>
      </sheetData>
      <sheetData sheetId="6970">
        <row r="4">
          <cell r="A4" t="str">
            <v>BẢNG TÍNH TOÁN, ĐO BÓC KHỐI LƯỢNG HOÀN THÀNH ĐƯA VÀO QUYẾT TOÁN</v>
          </cell>
        </row>
      </sheetData>
      <sheetData sheetId="6971">
        <row r="4">
          <cell r="A4" t="str">
            <v>BẢNG TÍNH TOÁN, ĐO BÓC KHỐI LƯỢNG HOÀN THÀNH ĐƯA VÀO QUYẾT TOÁN</v>
          </cell>
        </row>
      </sheetData>
      <sheetData sheetId="6972">
        <row r="4">
          <cell r="A4" t="str">
            <v>BẢNG TÍNH TOÁN, ĐO BÓC KHỐI LƯỢNG HOÀN THÀNH ĐƯA VÀO QUYẾT TOÁN</v>
          </cell>
        </row>
      </sheetData>
      <sheetData sheetId="6973">
        <row r="4">
          <cell r="A4" t="str">
            <v>BẢNG TÍNH TOÁN, ĐO BÓC KHỐI LƯỢNG HOÀN THÀNH ĐƯA VÀO QUYẾT TOÁN</v>
          </cell>
        </row>
      </sheetData>
      <sheetData sheetId="6974">
        <row r="4">
          <cell r="A4" t="str">
            <v>BẢNG TÍNH TOÁN, ĐO BÓC KHỐI LƯỢNG HOÀN THÀNH ĐƯA VÀO QUYẾT TOÁN</v>
          </cell>
        </row>
      </sheetData>
      <sheetData sheetId="6975">
        <row r="4">
          <cell r="A4" t="str">
            <v>BẢNG TÍNH TOÁN, ĐO BÓC KHỐI LƯỢNG HOÀN THÀNH ĐƯA VÀO QUYẾT TOÁN</v>
          </cell>
        </row>
      </sheetData>
      <sheetData sheetId="6976">
        <row r="4">
          <cell r="A4" t="str">
            <v>BẢNG TÍNH TOÁN, ĐO BÓC KHỐI LƯỢNG HOÀN THÀNH ĐƯA VÀO QUYẾT TOÁN</v>
          </cell>
        </row>
      </sheetData>
      <sheetData sheetId="6977">
        <row r="4">
          <cell r="A4" t="str">
            <v>BẢNG TÍNH TOÁN, ĐO BÓC KHỐI LƯỢNG HOÀN THÀNH ĐƯA VÀO QUYẾT TOÁN</v>
          </cell>
        </row>
      </sheetData>
      <sheetData sheetId="6978">
        <row r="4">
          <cell r="A4" t="str">
            <v>BẢNG TÍNH TOÁN, ĐO BÓC KHỐI LƯỢNG HOÀN THÀNH ĐƯA VÀO QUYẾT TOÁN</v>
          </cell>
        </row>
      </sheetData>
      <sheetData sheetId="6979">
        <row r="4">
          <cell r="A4" t="str">
            <v>BẢNG TÍNH TOÁN, ĐO BÓC KHỐI LƯỢNG HOÀN THÀNH ĐƯA VÀO QUYẾT TOÁN</v>
          </cell>
        </row>
      </sheetData>
      <sheetData sheetId="6980">
        <row r="4">
          <cell r="A4" t="str">
            <v>BẢNG TÍNH TOÁN, ĐO BÓC KHỐI LƯỢNG HOÀN THÀNH ĐƯA VÀO QUYẾT TOÁN</v>
          </cell>
        </row>
      </sheetData>
      <sheetData sheetId="6981">
        <row r="4">
          <cell r="A4" t="str">
            <v>BẢNG TÍNH TOÁN, ĐO BÓC KHỐI LƯỢNG HOÀN THÀNH ĐƯA VÀO QUYẾT TOÁN</v>
          </cell>
        </row>
      </sheetData>
      <sheetData sheetId="6982">
        <row r="4">
          <cell r="A4" t="str">
            <v>BẢNG TÍNH TOÁN, ĐO BÓC KHỐI LƯỢNG HOÀN THÀNH ĐƯA VÀO QUYẾT TOÁN</v>
          </cell>
        </row>
      </sheetData>
      <sheetData sheetId="6983">
        <row r="4">
          <cell r="A4" t="str">
            <v>BẢNG TÍNH TOÁN, ĐO BÓC KHỐI LƯỢNG HOÀN THÀNH ĐƯA VÀO QUYẾT TOÁN</v>
          </cell>
        </row>
      </sheetData>
      <sheetData sheetId="6984">
        <row r="4">
          <cell r="A4" t="str">
            <v>BẢNG TÍNH TOÁN, ĐO BÓC KHỐI LƯỢNG HOÀN THÀNH ĐƯA VÀO QUYẾT TOÁN</v>
          </cell>
        </row>
      </sheetData>
      <sheetData sheetId="6985">
        <row r="4">
          <cell r="A4" t="str">
            <v>BẢNG TÍNH TOÁN, ĐO BÓC KHỐI LƯỢNG HOÀN THÀNH ĐƯA VÀO QUYẾT TOÁN</v>
          </cell>
        </row>
      </sheetData>
      <sheetData sheetId="6986">
        <row r="4">
          <cell r="A4" t="str">
            <v>BẢNG TÍNH TOÁN, ĐO BÓC KHỐI LƯỢNG HOÀN THÀNH ĐƯA VÀO QUYẾT TOÁN</v>
          </cell>
        </row>
      </sheetData>
      <sheetData sheetId="6987">
        <row r="4">
          <cell r="A4" t="str">
            <v>BẢNG TÍNH TOÁN, ĐO BÓC KHỐI LƯỢNG HOÀN THÀNH ĐƯA VÀO QUYẾT TOÁN</v>
          </cell>
        </row>
      </sheetData>
      <sheetData sheetId="6988">
        <row r="4">
          <cell r="A4" t="str">
            <v>BẢNG TÍNH TOÁN, ĐO BÓC KHỐI LƯỢNG HOÀN THÀNH ĐƯA VÀO QUYẾT TOÁN</v>
          </cell>
        </row>
      </sheetData>
      <sheetData sheetId="6989">
        <row r="4">
          <cell r="A4" t="str">
            <v>BẢNG TÍNH TOÁN, ĐO BÓC KHỐI LƯỢNG HOÀN THÀNH ĐƯA VÀO QUYẾT TOÁN</v>
          </cell>
        </row>
      </sheetData>
      <sheetData sheetId="6990">
        <row r="4">
          <cell r="A4" t="str">
            <v>BẢNG TÍNH TOÁN, ĐO BÓC KHỐI LƯỢNG HOÀN THÀNH ĐƯA VÀO QUYẾT TOÁN</v>
          </cell>
        </row>
      </sheetData>
      <sheetData sheetId="6991">
        <row r="4">
          <cell r="A4" t="str">
            <v>BẢNG TÍNH TOÁN, ĐO BÓC KHỐI LƯỢNG HOÀN THÀNH ĐƯA VÀO QUYẾT TOÁN</v>
          </cell>
        </row>
      </sheetData>
      <sheetData sheetId="6992">
        <row r="4">
          <cell r="A4" t="str">
            <v>BẢNG TÍNH TOÁN, ĐO BÓC KHỐI LƯỢNG HOÀN THÀNH ĐƯA VÀO QUYẾT TOÁN</v>
          </cell>
        </row>
      </sheetData>
      <sheetData sheetId="6993">
        <row r="4">
          <cell r="A4" t="str">
            <v>BẢNG TÍNH TOÁN, ĐO BÓC KHỐI LƯỢNG HOÀN THÀNH ĐƯA VÀO QUYẾT TOÁN</v>
          </cell>
        </row>
      </sheetData>
      <sheetData sheetId="6994">
        <row r="4">
          <cell r="A4" t="str">
            <v>BẢNG TÍNH TOÁN, ĐO BÓC KHỐI LƯỢNG HOÀN THÀNH ĐƯA VÀO QUYẾT TOÁN</v>
          </cell>
        </row>
      </sheetData>
      <sheetData sheetId="6995">
        <row r="4">
          <cell r="A4" t="str">
            <v>BẢNG TÍNH TOÁN, ĐO BÓC KHỐI LƯỢNG HOÀN THÀNH ĐƯA VÀO QUYẾT TOÁN</v>
          </cell>
        </row>
      </sheetData>
      <sheetData sheetId="6996">
        <row r="4">
          <cell r="A4" t="str">
            <v>BẢNG TÍNH TOÁN, ĐO BÓC KHỐI LƯỢNG HOÀN THÀNH ĐƯA VÀO QUYẾT TOÁN</v>
          </cell>
        </row>
      </sheetData>
      <sheetData sheetId="6997">
        <row r="4">
          <cell r="A4" t="str">
            <v>BẢNG TÍNH TOÁN, ĐO BÓC KHỐI LƯỢNG HOÀN THÀNH ĐƯA VÀO QUYẾT TOÁN</v>
          </cell>
        </row>
      </sheetData>
      <sheetData sheetId="6998">
        <row r="4">
          <cell r="A4" t="str">
            <v>BẢNG TÍNH TOÁN, ĐO BÓC KHỐI LƯỢNG HOÀN THÀNH ĐƯA VÀO QUYẾT TOÁN</v>
          </cell>
        </row>
      </sheetData>
      <sheetData sheetId="6999">
        <row r="4">
          <cell r="A4" t="str">
            <v>BẢNG TÍNH TOÁN, ĐO BÓC KHỐI LƯỢNG HOÀN THÀNH ĐƯA VÀO QUYẾT TOÁN</v>
          </cell>
        </row>
      </sheetData>
      <sheetData sheetId="7000">
        <row r="4">
          <cell r="A4" t="str">
            <v>BẢNG TÍNH TOÁN, ĐO BÓC KHỐI LƯỢNG HOÀN THÀNH ĐƯA VÀO QUYẾT TOÁN</v>
          </cell>
        </row>
      </sheetData>
      <sheetData sheetId="7001">
        <row r="4">
          <cell r="A4" t="str">
            <v>BẢNG TÍNH TOÁN, ĐO BÓC KHỐI LƯỢNG HOÀN THÀNH ĐƯA VÀO QUYẾT TOÁN</v>
          </cell>
        </row>
      </sheetData>
      <sheetData sheetId="7002">
        <row r="4">
          <cell r="A4" t="str">
            <v>BẢNG TÍNH TOÁN, ĐO BÓC KHỐI LƯỢNG HOÀN THÀNH ĐƯA VÀO QUYẾT TOÁN</v>
          </cell>
        </row>
      </sheetData>
      <sheetData sheetId="7003">
        <row r="4">
          <cell r="A4" t="str">
            <v>BẢNG TÍNH TOÁN, ĐO BÓC KHỐI LƯỢNG HOÀN THÀNH ĐƯA VÀO QUYẾT TOÁN</v>
          </cell>
        </row>
      </sheetData>
      <sheetData sheetId="7004">
        <row r="4">
          <cell r="A4" t="str">
            <v>BẢNG TÍNH TOÁN, ĐO BÓC KHỐI LƯỢNG HOÀN THÀNH ĐƯA VÀO QUYẾT TOÁN</v>
          </cell>
        </row>
      </sheetData>
      <sheetData sheetId="7005">
        <row r="4">
          <cell r="A4" t="str">
            <v>BẢNG TÍNH TOÁN, ĐO BÓC KHỐI LƯỢNG HOÀN THÀNH ĐƯA VÀO QUYẾT TOÁN</v>
          </cell>
        </row>
      </sheetData>
      <sheetData sheetId="7006">
        <row r="4">
          <cell r="A4" t="str">
            <v>BẢNG TÍNH TOÁN, ĐO BÓC KHỐI LƯỢNG HOÀN THÀNH ĐƯA VÀO QUYẾT TOÁN</v>
          </cell>
        </row>
      </sheetData>
      <sheetData sheetId="7007">
        <row r="4">
          <cell r="A4" t="str">
            <v>BẢNG TÍNH TOÁN, ĐO BÓC KHỐI LƯỢNG HOÀN THÀNH ĐƯA VÀO QUYẾT TOÁN</v>
          </cell>
        </row>
      </sheetData>
      <sheetData sheetId="7008">
        <row r="4">
          <cell r="A4" t="str">
            <v>BẢNG TÍNH TOÁN, ĐO BÓC KHỐI LƯỢNG HOÀN THÀNH ĐƯA VÀO QUYẾT TOÁN</v>
          </cell>
        </row>
      </sheetData>
      <sheetData sheetId="7009">
        <row r="4">
          <cell r="A4" t="str">
            <v>BẢNG TÍNH TOÁN, ĐO BÓC KHỐI LƯỢNG HOÀN THÀNH ĐƯA VÀO QUYẾT TOÁN</v>
          </cell>
        </row>
      </sheetData>
      <sheetData sheetId="7010">
        <row r="4">
          <cell r="A4" t="str">
            <v>BẢNG TÍNH TOÁN, ĐO BÓC KHỐI LƯỢNG HOÀN THÀNH ĐƯA VÀO QUYẾT TOÁN</v>
          </cell>
        </row>
      </sheetData>
      <sheetData sheetId="7011">
        <row r="4">
          <cell r="A4" t="str">
            <v>BẢNG TÍNH TOÁN, ĐO BÓC KHỐI LƯỢNG HOÀN THÀNH ĐƯA VÀO QUYẾT TOÁN</v>
          </cell>
        </row>
      </sheetData>
      <sheetData sheetId="7012">
        <row r="4">
          <cell r="A4" t="str">
            <v>BẢNG TÍNH TOÁN, ĐO BÓC KHỐI LƯỢNG HOÀN THÀNH ĐƯA VÀO QUYẾT TOÁN</v>
          </cell>
        </row>
      </sheetData>
      <sheetData sheetId="7013">
        <row r="4">
          <cell r="A4" t="str">
            <v>BẢNG TÍNH TOÁN, ĐO BÓC KHỐI LƯỢNG HOÀN THÀNH ĐƯA VÀO QUYẾT TOÁN</v>
          </cell>
        </row>
      </sheetData>
      <sheetData sheetId="7014">
        <row r="4">
          <cell r="A4" t="str">
            <v>BẢNG TÍNH TOÁN, ĐO BÓC KHỐI LƯỢNG HOÀN THÀNH ĐƯA VÀO QUYẾT TOÁN</v>
          </cell>
        </row>
      </sheetData>
      <sheetData sheetId="7015">
        <row r="4">
          <cell r="A4" t="str">
            <v>BẢNG TÍNH TOÁN, ĐO BÓC KHỐI LƯỢNG HOÀN THÀNH ĐƯA VÀO QUYẾT TOÁN</v>
          </cell>
        </row>
      </sheetData>
      <sheetData sheetId="7016">
        <row r="4">
          <cell r="A4" t="str">
            <v>BẢNG TÍNH TOÁN, ĐO BÓC KHỐI LƯỢNG HOÀN THÀNH ĐƯA VÀO QUYẾT TOÁN</v>
          </cell>
        </row>
      </sheetData>
      <sheetData sheetId="7017">
        <row r="4">
          <cell r="A4" t="str">
            <v>BẢNG TÍNH TOÁN, ĐO BÓC KHỐI LƯỢNG HOÀN THÀNH ĐƯA VÀO QUYẾT TOÁN</v>
          </cell>
        </row>
      </sheetData>
      <sheetData sheetId="7018">
        <row r="4">
          <cell r="A4" t="str">
            <v>BẢNG TÍNH TOÁN, ĐO BÓC KHỐI LƯỢNG HOÀN THÀNH ĐƯA VÀO QUYẾT TOÁN</v>
          </cell>
        </row>
      </sheetData>
      <sheetData sheetId="7019">
        <row r="4">
          <cell r="A4" t="str">
            <v>BẢNG TÍNH TOÁN, ĐO BÓC KHỐI LƯỢNG HOÀN THÀNH ĐƯA VÀO QUYẾT TOÁN</v>
          </cell>
        </row>
      </sheetData>
      <sheetData sheetId="7020">
        <row r="4">
          <cell r="A4" t="str">
            <v>BẢNG TÍNH TOÁN, ĐO BÓC KHỐI LƯỢNG HOÀN THÀNH ĐƯA VÀO QUYẾT TOÁN</v>
          </cell>
        </row>
      </sheetData>
      <sheetData sheetId="7021">
        <row r="4">
          <cell r="A4" t="str">
            <v>BẢNG TÍNH TOÁN, ĐO BÓC KHỐI LƯỢNG HOÀN THÀNH ĐƯA VÀO QUYẾT TOÁN</v>
          </cell>
        </row>
      </sheetData>
      <sheetData sheetId="7022">
        <row r="4">
          <cell r="A4" t="str">
            <v>BẢNG TÍNH TOÁN, ĐO BÓC KHỐI LƯỢNG HOÀN THÀNH ĐƯA VÀO QUYẾT TOÁN</v>
          </cell>
        </row>
      </sheetData>
      <sheetData sheetId="7023">
        <row r="4">
          <cell r="A4" t="str">
            <v>BẢNG TÍNH TOÁN, ĐO BÓC KHỐI LƯỢNG HOÀN THÀNH ĐƯA VÀO QUYẾT TOÁN</v>
          </cell>
        </row>
      </sheetData>
      <sheetData sheetId="7024">
        <row r="4">
          <cell r="A4" t="str">
            <v>BẢNG TÍNH TOÁN, ĐO BÓC KHỐI LƯỢNG HOÀN THÀNH ĐƯA VÀO QUYẾT TOÁN</v>
          </cell>
        </row>
      </sheetData>
      <sheetData sheetId="7025">
        <row r="4">
          <cell r="A4" t="str">
            <v>BẢNG TÍNH TOÁN, ĐO BÓC KHỐI LƯỢNG HOÀN THÀNH ĐƯA VÀO QUYẾT TOÁN</v>
          </cell>
        </row>
      </sheetData>
      <sheetData sheetId="7026">
        <row r="4">
          <cell r="A4" t="str">
            <v>BẢNG TÍNH TOÁN, ĐO BÓC KHỐI LƯỢNG HOÀN THÀNH ĐƯA VÀO QUYẾT TOÁN</v>
          </cell>
        </row>
      </sheetData>
      <sheetData sheetId="7027">
        <row r="4">
          <cell r="A4" t="str">
            <v>BẢNG TÍNH TOÁN, ĐO BÓC KHỐI LƯỢNG HOÀN THÀNH ĐƯA VÀO QUYẾT TOÁN</v>
          </cell>
        </row>
      </sheetData>
      <sheetData sheetId="7028">
        <row r="4">
          <cell r="A4" t="str">
            <v>BẢNG TÍNH TOÁN, ĐO BÓC KHỐI LƯỢNG HOÀN THÀNH ĐƯA VÀO QUYẾT TOÁN</v>
          </cell>
        </row>
      </sheetData>
      <sheetData sheetId="7029">
        <row r="4">
          <cell r="A4" t="str">
            <v>BẢNG TÍNH TOÁN, ĐO BÓC KHỐI LƯỢNG HOÀN THÀNH ĐƯA VÀO QUYẾT TOÁN</v>
          </cell>
        </row>
      </sheetData>
      <sheetData sheetId="7030">
        <row r="4">
          <cell r="A4" t="str">
            <v>BẢNG TÍNH TOÁN, ĐO BÓC KHỐI LƯỢNG HOÀN THÀNH ĐƯA VÀO QUYẾT TOÁN</v>
          </cell>
        </row>
      </sheetData>
      <sheetData sheetId="7031">
        <row r="4">
          <cell r="A4" t="str">
            <v>BẢNG TÍNH TOÁN, ĐO BÓC KHỐI LƯỢNG HOÀN THÀNH ĐƯA VÀO QUYẾT TOÁN</v>
          </cell>
        </row>
      </sheetData>
      <sheetData sheetId="7032">
        <row r="4">
          <cell r="A4" t="str">
            <v>BẢNG TÍNH TOÁN, ĐO BÓC KHỐI LƯỢNG HOÀN THÀNH ĐƯA VÀO QUYẾT TOÁN</v>
          </cell>
        </row>
      </sheetData>
      <sheetData sheetId="7033">
        <row r="4">
          <cell r="A4" t="str">
            <v>BẢNG TÍNH TOÁN, ĐO BÓC KHỐI LƯỢNG HOÀN THÀNH ĐƯA VÀO QUYẾT TOÁN</v>
          </cell>
        </row>
      </sheetData>
      <sheetData sheetId="7034">
        <row r="4">
          <cell r="A4" t="str">
            <v>BẢNG TÍNH TOÁN, ĐO BÓC KHỐI LƯỢNG HOÀN THÀNH ĐƯA VÀO QUYẾT TOÁN</v>
          </cell>
        </row>
      </sheetData>
      <sheetData sheetId="7035">
        <row r="4">
          <cell r="A4" t="str">
            <v>BẢNG TÍNH TOÁN, ĐO BÓC KHỐI LƯỢNG HOÀN THÀNH ĐƯA VÀO QUYẾT TOÁN</v>
          </cell>
        </row>
      </sheetData>
      <sheetData sheetId="7036">
        <row r="4">
          <cell r="A4" t="str">
            <v>BẢNG TÍNH TOÁN, ĐO BÓC KHỐI LƯỢNG HOÀN THÀNH ĐƯA VÀO QUYẾT TOÁN</v>
          </cell>
        </row>
      </sheetData>
      <sheetData sheetId="7037">
        <row r="4">
          <cell r="A4" t="str">
            <v>BẢNG TÍNH TOÁN, ĐO BÓC KHỐI LƯỢNG HOÀN THÀNH ĐƯA VÀO QUYẾT TOÁN</v>
          </cell>
        </row>
      </sheetData>
      <sheetData sheetId="7038">
        <row r="4">
          <cell r="A4" t="str">
            <v>BẢNG TÍNH TOÁN, ĐO BÓC KHỐI LƯỢNG HOÀN THÀNH ĐƯA VÀO QUYẾT TOÁN</v>
          </cell>
        </row>
      </sheetData>
      <sheetData sheetId="7039">
        <row r="4">
          <cell r="A4" t="str">
            <v>BẢNG TÍNH TOÁN, ĐO BÓC KHỐI LƯỢNG HOÀN THÀNH ĐƯA VÀO QUYẾT TOÁN</v>
          </cell>
        </row>
      </sheetData>
      <sheetData sheetId="7040">
        <row r="4">
          <cell r="A4" t="str">
            <v>BẢNG TÍNH TOÁN, ĐO BÓC KHỐI LƯỢNG HOÀN THÀNH ĐƯA VÀO QUYẾT TOÁN</v>
          </cell>
        </row>
      </sheetData>
      <sheetData sheetId="7041">
        <row r="4">
          <cell r="A4" t="str">
            <v>BẢNG TÍNH TOÁN, ĐO BÓC KHỐI LƯỢNG HOÀN THÀNH ĐƯA VÀO QUYẾT TOÁN</v>
          </cell>
        </row>
      </sheetData>
      <sheetData sheetId="7042">
        <row r="4">
          <cell r="A4" t="str">
            <v>BẢNG TÍNH TOÁN, ĐO BÓC KHỐI LƯỢNG HOÀN THÀNH ĐƯA VÀO QUYẾT TOÁN</v>
          </cell>
        </row>
      </sheetData>
      <sheetData sheetId="7043">
        <row r="4">
          <cell r="A4" t="str">
            <v>BẢNG TÍNH TOÁN, ĐO BÓC KHỐI LƯỢNG HOÀN THÀNH ĐƯA VÀO QUYẾT TOÁN</v>
          </cell>
        </row>
      </sheetData>
      <sheetData sheetId="7044">
        <row r="4">
          <cell r="A4" t="str">
            <v>BẢNG TÍNH TOÁN, ĐO BÓC KHỐI LƯỢNG HOÀN THÀNH ĐƯA VÀO QUYẾT TOÁN</v>
          </cell>
        </row>
      </sheetData>
      <sheetData sheetId="7045">
        <row r="4">
          <cell r="A4" t="str">
            <v>BẢNG TÍNH TOÁN, ĐO BÓC KHỐI LƯỢNG HOÀN THÀNH ĐƯA VÀO QUYẾT TOÁN</v>
          </cell>
        </row>
      </sheetData>
      <sheetData sheetId="7046">
        <row r="4">
          <cell r="A4" t="str">
            <v>BẢNG TÍNH TOÁN, ĐO BÓC KHỐI LƯỢNG HOÀN THÀNH ĐƯA VÀO QUYẾT TOÁN</v>
          </cell>
        </row>
      </sheetData>
      <sheetData sheetId="7047">
        <row r="4">
          <cell r="A4" t="str">
            <v>BẢNG TÍNH TOÁN, ĐO BÓC KHỐI LƯỢNG HOÀN THÀNH ĐƯA VÀO QUYẾT TOÁN</v>
          </cell>
        </row>
      </sheetData>
      <sheetData sheetId="7048">
        <row r="4">
          <cell r="A4" t="str">
            <v>BẢNG TÍNH TOÁN, ĐO BÓC KHỐI LƯỢNG HOÀN THÀNH ĐƯA VÀO QUYẾT TOÁN</v>
          </cell>
        </row>
      </sheetData>
      <sheetData sheetId="7049">
        <row r="4">
          <cell r="A4" t="str">
            <v>BẢNG TÍNH TOÁN, ĐO BÓC KHỐI LƯỢNG HOÀN THÀNH ĐƯA VÀO QUYẾT TOÁN</v>
          </cell>
        </row>
      </sheetData>
      <sheetData sheetId="7050">
        <row r="4">
          <cell r="A4" t="str">
            <v>BẢNG TÍNH TOÁN, ĐO BÓC KHỐI LƯỢNG HOÀN THÀNH ĐƯA VÀO QUYẾT TOÁN</v>
          </cell>
        </row>
      </sheetData>
      <sheetData sheetId="7051">
        <row r="4">
          <cell r="A4" t="str">
            <v>BẢNG TÍNH TOÁN, ĐO BÓC KHỐI LƯỢNG HOÀN THÀNH ĐƯA VÀO QUYẾT TOÁN</v>
          </cell>
        </row>
      </sheetData>
      <sheetData sheetId="7052">
        <row r="4">
          <cell r="A4" t="str">
            <v>BẢNG TÍNH TOÁN, ĐO BÓC KHỐI LƯỢNG HOÀN THÀNH ĐƯA VÀO QUYẾT TOÁN</v>
          </cell>
        </row>
      </sheetData>
      <sheetData sheetId="7053">
        <row r="4">
          <cell r="A4" t="str">
            <v>BẢNG TÍNH TOÁN, ĐO BÓC KHỐI LƯỢNG HOÀN THÀNH ĐƯA VÀO QUYẾT TOÁN</v>
          </cell>
        </row>
      </sheetData>
      <sheetData sheetId="7054">
        <row r="4">
          <cell r="A4" t="str">
            <v>BẢNG TÍNH TOÁN, ĐO BÓC KHỐI LƯỢNG HOÀN THÀNH ĐƯA VÀO QUYẾT TOÁN</v>
          </cell>
        </row>
      </sheetData>
      <sheetData sheetId="7055">
        <row r="4">
          <cell r="A4" t="str">
            <v>BẢNG TÍNH TOÁN, ĐO BÓC KHỐI LƯỢNG HOÀN THÀNH ĐƯA VÀO QUYẾT TOÁN</v>
          </cell>
        </row>
      </sheetData>
      <sheetData sheetId="7056">
        <row r="4">
          <cell r="A4" t="str">
            <v>BẢNG TÍNH TOÁN, ĐO BÓC KHỐI LƯỢNG HOÀN THÀNH ĐƯA VÀO QUYẾT TOÁN</v>
          </cell>
        </row>
      </sheetData>
      <sheetData sheetId="7057">
        <row r="4">
          <cell r="A4" t="str">
            <v>BẢNG TÍNH TOÁN, ĐO BÓC KHỐI LƯỢNG HOÀN THÀNH ĐƯA VÀO QUYẾT TOÁN</v>
          </cell>
        </row>
      </sheetData>
      <sheetData sheetId="7058">
        <row r="4">
          <cell r="A4" t="str">
            <v>BẢNG TÍNH TOÁN, ĐO BÓC KHỐI LƯỢNG HOÀN THÀNH ĐƯA VÀO QUYẾT TOÁN</v>
          </cell>
        </row>
      </sheetData>
      <sheetData sheetId="7059">
        <row r="4">
          <cell r="A4" t="str">
            <v>BẢNG TÍNH TOÁN, ĐO BÓC KHỐI LƯỢNG HOÀN THÀNH ĐƯA VÀO QUYẾT TOÁN</v>
          </cell>
        </row>
      </sheetData>
      <sheetData sheetId="7060">
        <row r="4">
          <cell r="A4" t="str">
            <v>BẢNG TÍNH TOÁN, ĐO BÓC KHỐI LƯỢNG HOÀN THÀNH ĐƯA VÀO QUYẾT TOÁN</v>
          </cell>
        </row>
      </sheetData>
      <sheetData sheetId="7061">
        <row r="4">
          <cell r="A4" t="str">
            <v>BẢNG TÍNH TOÁN, ĐO BÓC KHỐI LƯỢNG HOÀN THÀNH ĐƯA VÀO QUYẾT TOÁN</v>
          </cell>
        </row>
      </sheetData>
      <sheetData sheetId="7062">
        <row r="4">
          <cell r="A4" t="str">
            <v>BẢNG TÍNH TOÁN, ĐO BÓC KHỐI LƯỢNG HOÀN THÀNH ĐƯA VÀO QUYẾT TOÁN</v>
          </cell>
        </row>
      </sheetData>
      <sheetData sheetId="7063">
        <row r="4">
          <cell r="A4" t="str">
            <v>BẢNG TÍNH TOÁN, ĐO BÓC KHỐI LƯỢNG HOÀN THÀNH ĐƯA VÀO QUYẾT TOÁN</v>
          </cell>
        </row>
      </sheetData>
      <sheetData sheetId="7064">
        <row r="4">
          <cell r="A4" t="str">
            <v>BẢNG TÍNH TOÁN, ĐO BÓC KHỐI LƯỢNG HOÀN THÀNH ĐƯA VÀO QUYẾT TOÁN</v>
          </cell>
        </row>
      </sheetData>
      <sheetData sheetId="7065">
        <row r="4">
          <cell r="A4" t="str">
            <v>BẢNG TÍNH TOÁN, ĐO BÓC KHỐI LƯỢNG HOÀN THÀNH ĐƯA VÀO QUYẾT TOÁN</v>
          </cell>
        </row>
      </sheetData>
      <sheetData sheetId="7066">
        <row r="4">
          <cell r="A4" t="str">
            <v>BẢNG TÍNH TOÁN, ĐO BÓC KHỐI LƯỢNG HOÀN THÀNH ĐƯA VÀO QUYẾT TOÁN</v>
          </cell>
        </row>
      </sheetData>
      <sheetData sheetId="7067">
        <row r="4">
          <cell r="A4" t="str">
            <v>BẢNG TÍNH TOÁN, ĐO BÓC KHỐI LƯỢNG HOÀN THÀNH ĐƯA VÀO QUYẾT TOÁN</v>
          </cell>
        </row>
      </sheetData>
      <sheetData sheetId="7068">
        <row r="4">
          <cell r="A4" t="str">
            <v>BẢNG TÍNH TOÁN, ĐO BÓC KHỐI LƯỢNG HOÀN THÀNH ĐƯA VÀO QUYẾT TOÁN</v>
          </cell>
        </row>
      </sheetData>
      <sheetData sheetId="7069">
        <row r="4">
          <cell r="A4" t="str">
            <v>BẢNG TÍNH TOÁN, ĐO BÓC KHỐI LƯỢNG HOÀN THÀNH ĐƯA VÀO QUYẾT TOÁN</v>
          </cell>
        </row>
      </sheetData>
      <sheetData sheetId="7070">
        <row r="4">
          <cell r="A4" t="str">
            <v>BẢNG TÍNH TOÁN, ĐO BÓC KHỐI LƯỢNG HOÀN THÀNH ĐƯA VÀO QUYẾT TOÁN</v>
          </cell>
        </row>
      </sheetData>
      <sheetData sheetId="7071">
        <row r="4">
          <cell r="A4" t="str">
            <v>BẢNG TÍNH TOÁN, ĐO BÓC KHỐI LƯỢNG HOÀN THÀNH ĐƯA VÀO QUYẾT TOÁN</v>
          </cell>
        </row>
      </sheetData>
      <sheetData sheetId="7072">
        <row r="4">
          <cell r="A4" t="str">
            <v>BẢNG TÍNH TOÁN, ĐO BÓC KHỐI LƯỢNG HOÀN THÀNH ĐƯA VÀO QUYẾT TOÁN</v>
          </cell>
        </row>
      </sheetData>
      <sheetData sheetId="7073">
        <row r="4">
          <cell r="A4" t="str">
            <v>BẢNG TÍNH TOÁN, ĐO BÓC KHỐI LƯỢNG HOÀN THÀNH ĐƯA VÀO QUYẾT TOÁN</v>
          </cell>
        </row>
      </sheetData>
      <sheetData sheetId="7074">
        <row r="4">
          <cell r="A4" t="str">
            <v>BẢNG TÍNH TOÁN, ĐO BÓC KHỐI LƯỢNG HOÀN THÀNH ĐƯA VÀO QUYẾT TOÁN</v>
          </cell>
        </row>
      </sheetData>
      <sheetData sheetId="7075">
        <row r="4">
          <cell r="A4" t="str">
            <v>BẢNG TÍNH TOÁN, ĐO BÓC KHỐI LƯỢNG HOÀN THÀNH ĐƯA VÀO QUYẾT TOÁN</v>
          </cell>
        </row>
      </sheetData>
      <sheetData sheetId="7076">
        <row r="4">
          <cell r="A4" t="str">
            <v>BẢNG TÍNH TOÁN, ĐO BÓC KHỐI LƯỢNG HOÀN THÀNH ĐƯA VÀO QUYẾT TOÁN</v>
          </cell>
        </row>
      </sheetData>
      <sheetData sheetId="7077">
        <row r="4">
          <cell r="A4" t="str">
            <v>BẢNG TÍNH TOÁN, ĐO BÓC KHỐI LƯỢNG HOÀN THÀNH ĐƯA VÀO QUYẾT TOÁN</v>
          </cell>
        </row>
      </sheetData>
      <sheetData sheetId="7078">
        <row r="4">
          <cell r="A4" t="str">
            <v>BẢNG TÍNH TOÁN, ĐO BÓC KHỐI LƯỢNG HOÀN THÀNH ĐƯA VÀO QUYẾT TOÁN</v>
          </cell>
        </row>
      </sheetData>
      <sheetData sheetId="7079">
        <row r="4">
          <cell r="A4" t="str">
            <v>BẢNG TÍNH TOÁN, ĐO BÓC KHỐI LƯỢNG HOÀN THÀNH ĐƯA VÀO QUYẾT TOÁN</v>
          </cell>
        </row>
      </sheetData>
      <sheetData sheetId="7080">
        <row r="4">
          <cell r="A4" t="str">
            <v>BẢNG TÍNH TOÁN, ĐO BÓC KHỐI LƯỢNG HOÀN THÀNH ĐƯA VÀO QUYẾT TOÁN</v>
          </cell>
        </row>
      </sheetData>
      <sheetData sheetId="7081">
        <row r="4">
          <cell r="A4" t="str">
            <v>BẢNG TÍNH TOÁN, ĐO BÓC KHỐI LƯỢNG HOÀN THÀNH ĐƯA VÀO QUYẾT TOÁN</v>
          </cell>
        </row>
      </sheetData>
      <sheetData sheetId="7082">
        <row r="4">
          <cell r="A4" t="str">
            <v>BẢNG TÍNH TOÁN, ĐO BÓC KHỐI LƯỢNG HOÀN THÀNH ĐƯA VÀO QUYẾT TOÁN</v>
          </cell>
        </row>
      </sheetData>
      <sheetData sheetId="7083">
        <row r="4">
          <cell r="A4" t="str">
            <v>BẢNG TÍNH TOÁN, ĐO BÓC KHỐI LƯỢNG HOÀN THÀNH ĐƯA VÀO QUYẾT TOÁN</v>
          </cell>
        </row>
      </sheetData>
      <sheetData sheetId="7084">
        <row r="4">
          <cell r="A4" t="str">
            <v>BẢNG TÍNH TOÁN, ĐO BÓC KHỐI LƯỢNG HOÀN THÀNH ĐƯA VÀO QUYẾT TOÁN</v>
          </cell>
        </row>
      </sheetData>
      <sheetData sheetId="7085">
        <row r="4">
          <cell r="A4" t="str">
            <v>BẢNG TÍNH TOÁN, ĐO BÓC KHỐI LƯỢNG HOÀN THÀNH ĐƯA VÀO QUYẾT TOÁN</v>
          </cell>
        </row>
      </sheetData>
      <sheetData sheetId="7086">
        <row r="4">
          <cell r="A4" t="str">
            <v>BẢNG TÍNH TOÁN, ĐO BÓC KHỐI LƯỢNG HOÀN THÀNH ĐƯA VÀO QUYẾT TOÁN</v>
          </cell>
        </row>
      </sheetData>
      <sheetData sheetId="7087">
        <row r="4">
          <cell r="A4" t="str">
            <v>BẢNG TÍNH TOÁN, ĐO BÓC KHỐI LƯỢNG HOÀN THÀNH ĐƯA VÀO QUYẾT TOÁN</v>
          </cell>
        </row>
      </sheetData>
      <sheetData sheetId="7088">
        <row r="4">
          <cell r="A4" t="str">
            <v>BẢNG TÍNH TOÁN, ĐO BÓC KHỐI LƯỢNG HOÀN THÀNH ĐƯA VÀO QUYẾT TOÁN</v>
          </cell>
        </row>
      </sheetData>
      <sheetData sheetId="7089">
        <row r="4">
          <cell r="A4" t="str">
            <v>BẢNG TÍNH TOÁN, ĐO BÓC KHỐI LƯỢNG HOÀN THÀNH ĐƯA VÀO QUYẾT TOÁN</v>
          </cell>
        </row>
      </sheetData>
      <sheetData sheetId="7090">
        <row r="4">
          <cell r="A4" t="str">
            <v>BẢNG TÍNH TOÁN, ĐO BÓC KHỐI LƯỢNG HOÀN THÀNH ĐƯA VÀO QUYẾT TOÁN</v>
          </cell>
        </row>
      </sheetData>
      <sheetData sheetId="7091">
        <row r="4">
          <cell r="A4" t="str">
            <v>BẢNG TÍNH TOÁN, ĐO BÓC KHỐI LƯỢNG HOÀN THÀNH ĐƯA VÀO QUYẾT TOÁN</v>
          </cell>
        </row>
      </sheetData>
      <sheetData sheetId="7092">
        <row r="4">
          <cell r="A4" t="str">
            <v>BẢNG TÍNH TOÁN, ĐO BÓC KHỐI LƯỢNG HOÀN THÀNH ĐƯA VÀO QUYẾT TOÁN</v>
          </cell>
        </row>
      </sheetData>
      <sheetData sheetId="7093">
        <row r="4">
          <cell r="A4" t="str">
            <v>BẢNG TÍNH TOÁN, ĐO BÓC KHỐI LƯỢNG HOÀN THÀNH ĐƯA VÀO QUYẾT TOÁN</v>
          </cell>
        </row>
      </sheetData>
      <sheetData sheetId="7094">
        <row r="4">
          <cell r="A4" t="str">
            <v>BẢNG TÍNH TOÁN, ĐO BÓC KHỐI LƯỢNG HOÀN THÀNH ĐƯA VÀO QUYẾT TOÁN</v>
          </cell>
        </row>
      </sheetData>
      <sheetData sheetId="7095">
        <row r="4">
          <cell r="A4" t="str">
            <v>BẢNG TÍNH TOÁN, ĐO BÓC KHỐI LƯỢNG HOÀN THÀNH ĐƯA VÀO QUYẾT TOÁN</v>
          </cell>
        </row>
      </sheetData>
      <sheetData sheetId="7096">
        <row r="4">
          <cell r="A4" t="str">
            <v>BẢNG TÍNH TOÁN, ĐO BÓC KHỐI LƯỢNG HOÀN THÀNH ĐƯA VÀO QUYẾT TOÁN</v>
          </cell>
        </row>
      </sheetData>
      <sheetData sheetId="7097">
        <row r="4">
          <cell r="A4" t="str">
            <v>BẢNG TÍNH TOÁN, ĐO BÓC KHỐI LƯỢNG HOÀN THÀNH ĐƯA VÀO QUYẾT TOÁN</v>
          </cell>
        </row>
      </sheetData>
      <sheetData sheetId="7098">
        <row r="4">
          <cell r="A4" t="str">
            <v>BẢNG TÍNH TOÁN, ĐO BÓC KHỐI LƯỢNG HOÀN THÀNH ĐƯA VÀO QUYẾT TOÁN</v>
          </cell>
        </row>
      </sheetData>
      <sheetData sheetId="7099">
        <row r="4">
          <cell r="A4" t="str">
            <v>BẢNG TÍNH TOÁN, ĐO BÓC KHỐI LƯỢNG HOÀN THÀNH ĐƯA VÀO QUYẾT TOÁN</v>
          </cell>
        </row>
      </sheetData>
      <sheetData sheetId="7100">
        <row r="4">
          <cell r="A4" t="str">
            <v>BẢNG TÍNH TOÁN, ĐO BÓC KHỐI LƯỢNG HOÀN THÀNH ĐƯA VÀO QUYẾT TOÁN</v>
          </cell>
        </row>
      </sheetData>
      <sheetData sheetId="7101">
        <row r="4">
          <cell r="A4" t="str">
            <v>BẢNG TÍNH TOÁN, ĐO BÓC KHỐI LƯỢNG HOÀN THÀNH ĐƯA VÀO QUYẾT TOÁN</v>
          </cell>
        </row>
      </sheetData>
      <sheetData sheetId="7102">
        <row r="4">
          <cell r="A4" t="str">
            <v>BẢNG TÍNH TOÁN, ĐO BÓC KHỐI LƯỢNG HOÀN THÀNH ĐƯA VÀO QUYẾT TOÁN</v>
          </cell>
        </row>
      </sheetData>
      <sheetData sheetId="7103">
        <row r="4">
          <cell r="A4" t="str">
            <v>BẢNG TÍNH TOÁN, ĐO BÓC KHỐI LƯỢNG HOÀN THÀNH ĐƯA VÀO QUYẾT TOÁN</v>
          </cell>
        </row>
      </sheetData>
      <sheetData sheetId="7104">
        <row r="4">
          <cell r="A4" t="str">
            <v>BẢNG TÍNH TOÁN, ĐO BÓC KHỐI LƯỢNG HOÀN THÀNH ĐƯA VÀO QUYẾT TOÁN</v>
          </cell>
        </row>
      </sheetData>
      <sheetData sheetId="7105">
        <row r="4">
          <cell r="A4" t="str">
            <v>BẢNG TÍNH TOÁN, ĐO BÓC KHỐI LƯỢNG HOÀN THÀNH ĐƯA VÀO QUYẾT TOÁN</v>
          </cell>
        </row>
      </sheetData>
      <sheetData sheetId="7106">
        <row r="4">
          <cell r="A4" t="str">
            <v>BẢNG TÍNH TOÁN, ĐO BÓC KHỐI LƯỢNG HOÀN THÀNH ĐƯA VÀO QUYẾT TOÁN</v>
          </cell>
        </row>
      </sheetData>
      <sheetData sheetId="7107">
        <row r="4">
          <cell r="A4" t="str">
            <v>BẢNG TÍNH TOÁN, ĐO BÓC KHỐI LƯỢNG HOÀN THÀNH ĐƯA VÀO QUYẾT TOÁN</v>
          </cell>
        </row>
      </sheetData>
      <sheetData sheetId="7108">
        <row r="4">
          <cell r="A4" t="str">
            <v>BẢNG TÍNH TOÁN, ĐO BÓC KHỐI LƯỢNG HOÀN THÀNH ĐƯA VÀO QUYẾT TOÁN</v>
          </cell>
        </row>
      </sheetData>
      <sheetData sheetId="7109">
        <row r="4">
          <cell r="A4" t="str">
            <v>BẢNG TÍNH TOÁN, ĐO BÓC KHỐI LƯỢNG HOÀN THÀNH ĐƯA VÀO QUYẾT TOÁN</v>
          </cell>
        </row>
      </sheetData>
      <sheetData sheetId="7110">
        <row r="4">
          <cell r="A4" t="str">
            <v>BẢNG TÍNH TOÁN, ĐO BÓC KHỐI LƯỢNG HOÀN THÀNH ĐƯA VÀO QUYẾT TOÁN</v>
          </cell>
        </row>
      </sheetData>
      <sheetData sheetId="7111">
        <row r="4">
          <cell r="A4" t="str">
            <v>BẢNG TÍNH TOÁN, ĐO BÓC KHỐI LƯỢNG HOÀN THÀNH ĐƯA VÀO QUYẾT TOÁN</v>
          </cell>
        </row>
      </sheetData>
      <sheetData sheetId="7112">
        <row r="4">
          <cell r="A4" t="str">
            <v>BẢNG TÍNH TOÁN, ĐO BÓC KHỐI LƯỢNG HOÀN THÀNH ĐƯA VÀO QUYẾT TOÁN</v>
          </cell>
        </row>
      </sheetData>
      <sheetData sheetId="7113">
        <row r="4">
          <cell r="A4" t="str">
            <v>BẢNG TÍNH TOÁN, ĐO BÓC KHỐI LƯỢNG HOÀN THÀNH ĐƯA VÀO QUYẾT TOÁN</v>
          </cell>
        </row>
      </sheetData>
      <sheetData sheetId="7114">
        <row r="4">
          <cell r="A4" t="str">
            <v>BẢNG TÍNH TOÁN, ĐO BÓC KHỐI LƯỢNG HOÀN THÀNH ĐƯA VÀO QUYẾT TOÁN</v>
          </cell>
        </row>
      </sheetData>
      <sheetData sheetId="7115">
        <row r="4">
          <cell r="A4" t="str">
            <v>BẢNG TÍNH TOÁN, ĐO BÓC KHỐI LƯỢNG HOÀN THÀNH ĐƯA VÀO QUYẾT TOÁN</v>
          </cell>
        </row>
      </sheetData>
      <sheetData sheetId="7116">
        <row r="4">
          <cell r="A4" t="str">
            <v>BẢNG TÍNH TOÁN, ĐO BÓC KHỐI LƯỢNG HOÀN THÀNH ĐƯA VÀO QUYẾT TOÁN</v>
          </cell>
        </row>
      </sheetData>
      <sheetData sheetId="7117">
        <row r="4">
          <cell r="A4" t="str">
            <v>BẢNG TÍNH TOÁN, ĐO BÓC KHỐI LƯỢNG HOÀN THÀNH ĐƯA VÀO QUYẾT TOÁN</v>
          </cell>
        </row>
      </sheetData>
      <sheetData sheetId="7118">
        <row r="4">
          <cell r="A4" t="str">
            <v>BẢNG TÍNH TOÁN, ĐO BÓC KHỐI LƯỢNG HOÀN THÀNH ĐƯA VÀO QUYẾT TOÁN</v>
          </cell>
        </row>
      </sheetData>
      <sheetData sheetId="7119">
        <row r="4">
          <cell r="A4" t="str">
            <v>BẢNG TÍNH TOÁN, ĐO BÓC KHỐI LƯỢNG HOÀN THÀNH ĐƯA VÀO QUYẾT TOÁN</v>
          </cell>
        </row>
      </sheetData>
      <sheetData sheetId="7120">
        <row r="4">
          <cell r="A4" t="str">
            <v>BẢNG TÍNH TOÁN, ĐO BÓC KHỐI LƯỢNG HOÀN THÀNH ĐƯA VÀO QUYẾT TOÁN</v>
          </cell>
        </row>
      </sheetData>
      <sheetData sheetId="7121">
        <row r="4">
          <cell r="A4" t="str">
            <v>BẢNG TÍNH TOÁN, ĐO BÓC KHỐI LƯỢNG HOÀN THÀNH ĐƯA VÀO QUYẾT TOÁN</v>
          </cell>
        </row>
      </sheetData>
      <sheetData sheetId="7122">
        <row r="4">
          <cell r="A4" t="str">
            <v>BẢNG TÍNH TOÁN, ĐO BÓC KHỐI LƯỢNG HOÀN THÀNH ĐƯA VÀO QUYẾT TOÁN</v>
          </cell>
        </row>
      </sheetData>
      <sheetData sheetId="7123">
        <row r="4">
          <cell r="A4" t="str">
            <v>BẢNG TÍNH TOÁN, ĐO BÓC KHỐI LƯỢNG HOÀN THÀNH ĐƯA VÀO QUYẾT TOÁN</v>
          </cell>
        </row>
      </sheetData>
      <sheetData sheetId="7124">
        <row r="4">
          <cell r="A4" t="str">
            <v>BẢNG TÍNH TOÁN, ĐO BÓC KHỐI LƯỢNG HOÀN THÀNH ĐƯA VÀO QUYẾT TOÁN</v>
          </cell>
        </row>
      </sheetData>
      <sheetData sheetId="7125">
        <row r="4">
          <cell r="A4" t="str">
            <v>BẢNG TÍNH TOÁN, ĐO BÓC KHỐI LƯỢNG HOÀN THÀNH ĐƯA VÀO QUYẾT TOÁN</v>
          </cell>
        </row>
      </sheetData>
      <sheetData sheetId="7126">
        <row r="4">
          <cell r="A4" t="str">
            <v>BẢNG TÍNH TOÁN, ĐO BÓC KHỐI LƯỢNG HOÀN THÀNH ĐƯA VÀO QUYẾT TOÁN</v>
          </cell>
        </row>
      </sheetData>
      <sheetData sheetId="7127">
        <row r="4">
          <cell r="A4" t="str">
            <v>BẢNG TÍNH TOÁN, ĐO BÓC KHỐI LƯỢNG HOÀN THÀNH ĐƯA VÀO QUYẾT TOÁN</v>
          </cell>
        </row>
      </sheetData>
      <sheetData sheetId="7128">
        <row r="4">
          <cell r="A4" t="str">
            <v>BẢNG TÍNH TOÁN, ĐO BÓC KHỐI LƯỢNG HOÀN THÀNH ĐƯA VÀO QUYẾT TOÁN</v>
          </cell>
        </row>
      </sheetData>
      <sheetData sheetId="7129">
        <row r="4">
          <cell r="A4" t="str">
            <v>BẢNG TÍNH TOÁN, ĐO BÓC KHỐI LƯỢNG HOÀN THÀNH ĐƯA VÀO QUYẾT TOÁN</v>
          </cell>
        </row>
      </sheetData>
      <sheetData sheetId="7130">
        <row r="4">
          <cell r="A4" t="str">
            <v>BẢNG TÍNH TOÁN, ĐO BÓC KHỐI LƯỢNG HOÀN THÀNH ĐƯA VÀO QUYẾT TOÁN</v>
          </cell>
        </row>
      </sheetData>
      <sheetData sheetId="7131">
        <row r="4">
          <cell r="A4" t="str">
            <v>BẢNG TÍNH TOÁN, ĐO BÓC KHỐI LƯỢNG HOÀN THÀNH ĐƯA VÀO QUYẾT TOÁN</v>
          </cell>
        </row>
      </sheetData>
      <sheetData sheetId="7132">
        <row r="4">
          <cell r="A4" t="str">
            <v>BẢNG TÍNH TOÁN, ĐO BÓC KHỐI LƯỢNG HOÀN THÀNH ĐƯA VÀO QUYẾT TOÁN</v>
          </cell>
        </row>
      </sheetData>
      <sheetData sheetId="7133">
        <row r="4">
          <cell r="A4" t="str">
            <v>BẢNG TÍNH TOÁN, ĐO BÓC KHỐI LƯỢNG HOÀN THÀNH ĐƯA VÀO QUYẾT TOÁN</v>
          </cell>
        </row>
      </sheetData>
      <sheetData sheetId="7134">
        <row r="4">
          <cell r="A4" t="str">
            <v>BẢNG TÍNH TOÁN, ĐO BÓC KHỐI LƯỢNG HOÀN THÀNH ĐƯA VÀO QUYẾT TOÁN</v>
          </cell>
        </row>
      </sheetData>
      <sheetData sheetId="7135">
        <row r="4">
          <cell r="A4" t="str">
            <v>BẢNG TÍNH TOÁN, ĐO BÓC KHỐI LƯỢNG HOÀN THÀNH ĐƯA VÀO QUYẾT TOÁN</v>
          </cell>
        </row>
      </sheetData>
      <sheetData sheetId="7136">
        <row r="4">
          <cell r="A4" t="str">
            <v>BẢNG TÍNH TOÁN, ĐO BÓC KHỐI LƯỢNG HOÀN THÀNH ĐƯA VÀO QUYẾT TOÁN</v>
          </cell>
        </row>
      </sheetData>
      <sheetData sheetId="7137">
        <row r="4">
          <cell r="A4" t="str">
            <v>BẢNG TÍNH TOÁN, ĐO BÓC KHỐI LƯỢNG HOÀN THÀNH ĐƯA VÀO QUYẾT TOÁN</v>
          </cell>
        </row>
      </sheetData>
      <sheetData sheetId="7138">
        <row r="4">
          <cell r="A4" t="str">
            <v>BẢNG TÍNH TOÁN, ĐO BÓC KHỐI LƯỢNG HOÀN THÀNH ĐƯA VÀO QUYẾT TOÁN</v>
          </cell>
        </row>
      </sheetData>
      <sheetData sheetId="7139">
        <row r="4">
          <cell r="A4" t="str">
            <v>BẢNG TÍNH TOÁN, ĐO BÓC KHỐI LƯỢNG HOÀN THÀNH ĐƯA VÀO QUYẾT TOÁN</v>
          </cell>
        </row>
      </sheetData>
      <sheetData sheetId="7140">
        <row r="4">
          <cell r="A4" t="str">
            <v>BẢNG TÍNH TOÁN, ĐO BÓC KHỐI LƯỢNG HOÀN THÀNH ĐƯA VÀO QUYẾT TOÁN</v>
          </cell>
        </row>
      </sheetData>
      <sheetData sheetId="7141">
        <row r="4">
          <cell r="A4" t="str">
            <v>BẢNG TÍNH TOÁN, ĐO BÓC KHỐI LƯỢNG HOÀN THÀNH ĐƯA VÀO QUYẾT TOÁN</v>
          </cell>
        </row>
      </sheetData>
      <sheetData sheetId="7142">
        <row r="4">
          <cell r="A4" t="str">
            <v>BẢNG TÍNH TOÁN, ĐO BÓC KHỐI LƯỢNG HOÀN THÀNH ĐƯA VÀO QUYẾT TOÁN</v>
          </cell>
        </row>
      </sheetData>
      <sheetData sheetId="7143">
        <row r="4">
          <cell r="A4" t="str">
            <v>BẢNG TÍNH TOÁN, ĐO BÓC KHỐI LƯỢNG HOÀN THÀNH ĐƯA VÀO QUYẾT TOÁN</v>
          </cell>
        </row>
      </sheetData>
      <sheetData sheetId="7144">
        <row r="4">
          <cell r="A4" t="str">
            <v>BẢNG TÍNH TOÁN, ĐO BÓC KHỐI LƯỢNG HOÀN THÀNH ĐƯA VÀO QUYẾT TOÁN</v>
          </cell>
        </row>
      </sheetData>
      <sheetData sheetId="7145">
        <row r="4">
          <cell r="A4" t="str">
            <v>BẢNG TÍNH TOÁN, ĐO BÓC KHỐI LƯỢNG HOÀN THÀNH ĐƯA VÀO QUYẾT TOÁN</v>
          </cell>
        </row>
      </sheetData>
      <sheetData sheetId="7146">
        <row r="4">
          <cell r="A4" t="str">
            <v>BẢNG TÍNH TOÁN, ĐO BÓC KHỐI LƯỢNG HOÀN THÀNH ĐƯA VÀO QUYẾT TOÁN</v>
          </cell>
        </row>
      </sheetData>
      <sheetData sheetId="7147">
        <row r="4">
          <cell r="A4" t="str">
            <v>BẢNG TÍNH TOÁN, ĐO BÓC KHỐI LƯỢNG HOÀN THÀNH ĐƯA VÀO QUYẾT TOÁN</v>
          </cell>
        </row>
      </sheetData>
      <sheetData sheetId="7148">
        <row r="4">
          <cell r="A4" t="str">
            <v>BẢNG TÍNH TOÁN, ĐO BÓC KHỐI LƯỢNG HOÀN THÀNH ĐƯA VÀO QUYẾT TOÁN</v>
          </cell>
        </row>
      </sheetData>
      <sheetData sheetId="7149">
        <row r="4">
          <cell r="A4" t="str">
            <v>BẢNG TÍNH TOÁN, ĐO BÓC KHỐI LƯỢNG HOÀN THÀNH ĐƯA VÀO QUYẾT TOÁN</v>
          </cell>
        </row>
      </sheetData>
      <sheetData sheetId="7150">
        <row r="4">
          <cell r="A4" t="str">
            <v>BẢNG TÍNH TOÁN, ĐO BÓC KHỐI LƯỢNG HOÀN THÀNH ĐƯA VÀO QUYẾT TOÁN</v>
          </cell>
        </row>
      </sheetData>
      <sheetData sheetId="7151">
        <row r="4">
          <cell r="A4" t="str">
            <v>BẢNG TÍNH TOÁN, ĐO BÓC KHỐI LƯỢNG HOÀN THÀNH ĐƯA VÀO QUYẾT TOÁN</v>
          </cell>
        </row>
      </sheetData>
      <sheetData sheetId="7152">
        <row r="4">
          <cell r="A4" t="str">
            <v>BẢNG TÍNH TOÁN, ĐO BÓC KHỐI LƯỢNG HOÀN THÀNH ĐƯA VÀO QUYẾT TOÁN</v>
          </cell>
        </row>
      </sheetData>
      <sheetData sheetId="7153">
        <row r="4">
          <cell r="A4" t="str">
            <v>BẢNG TÍNH TOÁN, ĐO BÓC KHỐI LƯỢNG HOÀN THÀNH ĐƯA VÀO QUYẾT TOÁN</v>
          </cell>
        </row>
      </sheetData>
      <sheetData sheetId="7154">
        <row r="4">
          <cell r="A4" t="str">
            <v>BẢNG TÍNH TOÁN, ĐO BÓC KHỐI LƯỢNG HOÀN THÀNH ĐƯA VÀO QUYẾT TOÁN</v>
          </cell>
        </row>
      </sheetData>
      <sheetData sheetId="7155">
        <row r="4">
          <cell r="A4" t="str">
            <v>BẢNG TÍNH TOÁN, ĐO BÓC KHỐI LƯỢNG HOÀN THÀNH ĐƯA VÀO QUYẾT TOÁN</v>
          </cell>
        </row>
      </sheetData>
      <sheetData sheetId="7156">
        <row r="4">
          <cell r="A4" t="str">
            <v>BẢNG TÍNH TOÁN, ĐO BÓC KHỐI LƯỢNG HOÀN THÀNH ĐƯA VÀO QUYẾT TOÁN</v>
          </cell>
        </row>
      </sheetData>
      <sheetData sheetId="7157">
        <row r="4">
          <cell r="A4" t="str">
            <v>BẢNG TÍNH TOÁN, ĐO BÓC KHỐI LƯỢNG HOÀN THÀNH ĐƯA VÀO QUYẾT TOÁN</v>
          </cell>
        </row>
      </sheetData>
      <sheetData sheetId="7158">
        <row r="4">
          <cell r="A4" t="str">
            <v>BẢNG TÍNH TOÁN, ĐO BÓC KHỐI LƯỢNG HOÀN THÀNH ĐƯA VÀO QUYẾT TOÁN</v>
          </cell>
        </row>
      </sheetData>
      <sheetData sheetId="7159">
        <row r="4">
          <cell r="A4" t="str">
            <v>BẢNG TÍNH TOÁN, ĐO BÓC KHỐI LƯỢNG HOÀN THÀNH ĐƯA VÀO QUYẾT TOÁN</v>
          </cell>
        </row>
      </sheetData>
      <sheetData sheetId="7160">
        <row r="4">
          <cell r="A4" t="str">
            <v>BẢNG TÍNH TOÁN, ĐO BÓC KHỐI LƯỢNG HOÀN THÀNH ĐƯA VÀO QUYẾT TOÁN</v>
          </cell>
        </row>
      </sheetData>
      <sheetData sheetId="7161">
        <row r="4">
          <cell r="A4" t="str">
            <v>BẢNG TÍNH TOÁN, ĐO BÓC KHỐI LƯỢNG HOÀN THÀNH ĐƯA VÀO QUYẾT TOÁN</v>
          </cell>
        </row>
      </sheetData>
      <sheetData sheetId="7162">
        <row r="4">
          <cell r="A4" t="str">
            <v>BẢNG TÍNH TOÁN, ĐO BÓC KHỐI LƯỢNG HOÀN THÀNH ĐƯA VÀO QUYẾT TOÁN</v>
          </cell>
        </row>
      </sheetData>
      <sheetData sheetId="7163">
        <row r="4">
          <cell r="A4" t="str">
            <v>BẢNG TÍNH TOÁN, ĐO BÓC KHỐI LƯỢNG HOÀN THÀNH ĐƯA VÀO QUYẾT TOÁN</v>
          </cell>
        </row>
      </sheetData>
      <sheetData sheetId="7164">
        <row r="4">
          <cell r="A4" t="str">
            <v>BẢNG TÍNH TOÁN, ĐO BÓC KHỐI LƯỢNG HOÀN THÀNH ĐƯA VÀO QUYẾT TOÁN</v>
          </cell>
        </row>
      </sheetData>
      <sheetData sheetId="7165">
        <row r="4">
          <cell r="A4" t="str">
            <v>BẢNG TÍNH TOÁN, ĐO BÓC KHỐI LƯỢNG HOÀN THÀNH ĐƯA VÀO QUYẾT TOÁN</v>
          </cell>
        </row>
      </sheetData>
      <sheetData sheetId="7166">
        <row r="4">
          <cell r="A4" t="str">
            <v>BẢNG TÍNH TOÁN, ĐO BÓC KHỐI LƯỢNG HOÀN THÀNH ĐƯA VÀO QUYẾT TOÁN</v>
          </cell>
        </row>
      </sheetData>
      <sheetData sheetId="7167">
        <row r="4">
          <cell r="A4" t="str">
            <v>BẢNG TÍNH TOÁN, ĐO BÓC KHỐI LƯỢNG HOÀN THÀNH ĐƯA VÀO QUYẾT TOÁN</v>
          </cell>
        </row>
      </sheetData>
      <sheetData sheetId="7168">
        <row r="4">
          <cell r="A4" t="str">
            <v>BẢNG TÍNH TOÁN, ĐO BÓC KHỐI LƯỢNG HOÀN THÀNH ĐƯA VÀO QUYẾT TOÁN</v>
          </cell>
        </row>
      </sheetData>
      <sheetData sheetId="7169">
        <row r="4">
          <cell r="A4" t="str">
            <v>BẢNG TÍNH TOÁN, ĐO BÓC KHỐI LƯỢNG HOÀN THÀNH ĐƯA VÀO QUYẾT TOÁN</v>
          </cell>
        </row>
      </sheetData>
      <sheetData sheetId="7170">
        <row r="4">
          <cell r="A4" t="str">
            <v>BẢNG TÍNH TOÁN, ĐO BÓC KHỐI LƯỢNG HOÀN THÀNH ĐƯA VÀO QUYẾT TOÁN</v>
          </cell>
        </row>
      </sheetData>
      <sheetData sheetId="7171">
        <row r="4">
          <cell r="A4" t="str">
            <v>BẢNG TÍNH TOÁN, ĐO BÓC KHỐI LƯỢNG HOÀN THÀNH ĐƯA VÀO QUYẾT TOÁN</v>
          </cell>
        </row>
      </sheetData>
      <sheetData sheetId="7172">
        <row r="4">
          <cell r="A4" t="str">
            <v>BẢNG TÍNH TOÁN, ĐO BÓC KHỐI LƯỢNG HOÀN THÀNH ĐƯA VÀO QUYẾT TOÁN</v>
          </cell>
        </row>
      </sheetData>
      <sheetData sheetId="7173">
        <row r="4">
          <cell r="A4" t="str">
            <v>BẢNG TÍNH TOÁN, ĐO BÓC KHỐI LƯỢNG HOÀN THÀNH ĐƯA VÀO QUYẾT TOÁN</v>
          </cell>
        </row>
      </sheetData>
      <sheetData sheetId="7174">
        <row r="4">
          <cell r="A4" t="str">
            <v>BẢNG TÍNH TOÁN, ĐO BÓC KHỐI LƯỢNG HOÀN THÀNH ĐƯA VÀO QUYẾT TOÁN</v>
          </cell>
        </row>
      </sheetData>
      <sheetData sheetId="7175">
        <row r="4">
          <cell r="A4" t="str">
            <v>BẢNG TÍNH TOÁN, ĐO BÓC KHỐI LƯỢNG HOÀN THÀNH ĐƯA VÀO QUYẾT TOÁN</v>
          </cell>
        </row>
      </sheetData>
      <sheetData sheetId="7176">
        <row r="4">
          <cell r="A4" t="str">
            <v>BẢNG TÍNH TOÁN, ĐO BÓC KHỐI LƯỢNG HOÀN THÀNH ĐƯA VÀO QUYẾT TOÁN</v>
          </cell>
        </row>
      </sheetData>
      <sheetData sheetId="7177">
        <row r="4">
          <cell r="A4" t="str">
            <v>BẢNG TÍNH TOÁN, ĐO BÓC KHỐI LƯỢNG HOÀN THÀNH ĐƯA VÀO QUYẾT TOÁN</v>
          </cell>
        </row>
      </sheetData>
      <sheetData sheetId="7178">
        <row r="4">
          <cell r="A4" t="str">
            <v>BẢNG TÍNH TOÁN, ĐO BÓC KHỐI LƯỢNG HOÀN THÀNH ĐƯA VÀO QUYẾT TOÁN</v>
          </cell>
        </row>
      </sheetData>
      <sheetData sheetId="7179">
        <row r="4">
          <cell r="A4" t="str">
            <v>BẢNG TÍNH TOÁN, ĐO BÓC KHỐI LƯỢNG HOÀN THÀNH ĐƯA VÀO QUYẾT TOÁN</v>
          </cell>
        </row>
      </sheetData>
      <sheetData sheetId="7180">
        <row r="4">
          <cell r="A4" t="str">
            <v>BẢNG TÍNH TOÁN, ĐO BÓC KHỐI LƯỢNG HOÀN THÀNH ĐƯA VÀO QUYẾT TOÁN</v>
          </cell>
        </row>
      </sheetData>
      <sheetData sheetId="7181">
        <row r="4">
          <cell r="A4" t="str">
            <v>BẢNG TÍNH TOÁN, ĐO BÓC KHỐI LƯỢNG HOÀN THÀNH ĐƯA VÀO QUYẾT TOÁN</v>
          </cell>
        </row>
      </sheetData>
      <sheetData sheetId="7182">
        <row r="4">
          <cell r="A4" t="str">
            <v>BẢNG TÍNH TOÁN, ĐO BÓC KHỐI LƯỢNG HOÀN THÀNH ĐƯA VÀO QUYẾT TOÁN</v>
          </cell>
        </row>
      </sheetData>
      <sheetData sheetId="7183">
        <row r="4">
          <cell r="A4" t="str">
            <v>BẢNG TÍNH TOÁN, ĐO BÓC KHỐI LƯỢNG HOÀN THÀNH ĐƯA VÀO QUYẾT TOÁN</v>
          </cell>
        </row>
      </sheetData>
      <sheetData sheetId="7184">
        <row r="4">
          <cell r="A4" t="str">
            <v>BẢNG TÍNH TOÁN, ĐO BÓC KHỐI LƯỢNG HOÀN THÀNH ĐƯA VÀO QUYẾT TOÁN</v>
          </cell>
        </row>
      </sheetData>
      <sheetData sheetId="7185">
        <row r="4">
          <cell r="A4" t="str">
            <v>BẢNG TÍNH TOÁN, ĐO BÓC KHỐI LƯỢNG HOÀN THÀNH ĐƯA VÀO QUYẾT TOÁN</v>
          </cell>
        </row>
      </sheetData>
      <sheetData sheetId="7186">
        <row r="4">
          <cell r="A4" t="str">
            <v>BẢNG TÍNH TOÁN, ĐO BÓC KHỐI LƯỢNG HOÀN THÀNH ĐƯA VÀO QUYẾT TOÁN</v>
          </cell>
        </row>
      </sheetData>
      <sheetData sheetId="7187">
        <row r="4">
          <cell r="A4" t="str">
            <v>BẢNG TÍNH TOÁN, ĐO BÓC KHỐI LƯỢNG HOÀN THÀNH ĐƯA VÀO QUYẾT TOÁN</v>
          </cell>
        </row>
      </sheetData>
      <sheetData sheetId="7188">
        <row r="4">
          <cell r="A4" t="str">
            <v>BẢNG TÍNH TOÁN, ĐO BÓC KHỐI LƯỢNG HOÀN THÀNH ĐƯA VÀO QUYẾT TOÁN</v>
          </cell>
        </row>
      </sheetData>
      <sheetData sheetId="7189">
        <row r="4">
          <cell r="A4" t="str">
            <v>BẢNG TÍNH TOÁN, ĐO BÓC KHỐI LƯỢNG HOÀN THÀNH ĐƯA VÀO QUYẾT TOÁN</v>
          </cell>
        </row>
      </sheetData>
      <sheetData sheetId="7190">
        <row r="4">
          <cell r="A4" t="str">
            <v>BẢNG TÍNH TOÁN, ĐO BÓC KHỐI LƯỢNG HOÀN THÀNH ĐƯA VÀO QUYẾT TOÁN</v>
          </cell>
        </row>
      </sheetData>
      <sheetData sheetId="7191">
        <row r="4">
          <cell r="A4" t="str">
            <v>BẢNG TÍNH TOÁN, ĐO BÓC KHỐI LƯỢNG HOÀN THÀNH ĐƯA VÀO QUYẾT TOÁN</v>
          </cell>
        </row>
      </sheetData>
      <sheetData sheetId="7192">
        <row r="4">
          <cell r="A4" t="str">
            <v>BẢNG TÍNH TOÁN, ĐO BÓC KHỐI LƯỢNG HOÀN THÀNH ĐƯA VÀO QUYẾT TOÁN</v>
          </cell>
        </row>
      </sheetData>
      <sheetData sheetId="7193">
        <row r="4">
          <cell r="A4" t="str">
            <v>BẢNG TÍNH TOÁN, ĐO BÓC KHỐI LƯỢNG HOÀN THÀNH ĐƯA VÀO QUYẾT TOÁN</v>
          </cell>
        </row>
      </sheetData>
      <sheetData sheetId="7194">
        <row r="4">
          <cell r="A4" t="str">
            <v>BẢNG TÍNH TOÁN, ĐO BÓC KHỐI LƯỢNG HOÀN THÀNH ĐƯA VÀO QUYẾT TOÁN</v>
          </cell>
        </row>
      </sheetData>
      <sheetData sheetId="7195">
        <row r="4">
          <cell r="A4" t="str">
            <v>BẢNG TÍNH TOÁN, ĐO BÓC KHỐI LƯỢNG HOÀN THÀNH ĐƯA VÀO QUYẾT TOÁN</v>
          </cell>
        </row>
      </sheetData>
      <sheetData sheetId="7196">
        <row r="4">
          <cell r="A4" t="str">
            <v>BẢNG TÍNH TOÁN, ĐO BÓC KHỐI LƯỢNG HOÀN THÀNH ĐƯA VÀO QUYẾT TOÁN</v>
          </cell>
        </row>
      </sheetData>
      <sheetData sheetId="7197">
        <row r="4">
          <cell r="A4" t="str">
            <v>BẢNG TÍNH TOÁN, ĐO BÓC KHỐI LƯỢNG HOÀN THÀNH ĐƯA VÀO QUYẾT TOÁN</v>
          </cell>
        </row>
      </sheetData>
      <sheetData sheetId="7198">
        <row r="4">
          <cell r="A4" t="str">
            <v>BẢNG TÍNH TOÁN, ĐO BÓC KHỐI LƯỢNG HOÀN THÀNH ĐƯA VÀO QUYẾT TOÁN</v>
          </cell>
        </row>
      </sheetData>
      <sheetData sheetId="7199">
        <row r="4">
          <cell r="A4" t="str">
            <v>BẢNG TÍNH TOÁN, ĐO BÓC KHỐI LƯỢNG HOÀN THÀNH ĐƯA VÀO QUYẾT TOÁN</v>
          </cell>
        </row>
      </sheetData>
      <sheetData sheetId="7200">
        <row r="4">
          <cell r="A4" t="str">
            <v>BẢNG TÍNH TOÁN, ĐO BÓC KHỐI LƯỢNG HOÀN THÀNH ĐƯA VÀO QUYẾT TOÁN</v>
          </cell>
        </row>
      </sheetData>
      <sheetData sheetId="7201">
        <row r="4">
          <cell r="A4" t="str">
            <v>BẢNG TÍNH TOÁN, ĐO BÓC KHỐI LƯỢNG HOÀN THÀNH ĐƯA VÀO QUYẾT TOÁN</v>
          </cell>
        </row>
      </sheetData>
      <sheetData sheetId="7202">
        <row r="4">
          <cell r="A4" t="str">
            <v>BẢNG TÍNH TOÁN, ĐO BÓC KHỐI LƯỢNG HOÀN THÀNH ĐƯA VÀO QUYẾT TOÁN</v>
          </cell>
        </row>
      </sheetData>
      <sheetData sheetId="7203">
        <row r="4">
          <cell r="A4" t="str">
            <v>BẢNG TÍNH TOÁN, ĐO BÓC KHỐI LƯỢNG HOÀN THÀNH ĐƯA VÀO QUYẾT TOÁN</v>
          </cell>
        </row>
      </sheetData>
      <sheetData sheetId="7204">
        <row r="4">
          <cell r="A4" t="str">
            <v>BẢNG TÍNH TOÁN, ĐO BÓC KHỐI LƯỢNG HOÀN THÀNH ĐƯA VÀO QUYẾT TOÁN</v>
          </cell>
        </row>
      </sheetData>
      <sheetData sheetId="7205">
        <row r="4">
          <cell r="A4" t="str">
            <v>BẢNG TÍNH TOÁN, ĐO BÓC KHỐI LƯỢNG HOÀN THÀNH ĐƯA VÀO QUYẾT TOÁN</v>
          </cell>
        </row>
      </sheetData>
      <sheetData sheetId="7206">
        <row r="4">
          <cell r="A4" t="str">
            <v>BẢNG TÍNH TOÁN, ĐO BÓC KHỐI LƯỢNG HOÀN THÀNH ĐƯA VÀO QUYẾT TOÁN</v>
          </cell>
        </row>
      </sheetData>
      <sheetData sheetId="7207">
        <row r="4">
          <cell r="A4" t="str">
            <v>BẢNG TÍNH TOÁN, ĐO BÓC KHỐI LƯỢNG HOÀN THÀNH ĐƯA VÀO QUYẾT TOÁN</v>
          </cell>
        </row>
      </sheetData>
      <sheetData sheetId="7208">
        <row r="4">
          <cell r="A4" t="str">
            <v>BẢNG TÍNH TOÁN, ĐO BÓC KHỐI LƯỢNG HOÀN THÀNH ĐƯA VÀO QUYẾT TOÁN</v>
          </cell>
        </row>
      </sheetData>
      <sheetData sheetId="7209">
        <row r="4">
          <cell r="A4" t="str">
            <v>BẢNG TÍNH TOÁN, ĐO BÓC KHỐI LƯỢNG HOÀN THÀNH ĐƯA VÀO QUYẾT TOÁN</v>
          </cell>
        </row>
      </sheetData>
      <sheetData sheetId="7210">
        <row r="4">
          <cell r="A4" t="str">
            <v>BẢNG TÍNH TOÁN, ĐO BÓC KHỐI LƯỢNG HOÀN THÀNH ĐƯA VÀO QUYẾT TOÁN</v>
          </cell>
        </row>
      </sheetData>
      <sheetData sheetId="7211">
        <row r="4">
          <cell r="A4" t="str">
            <v>BẢNG TÍNH TOÁN, ĐO BÓC KHỐI LƯỢNG HOÀN THÀNH ĐƯA VÀO QUYẾT TOÁN</v>
          </cell>
        </row>
      </sheetData>
      <sheetData sheetId="7212">
        <row r="4">
          <cell r="A4" t="str">
            <v>BẢNG TÍNH TOÁN, ĐO BÓC KHỐI LƯỢNG HOÀN THÀNH ĐƯA VÀO QUYẾT TOÁN</v>
          </cell>
        </row>
      </sheetData>
      <sheetData sheetId="7213">
        <row r="4">
          <cell r="A4" t="str">
            <v>BẢNG TÍNH TOÁN, ĐO BÓC KHỐI LƯỢNG HOÀN THÀNH ĐƯA VÀO QUYẾT TOÁN</v>
          </cell>
        </row>
      </sheetData>
      <sheetData sheetId="7214">
        <row r="4">
          <cell r="A4" t="str">
            <v>BẢNG TÍNH TOÁN, ĐO BÓC KHỐI LƯỢNG HOÀN THÀNH ĐƯA VÀO QUYẾT TOÁN</v>
          </cell>
        </row>
      </sheetData>
      <sheetData sheetId="7215">
        <row r="4">
          <cell r="A4" t="str">
            <v>BẢNG TÍNH TOÁN, ĐO BÓC KHỐI LƯỢNG HOÀN THÀNH ĐƯA VÀO QUYẾT TOÁN</v>
          </cell>
        </row>
      </sheetData>
      <sheetData sheetId="7216">
        <row r="4">
          <cell r="A4" t="str">
            <v>BẢNG TÍNH TOÁN, ĐO BÓC KHỐI LƯỢNG HOÀN THÀNH ĐƯA VÀO QUYẾT TOÁN</v>
          </cell>
        </row>
      </sheetData>
      <sheetData sheetId="7217">
        <row r="4">
          <cell r="A4" t="str">
            <v>BẢNG TÍNH TOÁN, ĐO BÓC KHỐI LƯỢNG HOÀN THÀNH ĐƯA VÀO QUYẾT TOÁN</v>
          </cell>
        </row>
      </sheetData>
      <sheetData sheetId="7218">
        <row r="4">
          <cell r="A4" t="str">
            <v>BẢNG TÍNH TOÁN, ĐO BÓC KHỐI LƯỢNG HOÀN THÀNH ĐƯA VÀO QUYẾT TOÁN</v>
          </cell>
        </row>
      </sheetData>
      <sheetData sheetId="7219">
        <row r="4">
          <cell r="A4" t="str">
            <v>BẢNG TÍNH TOÁN, ĐO BÓC KHỐI LƯỢNG HOÀN THÀNH ĐƯA VÀO QUYẾT TOÁN</v>
          </cell>
        </row>
      </sheetData>
      <sheetData sheetId="7220">
        <row r="4">
          <cell r="A4" t="str">
            <v>BẢNG TÍNH TOÁN, ĐO BÓC KHỐI LƯỢNG HOÀN THÀNH ĐƯA VÀO QUYẾT TOÁN</v>
          </cell>
        </row>
      </sheetData>
      <sheetData sheetId="7221">
        <row r="4">
          <cell r="A4" t="str">
            <v>BẢNG TÍNH TOÁN, ĐO BÓC KHỐI LƯỢNG HOÀN THÀNH ĐƯA VÀO QUYẾT TOÁN</v>
          </cell>
        </row>
      </sheetData>
      <sheetData sheetId="7222">
        <row r="4">
          <cell r="A4" t="str">
            <v>BẢNG TÍNH TOÁN, ĐO BÓC KHỐI LƯỢNG HOÀN THÀNH ĐƯA VÀO QUYẾT TOÁN</v>
          </cell>
        </row>
      </sheetData>
      <sheetData sheetId="7223">
        <row r="4">
          <cell r="A4" t="str">
            <v>BẢNG TÍNH TOÁN, ĐO BÓC KHỐI LƯỢNG HOÀN THÀNH ĐƯA VÀO QUYẾT TOÁN</v>
          </cell>
        </row>
      </sheetData>
      <sheetData sheetId="7224">
        <row r="4">
          <cell r="A4" t="str">
            <v>BẢNG TÍNH TOÁN, ĐO BÓC KHỐI LƯỢNG HOÀN THÀNH ĐƯA VÀO QUYẾT TOÁN</v>
          </cell>
        </row>
      </sheetData>
      <sheetData sheetId="7225">
        <row r="4">
          <cell r="A4" t="str">
            <v>BẢNG TÍNH TOÁN, ĐO BÓC KHỐI LƯỢNG HOÀN THÀNH ĐƯA VÀO QUYẾT TOÁN</v>
          </cell>
        </row>
      </sheetData>
      <sheetData sheetId="7226">
        <row r="4">
          <cell r="A4" t="str">
            <v>BẢNG TÍNH TOÁN, ĐO BÓC KHỐI LƯỢNG HOÀN THÀNH ĐƯA VÀO QUYẾT TOÁN</v>
          </cell>
        </row>
      </sheetData>
      <sheetData sheetId="7227">
        <row r="4">
          <cell r="A4" t="str">
            <v>BẢNG TÍNH TOÁN, ĐO BÓC KHỐI LƯỢNG HOÀN THÀNH ĐƯA VÀO QUYẾT TOÁN</v>
          </cell>
        </row>
      </sheetData>
      <sheetData sheetId="7228">
        <row r="4">
          <cell r="A4" t="str">
            <v>BẢNG TÍNH TOÁN, ĐO BÓC KHỐI LƯỢNG HOÀN THÀNH ĐƯA VÀO QUYẾT TOÁN</v>
          </cell>
        </row>
      </sheetData>
      <sheetData sheetId="7229">
        <row r="4">
          <cell r="A4" t="str">
            <v>BẢNG TÍNH TOÁN, ĐO BÓC KHỐI LƯỢNG HOÀN THÀNH ĐƯA VÀO QUYẾT TOÁN</v>
          </cell>
        </row>
      </sheetData>
      <sheetData sheetId="7230">
        <row r="4">
          <cell r="A4" t="str">
            <v>BẢNG TÍNH TOÁN, ĐO BÓC KHỐI LƯỢNG HOÀN THÀNH ĐƯA VÀO QUYẾT TOÁN</v>
          </cell>
        </row>
      </sheetData>
      <sheetData sheetId="7231">
        <row r="4">
          <cell r="A4" t="str">
            <v>BẢNG TÍNH TOÁN, ĐO BÓC KHỐI LƯỢNG HOÀN THÀNH ĐƯA VÀO QUYẾT TOÁN</v>
          </cell>
        </row>
      </sheetData>
      <sheetData sheetId="7232">
        <row r="4">
          <cell r="A4" t="str">
            <v>BẢNG TÍNH TOÁN, ĐO BÓC KHỐI LƯỢNG HOÀN THÀNH ĐƯA VÀO QUYẾT TOÁN</v>
          </cell>
        </row>
      </sheetData>
      <sheetData sheetId="7233">
        <row r="4">
          <cell r="A4" t="str">
            <v>BẢNG TÍNH TOÁN, ĐO BÓC KHỐI LƯỢNG HOÀN THÀNH ĐƯA VÀO QUYẾT TOÁN</v>
          </cell>
        </row>
      </sheetData>
      <sheetData sheetId="7234">
        <row r="4">
          <cell r="A4" t="str">
            <v>BẢNG TÍNH TOÁN, ĐO BÓC KHỐI LƯỢNG HOÀN THÀNH ĐƯA VÀO QUYẾT TOÁN</v>
          </cell>
        </row>
      </sheetData>
      <sheetData sheetId="7235">
        <row r="4">
          <cell r="A4" t="str">
            <v>BẢNG TÍNH TOÁN, ĐO BÓC KHỐI LƯỢNG HOÀN THÀNH ĐƯA VÀO QUYẾT TOÁN</v>
          </cell>
        </row>
      </sheetData>
      <sheetData sheetId="7236">
        <row r="4">
          <cell r="A4" t="str">
            <v>BẢNG TÍNH TOÁN, ĐO BÓC KHỐI LƯỢNG HOÀN THÀNH ĐƯA VÀO QUYẾT TOÁN</v>
          </cell>
        </row>
      </sheetData>
      <sheetData sheetId="7237">
        <row r="4">
          <cell r="A4" t="str">
            <v>BẢNG TÍNH TOÁN, ĐO BÓC KHỐI LƯỢNG HOÀN THÀNH ĐƯA VÀO QUYẾT TOÁN</v>
          </cell>
        </row>
      </sheetData>
      <sheetData sheetId="7238">
        <row r="4">
          <cell r="A4" t="str">
            <v>BẢNG TÍNH TOÁN, ĐO BÓC KHỐI LƯỢNG HOÀN THÀNH ĐƯA VÀO QUYẾT TOÁN</v>
          </cell>
        </row>
      </sheetData>
      <sheetData sheetId="7239">
        <row r="4">
          <cell r="A4" t="str">
            <v>BẢNG TÍNH TOÁN, ĐO BÓC KHỐI LƯỢNG HOÀN THÀNH ĐƯA VÀO QUYẾT TOÁN</v>
          </cell>
        </row>
      </sheetData>
      <sheetData sheetId="7240">
        <row r="4">
          <cell r="A4" t="str">
            <v>BẢNG TÍNH TOÁN, ĐO BÓC KHỐI LƯỢNG HOÀN THÀNH ĐƯA VÀO QUYẾT TOÁN</v>
          </cell>
        </row>
      </sheetData>
      <sheetData sheetId="7241">
        <row r="4">
          <cell r="A4" t="str">
            <v>BẢNG TÍNH TOÁN, ĐO BÓC KHỐI LƯỢNG HOÀN THÀNH ĐƯA VÀO QUYẾT TOÁN</v>
          </cell>
        </row>
      </sheetData>
      <sheetData sheetId="7242">
        <row r="4">
          <cell r="A4" t="str">
            <v>BẢNG TÍNH TOÁN, ĐO BÓC KHỐI LƯỢNG HOÀN THÀNH ĐƯA VÀO QUYẾT TOÁN</v>
          </cell>
        </row>
      </sheetData>
      <sheetData sheetId="7243">
        <row r="4">
          <cell r="A4" t="str">
            <v>BẢNG TÍNH TOÁN, ĐO BÓC KHỐI LƯỢNG HOÀN THÀNH ĐƯA VÀO QUYẾT TOÁN</v>
          </cell>
        </row>
      </sheetData>
      <sheetData sheetId="7244">
        <row r="4">
          <cell r="A4" t="str">
            <v>BẢNG TÍNH TOÁN, ĐO BÓC KHỐI LƯỢNG HOÀN THÀNH ĐƯA VÀO QUYẾT TOÁN</v>
          </cell>
        </row>
      </sheetData>
      <sheetData sheetId="7245">
        <row r="4">
          <cell r="A4" t="str">
            <v>BẢNG TÍNH TOÁN, ĐO BÓC KHỐI LƯỢNG HOÀN THÀNH ĐƯA VÀO QUYẾT TOÁN</v>
          </cell>
        </row>
      </sheetData>
      <sheetData sheetId="7246">
        <row r="4">
          <cell r="A4" t="str">
            <v>BẢNG TÍNH TOÁN, ĐO BÓC KHỐI LƯỢNG HOÀN THÀNH ĐƯA VÀO QUYẾT TOÁN</v>
          </cell>
        </row>
      </sheetData>
      <sheetData sheetId="7247">
        <row r="4">
          <cell r="A4" t="str">
            <v>BẢNG TÍNH TOÁN, ĐO BÓC KHỐI LƯỢNG HOÀN THÀNH ĐƯA VÀO QUYẾT TOÁN</v>
          </cell>
        </row>
      </sheetData>
      <sheetData sheetId="7248">
        <row r="4">
          <cell r="A4" t="str">
            <v>BẢNG TÍNH TOÁN, ĐO BÓC KHỐI LƯỢNG HOÀN THÀNH ĐƯA VÀO QUYẾT TOÁN</v>
          </cell>
        </row>
      </sheetData>
      <sheetData sheetId="7249">
        <row r="4">
          <cell r="A4" t="str">
            <v>BẢNG TÍNH TOÁN, ĐO BÓC KHỐI LƯỢNG HOÀN THÀNH ĐƯA VÀO QUYẾT TOÁN</v>
          </cell>
        </row>
      </sheetData>
      <sheetData sheetId="7250">
        <row r="4">
          <cell r="A4" t="str">
            <v>BẢNG TÍNH TOÁN, ĐO BÓC KHỐI LƯỢNG HOÀN THÀNH ĐƯA VÀO QUYẾT TOÁN</v>
          </cell>
        </row>
      </sheetData>
      <sheetData sheetId="7251">
        <row r="4">
          <cell r="A4" t="str">
            <v>BẢNG TÍNH TOÁN, ĐO BÓC KHỐI LƯỢNG HOÀN THÀNH ĐƯA VÀO QUYẾT TOÁN</v>
          </cell>
        </row>
      </sheetData>
      <sheetData sheetId="7252">
        <row r="4">
          <cell r="A4" t="str">
            <v>BẢNG TÍNH TOÁN, ĐO BÓC KHỐI LƯỢNG HOÀN THÀNH ĐƯA VÀO QUYẾT TOÁN</v>
          </cell>
        </row>
      </sheetData>
      <sheetData sheetId="7253">
        <row r="4">
          <cell r="A4" t="str">
            <v>BẢNG TÍNH TOÁN, ĐO BÓC KHỐI LƯỢNG HOÀN THÀNH ĐƯA VÀO QUYẾT TOÁN</v>
          </cell>
        </row>
      </sheetData>
      <sheetData sheetId="7254">
        <row r="4">
          <cell r="A4" t="str">
            <v>BẢNG TÍNH TOÁN, ĐO BÓC KHỐI LƯỢNG HOÀN THÀNH ĐƯA VÀO QUYẾT TOÁN</v>
          </cell>
        </row>
      </sheetData>
      <sheetData sheetId="7255">
        <row r="4">
          <cell r="A4" t="str">
            <v>BẢNG TÍNH TOÁN, ĐO BÓC KHỐI LƯỢNG HOÀN THÀNH ĐƯA VÀO QUYẾT TOÁN</v>
          </cell>
        </row>
      </sheetData>
      <sheetData sheetId="7256">
        <row r="4">
          <cell r="A4" t="str">
            <v>BẢNG TÍNH TOÁN, ĐO BÓC KHỐI LƯỢNG HOÀN THÀNH ĐƯA VÀO QUYẾT TOÁN</v>
          </cell>
        </row>
      </sheetData>
      <sheetData sheetId="7257">
        <row r="4">
          <cell r="A4" t="str">
            <v>BẢNG TÍNH TOÁN, ĐO BÓC KHỐI LƯỢNG HOÀN THÀNH ĐƯA VÀO QUYẾT TOÁN</v>
          </cell>
        </row>
      </sheetData>
      <sheetData sheetId="7258">
        <row r="4">
          <cell r="A4" t="str">
            <v>BẢNG TÍNH TOÁN, ĐO BÓC KHỐI LƯỢNG HOÀN THÀNH ĐƯA VÀO QUYẾT TOÁN</v>
          </cell>
        </row>
      </sheetData>
      <sheetData sheetId="7259">
        <row r="4">
          <cell r="A4" t="str">
            <v>BẢNG TÍNH TOÁN, ĐO BÓC KHỐI LƯỢNG HOÀN THÀNH ĐƯA VÀO QUYẾT TOÁN</v>
          </cell>
        </row>
      </sheetData>
      <sheetData sheetId="7260">
        <row r="4">
          <cell r="A4" t="str">
            <v>BẢNG TÍNH TOÁN, ĐO BÓC KHỐI LƯỢNG HOÀN THÀNH ĐƯA VÀO QUYẾT TOÁN</v>
          </cell>
        </row>
      </sheetData>
      <sheetData sheetId="7261">
        <row r="4">
          <cell r="A4" t="str">
            <v>BẢNG TÍNH TOÁN, ĐO BÓC KHỐI LƯỢNG HOÀN THÀNH ĐƯA VÀO QUYẾT TOÁN</v>
          </cell>
        </row>
      </sheetData>
      <sheetData sheetId="7262">
        <row r="4">
          <cell r="A4" t="str">
            <v>BẢNG TÍNH TOÁN, ĐO BÓC KHỐI LƯỢNG HOÀN THÀNH ĐƯA VÀO QUYẾT TOÁN</v>
          </cell>
        </row>
      </sheetData>
      <sheetData sheetId="7263">
        <row r="4">
          <cell r="A4" t="str">
            <v>BẢNG TÍNH TOÁN, ĐO BÓC KHỐI LƯỢNG HOÀN THÀNH ĐƯA VÀO QUYẾT TOÁN</v>
          </cell>
        </row>
      </sheetData>
      <sheetData sheetId="7264">
        <row r="4">
          <cell r="A4" t="str">
            <v>BẢNG TÍNH TOÁN, ĐO BÓC KHỐI LƯỢNG HOÀN THÀNH ĐƯA VÀO QUYẾT TOÁN</v>
          </cell>
        </row>
      </sheetData>
      <sheetData sheetId="7265">
        <row r="4">
          <cell r="A4" t="str">
            <v>BẢNG TÍNH TOÁN, ĐO BÓC KHỐI LƯỢNG HOÀN THÀNH ĐƯA VÀO QUYẾT TOÁN</v>
          </cell>
        </row>
      </sheetData>
      <sheetData sheetId="7266">
        <row r="4">
          <cell r="A4" t="str">
            <v>BẢNG TÍNH TOÁN, ĐO BÓC KHỐI LƯỢNG HOÀN THÀNH ĐƯA VÀO QUYẾT TOÁN</v>
          </cell>
        </row>
      </sheetData>
      <sheetData sheetId="7267">
        <row r="4">
          <cell r="A4" t="str">
            <v>BẢNG TÍNH TOÁN, ĐO BÓC KHỐI LƯỢNG HOÀN THÀNH ĐƯA VÀO QUYẾT TOÁN</v>
          </cell>
        </row>
      </sheetData>
      <sheetData sheetId="7268">
        <row r="4">
          <cell r="A4" t="str">
            <v>BẢNG TÍNH TOÁN, ĐO BÓC KHỐI LƯỢNG HOÀN THÀNH ĐƯA VÀO QUYẾT TOÁN</v>
          </cell>
        </row>
      </sheetData>
      <sheetData sheetId="7269">
        <row r="4">
          <cell r="A4" t="str">
            <v>BẢNG TÍNH TOÁN, ĐO BÓC KHỐI LƯỢNG HOÀN THÀNH ĐƯA VÀO QUYẾT TOÁN</v>
          </cell>
        </row>
      </sheetData>
      <sheetData sheetId="7270">
        <row r="4">
          <cell r="A4" t="str">
            <v>BẢNG TÍNH TOÁN, ĐO BÓC KHỐI LƯỢNG HOÀN THÀNH ĐƯA VÀO QUYẾT TOÁN</v>
          </cell>
        </row>
      </sheetData>
      <sheetData sheetId="7271">
        <row r="4">
          <cell r="A4" t="str">
            <v>BẢNG TÍNH TOÁN, ĐO BÓC KHỐI LƯỢNG HOÀN THÀNH ĐƯA VÀO QUYẾT TOÁN</v>
          </cell>
        </row>
      </sheetData>
      <sheetData sheetId="7272">
        <row r="4">
          <cell r="A4" t="str">
            <v>BẢNG TÍNH TOÁN, ĐO BÓC KHỐI LƯỢNG HOÀN THÀNH ĐƯA VÀO QUYẾT TOÁN</v>
          </cell>
        </row>
      </sheetData>
      <sheetData sheetId="7273">
        <row r="4">
          <cell r="A4" t="str">
            <v>BẢNG TÍNH TOÁN, ĐO BÓC KHỐI LƯỢNG HOÀN THÀNH ĐƯA VÀO QUYẾT TOÁN</v>
          </cell>
        </row>
      </sheetData>
      <sheetData sheetId="7274">
        <row r="4">
          <cell r="A4" t="str">
            <v>BẢNG TÍNH TOÁN, ĐO BÓC KHỐI LƯỢNG HOÀN THÀNH ĐƯA VÀO QUYẾT TOÁN</v>
          </cell>
        </row>
      </sheetData>
      <sheetData sheetId="7275">
        <row r="4">
          <cell r="A4" t="str">
            <v>BẢNG TÍNH TOÁN, ĐO BÓC KHỐI LƯỢNG HOÀN THÀNH ĐƯA VÀO QUYẾT TOÁN</v>
          </cell>
        </row>
      </sheetData>
      <sheetData sheetId="7276">
        <row r="4">
          <cell r="A4" t="str">
            <v>BẢNG TÍNH TOÁN, ĐO BÓC KHỐI LƯỢNG HOÀN THÀNH ĐƯA VÀO QUYẾT TOÁN</v>
          </cell>
        </row>
      </sheetData>
      <sheetData sheetId="7277">
        <row r="4">
          <cell r="A4" t="str">
            <v>BẢNG TÍNH TOÁN, ĐO BÓC KHỐI LƯỢNG HOÀN THÀNH ĐƯA VÀO QUYẾT TOÁN</v>
          </cell>
        </row>
      </sheetData>
      <sheetData sheetId="7278">
        <row r="4">
          <cell r="A4" t="str">
            <v>BẢNG TÍNH TOÁN, ĐO BÓC KHỐI LƯỢNG HOÀN THÀNH ĐƯA VÀO QUYẾT TOÁN</v>
          </cell>
        </row>
      </sheetData>
      <sheetData sheetId="7279">
        <row r="4">
          <cell r="A4" t="str">
            <v>BẢNG TÍNH TOÁN, ĐO BÓC KHỐI LƯỢNG HOÀN THÀNH ĐƯA VÀO QUYẾT TOÁN</v>
          </cell>
        </row>
      </sheetData>
      <sheetData sheetId="7280">
        <row r="4">
          <cell r="A4" t="str">
            <v>BẢNG TÍNH TOÁN, ĐO BÓC KHỐI LƯỢNG HOÀN THÀNH ĐƯA VÀO QUYẾT TOÁN</v>
          </cell>
        </row>
      </sheetData>
      <sheetData sheetId="7281">
        <row r="4">
          <cell r="A4" t="str">
            <v>BẢNG TÍNH TOÁN, ĐO BÓC KHỐI LƯỢNG HOÀN THÀNH ĐƯA VÀO QUYẾT TOÁN</v>
          </cell>
        </row>
      </sheetData>
      <sheetData sheetId="7282">
        <row r="4">
          <cell r="A4" t="str">
            <v>BẢNG TÍNH TOÁN, ĐO BÓC KHỐI LƯỢNG HOÀN THÀNH ĐƯA VÀO QUYẾT TOÁN</v>
          </cell>
        </row>
      </sheetData>
      <sheetData sheetId="7283">
        <row r="4">
          <cell r="A4" t="str">
            <v>BẢNG TÍNH TOÁN, ĐO BÓC KHỐI LƯỢNG HOÀN THÀNH ĐƯA VÀO QUYẾT TOÁN</v>
          </cell>
        </row>
      </sheetData>
      <sheetData sheetId="7284">
        <row r="4">
          <cell r="A4" t="str">
            <v>BẢNG TÍNH TOÁN, ĐO BÓC KHỐI LƯỢNG HOÀN THÀNH ĐƯA VÀO QUYẾT TOÁN</v>
          </cell>
        </row>
      </sheetData>
      <sheetData sheetId="7285">
        <row r="4">
          <cell r="A4" t="str">
            <v>BẢNG TÍNH TOÁN, ĐO BÓC KHỐI LƯỢNG HOÀN THÀNH ĐƯA VÀO QUYẾT TOÁN</v>
          </cell>
        </row>
      </sheetData>
      <sheetData sheetId="7286">
        <row r="4">
          <cell r="A4" t="str">
            <v>BẢNG TÍNH TOÁN, ĐO BÓC KHỐI LƯỢNG HOÀN THÀNH ĐƯA VÀO QUYẾT TOÁN</v>
          </cell>
        </row>
      </sheetData>
      <sheetData sheetId="7287">
        <row r="4">
          <cell r="A4" t="str">
            <v>BẢNG TÍNH TOÁN, ĐO BÓC KHỐI LƯỢNG HOÀN THÀNH ĐƯA VÀO QUYẾT TOÁN</v>
          </cell>
        </row>
      </sheetData>
      <sheetData sheetId="7288">
        <row r="4">
          <cell r="A4" t="str">
            <v>BẢNG TÍNH TOÁN, ĐO BÓC KHỐI LƯỢNG HOÀN THÀNH ĐƯA VÀO QUYẾT TOÁN</v>
          </cell>
        </row>
      </sheetData>
      <sheetData sheetId="7289">
        <row r="4">
          <cell r="A4" t="str">
            <v>BẢNG TÍNH TOÁN, ĐO BÓC KHỐI LƯỢNG HOÀN THÀNH ĐƯA VÀO QUYẾT TOÁN</v>
          </cell>
        </row>
      </sheetData>
      <sheetData sheetId="7290">
        <row r="4">
          <cell r="A4" t="str">
            <v>BẢNG TÍNH TOÁN, ĐO BÓC KHỐI LƯỢNG HOÀN THÀNH ĐƯA VÀO QUYẾT TOÁN</v>
          </cell>
        </row>
      </sheetData>
      <sheetData sheetId="7291">
        <row r="4">
          <cell r="A4" t="str">
            <v>BẢNG TÍNH TOÁN, ĐO BÓC KHỐI LƯỢNG HOÀN THÀNH ĐƯA VÀO QUYẾT TOÁN</v>
          </cell>
        </row>
      </sheetData>
      <sheetData sheetId="7292">
        <row r="4">
          <cell r="A4" t="str">
            <v>BẢNG TÍNH TOÁN, ĐO BÓC KHỐI LƯỢNG HOÀN THÀNH ĐƯA VÀO QUYẾT TOÁN</v>
          </cell>
        </row>
      </sheetData>
      <sheetData sheetId="7293">
        <row r="4">
          <cell r="A4" t="str">
            <v>BẢNG TÍNH TOÁN, ĐO BÓC KHỐI LƯỢNG HOÀN THÀNH ĐƯA VÀO QUYẾT TOÁN</v>
          </cell>
        </row>
      </sheetData>
      <sheetData sheetId="7294">
        <row r="4">
          <cell r="A4" t="str">
            <v>BẢNG TÍNH TOÁN, ĐO BÓC KHỐI LƯỢNG HOÀN THÀNH ĐƯA VÀO QUYẾT TOÁN</v>
          </cell>
        </row>
      </sheetData>
      <sheetData sheetId="7295">
        <row r="4">
          <cell r="A4" t="str">
            <v>BẢNG TÍNH TOÁN, ĐO BÓC KHỐI LƯỢNG HOÀN THÀNH ĐƯA VÀO QUYẾT TOÁN</v>
          </cell>
        </row>
      </sheetData>
      <sheetData sheetId="7296">
        <row r="4">
          <cell r="A4" t="str">
            <v>BẢNG TÍNH TOÁN, ĐO BÓC KHỐI LƯỢNG HOÀN THÀNH ĐƯA VÀO QUYẾT TOÁN</v>
          </cell>
        </row>
      </sheetData>
      <sheetData sheetId="7297">
        <row r="4">
          <cell r="A4" t="str">
            <v>BẢNG TÍNH TOÁN, ĐO BÓC KHỐI LƯỢNG HOÀN THÀNH ĐƯA VÀO QUYẾT TOÁN</v>
          </cell>
        </row>
      </sheetData>
      <sheetData sheetId="7298">
        <row r="4">
          <cell r="A4" t="str">
            <v>BẢNG TÍNH TOÁN, ĐO BÓC KHỐI LƯỢNG HOÀN THÀNH ĐƯA VÀO QUYẾT TOÁN</v>
          </cell>
        </row>
      </sheetData>
      <sheetData sheetId="7299">
        <row r="4">
          <cell r="A4" t="str">
            <v>BẢNG TÍNH TOÁN, ĐO BÓC KHỐI LƯỢNG HOÀN THÀNH ĐƯA VÀO QUYẾT TOÁN</v>
          </cell>
        </row>
      </sheetData>
      <sheetData sheetId="7300">
        <row r="4">
          <cell r="A4" t="str">
            <v>BẢNG TÍNH TOÁN, ĐO BÓC KHỐI LƯỢNG HOÀN THÀNH ĐƯA VÀO QUYẾT TOÁN</v>
          </cell>
        </row>
      </sheetData>
      <sheetData sheetId="7301">
        <row r="4">
          <cell r="A4" t="str">
            <v>BẢNG TÍNH TOÁN, ĐO BÓC KHỐI LƯỢNG HOÀN THÀNH ĐƯA VÀO QUYẾT TOÁN</v>
          </cell>
        </row>
      </sheetData>
      <sheetData sheetId="7302">
        <row r="4">
          <cell r="A4" t="str">
            <v>BẢNG TÍNH TOÁN, ĐO BÓC KHỐI LƯỢNG HOÀN THÀNH ĐƯA VÀO QUYẾT TOÁN</v>
          </cell>
        </row>
      </sheetData>
      <sheetData sheetId="7303">
        <row r="4">
          <cell r="A4" t="str">
            <v>BẢNG TÍNH TOÁN, ĐO BÓC KHỐI LƯỢNG HOÀN THÀNH ĐƯA VÀO QUYẾT TOÁN</v>
          </cell>
        </row>
      </sheetData>
      <sheetData sheetId="7304">
        <row r="4">
          <cell r="A4" t="str">
            <v>BẢNG TÍNH TOÁN, ĐO BÓC KHỐI LƯỢNG HOÀN THÀNH ĐƯA VÀO QUYẾT TOÁN</v>
          </cell>
        </row>
      </sheetData>
      <sheetData sheetId="7305">
        <row r="4">
          <cell r="A4" t="str">
            <v>BẢNG TÍNH TOÁN, ĐO BÓC KHỐI LƯỢNG HOÀN THÀNH ĐƯA VÀO QUYẾT TOÁN</v>
          </cell>
        </row>
      </sheetData>
      <sheetData sheetId="7306">
        <row r="4">
          <cell r="A4" t="str">
            <v>BẢNG TÍNH TOÁN, ĐO BÓC KHỐI LƯỢNG HOÀN THÀNH ĐƯA VÀO QUYẾT TOÁN</v>
          </cell>
        </row>
      </sheetData>
      <sheetData sheetId="7307">
        <row r="4">
          <cell r="A4" t="str">
            <v>BẢNG TÍNH TOÁN, ĐO BÓC KHỐI LƯỢNG HOÀN THÀNH ĐƯA VÀO QUYẾT TOÁN</v>
          </cell>
        </row>
      </sheetData>
      <sheetData sheetId="7308">
        <row r="4">
          <cell r="A4" t="str">
            <v>BẢNG TÍNH TOÁN, ĐO BÓC KHỐI LƯỢNG HOÀN THÀNH ĐƯA VÀO QUYẾT TOÁN</v>
          </cell>
        </row>
      </sheetData>
      <sheetData sheetId="7309">
        <row r="4">
          <cell r="A4" t="str">
            <v>BẢNG TÍNH TOÁN, ĐO BÓC KHỐI LƯỢNG HOÀN THÀNH ĐƯA VÀO QUYẾT TOÁN</v>
          </cell>
        </row>
      </sheetData>
      <sheetData sheetId="7310">
        <row r="4">
          <cell r="A4" t="str">
            <v>BẢNG TÍNH TOÁN, ĐO BÓC KHỐI LƯỢNG HOÀN THÀNH ĐƯA VÀO QUYẾT TOÁN</v>
          </cell>
        </row>
      </sheetData>
      <sheetData sheetId="7311">
        <row r="4">
          <cell r="A4" t="str">
            <v>BẢNG TÍNH TOÁN, ĐO BÓC KHỐI LƯỢNG HOÀN THÀNH ĐƯA VÀO QUYẾT TOÁN</v>
          </cell>
        </row>
      </sheetData>
      <sheetData sheetId="7312">
        <row r="4">
          <cell r="A4" t="str">
            <v>BẢNG TÍNH TOÁN, ĐO BÓC KHỐI LƯỢNG HOÀN THÀNH ĐƯA VÀO QUYẾT TOÁN</v>
          </cell>
        </row>
      </sheetData>
      <sheetData sheetId="7313">
        <row r="4">
          <cell r="A4" t="str">
            <v>BẢNG TÍNH TOÁN, ĐO BÓC KHỐI LƯỢNG HOÀN THÀNH ĐƯA VÀO QUYẾT TOÁN</v>
          </cell>
        </row>
      </sheetData>
      <sheetData sheetId="7314">
        <row r="4">
          <cell r="A4" t="str">
            <v>BẢNG TÍNH TOÁN, ĐO BÓC KHỐI LƯỢNG HOÀN THÀNH ĐƯA VÀO QUYẾT TOÁN</v>
          </cell>
        </row>
      </sheetData>
      <sheetData sheetId="7315">
        <row r="4">
          <cell r="A4" t="str">
            <v>BẢNG TÍNH TOÁN, ĐO BÓC KHỐI LƯỢNG HOÀN THÀNH ĐƯA VÀO QUYẾT TOÁN</v>
          </cell>
        </row>
      </sheetData>
      <sheetData sheetId="7316">
        <row r="4">
          <cell r="A4" t="str">
            <v>BẢNG TÍNH TOÁN, ĐO BÓC KHỐI LƯỢNG HOÀN THÀNH ĐƯA VÀO QUYẾT TOÁN</v>
          </cell>
        </row>
      </sheetData>
      <sheetData sheetId="7317">
        <row r="4">
          <cell r="A4" t="str">
            <v>BẢNG TÍNH TOÁN, ĐO BÓC KHỐI LƯỢNG HOÀN THÀNH ĐƯA VÀO QUYẾT TOÁN</v>
          </cell>
        </row>
      </sheetData>
      <sheetData sheetId="7318">
        <row r="4">
          <cell r="A4" t="str">
            <v>BẢNG TÍNH TOÁN, ĐO BÓC KHỐI LƯỢNG HOÀN THÀNH ĐƯA VÀO QUYẾT TOÁN</v>
          </cell>
        </row>
      </sheetData>
      <sheetData sheetId="7319">
        <row r="4">
          <cell r="A4" t="str">
            <v>BẢNG TÍNH TOÁN, ĐO BÓC KHỐI LƯỢNG HOÀN THÀNH ĐƯA VÀO QUYẾT TOÁN</v>
          </cell>
        </row>
      </sheetData>
      <sheetData sheetId="7320">
        <row r="4">
          <cell r="A4" t="str">
            <v>BẢNG TÍNH TOÁN, ĐO BÓC KHỐI LƯỢNG HOÀN THÀNH ĐƯA VÀO QUYẾT TOÁN</v>
          </cell>
        </row>
      </sheetData>
      <sheetData sheetId="7321">
        <row r="4">
          <cell r="A4" t="str">
            <v>BẢNG TÍNH TOÁN, ĐO BÓC KHỐI LƯỢNG HOÀN THÀNH ĐƯA VÀO QUYẾT TOÁN</v>
          </cell>
        </row>
      </sheetData>
      <sheetData sheetId="7322">
        <row r="4">
          <cell r="A4" t="str">
            <v>BẢNG TÍNH TOÁN, ĐO BÓC KHỐI LƯỢNG HOÀN THÀNH ĐƯA VÀO QUYẾT TOÁN</v>
          </cell>
        </row>
      </sheetData>
      <sheetData sheetId="7323">
        <row r="4">
          <cell r="A4" t="str">
            <v>BẢNG TÍNH TOÁN, ĐO BÓC KHỐI LƯỢNG HOÀN THÀNH ĐƯA VÀO QUYẾT TOÁN</v>
          </cell>
        </row>
      </sheetData>
      <sheetData sheetId="7324">
        <row r="4">
          <cell r="A4" t="str">
            <v>BẢNG TÍNH TOÁN, ĐO BÓC KHỐI LƯỢNG HOÀN THÀNH ĐƯA VÀO QUYẾT TOÁN</v>
          </cell>
        </row>
      </sheetData>
      <sheetData sheetId="7325">
        <row r="4">
          <cell r="A4" t="str">
            <v>BẢNG TÍNH TOÁN, ĐO BÓC KHỐI LƯỢNG HOÀN THÀNH ĐƯA VÀO QUYẾT TOÁN</v>
          </cell>
        </row>
      </sheetData>
      <sheetData sheetId="7326">
        <row r="4">
          <cell r="A4" t="str">
            <v>BẢNG TÍNH TOÁN, ĐO BÓC KHỐI LƯỢNG HOÀN THÀNH ĐƯA VÀO QUYẾT TOÁN</v>
          </cell>
        </row>
      </sheetData>
      <sheetData sheetId="7327">
        <row r="4">
          <cell r="A4" t="str">
            <v>BẢNG TÍNH TOÁN, ĐO BÓC KHỐI LƯỢNG HOÀN THÀNH ĐƯA VÀO QUYẾT TOÁN</v>
          </cell>
        </row>
      </sheetData>
      <sheetData sheetId="7328">
        <row r="4">
          <cell r="A4" t="str">
            <v>BẢNG TÍNH TOÁN, ĐO BÓC KHỐI LƯỢNG HOÀN THÀNH ĐƯA VÀO QUYẾT TOÁN</v>
          </cell>
        </row>
      </sheetData>
      <sheetData sheetId="7329">
        <row r="4">
          <cell r="A4" t="str">
            <v>BẢNG TÍNH TOÁN, ĐO BÓC KHỐI LƯỢNG HOÀN THÀNH ĐƯA VÀO QUYẾT TOÁN</v>
          </cell>
        </row>
      </sheetData>
      <sheetData sheetId="7330">
        <row r="4">
          <cell r="A4" t="str">
            <v>BẢNG TÍNH TOÁN, ĐO BÓC KHỐI LƯỢNG HOÀN THÀNH ĐƯA VÀO QUYẾT TOÁN</v>
          </cell>
        </row>
      </sheetData>
      <sheetData sheetId="7331">
        <row r="4">
          <cell r="A4" t="str">
            <v>BẢNG TÍNH TOÁN, ĐO BÓC KHỐI LƯỢNG HOÀN THÀNH ĐƯA VÀO QUYẾT TOÁN</v>
          </cell>
        </row>
      </sheetData>
      <sheetData sheetId="7332">
        <row r="4">
          <cell r="A4" t="str">
            <v>BẢNG TÍNH TOÁN, ĐO BÓC KHỐI LƯỢNG HOÀN THÀNH ĐƯA VÀO QUYẾT TOÁN</v>
          </cell>
        </row>
      </sheetData>
      <sheetData sheetId="7333">
        <row r="4">
          <cell r="A4" t="str">
            <v>BẢNG TÍNH TOÁN, ĐO BÓC KHỐI LƯỢNG HOÀN THÀNH ĐƯA VÀO QUYẾT TOÁN</v>
          </cell>
        </row>
      </sheetData>
      <sheetData sheetId="7334">
        <row r="4">
          <cell r="A4" t="str">
            <v>BẢNG TÍNH TOÁN, ĐO BÓC KHỐI LƯỢNG HOÀN THÀNH ĐƯA VÀO QUYẾT TOÁN</v>
          </cell>
        </row>
      </sheetData>
      <sheetData sheetId="7335">
        <row r="4">
          <cell r="A4" t="str">
            <v>BẢNG TÍNH TOÁN, ĐO BÓC KHỐI LƯỢNG HOÀN THÀNH ĐƯA VÀO QUYẾT TOÁN</v>
          </cell>
        </row>
      </sheetData>
      <sheetData sheetId="7336">
        <row r="4">
          <cell r="A4" t="str">
            <v>BẢNG TÍNH TOÁN, ĐO BÓC KHỐI LƯỢNG HOÀN THÀNH ĐƯA VÀO QUYẾT TOÁN</v>
          </cell>
        </row>
      </sheetData>
      <sheetData sheetId="7337">
        <row r="4">
          <cell r="A4" t="str">
            <v>BẢNG TÍNH TOÁN, ĐO BÓC KHỐI LƯỢNG HOÀN THÀNH ĐƯA VÀO QUYẾT TOÁN</v>
          </cell>
        </row>
      </sheetData>
      <sheetData sheetId="7338">
        <row r="4">
          <cell r="A4" t="str">
            <v>BẢNG TÍNH TOÁN, ĐO BÓC KHỐI LƯỢNG HOÀN THÀNH ĐƯA VÀO QUYẾT TOÁN</v>
          </cell>
        </row>
      </sheetData>
      <sheetData sheetId="7339">
        <row r="4">
          <cell r="A4" t="str">
            <v>BẢNG TÍNH TOÁN, ĐO BÓC KHỐI LƯỢNG HOÀN THÀNH ĐƯA VÀO QUYẾT TOÁN</v>
          </cell>
        </row>
      </sheetData>
      <sheetData sheetId="7340">
        <row r="4">
          <cell r="A4" t="str">
            <v>BẢNG TÍNH TOÁN, ĐO BÓC KHỐI LƯỢNG HOÀN THÀNH ĐƯA VÀO QUYẾT TOÁN</v>
          </cell>
        </row>
      </sheetData>
      <sheetData sheetId="7341">
        <row r="4">
          <cell r="A4" t="str">
            <v>BẢNG TÍNH TOÁN, ĐO BÓC KHỐI LƯỢNG HOÀN THÀNH ĐƯA VÀO QUYẾT TOÁN</v>
          </cell>
        </row>
      </sheetData>
      <sheetData sheetId="7342">
        <row r="4">
          <cell r="A4" t="str">
            <v>BẢNG TÍNH TOÁN, ĐO BÓC KHỐI LƯỢNG HOÀN THÀNH ĐƯA VÀO QUYẾT TOÁN</v>
          </cell>
        </row>
      </sheetData>
      <sheetData sheetId="7343">
        <row r="4">
          <cell r="A4" t="str">
            <v>BẢNG TÍNH TOÁN, ĐO BÓC KHỐI LƯỢNG HOÀN THÀNH ĐƯA VÀO QUYẾT TOÁN</v>
          </cell>
        </row>
      </sheetData>
      <sheetData sheetId="7344">
        <row r="4">
          <cell r="A4" t="str">
            <v>BẢNG TÍNH TOÁN, ĐO BÓC KHỐI LƯỢNG HOÀN THÀNH ĐƯA VÀO QUYẾT TOÁN</v>
          </cell>
        </row>
      </sheetData>
      <sheetData sheetId="7345">
        <row r="4">
          <cell r="A4" t="str">
            <v>BẢNG TÍNH TOÁN, ĐO BÓC KHỐI LƯỢNG HOÀN THÀNH ĐƯA VÀO QUYẾT TOÁN</v>
          </cell>
        </row>
      </sheetData>
      <sheetData sheetId="7346">
        <row r="4">
          <cell r="A4" t="str">
            <v>BẢNG TÍNH TOÁN, ĐO BÓC KHỐI LƯỢNG HOÀN THÀNH ĐƯA VÀO QUYẾT TOÁN</v>
          </cell>
        </row>
      </sheetData>
      <sheetData sheetId="7347">
        <row r="4">
          <cell r="A4" t="str">
            <v>BẢNG TÍNH TOÁN, ĐO BÓC KHỐI LƯỢNG HOÀN THÀNH ĐƯA VÀO QUYẾT TOÁN</v>
          </cell>
        </row>
      </sheetData>
      <sheetData sheetId="7348">
        <row r="4">
          <cell r="A4" t="str">
            <v>BẢNG TÍNH TOÁN, ĐO BÓC KHỐI LƯỢNG HOÀN THÀNH ĐƯA VÀO QUYẾT TOÁN</v>
          </cell>
        </row>
      </sheetData>
      <sheetData sheetId="7349">
        <row r="4">
          <cell r="A4" t="str">
            <v>BẢNG TÍNH TOÁN, ĐO BÓC KHỐI LƯỢNG HOÀN THÀNH ĐƯA VÀO QUYẾT TOÁN</v>
          </cell>
        </row>
      </sheetData>
      <sheetData sheetId="7350">
        <row r="4">
          <cell r="A4" t="str">
            <v>BẢNG TÍNH TOÁN, ĐO BÓC KHỐI LƯỢNG HOÀN THÀNH ĐƯA VÀO QUYẾT TOÁN</v>
          </cell>
        </row>
      </sheetData>
      <sheetData sheetId="7351">
        <row r="4">
          <cell r="A4" t="str">
            <v>BẢNG TÍNH TOÁN, ĐO BÓC KHỐI LƯỢNG HOÀN THÀNH ĐƯA VÀO QUYẾT TOÁN</v>
          </cell>
        </row>
      </sheetData>
      <sheetData sheetId="7352">
        <row r="4">
          <cell r="A4" t="str">
            <v>BẢNG TÍNH TOÁN, ĐO BÓC KHỐI LƯỢNG HOÀN THÀNH ĐƯA VÀO QUYẾT TOÁN</v>
          </cell>
        </row>
      </sheetData>
      <sheetData sheetId="7353">
        <row r="4">
          <cell r="A4" t="str">
            <v>BẢNG TÍNH TOÁN, ĐO BÓC KHỐI LƯỢNG HOÀN THÀNH ĐƯA VÀO QUYẾT TOÁN</v>
          </cell>
        </row>
      </sheetData>
      <sheetData sheetId="7354">
        <row r="4">
          <cell r="A4" t="str">
            <v>BẢNG TÍNH TOÁN, ĐO BÓC KHỐI LƯỢNG HOÀN THÀNH ĐƯA VÀO QUYẾT TOÁN</v>
          </cell>
        </row>
      </sheetData>
      <sheetData sheetId="7355">
        <row r="4">
          <cell r="A4" t="str">
            <v>BẢNG TÍNH TOÁN, ĐO BÓC KHỐI LƯỢNG HOÀN THÀNH ĐƯA VÀO QUYẾT TOÁN</v>
          </cell>
        </row>
      </sheetData>
      <sheetData sheetId="7356">
        <row r="4">
          <cell r="A4" t="str">
            <v>BẢNG TÍNH TOÁN, ĐO BÓC KHỐI LƯỢNG HOÀN THÀNH ĐƯA VÀO QUYẾT TOÁN</v>
          </cell>
        </row>
      </sheetData>
      <sheetData sheetId="7357">
        <row r="4">
          <cell r="A4" t="str">
            <v>BẢNG TÍNH TOÁN, ĐO BÓC KHỐI LƯỢNG HOÀN THÀNH ĐƯA VÀO QUYẾT TOÁN</v>
          </cell>
        </row>
      </sheetData>
      <sheetData sheetId="7358">
        <row r="4">
          <cell r="A4" t="str">
            <v>BẢNG TÍNH TOÁN, ĐO BÓC KHỐI LƯỢNG HOÀN THÀNH ĐƯA VÀO QUYẾT TOÁN</v>
          </cell>
        </row>
      </sheetData>
      <sheetData sheetId="7359">
        <row r="4">
          <cell r="A4" t="str">
            <v>BẢNG TÍNH TOÁN, ĐO BÓC KHỐI LƯỢNG HOÀN THÀNH ĐƯA VÀO QUYẾT TOÁN</v>
          </cell>
        </row>
      </sheetData>
      <sheetData sheetId="7360">
        <row r="4">
          <cell r="A4" t="str">
            <v>BẢNG TÍNH TOÁN, ĐO BÓC KHỐI LƯỢNG HOÀN THÀNH ĐƯA VÀO QUYẾT TOÁN</v>
          </cell>
        </row>
      </sheetData>
      <sheetData sheetId="7361">
        <row r="4">
          <cell r="A4" t="str">
            <v>BẢNG TÍNH TOÁN, ĐO BÓC KHỐI LƯỢNG HOÀN THÀNH ĐƯA VÀO QUYẾT TOÁN</v>
          </cell>
        </row>
      </sheetData>
      <sheetData sheetId="7362">
        <row r="4">
          <cell r="A4" t="str">
            <v>BẢNG TÍNH TOÁN, ĐO BÓC KHỐI LƯỢNG HOÀN THÀNH ĐƯA VÀO QUYẾT TOÁN</v>
          </cell>
        </row>
      </sheetData>
      <sheetData sheetId="7363">
        <row r="4">
          <cell r="A4" t="str">
            <v>BẢNG TÍNH TOÁN, ĐO BÓC KHỐI LƯỢNG HOÀN THÀNH ĐƯA VÀO QUYẾT TOÁN</v>
          </cell>
        </row>
      </sheetData>
      <sheetData sheetId="7364">
        <row r="4">
          <cell r="A4" t="str">
            <v>BẢNG TÍNH TOÁN, ĐO BÓC KHỐI LƯỢNG HOÀN THÀNH ĐƯA VÀO QUYẾT TOÁN</v>
          </cell>
        </row>
      </sheetData>
      <sheetData sheetId="7365">
        <row r="4">
          <cell r="A4" t="str">
            <v>BẢNG TÍNH TOÁN, ĐO BÓC KHỐI LƯỢNG HOÀN THÀNH ĐƯA VÀO QUYẾT TOÁN</v>
          </cell>
        </row>
      </sheetData>
      <sheetData sheetId="7366">
        <row r="4">
          <cell r="A4" t="str">
            <v>BẢNG TÍNH TOÁN, ĐO BÓC KHỐI LƯỢNG HOÀN THÀNH ĐƯA VÀO QUYẾT TOÁN</v>
          </cell>
        </row>
      </sheetData>
      <sheetData sheetId="7367">
        <row r="4">
          <cell r="A4" t="str">
            <v>BẢNG TÍNH TOÁN, ĐO BÓC KHỐI LƯỢNG HOÀN THÀNH ĐƯA VÀO QUYẾT TOÁN</v>
          </cell>
        </row>
      </sheetData>
      <sheetData sheetId="7368">
        <row r="4">
          <cell r="A4" t="str">
            <v>BẢNG TÍNH TOÁN, ĐO BÓC KHỐI LƯỢNG HOÀN THÀNH ĐƯA VÀO QUYẾT TOÁN</v>
          </cell>
        </row>
      </sheetData>
      <sheetData sheetId="7369">
        <row r="4">
          <cell r="A4" t="str">
            <v>BẢNG TÍNH TOÁN, ĐO BÓC KHỐI LƯỢNG HOÀN THÀNH ĐƯA VÀO QUYẾT TOÁN</v>
          </cell>
        </row>
      </sheetData>
      <sheetData sheetId="7370">
        <row r="4">
          <cell r="A4" t="str">
            <v>BẢNG TÍNH TOÁN, ĐO BÓC KHỐI LƯỢNG HOÀN THÀNH ĐƯA VÀO QUYẾT TOÁN</v>
          </cell>
        </row>
      </sheetData>
      <sheetData sheetId="7371">
        <row r="4">
          <cell r="A4" t="str">
            <v>BẢNG TÍNH TOÁN, ĐO BÓC KHỐI LƯỢNG HOÀN THÀNH ĐƯA VÀO QUYẾT TOÁN</v>
          </cell>
        </row>
      </sheetData>
      <sheetData sheetId="7372">
        <row r="4">
          <cell r="A4" t="str">
            <v>BẢNG TÍNH TOÁN, ĐO BÓC KHỐI LƯỢNG HOÀN THÀNH ĐƯA VÀO QUYẾT TOÁN</v>
          </cell>
        </row>
      </sheetData>
      <sheetData sheetId="7373">
        <row r="4">
          <cell r="A4" t="str">
            <v>BẢNG TÍNH TOÁN, ĐO BÓC KHỐI LƯỢNG HOÀN THÀNH ĐƯA VÀO QUYẾT TOÁN</v>
          </cell>
        </row>
      </sheetData>
      <sheetData sheetId="7374">
        <row r="4">
          <cell r="A4" t="str">
            <v>BẢNG TÍNH TOÁN, ĐO BÓC KHỐI LƯỢNG HOÀN THÀNH ĐƯA VÀO QUYẾT TOÁN</v>
          </cell>
        </row>
      </sheetData>
      <sheetData sheetId="7375">
        <row r="4">
          <cell r="A4" t="str">
            <v>BẢNG TÍNH TOÁN, ĐO BÓC KHỐI LƯỢNG HOÀN THÀNH ĐƯA VÀO QUYẾT TOÁN</v>
          </cell>
        </row>
      </sheetData>
      <sheetData sheetId="7376">
        <row r="4">
          <cell r="A4" t="str">
            <v>BẢNG TÍNH TOÁN, ĐO BÓC KHỐI LƯỢNG HOÀN THÀNH ĐƯA VÀO QUYẾT TOÁN</v>
          </cell>
        </row>
      </sheetData>
      <sheetData sheetId="7377">
        <row r="4">
          <cell r="A4" t="str">
            <v>BẢNG TÍNH TOÁN, ĐO BÓC KHỐI LƯỢNG HOÀN THÀNH ĐƯA VÀO QUYẾT TOÁN</v>
          </cell>
        </row>
      </sheetData>
      <sheetData sheetId="7378">
        <row r="4">
          <cell r="A4" t="str">
            <v>BẢNG TÍNH TOÁN, ĐO BÓC KHỐI LƯỢNG HOÀN THÀNH ĐƯA VÀO QUYẾT TOÁN</v>
          </cell>
        </row>
      </sheetData>
      <sheetData sheetId="7379">
        <row r="4">
          <cell r="A4" t="str">
            <v>BẢNG TÍNH TOÁN, ĐO BÓC KHỐI LƯỢNG HOÀN THÀNH ĐƯA VÀO QUYẾT TOÁN</v>
          </cell>
        </row>
      </sheetData>
      <sheetData sheetId="7380">
        <row r="4">
          <cell r="A4" t="str">
            <v>BẢNG TÍNH TOÁN, ĐO BÓC KHỐI LƯỢNG HOÀN THÀNH ĐƯA VÀO QUYẾT TOÁN</v>
          </cell>
        </row>
      </sheetData>
      <sheetData sheetId="7381">
        <row r="4">
          <cell r="A4" t="str">
            <v>BẢNG TÍNH TOÁN, ĐO BÓC KHỐI LƯỢNG HOÀN THÀNH ĐƯA VÀO QUYẾT TOÁN</v>
          </cell>
        </row>
      </sheetData>
      <sheetData sheetId="7382">
        <row r="4">
          <cell r="A4" t="str">
            <v>BẢNG TÍNH TOÁN, ĐO BÓC KHỐI LƯỢNG HOÀN THÀNH ĐƯA VÀO QUYẾT TOÁN</v>
          </cell>
        </row>
      </sheetData>
      <sheetData sheetId="7383">
        <row r="4">
          <cell r="A4" t="str">
            <v>BẢNG TÍNH TOÁN, ĐO BÓC KHỐI LƯỢNG HOÀN THÀNH ĐƯA VÀO QUYẾT TOÁN</v>
          </cell>
        </row>
      </sheetData>
      <sheetData sheetId="7384">
        <row r="4">
          <cell r="A4" t="str">
            <v>BẢNG TÍNH TOÁN, ĐO BÓC KHỐI LƯỢNG HOÀN THÀNH ĐƯA VÀO QUYẾT TOÁN</v>
          </cell>
        </row>
      </sheetData>
      <sheetData sheetId="7385">
        <row r="4">
          <cell r="A4" t="str">
            <v>BẢNG TÍNH TOÁN, ĐO BÓC KHỐI LƯỢNG HOÀN THÀNH ĐƯA VÀO QUYẾT TOÁN</v>
          </cell>
        </row>
      </sheetData>
      <sheetData sheetId="7386">
        <row r="4">
          <cell r="A4" t="str">
            <v>BẢNG TÍNH TOÁN, ĐO BÓC KHỐI LƯỢNG HOÀN THÀNH ĐƯA VÀO QUYẾT TOÁN</v>
          </cell>
        </row>
      </sheetData>
      <sheetData sheetId="7387">
        <row r="4">
          <cell r="A4" t="str">
            <v>BẢNG TÍNH TOÁN, ĐO BÓC KHỐI LƯỢNG HOÀN THÀNH ĐƯA VÀO QUYẾT TOÁN</v>
          </cell>
        </row>
      </sheetData>
      <sheetData sheetId="7388">
        <row r="4">
          <cell r="A4" t="str">
            <v>BẢNG TÍNH TOÁN, ĐO BÓC KHỐI LƯỢNG HOÀN THÀNH ĐƯA VÀO QUYẾT TOÁN</v>
          </cell>
        </row>
      </sheetData>
      <sheetData sheetId="7389">
        <row r="4">
          <cell r="A4" t="str">
            <v>BẢNG TÍNH TOÁN, ĐO BÓC KHỐI LƯỢNG HOÀN THÀNH ĐƯA VÀO QUYẾT TOÁN</v>
          </cell>
        </row>
      </sheetData>
      <sheetData sheetId="7390">
        <row r="4">
          <cell r="A4" t="str">
            <v>BẢNG TÍNH TOÁN, ĐO BÓC KHỐI LƯỢNG HOÀN THÀNH ĐƯA VÀO QUYẾT TOÁN</v>
          </cell>
        </row>
      </sheetData>
      <sheetData sheetId="7391">
        <row r="4">
          <cell r="A4" t="str">
            <v>BẢNG TÍNH TOÁN, ĐO BÓC KHỐI LƯỢNG HOÀN THÀNH ĐƯA VÀO QUYẾT TOÁN</v>
          </cell>
        </row>
      </sheetData>
      <sheetData sheetId="7392">
        <row r="4">
          <cell r="A4" t="str">
            <v>BẢNG TÍNH TOÁN, ĐO BÓC KHỐI LƯỢNG HOÀN THÀNH ĐƯA VÀO QUYẾT TOÁN</v>
          </cell>
        </row>
      </sheetData>
      <sheetData sheetId="7393">
        <row r="4">
          <cell r="A4" t="str">
            <v>BẢNG TÍNH TOÁN, ĐO BÓC KHỐI LƯỢNG HOÀN THÀNH ĐƯA VÀO QUYẾT TOÁN</v>
          </cell>
        </row>
      </sheetData>
      <sheetData sheetId="7394">
        <row r="4">
          <cell r="A4" t="str">
            <v>BẢNG TÍNH TOÁN, ĐO BÓC KHỐI LƯỢNG HOÀN THÀNH ĐƯA VÀO QUYẾT TOÁN</v>
          </cell>
        </row>
      </sheetData>
      <sheetData sheetId="7395">
        <row r="4">
          <cell r="A4" t="str">
            <v>BẢNG TÍNH TOÁN, ĐO BÓC KHỐI LƯỢNG HOÀN THÀNH ĐƯA VÀO QUYẾT TOÁN</v>
          </cell>
        </row>
      </sheetData>
      <sheetData sheetId="7396">
        <row r="4">
          <cell r="A4" t="str">
            <v>BẢNG TÍNH TOÁN, ĐO BÓC KHỐI LƯỢNG HOÀN THÀNH ĐƯA VÀO QUYẾT TOÁN</v>
          </cell>
        </row>
      </sheetData>
      <sheetData sheetId="7397">
        <row r="4">
          <cell r="A4" t="str">
            <v>BẢNG TÍNH TOÁN, ĐO BÓC KHỐI LƯỢNG HOÀN THÀNH ĐƯA VÀO QUYẾT TOÁN</v>
          </cell>
        </row>
      </sheetData>
      <sheetData sheetId="7398">
        <row r="4">
          <cell r="A4" t="str">
            <v>BẢNG TÍNH TOÁN, ĐO BÓC KHỐI LƯỢNG HOÀN THÀNH ĐƯA VÀO QUYẾT TOÁN</v>
          </cell>
        </row>
      </sheetData>
      <sheetData sheetId="7399">
        <row r="4">
          <cell r="A4" t="str">
            <v>BẢNG TÍNH TOÁN, ĐO BÓC KHỐI LƯỢNG HOÀN THÀNH ĐƯA VÀO QUYẾT TOÁN</v>
          </cell>
        </row>
      </sheetData>
      <sheetData sheetId="7400">
        <row r="4">
          <cell r="A4" t="str">
            <v>BẢNG TÍNH TOÁN, ĐO BÓC KHỐI LƯỢNG HOÀN THÀNH ĐƯA VÀO QUYẾT TOÁN</v>
          </cell>
        </row>
      </sheetData>
      <sheetData sheetId="7401">
        <row r="4">
          <cell r="A4" t="str">
            <v>BẢNG TÍNH TOÁN, ĐO BÓC KHỐI LƯỢNG HOÀN THÀNH ĐƯA VÀO QUYẾT TOÁN</v>
          </cell>
        </row>
      </sheetData>
      <sheetData sheetId="7402">
        <row r="4">
          <cell r="A4" t="str">
            <v>BẢNG TÍNH TOÁN, ĐO BÓC KHỐI LƯỢNG HOÀN THÀNH ĐƯA VÀO QUYẾT TOÁN</v>
          </cell>
        </row>
      </sheetData>
      <sheetData sheetId="7403">
        <row r="4">
          <cell r="A4" t="str">
            <v>BẢNG TÍNH TOÁN, ĐO BÓC KHỐI LƯỢNG HOÀN THÀNH ĐƯA VÀO QUYẾT TOÁN</v>
          </cell>
        </row>
      </sheetData>
      <sheetData sheetId="7404">
        <row r="4">
          <cell r="A4" t="str">
            <v>BẢNG TÍNH TOÁN, ĐO BÓC KHỐI LƯỢNG HOÀN THÀNH ĐƯA VÀO QUYẾT TOÁN</v>
          </cell>
        </row>
      </sheetData>
      <sheetData sheetId="7405">
        <row r="4">
          <cell r="A4" t="str">
            <v>BẢNG TÍNH TOÁN, ĐO BÓC KHỐI LƯỢNG HOÀN THÀNH ĐƯA VÀO QUYẾT TOÁN</v>
          </cell>
        </row>
      </sheetData>
      <sheetData sheetId="7406">
        <row r="4">
          <cell r="A4" t="str">
            <v>BẢNG TÍNH TOÁN, ĐO BÓC KHỐI LƯỢNG HOÀN THÀNH ĐƯA VÀO QUYẾT TOÁN</v>
          </cell>
        </row>
      </sheetData>
      <sheetData sheetId="7407">
        <row r="4">
          <cell r="A4" t="str">
            <v>BẢNG TÍNH TOÁN, ĐO BÓC KHỐI LƯỢNG HOÀN THÀNH ĐƯA VÀO QUYẾT TOÁN</v>
          </cell>
        </row>
      </sheetData>
      <sheetData sheetId="7408">
        <row r="4">
          <cell r="A4" t="str">
            <v>BẢNG TÍNH TOÁN, ĐO BÓC KHỐI LƯỢNG HOÀN THÀNH ĐƯA VÀO QUYẾT TOÁN</v>
          </cell>
        </row>
      </sheetData>
      <sheetData sheetId="7409">
        <row r="4">
          <cell r="A4" t="str">
            <v>BẢNG TÍNH TOÁN, ĐO BÓC KHỐI LƯỢNG HOÀN THÀNH ĐƯA VÀO QUYẾT TOÁN</v>
          </cell>
        </row>
      </sheetData>
      <sheetData sheetId="7410">
        <row r="4">
          <cell r="A4" t="str">
            <v>BẢNG TÍNH TOÁN, ĐO BÓC KHỐI LƯỢNG HOÀN THÀNH ĐƯA VÀO QUYẾT TOÁN</v>
          </cell>
        </row>
      </sheetData>
      <sheetData sheetId="7411">
        <row r="4">
          <cell r="A4" t="str">
            <v>BẢNG TÍNH TOÁN, ĐO BÓC KHỐI LƯỢNG HOÀN THÀNH ĐƯA VÀO QUYẾT TOÁN</v>
          </cell>
        </row>
      </sheetData>
      <sheetData sheetId="7412">
        <row r="4">
          <cell r="A4" t="str">
            <v>BẢNG TÍNH TOÁN, ĐO BÓC KHỐI LƯỢNG HOÀN THÀNH ĐƯA VÀO QUYẾT TOÁN</v>
          </cell>
        </row>
      </sheetData>
      <sheetData sheetId="7413">
        <row r="4">
          <cell r="A4" t="str">
            <v>BẢNG TÍNH TOÁN, ĐO BÓC KHỐI LƯỢNG HOÀN THÀNH ĐƯA VÀO QUYẾT TOÁN</v>
          </cell>
        </row>
      </sheetData>
      <sheetData sheetId="7414">
        <row r="4">
          <cell r="A4" t="str">
            <v>BẢNG TÍNH TOÁN, ĐO BÓC KHỐI LƯỢNG HOÀN THÀNH ĐƯA VÀO QUYẾT TOÁN</v>
          </cell>
        </row>
      </sheetData>
      <sheetData sheetId="7415">
        <row r="4">
          <cell r="A4" t="str">
            <v>BẢNG TÍNH TOÁN, ĐO BÓC KHỐI LƯỢNG HOÀN THÀNH ĐƯA VÀO QUYẾT TOÁN</v>
          </cell>
        </row>
      </sheetData>
      <sheetData sheetId="7416">
        <row r="4">
          <cell r="A4" t="str">
            <v>BẢNG TÍNH TOÁN, ĐO BÓC KHỐI LƯỢNG HOÀN THÀNH ĐƯA VÀO QUYẾT TOÁN</v>
          </cell>
        </row>
      </sheetData>
      <sheetData sheetId="7417">
        <row r="4">
          <cell r="A4" t="str">
            <v>BẢNG TÍNH TOÁN, ĐO BÓC KHỐI LƯỢNG HOÀN THÀNH ĐƯA VÀO QUYẾT TOÁN</v>
          </cell>
        </row>
      </sheetData>
      <sheetData sheetId="7418">
        <row r="4">
          <cell r="A4" t="str">
            <v>BẢNG TÍNH TOÁN, ĐO BÓC KHỐI LƯỢNG HOÀN THÀNH ĐƯA VÀO QUYẾT TOÁN</v>
          </cell>
        </row>
      </sheetData>
      <sheetData sheetId="7419">
        <row r="4">
          <cell r="A4" t="str">
            <v>BẢNG TÍNH TOÁN, ĐO BÓC KHỐI LƯỢNG HOÀN THÀNH ĐƯA VÀO QUYẾT TOÁN</v>
          </cell>
        </row>
      </sheetData>
      <sheetData sheetId="7420">
        <row r="4">
          <cell r="A4" t="str">
            <v>BẢNG TÍNH TOÁN, ĐO BÓC KHỐI LƯỢNG HOÀN THÀNH ĐƯA VÀO QUYẾT TOÁN</v>
          </cell>
        </row>
      </sheetData>
      <sheetData sheetId="7421">
        <row r="4">
          <cell r="A4" t="str">
            <v>BẢNG TÍNH TOÁN, ĐO BÓC KHỐI LƯỢNG HOÀN THÀNH ĐƯA VÀO QUYẾT TOÁN</v>
          </cell>
        </row>
      </sheetData>
      <sheetData sheetId="7422">
        <row r="4">
          <cell r="A4" t="str">
            <v>BẢNG TÍNH TOÁN, ĐO BÓC KHỐI LƯỢNG HOÀN THÀNH ĐƯA VÀO QUYẾT TOÁN</v>
          </cell>
        </row>
      </sheetData>
      <sheetData sheetId="7423">
        <row r="4">
          <cell r="A4" t="str">
            <v>BẢNG TÍNH TOÁN, ĐO BÓC KHỐI LƯỢNG HOÀN THÀNH ĐƯA VÀO QUYẾT TOÁN</v>
          </cell>
        </row>
      </sheetData>
      <sheetData sheetId="7424">
        <row r="4">
          <cell r="A4" t="str">
            <v>BẢNG TÍNH TOÁN, ĐO BÓC KHỐI LƯỢNG HOÀN THÀNH ĐƯA VÀO QUYẾT TOÁN</v>
          </cell>
        </row>
      </sheetData>
      <sheetData sheetId="7425">
        <row r="4">
          <cell r="A4" t="str">
            <v>BẢNG TÍNH TOÁN, ĐO BÓC KHỐI LƯỢNG HOÀN THÀNH ĐƯA VÀO QUYẾT TOÁN</v>
          </cell>
        </row>
      </sheetData>
      <sheetData sheetId="7426">
        <row r="4">
          <cell r="A4" t="str">
            <v>BẢNG TÍNH TOÁN, ĐO BÓC KHỐI LƯỢNG HOÀN THÀNH ĐƯA VÀO QUYẾT TOÁN</v>
          </cell>
        </row>
      </sheetData>
      <sheetData sheetId="7427">
        <row r="4">
          <cell r="A4" t="str">
            <v>BẢNG TÍNH TOÁN, ĐO BÓC KHỐI LƯỢNG HOÀN THÀNH ĐƯA VÀO QUYẾT TOÁN</v>
          </cell>
        </row>
      </sheetData>
      <sheetData sheetId="7428">
        <row r="4">
          <cell r="A4" t="str">
            <v>BẢNG TÍNH TOÁN, ĐO BÓC KHỐI LƯỢNG HOÀN THÀNH ĐƯA VÀO QUYẾT TOÁN</v>
          </cell>
        </row>
      </sheetData>
      <sheetData sheetId="7429">
        <row r="4">
          <cell r="A4" t="str">
            <v>BẢNG TÍNH TOÁN, ĐO BÓC KHỐI LƯỢNG HOÀN THÀNH ĐƯA VÀO QUYẾT TOÁN</v>
          </cell>
        </row>
      </sheetData>
      <sheetData sheetId="7430">
        <row r="4">
          <cell r="A4" t="str">
            <v>BẢNG TÍNH TOÁN, ĐO BÓC KHỐI LƯỢNG HOÀN THÀNH ĐƯA VÀO QUYẾT TOÁN</v>
          </cell>
        </row>
      </sheetData>
      <sheetData sheetId="7431">
        <row r="4">
          <cell r="A4" t="str">
            <v>BẢNG TÍNH TOÁN, ĐO BÓC KHỐI LƯỢNG HOÀN THÀNH ĐƯA VÀO QUYẾT TOÁN</v>
          </cell>
        </row>
      </sheetData>
      <sheetData sheetId="7432">
        <row r="4">
          <cell r="A4" t="str">
            <v>BẢNG TÍNH TOÁN, ĐO BÓC KHỐI LƯỢNG HOÀN THÀNH ĐƯA VÀO QUYẾT TOÁN</v>
          </cell>
        </row>
      </sheetData>
      <sheetData sheetId="7433">
        <row r="4">
          <cell r="A4" t="str">
            <v>BẢNG TÍNH TOÁN, ĐO BÓC KHỐI LƯỢNG HOÀN THÀNH ĐƯA VÀO QUYẾT TOÁN</v>
          </cell>
        </row>
      </sheetData>
      <sheetData sheetId="7434">
        <row r="4">
          <cell r="A4" t="str">
            <v>BẢNG TÍNH TOÁN, ĐO BÓC KHỐI LƯỢNG HOÀN THÀNH ĐƯA VÀO QUYẾT TOÁN</v>
          </cell>
        </row>
      </sheetData>
      <sheetData sheetId="7435">
        <row r="4">
          <cell r="A4" t="str">
            <v>BẢNG TÍNH TOÁN, ĐO BÓC KHỐI LƯỢNG HOÀN THÀNH ĐƯA VÀO QUYẾT TOÁN</v>
          </cell>
        </row>
      </sheetData>
      <sheetData sheetId="7436">
        <row r="4">
          <cell r="A4" t="str">
            <v>BẢNG TÍNH TOÁN, ĐO BÓC KHỐI LƯỢNG HOÀN THÀNH ĐƯA VÀO QUYẾT TOÁN</v>
          </cell>
        </row>
      </sheetData>
      <sheetData sheetId="7437">
        <row r="4">
          <cell r="A4" t="str">
            <v>BẢNG TÍNH TOÁN, ĐO BÓC KHỐI LƯỢNG HOÀN THÀNH ĐƯA VÀO QUYẾT TOÁN</v>
          </cell>
        </row>
      </sheetData>
      <sheetData sheetId="7438">
        <row r="4">
          <cell r="A4" t="str">
            <v>BẢNG TÍNH TOÁN, ĐO BÓC KHỐI LƯỢNG HOÀN THÀNH ĐƯA VÀO QUYẾT TOÁN</v>
          </cell>
        </row>
      </sheetData>
      <sheetData sheetId="7439">
        <row r="4">
          <cell r="A4" t="str">
            <v>BẢNG TÍNH TOÁN, ĐO BÓC KHỐI LƯỢNG HOÀN THÀNH ĐƯA VÀO QUYẾT TOÁN</v>
          </cell>
        </row>
      </sheetData>
      <sheetData sheetId="7440">
        <row r="4">
          <cell r="A4" t="str">
            <v>BẢNG TÍNH TOÁN, ĐO BÓC KHỐI LƯỢNG HOÀN THÀNH ĐƯA VÀO QUYẾT TOÁN</v>
          </cell>
        </row>
      </sheetData>
      <sheetData sheetId="7441">
        <row r="4">
          <cell r="A4" t="str">
            <v>BẢNG TÍNH TOÁN, ĐO BÓC KHỐI LƯỢNG HOÀN THÀNH ĐƯA VÀO QUYẾT TOÁN</v>
          </cell>
        </row>
      </sheetData>
      <sheetData sheetId="7442">
        <row r="4">
          <cell r="A4" t="str">
            <v>BẢNG TÍNH TOÁN, ĐO BÓC KHỐI LƯỢNG HOÀN THÀNH ĐƯA VÀO QUYẾT TOÁN</v>
          </cell>
        </row>
      </sheetData>
      <sheetData sheetId="7443">
        <row r="4">
          <cell r="A4" t="str">
            <v>BẢNG TÍNH TOÁN, ĐO BÓC KHỐI LƯỢNG HOÀN THÀNH ĐƯA VÀO QUYẾT TOÁN</v>
          </cell>
        </row>
      </sheetData>
      <sheetData sheetId="7444">
        <row r="4">
          <cell r="A4" t="str">
            <v>BẢNG TÍNH TOÁN, ĐO BÓC KHỐI LƯỢNG HOÀN THÀNH ĐƯA VÀO QUYẾT TOÁN</v>
          </cell>
        </row>
      </sheetData>
      <sheetData sheetId="7445">
        <row r="4">
          <cell r="A4" t="str">
            <v>BẢNG TÍNH TOÁN, ĐO BÓC KHỐI LƯỢNG HOÀN THÀNH ĐƯA VÀO QUYẾT TOÁN</v>
          </cell>
        </row>
      </sheetData>
      <sheetData sheetId="7446">
        <row r="4">
          <cell r="A4" t="str">
            <v>BẢNG TÍNH TOÁN, ĐO BÓC KHỐI LƯỢNG HOÀN THÀNH ĐƯA VÀO QUYẾT TOÁN</v>
          </cell>
        </row>
      </sheetData>
      <sheetData sheetId="7447">
        <row r="4">
          <cell r="A4" t="str">
            <v>BẢNG TÍNH TOÁN, ĐO BÓC KHỐI LƯỢNG HOÀN THÀNH ĐƯA VÀO QUYẾT TOÁN</v>
          </cell>
        </row>
      </sheetData>
      <sheetData sheetId="7448">
        <row r="4">
          <cell r="A4" t="str">
            <v>BẢNG TÍNH TOÁN, ĐO BÓC KHỐI LƯỢNG HOÀN THÀNH ĐƯA VÀO QUYẾT TOÁN</v>
          </cell>
        </row>
      </sheetData>
      <sheetData sheetId="7449">
        <row r="4">
          <cell r="A4" t="str">
            <v>BẢNG TÍNH TOÁN, ĐO BÓC KHỐI LƯỢNG HOÀN THÀNH ĐƯA VÀO QUYẾT TOÁN</v>
          </cell>
        </row>
      </sheetData>
      <sheetData sheetId="7450">
        <row r="4">
          <cell r="A4" t="str">
            <v>BẢNG TÍNH TOÁN, ĐO BÓC KHỐI LƯỢNG HOÀN THÀNH ĐƯA VÀO QUYẾT TOÁN</v>
          </cell>
        </row>
      </sheetData>
      <sheetData sheetId="7451">
        <row r="4">
          <cell r="A4" t="str">
            <v>BẢNG TÍNH TOÁN, ĐO BÓC KHỐI LƯỢNG HOÀN THÀNH ĐƯA VÀO QUYẾT TOÁN</v>
          </cell>
        </row>
      </sheetData>
      <sheetData sheetId="7452">
        <row r="4">
          <cell r="A4" t="str">
            <v>BẢNG TÍNH TOÁN, ĐO BÓC KHỐI LƯỢNG HOÀN THÀNH ĐƯA VÀO QUYẾT TOÁN</v>
          </cell>
        </row>
      </sheetData>
      <sheetData sheetId="7453">
        <row r="4">
          <cell r="A4" t="str">
            <v>BẢNG TÍNH TOÁN, ĐO BÓC KHỐI LƯỢNG HOÀN THÀNH ĐƯA VÀO QUYẾT TOÁN</v>
          </cell>
        </row>
      </sheetData>
      <sheetData sheetId="7454">
        <row r="4">
          <cell r="A4" t="str">
            <v>BẢNG TÍNH TOÁN, ĐO BÓC KHỐI LƯỢNG HOÀN THÀNH ĐƯA VÀO QUYẾT TOÁN</v>
          </cell>
        </row>
      </sheetData>
      <sheetData sheetId="7455">
        <row r="4">
          <cell r="A4" t="str">
            <v>BẢNG TÍNH TOÁN, ĐO BÓC KHỐI LƯỢNG HOÀN THÀNH ĐƯA VÀO QUYẾT TOÁN</v>
          </cell>
        </row>
      </sheetData>
      <sheetData sheetId="7456">
        <row r="4">
          <cell r="A4" t="str">
            <v>BẢNG TÍNH TOÁN, ĐO BÓC KHỐI LƯỢNG HOÀN THÀNH ĐƯA VÀO QUYẾT TOÁN</v>
          </cell>
        </row>
      </sheetData>
      <sheetData sheetId="7457">
        <row r="4">
          <cell r="A4" t="str">
            <v>BẢNG TÍNH TOÁN, ĐO BÓC KHỐI LƯỢNG HOÀN THÀNH ĐƯA VÀO QUYẾT TOÁN</v>
          </cell>
        </row>
      </sheetData>
      <sheetData sheetId="7458">
        <row r="4">
          <cell r="A4" t="str">
            <v>BẢNG TÍNH TOÁN, ĐO BÓC KHỐI LƯỢNG HOÀN THÀNH ĐƯA VÀO QUYẾT TOÁN</v>
          </cell>
        </row>
      </sheetData>
      <sheetData sheetId="7459">
        <row r="4">
          <cell r="A4" t="str">
            <v>BẢNG TÍNH TOÁN, ĐO BÓC KHỐI LƯỢNG HOÀN THÀNH ĐƯA VÀO QUYẾT TOÁN</v>
          </cell>
        </row>
      </sheetData>
      <sheetData sheetId="7460">
        <row r="4">
          <cell r="A4" t="str">
            <v>BẢNG TÍNH TOÁN, ĐO BÓC KHỐI LƯỢNG HOÀN THÀNH ĐƯA VÀO QUYẾT TOÁN</v>
          </cell>
        </row>
      </sheetData>
      <sheetData sheetId="7461">
        <row r="4">
          <cell r="A4" t="str">
            <v>BẢNG TÍNH TOÁN, ĐO BÓC KHỐI LƯỢNG HOÀN THÀNH ĐƯA VÀO QUYẾT TOÁN</v>
          </cell>
        </row>
      </sheetData>
      <sheetData sheetId="7462">
        <row r="4">
          <cell r="A4" t="str">
            <v>BẢNG TÍNH TOÁN, ĐO BÓC KHỐI LƯỢNG HOÀN THÀNH ĐƯA VÀO QUYẾT TOÁN</v>
          </cell>
        </row>
      </sheetData>
      <sheetData sheetId="7463">
        <row r="4">
          <cell r="A4" t="str">
            <v>BẢNG TÍNH TOÁN, ĐO BÓC KHỐI LƯỢNG HOÀN THÀNH ĐƯA VÀO QUYẾT TOÁN</v>
          </cell>
        </row>
      </sheetData>
      <sheetData sheetId="7464">
        <row r="4">
          <cell r="A4" t="str">
            <v>BẢNG TÍNH TOÁN, ĐO BÓC KHỐI LƯỢNG HOÀN THÀNH ĐƯA VÀO QUYẾT TOÁN</v>
          </cell>
        </row>
      </sheetData>
      <sheetData sheetId="7465">
        <row r="4">
          <cell r="A4" t="str">
            <v>BẢNG TÍNH TOÁN, ĐO BÓC KHỐI LƯỢNG HOÀN THÀNH ĐƯA VÀO QUYẾT TOÁN</v>
          </cell>
        </row>
      </sheetData>
      <sheetData sheetId="7466">
        <row r="4">
          <cell r="A4" t="str">
            <v>BẢNG TÍNH TOÁN, ĐO BÓC KHỐI LƯỢNG HOÀN THÀNH ĐƯA VÀO QUYẾT TOÁN</v>
          </cell>
        </row>
      </sheetData>
      <sheetData sheetId="7467">
        <row r="4">
          <cell r="A4" t="str">
            <v>BẢNG TÍNH TOÁN, ĐO BÓC KHỐI LƯỢNG HOÀN THÀNH ĐƯA VÀO QUYẾT TOÁN</v>
          </cell>
        </row>
      </sheetData>
      <sheetData sheetId="7468">
        <row r="4">
          <cell r="A4" t="str">
            <v>BẢNG TÍNH TOÁN, ĐO BÓC KHỐI LƯỢNG HOÀN THÀNH ĐƯA VÀO QUYẾT TOÁN</v>
          </cell>
        </row>
      </sheetData>
      <sheetData sheetId="7469">
        <row r="4">
          <cell r="A4" t="str">
            <v>BẢNG TÍNH TOÁN, ĐO BÓC KHỐI LƯỢNG HOÀN THÀNH ĐƯA VÀO QUYẾT TOÁN</v>
          </cell>
        </row>
      </sheetData>
      <sheetData sheetId="7470">
        <row r="4">
          <cell r="A4" t="str">
            <v>BẢNG TÍNH TOÁN, ĐO BÓC KHỐI LƯỢNG HOÀN THÀNH ĐƯA VÀO QUYẾT TOÁN</v>
          </cell>
        </row>
      </sheetData>
      <sheetData sheetId="7471">
        <row r="4">
          <cell r="A4" t="str">
            <v>BẢNG TÍNH TOÁN, ĐO BÓC KHỐI LƯỢNG HOÀN THÀNH ĐƯA VÀO QUYẾT TOÁN</v>
          </cell>
        </row>
      </sheetData>
      <sheetData sheetId="7472">
        <row r="4">
          <cell r="A4" t="str">
            <v>BẢNG TÍNH TOÁN, ĐO BÓC KHỐI LƯỢNG HOÀN THÀNH ĐƯA VÀO QUYẾT TOÁN</v>
          </cell>
        </row>
      </sheetData>
      <sheetData sheetId="7473">
        <row r="4">
          <cell r="A4" t="str">
            <v>BẢNG TÍNH TOÁN, ĐO BÓC KHỐI LƯỢNG HOÀN THÀNH ĐƯA VÀO QUYẾT TOÁN</v>
          </cell>
        </row>
      </sheetData>
      <sheetData sheetId="7474">
        <row r="4">
          <cell r="A4" t="str">
            <v>BẢNG TÍNH TOÁN, ĐO BÓC KHỐI LƯỢNG HOÀN THÀNH ĐƯA VÀO QUYẾT TOÁN</v>
          </cell>
        </row>
      </sheetData>
      <sheetData sheetId="7475">
        <row r="4">
          <cell r="A4" t="str">
            <v>BẢNG TÍNH TOÁN, ĐO BÓC KHỐI LƯỢNG HOÀN THÀNH ĐƯA VÀO QUYẾT TOÁN</v>
          </cell>
        </row>
      </sheetData>
      <sheetData sheetId="7476">
        <row r="4">
          <cell r="A4" t="str">
            <v>BẢNG TÍNH TOÁN, ĐO BÓC KHỐI LƯỢNG HOÀN THÀNH ĐƯA VÀO QUYẾT TOÁN</v>
          </cell>
        </row>
      </sheetData>
      <sheetData sheetId="7477">
        <row r="4">
          <cell r="A4" t="str">
            <v>BẢNG TÍNH TOÁN, ĐO BÓC KHỐI LƯỢNG HOÀN THÀNH ĐƯA VÀO QUYẾT TOÁN</v>
          </cell>
        </row>
      </sheetData>
      <sheetData sheetId="7478">
        <row r="4">
          <cell r="A4" t="str">
            <v>BẢNG TÍNH TOÁN, ĐO BÓC KHỐI LƯỢNG HOÀN THÀNH ĐƯA VÀO QUYẾT TOÁN</v>
          </cell>
        </row>
      </sheetData>
      <sheetData sheetId="7479">
        <row r="4">
          <cell r="A4" t="str">
            <v>BẢNG TÍNH TOÁN, ĐO BÓC KHỐI LƯỢNG HOÀN THÀNH ĐƯA VÀO QUYẾT TOÁN</v>
          </cell>
        </row>
      </sheetData>
      <sheetData sheetId="7480">
        <row r="4">
          <cell r="A4" t="str">
            <v>BẢNG TÍNH TOÁN, ĐO BÓC KHỐI LƯỢNG HOÀN THÀNH ĐƯA VÀO QUYẾT TOÁN</v>
          </cell>
        </row>
      </sheetData>
      <sheetData sheetId="7481">
        <row r="4">
          <cell r="A4" t="str">
            <v>BẢNG TÍNH TOÁN, ĐO BÓC KHỐI LƯỢNG HOÀN THÀNH ĐƯA VÀO QUYẾT TOÁN</v>
          </cell>
        </row>
      </sheetData>
      <sheetData sheetId="7482">
        <row r="4">
          <cell r="A4" t="str">
            <v>BẢNG TÍNH TOÁN, ĐO BÓC KHỐI LƯỢNG HOÀN THÀNH ĐƯA VÀO QUYẾT TOÁN</v>
          </cell>
        </row>
      </sheetData>
      <sheetData sheetId="7483">
        <row r="4">
          <cell r="A4" t="str">
            <v>BẢNG TÍNH TOÁN, ĐO BÓC KHỐI LƯỢNG HOÀN THÀNH ĐƯA VÀO QUYẾT TOÁN</v>
          </cell>
        </row>
      </sheetData>
      <sheetData sheetId="7484">
        <row r="4">
          <cell r="A4" t="str">
            <v>BẢNG TÍNH TOÁN, ĐO BÓC KHỐI LƯỢNG HOÀN THÀNH ĐƯA VÀO QUYẾT TOÁN</v>
          </cell>
        </row>
      </sheetData>
      <sheetData sheetId="7485">
        <row r="4">
          <cell r="A4" t="str">
            <v>BẢNG TÍNH TOÁN, ĐO BÓC KHỐI LƯỢNG HOÀN THÀNH ĐƯA VÀO QUYẾT TOÁN</v>
          </cell>
        </row>
      </sheetData>
      <sheetData sheetId="7486">
        <row r="4">
          <cell r="A4" t="str">
            <v>BẢNG TÍNH TOÁN, ĐO BÓC KHỐI LƯỢNG HOÀN THÀNH ĐƯA VÀO QUYẾT TOÁN</v>
          </cell>
        </row>
      </sheetData>
      <sheetData sheetId="7487">
        <row r="4">
          <cell r="A4" t="str">
            <v>BẢNG TÍNH TOÁN, ĐO BÓC KHỐI LƯỢNG HOÀN THÀNH ĐƯA VÀO QUYẾT TOÁN</v>
          </cell>
        </row>
      </sheetData>
      <sheetData sheetId="7488">
        <row r="4">
          <cell r="A4" t="str">
            <v>BẢNG TÍNH TOÁN, ĐO BÓC KHỐI LƯỢNG HOÀN THÀNH ĐƯA VÀO QUYẾT TOÁN</v>
          </cell>
        </row>
      </sheetData>
      <sheetData sheetId="7489">
        <row r="4">
          <cell r="A4" t="str">
            <v>BẢNG TÍNH TOÁN, ĐO BÓC KHỐI LƯỢNG HOÀN THÀNH ĐƯA VÀO QUYẾT TOÁN</v>
          </cell>
        </row>
      </sheetData>
      <sheetData sheetId="7490">
        <row r="4">
          <cell r="A4" t="str">
            <v>BẢNG TÍNH TOÁN, ĐO BÓC KHỐI LƯỢNG HOÀN THÀNH ĐƯA VÀO QUYẾT TOÁN</v>
          </cell>
        </row>
      </sheetData>
      <sheetData sheetId="7491">
        <row r="4">
          <cell r="A4" t="str">
            <v>BẢNG TÍNH TOÁN, ĐO BÓC KHỐI LƯỢNG HOÀN THÀNH ĐƯA VÀO QUYẾT TOÁN</v>
          </cell>
        </row>
      </sheetData>
      <sheetData sheetId="7492">
        <row r="4">
          <cell r="A4" t="str">
            <v>BẢNG TÍNH TOÁN, ĐO BÓC KHỐI LƯỢNG HOÀN THÀNH ĐƯA VÀO QUYẾT TOÁN</v>
          </cell>
        </row>
      </sheetData>
      <sheetData sheetId="7493">
        <row r="4">
          <cell r="A4" t="str">
            <v>BẢNG TÍNH TOÁN, ĐO BÓC KHỐI LƯỢNG HOÀN THÀNH ĐƯA VÀO QUYẾT TOÁN</v>
          </cell>
        </row>
      </sheetData>
      <sheetData sheetId="7494">
        <row r="4">
          <cell r="A4" t="str">
            <v>BẢNG TÍNH TOÁN, ĐO BÓC KHỐI LƯỢNG HOÀN THÀNH ĐƯA VÀO QUYẾT TOÁN</v>
          </cell>
        </row>
      </sheetData>
      <sheetData sheetId="7495">
        <row r="4">
          <cell r="A4" t="str">
            <v>BẢNG TÍNH TOÁN, ĐO BÓC KHỐI LƯỢNG HOÀN THÀNH ĐƯA VÀO QUYẾT TOÁN</v>
          </cell>
        </row>
      </sheetData>
      <sheetData sheetId="7496">
        <row r="4">
          <cell r="A4" t="str">
            <v>BẢNG TÍNH TOÁN, ĐO BÓC KHỐI LƯỢNG HOÀN THÀNH ĐƯA VÀO QUYẾT TOÁN</v>
          </cell>
        </row>
      </sheetData>
      <sheetData sheetId="7497">
        <row r="4">
          <cell r="A4" t="str">
            <v>BẢNG TÍNH TOÁN, ĐO BÓC KHỐI LƯỢNG HOÀN THÀNH ĐƯA VÀO QUYẾT TOÁN</v>
          </cell>
        </row>
      </sheetData>
      <sheetData sheetId="7498">
        <row r="4">
          <cell r="A4" t="str">
            <v>BẢNG TÍNH TOÁN, ĐO BÓC KHỐI LƯỢNG HOÀN THÀNH ĐƯA VÀO QUYẾT TOÁN</v>
          </cell>
        </row>
      </sheetData>
      <sheetData sheetId="7499">
        <row r="4">
          <cell r="A4" t="str">
            <v>BẢNG TÍNH TOÁN, ĐO BÓC KHỐI LƯỢNG HOÀN THÀNH ĐƯA VÀO QUYẾT TOÁN</v>
          </cell>
        </row>
      </sheetData>
      <sheetData sheetId="7500">
        <row r="4">
          <cell r="A4" t="str">
            <v>BẢNG TÍNH TOÁN, ĐO BÓC KHỐI LƯỢNG HOÀN THÀNH ĐƯA VÀO QUYẾT TOÁN</v>
          </cell>
        </row>
      </sheetData>
      <sheetData sheetId="7501">
        <row r="4">
          <cell r="A4" t="str">
            <v>BẢNG TÍNH TOÁN, ĐO BÓC KHỐI LƯỢNG HOÀN THÀNH ĐƯA VÀO QUYẾT TOÁN</v>
          </cell>
        </row>
      </sheetData>
      <sheetData sheetId="7502">
        <row r="4">
          <cell r="A4" t="str">
            <v>BẢNG TÍNH TOÁN, ĐO BÓC KHỐI LƯỢNG HOÀN THÀNH ĐƯA VÀO QUYẾT TOÁN</v>
          </cell>
        </row>
      </sheetData>
      <sheetData sheetId="7503">
        <row r="4">
          <cell r="A4" t="str">
            <v>BẢNG TÍNH TOÁN, ĐO BÓC KHỐI LƯỢNG HOÀN THÀNH ĐƯA VÀO QUYẾT TOÁN</v>
          </cell>
        </row>
      </sheetData>
      <sheetData sheetId="7504">
        <row r="4">
          <cell r="A4" t="str">
            <v>BẢNG TÍNH TOÁN, ĐO BÓC KHỐI LƯỢNG HOÀN THÀNH ĐƯA VÀO QUYẾT TOÁN</v>
          </cell>
        </row>
      </sheetData>
      <sheetData sheetId="7505">
        <row r="4">
          <cell r="A4" t="str">
            <v>BẢNG TÍNH TOÁN, ĐO BÓC KHỐI LƯỢNG HOÀN THÀNH ĐƯA VÀO QUYẾT TOÁN</v>
          </cell>
        </row>
      </sheetData>
      <sheetData sheetId="7506">
        <row r="4">
          <cell r="A4" t="str">
            <v>BẢNG TÍNH TOÁN, ĐO BÓC KHỐI LƯỢNG HOÀN THÀNH ĐƯA VÀO QUYẾT TOÁN</v>
          </cell>
        </row>
      </sheetData>
      <sheetData sheetId="7507">
        <row r="4">
          <cell r="A4" t="str">
            <v>BẢNG TÍNH TOÁN, ĐO BÓC KHỐI LƯỢNG HOÀN THÀNH ĐƯA VÀO QUYẾT TOÁN</v>
          </cell>
        </row>
      </sheetData>
      <sheetData sheetId="7508">
        <row r="4">
          <cell r="A4" t="str">
            <v>BẢNG TÍNH TOÁN, ĐO BÓC KHỐI LƯỢNG HOÀN THÀNH ĐƯA VÀO QUYẾT TOÁN</v>
          </cell>
        </row>
      </sheetData>
      <sheetData sheetId="7509">
        <row r="4">
          <cell r="A4" t="str">
            <v>BẢNG TÍNH TOÁN, ĐO BÓC KHỐI LƯỢNG HOÀN THÀNH ĐƯA VÀO QUYẾT TOÁN</v>
          </cell>
        </row>
      </sheetData>
      <sheetData sheetId="7510">
        <row r="4">
          <cell r="A4" t="str">
            <v>BẢNG TÍNH TOÁN, ĐO BÓC KHỐI LƯỢNG HOÀN THÀNH ĐƯA VÀO QUYẾT TOÁN</v>
          </cell>
        </row>
      </sheetData>
      <sheetData sheetId="7511">
        <row r="4">
          <cell r="A4" t="str">
            <v>BẢNG TÍNH TOÁN, ĐO BÓC KHỐI LƯỢNG HOÀN THÀNH ĐƯA VÀO QUYẾT TOÁN</v>
          </cell>
        </row>
      </sheetData>
      <sheetData sheetId="7512">
        <row r="4">
          <cell r="A4" t="str">
            <v>BẢNG TÍNH TOÁN, ĐO BÓC KHỐI LƯỢNG HOÀN THÀNH ĐƯA VÀO QUYẾT TOÁN</v>
          </cell>
        </row>
      </sheetData>
      <sheetData sheetId="7513">
        <row r="4">
          <cell r="A4" t="str">
            <v>BẢNG TÍNH TOÁN, ĐO BÓC KHỐI LƯỢNG HOÀN THÀNH ĐƯA VÀO QUYẾT TOÁN</v>
          </cell>
        </row>
      </sheetData>
      <sheetData sheetId="7514">
        <row r="4">
          <cell r="A4" t="str">
            <v>BẢNG TÍNH TOÁN, ĐO BÓC KHỐI LƯỢNG HOÀN THÀNH ĐƯA VÀO QUYẾT TOÁN</v>
          </cell>
        </row>
      </sheetData>
      <sheetData sheetId="7515">
        <row r="4">
          <cell r="A4" t="str">
            <v>BẢNG TÍNH TOÁN, ĐO BÓC KHỐI LƯỢNG HOÀN THÀNH ĐƯA VÀO QUYẾT TOÁN</v>
          </cell>
        </row>
      </sheetData>
      <sheetData sheetId="7516">
        <row r="4">
          <cell r="A4" t="str">
            <v>BẢNG TÍNH TOÁN, ĐO BÓC KHỐI LƯỢNG HOÀN THÀNH ĐƯA VÀO QUYẾT TOÁN</v>
          </cell>
        </row>
      </sheetData>
      <sheetData sheetId="7517">
        <row r="4">
          <cell r="A4" t="str">
            <v>BẢNG TÍNH TOÁN, ĐO BÓC KHỐI LƯỢNG HOÀN THÀNH ĐƯA VÀO QUYẾT TOÁN</v>
          </cell>
        </row>
      </sheetData>
      <sheetData sheetId="7518">
        <row r="4">
          <cell r="A4" t="str">
            <v>BẢNG TÍNH TOÁN, ĐO BÓC KHỐI LƯỢNG HOÀN THÀNH ĐƯA VÀO QUYẾT TOÁN</v>
          </cell>
        </row>
      </sheetData>
      <sheetData sheetId="7519">
        <row r="4">
          <cell r="A4" t="str">
            <v>BẢNG TÍNH TOÁN, ĐO BÓC KHỐI LƯỢNG HOÀN THÀNH ĐƯA VÀO QUYẾT TOÁN</v>
          </cell>
        </row>
      </sheetData>
      <sheetData sheetId="7520">
        <row r="4">
          <cell r="A4" t="str">
            <v>BẢNG TÍNH TOÁN, ĐO BÓC KHỐI LƯỢNG HOÀN THÀNH ĐƯA VÀO QUYẾT TOÁN</v>
          </cell>
        </row>
      </sheetData>
      <sheetData sheetId="7521">
        <row r="4">
          <cell r="A4" t="str">
            <v>BẢNG TÍNH TOÁN, ĐO BÓC KHỐI LƯỢNG HOÀN THÀNH ĐƯA VÀO QUYẾT TOÁN</v>
          </cell>
        </row>
      </sheetData>
      <sheetData sheetId="7522">
        <row r="4">
          <cell r="A4" t="str">
            <v>BẢNG TÍNH TOÁN, ĐO BÓC KHỐI LƯỢNG HOÀN THÀNH ĐƯA VÀO QUYẾT TOÁN</v>
          </cell>
        </row>
      </sheetData>
      <sheetData sheetId="7523">
        <row r="4">
          <cell r="A4" t="str">
            <v>BẢNG TÍNH TOÁN, ĐO BÓC KHỐI LƯỢNG HOÀN THÀNH ĐƯA VÀO QUYẾT TOÁN</v>
          </cell>
        </row>
      </sheetData>
      <sheetData sheetId="7524">
        <row r="4">
          <cell r="A4" t="str">
            <v>BẢNG TÍNH TOÁN, ĐO BÓC KHỐI LƯỢNG HOÀN THÀNH ĐƯA VÀO QUYẾT TOÁN</v>
          </cell>
        </row>
      </sheetData>
      <sheetData sheetId="7525">
        <row r="4">
          <cell r="A4" t="str">
            <v>BẢNG TÍNH TOÁN, ĐO BÓC KHỐI LƯỢNG HOÀN THÀNH ĐƯA VÀO QUYẾT TOÁN</v>
          </cell>
        </row>
      </sheetData>
      <sheetData sheetId="7526">
        <row r="4">
          <cell r="A4" t="str">
            <v>BẢNG TÍNH TOÁN, ĐO BÓC KHỐI LƯỢNG HOÀN THÀNH ĐƯA VÀO QUYẾT TOÁN</v>
          </cell>
        </row>
      </sheetData>
      <sheetData sheetId="7527">
        <row r="4">
          <cell r="A4" t="str">
            <v>BẢNG TÍNH TOÁN, ĐO BÓC KHỐI LƯỢNG HOÀN THÀNH ĐƯA VÀO QUYẾT TOÁN</v>
          </cell>
        </row>
      </sheetData>
      <sheetData sheetId="7528">
        <row r="4">
          <cell r="A4" t="str">
            <v>BẢNG TÍNH TOÁN, ĐO BÓC KHỐI LƯỢNG HOÀN THÀNH ĐƯA VÀO QUYẾT TOÁN</v>
          </cell>
        </row>
      </sheetData>
      <sheetData sheetId="7529">
        <row r="4">
          <cell r="A4" t="str">
            <v>BẢNG TÍNH TOÁN, ĐO BÓC KHỐI LƯỢNG HOÀN THÀNH ĐƯA VÀO QUYẾT TOÁN</v>
          </cell>
        </row>
      </sheetData>
      <sheetData sheetId="7530">
        <row r="4">
          <cell r="A4" t="str">
            <v>BẢNG TÍNH TOÁN, ĐO BÓC KHỐI LƯỢNG HOÀN THÀNH ĐƯA VÀO QUYẾT TOÁN</v>
          </cell>
        </row>
      </sheetData>
      <sheetData sheetId="7531">
        <row r="4">
          <cell r="A4" t="str">
            <v>BẢNG TÍNH TOÁN, ĐO BÓC KHỐI LƯỢNG HOÀN THÀNH ĐƯA VÀO QUYẾT TOÁN</v>
          </cell>
        </row>
      </sheetData>
      <sheetData sheetId="7532">
        <row r="4">
          <cell r="A4" t="str">
            <v>BẢNG TÍNH TOÁN, ĐO BÓC KHỐI LƯỢNG HOÀN THÀNH ĐƯA VÀO QUYẾT TOÁN</v>
          </cell>
        </row>
      </sheetData>
      <sheetData sheetId="7533">
        <row r="4">
          <cell r="A4" t="str">
            <v>BẢNG TÍNH TOÁN, ĐO BÓC KHỐI LƯỢNG HOÀN THÀNH ĐƯA VÀO QUYẾT TOÁN</v>
          </cell>
        </row>
      </sheetData>
      <sheetData sheetId="7534">
        <row r="4">
          <cell r="A4" t="str">
            <v>BẢNG TÍNH TOÁN, ĐO BÓC KHỐI LƯỢNG HOÀN THÀNH ĐƯA VÀO QUYẾT TOÁN</v>
          </cell>
        </row>
      </sheetData>
      <sheetData sheetId="7535">
        <row r="4">
          <cell r="A4" t="str">
            <v>BẢNG TÍNH TOÁN, ĐO BÓC KHỐI LƯỢNG HOÀN THÀNH ĐƯA VÀO QUYẾT TOÁN</v>
          </cell>
        </row>
      </sheetData>
      <sheetData sheetId="7536">
        <row r="4">
          <cell r="A4" t="str">
            <v>BẢNG TÍNH TOÁN, ĐO BÓC KHỐI LƯỢNG HOÀN THÀNH ĐƯA VÀO QUYẾT TOÁN</v>
          </cell>
        </row>
      </sheetData>
      <sheetData sheetId="7537">
        <row r="4">
          <cell r="A4" t="str">
            <v>BẢNG TÍNH TOÁN, ĐO BÓC KHỐI LƯỢNG HOÀN THÀNH ĐƯA VÀO QUYẾT TOÁN</v>
          </cell>
        </row>
      </sheetData>
      <sheetData sheetId="7538">
        <row r="4">
          <cell r="A4" t="str">
            <v>BẢNG TÍNH TOÁN, ĐO BÓC KHỐI LƯỢNG HOÀN THÀNH ĐƯA VÀO QUYẾT TOÁN</v>
          </cell>
        </row>
      </sheetData>
      <sheetData sheetId="7539">
        <row r="4">
          <cell r="A4" t="str">
            <v>BẢNG TÍNH TOÁN, ĐO BÓC KHỐI LƯỢNG HOÀN THÀNH ĐƯA VÀO QUYẾT TOÁN</v>
          </cell>
        </row>
      </sheetData>
      <sheetData sheetId="7540">
        <row r="4">
          <cell r="A4" t="str">
            <v>BẢNG TÍNH TOÁN, ĐO BÓC KHỐI LƯỢNG HOÀN THÀNH ĐƯA VÀO QUYẾT TOÁN</v>
          </cell>
        </row>
      </sheetData>
      <sheetData sheetId="7541">
        <row r="4">
          <cell r="A4" t="str">
            <v>BẢNG TÍNH TOÁN, ĐO BÓC KHỐI LƯỢNG HOÀN THÀNH ĐƯA VÀO QUYẾT TOÁN</v>
          </cell>
        </row>
      </sheetData>
      <sheetData sheetId="7542">
        <row r="4">
          <cell r="A4" t="str">
            <v>BẢNG TÍNH TOÁN, ĐO BÓC KHỐI LƯỢNG HOÀN THÀNH ĐƯA VÀO QUYẾT TOÁN</v>
          </cell>
        </row>
      </sheetData>
      <sheetData sheetId="7543">
        <row r="4">
          <cell r="A4" t="str">
            <v>BẢNG TÍNH TOÁN, ĐO BÓC KHỐI LƯỢNG HOÀN THÀNH ĐƯA VÀO QUYẾT TOÁN</v>
          </cell>
        </row>
      </sheetData>
      <sheetData sheetId="7544">
        <row r="4">
          <cell r="A4" t="str">
            <v>BẢNG TÍNH TOÁN, ĐO BÓC KHỐI LƯỢNG HOÀN THÀNH ĐƯA VÀO QUYẾT TOÁN</v>
          </cell>
        </row>
      </sheetData>
      <sheetData sheetId="7545">
        <row r="4">
          <cell r="A4" t="str">
            <v>BẢNG TÍNH TOÁN, ĐO BÓC KHỐI LƯỢNG HOÀN THÀNH ĐƯA VÀO QUYẾT TOÁN</v>
          </cell>
        </row>
      </sheetData>
      <sheetData sheetId="7546">
        <row r="4">
          <cell r="A4" t="str">
            <v>BẢNG TÍNH TOÁN, ĐO BÓC KHỐI LƯỢNG HOÀN THÀNH ĐƯA VÀO QUYẾT TOÁN</v>
          </cell>
        </row>
      </sheetData>
      <sheetData sheetId="7547">
        <row r="4">
          <cell r="A4" t="str">
            <v>BẢNG TÍNH TOÁN, ĐO BÓC KHỐI LƯỢNG HOÀN THÀNH ĐƯA VÀO QUYẾT TOÁN</v>
          </cell>
        </row>
      </sheetData>
      <sheetData sheetId="7548">
        <row r="4">
          <cell r="A4" t="str">
            <v>BẢNG TÍNH TOÁN, ĐO BÓC KHỐI LƯỢNG HOÀN THÀNH ĐƯA VÀO QUYẾT TOÁN</v>
          </cell>
        </row>
      </sheetData>
      <sheetData sheetId="7549">
        <row r="4">
          <cell r="A4" t="str">
            <v>BẢNG TÍNH TOÁN, ĐO BÓC KHỐI LƯỢNG HOÀN THÀNH ĐƯA VÀO QUYẾT TOÁN</v>
          </cell>
        </row>
      </sheetData>
      <sheetData sheetId="7550">
        <row r="4">
          <cell r="A4" t="str">
            <v>BẢNG TÍNH TOÁN, ĐO BÓC KHỐI LƯỢNG HOÀN THÀNH ĐƯA VÀO QUYẾT TOÁN</v>
          </cell>
        </row>
      </sheetData>
      <sheetData sheetId="7551">
        <row r="4">
          <cell r="A4" t="str">
            <v>BẢNG TÍNH TOÁN, ĐO BÓC KHỐI LƯỢNG HOÀN THÀNH ĐƯA VÀO QUYẾT TOÁN</v>
          </cell>
        </row>
      </sheetData>
      <sheetData sheetId="7552">
        <row r="4">
          <cell r="A4" t="str">
            <v>BẢNG TÍNH TOÁN, ĐO BÓC KHỐI LƯỢNG HOÀN THÀNH ĐƯA VÀO QUYẾT TOÁN</v>
          </cell>
        </row>
      </sheetData>
      <sheetData sheetId="7553">
        <row r="4">
          <cell r="A4" t="str">
            <v>BẢNG TÍNH TOÁN, ĐO BÓC KHỐI LƯỢNG HOÀN THÀNH ĐƯA VÀO QUYẾT TOÁN</v>
          </cell>
        </row>
      </sheetData>
      <sheetData sheetId="7554">
        <row r="4">
          <cell r="A4" t="str">
            <v>BẢNG TÍNH TOÁN, ĐO BÓC KHỐI LƯỢNG HOÀN THÀNH ĐƯA VÀO QUYẾT TOÁN</v>
          </cell>
        </row>
      </sheetData>
      <sheetData sheetId="7555">
        <row r="4">
          <cell r="A4" t="str">
            <v>BẢNG TÍNH TOÁN, ĐO BÓC KHỐI LƯỢNG HOÀN THÀNH ĐƯA VÀO QUYẾT TOÁN</v>
          </cell>
        </row>
      </sheetData>
      <sheetData sheetId="7556">
        <row r="4">
          <cell r="A4" t="str">
            <v>BẢNG TÍNH TOÁN, ĐO BÓC KHỐI LƯỢNG HOÀN THÀNH ĐƯA VÀO QUYẾT TOÁN</v>
          </cell>
        </row>
      </sheetData>
      <sheetData sheetId="7557">
        <row r="4">
          <cell r="A4" t="str">
            <v>BẢNG TÍNH TOÁN, ĐO BÓC KHỐI LƯỢNG HOÀN THÀNH ĐƯA VÀO QUYẾT TOÁN</v>
          </cell>
        </row>
      </sheetData>
      <sheetData sheetId="7558">
        <row r="4">
          <cell r="A4" t="str">
            <v>BẢNG TÍNH TOÁN, ĐO BÓC KHỐI LƯỢNG HOÀN THÀNH ĐƯA VÀO QUYẾT TOÁN</v>
          </cell>
        </row>
      </sheetData>
      <sheetData sheetId="7559">
        <row r="4">
          <cell r="A4" t="str">
            <v>BẢNG TÍNH TOÁN, ĐO BÓC KHỐI LƯỢNG HOÀN THÀNH ĐƯA VÀO QUYẾT TOÁN</v>
          </cell>
        </row>
      </sheetData>
      <sheetData sheetId="7560">
        <row r="4">
          <cell r="A4" t="str">
            <v>BẢNG TÍNH TOÁN, ĐO BÓC KHỐI LƯỢNG HOÀN THÀNH ĐƯA VÀO QUYẾT TOÁN</v>
          </cell>
        </row>
      </sheetData>
      <sheetData sheetId="7561">
        <row r="4">
          <cell r="A4" t="str">
            <v>BẢNG TÍNH TOÁN, ĐO BÓC KHỐI LƯỢNG HOÀN THÀNH ĐƯA VÀO QUYẾT TOÁN</v>
          </cell>
        </row>
      </sheetData>
      <sheetData sheetId="7562">
        <row r="4">
          <cell r="A4" t="str">
            <v>BẢNG TÍNH TOÁN, ĐO BÓC KHỐI LƯỢNG HOÀN THÀNH ĐƯA VÀO QUYẾT TOÁN</v>
          </cell>
        </row>
      </sheetData>
      <sheetData sheetId="7563">
        <row r="4">
          <cell r="A4" t="str">
            <v>BẢNG TÍNH TOÁN, ĐO BÓC KHỐI LƯỢNG HOÀN THÀNH ĐƯA VÀO QUYẾT TOÁN</v>
          </cell>
        </row>
      </sheetData>
      <sheetData sheetId="7564">
        <row r="4">
          <cell r="A4" t="str">
            <v>BẢNG TÍNH TOÁN, ĐO BÓC KHỐI LƯỢNG HOÀN THÀNH ĐƯA VÀO QUYẾT TOÁN</v>
          </cell>
        </row>
      </sheetData>
      <sheetData sheetId="7565">
        <row r="4">
          <cell r="A4" t="str">
            <v>BẢNG TÍNH TOÁN, ĐO BÓC KHỐI LƯỢNG HOÀN THÀNH ĐƯA VÀO QUYẾT TOÁN</v>
          </cell>
        </row>
      </sheetData>
      <sheetData sheetId="7566">
        <row r="4">
          <cell r="A4" t="str">
            <v>BẢNG TÍNH TOÁN, ĐO BÓC KHỐI LƯỢNG HOÀN THÀNH ĐƯA VÀO QUYẾT TOÁN</v>
          </cell>
        </row>
      </sheetData>
      <sheetData sheetId="7567">
        <row r="4">
          <cell r="A4" t="str">
            <v>BẢNG TÍNH TOÁN, ĐO BÓC KHỐI LƯỢNG HOÀN THÀNH ĐƯA VÀO QUYẾT TOÁN</v>
          </cell>
        </row>
      </sheetData>
      <sheetData sheetId="7568">
        <row r="4">
          <cell r="A4" t="str">
            <v>BẢNG TÍNH TOÁN, ĐO BÓC KHỐI LƯỢNG HOÀN THÀNH ĐƯA VÀO QUYẾT TOÁN</v>
          </cell>
        </row>
      </sheetData>
      <sheetData sheetId="7569">
        <row r="4">
          <cell r="A4" t="str">
            <v>BẢNG TÍNH TOÁN, ĐO BÓC KHỐI LƯỢNG HOÀN THÀNH ĐƯA VÀO QUYẾT TOÁN</v>
          </cell>
        </row>
      </sheetData>
      <sheetData sheetId="7570">
        <row r="4">
          <cell r="A4" t="str">
            <v>BẢNG TÍNH TOÁN, ĐO BÓC KHỐI LƯỢNG HOÀN THÀNH ĐƯA VÀO QUYẾT TOÁN</v>
          </cell>
        </row>
      </sheetData>
      <sheetData sheetId="7571">
        <row r="4">
          <cell r="A4" t="str">
            <v>BẢNG TÍNH TOÁN, ĐO BÓC KHỐI LƯỢNG HOÀN THÀNH ĐƯA VÀO QUYẾT TOÁN</v>
          </cell>
        </row>
      </sheetData>
      <sheetData sheetId="7572">
        <row r="4">
          <cell r="A4" t="str">
            <v>BẢNG TÍNH TOÁN, ĐO BÓC KHỐI LƯỢNG HOÀN THÀNH ĐƯA VÀO QUYẾT TOÁN</v>
          </cell>
        </row>
      </sheetData>
      <sheetData sheetId="7573">
        <row r="4">
          <cell r="A4" t="str">
            <v>BẢNG TÍNH TOÁN, ĐO BÓC KHỐI LƯỢNG HOÀN THÀNH ĐƯA VÀO QUYẾT TOÁN</v>
          </cell>
        </row>
      </sheetData>
      <sheetData sheetId="7574">
        <row r="4">
          <cell r="A4" t="str">
            <v>BẢNG TÍNH TOÁN, ĐO BÓC KHỐI LƯỢNG HOÀN THÀNH ĐƯA VÀO QUYẾT TOÁN</v>
          </cell>
        </row>
      </sheetData>
      <sheetData sheetId="7575">
        <row r="4">
          <cell r="A4" t="str">
            <v>BẢNG TÍNH TOÁN, ĐO BÓC KHỐI LƯỢNG HOÀN THÀNH ĐƯA VÀO QUYẾT TOÁN</v>
          </cell>
        </row>
      </sheetData>
      <sheetData sheetId="7576">
        <row r="4">
          <cell r="A4" t="str">
            <v>BẢNG TÍNH TOÁN, ĐO BÓC KHỐI LƯỢNG HOÀN THÀNH ĐƯA VÀO QUYẾT TOÁN</v>
          </cell>
        </row>
      </sheetData>
      <sheetData sheetId="7577">
        <row r="4">
          <cell r="A4" t="str">
            <v>BẢNG TÍNH TOÁN, ĐO BÓC KHỐI LƯỢNG HOÀN THÀNH ĐƯA VÀO QUYẾT TOÁN</v>
          </cell>
        </row>
      </sheetData>
      <sheetData sheetId="7578">
        <row r="4">
          <cell r="A4" t="str">
            <v>BẢNG TÍNH TOÁN, ĐO BÓC KHỐI LƯỢNG HOÀN THÀNH ĐƯA VÀO QUYẾT TOÁN</v>
          </cell>
        </row>
      </sheetData>
      <sheetData sheetId="7579">
        <row r="4">
          <cell r="A4" t="str">
            <v>BẢNG TÍNH TOÁN, ĐO BÓC KHỐI LƯỢNG HOÀN THÀNH ĐƯA VÀO QUYẾT TOÁN</v>
          </cell>
        </row>
      </sheetData>
      <sheetData sheetId="7580">
        <row r="4">
          <cell r="A4" t="str">
            <v>BẢNG TÍNH TOÁN, ĐO BÓC KHỐI LƯỢNG HOÀN THÀNH ĐƯA VÀO QUYẾT TOÁN</v>
          </cell>
        </row>
      </sheetData>
      <sheetData sheetId="7581">
        <row r="4">
          <cell r="A4" t="str">
            <v>BẢNG TÍNH TOÁN, ĐO BÓC KHỐI LƯỢNG HOÀN THÀNH ĐƯA VÀO QUYẾT TOÁN</v>
          </cell>
        </row>
      </sheetData>
      <sheetData sheetId="7582">
        <row r="4">
          <cell r="A4" t="str">
            <v>BẢNG TÍNH TOÁN, ĐO BÓC KHỐI LƯỢNG HOÀN THÀNH ĐƯA VÀO QUYẾT TOÁN</v>
          </cell>
        </row>
      </sheetData>
      <sheetData sheetId="7583">
        <row r="4">
          <cell r="A4" t="str">
            <v>BẢNG TÍNH TOÁN, ĐO BÓC KHỐI LƯỢNG HOÀN THÀNH ĐƯA VÀO QUYẾT TOÁN</v>
          </cell>
        </row>
      </sheetData>
      <sheetData sheetId="7584">
        <row r="4">
          <cell r="A4" t="str">
            <v>BẢNG TÍNH TOÁN, ĐO BÓC KHỐI LƯỢNG HOÀN THÀNH ĐƯA VÀO QUYẾT TOÁN</v>
          </cell>
        </row>
      </sheetData>
      <sheetData sheetId="7585">
        <row r="4">
          <cell r="A4" t="str">
            <v>BẢNG TÍNH TOÁN, ĐO BÓC KHỐI LƯỢNG HOÀN THÀNH ĐƯA VÀO QUYẾT TOÁN</v>
          </cell>
        </row>
      </sheetData>
      <sheetData sheetId="7586">
        <row r="4">
          <cell r="A4" t="str">
            <v>BẢNG TÍNH TOÁN, ĐO BÓC KHỐI LƯỢNG HOÀN THÀNH ĐƯA VÀO QUYẾT TOÁN</v>
          </cell>
        </row>
      </sheetData>
      <sheetData sheetId="7587">
        <row r="4">
          <cell r="A4" t="str">
            <v>BẢNG TÍNH TOÁN, ĐO BÓC KHỐI LƯỢNG HOÀN THÀNH ĐƯA VÀO QUYẾT TOÁN</v>
          </cell>
        </row>
      </sheetData>
      <sheetData sheetId="7588">
        <row r="4">
          <cell r="A4" t="str">
            <v>BẢNG TÍNH TOÁN, ĐO BÓC KHỐI LƯỢNG HOÀN THÀNH ĐƯA VÀO QUYẾT TOÁN</v>
          </cell>
        </row>
      </sheetData>
      <sheetData sheetId="7589">
        <row r="4">
          <cell r="A4" t="str">
            <v>BẢNG TÍNH TOÁN, ĐO BÓC KHỐI LƯỢNG HOÀN THÀNH ĐƯA VÀO QUYẾT TOÁN</v>
          </cell>
        </row>
      </sheetData>
      <sheetData sheetId="7590">
        <row r="4">
          <cell r="A4" t="str">
            <v>BẢNG TÍNH TOÁN, ĐO BÓC KHỐI LƯỢNG HOÀN THÀNH ĐƯA VÀO QUYẾT TOÁN</v>
          </cell>
        </row>
      </sheetData>
      <sheetData sheetId="7591">
        <row r="4">
          <cell r="A4" t="str">
            <v>BẢNG TÍNH TOÁN, ĐO BÓC KHỐI LƯỢNG HOÀN THÀNH ĐƯA VÀO QUYẾT TOÁN</v>
          </cell>
        </row>
      </sheetData>
      <sheetData sheetId="7592">
        <row r="4">
          <cell r="A4" t="str">
            <v>BẢNG TÍNH TOÁN, ĐO BÓC KHỐI LƯỢNG HOÀN THÀNH ĐƯA VÀO QUYẾT TOÁN</v>
          </cell>
        </row>
      </sheetData>
      <sheetData sheetId="7593">
        <row r="4">
          <cell r="A4" t="str">
            <v>BẢNG TÍNH TOÁN, ĐO BÓC KHỐI LƯỢNG HOÀN THÀNH ĐƯA VÀO QUYẾT TOÁN</v>
          </cell>
        </row>
      </sheetData>
      <sheetData sheetId="7594">
        <row r="4">
          <cell r="A4" t="str">
            <v>BẢNG TÍNH TOÁN, ĐO BÓC KHỐI LƯỢNG HOÀN THÀNH ĐƯA VÀO QUYẾT TOÁN</v>
          </cell>
        </row>
      </sheetData>
      <sheetData sheetId="7595">
        <row r="4">
          <cell r="A4" t="str">
            <v>BẢNG TÍNH TOÁN, ĐO BÓC KHỐI LƯỢNG HOÀN THÀNH ĐƯA VÀO QUYẾT TOÁN</v>
          </cell>
        </row>
      </sheetData>
      <sheetData sheetId="7596">
        <row r="4">
          <cell r="A4" t="str">
            <v>BẢNG TÍNH TOÁN, ĐO BÓC KHỐI LƯỢNG HOÀN THÀNH ĐƯA VÀO QUYẾT TOÁN</v>
          </cell>
        </row>
      </sheetData>
      <sheetData sheetId="7597">
        <row r="4">
          <cell r="A4" t="str">
            <v>BẢNG TÍNH TOÁN, ĐO BÓC KHỐI LƯỢNG HOÀN THÀNH ĐƯA VÀO QUYẾT TOÁN</v>
          </cell>
        </row>
      </sheetData>
      <sheetData sheetId="7598">
        <row r="4">
          <cell r="A4" t="str">
            <v>BẢNG TÍNH TOÁN, ĐO BÓC KHỐI LƯỢNG HOÀN THÀNH ĐƯA VÀO QUYẾT TOÁN</v>
          </cell>
        </row>
      </sheetData>
      <sheetData sheetId="7599">
        <row r="4">
          <cell r="A4" t="str">
            <v>BẢNG TÍNH TOÁN, ĐO BÓC KHỐI LƯỢNG HOÀN THÀNH ĐƯA VÀO QUYẾT TOÁN</v>
          </cell>
        </row>
      </sheetData>
      <sheetData sheetId="7600">
        <row r="4">
          <cell r="A4" t="str">
            <v>BẢNG TÍNH TOÁN, ĐO BÓC KHỐI LƯỢNG HOÀN THÀNH ĐƯA VÀO QUYẾT TOÁN</v>
          </cell>
        </row>
      </sheetData>
      <sheetData sheetId="7601">
        <row r="4">
          <cell r="A4" t="str">
            <v>BẢNG TÍNH TOÁN, ĐO BÓC KHỐI LƯỢNG HOÀN THÀNH ĐƯA VÀO QUYẾT TOÁN</v>
          </cell>
        </row>
      </sheetData>
      <sheetData sheetId="7602">
        <row r="4">
          <cell r="A4" t="str">
            <v>BẢNG TÍNH TOÁN, ĐO BÓC KHỐI LƯỢNG HOÀN THÀNH ĐƯA VÀO QUYẾT TOÁN</v>
          </cell>
        </row>
      </sheetData>
      <sheetData sheetId="7603">
        <row r="4">
          <cell r="A4" t="str">
            <v>BẢNG TÍNH TOÁN, ĐO BÓC KHỐI LƯỢNG HOÀN THÀNH ĐƯA VÀO QUYẾT TOÁN</v>
          </cell>
        </row>
      </sheetData>
      <sheetData sheetId="7604">
        <row r="4">
          <cell r="A4" t="str">
            <v>BẢNG TÍNH TOÁN, ĐO BÓC KHỐI LƯỢNG HOÀN THÀNH ĐƯA VÀO QUYẾT TOÁN</v>
          </cell>
        </row>
      </sheetData>
      <sheetData sheetId="7605">
        <row r="4">
          <cell r="A4" t="str">
            <v>BẢNG TÍNH TOÁN, ĐO BÓC KHỐI LƯỢNG HOÀN THÀNH ĐƯA VÀO QUYẾT TOÁN</v>
          </cell>
        </row>
      </sheetData>
      <sheetData sheetId="7606">
        <row r="4">
          <cell r="A4" t="str">
            <v>BẢNG TÍNH TOÁN, ĐO BÓC KHỐI LƯỢNG HOÀN THÀNH ĐƯA VÀO QUYẾT TOÁN</v>
          </cell>
        </row>
      </sheetData>
      <sheetData sheetId="7607">
        <row r="4">
          <cell r="A4" t="str">
            <v>BẢNG TÍNH TOÁN, ĐO BÓC KHỐI LƯỢNG HOÀN THÀNH ĐƯA VÀO QUYẾT TOÁN</v>
          </cell>
        </row>
      </sheetData>
      <sheetData sheetId="7608">
        <row r="4">
          <cell r="A4" t="str">
            <v>BẢNG TÍNH TOÁN, ĐO BÓC KHỐI LƯỢNG HOÀN THÀNH ĐƯA VÀO QUYẾT TOÁN</v>
          </cell>
        </row>
      </sheetData>
      <sheetData sheetId="7609">
        <row r="4">
          <cell r="A4" t="str">
            <v>BẢNG TÍNH TOÁN, ĐO BÓC KHỐI LƯỢNG HOÀN THÀNH ĐƯA VÀO QUYẾT TOÁN</v>
          </cell>
        </row>
      </sheetData>
      <sheetData sheetId="7610">
        <row r="4">
          <cell r="A4" t="str">
            <v>BẢNG TÍNH TOÁN, ĐO BÓC KHỐI LƯỢNG HOÀN THÀNH ĐƯA VÀO QUYẾT TOÁN</v>
          </cell>
        </row>
      </sheetData>
      <sheetData sheetId="7611">
        <row r="4">
          <cell r="A4" t="str">
            <v>BẢNG TÍNH TOÁN, ĐO BÓC KHỐI LƯỢNG HOÀN THÀNH ĐƯA VÀO QUYẾT TOÁN</v>
          </cell>
        </row>
      </sheetData>
      <sheetData sheetId="7612">
        <row r="4">
          <cell r="A4" t="str">
            <v>BẢNG TÍNH TOÁN, ĐO BÓC KHỐI LƯỢNG HOÀN THÀNH ĐƯA VÀO QUYẾT TOÁN</v>
          </cell>
        </row>
      </sheetData>
      <sheetData sheetId="7613">
        <row r="4">
          <cell r="A4" t="str">
            <v>BẢNG TÍNH TOÁN, ĐO BÓC KHỐI LƯỢNG HOÀN THÀNH ĐƯA VÀO QUYẾT TOÁN</v>
          </cell>
        </row>
      </sheetData>
      <sheetData sheetId="7614">
        <row r="4">
          <cell r="A4" t="str">
            <v>BẢNG TÍNH TOÁN, ĐO BÓC KHỐI LƯỢNG HOÀN THÀNH ĐƯA VÀO QUYẾT TOÁN</v>
          </cell>
        </row>
      </sheetData>
      <sheetData sheetId="7615">
        <row r="4">
          <cell r="A4" t="str">
            <v>BẢNG TÍNH TOÁN, ĐO BÓC KHỐI LƯỢNG HOÀN THÀNH ĐƯA VÀO QUYẾT TOÁN</v>
          </cell>
        </row>
      </sheetData>
      <sheetData sheetId="7616">
        <row r="4">
          <cell r="A4" t="str">
            <v>BẢNG TÍNH TOÁN, ĐO BÓC KHỐI LƯỢNG HOÀN THÀNH ĐƯA VÀO QUYẾT TOÁN</v>
          </cell>
        </row>
      </sheetData>
      <sheetData sheetId="7617">
        <row r="4">
          <cell r="A4" t="str">
            <v>BẢNG TÍNH TOÁN, ĐO BÓC KHỐI LƯỢNG HOÀN THÀNH ĐƯA VÀO QUYẾT TOÁN</v>
          </cell>
        </row>
      </sheetData>
      <sheetData sheetId="7618">
        <row r="4">
          <cell r="A4" t="str">
            <v>BẢNG TÍNH TOÁN, ĐO BÓC KHỐI LƯỢNG HOÀN THÀNH ĐƯA VÀO QUYẾT TOÁN</v>
          </cell>
        </row>
      </sheetData>
      <sheetData sheetId="7619">
        <row r="4">
          <cell r="A4" t="str">
            <v>BẢNG TÍNH TOÁN, ĐO BÓC KHỐI LƯỢNG HOÀN THÀNH ĐƯA VÀO QUYẾT TOÁN</v>
          </cell>
        </row>
      </sheetData>
      <sheetData sheetId="7620">
        <row r="4">
          <cell r="A4" t="str">
            <v>BẢNG TÍNH TOÁN, ĐO BÓC KHỐI LƯỢNG HOÀN THÀNH ĐƯA VÀO QUYẾT TOÁN</v>
          </cell>
        </row>
      </sheetData>
      <sheetData sheetId="7621">
        <row r="4">
          <cell r="A4" t="str">
            <v>BẢNG TÍNH TOÁN, ĐO BÓC KHỐI LƯỢNG HOÀN THÀNH ĐƯA VÀO QUYẾT TOÁN</v>
          </cell>
        </row>
      </sheetData>
      <sheetData sheetId="7622">
        <row r="4">
          <cell r="A4" t="str">
            <v>BẢNG TÍNH TOÁN, ĐO BÓC KHỐI LƯỢNG HOÀN THÀNH ĐƯA VÀO QUYẾT TOÁN</v>
          </cell>
        </row>
      </sheetData>
      <sheetData sheetId="7623">
        <row r="4">
          <cell r="A4" t="str">
            <v>BẢNG TÍNH TOÁN, ĐO BÓC KHỐI LƯỢNG HOÀN THÀNH ĐƯA VÀO QUYẾT TOÁN</v>
          </cell>
        </row>
      </sheetData>
      <sheetData sheetId="7624">
        <row r="4">
          <cell r="A4" t="str">
            <v>BẢNG TÍNH TOÁN, ĐO BÓC KHỐI LƯỢNG HOÀN THÀNH ĐƯA VÀO QUYẾT TOÁN</v>
          </cell>
        </row>
      </sheetData>
      <sheetData sheetId="7625">
        <row r="4">
          <cell r="A4" t="str">
            <v>BẢNG TÍNH TOÁN, ĐO BÓC KHỐI LƯỢNG HOÀN THÀNH ĐƯA VÀO QUYẾT TOÁN</v>
          </cell>
        </row>
      </sheetData>
      <sheetData sheetId="7626">
        <row r="4">
          <cell r="A4" t="str">
            <v>BẢNG TÍNH TOÁN, ĐO BÓC KHỐI LƯỢNG HOÀN THÀNH ĐƯA VÀO QUYẾT TOÁN</v>
          </cell>
        </row>
      </sheetData>
      <sheetData sheetId="7627">
        <row r="4">
          <cell r="A4" t="str">
            <v>BẢNG TÍNH TOÁN, ĐO BÓC KHỐI LƯỢNG HOÀN THÀNH ĐƯA VÀO QUYẾT TOÁN</v>
          </cell>
        </row>
      </sheetData>
      <sheetData sheetId="7628">
        <row r="4">
          <cell r="A4" t="str">
            <v>BẢNG TÍNH TOÁN, ĐO BÓC KHỐI LƯỢNG HOÀN THÀNH ĐƯA VÀO QUYẾT TOÁN</v>
          </cell>
        </row>
      </sheetData>
      <sheetData sheetId="7629">
        <row r="4">
          <cell r="A4" t="str">
            <v>BẢNG TÍNH TOÁN, ĐO BÓC KHỐI LƯỢNG HOÀN THÀNH ĐƯA VÀO QUYẾT TOÁN</v>
          </cell>
        </row>
      </sheetData>
      <sheetData sheetId="7630">
        <row r="4">
          <cell r="A4" t="str">
            <v>BẢNG TÍNH TOÁN, ĐO BÓC KHỐI LƯỢNG HOÀN THÀNH ĐƯA VÀO QUYẾT TOÁN</v>
          </cell>
        </row>
      </sheetData>
      <sheetData sheetId="7631">
        <row r="4">
          <cell r="A4" t="str">
            <v>BẢNG TÍNH TOÁN, ĐO BÓC KHỐI LƯỢNG HOÀN THÀNH ĐƯA VÀO QUYẾT TOÁN</v>
          </cell>
        </row>
      </sheetData>
      <sheetData sheetId="7632">
        <row r="4">
          <cell r="A4" t="str">
            <v>BẢNG TÍNH TOÁN, ĐO BÓC KHỐI LƯỢNG HOÀN THÀNH ĐƯA VÀO QUYẾT TOÁN</v>
          </cell>
        </row>
      </sheetData>
      <sheetData sheetId="7633">
        <row r="4">
          <cell r="A4" t="str">
            <v>BẢNG TÍNH TOÁN, ĐO BÓC KHỐI LƯỢNG HOÀN THÀNH ĐƯA VÀO QUYẾT TOÁN</v>
          </cell>
        </row>
      </sheetData>
      <sheetData sheetId="7634">
        <row r="4">
          <cell r="A4" t="str">
            <v>BẢNG TÍNH TOÁN, ĐO BÓC KHỐI LƯỢNG HOÀN THÀNH ĐƯA VÀO QUYẾT TOÁN</v>
          </cell>
        </row>
      </sheetData>
      <sheetData sheetId="7635">
        <row r="4">
          <cell r="A4" t="str">
            <v>BẢNG TÍNH TOÁN, ĐO BÓC KHỐI LƯỢNG HOÀN THÀNH ĐƯA VÀO QUYẾT TOÁN</v>
          </cell>
        </row>
      </sheetData>
      <sheetData sheetId="7636">
        <row r="4">
          <cell r="A4" t="str">
            <v>BẢNG TÍNH TOÁN, ĐO BÓC KHỐI LƯỢNG HOÀN THÀNH ĐƯA VÀO QUYẾT TOÁN</v>
          </cell>
        </row>
      </sheetData>
      <sheetData sheetId="7637">
        <row r="4">
          <cell r="A4" t="str">
            <v>BẢNG TÍNH TOÁN, ĐO BÓC KHỐI LƯỢNG HOÀN THÀNH ĐƯA VÀO QUYẾT TOÁN</v>
          </cell>
        </row>
      </sheetData>
      <sheetData sheetId="7638">
        <row r="4">
          <cell r="A4" t="str">
            <v>BẢNG TÍNH TOÁN, ĐO BÓC KHỐI LƯỢNG HOÀN THÀNH ĐƯA VÀO QUYẾT TOÁN</v>
          </cell>
        </row>
      </sheetData>
      <sheetData sheetId="7639">
        <row r="4">
          <cell r="A4" t="str">
            <v>BẢNG TÍNH TOÁN, ĐO BÓC KHỐI LƯỢNG HOÀN THÀNH ĐƯA VÀO QUYẾT TOÁN</v>
          </cell>
        </row>
      </sheetData>
      <sheetData sheetId="7640">
        <row r="4">
          <cell r="A4" t="str">
            <v>BẢNG TÍNH TOÁN, ĐO BÓC KHỐI LƯỢNG HOÀN THÀNH ĐƯA VÀO QUYẾT TOÁN</v>
          </cell>
        </row>
      </sheetData>
      <sheetData sheetId="7641">
        <row r="4">
          <cell r="A4" t="str">
            <v>BẢNG TÍNH TOÁN, ĐO BÓC KHỐI LƯỢNG HOÀN THÀNH ĐƯA VÀO QUYẾT TOÁN</v>
          </cell>
        </row>
      </sheetData>
      <sheetData sheetId="7642">
        <row r="4">
          <cell r="A4" t="str">
            <v>BẢNG TÍNH TOÁN, ĐO BÓC KHỐI LƯỢNG HOÀN THÀNH ĐƯA VÀO QUYẾT TOÁN</v>
          </cell>
        </row>
      </sheetData>
      <sheetData sheetId="7643">
        <row r="4">
          <cell r="A4" t="str">
            <v>BẢNG TÍNH TOÁN, ĐO BÓC KHỐI LƯỢNG HOÀN THÀNH ĐƯA VÀO QUYẾT TOÁN</v>
          </cell>
        </row>
      </sheetData>
      <sheetData sheetId="7644">
        <row r="4">
          <cell r="A4" t="str">
            <v>BẢNG TÍNH TOÁN, ĐO BÓC KHỐI LƯỢNG HOÀN THÀNH ĐƯA VÀO QUYẾT TOÁN</v>
          </cell>
        </row>
      </sheetData>
      <sheetData sheetId="7645">
        <row r="4">
          <cell r="A4" t="str">
            <v>BẢNG TÍNH TOÁN, ĐO BÓC KHỐI LƯỢNG HOÀN THÀNH ĐƯA VÀO QUYẾT TOÁN</v>
          </cell>
        </row>
      </sheetData>
      <sheetData sheetId="7646">
        <row r="4">
          <cell r="A4" t="str">
            <v>BẢNG TÍNH TOÁN, ĐO BÓC KHỐI LƯỢNG HOÀN THÀNH ĐƯA VÀO QUYẾT TOÁN</v>
          </cell>
        </row>
      </sheetData>
      <sheetData sheetId="7647">
        <row r="4">
          <cell r="A4" t="str">
            <v>BẢNG TÍNH TOÁN, ĐO BÓC KHỐI LƯỢNG HOÀN THÀNH ĐƯA VÀO QUYẾT TOÁN</v>
          </cell>
        </row>
      </sheetData>
      <sheetData sheetId="7648">
        <row r="4">
          <cell r="A4" t="str">
            <v>BẢNG TÍNH TOÁN, ĐO BÓC KHỐI LƯỢNG HOÀN THÀNH ĐƯA VÀO QUYẾT TOÁN</v>
          </cell>
        </row>
      </sheetData>
      <sheetData sheetId="7649">
        <row r="4">
          <cell r="A4" t="str">
            <v>BẢNG TÍNH TOÁN, ĐO BÓC KHỐI LƯỢNG HOÀN THÀNH ĐƯA VÀO QUYẾT TOÁN</v>
          </cell>
        </row>
      </sheetData>
      <sheetData sheetId="7650">
        <row r="4">
          <cell r="A4" t="str">
            <v>BẢNG TÍNH TOÁN, ĐO BÓC KHỐI LƯỢNG HOÀN THÀNH ĐƯA VÀO QUYẾT TOÁN</v>
          </cell>
        </row>
      </sheetData>
      <sheetData sheetId="7651">
        <row r="4">
          <cell r="A4" t="str">
            <v>BẢNG TÍNH TOÁN, ĐO BÓC KHỐI LƯỢNG HOÀN THÀNH ĐƯA VÀO QUYẾT TOÁN</v>
          </cell>
        </row>
      </sheetData>
      <sheetData sheetId="7652">
        <row r="4">
          <cell r="A4" t="str">
            <v>BẢNG TÍNH TOÁN, ĐO BÓC KHỐI LƯỢNG HOÀN THÀNH ĐƯA VÀO QUYẾT TOÁN</v>
          </cell>
        </row>
      </sheetData>
      <sheetData sheetId="7653">
        <row r="4">
          <cell r="A4" t="str">
            <v>BẢNG TÍNH TOÁN, ĐO BÓC KHỐI LƯỢNG HOÀN THÀNH ĐƯA VÀO QUYẾT TOÁN</v>
          </cell>
        </row>
      </sheetData>
      <sheetData sheetId="7654">
        <row r="4">
          <cell r="A4" t="str">
            <v>BẢNG TÍNH TOÁN, ĐO BÓC KHỐI LƯỢNG HOÀN THÀNH ĐƯA VÀO QUYẾT TOÁN</v>
          </cell>
        </row>
      </sheetData>
      <sheetData sheetId="7655">
        <row r="4">
          <cell r="A4" t="str">
            <v>BẢNG TÍNH TOÁN, ĐO BÓC KHỐI LƯỢNG HOÀN THÀNH ĐƯA VÀO QUYẾT TOÁN</v>
          </cell>
        </row>
      </sheetData>
      <sheetData sheetId="7656">
        <row r="4">
          <cell r="A4" t="str">
            <v>BẢNG TÍNH TOÁN, ĐO BÓC KHỐI LƯỢNG HOÀN THÀNH ĐƯA VÀO QUYẾT TOÁN</v>
          </cell>
        </row>
      </sheetData>
      <sheetData sheetId="7657">
        <row r="4">
          <cell r="A4" t="str">
            <v>BẢNG TÍNH TOÁN, ĐO BÓC KHỐI LƯỢNG HOÀN THÀNH ĐƯA VÀO QUYẾT TOÁN</v>
          </cell>
        </row>
      </sheetData>
      <sheetData sheetId="7658">
        <row r="4">
          <cell r="A4" t="str">
            <v>BẢNG TÍNH TOÁN, ĐO BÓC KHỐI LƯỢNG HOÀN THÀNH ĐƯA VÀO QUYẾT TOÁN</v>
          </cell>
        </row>
      </sheetData>
      <sheetData sheetId="7659">
        <row r="4">
          <cell r="A4" t="str">
            <v>BẢNG TÍNH TOÁN, ĐO BÓC KHỐI LƯỢNG HOÀN THÀNH ĐƯA VÀO QUYẾT TOÁN</v>
          </cell>
        </row>
      </sheetData>
      <sheetData sheetId="7660">
        <row r="4">
          <cell r="A4" t="str">
            <v>BẢNG TÍNH TOÁN, ĐO BÓC KHỐI LƯỢNG HOÀN THÀNH ĐƯA VÀO QUYẾT TOÁN</v>
          </cell>
        </row>
      </sheetData>
      <sheetData sheetId="7661">
        <row r="4">
          <cell r="A4" t="str">
            <v>BẢNG TÍNH TOÁN, ĐO BÓC KHỐI LƯỢNG HOÀN THÀNH ĐƯA VÀO QUYẾT TOÁN</v>
          </cell>
        </row>
      </sheetData>
      <sheetData sheetId="7662">
        <row r="4">
          <cell r="A4" t="str">
            <v>BẢNG TÍNH TOÁN, ĐO BÓC KHỐI LƯỢNG HOÀN THÀNH ĐƯA VÀO QUYẾT TOÁN</v>
          </cell>
        </row>
      </sheetData>
      <sheetData sheetId="7663">
        <row r="4">
          <cell r="A4" t="str">
            <v>BẢNG TÍNH TOÁN, ĐO BÓC KHỐI LƯỢNG HOÀN THÀNH ĐƯA VÀO QUYẾT TOÁN</v>
          </cell>
        </row>
      </sheetData>
      <sheetData sheetId="7664">
        <row r="4">
          <cell r="A4" t="str">
            <v>BẢNG TÍNH TOÁN, ĐO BÓC KHỐI LƯỢNG HOÀN THÀNH ĐƯA VÀO QUYẾT TOÁN</v>
          </cell>
        </row>
      </sheetData>
      <sheetData sheetId="7665">
        <row r="4">
          <cell r="A4" t="str">
            <v>BẢNG TÍNH TOÁN, ĐO BÓC KHỐI LƯỢNG HOÀN THÀNH ĐƯA VÀO QUYẾT TOÁN</v>
          </cell>
        </row>
      </sheetData>
      <sheetData sheetId="7666">
        <row r="4">
          <cell r="A4" t="str">
            <v>BẢNG TÍNH TOÁN, ĐO BÓC KHỐI LƯỢNG HOÀN THÀNH ĐƯA VÀO QUYẾT TOÁN</v>
          </cell>
        </row>
      </sheetData>
      <sheetData sheetId="7667">
        <row r="4">
          <cell r="A4" t="str">
            <v>BẢNG TÍNH TOÁN, ĐO BÓC KHỐI LƯỢNG HOÀN THÀNH ĐƯA VÀO QUYẾT TOÁN</v>
          </cell>
        </row>
      </sheetData>
      <sheetData sheetId="7668">
        <row r="4">
          <cell r="A4" t="str">
            <v>BẢNG TÍNH TOÁN, ĐO BÓC KHỐI LƯỢNG HOÀN THÀNH ĐƯA VÀO QUYẾT TOÁN</v>
          </cell>
        </row>
      </sheetData>
      <sheetData sheetId="7669">
        <row r="4">
          <cell r="A4" t="str">
            <v>BẢNG TÍNH TOÁN, ĐO BÓC KHỐI LƯỢNG HOÀN THÀNH ĐƯA VÀO QUYẾT TOÁN</v>
          </cell>
        </row>
      </sheetData>
      <sheetData sheetId="7670">
        <row r="4">
          <cell r="A4" t="str">
            <v>BẢNG TÍNH TOÁN, ĐO BÓC KHỐI LƯỢNG HOÀN THÀNH ĐƯA VÀO QUYẾT TOÁN</v>
          </cell>
        </row>
      </sheetData>
      <sheetData sheetId="7671">
        <row r="4">
          <cell r="A4" t="str">
            <v>BẢNG TÍNH TOÁN, ĐO BÓC KHỐI LƯỢNG HOÀN THÀNH ĐƯA VÀO QUYẾT TOÁN</v>
          </cell>
        </row>
      </sheetData>
      <sheetData sheetId="7672">
        <row r="4">
          <cell r="A4" t="str">
            <v>BẢNG TÍNH TOÁN, ĐO BÓC KHỐI LƯỢNG HOÀN THÀNH ĐƯA VÀO QUYẾT TOÁN</v>
          </cell>
        </row>
      </sheetData>
      <sheetData sheetId="7673">
        <row r="4">
          <cell r="A4" t="str">
            <v>BẢNG TÍNH TOÁN, ĐO BÓC KHỐI LƯỢNG HOÀN THÀNH ĐƯA VÀO QUYẾT TOÁN</v>
          </cell>
        </row>
      </sheetData>
      <sheetData sheetId="7674">
        <row r="4">
          <cell r="A4" t="str">
            <v>BẢNG TÍNH TOÁN, ĐO BÓC KHỐI LƯỢNG HOÀN THÀNH ĐƯA VÀO QUYẾT TOÁN</v>
          </cell>
        </row>
      </sheetData>
      <sheetData sheetId="7675">
        <row r="4">
          <cell r="A4" t="str">
            <v>BẢNG TÍNH TOÁN, ĐO BÓC KHỐI LƯỢNG HOÀN THÀNH ĐƯA VÀO QUYẾT TOÁN</v>
          </cell>
        </row>
      </sheetData>
      <sheetData sheetId="7676">
        <row r="4">
          <cell r="A4" t="str">
            <v>BẢNG TÍNH TOÁN, ĐO BÓC KHỐI LƯỢNG HOÀN THÀNH ĐƯA VÀO QUYẾT TOÁN</v>
          </cell>
        </row>
      </sheetData>
      <sheetData sheetId="7677">
        <row r="4">
          <cell r="A4" t="str">
            <v>BẢNG TÍNH TOÁN, ĐO BÓC KHỐI LƯỢNG HOÀN THÀNH ĐƯA VÀO QUYẾT TOÁN</v>
          </cell>
        </row>
      </sheetData>
      <sheetData sheetId="7678">
        <row r="4">
          <cell r="A4" t="str">
            <v>BẢNG TÍNH TOÁN, ĐO BÓC KHỐI LƯỢNG HOÀN THÀNH ĐƯA VÀO QUYẾT TOÁN</v>
          </cell>
        </row>
      </sheetData>
      <sheetData sheetId="7679">
        <row r="4">
          <cell r="A4" t="str">
            <v>BẢNG TÍNH TOÁN, ĐO BÓC KHỐI LƯỢNG HOÀN THÀNH ĐƯA VÀO QUYẾT TOÁN</v>
          </cell>
        </row>
      </sheetData>
      <sheetData sheetId="7680">
        <row r="4">
          <cell r="A4" t="str">
            <v>BẢNG TÍNH TOÁN, ĐO BÓC KHỐI LƯỢNG HOÀN THÀNH ĐƯA VÀO QUYẾT TOÁN</v>
          </cell>
        </row>
      </sheetData>
      <sheetData sheetId="7681">
        <row r="4">
          <cell r="A4" t="str">
            <v>BẢNG TÍNH TOÁN, ĐO BÓC KHỐI LƯỢNG HOÀN THÀNH ĐƯA VÀO QUYẾT TOÁN</v>
          </cell>
        </row>
      </sheetData>
      <sheetData sheetId="7682">
        <row r="4">
          <cell r="A4" t="str">
            <v>BẢNG TÍNH TOÁN, ĐO BÓC KHỐI LƯỢNG HOÀN THÀNH ĐƯA VÀO QUYẾT TOÁN</v>
          </cell>
        </row>
      </sheetData>
      <sheetData sheetId="7683">
        <row r="4">
          <cell r="A4" t="str">
            <v>BẢNG TÍNH TOÁN, ĐO BÓC KHỐI LƯỢNG HOÀN THÀNH ĐƯA VÀO QUYẾT TOÁN</v>
          </cell>
        </row>
      </sheetData>
      <sheetData sheetId="7684">
        <row r="4">
          <cell r="A4" t="str">
            <v>BẢNG TÍNH TOÁN, ĐO BÓC KHỐI LƯỢNG HOÀN THÀNH ĐƯA VÀO QUYẾT TOÁN</v>
          </cell>
        </row>
      </sheetData>
      <sheetData sheetId="7685">
        <row r="4">
          <cell r="A4" t="str">
            <v>BẢNG TÍNH TOÁN, ĐO BÓC KHỐI LƯỢNG HOÀN THÀNH ĐƯA VÀO QUYẾT TOÁN</v>
          </cell>
        </row>
      </sheetData>
      <sheetData sheetId="7686">
        <row r="4">
          <cell r="A4" t="str">
            <v>BẢNG TÍNH TOÁN, ĐO BÓC KHỐI LƯỢNG HOÀN THÀNH ĐƯA VÀO QUYẾT TOÁN</v>
          </cell>
        </row>
      </sheetData>
      <sheetData sheetId="7687">
        <row r="4">
          <cell r="A4" t="str">
            <v>BẢNG TÍNH TOÁN, ĐO BÓC KHỐI LƯỢNG HOÀN THÀNH ĐƯA VÀO QUYẾT TOÁN</v>
          </cell>
        </row>
      </sheetData>
      <sheetData sheetId="7688">
        <row r="4">
          <cell r="A4" t="str">
            <v>BẢNG TÍNH TOÁN, ĐO BÓC KHỐI LƯỢNG HOÀN THÀNH ĐƯA VÀO QUYẾT TOÁN</v>
          </cell>
        </row>
      </sheetData>
      <sheetData sheetId="7689">
        <row r="4">
          <cell r="A4" t="str">
            <v>BẢNG TÍNH TOÁN, ĐO BÓC KHỐI LƯỢNG HOÀN THÀNH ĐƯA VÀO QUYẾT TOÁN</v>
          </cell>
        </row>
      </sheetData>
      <sheetData sheetId="7690">
        <row r="4">
          <cell r="A4" t="str">
            <v>BẢNG TÍNH TOÁN, ĐO BÓC KHỐI LƯỢNG HOÀN THÀNH ĐƯA VÀO QUYẾT TOÁN</v>
          </cell>
        </row>
      </sheetData>
      <sheetData sheetId="7691">
        <row r="4">
          <cell r="A4" t="str">
            <v>BẢNG TÍNH TOÁN, ĐO BÓC KHỐI LƯỢNG HOÀN THÀNH ĐƯA VÀO QUYẾT TOÁN</v>
          </cell>
        </row>
      </sheetData>
      <sheetData sheetId="7692">
        <row r="4">
          <cell r="A4" t="str">
            <v>BẢNG TÍNH TOÁN, ĐO BÓC KHỐI LƯỢNG HOÀN THÀNH ĐƯA VÀO QUYẾT TOÁN</v>
          </cell>
        </row>
      </sheetData>
      <sheetData sheetId="7693">
        <row r="4">
          <cell r="A4" t="str">
            <v>BẢNG TÍNH TOÁN, ĐO BÓC KHỐI LƯỢNG HOÀN THÀNH ĐƯA VÀO QUYẾT TOÁN</v>
          </cell>
        </row>
      </sheetData>
      <sheetData sheetId="7694">
        <row r="4">
          <cell r="A4" t="str">
            <v>BẢNG TÍNH TOÁN, ĐO BÓC KHỐI LƯỢNG HOÀN THÀNH ĐƯA VÀO QUYẾT TOÁN</v>
          </cell>
        </row>
      </sheetData>
      <sheetData sheetId="7695">
        <row r="4">
          <cell r="A4" t="str">
            <v>BẢNG TÍNH TOÁN, ĐO BÓC KHỐI LƯỢNG HOÀN THÀNH ĐƯA VÀO QUYẾT TOÁN</v>
          </cell>
        </row>
      </sheetData>
      <sheetData sheetId="7696">
        <row r="4">
          <cell r="A4" t="str">
            <v>BẢNG TÍNH TOÁN, ĐO BÓC KHỐI LƯỢNG HOÀN THÀNH ĐƯA VÀO QUYẾT TOÁN</v>
          </cell>
        </row>
      </sheetData>
      <sheetData sheetId="7697">
        <row r="4">
          <cell r="A4" t="str">
            <v>BẢNG TÍNH TOÁN, ĐO BÓC KHỐI LƯỢNG HOÀN THÀNH ĐƯA VÀO QUYẾT TOÁN</v>
          </cell>
        </row>
      </sheetData>
      <sheetData sheetId="7698">
        <row r="4">
          <cell r="A4" t="str">
            <v>BẢNG TÍNH TOÁN, ĐO BÓC KHỐI LƯỢNG HOÀN THÀNH ĐƯA VÀO QUYẾT TOÁN</v>
          </cell>
        </row>
      </sheetData>
      <sheetData sheetId="7699">
        <row r="4">
          <cell r="A4" t="str">
            <v>BẢNG TÍNH TOÁN, ĐO BÓC KHỐI LƯỢNG HOÀN THÀNH ĐƯA VÀO QUYẾT TOÁN</v>
          </cell>
        </row>
      </sheetData>
      <sheetData sheetId="7700">
        <row r="4">
          <cell r="A4" t="str">
            <v>BẢNG TÍNH TOÁN, ĐO BÓC KHỐI LƯỢNG HOÀN THÀNH ĐƯA VÀO QUYẾT TOÁN</v>
          </cell>
        </row>
      </sheetData>
      <sheetData sheetId="7701">
        <row r="4">
          <cell r="A4" t="str">
            <v>BẢNG TÍNH TOÁN, ĐO BÓC KHỐI LƯỢNG HOÀN THÀNH ĐƯA VÀO QUYẾT TOÁN</v>
          </cell>
        </row>
      </sheetData>
      <sheetData sheetId="7702">
        <row r="4">
          <cell r="A4" t="str">
            <v>BẢNG TÍNH TOÁN, ĐO BÓC KHỐI LƯỢNG HOÀN THÀNH ĐƯA VÀO QUYẾT TOÁN</v>
          </cell>
        </row>
      </sheetData>
      <sheetData sheetId="7703">
        <row r="4">
          <cell r="A4" t="str">
            <v>BẢNG TÍNH TOÁN, ĐO BÓC KHỐI LƯỢNG HOÀN THÀNH ĐƯA VÀO QUYẾT TOÁN</v>
          </cell>
        </row>
      </sheetData>
      <sheetData sheetId="7704">
        <row r="4">
          <cell r="A4" t="str">
            <v>BẢNG TÍNH TOÁN, ĐO BÓC KHỐI LƯỢNG HOÀN THÀNH ĐƯA VÀO QUYẾT TOÁN</v>
          </cell>
        </row>
      </sheetData>
      <sheetData sheetId="7705">
        <row r="4">
          <cell r="A4" t="str">
            <v>BẢNG TÍNH TOÁN, ĐO BÓC KHỐI LƯỢNG HOÀN THÀNH ĐƯA VÀO QUYẾT TOÁN</v>
          </cell>
        </row>
      </sheetData>
      <sheetData sheetId="7706">
        <row r="4">
          <cell r="A4" t="str">
            <v>BẢNG TÍNH TOÁN, ĐO BÓC KHỐI LƯỢNG HOÀN THÀNH ĐƯA VÀO QUYẾT TOÁN</v>
          </cell>
        </row>
      </sheetData>
      <sheetData sheetId="7707">
        <row r="4">
          <cell r="A4" t="str">
            <v>BẢNG TÍNH TOÁN, ĐO BÓC KHỐI LƯỢNG HOÀN THÀNH ĐƯA VÀO QUYẾT TOÁN</v>
          </cell>
        </row>
      </sheetData>
      <sheetData sheetId="7708">
        <row r="4">
          <cell r="A4" t="str">
            <v>BẢNG TÍNH TOÁN, ĐO BÓC KHỐI LƯỢNG HOÀN THÀNH ĐƯA VÀO QUYẾT TOÁN</v>
          </cell>
        </row>
      </sheetData>
      <sheetData sheetId="7709">
        <row r="4">
          <cell r="A4" t="str">
            <v>BẢNG TÍNH TOÁN, ĐO BÓC KHỐI LƯỢNG HOÀN THÀNH ĐƯA VÀO QUYẾT TOÁN</v>
          </cell>
        </row>
      </sheetData>
      <sheetData sheetId="7710">
        <row r="4">
          <cell r="A4" t="str">
            <v>BẢNG TÍNH TOÁN, ĐO BÓC KHỐI LƯỢNG HOÀN THÀNH ĐƯA VÀO QUYẾT TOÁN</v>
          </cell>
        </row>
      </sheetData>
      <sheetData sheetId="7711">
        <row r="4">
          <cell r="A4" t="str">
            <v>BẢNG TÍNH TOÁN, ĐO BÓC KHỐI LƯỢNG HOÀN THÀNH ĐƯA VÀO QUYẾT TOÁN</v>
          </cell>
        </row>
      </sheetData>
      <sheetData sheetId="7712">
        <row r="4">
          <cell r="A4" t="str">
            <v>BẢNG TÍNH TOÁN, ĐO BÓC KHỐI LƯỢNG HOÀN THÀNH ĐƯA VÀO QUYẾT TOÁN</v>
          </cell>
        </row>
      </sheetData>
      <sheetData sheetId="7713">
        <row r="4">
          <cell r="A4" t="str">
            <v>BẢNG TÍNH TOÁN, ĐO BÓC KHỐI LƯỢNG HOÀN THÀNH ĐƯA VÀO QUYẾT TOÁN</v>
          </cell>
        </row>
      </sheetData>
      <sheetData sheetId="7714">
        <row r="4">
          <cell r="A4" t="str">
            <v>BẢNG TÍNH TOÁN, ĐO BÓC KHỐI LƯỢNG HOÀN THÀNH ĐƯA VÀO QUYẾT TOÁN</v>
          </cell>
        </row>
      </sheetData>
      <sheetData sheetId="7715">
        <row r="4">
          <cell r="A4" t="str">
            <v>BẢNG TÍNH TOÁN, ĐO BÓC KHỐI LƯỢNG HOÀN THÀNH ĐƯA VÀO QUYẾT TOÁN</v>
          </cell>
        </row>
      </sheetData>
      <sheetData sheetId="7716">
        <row r="4">
          <cell r="A4" t="str">
            <v>BẢNG TÍNH TOÁN, ĐO BÓC KHỐI LƯỢNG HOÀN THÀNH ĐƯA VÀO QUYẾT TOÁN</v>
          </cell>
        </row>
      </sheetData>
      <sheetData sheetId="7717">
        <row r="4">
          <cell r="A4" t="str">
            <v>BẢNG TÍNH TOÁN, ĐO BÓC KHỐI LƯỢNG HOÀN THÀNH ĐƯA VÀO QUYẾT TOÁN</v>
          </cell>
        </row>
      </sheetData>
      <sheetData sheetId="7718">
        <row r="4">
          <cell r="A4" t="str">
            <v>BẢNG TÍNH TOÁN, ĐO BÓC KHỐI LƯỢNG HOÀN THÀNH ĐƯA VÀO QUYẾT TOÁN</v>
          </cell>
        </row>
      </sheetData>
      <sheetData sheetId="7719">
        <row r="4">
          <cell r="A4" t="str">
            <v>BẢNG TÍNH TOÁN, ĐO BÓC KHỐI LƯỢNG HOÀN THÀNH ĐƯA VÀO QUYẾT TOÁN</v>
          </cell>
        </row>
      </sheetData>
      <sheetData sheetId="7720">
        <row r="4">
          <cell r="A4" t="str">
            <v>BẢNG TÍNH TOÁN, ĐO BÓC KHỐI LƯỢNG HOÀN THÀNH ĐƯA VÀO QUYẾT TOÁN</v>
          </cell>
        </row>
      </sheetData>
      <sheetData sheetId="7721">
        <row r="4">
          <cell r="A4" t="str">
            <v>BẢNG TÍNH TOÁN, ĐO BÓC KHỐI LƯỢNG HOÀN THÀNH ĐƯA VÀO QUYẾT TOÁN</v>
          </cell>
        </row>
      </sheetData>
      <sheetData sheetId="7722">
        <row r="4">
          <cell r="A4" t="str">
            <v>BẢNG TÍNH TOÁN, ĐO BÓC KHỐI LƯỢNG HOÀN THÀNH ĐƯA VÀO QUYẾT TOÁN</v>
          </cell>
        </row>
      </sheetData>
      <sheetData sheetId="7723">
        <row r="4">
          <cell r="A4" t="str">
            <v>BẢNG TÍNH TOÁN, ĐO BÓC KHỐI LƯỢNG HOÀN THÀNH ĐƯA VÀO QUYẾT TOÁN</v>
          </cell>
        </row>
      </sheetData>
      <sheetData sheetId="7724">
        <row r="4">
          <cell r="A4" t="str">
            <v>BẢNG TÍNH TOÁN, ĐO BÓC KHỐI LƯỢNG HOÀN THÀNH ĐƯA VÀO QUYẾT TOÁN</v>
          </cell>
        </row>
      </sheetData>
      <sheetData sheetId="7725">
        <row r="4">
          <cell r="A4" t="str">
            <v>BẢNG TÍNH TOÁN, ĐO BÓC KHỐI LƯỢNG HOÀN THÀNH ĐƯA VÀO QUYẾT TOÁN</v>
          </cell>
        </row>
      </sheetData>
      <sheetData sheetId="7726">
        <row r="4">
          <cell r="A4" t="str">
            <v>BẢNG TÍNH TOÁN, ĐO BÓC KHỐI LƯỢNG HOÀN THÀNH ĐƯA VÀO QUYẾT TOÁN</v>
          </cell>
        </row>
      </sheetData>
      <sheetData sheetId="7727">
        <row r="4">
          <cell r="A4" t="str">
            <v>BẢNG TÍNH TOÁN, ĐO BÓC KHỐI LƯỢNG HOÀN THÀNH ĐƯA VÀO QUYẾT TOÁN</v>
          </cell>
        </row>
      </sheetData>
      <sheetData sheetId="7728">
        <row r="4">
          <cell r="A4" t="str">
            <v>BẢNG TÍNH TOÁN, ĐO BÓC KHỐI LƯỢNG HOÀN THÀNH ĐƯA VÀO QUYẾT TOÁN</v>
          </cell>
        </row>
      </sheetData>
      <sheetData sheetId="7729">
        <row r="4">
          <cell r="A4" t="str">
            <v>BẢNG TÍNH TOÁN, ĐO BÓC KHỐI LƯỢNG HOÀN THÀNH ĐƯA VÀO QUYẾT TOÁN</v>
          </cell>
        </row>
      </sheetData>
      <sheetData sheetId="7730">
        <row r="4">
          <cell r="A4" t="str">
            <v>BẢNG TÍNH TOÁN, ĐO BÓC KHỐI LƯỢNG HOÀN THÀNH ĐƯA VÀO QUYẾT TOÁN</v>
          </cell>
        </row>
      </sheetData>
      <sheetData sheetId="7731">
        <row r="4">
          <cell r="A4" t="str">
            <v>BẢNG TÍNH TOÁN, ĐO BÓC KHỐI LƯỢNG HOÀN THÀNH ĐƯA VÀO QUYẾT TOÁN</v>
          </cell>
        </row>
      </sheetData>
      <sheetData sheetId="7732">
        <row r="4">
          <cell r="A4" t="str">
            <v>BẢNG TÍNH TOÁN, ĐO BÓC KHỐI LƯỢNG HOÀN THÀNH ĐƯA VÀO QUYẾT TOÁN</v>
          </cell>
        </row>
      </sheetData>
      <sheetData sheetId="7733">
        <row r="4">
          <cell r="A4" t="str">
            <v>BẢNG TÍNH TOÁN, ĐO BÓC KHỐI LƯỢNG HOÀN THÀNH ĐƯA VÀO QUYẾT TOÁN</v>
          </cell>
        </row>
      </sheetData>
      <sheetData sheetId="7734">
        <row r="4">
          <cell r="A4" t="str">
            <v>BẢNG TÍNH TOÁN, ĐO BÓC KHỐI LƯỢNG HOÀN THÀNH ĐƯA VÀO QUYẾT TOÁN</v>
          </cell>
        </row>
      </sheetData>
      <sheetData sheetId="7735">
        <row r="4">
          <cell r="A4" t="str">
            <v>BẢNG TÍNH TOÁN, ĐO BÓC KHỐI LƯỢNG HOÀN THÀNH ĐƯA VÀO QUYẾT TOÁN</v>
          </cell>
        </row>
      </sheetData>
      <sheetData sheetId="7736">
        <row r="4">
          <cell r="A4" t="str">
            <v>BẢNG TÍNH TOÁN, ĐO BÓC KHỐI LƯỢNG HOÀN THÀNH ĐƯA VÀO QUYẾT TOÁN</v>
          </cell>
        </row>
      </sheetData>
      <sheetData sheetId="7737">
        <row r="4">
          <cell r="A4" t="str">
            <v>BẢNG TÍNH TOÁN, ĐO BÓC KHỐI LƯỢNG HOÀN THÀNH ĐƯA VÀO QUYẾT TOÁN</v>
          </cell>
        </row>
      </sheetData>
      <sheetData sheetId="7738">
        <row r="4">
          <cell r="A4" t="str">
            <v>BẢNG TÍNH TOÁN, ĐO BÓC KHỐI LƯỢNG HOÀN THÀNH ĐƯA VÀO QUYẾT TOÁN</v>
          </cell>
        </row>
      </sheetData>
      <sheetData sheetId="7739">
        <row r="4">
          <cell r="A4" t="str">
            <v>BẢNG TÍNH TOÁN, ĐO BÓC KHỐI LƯỢNG HOÀN THÀNH ĐƯA VÀO QUYẾT TOÁN</v>
          </cell>
        </row>
      </sheetData>
      <sheetData sheetId="7740">
        <row r="4">
          <cell r="A4" t="str">
            <v>BẢNG TÍNH TOÁN, ĐO BÓC KHỐI LƯỢNG HOÀN THÀNH ĐƯA VÀO QUYẾT TOÁN</v>
          </cell>
        </row>
      </sheetData>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ow r="9">
          <cell r="A9" t="str">
            <v>A</v>
          </cell>
        </row>
      </sheetData>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ow r="9">
          <cell r="A9" t="str">
            <v>A</v>
          </cell>
        </row>
      </sheetData>
      <sheetData sheetId="7874">
        <row r="9">
          <cell r="A9" t="str">
            <v>A</v>
          </cell>
        </row>
      </sheetData>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ow r="4">
          <cell r="A4" t="str">
            <v>BẢNG TÍNH TOÁN, ĐO BÓC KHỐI LƯỢNG HOÀN THÀNH ĐƯA VÀO QUYẾT TOÁN</v>
          </cell>
        </row>
      </sheetData>
      <sheetData sheetId="7894">
        <row r="4">
          <cell r="A4" t="str">
            <v>BẢNG TÍNH TOÁN, ĐO BÓC KHỐI LƯỢNG HOÀN THÀNH ĐƯA VÀO QUYẾT TOÁN</v>
          </cell>
        </row>
      </sheetData>
      <sheetData sheetId="7895">
        <row r="4">
          <cell r="A4" t="str">
            <v>BẢNG TÍNH TOÁN, ĐO BÓC KHỐI LƯỢNG HOÀN THÀNH ĐƯA VÀO QUYẾT TOÁN</v>
          </cell>
        </row>
      </sheetData>
      <sheetData sheetId="7896">
        <row r="4">
          <cell r="A4" t="str">
            <v>BẢNG TÍNH TOÁN, ĐO BÓC KHỐI LƯỢNG HOÀN THÀNH ĐƯA VÀO QUYẾT TOÁN</v>
          </cell>
        </row>
      </sheetData>
      <sheetData sheetId="7897">
        <row r="4">
          <cell r="A4" t="str">
            <v>BẢNG TÍNH TOÁN, ĐO BÓC KHỐI LƯỢNG HOÀN THÀNH ĐƯA VÀO QUYẾT TOÁN</v>
          </cell>
        </row>
      </sheetData>
      <sheetData sheetId="7898">
        <row r="4">
          <cell r="A4" t="str">
            <v>BẢNG TÍNH TOÁN, ĐO BÓC KHỐI LƯỢNG HOÀN THÀNH ĐƯA VÀO QUYẾT TOÁN</v>
          </cell>
        </row>
      </sheetData>
      <sheetData sheetId="7899">
        <row r="4">
          <cell r="A4" t="str">
            <v>BẢNG TÍNH TOÁN, ĐO BÓC KHỐI LƯỢNG HOÀN THÀNH ĐƯA VÀO QUYẾT TOÁN</v>
          </cell>
        </row>
      </sheetData>
      <sheetData sheetId="7900">
        <row r="4">
          <cell r="A4" t="str">
            <v>BẢNG TÍNH TOÁN, ĐO BÓC KHỐI LƯỢNG HOÀN THÀNH ĐƯA VÀO QUYẾT TOÁN</v>
          </cell>
        </row>
      </sheetData>
      <sheetData sheetId="7901">
        <row r="4">
          <cell r="A4" t="str">
            <v>BẢNG TÍNH TOÁN, ĐO BÓC KHỐI LƯỢNG HOÀN THÀNH ĐƯA VÀO QUYẾT TOÁN</v>
          </cell>
        </row>
      </sheetData>
      <sheetData sheetId="7902">
        <row r="4">
          <cell r="A4" t="str">
            <v>BẢNG TÍNH TOÁN, ĐO BÓC KHỐI LƯỢNG HOÀN THÀNH ĐƯA VÀO QUYẾT TOÁN</v>
          </cell>
        </row>
      </sheetData>
      <sheetData sheetId="7903">
        <row r="4">
          <cell r="A4" t="str">
            <v>BẢNG TÍNH TOÁN, ĐO BÓC KHỐI LƯỢNG HOÀN THÀNH ĐƯA VÀO QUYẾT TOÁN</v>
          </cell>
        </row>
      </sheetData>
      <sheetData sheetId="7904">
        <row r="4">
          <cell r="A4" t="str">
            <v>BẢNG TÍNH TOÁN, ĐO BÓC KHỐI LƯỢNG HOÀN THÀNH ĐƯA VÀO QUYẾT TOÁN</v>
          </cell>
        </row>
      </sheetData>
      <sheetData sheetId="7905">
        <row r="4">
          <cell r="A4" t="str">
            <v>BẢNG TÍNH TOÁN, ĐO BÓC KHỐI LƯỢNG HOÀN THÀNH ĐƯA VÀO QUYẾT TOÁN</v>
          </cell>
        </row>
      </sheetData>
      <sheetData sheetId="7906">
        <row r="4">
          <cell r="A4" t="str">
            <v>BẢNG TÍNH TOÁN, ĐO BÓC KHỐI LƯỢNG HOÀN THÀNH ĐƯA VÀO QUYẾT TOÁN</v>
          </cell>
        </row>
      </sheetData>
      <sheetData sheetId="7907">
        <row r="4">
          <cell r="A4" t="str">
            <v>BẢNG TÍNH TOÁN, ĐO BÓC KHỐI LƯỢNG HOÀN THÀNH ĐƯA VÀO QUYẾT TOÁN</v>
          </cell>
        </row>
      </sheetData>
      <sheetData sheetId="7908">
        <row r="4">
          <cell r="A4" t="str">
            <v>BẢNG TÍNH TOÁN, ĐO BÓC KHỐI LƯỢNG HOÀN THÀNH ĐƯA VÀO QUYẾT TOÁN</v>
          </cell>
        </row>
      </sheetData>
      <sheetData sheetId="7909">
        <row r="4">
          <cell r="A4" t="str">
            <v>BẢNG TÍNH TOÁN, ĐO BÓC KHỐI LƯỢNG HOÀN THÀNH ĐƯA VÀO QUYẾT TOÁN</v>
          </cell>
        </row>
      </sheetData>
      <sheetData sheetId="7910">
        <row r="4">
          <cell r="A4" t="str">
            <v>BẢNG TÍNH TOÁN, ĐO BÓC KHỐI LƯỢNG HOÀN THÀNH ĐƯA VÀO QUYẾT TOÁN</v>
          </cell>
        </row>
      </sheetData>
      <sheetData sheetId="7911">
        <row r="4">
          <cell r="A4" t="str">
            <v>BẢNG TÍNH TOÁN, ĐO BÓC KHỐI LƯỢNG HOÀN THÀNH ĐƯA VÀO QUYẾT TOÁN</v>
          </cell>
        </row>
      </sheetData>
      <sheetData sheetId="7912">
        <row r="4">
          <cell r="A4" t="str">
            <v>BẢNG TÍNH TOÁN, ĐO BÓC KHỐI LƯỢNG HOÀN THÀNH ĐƯA VÀO QUYẾT TOÁN</v>
          </cell>
        </row>
      </sheetData>
      <sheetData sheetId="7913">
        <row r="4">
          <cell r="A4" t="str">
            <v>BẢNG TÍNH TOÁN, ĐO BÓC KHỐI LƯỢNG HOÀN THÀNH ĐƯA VÀO QUYẾT TOÁN</v>
          </cell>
        </row>
      </sheetData>
      <sheetData sheetId="7914">
        <row r="4">
          <cell r="A4" t="str">
            <v>BẢNG TÍNH TOÁN, ĐO BÓC KHỐI LƯỢNG HOÀN THÀNH ĐƯA VÀO QUYẾT TOÁN</v>
          </cell>
        </row>
      </sheetData>
      <sheetData sheetId="7915">
        <row r="4">
          <cell r="A4" t="str">
            <v>BẢNG TÍNH TOÁN, ĐO BÓC KHỐI LƯỢNG HOÀN THÀNH ĐƯA VÀO QUYẾT TOÁN</v>
          </cell>
        </row>
      </sheetData>
      <sheetData sheetId="7916">
        <row r="4">
          <cell r="A4" t="str">
            <v>BẢNG TÍNH TOÁN, ĐO BÓC KHỐI LƯỢNG HOÀN THÀNH ĐƯA VÀO QUYẾT TOÁN</v>
          </cell>
        </row>
      </sheetData>
      <sheetData sheetId="7917">
        <row r="4">
          <cell r="A4" t="str">
            <v>BẢNG TÍNH TOÁN, ĐO BÓC KHỐI LƯỢNG HOÀN THÀNH ĐƯA VÀO QUYẾT TOÁN</v>
          </cell>
        </row>
      </sheetData>
      <sheetData sheetId="7918">
        <row r="4">
          <cell r="A4" t="str">
            <v>BẢNG TÍNH TOÁN, ĐO BÓC KHỐI LƯỢNG HOÀN THÀNH ĐƯA VÀO QUYẾT TOÁN</v>
          </cell>
        </row>
      </sheetData>
      <sheetData sheetId="7919">
        <row r="4">
          <cell r="A4" t="str">
            <v>BẢNG TÍNH TOÁN, ĐO BÓC KHỐI LƯỢNG HOÀN THÀNH ĐƯA VÀO QUYẾT TOÁN</v>
          </cell>
        </row>
      </sheetData>
      <sheetData sheetId="7920">
        <row r="4">
          <cell r="A4" t="str">
            <v>BẢNG TÍNH TOÁN, ĐO BÓC KHỐI LƯỢNG HOÀN THÀNH ĐƯA VÀO QUYẾT TOÁN</v>
          </cell>
        </row>
      </sheetData>
      <sheetData sheetId="7921">
        <row r="4">
          <cell r="A4" t="str">
            <v>BẢNG TÍNH TOÁN, ĐO BÓC KHỐI LƯỢNG HOÀN THÀNH ĐƯA VÀO QUYẾT TOÁN</v>
          </cell>
        </row>
      </sheetData>
      <sheetData sheetId="7922">
        <row r="4">
          <cell r="A4" t="str">
            <v>BẢNG TÍNH TOÁN, ĐO BÓC KHỐI LƯỢNG HOÀN THÀNH ĐƯA VÀO QUYẾT TOÁN</v>
          </cell>
        </row>
      </sheetData>
      <sheetData sheetId="7923">
        <row r="4">
          <cell r="A4" t="str">
            <v>BẢNG TÍNH TOÁN, ĐO BÓC KHỐI LƯỢNG HOÀN THÀNH ĐƯA VÀO QUYẾT TOÁN</v>
          </cell>
        </row>
      </sheetData>
      <sheetData sheetId="7924">
        <row r="4">
          <cell r="A4" t="str">
            <v>BẢNG TÍNH TOÁN, ĐO BÓC KHỐI LƯỢNG HOÀN THÀNH ĐƯA VÀO QUYẾT TOÁN</v>
          </cell>
        </row>
      </sheetData>
      <sheetData sheetId="7925">
        <row r="4">
          <cell r="A4" t="str">
            <v>BẢNG TÍNH TOÁN, ĐO BÓC KHỐI LƯỢNG HOÀN THÀNH ĐƯA VÀO QUYẾT TOÁN</v>
          </cell>
        </row>
      </sheetData>
      <sheetData sheetId="7926">
        <row r="4">
          <cell r="A4" t="str">
            <v>BẢNG TÍNH TOÁN, ĐO BÓC KHỐI LƯỢNG HOÀN THÀNH ĐƯA VÀO QUYẾT TOÁN</v>
          </cell>
        </row>
      </sheetData>
      <sheetData sheetId="7927">
        <row r="4">
          <cell r="A4" t="str">
            <v>BẢNG TÍNH TOÁN, ĐO BÓC KHỐI LƯỢNG HOÀN THÀNH ĐƯA VÀO QUYẾT TOÁN</v>
          </cell>
        </row>
      </sheetData>
      <sheetData sheetId="7928">
        <row r="4">
          <cell r="A4" t="str">
            <v>BẢNG TÍNH TOÁN, ĐO BÓC KHỐI LƯỢNG HOÀN THÀNH ĐƯA VÀO QUYẾT TOÁN</v>
          </cell>
        </row>
      </sheetData>
      <sheetData sheetId="7929">
        <row r="4">
          <cell r="A4" t="str">
            <v>BẢNG TÍNH TOÁN, ĐO BÓC KHỐI LƯỢNG HOÀN THÀNH ĐƯA VÀO QUYẾT TOÁN</v>
          </cell>
        </row>
      </sheetData>
      <sheetData sheetId="7930">
        <row r="4">
          <cell r="A4" t="str">
            <v>BẢNG TÍNH TOÁN, ĐO BÓC KHỐI LƯỢNG HOÀN THÀNH ĐƯA VÀO QUYẾT TOÁN</v>
          </cell>
        </row>
      </sheetData>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ow r="4">
          <cell r="A4" t="str">
            <v>BẢNG TÍNH TOÁN, ĐO BÓC KHỐI LƯỢNG HOÀN THÀNH ĐƯA VÀO QUYẾT TOÁN</v>
          </cell>
        </row>
      </sheetData>
      <sheetData sheetId="7945">
        <row r="4">
          <cell r="A4" t="str">
            <v>BẢNG TÍNH TOÁN, ĐO BÓC KHỐI LƯỢNG HOÀN THÀNH ĐƯA VÀO QUYẾT TOÁN</v>
          </cell>
        </row>
      </sheetData>
      <sheetData sheetId="7946">
        <row r="4">
          <cell r="A4" t="str">
            <v>BẢNG TÍNH TOÁN, ĐO BÓC KHỐI LƯỢNG HOÀN THÀNH ĐƯA VÀO QUYẾT TOÁN</v>
          </cell>
        </row>
      </sheetData>
      <sheetData sheetId="7947">
        <row r="4">
          <cell r="A4" t="str">
            <v>BẢNG TÍNH TOÁN, ĐO BÓC KHỐI LƯỢNG HOÀN THÀNH ĐƯA VÀO QUYẾT TOÁN</v>
          </cell>
        </row>
      </sheetData>
      <sheetData sheetId="7948">
        <row r="4">
          <cell r="A4" t="str">
            <v>BẢNG TÍNH TOÁN, ĐO BÓC KHỐI LƯỢNG HOÀN THÀNH ĐƯA VÀO QUYẾT TOÁN</v>
          </cell>
        </row>
      </sheetData>
      <sheetData sheetId="7949">
        <row r="4">
          <cell r="A4" t="str">
            <v>BẢNG TÍNH TOÁN, ĐO BÓC KHỐI LƯỢNG HOÀN THÀNH ĐƯA VÀO QUYẾT TOÁN</v>
          </cell>
        </row>
      </sheetData>
      <sheetData sheetId="7950">
        <row r="4">
          <cell r="A4" t="str">
            <v>BẢNG TÍNH TOÁN, ĐO BÓC KHỐI LƯỢNG HOÀN THÀNH ĐƯA VÀO QUYẾT TOÁN</v>
          </cell>
        </row>
      </sheetData>
      <sheetData sheetId="7951">
        <row r="4">
          <cell r="A4" t="str">
            <v>BẢNG TÍNH TOÁN, ĐO BÓC KHỐI LƯỢNG HOÀN THÀNH ĐƯA VÀO QUYẾT TOÁN</v>
          </cell>
        </row>
      </sheetData>
      <sheetData sheetId="7952">
        <row r="4">
          <cell r="A4" t="str">
            <v>BẢNG TÍNH TOÁN, ĐO BÓC KHỐI LƯỢNG HOÀN THÀNH ĐƯA VÀO QUYẾT TOÁN</v>
          </cell>
        </row>
      </sheetData>
      <sheetData sheetId="7953">
        <row r="4">
          <cell r="A4" t="str">
            <v>BẢNG TÍNH TOÁN, ĐO BÓC KHỐI LƯỢNG HOÀN THÀNH ĐƯA VÀO QUYẾT TOÁN</v>
          </cell>
        </row>
      </sheetData>
      <sheetData sheetId="7954">
        <row r="4">
          <cell r="A4" t="str">
            <v>BẢNG TÍNH TOÁN, ĐO BÓC KHỐI LƯỢNG HOÀN THÀNH ĐƯA VÀO QUYẾT TOÁN</v>
          </cell>
        </row>
      </sheetData>
      <sheetData sheetId="7955">
        <row r="4">
          <cell r="A4" t="str">
            <v>BẢNG TÍNH TOÁN, ĐO BÓC KHỐI LƯỢNG HOÀN THÀNH ĐƯA VÀO QUYẾT TOÁN</v>
          </cell>
        </row>
      </sheetData>
      <sheetData sheetId="7956">
        <row r="4">
          <cell r="A4" t="str">
            <v>BẢNG TÍNH TOÁN, ĐO BÓC KHỐI LƯỢNG HOÀN THÀNH ĐƯA VÀO QUYẾT TOÁN</v>
          </cell>
        </row>
      </sheetData>
      <sheetData sheetId="7957">
        <row r="4">
          <cell r="A4" t="str">
            <v>BẢNG TÍNH TOÁN, ĐO BÓC KHỐI LƯỢNG HOÀN THÀNH ĐƯA VÀO QUYẾT TOÁN</v>
          </cell>
        </row>
      </sheetData>
      <sheetData sheetId="7958">
        <row r="4">
          <cell r="A4" t="str">
            <v>BẢNG TÍNH TOÁN, ĐO BÓC KHỐI LƯỢNG HOÀN THÀNH ĐƯA VÀO QUYẾT TOÁN</v>
          </cell>
        </row>
      </sheetData>
      <sheetData sheetId="7959">
        <row r="4">
          <cell r="A4" t="str">
            <v>BẢNG TÍNH TOÁN, ĐO BÓC KHỐI LƯỢNG HOÀN THÀNH ĐƯA VÀO QUYẾT TOÁN</v>
          </cell>
        </row>
      </sheetData>
      <sheetData sheetId="7960">
        <row r="4">
          <cell r="A4" t="str">
            <v>BẢNG TÍNH TOÁN, ĐO BÓC KHỐI LƯỢNG HOÀN THÀNH ĐƯA VÀO QUYẾT TOÁN</v>
          </cell>
        </row>
      </sheetData>
      <sheetData sheetId="7961">
        <row r="4">
          <cell r="A4" t="str">
            <v>BẢNG TÍNH TOÁN, ĐO BÓC KHỐI LƯỢNG HOÀN THÀNH ĐƯA VÀO QUYẾT TOÁN</v>
          </cell>
        </row>
      </sheetData>
      <sheetData sheetId="7962">
        <row r="4">
          <cell r="A4" t="str">
            <v>BẢNG TÍNH TOÁN, ĐO BÓC KHỐI LƯỢNG HOÀN THÀNH ĐƯA VÀO QUYẾT TOÁN</v>
          </cell>
        </row>
      </sheetData>
      <sheetData sheetId="7963">
        <row r="4">
          <cell r="A4" t="str">
            <v>BẢNG TÍNH TOÁN, ĐO BÓC KHỐI LƯỢNG HOÀN THÀNH ĐƯA VÀO QUYẾT TOÁN</v>
          </cell>
        </row>
      </sheetData>
      <sheetData sheetId="7964">
        <row r="4">
          <cell r="A4" t="str">
            <v>BẢNG TÍNH TOÁN, ĐO BÓC KHỐI LƯỢNG HOÀN THÀNH ĐƯA VÀO QUYẾT TOÁN</v>
          </cell>
        </row>
      </sheetData>
      <sheetData sheetId="7965">
        <row r="4">
          <cell r="A4" t="str">
            <v>BẢNG TÍNH TOÁN, ĐO BÓC KHỐI LƯỢNG HOÀN THÀNH ĐƯA VÀO QUYẾT TOÁN</v>
          </cell>
        </row>
      </sheetData>
      <sheetData sheetId="7966">
        <row r="4">
          <cell r="A4" t="str">
            <v>BẢNG TÍNH TOÁN, ĐO BÓC KHỐI LƯỢNG HOÀN THÀNH ĐƯA VÀO QUYẾT TOÁN</v>
          </cell>
        </row>
      </sheetData>
      <sheetData sheetId="7967">
        <row r="4">
          <cell r="A4" t="str">
            <v>BẢNG TÍNH TOÁN, ĐO BÓC KHỐI LƯỢNG HOÀN THÀNH ĐƯA VÀO QUYẾT TOÁN</v>
          </cell>
        </row>
      </sheetData>
      <sheetData sheetId="7968">
        <row r="4">
          <cell r="A4" t="str">
            <v>BẢNG TÍNH TOÁN, ĐO BÓC KHỐI LƯỢNG HOÀN THÀNH ĐƯA VÀO QUYẾT TOÁN</v>
          </cell>
        </row>
      </sheetData>
      <sheetData sheetId="7969">
        <row r="4">
          <cell r="A4" t="str">
            <v>BẢNG TÍNH TOÁN, ĐO BÓC KHỐI LƯỢNG HOÀN THÀNH ĐƯA VÀO QUYẾT TOÁN</v>
          </cell>
        </row>
      </sheetData>
      <sheetData sheetId="7970">
        <row r="4">
          <cell r="A4" t="str">
            <v>BẢNG TÍNH TOÁN, ĐO BÓC KHỐI LƯỢNG HOÀN THÀNH ĐƯA VÀO QUYẾT TOÁN</v>
          </cell>
        </row>
      </sheetData>
      <sheetData sheetId="7971">
        <row r="4">
          <cell r="A4" t="str">
            <v>BẢNG TÍNH TOÁN, ĐO BÓC KHỐI LƯỢNG HOÀN THÀNH ĐƯA VÀO QUYẾT TOÁN</v>
          </cell>
        </row>
      </sheetData>
      <sheetData sheetId="7972">
        <row r="4">
          <cell r="A4" t="str">
            <v>BẢNG TÍNH TOÁN, ĐO BÓC KHỐI LƯỢNG HOÀN THÀNH ĐƯA VÀO QUYẾT TOÁN</v>
          </cell>
        </row>
      </sheetData>
      <sheetData sheetId="7973">
        <row r="4">
          <cell r="A4" t="str">
            <v>BẢNG TÍNH TOÁN, ĐO BÓC KHỐI LƯỢNG HOÀN THÀNH ĐƯA VÀO QUYẾT TOÁN</v>
          </cell>
        </row>
      </sheetData>
      <sheetData sheetId="7974">
        <row r="4">
          <cell r="A4" t="str">
            <v>BẢNG TÍNH TOÁN, ĐO BÓC KHỐI LƯỢNG HOÀN THÀNH ĐƯA VÀO QUYẾT TOÁN</v>
          </cell>
        </row>
      </sheetData>
      <sheetData sheetId="7975">
        <row r="4">
          <cell r="A4" t="str">
            <v>BẢNG TÍNH TOÁN, ĐO BÓC KHỐI LƯỢNG HOÀN THÀNH ĐƯA VÀO QUYẾT TOÁN</v>
          </cell>
        </row>
      </sheetData>
      <sheetData sheetId="7976">
        <row r="4">
          <cell r="A4" t="str">
            <v>BẢNG TÍNH TOÁN, ĐO BÓC KHỐI LƯỢNG HOÀN THÀNH ĐƯA VÀO QUYẾT TOÁN</v>
          </cell>
        </row>
      </sheetData>
      <sheetData sheetId="7977">
        <row r="4">
          <cell r="A4" t="str">
            <v>BẢNG TÍNH TOÁN, ĐO BÓC KHỐI LƯỢNG HOÀN THÀNH ĐƯA VÀO QUYẾT TOÁN</v>
          </cell>
        </row>
      </sheetData>
      <sheetData sheetId="7978">
        <row r="4">
          <cell r="A4" t="str">
            <v>BẢNG TÍNH TOÁN, ĐO BÓC KHỐI LƯỢNG HOÀN THÀNH ĐƯA VÀO QUYẾT TOÁN</v>
          </cell>
        </row>
      </sheetData>
      <sheetData sheetId="7979">
        <row r="4">
          <cell r="A4" t="str">
            <v>BẢNG TÍNH TOÁN, ĐO BÓC KHỐI LƯỢNG HOÀN THÀNH ĐƯA VÀO QUYẾT TOÁN</v>
          </cell>
        </row>
      </sheetData>
      <sheetData sheetId="7980">
        <row r="4">
          <cell r="A4" t="str">
            <v>BẢNG TÍNH TOÁN, ĐO BÓC KHỐI LƯỢNG HOÀN THÀNH ĐƯA VÀO QUYẾT TOÁN</v>
          </cell>
        </row>
      </sheetData>
      <sheetData sheetId="7981">
        <row r="4">
          <cell r="A4" t="str">
            <v>BẢNG TÍNH TOÁN, ĐO BÓC KHỐI LƯỢNG HOÀN THÀNH ĐƯA VÀO QUYẾT TOÁN</v>
          </cell>
        </row>
      </sheetData>
      <sheetData sheetId="7982">
        <row r="4">
          <cell r="A4" t="str">
            <v>BẢNG TÍNH TOÁN, ĐO BÓC KHỐI LƯỢNG HOÀN THÀNH ĐƯA VÀO QUYẾT TOÁN</v>
          </cell>
        </row>
      </sheetData>
      <sheetData sheetId="7983">
        <row r="4">
          <cell r="A4" t="str">
            <v>BẢNG TÍNH TOÁN, ĐO BÓC KHỐI LƯỢNG HOÀN THÀNH ĐƯA VÀO QUYẾT TOÁN</v>
          </cell>
        </row>
      </sheetData>
      <sheetData sheetId="7984">
        <row r="4">
          <cell r="A4" t="str">
            <v>BẢNG TÍNH TOÁN, ĐO BÓC KHỐI LƯỢNG HOÀN THÀNH ĐƯA VÀO QUYẾT TOÁN</v>
          </cell>
        </row>
      </sheetData>
      <sheetData sheetId="7985">
        <row r="4">
          <cell r="A4" t="str">
            <v>BẢNG TÍNH TOÁN, ĐO BÓC KHỐI LƯỢNG HOÀN THÀNH ĐƯA VÀO QUYẾT TOÁN</v>
          </cell>
        </row>
      </sheetData>
      <sheetData sheetId="7986">
        <row r="4">
          <cell r="A4" t="str">
            <v>BẢNG TÍNH TOÁN, ĐO BÓC KHỐI LƯỢNG HOÀN THÀNH ĐƯA VÀO QUYẾT TOÁN</v>
          </cell>
        </row>
      </sheetData>
      <sheetData sheetId="7987">
        <row r="4">
          <cell r="A4" t="str">
            <v>BẢNG TÍNH TOÁN, ĐO BÓC KHỐI LƯỢNG HOÀN THÀNH ĐƯA VÀO QUYẾT TOÁN</v>
          </cell>
        </row>
      </sheetData>
      <sheetData sheetId="7988">
        <row r="4">
          <cell r="A4" t="str">
            <v>BẢNG TÍNH TOÁN, ĐO BÓC KHỐI LƯỢNG HOÀN THÀNH ĐƯA VÀO QUYẾT TOÁN</v>
          </cell>
        </row>
      </sheetData>
      <sheetData sheetId="7989">
        <row r="4">
          <cell r="A4" t="str">
            <v>BẢNG TÍNH TOÁN, ĐO BÓC KHỐI LƯỢNG HOÀN THÀNH ĐƯA VÀO QUYẾT TOÁN</v>
          </cell>
        </row>
      </sheetData>
      <sheetData sheetId="7990">
        <row r="4">
          <cell r="A4" t="str">
            <v>BẢNG TÍNH TOÁN, ĐO BÓC KHỐI LƯỢNG HOÀN THÀNH ĐƯA VÀO QUYẾT TOÁN</v>
          </cell>
        </row>
      </sheetData>
      <sheetData sheetId="7991">
        <row r="4">
          <cell r="A4" t="str">
            <v>BẢNG TÍNH TOÁN, ĐO BÓC KHỐI LƯỢNG HOÀN THÀNH ĐƯA VÀO QUYẾT TOÁN</v>
          </cell>
        </row>
      </sheetData>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ow r="4">
          <cell r="A4" t="str">
            <v>BẢNG TÍNH TOÁN, ĐO BÓC KHỐI LƯỢNG HOÀN THÀNH ĐƯA VÀO QUYẾT TOÁN</v>
          </cell>
        </row>
      </sheetData>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ow r="4">
          <cell r="A4" t="str">
            <v>BẢNG TÍNH TOÁN, ĐO BÓC KHỐI LƯỢNG HOÀN THÀNH ĐƯA VÀO QUYẾT TOÁN</v>
          </cell>
        </row>
      </sheetData>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ow r="4">
          <cell r="A4" t="str">
            <v>BẢNG TÍNH TOÁN, ĐO BÓC KHỐI LƯỢNG HOÀN THÀNH ĐƯA VÀO QUYẾT TOÁN</v>
          </cell>
        </row>
      </sheetData>
      <sheetData sheetId="8076">
        <row r="4">
          <cell r="A4" t="str">
            <v>BẢNG TÍNH TOÁN, ĐO BÓC KHỐI LƯỢNG HOÀN THÀNH ĐƯA VÀO QUYẾT TOÁN</v>
          </cell>
        </row>
      </sheetData>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ow r="9">
          <cell r="A9" t="str">
            <v>A</v>
          </cell>
        </row>
      </sheetData>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ow r="9">
          <cell r="A9" t="str">
            <v>A</v>
          </cell>
        </row>
      </sheetData>
      <sheetData sheetId="8140" refreshError="1"/>
      <sheetData sheetId="8141" refreshError="1"/>
      <sheetData sheetId="8142" refreshError="1"/>
      <sheetData sheetId="8143" refreshError="1"/>
      <sheetData sheetId="8144">
        <row r="4">
          <cell r="A4" t="str">
            <v>BẢNG TÍNH TOÁN, ĐO BÓC KHỐI LƯỢNG HOÀN THÀNH ĐƯA VÀO QUYẾT TOÁN</v>
          </cell>
        </row>
      </sheetData>
      <sheetData sheetId="8145">
        <row r="4">
          <cell r="A4" t="str">
            <v>BẢNG TÍNH TOÁN, ĐO BÓC KHỐI LƯỢNG HOÀN THÀNH ĐƯA VÀO QUYẾT TOÁN</v>
          </cell>
        </row>
      </sheetData>
      <sheetData sheetId="8146">
        <row r="4">
          <cell r="A4" t="str">
            <v>BẢNG TÍNH TOÁN, ĐO BÓC KHỐI LƯỢNG HOÀN THÀNH ĐƯA VÀO QUYẾT TOÁN</v>
          </cell>
        </row>
      </sheetData>
      <sheetData sheetId="8147" refreshError="1"/>
      <sheetData sheetId="8148">
        <row r="9">
          <cell r="A9" t="str">
            <v>A</v>
          </cell>
        </row>
      </sheetData>
      <sheetData sheetId="8149"/>
      <sheetData sheetId="8150"/>
      <sheetData sheetId="8151">
        <row r="9">
          <cell r="A9" t="str">
            <v>A</v>
          </cell>
        </row>
      </sheetData>
      <sheetData sheetId="8152">
        <row r="9">
          <cell r="A9" t="str">
            <v>A</v>
          </cell>
        </row>
      </sheetData>
      <sheetData sheetId="8153">
        <row r="9">
          <cell r="A9" t="str">
            <v>A</v>
          </cell>
        </row>
      </sheetData>
      <sheetData sheetId="8154">
        <row r="4">
          <cell r="A4" t="str">
            <v>BẢNG TÍNH TOÁN, ĐO BÓC KHỐI LƯỢNG HOÀN THÀNH ĐƯA VÀO QUYẾT TOÁN</v>
          </cell>
        </row>
      </sheetData>
      <sheetData sheetId="8155">
        <row r="4">
          <cell r="A4" t="str">
            <v>BẢNG TÍNH TOÁN, ĐO BÓC KHỐI LƯỢNG HOÀN THÀNH ĐƯA VÀO QUYẾT TOÁN</v>
          </cell>
        </row>
      </sheetData>
      <sheetData sheetId="8156">
        <row r="9">
          <cell r="A9" t="str">
            <v>A</v>
          </cell>
        </row>
      </sheetData>
      <sheetData sheetId="8157">
        <row r="9">
          <cell r="A9" t="str">
            <v>A</v>
          </cell>
        </row>
      </sheetData>
      <sheetData sheetId="8158"/>
      <sheetData sheetId="8159">
        <row r="9">
          <cell r="A9" t="str">
            <v>A</v>
          </cell>
        </row>
      </sheetData>
      <sheetData sheetId="8160">
        <row r="9">
          <cell r="A9" t="str">
            <v>A</v>
          </cell>
        </row>
      </sheetData>
      <sheetData sheetId="8161">
        <row r="9">
          <cell r="A9" t="str">
            <v>A</v>
          </cell>
        </row>
      </sheetData>
      <sheetData sheetId="8162">
        <row r="9">
          <cell r="A9" t="str">
            <v>A</v>
          </cell>
        </row>
      </sheetData>
      <sheetData sheetId="8163" refreshError="1"/>
      <sheetData sheetId="8164" refreshError="1"/>
      <sheetData sheetId="8165" refreshError="1"/>
      <sheetData sheetId="8166" refreshError="1"/>
      <sheetData sheetId="8167" refreshError="1"/>
      <sheetData sheetId="8168">
        <row r="4">
          <cell r="A4" t="str">
            <v>BẢNG TÍNH TOÁN, ĐO BÓC KHỐI LƯỢNG HOÀN THÀNH ĐƯA VÀO QUYẾT TOÁN</v>
          </cell>
        </row>
      </sheetData>
      <sheetData sheetId="8169">
        <row r="9">
          <cell r="A9" t="str">
            <v>A</v>
          </cell>
        </row>
      </sheetData>
      <sheetData sheetId="8170">
        <row r="9">
          <cell r="A9" t="str">
            <v>A</v>
          </cell>
        </row>
      </sheetData>
      <sheetData sheetId="8171">
        <row r="4">
          <cell r="A4" t="str">
            <v>BẢNG TÍNH TOÁN, ĐO BÓC KHỐI LƯỢNG HOÀN THÀNH ĐƯA VÀO QUYẾT TOÁN</v>
          </cell>
        </row>
      </sheetData>
      <sheetData sheetId="8172">
        <row r="9">
          <cell r="A9" t="str">
            <v>A</v>
          </cell>
        </row>
      </sheetData>
      <sheetData sheetId="8173">
        <row r="9">
          <cell r="A9" t="str">
            <v>A</v>
          </cell>
        </row>
      </sheetData>
      <sheetData sheetId="8174">
        <row r="4">
          <cell r="A4" t="str">
            <v>BẢNG TÍNH TOÁN, ĐO BÓC KHỐI LƯỢNG HOÀN THÀNH ĐƯA VÀO QUYẾT TOÁN</v>
          </cell>
        </row>
      </sheetData>
      <sheetData sheetId="8175">
        <row r="4">
          <cell r="A4" t="str">
            <v>BẢNG TÍNH TOÁN, ĐO BÓC KHỐI LƯỢNG HOÀN THÀNH ĐƯA VÀO QUYẾT TOÁN</v>
          </cell>
        </row>
      </sheetData>
      <sheetData sheetId="8176">
        <row r="4">
          <cell r="A4" t="str">
            <v>BẢNG TÍNH TOÁN, ĐO BÓC KHỐI LƯỢNG HOÀN THÀNH ĐƯA VÀO QUYẾT TOÁN</v>
          </cell>
        </row>
      </sheetData>
      <sheetData sheetId="8177">
        <row r="9">
          <cell r="A9" t="str">
            <v>A</v>
          </cell>
        </row>
      </sheetData>
      <sheetData sheetId="8178">
        <row r="9">
          <cell r="A9" t="str">
            <v>A</v>
          </cell>
        </row>
      </sheetData>
      <sheetData sheetId="8179">
        <row r="9">
          <cell r="A9" t="str">
            <v>A</v>
          </cell>
        </row>
      </sheetData>
      <sheetData sheetId="8180">
        <row r="9">
          <cell r="A9" t="str">
            <v>A</v>
          </cell>
        </row>
      </sheetData>
      <sheetData sheetId="8181">
        <row r="9">
          <cell r="A9" t="str">
            <v>A</v>
          </cell>
        </row>
      </sheetData>
      <sheetData sheetId="8182">
        <row r="9">
          <cell r="A9" t="str">
            <v>A</v>
          </cell>
        </row>
      </sheetData>
      <sheetData sheetId="8183">
        <row r="9">
          <cell r="A9" t="str">
            <v>A</v>
          </cell>
        </row>
      </sheetData>
      <sheetData sheetId="8184">
        <row r="9">
          <cell r="A9" t="str">
            <v>A</v>
          </cell>
        </row>
      </sheetData>
      <sheetData sheetId="8185">
        <row r="4">
          <cell r="A4" t="str">
            <v>BẢNG TÍNH TOÁN, ĐO BÓC KHỐI LƯỢNG HOÀN THÀNH ĐƯA VÀO QUYẾT TOÁN</v>
          </cell>
        </row>
      </sheetData>
      <sheetData sheetId="8186">
        <row r="4">
          <cell r="A4" t="str">
            <v>BẢNG TÍNH TOÁN, ĐO BÓC KHỐI LƯỢNG HOÀN THÀNH ĐƯA VÀO QUYẾT TOÁN</v>
          </cell>
        </row>
      </sheetData>
      <sheetData sheetId="8187">
        <row r="4">
          <cell r="A4" t="str">
            <v>BẢNG TÍNH TOÁN, ĐO BÓC KHỐI LƯỢNG HOÀN THÀNH ĐƯA VÀO QUYẾT TOÁN</v>
          </cell>
        </row>
      </sheetData>
      <sheetData sheetId="8188">
        <row r="9">
          <cell r="A9" t="str">
            <v>A</v>
          </cell>
        </row>
      </sheetData>
      <sheetData sheetId="8189">
        <row r="9">
          <cell r="A9" t="str">
            <v>A</v>
          </cell>
        </row>
      </sheetData>
      <sheetData sheetId="8190">
        <row r="9">
          <cell r="A9" t="str">
            <v>A</v>
          </cell>
        </row>
      </sheetData>
      <sheetData sheetId="8191">
        <row r="9">
          <cell r="A9" t="str">
            <v>A</v>
          </cell>
        </row>
      </sheetData>
      <sheetData sheetId="8192">
        <row r="9">
          <cell r="A9" t="str">
            <v>A</v>
          </cell>
        </row>
      </sheetData>
      <sheetData sheetId="8193">
        <row r="9">
          <cell r="A9" t="str">
            <v>A</v>
          </cell>
        </row>
      </sheetData>
      <sheetData sheetId="8194">
        <row r="9">
          <cell r="A9" t="str">
            <v>A</v>
          </cell>
        </row>
      </sheetData>
      <sheetData sheetId="8195"/>
      <sheetData sheetId="8196">
        <row r="9">
          <cell r="A9" t="str">
            <v>A</v>
          </cell>
        </row>
      </sheetData>
      <sheetData sheetId="8197">
        <row r="9">
          <cell r="A9" t="str">
            <v>A</v>
          </cell>
        </row>
      </sheetData>
      <sheetData sheetId="8198"/>
      <sheetData sheetId="8199">
        <row r="9">
          <cell r="A9" t="str">
            <v>A</v>
          </cell>
        </row>
      </sheetData>
      <sheetData sheetId="8200">
        <row r="9">
          <cell r="A9" t="str">
            <v>A</v>
          </cell>
        </row>
      </sheetData>
      <sheetData sheetId="8201">
        <row r="9">
          <cell r="A9" t="str">
            <v>A</v>
          </cell>
        </row>
      </sheetData>
      <sheetData sheetId="8202">
        <row r="9">
          <cell r="A9" t="str">
            <v>A</v>
          </cell>
        </row>
      </sheetData>
      <sheetData sheetId="8203">
        <row r="9">
          <cell r="A9" t="str">
            <v>A</v>
          </cell>
        </row>
      </sheetData>
      <sheetData sheetId="8204">
        <row r="4">
          <cell r="A4" t="str">
            <v>BẢNG TÍNH TOÁN, ĐO BÓC KHỐI LƯỢNG HOÀN THÀNH ĐƯA VÀO QUYẾT TOÁN</v>
          </cell>
        </row>
      </sheetData>
      <sheetData sheetId="8205">
        <row r="4">
          <cell r="A4" t="str">
            <v>BẢNG TÍNH TOÁN, ĐO BÓC KHỐI LƯỢNG HOÀN THÀNH ĐƯA VÀO QUYẾT TOÁN</v>
          </cell>
        </row>
      </sheetData>
      <sheetData sheetId="8206">
        <row r="4">
          <cell r="A4" t="str">
            <v>BẢNG TÍNH TOÁN, ĐO BÓC KHỐI LƯỢNG HOÀN THÀNH ĐƯA VÀO QUYẾT TOÁN</v>
          </cell>
        </row>
      </sheetData>
      <sheetData sheetId="8207">
        <row r="9">
          <cell r="A9" t="str">
            <v>A</v>
          </cell>
        </row>
      </sheetData>
      <sheetData sheetId="8208">
        <row r="9">
          <cell r="A9" t="str">
            <v>A</v>
          </cell>
        </row>
      </sheetData>
      <sheetData sheetId="8209">
        <row r="4">
          <cell r="A4" t="str">
            <v>BẢNG TÍNH TOÁN, ĐO BÓC KHỐI LƯỢNG HOÀN THÀNH ĐƯA VÀO QUYẾT TOÁN</v>
          </cell>
        </row>
      </sheetData>
      <sheetData sheetId="8210">
        <row r="4">
          <cell r="A4" t="str">
            <v>BẢNG TÍNH TOÁN, ĐO BÓC KHỐI LƯỢNG HOÀN THÀNH ĐƯA VÀO QUYẾT TOÁN</v>
          </cell>
        </row>
      </sheetData>
      <sheetData sheetId="8211">
        <row r="4">
          <cell r="A4" t="str">
            <v>BẢNG TÍNH TOÁN, ĐO BÓC KHỐI LƯỢNG HOÀN THÀNH ĐƯA VÀO QUYẾT TOÁN</v>
          </cell>
        </row>
      </sheetData>
      <sheetData sheetId="8212">
        <row r="9">
          <cell r="A9" t="str">
            <v>A</v>
          </cell>
        </row>
      </sheetData>
      <sheetData sheetId="8213">
        <row r="4">
          <cell r="A4" t="str">
            <v>BẢNG TÍNH TOÁN, ĐO BÓC KHỐI LƯỢNG HOÀN THÀNH ĐƯA VÀO QUYẾT TOÁN</v>
          </cell>
        </row>
      </sheetData>
      <sheetData sheetId="8214">
        <row r="9">
          <cell r="A9" t="str">
            <v>A</v>
          </cell>
        </row>
      </sheetData>
      <sheetData sheetId="8215">
        <row r="9">
          <cell r="A9" t="str">
            <v>A</v>
          </cell>
        </row>
      </sheetData>
      <sheetData sheetId="8216">
        <row r="9">
          <cell r="A9" t="str">
            <v>A</v>
          </cell>
        </row>
      </sheetData>
      <sheetData sheetId="8217"/>
      <sheetData sheetId="8218">
        <row r="9">
          <cell r="A9" t="str">
            <v>A</v>
          </cell>
        </row>
      </sheetData>
      <sheetData sheetId="8219">
        <row r="9">
          <cell r="A9" t="str">
            <v>A</v>
          </cell>
        </row>
      </sheetData>
      <sheetData sheetId="8220">
        <row r="9">
          <cell r="A9" t="str">
            <v>A</v>
          </cell>
        </row>
      </sheetData>
      <sheetData sheetId="8221">
        <row r="9">
          <cell r="A9" t="str">
            <v>A</v>
          </cell>
        </row>
      </sheetData>
      <sheetData sheetId="8222">
        <row r="9">
          <cell r="A9" t="str">
            <v>A</v>
          </cell>
        </row>
      </sheetData>
      <sheetData sheetId="8223" refreshError="1"/>
      <sheetData sheetId="8224" refreshError="1"/>
      <sheetData sheetId="8225">
        <row r="9">
          <cell r="A9" t="str">
            <v>A</v>
          </cell>
        </row>
      </sheetData>
      <sheetData sheetId="8226">
        <row r="9">
          <cell r="A9" t="str">
            <v>A</v>
          </cell>
        </row>
      </sheetData>
      <sheetData sheetId="8227">
        <row r="9">
          <cell r="A9" t="str">
            <v>A</v>
          </cell>
        </row>
      </sheetData>
      <sheetData sheetId="8228">
        <row r="4">
          <cell r="A4" t="str">
            <v>BẢNG TÍNH TOÁN, ĐO BÓC KHỐI LƯỢNG HOÀN THÀNH ĐƯA VÀO QUYẾT TOÁN</v>
          </cell>
        </row>
      </sheetData>
      <sheetData sheetId="8229">
        <row r="9">
          <cell r="A9" t="str">
            <v>A</v>
          </cell>
        </row>
      </sheetData>
      <sheetData sheetId="8230">
        <row r="9">
          <cell r="A9" t="str">
            <v>A</v>
          </cell>
        </row>
      </sheetData>
      <sheetData sheetId="8231">
        <row r="9">
          <cell r="A9" t="str">
            <v>A</v>
          </cell>
        </row>
      </sheetData>
      <sheetData sheetId="8232">
        <row r="4">
          <cell r="A4" t="str">
            <v>BẢNG TÍNH TOÁN, ĐO BÓC KHỐI LƯỢNG HOÀN THÀNH ĐƯA VÀO QUYẾT TOÁN</v>
          </cell>
        </row>
      </sheetData>
      <sheetData sheetId="8233">
        <row r="4">
          <cell r="A4" t="str">
            <v>BẢNG TÍNH TOÁN, ĐO BÓC KHỐI LƯỢNG HOÀN THÀNH ĐƯA VÀO QUYẾT TOÁN</v>
          </cell>
        </row>
      </sheetData>
      <sheetData sheetId="8234">
        <row r="9">
          <cell r="A9" t="str">
            <v>A</v>
          </cell>
        </row>
      </sheetData>
      <sheetData sheetId="8235">
        <row r="9">
          <cell r="A9" t="str">
            <v>A</v>
          </cell>
        </row>
      </sheetData>
      <sheetData sheetId="8236">
        <row r="9">
          <cell r="A9" t="str">
            <v>A</v>
          </cell>
        </row>
      </sheetData>
      <sheetData sheetId="8237">
        <row r="4">
          <cell r="A4" t="str">
            <v>BẢNG TÍNH TOÁN, ĐO BÓC KHỐI LƯỢNG HOÀN THÀNH ĐƯA VÀO QUYẾT TOÁN</v>
          </cell>
        </row>
      </sheetData>
      <sheetData sheetId="8238">
        <row r="9">
          <cell r="A9" t="str">
            <v>A</v>
          </cell>
        </row>
      </sheetData>
      <sheetData sheetId="8239">
        <row r="9">
          <cell r="A9" t="str">
            <v>A</v>
          </cell>
        </row>
      </sheetData>
      <sheetData sheetId="8240">
        <row r="9">
          <cell r="A9" t="str">
            <v>A</v>
          </cell>
        </row>
      </sheetData>
      <sheetData sheetId="8241">
        <row r="9">
          <cell r="A9" t="str">
            <v>A</v>
          </cell>
        </row>
      </sheetData>
      <sheetData sheetId="8242">
        <row r="9">
          <cell r="A9" t="str">
            <v>A</v>
          </cell>
        </row>
      </sheetData>
      <sheetData sheetId="8243">
        <row r="9">
          <cell r="A9" t="str">
            <v>A</v>
          </cell>
        </row>
      </sheetData>
      <sheetData sheetId="8244">
        <row r="9">
          <cell r="A9" t="str">
            <v>A</v>
          </cell>
        </row>
      </sheetData>
      <sheetData sheetId="8245" refreshError="1"/>
      <sheetData sheetId="8246" refreshError="1"/>
      <sheetData sheetId="8247" refreshError="1"/>
      <sheetData sheetId="8248" refreshError="1"/>
      <sheetData sheetId="8249" refreshError="1"/>
      <sheetData sheetId="8250">
        <row r="4">
          <cell r="A4" t="str">
            <v>BẢNG TÍNH TOÁN, ĐO BÓC KHỐI LƯỢNG HOÀN THÀNH ĐƯA VÀO QUYẾT TOÁN</v>
          </cell>
        </row>
      </sheetData>
      <sheetData sheetId="8251">
        <row r="4">
          <cell r="A4" t="str">
            <v>BẢNG TÍNH TOÁN, ĐO BÓC KHỐI LƯỢNG HOÀN THÀNH ĐƯA VÀO QUYẾT TOÁN</v>
          </cell>
        </row>
      </sheetData>
      <sheetData sheetId="8252">
        <row r="4">
          <cell r="A4" t="str">
            <v>BẢNG TÍNH TOÁN, ĐO BÓC KHỐI LƯỢNG HOÀN THÀNH ĐƯA VÀO QUYẾT TOÁN</v>
          </cell>
        </row>
      </sheetData>
      <sheetData sheetId="8253">
        <row r="4">
          <cell r="A4" t="str">
            <v>BẢNG TÍNH TOÁN, ĐO BÓC KHỐI LƯỢNG HOÀN THÀNH ĐƯA VÀO QUYẾT TOÁN</v>
          </cell>
        </row>
      </sheetData>
      <sheetData sheetId="8254">
        <row r="4">
          <cell r="A4" t="str">
            <v>BẢNG TÍNH TOÁN, ĐO BÓC KHỐI LƯỢNG HOÀN THÀNH ĐƯA VÀO QUYẾT TOÁN</v>
          </cell>
        </row>
      </sheetData>
      <sheetData sheetId="8255">
        <row r="4">
          <cell r="A4" t="str">
            <v>BẢNG TÍNH TOÁN, ĐO BÓC KHỐI LƯỢNG HOÀN THÀNH ĐƯA VÀO QUYẾT TOÁN</v>
          </cell>
        </row>
      </sheetData>
      <sheetData sheetId="8256">
        <row r="4">
          <cell r="A4" t="str">
            <v>BẢNG TÍNH TOÁN, ĐO BÓC KHỐI LƯỢNG HOÀN THÀNH ĐƯA VÀO QUYẾT TOÁN</v>
          </cell>
        </row>
      </sheetData>
      <sheetData sheetId="8257">
        <row r="4">
          <cell r="A4" t="str">
            <v>BẢNG TÍNH TOÁN, ĐO BÓC KHỐI LƯỢNG HOÀN THÀNH ĐƯA VÀO QUYẾT TOÁN</v>
          </cell>
        </row>
      </sheetData>
      <sheetData sheetId="8258">
        <row r="4">
          <cell r="A4" t="str">
            <v>BẢNG TÍNH TOÁN, ĐO BÓC KHỐI LƯỢNG HOÀN THÀNH ĐƯA VÀO QUYẾT TOÁN</v>
          </cell>
        </row>
      </sheetData>
      <sheetData sheetId="8259">
        <row r="4">
          <cell r="A4" t="str">
            <v>BẢNG TÍNH TOÁN, ĐO BÓC KHỐI LƯỢNG HOÀN THÀNH ĐƯA VÀO QUYẾT TOÁN</v>
          </cell>
        </row>
      </sheetData>
      <sheetData sheetId="8260" refreshError="1"/>
      <sheetData sheetId="8261" refreshError="1"/>
      <sheetData sheetId="8262" refreshError="1"/>
      <sheetData sheetId="8263">
        <row r="4">
          <cell r="A4" t="str">
            <v>BẢNG TÍNH TOÁN, ĐO BÓC KHỐI LƯỢNG HOÀN THÀNH ĐƯA VÀO QUYẾT TOÁN</v>
          </cell>
        </row>
      </sheetData>
      <sheetData sheetId="8264">
        <row r="9">
          <cell r="A9" t="str">
            <v>A</v>
          </cell>
        </row>
      </sheetData>
      <sheetData sheetId="8265">
        <row r="9">
          <cell r="A9" t="str">
            <v>A</v>
          </cell>
        </row>
      </sheetData>
      <sheetData sheetId="8266"/>
      <sheetData sheetId="8267">
        <row r="9">
          <cell r="A9" t="str">
            <v>A</v>
          </cell>
        </row>
      </sheetData>
      <sheetData sheetId="8268">
        <row r="9">
          <cell r="A9" t="str">
            <v>A</v>
          </cell>
        </row>
      </sheetData>
      <sheetData sheetId="8269">
        <row r="4">
          <cell r="A4" t="str">
            <v>BẢNG TÍNH TOÁN, ĐO BÓC KHỐI LƯỢNG HOÀN THÀNH ĐƯA VÀO QUYẾT TOÁN</v>
          </cell>
        </row>
      </sheetData>
      <sheetData sheetId="8270">
        <row r="4">
          <cell r="A4" t="str">
            <v>BẢNG TÍNH TOÁN, ĐO BÓC KHỐI LƯỢNG HOÀN THÀNH ĐƯA VÀO QUYẾT TOÁN</v>
          </cell>
        </row>
      </sheetData>
      <sheetData sheetId="8271">
        <row r="4">
          <cell r="A4" t="str">
            <v>BẢNG TÍNH TOÁN, ĐO BÓC KHỐI LƯỢNG HOÀN THÀNH ĐƯA VÀO QUYẾT TOÁN</v>
          </cell>
        </row>
      </sheetData>
      <sheetData sheetId="8272">
        <row r="4">
          <cell r="A4" t="str">
            <v>BẢNG TÍNH TOÁN, ĐO BÓC KHỐI LƯỢNG HOÀN THÀNH ĐƯA VÀO QUYẾT TOÁN</v>
          </cell>
        </row>
      </sheetData>
      <sheetData sheetId="8273">
        <row r="4">
          <cell r="A4" t="str">
            <v>BẢNG TÍNH TOÁN, ĐO BÓC KHỐI LƯỢNG HOÀN THÀNH ĐƯA VÀO QUYẾT TOÁN</v>
          </cell>
        </row>
      </sheetData>
      <sheetData sheetId="8274" refreshError="1"/>
      <sheetData sheetId="8275" refreshError="1"/>
      <sheetData sheetId="8276" refreshError="1"/>
      <sheetData sheetId="8277" refreshError="1"/>
      <sheetData sheetId="8278" refreshError="1"/>
      <sheetData sheetId="8279" refreshError="1"/>
      <sheetData sheetId="8280">
        <row r="4">
          <cell r="A4" t="str">
            <v>BẢNG TÍNH TOÁN, ĐO BÓC KHỐI LƯỢNG HOÀN THÀNH ĐƯA VÀO QUYẾT TOÁN</v>
          </cell>
        </row>
      </sheetData>
      <sheetData sheetId="8281">
        <row r="4">
          <cell r="A4" t="str">
            <v>BẢNG TÍNH TOÁN, ĐO BÓC KHỐI LƯỢNG HOÀN THÀNH ĐƯA VÀO QUYẾT TOÁN</v>
          </cell>
        </row>
      </sheetData>
      <sheetData sheetId="8282" refreshError="1"/>
      <sheetData sheetId="8283">
        <row r="4">
          <cell r="A4" t="str">
            <v>BẢNG TÍNH TOÁN, ĐO BÓC KHỐI LƯỢNG HOÀN THÀNH ĐƯA VÀO QUYẾT TOÁN</v>
          </cell>
        </row>
      </sheetData>
      <sheetData sheetId="8284">
        <row r="4">
          <cell r="A4" t="str">
            <v>BẢNG TÍNH TOÁN, ĐO BÓC KHỐI LƯỢNG HOÀN THÀNH ĐƯA VÀO QUYẾT TOÁN</v>
          </cell>
        </row>
      </sheetData>
      <sheetData sheetId="8285">
        <row r="9">
          <cell r="A9" t="str">
            <v>A</v>
          </cell>
        </row>
      </sheetData>
      <sheetData sheetId="8286">
        <row r="9">
          <cell r="A9" t="str">
            <v>A</v>
          </cell>
        </row>
      </sheetData>
      <sheetData sheetId="8287"/>
      <sheetData sheetId="8288">
        <row r="9">
          <cell r="A9" t="str">
            <v>A</v>
          </cell>
        </row>
      </sheetData>
      <sheetData sheetId="8289"/>
      <sheetData sheetId="8290">
        <row r="4">
          <cell r="A4" t="str">
            <v>BẢNG TÍNH TOÁN, ĐO BÓC KHỐI LƯỢNG HOÀN THÀNH ĐƯA VÀO QUYẾT TOÁN</v>
          </cell>
        </row>
      </sheetData>
      <sheetData sheetId="8291">
        <row r="9">
          <cell r="A9" t="str">
            <v>A</v>
          </cell>
        </row>
      </sheetData>
      <sheetData sheetId="8292">
        <row r="9">
          <cell r="A9" t="str">
            <v>A</v>
          </cell>
        </row>
      </sheetData>
      <sheetData sheetId="8293">
        <row r="9">
          <cell r="A9" t="str">
            <v>A</v>
          </cell>
        </row>
      </sheetData>
      <sheetData sheetId="8294">
        <row r="9">
          <cell r="A9" t="str">
            <v>A</v>
          </cell>
        </row>
      </sheetData>
      <sheetData sheetId="8295">
        <row r="9">
          <cell r="A9" t="str">
            <v>A</v>
          </cell>
        </row>
      </sheetData>
      <sheetData sheetId="8296">
        <row r="9">
          <cell r="A9" t="str">
            <v>A</v>
          </cell>
        </row>
      </sheetData>
      <sheetData sheetId="8297">
        <row r="9">
          <cell r="A9" t="str">
            <v>A</v>
          </cell>
        </row>
      </sheetData>
      <sheetData sheetId="8298">
        <row r="9">
          <cell r="A9" t="str">
            <v>A</v>
          </cell>
        </row>
      </sheetData>
      <sheetData sheetId="8299">
        <row r="9">
          <cell r="A9" t="str">
            <v>A</v>
          </cell>
        </row>
      </sheetData>
      <sheetData sheetId="8300"/>
      <sheetData sheetId="8301">
        <row r="9">
          <cell r="A9" t="str">
            <v>A</v>
          </cell>
        </row>
      </sheetData>
      <sheetData sheetId="8302">
        <row r="9">
          <cell r="A9" t="str">
            <v>A</v>
          </cell>
        </row>
      </sheetData>
      <sheetData sheetId="8303">
        <row r="9">
          <cell r="A9" t="str">
            <v>A</v>
          </cell>
        </row>
      </sheetData>
      <sheetData sheetId="8304">
        <row r="9">
          <cell r="A9" t="str">
            <v>A</v>
          </cell>
        </row>
      </sheetData>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ow r="4">
          <cell r="A4" t="str">
            <v>BẢNG TÍNH TOÁN, ĐO BÓC KHỐI LƯỢNG HOÀN THÀNH ĐƯA VÀO QUYẾT TOÁN</v>
          </cell>
        </row>
      </sheetData>
      <sheetData sheetId="8318">
        <row r="4">
          <cell r="A4" t="str">
            <v>BẢNG TÍNH TOÁN, ĐO BÓC KHỐI LƯỢNG HOÀN THÀNH ĐƯA VÀO QUYẾT TOÁN</v>
          </cell>
        </row>
      </sheetData>
      <sheetData sheetId="8319">
        <row r="9">
          <cell r="A9" t="str">
            <v>A</v>
          </cell>
        </row>
      </sheetData>
      <sheetData sheetId="8320">
        <row r="9">
          <cell r="A9" t="str">
            <v>A</v>
          </cell>
        </row>
      </sheetData>
      <sheetData sheetId="8321">
        <row r="9">
          <cell r="A9" t="str">
            <v>A</v>
          </cell>
        </row>
      </sheetData>
      <sheetData sheetId="8322">
        <row r="9">
          <cell r="A9" t="str">
            <v>A</v>
          </cell>
        </row>
      </sheetData>
      <sheetData sheetId="8323">
        <row r="9">
          <cell r="A9" t="str">
            <v>A</v>
          </cell>
        </row>
      </sheetData>
      <sheetData sheetId="8324">
        <row r="9">
          <cell r="A9" t="str">
            <v>A</v>
          </cell>
        </row>
      </sheetData>
      <sheetData sheetId="8325">
        <row r="9">
          <cell r="A9" t="str">
            <v>A</v>
          </cell>
        </row>
      </sheetData>
      <sheetData sheetId="8326">
        <row r="9">
          <cell r="A9" t="str">
            <v>A</v>
          </cell>
        </row>
      </sheetData>
      <sheetData sheetId="8327">
        <row r="9">
          <cell r="A9" t="str">
            <v>A</v>
          </cell>
        </row>
      </sheetData>
      <sheetData sheetId="8328">
        <row r="4">
          <cell r="A4" t="str">
            <v>BẢNG TÍNH TOÁN, ĐO BÓC KHỐI LƯỢNG HOÀN THÀNH ĐƯA VÀO QUYẾT TOÁN</v>
          </cell>
        </row>
      </sheetData>
      <sheetData sheetId="8329">
        <row r="4">
          <cell r="A4" t="str">
            <v>BẢNG TÍNH TOÁN, ĐO BÓC KHỐI LƯỢNG HOÀN THÀNH ĐƯA VÀO QUYẾT TOÁN</v>
          </cell>
        </row>
      </sheetData>
      <sheetData sheetId="8330">
        <row r="4">
          <cell r="A4" t="str">
            <v>BẢNG TÍNH TOÁN, ĐO BÓC KHỐI LƯỢNG HOÀN THÀNH ĐƯA VÀO QUYẾT TOÁN</v>
          </cell>
        </row>
      </sheetData>
      <sheetData sheetId="8331">
        <row r="4">
          <cell r="A4" t="str">
            <v>BẢNG TÍNH TOÁN, ĐO BÓC KHỐI LƯỢNG HOÀN THÀNH ĐƯA VÀO QUYẾT TOÁN</v>
          </cell>
        </row>
      </sheetData>
      <sheetData sheetId="8332">
        <row r="4">
          <cell r="A4" t="str">
            <v>BẢNG TÍNH TOÁN, ĐO BÓC KHỐI LƯỢNG HOÀN THÀNH ĐƯA VÀO QUYẾT TOÁN</v>
          </cell>
        </row>
      </sheetData>
      <sheetData sheetId="8333">
        <row r="4">
          <cell r="A4" t="str">
            <v>BẢNG TÍNH TOÁN, ĐO BÓC KHỐI LƯỢNG HOÀN THÀNH ĐƯA VÀO QUYẾT TOÁN</v>
          </cell>
        </row>
      </sheetData>
      <sheetData sheetId="8334">
        <row r="4">
          <cell r="A4" t="str">
            <v>BẢNG TÍNH TOÁN, ĐO BÓC KHỐI LƯỢNG HOÀN THÀNH ĐƯA VÀO QUYẾT TOÁN</v>
          </cell>
        </row>
      </sheetData>
      <sheetData sheetId="8335">
        <row r="4">
          <cell r="A4" t="str">
            <v>BẢNG TÍNH TOÁN, ĐO BÓC KHỐI LƯỢNG HOÀN THÀNH ĐƯA VÀO QUYẾT TOÁN</v>
          </cell>
        </row>
      </sheetData>
      <sheetData sheetId="8336">
        <row r="4">
          <cell r="A4" t="str">
            <v>BẢNG TÍNH TOÁN, ĐO BÓC KHỐI LƯỢNG HOÀN THÀNH ĐƯA VÀO QUYẾT TOÁN</v>
          </cell>
        </row>
      </sheetData>
      <sheetData sheetId="8337">
        <row r="4">
          <cell r="A4" t="str">
            <v>BẢNG TÍNH TOÁN, ĐO BÓC KHỐI LƯỢNG HOÀN THÀNH ĐƯA VÀO QUYẾT TOÁN</v>
          </cell>
        </row>
      </sheetData>
      <sheetData sheetId="8338">
        <row r="4">
          <cell r="A4" t="str">
            <v>BẢNG TÍNH TOÁN, ĐO BÓC KHỐI LƯỢNG HOÀN THÀNH ĐƯA VÀO QUYẾT TOÁN</v>
          </cell>
        </row>
      </sheetData>
      <sheetData sheetId="8339">
        <row r="4">
          <cell r="A4" t="str">
            <v>BẢNG TÍNH TOÁN, ĐO BÓC KHỐI LƯỢNG HOÀN THÀNH ĐƯA VÀO QUYẾT TOÁN</v>
          </cell>
        </row>
      </sheetData>
      <sheetData sheetId="8340">
        <row r="4">
          <cell r="A4" t="str">
            <v>BẢNG TÍNH TOÁN, ĐO BÓC KHỐI LƯỢNG HOÀN THÀNH ĐƯA VÀO QUYẾT TOÁN</v>
          </cell>
        </row>
      </sheetData>
      <sheetData sheetId="8341">
        <row r="4">
          <cell r="A4" t="str">
            <v>BẢNG TÍNH TOÁN, ĐO BÓC KHỐI LƯỢNG HOÀN THÀNH ĐƯA VÀO QUYẾT TOÁN</v>
          </cell>
        </row>
      </sheetData>
      <sheetData sheetId="8342">
        <row r="4">
          <cell r="A4" t="str">
            <v>BẢNG TÍNH TOÁN, ĐO BÓC KHỐI LƯỢNG HOÀN THÀNH ĐƯA VÀO QUYẾT TOÁN</v>
          </cell>
        </row>
      </sheetData>
      <sheetData sheetId="8343">
        <row r="4">
          <cell r="A4" t="str">
            <v>BẢNG TÍNH TOÁN, ĐO BÓC KHỐI LƯỢNG HOÀN THÀNH ĐƯA VÀO QUYẾT TOÁN</v>
          </cell>
        </row>
      </sheetData>
      <sheetData sheetId="8344">
        <row r="4">
          <cell r="A4" t="str">
            <v>BẢNG TÍNH TOÁN, ĐO BÓC KHỐI LƯỢNG HOÀN THÀNH ĐƯA VÀO QUYẾT TOÁN</v>
          </cell>
        </row>
      </sheetData>
      <sheetData sheetId="8345">
        <row r="4">
          <cell r="A4" t="str">
            <v>BẢNG TÍNH TOÁN, ĐO BÓC KHỐI LƯỢNG HOÀN THÀNH ĐƯA VÀO QUYẾT TOÁN</v>
          </cell>
        </row>
      </sheetData>
      <sheetData sheetId="8346">
        <row r="4">
          <cell r="A4" t="str">
            <v>BẢNG TÍNH TOÁN, ĐO BÓC KHỐI LƯỢNG HOÀN THÀNH ĐƯA VÀO QUYẾT TOÁN</v>
          </cell>
        </row>
      </sheetData>
      <sheetData sheetId="8347">
        <row r="4">
          <cell r="A4" t="str">
            <v>BẢNG TÍNH TOÁN, ĐO BÓC KHỐI LƯỢNG HOÀN THÀNH ĐƯA VÀO QUYẾT TOÁN</v>
          </cell>
        </row>
      </sheetData>
      <sheetData sheetId="8348">
        <row r="4">
          <cell r="A4" t="str">
            <v>BẢNG TÍNH TOÁN, ĐO BÓC KHỐI LƯỢNG HOÀN THÀNH ĐƯA VÀO QUYẾT TOÁN</v>
          </cell>
        </row>
      </sheetData>
      <sheetData sheetId="8349">
        <row r="4">
          <cell r="A4" t="str">
            <v>BẢNG TÍNH TOÁN, ĐO BÓC KHỐI LƯỢNG HOÀN THÀNH ĐƯA VÀO QUYẾT TOÁN</v>
          </cell>
        </row>
      </sheetData>
      <sheetData sheetId="8350">
        <row r="4">
          <cell r="A4" t="str">
            <v>BẢNG TÍNH TOÁN, ĐO BÓC KHỐI LƯỢNG HOÀN THÀNH ĐƯA VÀO QUYẾT TOÁN</v>
          </cell>
        </row>
      </sheetData>
      <sheetData sheetId="8351">
        <row r="4">
          <cell r="A4" t="str">
            <v>BẢNG TÍNH TOÁN, ĐO BÓC KHỐI LƯỢNG HOÀN THÀNH ĐƯA VÀO QUYẾT TOÁN</v>
          </cell>
        </row>
      </sheetData>
      <sheetData sheetId="8352">
        <row r="4">
          <cell r="A4" t="str">
            <v>BẢNG TÍNH TOÁN, ĐO BÓC KHỐI LƯỢNG HOÀN THÀNH ĐƯA VÀO QUYẾT TOÁN</v>
          </cell>
        </row>
      </sheetData>
      <sheetData sheetId="8353">
        <row r="4">
          <cell r="A4" t="str">
            <v>BẢNG TÍNH TOÁN, ĐO BÓC KHỐI LƯỢNG HOÀN THÀNH ĐƯA VÀO QUYẾT TOÁN</v>
          </cell>
        </row>
      </sheetData>
      <sheetData sheetId="8354">
        <row r="4">
          <cell r="A4" t="str">
            <v>BẢNG TÍNH TOÁN, ĐO BÓC KHỐI LƯỢNG HOÀN THÀNH ĐƯA VÀO QUYẾT TOÁN</v>
          </cell>
        </row>
      </sheetData>
      <sheetData sheetId="8355">
        <row r="4">
          <cell r="A4" t="str">
            <v>BẢNG TÍNH TOÁN, ĐO BÓC KHỐI LƯỢNG HOÀN THÀNH ĐƯA VÀO QUYẾT TOÁN</v>
          </cell>
        </row>
      </sheetData>
      <sheetData sheetId="8356">
        <row r="4">
          <cell r="A4" t="str">
            <v>BẢNG TÍNH TOÁN, ĐO BÓC KHỐI LƯỢNG HOÀN THÀNH ĐƯA VÀO QUYẾT TOÁN</v>
          </cell>
        </row>
      </sheetData>
      <sheetData sheetId="8357">
        <row r="4">
          <cell r="A4" t="str">
            <v>BẢNG TÍNH TOÁN, ĐO BÓC KHỐI LƯỢNG HOÀN THÀNH ĐƯA VÀO QUYẾT TOÁN</v>
          </cell>
        </row>
      </sheetData>
      <sheetData sheetId="8358">
        <row r="4">
          <cell r="A4" t="str">
            <v>BẢNG TÍNH TOÁN, ĐO BÓC KHỐI LƯỢNG HOÀN THÀNH ĐƯA VÀO QUYẾT TOÁN</v>
          </cell>
        </row>
      </sheetData>
      <sheetData sheetId="8359">
        <row r="4">
          <cell r="A4" t="str">
            <v>BẢNG TÍNH TOÁN, ĐO BÓC KHỐI LƯỢNG HOÀN THÀNH ĐƯA VÀO QUYẾT TOÁN</v>
          </cell>
        </row>
      </sheetData>
      <sheetData sheetId="8360">
        <row r="4">
          <cell r="A4" t="str">
            <v>BẢNG TÍNH TOÁN, ĐO BÓC KHỐI LƯỢNG HOÀN THÀNH ĐƯA VÀO QUYẾT TOÁN</v>
          </cell>
        </row>
      </sheetData>
      <sheetData sheetId="8361">
        <row r="4">
          <cell r="A4" t="str">
            <v>BẢNG TÍNH TOÁN, ĐO BÓC KHỐI LƯỢNG HOÀN THÀNH ĐƯA VÀO QUYẾT TOÁN</v>
          </cell>
        </row>
      </sheetData>
      <sheetData sheetId="8362">
        <row r="4">
          <cell r="A4" t="str">
            <v>BẢNG TÍNH TOÁN, ĐO BÓC KHỐI LƯỢNG HOÀN THÀNH ĐƯA VÀO QUYẾT TOÁN</v>
          </cell>
        </row>
      </sheetData>
      <sheetData sheetId="8363">
        <row r="4">
          <cell r="A4" t="str">
            <v>BẢNG TÍNH TOÁN, ĐO BÓC KHỐI LƯỢNG HOÀN THÀNH ĐƯA VÀO QUYẾT TOÁN</v>
          </cell>
        </row>
      </sheetData>
      <sheetData sheetId="8364">
        <row r="4">
          <cell r="A4" t="str">
            <v>BẢNG TÍNH TOÁN, ĐO BÓC KHỐI LƯỢNG HOÀN THÀNH ĐƯA VÀO QUYẾT TOÁN</v>
          </cell>
        </row>
      </sheetData>
      <sheetData sheetId="8365">
        <row r="4">
          <cell r="A4" t="str">
            <v>BẢNG TÍNH TOÁN, ĐO BÓC KHỐI LƯỢNG HOÀN THÀNH ĐƯA VÀO QUYẾT TOÁN</v>
          </cell>
        </row>
      </sheetData>
      <sheetData sheetId="8366">
        <row r="4">
          <cell r="A4" t="str">
            <v>BẢNG TÍNH TOÁN, ĐO BÓC KHỐI LƯỢNG HOÀN THÀNH ĐƯA VÀO QUYẾT TOÁN</v>
          </cell>
        </row>
      </sheetData>
      <sheetData sheetId="8367">
        <row r="4">
          <cell r="A4" t="str">
            <v>BẢNG TÍNH TOÁN, ĐO BÓC KHỐI LƯỢNG HOÀN THÀNH ĐƯA VÀO QUYẾT TOÁN</v>
          </cell>
        </row>
      </sheetData>
      <sheetData sheetId="8368">
        <row r="4">
          <cell r="A4" t="str">
            <v>BẢNG TÍNH TOÁN, ĐO BÓC KHỐI LƯỢNG HOÀN THÀNH ĐƯA VÀO QUYẾT TOÁN</v>
          </cell>
        </row>
      </sheetData>
      <sheetData sheetId="8369">
        <row r="4">
          <cell r="A4" t="str">
            <v>BẢNG TÍNH TOÁN, ĐO BÓC KHỐI LƯỢNG HOÀN THÀNH ĐƯA VÀO QUYẾT TOÁN</v>
          </cell>
        </row>
      </sheetData>
      <sheetData sheetId="8370">
        <row r="4">
          <cell r="A4" t="str">
            <v>BẢNG TÍNH TOÁN, ĐO BÓC KHỐI LƯỢNG HOÀN THÀNH ĐƯA VÀO QUYẾT TOÁN</v>
          </cell>
        </row>
      </sheetData>
      <sheetData sheetId="8371">
        <row r="4">
          <cell r="A4" t="str">
            <v>BẢNG TÍNH TOÁN, ĐO BÓC KHỐI LƯỢNG HOÀN THÀNH ĐƯA VÀO QUYẾT TOÁN</v>
          </cell>
        </row>
      </sheetData>
      <sheetData sheetId="8372">
        <row r="4">
          <cell r="A4" t="str">
            <v>BẢNG TÍNH TOÁN, ĐO BÓC KHỐI LƯỢNG HOÀN THÀNH ĐƯA VÀO QUYẾT TOÁN</v>
          </cell>
        </row>
      </sheetData>
      <sheetData sheetId="8373">
        <row r="4">
          <cell r="A4" t="str">
            <v>BẢNG TÍNH TOÁN, ĐO BÓC KHỐI LƯỢNG HOÀN THÀNH ĐƯA VÀO QUYẾT TOÁN</v>
          </cell>
        </row>
      </sheetData>
      <sheetData sheetId="8374">
        <row r="4">
          <cell r="A4" t="str">
            <v>BẢNG TÍNH TOÁN, ĐO BÓC KHỐI LƯỢNG HOÀN THÀNH ĐƯA VÀO QUYẾT TOÁN</v>
          </cell>
        </row>
      </sheetData>
      <sheetData sheetId="8375">
        <row r="4">
          <cell r="A4" t="str">
            <v>BẢNG TÍNH TOÁN, ĐO BÓC KHỐI LƯỢNG HOÀN THÀNH ĐƯA VÀO QUYẾT TOÁN</v>
          </cell>
        </row>
      </sheetData>
      <sheetData sheetId="8376">
        <row r="4">
          <cell r="A4" t="str">
            <v>BẢNG TÍNH TOÁN, ĐO BÓC KHỐI LƯỢNG HOÀN THÀNH ĐƯA VÀO QUYẾT TOÁN</v>
          </cell>
        </row>
      </sheetData>
      <sheetData sheetId="8377">
        <row r="4">
          <cell r="A4" t="str">
            <v>BẢNG TÍNH TOÁN, ĐO BÓC KHỐI LƯỢNG HOÀN THÀNH ĐƯA VÀO QUYẾT TOÁN</v>
          </cell>
        </row>
      </sheetData>
      <sheetData sheetId="8378">
        <row r="4">
          <cell r="A4" t="str">
            <v>BẢNG TÍNH TOÁN, ĐO BÓC KHỐI LƯỢNG HOÀN THÀNH ĐƯA VÀO QUYẾT TOÁN</v>
          </cell>
        </row>
      </sheetData>
      <sheetData sheetId="8379">
        <row r="4">
          <cell r="A4" t="str">
            <v>BẢNG TÍNH TOÁN, ĐO BÓC KHỐI LƯỢNG HOÀN THÀNH ĐƯA VÀO QUYẾT TOÁN</v>
          </cell>
        </row>
      </sheetData>
      <sheetData sheetId="8380">
        <row r="4">
          <cell r="A4" t="str">
            <v>BẢNG TÍNH TOÁN, ĐO BÓC KHỐI LƯỢNG HOÀN THÀNH ĐƯA VÀO QUYẾT TOÁN</v>
          </cell>
        </row>
      </sheetData>
      <sheetData sheetId="8381">
        <row r="4">
          <cell r="A4" t="str">
            <v>BẢNG TÍNH TOÁN, ĐO BÓC KHỐI LƯỢNG HOÀN THÀNH ĐƯA VÀO QUYẾT TOÁN</v>
          </cell>
        </row>
      </sheetData>
      <sheetData sheetId="8382">
        <row r="4">
          <cell r="A4" t="str">
            <v>BẢNG TÍNH TOÁN, ĐO BÓC KHỐI LƯỢNG HOÀN THÀNH ĐƯA VÀO QUYẾT TOÁN</v>
          </cell>
        </row>
      </sheetData>
      <sheetData sheetId="8383">
        <row r="4">
          <cell r="A4" t="str">
            <v>BẢNG TÍNH TOÁN, ĐO BÓC KHỐI LƯỢNG HOÀN THÀNH ĐƯA VÀO QUYẾT TOÁN</v>
          </cell>
        </row>
      </sheetData>
      <sheetData sheetId="8384">
        <row r="4">
          <cell r="A4" t="str">
            <v>BẢNG TÍNH TOÁN, ĐO BÓC KHỐI LƯỢNG HOÀN THÀNH ĐƯA VÀO QUYẾT TOÁN</v>
          </cell>
        </row>
      </sheetData>
      <sheetData sheetId="8385">
        <row r="4">
          <cell r="A4" t="str">
            <v>BẢNG TÍNH TOÁN, ĐO BÓC KHỐI LƯỢNG HOÀN THÀNH ĐƯA VÀO QUYẾT TOÁN</v>
          </cell>
        </row>
      </sheetData>
      <sheetData sheetId="8386">
        <row r="4">
          <cell r="A4" t="str">
            <v>BẢNG TÍNH TOÁN, ĐO BÓC KHỐI LƯỢNG HOÀN THÀNH ĐƯA VÀO QUYẾT TOÁN</v>
          </cell>
        </row>
      </sheetData>
      <sheetData sheetId="8387">
        <row r="4">
          <cell r="A4" t="str">
            <v>BẢNG TÍNH TOÁN, ĐO BÓC KHỐI LƯỢNG HOÀN THÀNH ĐƯA VÀO QUYẾT TOÁN</v>
          </cell>
        </row>
      </sheetData>
      <sheetData sheetId="8388">
        <row r="4">
          <cell r="A4" t="str">
            <v>BẢNG TÍNH TOÁN, ĐO BÓC KHỐI LƯỢNG HOÀN THÀNH ĐƯA VÀO QUYẾT TOÁN</v>
          </cell>
        </row>
      </sheetData>
      <sheetData sheetId="8389">
        <row r="4">
          <cell r="A4" t="str">
            <v>BẢNG TÍNH TOÁN, ĐO BÓC KHỐI LƯỢNG HOÀN THÀNH ĐƯA VÀO QUYẾT TOÁN</v>
          </cell>
        </row>
      </sheetData>
      <sheetData sheetId="8390">
        <row r="4">
          <cell r="A4" t="str">
            <v>BẢNG TÍNH TOÁN, ĐO BÓC KHỐI LƯỢNG HOÀN THÀNH ĐƯA VÀO QUYẾT TOÁN</v>
          </cell>
        </row>
      </sheetData>
      <sheetData sheetId="8391">
        <row r="4">
          <cell r="A4" t="str">
            <v>BẢNG TÍNH TOÁN, ĐO BÓC KHỐI LƯỢNG HOÀN THÀNH ĐƯA VÀO QUYẾT TOÁN</v>
          </cell>
        </row>
      </sheetData>
      <sheetData sheetId="8392">
        <row r="4">
          <cell r="A4" t="str">
            <v>BẢNG TÍNH TOÁN, ĐO BÓC KHỐI LƯỢNG HOÀN THÀNH ĐƯA VÀO QUYẾT TOÁN</v>
          </cell>
        </row>
      </sheetData>
      <sheetData sheetId="8393">
        <row r="4">
          <cell r="A4" t="str">
            <v>BẢNG TÍNH TOÁN, ĐO BÓC KHỐI LƯỢNG HOÀN THÀNH ĐƯA VÀO QUYẾT TOÁN</v>
          </cell>
        </row>
      </sheetData>
      <sheetData sheetId="8394">
        <row r="4">
          <cell r="A4" t="str">
            <v>BẢNG TÍNH TOÁN, ĐO BÓC KHỐI LƯỢNG HOÀN THÀNH ĐƯA VÀO QUYẾT TOÁN</v>
          </cell>
        </row>
      </sheetData>
      <sheetData sheetId="8395">
        <row r="4">
          <cell r="A4" t="str">
            <v>BẢNG TÍNH TOÁN, ĐO BÓC KHỐI LƯỢNG HOÀN THÀNH ĐƯA VÀO QUYẾT TOÁN</v>
          </cell>
        </row>
      </sheetData>
      <sheetData sheetId="8396">
        <row r="4">
          <cell r="A4" t="str">
            <v>BẢNG TÍNH TOÁN, ĐO BÓC KHỐI LƯỢNG HOÀN THÀNH ĐƯA VÀO QUYẾT TOÁN</v>
          </cell>
        </row>
      </sheetData>
      <sheetData sheetId="8397">
        <row r="4">
          <cell r="A4" t="str">
            <v>BẢNG TÍNH TOÁN, ĐO BÓC KHỐI LƯỢNG HOÀN THÀNH ĐƯA VÀO QUYẾT TOÁN</v>
          </cell>
        </row>
      </sheetData>
      <sheetData sheetId="8398">
        <row r="4">
          <cell r="A4" t="str">
            <v>BẢNG TÍNH TOÁN, ĐO BÓC KHỐI LƯỢNG HOÀN THÀNH ĐƯA VÀO QUYẾT TOÁN</v>
          </cell>
        </row>
      </sheetData>
      <sheetData sheetId="8399">
        <row r="4">
          <cell r="A4" t="str">
            <v>BẢNG TÍNH TOÁN, ĐO BÓC KHỐI LƯỢNG HOÀN THÀNH ĐƯA VÀO QUYẾT TOÁN</v>
          </cell>
        </row>
      </sheetData>
      <sheetData sheetId="8400">
        <row r="4">
          <cell r="A4" t="str">
            <v>BẢNG TÍNH TOÁN, ĐO BÓC KHỐI LƯỢNG HOÀN THÀNH ĐƯA VÀO QUYẾT TOÁN</v>
          </cell>
        </row>
      </sheetData>
      <sheetData sheetId="8401">
        <row r="4">
          <cell r="A4" t="str">
            <v>BẢNG TÍNH TOÁN, ĐO BÓC KHỐI LƯỢNG HOÀN THÀNH ĐƯA VÀO QUYẾT TOÁN</v>
          </cell>
        </row>
      </sheetData>
      <sheetData sheetId="8402">
        <row r="4">
          <cell r="A4" t="str">
            <v>BẢNG TÍNH TOÁN, ĐO BÓC KHỐI LƯỢNG HOÀN THÀNH ĐƯA VÀO QUYẾT TOÁN</v>
          </cell>
        </row>
      </sheetData>
      <sheetData sheetId="8403">
        <row r="4">
          <cell r="A4" t="str">
            <v>BẢNG TÍNH TOÁN, ĐO BÓC KHỐI LƯỢNG HOÀN THÀNH ĐƯA VÀO QUYẾT TOÁN</v>
          </cell>
        </row>
      </sheetData>
      <sheetData sheetId="8404">
        <row r="4">
          <cell r="A4" t="str">
            <v>BẢNG TÍNH TOÁN, ĐO BÓC KHỐI LƯỢNG HOÀN THÀNH ĐƯA VÀO QUYẾT TOÁN</v>
          </cell>
        </row>
      </sheetData>
      <sheetData sheetId="8405">
        <row r="4">
          <cell r="A4" t="str">
            <v>BẢNG TÍNH TOÁN, ĐO BÓC KHỐI LƯỢNG HOÀN THÀNH ĐƯA VÀO QUYẾT TOÁN</v>
          </cell>
        </row>
      </sheetData>
      <sheetData sheetId="8406">
        <row r="4">
          <cell r="A4" t="str">
            <v>BẢNG TÍNH TOÁN, ĐO BÓC KHỐI LƯỢNG HOÀN THÀNH ĐƯA VÀO QUYẾT TOÁN</v>
          </cell>
        </row>
      </sheetData>
      <sheetData sheetId="8407">
        <row r="4">
          <cell r="A4" t="str">
            <v>BẢNG TÍNH TOÁN, ĐO BÓC KHỐI LƯỢNG HOÀN THÀNH ĐƯA VÀO QUYẾT TOÁN</v>
          </cell>
        </row>
      </sheetData>
      <sheetData sheetId="8408">
        <row r="4">
          <cell r="A4" t="str">
            <v>BẢNG TÍNH TOÁN, ĐO BÓC KHỐI LƯỢNG HOÀN THÀNH ĐƯA VÀO QUYẾT TOÁN</v>
          </cell>
        </row>
      </sheetData>
      <sheetData sheetId="8409">
        <row r="4">
          <cell r="A4" t="str">
            <v>BẢNG TÍNH TOÁN, ĐO BÓC KHỐI LƯỢNG HOÀN THÀNH ĐƯA VÀO QUYẾT TOÁN</v>
          </cell>
        </row>
      </sheetData>
      <sheetData sheetId="8410">
        <row r="4">
          <cell r="A4" t="str">
            <v>BẢNG TÍNH TOÁN, ĐO BÓC KHỐI LƯỢNG HOÀN THÀNH ĐƯA VÀO QUYẾT TOÁN</v>
          </cell>
        </row>
      </sheetData>
      <sheetData sheetId="8411">
        <row r="4">
          <cell r="A4" t="str">
            <v>BẢNG TÍNH TOÁN, ĐO BÓC KHỐI LƯỢNG HOÀN THÀNH ĐƯA VÀO QUYẾT TOÁN</v>
          </cell>
        </row>
      </sheetData>
      <sheetData sheetId="8412">
        <row r="4">
          <cell r="A4" t="str">
            <v>BẢNG TÍNH TOÁN, ĐO BÓC KHỐI LƯỢNG HOÀN THÀNH ĐƯA VÀO QUYẾT TOÁN</v>
          </cell>
        </row>
      </sheetData>
      <sheetData sheetId="8413">
        <row r="4">
          <cell r="A4" t="str">
            <v>BẢNG TÍNH TOÁN, ĐO BÓC KHỐI LƯỢNG HOÀN THÀNH ĐƯA VÀO QUYẾT TOÁN</v>
          </cell>
        </row>
      </sheetData>
      <sheetData sheetId="8414">
        <row r="4">
          <cell r="A4" t="str">
            <v>BẢNG TÍNH TOÁN, ĐO BÓC KHỐI LƯỢNG HOÀN THÀNH ĐƯA VÀO QUYẾT TOÁN</v>
          </cell>
        </row>
      </sheetData>
      <sheetData sheetId="8415">
        <row r="4">
          <cell r="A4" t="str">
            <v>BẢNG TÍNH TOÁN, ĐO BÓC KHỐI LƯỢNG HOÀN THÀNH ĐƯA VÀO QUYẾT TOÁN</v>
          </cell>
        </row>
      </sheetData>
      <sheetData sheetId="8416">
        <row r="4">
          <cell r="A4" t="str">
            <v>BẢNG TÍNH TOÁN, ĐO BÓC KHỐI LƯỢNG HOÀN THÀNH ĐƯA VÀO QUYẾT TOÁN</v>
          </cell>
        </row>
      </sheetData>
      <sheetData sheetId="8417">
        <row r="4">
          <cell r="A4" t="str">
            <v>BẢNG TÍNH TOÁN, ĐO BÓC KHỐI LƯỢNG HOÀN THÀNH ĐƯA VÀO QUYẾT TOÁN</v>
          </cell>
        </row>
      </sheetData>
      <sheetData sheetId="8418">
        <row r="4">
          <cell r="A4" t="str">
            <v>BẢNG TÍNH TOÁN, ĐO BÓC KHỐI LƯỢNG HOÀN THÀNH ĐƯA VÀO QUYẾT TOÁN</v>
          </cell>
        </row>
      </sheetData>
      <sheetData sheetId="8419">
        <row r="4">
          <cell r="A4" t="str">
            <v>BẢNG TÍNH TOÁN, ĐO BÓC KHỐI LƯỢNG HOÀN THÀNH ĐƯA VÀO QUYẾT TOÁN</v>
          </cell>
        </row>
      </sheetData>
      <sheetData sheetId="8420">
        <row r="4">
          <cell r="A4" t="str">
            <v>BẢNG TÍNH TOÁN, ĐO BÓC KHỐI LƯỢNG HOÀN THÀNH ĐƯA VÀO QUYẾT TOÁN</v>
          </cell>
        </row>
      </sheetData>
      <sheetData sheetId="8421">
        <row r="4">
          <cell r="A4" t="str">
            <v>BẢNG TÍNH TOÁN, ĐO BÓC KHỐI LƯỢNG HOÀN THÀNH ĐƯA VÀO QUYẾT TOÁN</v>
          </cell>
        </row>
      </sheetData>
      <sheetData sheetId="8422">
        <row r="4">
          <cell r="A4" t="str">
            <v>BẢNG TÍNH TOÁN, ĐO BÓC KHỐI LƯỢNG HOÀN THÀNH ĐƯA VÀO QUYẾT TOÁN</v>
          </cell>
        </row>
      </sheetData>
      <sheetData sheetId="8423">
        <row r="4">
          <cell r="A4" t="str">
            <v>BẢNG TÍNH TOÁN, ĐO BÓC KHỐI LƯỢNG HOÀN THÀNH ĐƯA VÀO QUYẾT TOÁN</v>
          </cell>
        </row>
      </sheetData>
      <sheetData sheetId="8424">
        <row r="4">
          <cell r="A4" t="str">
            <v>BẢNG TÍNH TOÁN, ĐO BÓC KHỐI LƯỢNG HOÀN THÀNH ĐƯA VÀO QUYẾT TOÁN</v>
          </cell>
        </row>
      </sheetData>
      <sheetData sheetId="8425">
        <row r="4">
          <cell r="A4" t="str">
            <v>BẢNG TÍNH TOÁN, ĐO BÓC KHỐI LƯỢNG HOÀN THÀNH ĐƯA VÀO QUYẾT TOÁN</v>
          </cell>
        </row>
      </sheetData>
      <sheetData sheetId="8426">
        <row r="4">
          <cell r="A4" t="str">
            <v>BẢNG TÍNH TOÁN, ĐO BÓC KHỐI LƯỢNG HOÀN THÀNH ĐƯA VÀO QUYẾT TOÁN</v>
          </cell>
        </row>
      </sheetData>
      <sheetData sheetId="8427">
        <row r="4">
          <cell r="A4" t="str">
            <v>BẢNG TÍNH TOÁN, ĐO BÓC KHỐI LƯỢNG HOÀN THÀNH ĐƯA VÀO QUYẾT TOÁN</v>
          </cell>
        </row>
      </sheetData>
      <sheetData sheetId="8428">
        <row r="4">
          <cell r="A4" t="str">
            <v>BẢNG TÍNH TOÁN, ĐO BÓC KHỐI LƯỢNG HOÀN THÀNH ĐƯA VÀO QUYẾT TOÁN</v>
          </cell>
        </row>
      </sheetData>
      <sheetData sheetId="8429">
        <row r="4">
          <cell r="A4" t="str">
            <v>BẢNG TÍNH TOÁN, ĐO BÓC KHỐI LƯỢNG HOÀN THÀNH ĐƯA VÀO QUYẾT TOÁN</v>
          </cell>
        </row>
      </sheetData>
      <sheetData sheetId="8430">
        <row r="4">
          <cell r="A4" t="str">
            <v>BẢNG TÍNH TOÁN, ĐO BÓC KHỐI LƯỢNG HOÀN THÀNH ĐƯA VÀO QUYẾT TOÁN</v>
          </cell>
        </row>
      </sheetData>
      <sheetData sheetId="8431">
        <row r="4">
          <cell r="A4" t="str">
            <v>BẢNG TÍNH TOÁN, ĐO BÓC KHỐI LƯỢNG HOÀN THÀNH ĐƯA VÀO QUYẾT TOÁN</v>
          </cell>
        </row>
      </sheetData>
      <sheetData sheetId="8432">
        <row r="4">
          <cell r="A4" t="str">
            <v>BẢNG TÍNH TOÁN, ĐO BÓC KHỐI LƯỢNG HOÀN THÀNH ĐƯA VÀO QUYẾT TOÁN</v>
          </cell>
        </row>
      </sheetData>
      <sheetData sheetId="8433">
        <row r="4">
          <cell r="A4" t="str">
            <v>BẢNG TÍNH TOÁN, ĐO BÓC KHỐI LƯỢNG HOÀN THÀNH ĐƯA VÀO QUYẾT TOÁN</v>
          </cell>
        </row>
      </sheetData>
      <sheetData sheetId="8434">
        <row r="4">
          <cell r="A4" t="str">
            <v>BẢNG TÍNH TOÁN, ĐO BÓC KHỐI LƯỢNG HOÀN THÀNH ĐƯA VÀO QUYẾT TOÁN</v>
          </cell>
        </row>
      </sheetData>
      <sheetData sheetId="8435">
        <row r="4">
          <cell r="A4" t="str">
            <v>BẢNG TÍNH TOÁN, ĐO BÓC KHỐI LƯỢNG HOÀN THÀNH ĐƯA VÀO QUYẾT TOÁN</v>
          </cell>
        </row>
      </sheetData>
      <sheetData sheetId="8436">
        <row r="4">
          <cell r="A4" t="str">
            <v>BẢNG TÍNH TOÁN, ĐO BÓC KHỐI LƯỢNG HOÀN THÀNH ĐƯA VÀO QUYẾT TOÁN</v>
          </cell>
        </row>
      </sheetData>
      <sheetData sheetId="8437">
        <row r="4">
          <cell r="A4" t="str">
            <v>BẢNG TÍNH TOÁN, ĐO BÓC KHỐI LƯỢNG HOÀN THÀNH ĐƯA VÀO QUYẾT TOÁN</v>
          </cell>
        </row>
      </sheetData>
      <sheetData sheetId="8438">
        <row r="4">
          <cell r="A4" t="str">
            <v>BẢNG TÍNH TOÁN, ĐO BÓC KHỐI LƯỢNG HOÀN THÀNH ĐƯA VÀO QUYẾT TOÁN</v>
          </cell>
        </row>
      </sheetData>
      <sheetData sheetId="8439">
        <row r="4">
          <cell r="A4" t="str">
            <v>BẢNG TÍNH TOÁN, ĐO BÓC KHỐI LƯỢNG HOÀN THÀNH ĐƯA VÀO QUYẾT TOÁN</v>
          </cell>
        </row>
      </sheetData>
      <sheetData sheetId="8440">
        <row r="4">
          <cell r="A4" t="str">
            <v>BẢNG TÍNH TOÁN, ĐO BÓC KHỐI LƯỢNG HOÀN THÀNH ĐƯA VÀO QUYẾT TOÁN</v>
          </cell>
        </row>
      </sheetData>
      <sheetData sheetId="8441">
        <row r="4">
          <cell r="A4" t="str">
            <v>BẢNG TÍNH TOÁN, ĐO BÓC KHỐI LƯỢNG HOÀN THÀNH ĐƯA VÀO QUYẾT TOÁN</v>
          </cell>
        </row>
      </sheetData>
      <sheetData sheetId="8442">
        <row r="4">
          <cell r="A4" t="str">
            <v>BẢNG TÍNH TOÁN, ĐO BÓC KHỐI LƯỢNG HOÀN THÀNH ĐƯA VÀO QUYẾT TOÁN</v>
          </cell>
        </row>
      </sheetData>
      <sheetData sheetId="8443">
        <row r="4">
          <cell r="A4" t="str">
            <v>BẢNG TÍNH TOÁN, ĐO BÓC KHỐI LƯỢNG HOÀN THÀNH ĐƯA VÀO QUYẾT TOÁN</v>
          </cell>
        </row>
      </sheetData>
      <sheetData sheetId="8444">
        <row r="4">
          <cell r="A4" t="str">
            <v>BẢNG TÍNH TOÁN, ĐO BÓC KHỐI LƯỢNG HOÀN THÀNH ĐƯA VÀO QUYẾT TOÁN</v>
          </cell>
        </row>
      </sheetData>
      <sheetData sheetId="8445">
        <row r="4">
          <cell r="A4" t="str">
            <v>BẢNG TÍNH TOÁN, ĐO BÓC KHỐI LƯỢNG HOÀN THÀNH ĐƯA VÀO QUYẾT TOÁN</v>
          </cell>
        </row>
      </sheetData>
      <sheetData sheetId="8446">
        <row r="4">
          <cell r="A4" t="str">
            <v>BẢNG TÍNH TOÁN, ĐO BÓC KHỐI LƯỢNG HOÀN THÀNH ĐƯA VÀO QUYẾT TOÁN</v>
          </cell>
        </row>
      </sheetData>
      <sheetData sheetId="8447">
        <row r="4">
          <cell r="A4" t="str">
            <v>BẢNG TÍNH TOÁN, ĐO BÓC KHỐI LƯỢNG HOÀN THÀNH ĐƯA VÀO QUYẾT TOÁN</v>
          </cell>
        </row>
      </sheetData>
      <sheetData sheetId="8448">
        <row r="4">
          <cell r="A4" t="str">
            <v>BẢNG TÍNH TOÁN, ĐO BÓC KHỐI LƯỢNG HOÀN THÀNH ĐƯA VÀO QUYẾT TOÁN</v>
          </cell>
        </row>
      </sheetData>
      <sheetData sheetId="8449">
        <row r="4">
          <cell r="A4" t="str">
            <v>BẢNG TÍNH TOÁN, ĐO BÓC KHỐI LƯỢNG HOÀN THÀNH ĐƯA VÀO QUYẾT TOÁN</v>
          </cell>
        </row>
      </sheetData>
      <sheetData sheetId="8450">
        <row r="4">
          <cell r="A4" t="str">
            <v>BẢNG TÍNH TOÁN, ĐO BÓC KHỐI LƯỢNG HOÀN THÀNH ĐƯA VÀO QUYẾT TOÁN</v>
          </cell>
        </row>
      </sheetData>
      <sheetData sheetId="8451">
        <row r="4">
          <cell r="A4" t="str">
            <v>BẢNG TÍNH TOÁN, ĐO BÓC KHỐI LƯỢNG HOÀN THÀNH ĐƯA VÀO QUYẾT TOÁN</v>
          </cell>
        </row>
      </sheetData>
      <sheetData sheetId="8452">
        <row r="4">
          <cell r="A4" t="str">
            <v>BẢNG TÍNH TOÁN, ĐO BÓC KHỐI LƯỢNG HOÀN THÀNH ĐƯA VÀO QUYẾT TOÁN</v>
          </cell>
        </row>
      </sheetData>
      <sheetData sheetId="8453">
        <row r="4">
          <cell r="A4" t="str">
            <v>BẢNG TÍNH TOÁN, ĐO BÓC KHỐI LƯỢNG HOÀN THÀNH ĐƯA VÀO QUYẾT TOÁN</v>
          </cell>
        </row>
      </sheetData>
      <sheetData sheetId="8454">
        <row r="4">
          <cell r="A4" t="str">
            <v>BẢNG TÍNH TOÁN, ĐO BÓC KHỐI LƯỢNG HOÀN THÀNH ĐƯA VÀO QUYẾT TOÁN</v>
          </cell>
        </row>
      </sheetData>
      <sheetData sheetId="8455">
        <row r="4">
          <cell r="A4" t="str">
            <v>BẢNG TÍNH TOÁN, ĐO BÓC KHỐI LƯỢNG HOÀN THÀNH ĐƯA VÀO QUYẾT TOÁN</v>
          </cell>
        </row>
      </sheetData>
      <sheetData sheetId="8456">
        <row r="4">
          <cell r="A4" t="str">
            <v>BẢNG TÍNH TOÁN, ĐO BÓC KHỐI LƯỢNG HOÀN THÀNH ĐƯA VÀO QUYẾT TOÁN</v>
          </cell>
        </row>
      </sheetData>
      <sheetData sheetId="8457">
        <row r="4">
          <cell r="A4" t="str">
            <v>BẢNG TÍNH TOÁN, ĐO BÓC KHỐI LƯỢNG HOÀN THÀNH ĐƯA VÀO QUYẾT TOÁN</v>
          </cell>
        </row>
      </sheetData>
      <sheetData sheetId="8458">
        <row r="4">
          <cell r="A4" t="str">
            <v>BẢNG TÍNH TOÁN, ĐO BÓC KHỐI LƯỢNG HOÀN THÀNH ĐƯA VÀO QUYẾT TOÁN</v>
          </cell>
        </row>
      </sheetData>
      <sheetData sheetId="8459">
        <row r="4">
          <cell r="A4" t="str">
            <v>BẢNG TÍNH TOÁN, ĐO BÓC KHỐI LƯỢNG HOÀN THÀNH ĐƯA VÀO QUYẾT TOÁN</v>
          </cell>
        </row>
      </sheetData>
      <sheetData sheetId="8460">
        <row r="4">
          <cell r="A4" t="str">
            <v>BẢNG TÍNH TOÁN, ĐO BÓC KHỐI LƯỢNG HOÀN THÀNH ĐƯA VÀO QUYẾT TOÁN</v>
          </cell>
        </row>
      </sheetData>
      <sheetData sheetId="8461">
        <row r="4">
          <cell r="A4" t="str">
            <v>BẢNG TÍNH TOÁN, ĐO BÓC KHỐI LƯỢNG HOÀN THÀNH ĐƯA VÀO QUYẾT TOÁN</v>
          </cell>
        </row>
      </sheetData>
      <sheetData sheetId="8462">
        <row r="4">
          <cell r="A4" t="str">
            <v>BẢNG TÍNH TOÁN, ĐO BÓC KHỐI LƯỢNG HOÀN THÀNH ĐƯA VÀO QUYẾT TOÁN</v>
          </cell>
        </row>
      </sheetData>
      <sheetData sheetId="8463">
        <row r="4">
          <cell r="A4" t="str">
            <v>BẢNG TÍNH TOÁN, ĐO BÓC KHỐI LƯỢNG HOÀN THÀNH ĐƯA VÀO QUYẾT TOÁN</v>
          </cell>
        </row>
      </sheetData>
      <sheetData sheetId="8464">
        <row r="4">
          <cell r="A4" t="str">
            <v>BẢNG TÍNH TOÁN, ĐO BÓC KHỐI LƯỢNG HOÀN THÀNH ĐƯA VÀO QUYẾT TOÁN</v>
          </cell>
        </row>
      </sheetData>
      <sheetData sheetId="8465">
        <row r="4">
          <cell r="A4" t="str">
            <v>BẢNG TÍNH TOÁN, ĐO BÓC KHỐI LƯỢNG HOÀN THÀNH ĐƯA VÀO QUYẾT TOÁN</v>
          </cell>
        </row>
      </sheetData>
      <sheetData sheetId="8466">
        <row r="4">
          <cell r="A4" t="str">
            <v>BẢNG TÍNH TOÁN, ĐO BÓC KHỐI LƯỢNG HOÀN THÀNH ĐƯA VÀO QUYẾT TOÁN</v>
          </cell>
        </row>
      </sheetData>
      <sheetData sheetId="8467">
        <row r="4">
          <cell r="A4" t="str">
            <v>BẢNG TÍNH TOÁN, ĐO BÓC KHỐI LƯỢNG HOÀN THÀNH ĐƯA VÀO QUYẾT TOÁN</v>
          </cell>
        </row>
      </sheetData>
      <sheetData sheetId="8468">
        <row r="4">
          <cell r="A4" t="str">
            <v>BẢNG TÍNH TOÁN, ĐO BÓC KHỐI LƯỢNG HOÀN THÀNH ĐƯA VÀO QUYẾT TOÁN</v>
          </cell>
        </row>
      </sheetData>
      <sheetData sheetId="8469">
        <row r="4">
          <cell r="A4" t="str">
            <v>BẢNG TÍNH TOÁN, ĐO BÓC KHỐI LƯỢNG HOÀN THÀNH ĐƯA VÀO QUYẾT TOÁN</v>
          </cell>
        </row>
      </sheetData>
      <sheetData sheetId="8470">
        <row r="4">
          <cell r="A4" t="str">
            <v>BẢNG TÍNH TOÁN, ĐO BÓC KHỐI LƯỢNG HOÀN THÀNH ĐƯA VÀO QUYẾT TOÁN</v>
          </cell>
        </row>
      </sheetData>
      <sheetData sheetId="8471">
        <row r="4">
          <cell r="A4" t="str">
            <v>BẢNG TÍNH TOÁN, ĐO BÓC KHỐI LƯỢNG HOÀN THÀNH ĐƯA VÀO QUYẾT TOÁN</v>
          </cell>
        </row>
      </sheetData>
      <sheetData sheetId="8472">
        <row r="4">
          <cell r="A4" t="str">
            <v>BẢNG TÍNH TOÁN, ĐO BÓC KHỐI LƯỢNG HOÀN THÀNH ĐƯA VÀO QUYẾT TOÁN</v>
          </cell>
        </row>
      </sheetData>
      <sheetData sheetId="8473">
        <row r="4">
          <cell r="A4" t="str">
            <v>BẢNG TÍNH TOÁN, ĐO BÓC KHỐI LƯỢNG HOÀN THÀNH ĐƯA VÀO QUYẾT TOÁN</v>
          </cell>
        </row>
      </sheetData>
      <sheetData sheetId="8474">
        <row r="4">
          <cell r="A4" t="str">
            <v>BẢNG TÍNH TOÁN, ĐO BÓC KHỐI LƯỢNG HOÀN THÀNH ĐƯA VÀO QUYẾT TOÁN</v>
          </cell>
        </row>
      </sheetData>
      <sheetData sheetId="8475">
        <row r="4">
          <cell r="A4" t="str">
            <v>BẢNG TÍNH TOÁN, ĐO BÓC KHỐI LƯỢNG HOÀN THÀNH ĐƯA VÀO QUYẾT TOÁN</v>
          </cell>
        </row>
      </sheetData>
      <sheetData sheetId="8476">
        <row r="4">
          <cell r="A4" t="str">
            <v>BẢNG TÍNH TOÁN, ĐO BÓC KHỐI LƯỢNG HOÀN THÀNH ĐƯA VÀO QUYẾT TOÁN</v>
          </cell>
        </row>
      </sheetData>
      <sheetData sheetId="8477">
        <row r="4">
          <cell r="A4" t="str">
            <v>BẢNG TÍNH TOÁN, ĐO BÓC KHỐI LƯỢNG HOÀN THÀNH ĐƯA VÀO QUYẾT TOÁN</v>
          </cell>
        </row>
      </sheetData>
      <sheetData sheetId="8478">
        <row r="4">
          <cell r="A4" t="str">
            <v>BẢNG TÍNH TOÁN, ĐO BÓC KHỐI LƯỢNG HOÀN THÀNH ĐƯA VÀO QUYẾT TOÁN</v>
          </cell>
        </row>
      </sheetData>
      <sheetData sheetId="8479">
        <row r="4">
          <cell r="A4" t="str">
            <v>BẢNG TÍNH TOÁN, ĐO BÓC KHỐI LƯỢNG HOÀN THÀNH ĐƯA VÀO QUYẾT TOÁN</v>
          </cell>
        </row>
      </sheetData>
      <sheetData sheetId="8480">
        <row r="4">
          <cell r="A4" t="str">
            <v>BẢNG TÍNH TOÁN, ĐO BÓC KHỐI LƯỢNG HOÀN THÀNH ĐƯA VÀO QUYẾT TOÁN</v>
          </cell>
        </row>
      </sheetData>
      <sheetData sheetId="8481">
        <row r="4">
          <cell r="A4" t="str">
            <v>BẢNG TÍNH TOÁN, ĐO BÓC KHỐI LƯỢNG HOÀN THÀNH ĐƯA VÀO QUYẾT TOÁN</v>
          </cell>
        </row>
      </sheetData>
      <sheetData sheetId="8482">
        <row r="4">
          <cell r="A4" t="str">
            <v>BẢNG TÍNH TOÁN, ĐO BÓC KHỐI LƯỢNG HOÀN THÀNH ĐƯA VÀO QUYẾT TOÁN</v>
          </cell>
        </row>
      </sheetData>
      <sheetData sheetId="8483">
        <row r="4">
          <cell r="A4" t="str">
            <v>BẢNG TÍNH TOÁN, ĐO BÓC KHỐI LƯỢNG HOÀN THÀNH ĐƯA VÀO QUYẾT TOÁN</v>
          </cell>
        </row>
      </sheetData>
      <sheetData sheetId="8484">
        <row r="4">
          <cell r="A4" t="str">
            <v>BẢNG TÍNH TOÁN, ĐO BÓC KHỐI LƯỢNG HOÀN THÀNH ĐƯA VÀO QUYẾT TOÁN</v>
          </cell>
        </row>
      </sheetData>
      <sheetData sheetId="8485">
        <row r="4">
          <cell r="A4" t="str">
            <v>BẢNG TÍNH TOÁN, ĐO BÓC KHỐI LƯỢNG HOÀN THÀNH ĐƯA VÀO QUYẾT TOÁN</v>
          </cell>
        </row>
      </sheetData>
      <sheetData sheetId="8486">
        <row r="4">
          <cell r="A4" t="str">
            <v>BẢNG TÍNH TOÁN, ĐO BÓC KHỐI LƯỢNG HOÀN THÀNH ĐƯA VÀO QUYẾT TOÁN</v>
          </cell>
        </row>
      </sheetData>
      <sheetData sheetId="8487">
        <row r="4">
          <cell r="A4" t="str">
            <v>BẢNG TÍNH TOÁN, ĐO BÓC KHỐI LƯỢNG HOÀN THÀNH ĐƯA VÀO QUYẾT TOÁN</v>
          </cell>
        </row>
      </sheetData>
      <sheetData sheetId="8488">
        <row r="4">
          <cell r="A4" t="str">
            <v>BẢNG TÍNH TOÁN, ĐO BÓC KHỐI LƯỢNG HOÀN THÀNH ĐƯA VÀO QUYẾT TOÁN</v>
          </cell>
        </row>
      </sheetData>
      <sheetData sheetId="8489">
        <row r="4">
          <cell r="A4" t="str">
            <v>BẢNG TÍNH TOÁN, ĐO BÓC KHỐI LƯỢNG HOÀN THÀNH ĐƯA VÀO QUYẾT TOÁN</v>
          </cell>
        </row>
      </sheetData>
      <sheetData sheetId="8490">
        <row r="4">
          <cell r="A4" t="str">
            <v>BẢNG TÍNH TOÁN, ĐO BÓC KHỐI LƯỢNG HOÀN THÀNH ĐƯA VÀO QUYẾT TOÁN</v>
          </cell>
        </row>
      </sheetData>
      <sheetData sheetId="8491">
        <row r="4">
          <cell r="A4" t="str">
            <v>BẢNG TÍNH TOÁN, ĐO BÓC KHỐI LƯỢNG HOÀN THÀNH ĐƯA VÀO QUYẾT TOÁN</v>
          </cell>
        </row>
      </sheetData>
      <sheetData sheetId="8492">
        <row r="4">
          <cell r="A4" t="str">
            <v>BẢNG TÍNH TOÁN, ĐO BÓC KHỐI LƯỢNG HOÀN THÀNH ĐƯA VÀO QUYẾT TOÁN</v>
          </cell>
        </row>
      </sheetData>
      <sheetData sheetId="8493">
        <row r="4">
          <cell r="A4" t="str">
            <v>BẢNG TÍNH TOÁN, ĐO BÓC KHỐI LƯỢNG HOÀN THÀNH ĐƯA VÀO QUYẾT TOÁN</v>
          </cell>
        </row>
      </sheetData>
      <sheetData sheetId="8494">
        <row r="4">
          <cell r="A4" t="str">
            <v>BẢNG TÍNH TOÁN, ĐO BÓC KHỐI LƯỢNG HOÀN THÀNH ĐƯA VÀO QUYẾT TOÁN</v>
          </cell>
        </row>
      </sheetData>
      <sheetData sheetId="8495">
        <row r="4">
          <cell r="A4" t="str">
            <v>BẢNG TÍNH TOÁN, ĐO BÓC KHỐI LƯỢNG HOÀN THÀNH ĐƯA VÀO QUYẾT TOÁN</v>
          </cell>
        </row>
      </sheetData>
      <sheetData sheetId="8496">
        <row r="4">
          <cell r="A4" t="str">
            <v>BẢNG TÍNH TOÁN, ĐO BÓC KHỐI LƯỢNG HOÀN THÀNH ĐƯA VÀO QUYẾT TOÁN</v>
          </cell>
        </row>
      </sheetData>
      <sheetData sheetId="8497">
        <row r="4">
          <cell r="A4" t="str">
            <v>BẢNG TÍNH TOÁN, ĐO BÓC KHỐI LƯỢNG HOÀN THÀNH ĐƯA VÀO QUYẾT TOÁN</v>
          </cell>
        </row>
      </sheetData>
      <sheetData sheetId="8498">
        <row r="4">
          <cell r="A4" t="str">
            <v>BẢNG TÍNH TOÁN, ĐO BÓC KHỐI LƯỢNG HOÀN THÀNH ĐƯA VÀO QUYẾT TOÁN</v>
          </cell>
        </row>
      </sheetData>
      <sheetData sheetId="8499">
        <row r="4">
          <cell r="A4" t="str">
            <v>BẢNG TÍNH TOÁN, ĐO BÓC KHỐI LƯỢNG HOÀN THÀNH ĐƯA VÀO QUYẾT TOÁN</v>
          </cell>
        </row>
      </sheetData>
      <sheetData sheetId="8500">
        <row r="4">
          <cell r="A4" t="str">
            <v>BẢNG TÍNH TOÁN, ĐO BÓC KHỐI LƯỢNG HOÀN THÀNH ĐƯA VÀO QUYẾT TOÁN</v>
          </cell>
        </row>
      </sheetData>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ow r="4">
          <cell r="A4" t="str">
            <v>BẢNG TÍNH TOÁN, ĐO BÓC KHỐI LƯỢNG HOÀN THÀNH ĐƯA VÀO QUYẾT TOÁN</v>
          </cell>
        </row>
      </sheetData>
      <sheetData sheetId="8950">
        <row r="4">
          <cell r="A4" t="str">
            <v>BẢNG TÍNH TOÁN, ĐO BÓC KHỐI LƯỢNG HOÀN THÀNH ĐƯA VÀO QUYẾT TOÁN</v>
          </cell>
        </row>
      </sheetData>
      <sheetData sheetId="8951">
        <row r="9">
          <cell r="A9" t="str">
            <v>A</v>
          </cell>
        </row>
      </sheetData>
      <sheetData sheetId="8952">
        <row r="9">
          <cell r="A9" t="str">
            <v>A</v>
          </cell>
        </row>
      </sheetData>
      <sheetData sheetId="8953">
        <row r="4">
          <cell r="A4" t="str">
            <v>BẢNG TÍNH TOÁN, ĐO BÓC KHỐI LƯỢNG HOÀN THÀNH ĐƯA VÀO QUYẾT TOÁN</v>
          </cell>
        </row>
      </sheetData>
      <sheetData sheetId="8954" refreshError="1"/>
      <sheetData sheetId="8955" refreshError="1"/>
      <sheetData sheetId="8956">
        <row r="4">
          <cell r="A4" t="str">
            <v>BẢNG TÍNH TOÁN, ĐO BÓC KHỐI LƯỢNG HOÀN THÀNH ĐƯA VÀO QUYẾT TOÁN</v>
          </cell>
        </row>
      </sheetData>
      <sheetData sheetId="8957">
        <row r="4">
          <cell r="A4" t="str">
            <v>BẢNG TÍNH TOÁN, ĐO BÓC KHỐI LƯỢNG HOÀN THÀNH ĐƯA VÀO QUYẾT TOÁN</v>
          </cell>
        </row>
      </sheetData>
      <sheetData sheetId="8958">
        <row r="4">
          <cell r="A4" t="str">
            <v>BẢNG TÍNH TOÁN, ĐO BÓC KHỐI LƯỢNG HOÀN THÀNH ĐƯA VÀO QUYẾT TOÁN</v>
          </cell>
        </row>
      </sheetData>
      <sheetData sheetId="8959">
        <row r="9">
          <cell r="A9" t="str">
            <v>A</v>
          </cell>
        </row>
      </sheetData>
      <sheetData sheetId="8960">
        <row r="9">
          <cell r="A9" t="str">
            <v>A</v>
          </cell>
        </row>
      </sheetData>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ow r="4">
          <cell r="A4" t="str">
            <v>BẢNG TÍNH TOÁN, ĐO BÓC KHỐI LƯỢNG HOÀN THÀNH ĐƯA VÀO QUYẾT TOÁN</v>
          </cell>
        </row>
      </sheetData>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sheetData sheetId="9016">
        <row r="9">
          <cell r="A9" t="str">
            <v>A</v>
          </cell>
        </row>
      </sheetData>
      <sheetData sheetId="9017">
        <row r="9">
          <cell r="A9" t="str">
            <v>A</v>
          </cell>
        </row>
      </sheetData>
      <sheetData sheetId="9018"/>
      <sheetData sheetId="9019">
        <row r="9">
          <cell r="A9" t="str">
            <v>A</v>
          </cell>
        </row>
      </sheetData>
      <sheetData sheetId="9020">
        <row r="9">
          <cell r="A9" t="str">
            <v>A</v>
          </cell>
        </row>
      </sheetData>
      <sheetData sheetId="9021">
        <row r="9">
          <cell r="A9" t="str">
            <v>A</v>
          </cell>
        </row>
      </sheetData>
      <sheetData sheetId="9022">
        <row r="4">
          <cell r="A4" t="str">
            <v>BẢNG TÍNH TOÁN, ĐO BÓC KHỐI LƯỢNG HOÀN THÀNH ĐƯA VÀO QUYẾT TOÁN</v>
          </cell>
        </row>
      </sheetData>
      <sheetData sheetId="9023">
        <row r="9">
          <cell r="A9" t="str">
            <v>A</v>
          </cell>
        </row>
      </sheetData>
      <sheetData sheetId="9024">
        <row r="9">
          <cell r="A9" t="str">
            <v>A</v>
          </cell>
        </row>
      </sheetData>
      <sheetData sheetId="9025">
        <row r="9">
          <cell r="A9" t="str">
            <v>A</v>
          </cell>
        </row>
      </sheetData>
      <sheetData sheetId="9026">
        <row r="9">
          <cell r="A9" t="str">
            <v>A</v>
          </cell>
        </row>
      </sheetData>
      <sheetData sheetId="9027">
        <row r="9">
          <cell r="A9" t="str">
            <v>A</v>
          </cell>
        </row>
      </sheetData>
      <sheetData sheetId="9028">
        <row r="9">
          <cell r="A9" t="str">
            <v>A</v>
          </cell>
        </row>
      </sheetData>
      <sheetData sheetId="9029">
        <row r="9">
          <cell r="A9" t="str">
            <v>A</v>
          </cell>
        </row>
      </sheetData>
      <sheetData sheetId="9030">
        <row r="9">
          <cell r="A9" t="str">
            <v>A</v>
          </cell>
        </row>
      </sheetData>
      <sheetData sheetId="9031">
        <row r="9">
          <cell r="A9" t="str">
            <v>A</v>
          </cell>
        </row>
      </sheetData>
      <sheetData sheetId="9032">
        <row r="9">
          <cell r="A9" t="str">
            <v>A</v>
          </cell>
        </row>
      </sheetData>
      <sheetData sheetId="9033">
        <row r="4">
          <cell r="A4" t="str">
            <v>BẢNG TÍNH TOÁN, ĐO BÓC KHỐI LƯỢNG HOÀN THÀNH ĐƯA VÀO QUYẾT TOÁN</v>
          </cell>
        </row>
      </sheetData>
      <sheetData sheetId="9034">
        <row r="4">
          <cell r="A4" t="str">
            <v>BẢNG TÍNH TOÁN, ĐO BÓC KHỐI LƯỢNG HOÀN THÀNH ĐƯA VÀO QUYẾT TOÁN</v>
          </cell>
        </row>
      </sheetData>
      <sheetData sheetId="9035">
        <row r="4">
          <cell r="A4" t="str">
            <v>BẢNG TÍNH TOÁN, ĐO BÓC KHỐI LƯỢNG HOÀN THÀNH ĐƯA VÀO QUYẾT TOÁN</v>
          </cell>
        </row>
      </sheetData>
      <sheetData sheetId="9036">
        <row r="4">
          <cell r="A4" t="str">
            <v>BẢNG TÍNH TOÁN, ĐO BÓC KHỐI LƯỢNG HOÀN THÀNH ĐƯA VÀO QUYẾT TOÁN</v>
          </cell>
        </row>
      </sheetData>
      <sheetData sheetId="9037">
        <row r="9">
          <cell r="A9" t="str">
            <v>A</v>
          </cell>
        </row>
      </sheetData>
      <sheetData sheetId="9038"/>
      <sheetData sheetId="9039">
        <row r="4">
          <cell r="A4" t="str">
            <v>BẢNG TÍNH TOÁN, ĐO BÓC KHỐI LƯỢNG HOÀN THÀNH ĐƯA VÀO QUYẾT TOÁN</v>
          </cell>
        </row>
      </sheetData>
      <sheetData sheetId="9040">
        <row r="9">
          <cell r="A9" t="str">
            <v>A</v>
          </cell>
        </row>
      </sheetData>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ow r="9">
          <cell r="A9" t="str">
            <v>A</v>
          </cell>
        </row>
      </sheetData>
      <sheetData sheetId="9054" refreshError="1"/>
      <sheetData sheetId="9055" refreshError="1"/>
      <sheetData sheetId="9056" refreshError="1"/>
      <sheetData sheetId="9057" refreshError="1"/>
      <sheetData sheetId="9058">
        <row r="9">
          <cell r="A9" t="str">
            <v>A</v>
          </cell>
        </row>
      </sheetData>
      <sheetData sheetId="9059">
        <row r="9">
          <cell r="A9" t="str">
            <v>A</v>
          </cell>
        </row>
      </sheetData>
      <sheetData sheetId="9060">
        <row r="9">
          <cell r="A9" t="str">
            <v>A</v>
          </cell>
        </row>
      </sheetData>
      <sheetData sheetId="9061"/>
      <sheetData sheetId="9062"/>
      <sheetData sheetId="9063">
        <row r="9">
          <cell r="A9" t="str">
            <v>A</v>
          </cell>
        </row>
      </sheetData>
      <sheetData sheetId="9064">
        <row r="9">
          <cell r="A9" t="str">
            <v>A</v>
          </cell>
        </row>
      </sheetData>
      <sheetData sheetId="9065">
        <row r="9">
          <cell r="A9" t="str">
            <v>A</v>
          </cell>
        </row>
      </sheetData>
      <sheetData sheetId="9066">
        <row r="9">
          <cell r="A9" t="str">
            <v>A</v>
          </cell>
        </row>
      </sheetData>
      <sheetData sheetId="9067">
        <row r="9">
          <cell r="A9" t="str">
            <v>A</v>
          </cell>
        </row>
      </sheetData>
      <sheetData sheetId="9068"/>
      <sheetData sheetId="9069">
        <row r="9">
          <cell r="A9" t="str">
            <v>A</v>
          </cell>
        </row>
      </sheetData>
      <sheetData sheetId="9070" refreshError="1"/>
      <sheetData sheetId="9071">
        <row r="9">
          <cell r="A9" t="str">
            <v>A</v>
          </cell>
        </row>
      </sheetData>
      <sheetData sheetId="9072">
        <row r="4">
          <cell r="A4" t="str">
            <v>BẢNG TÍNH TOÁN, ĐO BÓC KHỐI LƯỢNG HOÀN THÀNH ĐƯA VÀO QUYẾT TOÁN</v>
          </cell>
        </row>
      </sheetData>
      <sheetData sheetId="9073">
        <row r="4">
          <cell r="A4" t="str">
            <v>BẢNG TÍNH TOÁN, ĐO BÓC KHỐI LƯỢNG HOÀN THÀNH ĐƯA VÀO QUYẾT TOÁN</v>
          </cell>
        </row>
      </sheetData>
      <sheetData sheetId="9074">
        <row r="9">
          <cell r="A9" t="str">
            <v>A</v>
          </cell>
        </row>
      </sheetData>
      <sheetData sheetId="9075">
        <row r="9">
          <cell r="A9" t="str">
            <v>A</v>
          </cell>
        </row>
      </sheetData>
      <sheetData sheetId="9076">
        <row r="9">
          <cell r="A9" t="str">
            <v>A</v>
          </cell>
        </row>
      </sheetData>
      <sheetData sheetId="9077">
        <row r="9">
          <cell r="A9" t="str">
            <v>A</v>
          </cell>
        </row>
      </sheetData>
      <sheetData sheetId="9078"/>
      <sheetData sheetId="9079">
        <row r="9">
          <cell r="A9" t="str">
            <v>A</v>
          </cell>
        </row>
      </sheetData>
      <sheetData sheetId="9080">
        <row r="9">
          <cell r="A9" t="str">
            <v>A</v>
          </cell>
        </row>
      </sheetData>
      <sheetData sheetId="9081">
        <row r="9">
          <cell r="A9" t="str">
            <v>A</v>
          </cell>
        </row>
      </sheetData>
      <sheetData sheetId="9082">
        <row r="9">
          <cell r="A9" t="str">
            <v>A</v>
          </cell>
        </row>
      </sheetData>
      <sheetData sheetId="9083">
        <row r="9">
          <cell r="A9" t="str">
            <v>A</v>
          </cell>
        </row>
      </sheetData>
      <sheetData sheetId="9084">
        <row r="9">
          <cell r="A9" t="str">
            <v>A</v>
          </cell>
        </row>
      </sheetData>
      <sheetData sheetId="9085">
        <row r="9">
          <cell r="A9" t="str">
            <v>A</v>
          </cell>
        </row>
      </sheetData>
      <sheetData sheetId="9086">
        <row r="9">
          <cell r="A9" t="str">
            <v>A</v>
          </cell>
        </row>
      </sheetData>
      <sheetData sheetId="9087">
        <row r="9">
          <cell r="A9" t="str">
            <v>A</v>
          </cell>
        </row>
      </sheetData>
      <sheetData sheetId="9088">
        <row r="9">
          <cell r="A9" t="str">
            <v>A</v>
          </cell>
        </row>
      </sheetData>
      <sheetData sheetId="9089">
        <row r="9">
          <cell r="A9" t="str">
            <v>A</v>
          </cell>
        </row>
      </sheetData>
      <sheetData sheetId="9090">
        <row r="9">
          <cell r="A9" t="str">
            <v>A</v>
          </cell>
        </row>
      </sheetData>
      <sheetData sheetId="9091">
        <row r="9">
          <cell r="A9" t="str">
            <v>A</v>
          </cell>
        </row>
      </sheetData>
      <sheetData sheetId="9092">
        <row r="9">
          <cell r="A9" t="str">
            <v>A</v>
          </cell>
        </row>
      </sheetData>
      <sheetData sheetId="9093">
        <row r="9">
          <cell r="A9" t="str">
            <v>A</v>
          </cell>
        </row>
      </sheetData>
      <sheetData sheetId="9094">
        <row r="9">
          <cell r="A9" t="str">
            <v>A</v>
          </cell>
        </row>
      </sheetData>
      <sheetData sheetId="9095">
        <row r="4">
          <cell r="A4" t="str">
            <v>BẢNG TÍNH TOÁN, ĐO BÓC KHỐI LƯỢNG HOÀN THÀNH ĐƯA VÀO QUYẾT TOÁN</v>
          </cell>
        </row>
      </sheetData>
      <sheetData sheetId="9096">
        <row r="4">
          <cell r="A4" t="str">
            <v>BẢNG TÍNH TOÁN, ĐO BÓC KHỐI LƯỢNG HOÀN THÀNH ĐƯA VÀO QUYẾT TOÁN</v>
          </cell>
        </row>
      </sheetData>
      <sheetData sheetId="9097">
        <row r="9">
          <cell r="A9" t="str">
            <v>A</v>
          </cell>
        </row>
      </sheetData>
      <sheetData sheetId="9098">
        <row r="9">
          <cell r="A9" t="str">
            <v>A</v>
          </cell>
        </row>
      </sheetData>
      <sheetData sheetId="9099">
        <row r="9">
          <cell r="A9" t="str">
            <v>A</v>
          </cell>
        </row>
      </sheetData>
      <sheetData sheetId="9100"/>
      <sheetData sheetId="9101"/>
      <sheetData sheetId="9102">
        <row r="9">
          <cell r="A9" t="str">
            <v>A</v>
          </cell>
        </row>
      </sheetData>
      <sheetData sheetId="9103">
        <row r="9">
          <cell r="A9" t="str">
            <v>A</v>
          </cell>
        </row>
      </sheetData>
      <sheetData sheetId="9104">
        <row r="9">
          <cell r="A9" t="str">
            <v>A</v>
          </cell>
        </row>
      </sheetData>
      <sheetData sheetId="9105">
        <row r="9">
          <cell r="A9" t="str">
            <v>A</v>
          </cell>
        </row>
      </sheetData>
      <sheetData sheetId="9106">
        <row r="9">
          <cell r="A9" t="str">
            <v>A</v>
          </cell>
        </row>
      </sheetData>
      <sheetData sheetId="9107">
        <row r="9">
          <cell r="A9" t="str">
            <v>A</v>
          </cell>
        </row>
      </sheetData>
      <sheetData sheetId="9108"/>
      <sheetData sheetId="9109"/>
      <sheetData sheetId="9110">
        <row r="9">
          <cell r="A9" t="str">
            <v>A</v>
          </cell>
        </row>
      </sheetData>
      <sheetData sheetId="9111"/>
      <sheetData sheetId="9112"/>
      <sheetData sheetId="9113"/>
      <sheetData sheetId="9114"/>
      <sheetData sheetId="9115"/>
      <sheetData sheetId="9116">
        <row r="9">
          <cell r="A9" t="str">
            <v>A</v>
          </cell>
        </row>
      </sheetData>
      <sheetData sheetId="9117">
        <row r="9">
          <cell r="A9" t="str">
            <v>A</v>
          </cell>
        </row>
      </sheetData>
      <sheetData sheetId="9118">
        <row r="9">
          <cell r="A9" t="str">
            <v>A</v>
          </cell>
        </row>
      </sheetData>
      <sheetData sheetId="9119">
        <row r="4">
          <cell r="A4" t="str">
            <v>BẢNG TÍNH TOÁN, ĐO BÓC KHỐI LƯỢNG HOÀN THÀNH ĐƯA VÀO QUYẾT TOÁN</v>
          </cell>
        </row>
      </sheetData>
      <sheetData sheetId="9120">
        <row r="4">
          <cell r="A4" t="str">
            <v>BẢNG TÍNH TOÁN, ĐO BÓC KHỐI LƯỢNG HOÀN THÀNH ĐƯA VÀO QUYẾT TOÁN</v>
          </cell>
        </row>
      </sheetData>
      <sheetData sheetId="9121">
        <row r="4">
          <cell r="A4" t="str">
            <v>BẢNG TÍNH TOÁN, ĐO BÓC KHỐI LƯỢNG HOÀN THÀNH ĐƯA VÀO QUYẾT TOÁN</v>
          </cell>
        </row>
      </sheetData>
      <sheetData sheetId="9122">
        <row r="9">
          <cell r="A9" t="str">
            <v>A</v>
          </cell>
        </row>
      </sheetData>
      <sheetData sheetId="9123">
        <row r="9">
          <cell r="A9" t="str">
            <v>A</v>
          </cell>
        </row>
      </sheetData>
      <sheetData sheetId="9124">
        <row r="4">
          <cell r="A4" t="str">
            <v>BẢNG TÍNH TOÁN, ĐO BÓC KHỐI LƯỢNG HOÀN THÀNH ĐƯA VÀO QUYẾT TOÁN</v>
          </cell>
        </row>
      </sheetData>
      <sheetData sheetId="9125">
        <row r="4">
          <cell r="A4" t="str">
            <v>BẢNG TÍNH TOÁN, ĐO BÓC KHỐI LƯỢNG HOÀN THÀNH ĐƯA VÀO QUYẾT TOÁN</v>
          </cell>
        </row>
      </sheetData>
      <sheetData sheetId="9126">
        <row r="4">
          <cell r="A4" t="str">
            <v>BẢNG TÍNH TOÁN, ĐO BÓC KHỐI LƯỢNG HOÀN THÀNH ĐƯA VÀO QUYẾT TOÁN</v>
          </cell>
        </row>
      </sheetData>
      <sheetData sheetId="9127">
        <row r="9">
          <cell r="A9" t="str">
            <v>A</v>
          </cell>
        </row>
      </sheetData>
      <sheetData sheetId="9128">
        <row r="9">
          <cell r="A9" t="str">
            <v>A</v>
          </cell>
        </row>
      </sheetData>
      <sheetData sheetId="9129">
        <row r="9">
          <cell r="A9" t="str">
            <v>A</v>
          </cell>
        </row>
      </sheetData>
      <sheetData sheetId="9130">
        <row r="4">
          <cell r="A4" t="str">
            <v>BẢNG TÍNH TOÁN, ĐO BÓC KHỐI LƯỢNG HOÀN THÀNH ĐƯA VÀO QUYẾT TOÁN</v>
          </cell>
        </row>
      </sheetData>
      <sheetData sheetId="9131">
        <row r="9">
          <cell r="A9" t="str">
            <v>A</v>
          </cell>
        </row>
      </sheetData>
      <sheetData sheetId="9132">
        <row r="9">
          <cell r="A9" t="str">
            <v>A</v>
          </cell>
        </row>
      </sheetData>
      <sheetData sheetId="9133">
        <row r="4">
          <cell r="A4" t="str">
            <v>BẢNG TÍNH TOÁN, ĐO BÓC KHỐI LƯỢNG HOÀN THÀNH ĐƯA VÀO QUYẾT TOÁN</v>
          </cell>
        </row>
      </sheetData>
      <sheetData sheetId="9134">
        <row r="4">
          <cell r="A4" t="str">
            <v>BẢNG TÍNH TOÁN, ĐO BÓC KHỐI LƯỢNG HOÀN THÀNH ĐƯA VÀO QUYẾT TOÁN</v>
          </cell>
        </row>
      </sheetData>
      <sheetData sheetId="9135">
        <row r="9">
          <cell r="A9" t="str">
            <v>A</v>
          </cell>
        </row>
      </sheetData>
      <sheetData sheetId="9136">
        <row r="9">
          <cell r="A9" t="str">
            <v>A</v>
          </cell>
        </row>
      </sheetData>
      <sheetData sheetId="9137"/>
      <sheetData sheetId="9138">
        <row r="4">
          <cell r="A4" t="str">
            <v>BẢNG TÍNH TOÁN, ĐO BÓC KHỐI LƯỢNG HOÀN THÀNH ĐƯA VÀO QUYẾT TOÁN</v>
          </cell>
        </row>
      </sheetData>
      <sheetData sheetId="9139">
        <row r="4">
          <cell r="A4" t="str">
            <v>BẢNG TÍNH TOÁN, ĐO BÓC KHỐI LƯỢNG HOÀN THÀNH ĐƯA VÀO QUYẾT TOÁN</v>
          </cell>
        </row>
      </sheetData>
      <sheetData sheetId="9140">
        <row r="9">
          <cell r="A9" t="str">
            <v>A</v>
          </cell>
        </row>
      </sheetData>
      <sheetData sheetId="9141">
        <row r="9">
          <cell r="A9" t="str">
            <v>A</v>
          </cell>
        </row>
      </sheetData>
      <sheetData sheetId="9142">
        <row r="4">
          <cell r="A4" t="str">
            <v>BẢNG TÍNH TOÁN, ĐO BÓC KHỐI LƯỢNG HOÀN THÀNH ĐƯA VÀO QUYẾT TOÁN</v>
          </cell>
        </row>
      </sheetData>
      <sheetData sheetId="9143">
        <row r="4">
          <cell r="A4" t="str">
            <v>BẢNG TÍNH TOÁN, ĐO BÓC KHỐI LƯỢNG HOÀN THÀNH ĐƯA VÀO QUYẾT TOÁN</v>
          </cell>
        </row>
      </sheetData>
      <sheetData sheetId="9144">
        <row r="4">
          <cell r="A4" t="str">
            <v>BẢNG TÍNH TOÁN, ĐO BÓC KHỐI LƯỢNG HOÀN THÀNH ĐƯA VÀO QUYẾT TOÁN</v>
          </cell>
        </row>
      </sheetData>
      <sheetData sheetId="9145">
        <row r="9">
          <cell r="A9" t="str">
            <v>A</v>
          </cell>
        </row>
      </sheetData>
      <sheetData sheetId="9146">
        <row r="9">
          <cell r="A9" t="str">
            <v>A</v>
          </cell>
        </row>
      </sheetData>
      <sheetData sheetId="9147">
        <row r="4">
          <cell r="A4" t="str">
            <v>BẢNG TÍNH TOÁN, ĐO BÓC KHỐI LƯỢNG HOÀN THÀNH ĐƯA VÀO QUYẾT TOÁN</v>
          </cell>
        </row>
      </sheetData>
      <sheetData sheetId="9148">
        <row r="4">
          <cell r="A4" t="str">
            <v>BẢNG TÍNH TOÁN, ĐO BÓC KHỐI LƯỢNG HOÀN THÀNH ĐƯA VÀO QUYẾT TOÁN</v>
          </cell>
        </row>
      </sheetData>
      <sheetData sheetId="9149">
        <row r="4">
          <cell r="A4" t="str">
            <v>BẢNG TÍNH TOÁN, ĐO BÓC KHỐI LƯỢNG HOÀN THÀNH ĐƯA VÀO QUYẾT TOÁN</v>
          </cell>
        </row>
      </sheetData>
      <sheetData sheetId="9150">
        <row r="4">
          <cell r="A4" t="str">
            <v>BẢNG TÍNH TOÁN, ĐO BÓC KHỐI LƯỢNG HOÀN THÀNH ĐƯA VÀO QUYẾT TOÁN</v>
          </cell>
        </row>
      </sheetData>
      <sheetData sheetId="9151">
        <row r="9">
          <cell r="A9" t="str">
            <v>A</v>
          </cell>
        </row>
      </sheetData>
      <sheetData sheetId="9152">
        <row r="4">
          <cell r="A4" t="str">
            <v>BẢNG TÍNH TOÁN, ĐO BÓC KHỐI LƯỢNG HOÀN THÀNH ĐƯA VÀO QUYẾT TOÁN</v>
          </cell>
        </row>
      </sheetData>
      <sheetData sheetId="9153">
        <row r="4">
          <cell r="A4" t="str">
            <v>BẢNG TÍNH TOÁN, ĐO BÓC KHỐI LƯỢNG HOÀN THÀNH ĐƯA VÀO QUYẾT TOÁN</v>
          </cell>
        </row>
      </sheetData>
      <sheetData sheetId="9154">
        <row r="4">
          <cell r="A4" t="str">
            <v>BẢNG TÍNH TOÁN, ĐO BÓC KHỐI LƯỢNG HOÀN THÀNH ĐƯA VÀO QUYẾT TOÁN</v>
          </cell>
        </row>
      </sheetData>
      <sheetData sheetId="9155">
        <row r="4">
          <cell r="A4" t="str">
            <v>BẢNG TÍNH TOÁN, ĐO BÓC KHỐI LƯỢNG HOÀN THÀNH ĐƯA VÀO QUYẾT TOÁN</v>
          </cell>
        </row>
      </sheetData>
      <sheetData sheetId="9156">
        <row r="4">
          <cell r="A4" t="str">
            <v>BẢNG TÍNH TOÁN, ĐO BÓC KHỐI LƯỢNG HOÀN THÀNH ĐƯA VÀO QUYẾT TOÁN</v>
          </cell>
        </row>
      </sheetData>
      <sheetData sheetId="9157">
        <row r="4">
          <cell r="A4" t="str">
            <v>BẢNG TÍNH TOÁN, ĐO BÓC KHỐI LƯỢNG HOÀN THÀNH ĐƯA VÀO QUYẾT TOÁN</v>
          </cell>
        </row>
      </sheetData>
      <sheetData sheetId="9158">
        <row r="9">
          <cell r="A9" t="str">
            <v>A</v>
          </cell>
        </row>
      </sheetData>
      <sheetData sheetId="9159">
        <row r="9">
          <cell r="A9" t="str">
            <v>A</v>
          </cell>
        </row>
      </sheetData>
      <sheetData sheetId="9160"/>
      <sheetData sheetId="9161"/>
      <sheetData sheetId="9162">
        <row r="9">
          <cell r="A9" t="str">
            <v>A</v>
          </cell>
        </row>
      </sheetData>
      <sheetData sheetId="9163">
        <row r="9">
          <cell r="A9" t="str">
            <v>A</v>
          </cell>
        </row>
      </sheetData>
      <sheetData sheetId="9164">
        <row r="9">
          <cell r="A9" t="str">
            <v>A</v>
          </cell>
        </row>
      </sheetData>
      <sheetData sheetId="9165">
        <row r="9">
          <cell r="A9" t="str">
            <v>A</v>
          </cell>
        </row>
      </sheetData>
      <sheetData sheetId="9166">
        <row r="9">
          <cell r="A9" t="str">
            <v>A</v>
          </cell>
        </row>
      </sheetData>
      <sheetData sheetId="9167"/>
      <sheetData sheetId="9168"/>
      <sheetData sheetId="9169">
        <row r="9">
          <cell r="A9" t="str">
            <v>A</v>
          </cell>
        </row>
      </sheetData>
      <sheetData sheetId="9170">
        <row r="4">
          <cell r="A4" t="str">
            <v>BẢNG TÍNH TOÁN, ĐO BÓC KHỐI LƯỢNG HOÀN THÀNH ĐƯA VÀO QUYẾT TOÁN</v>
          </cell>
        </row>
      </sheetData>
      <sheetData sheetId="9171">
        <row r="4">
          <cell r="A4" t="str">
            <v>BẢNG TÍNH TOÁN, ĐO BÓC KHỐI LƯỢNG HOÀN THÀNH ĐƯA VÀO QUYẾT TOÁN</v>
          </cell>
        </row>
      </sheetData>
      <sheetData sheetId="9172">
        <row r="4">
          <cell r="A4" t="str">
            <v>BẢNG TÍNH TOÁN, ĐO BÓC KHỐI LƯỢNG HOÀN THÀNH ĐƯA VÀO QUYẾT TOÁN</v>
          </cell>
        </row>
      </sheetData>
      <sheetData sheetId="9173" refreshError="1"/>
      <sheetData sheetId="9174" refreshError="1"/>
      <sheetData sheetId="9175" refreshError="1"/>
      <sheetData sheetId="9176" refreshError="1"/>
      <sheetData sheetId="9177" refreshError="1"/>
      <sheetData sheetId="9178">
        <row r="9">
          <cell r="A9" t="str">
            <v>A</v>
          </cell>
        </row>
      </sheetData>
      <sheetData sheetId="9179">
        <row r="9">
          <cell r="A9" t="str">
            <v>A</v>
          </cell>
        </row>
      </sheetData>
      <sheetData sheetId="9180">
        <row r="9">
          <cell r="A9" t="str">
            <v>A</v>
          </cell>
        </row>
      </sheetData>
      <sheetData sheetId="9181">
        <row r="9">
          <cell r="A9" t="str">
            <v>A</v>
          </cell>
        </row>
      </sheetData>
      <sheetData sheetId="9182">
        <row r="9">
          <cell r="A9" t="str">
            <v>A</v>
          </cell>
        </row>
      </sheetData>
      <sheetData sheetId="9183"/>
      <sheetData sheetId="9184"/>
      <sheetData sheetId="9185">
        <row r="9">
          <cell r="A9" t="str">
            <v>A</v>
          </cell>
        </row>
      </sheetData>
      <sheetData sheetId="9186" refreshError="1"/>
      <sheetData sheetId="9187">
        <row r="9">
          <cell r="A9" t="str">
            <v>A</v>
          </cell>
        </row>
      </sheetData>
      <sheetData sheetId="9188">
        <row r="9">
          <cell r="A9" t="str">
            <v>A</v>
          </cell>
        </row>
      </sheetData>
      <sheetData sheetId="9189">
        <row r="9">
          <cell r="A9" t="str">
            <v>A</v>
          </cell>
        </row>
      </sheetData>
      <sheetData sheetId="9190"/>
      <sheetData sheetId="9191">
        <row r="9">
          <cell r="A9" t="str">
            <v>A</v>
          </cell>
        </row>
      </sheetData>
      <sheetData sheetId="9192">
        <row r="9">
          <cell r="A9" t="str">
            <v>A</v>
          </cell>
        </row>
      </sheetData>
      <sheetData sheetId="9193">
        <row r="4">
          <cell r="A4" t="str">
            <v>BẢNG TÍNH TOÁN, ĐO BÓC KHỐI LƯỢNG HOÀN THÀNH ĐƯA VÀO QUYẾT TOÁN</v>
          </cell>
        </row>
      </sheetData>
      <sheetData sheetId="9194">
        <row r="4">
          <cell r="A4" t="str">
            <v>BẢNG TÍNH TOÁN, ĐO BÓC KHỐI LƯỢNG HOÀN THÀNH ĐƯA VÀO QUYẾT TOÁN</v>
          </cell>
        </row>
      </sheetData>
      <sheetData sheetId="9195">
        <row r="4">
          <cell r="A4" t="str">
            <v>BẢNG TÍNH TOÁN, ĐO BÓC KHỐI LƯỢNG HOÀN THÀNH ĐƯA VÀO QUYẾT TOÁN</v>
          </cell>
        </row>
      </sheetData>
      <sheetData sheetId="9196">
        <row r="4">
          <cell r="A4" t="str">
            <v>BẢNG TÍNH TOÁN, ĐO BÓC KHỐI LƯỢNG HOÀN THÀNH ĐƯA VÀO QUYẾT TOÁN</v>
          </cell>
        </row>
      </sheetData>
      <sheetData sheetId="9197">
        <row r="4">
          <cell r="A4" t="str">
            <v>BẢNG TÍNH TOÁN, ĐO BÓC KHỐI LƯỢNG HOÀN THÀNH ĐƯA VÀO QUYẾT TOÁN</v>
          </cell>
        </row>
      </sheetData>
      <sheetData sheetId="9198">
        <row r="9">
          <cell r="A9" t="str">
            <v>A</v>
          </cell>
        </row>
      </sheetData>
      <sheetData sheetId="9199">
        <row r="9">
          <cell r="A9" t="str">
            <v>A</v>
          </cell>
        </row>
      </sheetData>
      <sheetData sheetId="9200">
        <row r="4">
          <cell r="A4" t="str">
            <v>BẢNG TÍNH TOÁN, ĐO BÓC KHỐI LƯỢNG HOÀN THÀNH ĐƯA VÀO QUYẾT TOÁN</v>
          </cell>
        </row>
      </sheetData>
      <sheetData sheetId="9201">
        <row r="4">
          <cell r="A4" t="str">
            <v>BẢNG TÍNH TOÁN, ĐO BÓC KHỐI LƯỢNG HOÀN THÀNH ĐƯA VÀO QUYẾT TOÁN</v>
          </cell>
        </row>
      </sheetData>
      <sheetData sheetId="9202">
        <row r="4">
          <cell r="A4" t="str">
            <v>BẢNG TÍNH TOÁN, ĐO BÓC KHỐI LƯỢNG HOÀN THÀNH ĐƯA VÀO QUYẾT TOÁN</v>
          </cell>
        </row>
      </sheetData>
      <sheetData sheetId="9203">
        <row r="9">
          <cell r="A9" t="str">
            <v>A</v>
          </cell>
        </row>
      </sheetData>
      <sheetData sheetId="9204">
        <row r="9">
          <cell r="A9" t="str">
            <v>A</v>
          </cell>
        </row>
      </sheetData>
      <sheetData sheetId="9205">
        <row r="4">
          <cell r="A4" t="str">
            <v>BẢNG TÍNH TOÁN, ĐO BÓC KHỐI LƯỢNG HOÀN THÀNH ĐƯA VÀO QUYẾT TOÁN</v>
          </cell>
        </row>
      </sheetData>
      <sheetData sheetId="9206">
        <row r="4">
          <cell r="A4" t="str">
            <v>BẢNG TÍNH TOÁN, ĐO BÓC KHỐI LƯỢNG HOÀN THÀNH ĐƯA VÀO QUYẾT TOÁN</v>
          </cell>
        </row>
      </sheetData>
      <sheetData sheetId="9207">
        <row r="9">
          <cell r="A9" t="str">
            <v>A</v>
          </cell>
        </row>
      </sheetData>
      <sheetData sheetId="9208">
        <row r="9">
          <cell r="A9" t="str">
            <v>A</v>
          </cell>
        </row>
      </sheetData>
      <sheetData sheetId="9209">
        <row r="4">
          <cell r="A4" t="str">
            <v>BẢNG TÍNH TOÁN, ĐO BÓC KHỐI LƯỢNG HOÀN THÀNH ĐƯA VÀO QUYẾT TOÁN</v>
          </cell>
        </row>
      </sheetData>
      <sheetData sheetId="9210">
        <row r="4">
          <cell r="A4" t="str">
            <v>BẢNG TÍNH TOÁN, ĐO BÓC KHỐI LƯỢNG HOÀN THÀNH ĐƯA VÀO QUYẾT TOÁN</v>
          </cell>
        </row>
      </sheetData>
      <sheetData sheetId="9211">
        <row r="9">
          <cell r="A9" t="str">
            <v>A</v>
          </cell>
        </row>
      </sheetData>
      <sheetData sheetId="9212" refreshError="1"/>
      <sheetData sheetId="9213" refreshError="1"/>
      <sheetData sheetId="9214" refreshError="1"/>
      <sheetData sheetId="9215" refreshError="1"/>
      <sheetData sheetId="9216" refreshError="1"/>
      <sheetData sheetId="9217" refreshError="1"/>
      <sheetData sheetId="9218">
        <row r="9">
          <cell r="A9" t="str">
            <v>A</v>
          </cell>
        </row>
      </sheetData>
      <sheetData sheetId="9219">
        <row r="4">
          <cell r="A4" t="str">
            <v>BẢNG TÍNH TOÁN, ĐO BÓC KHỐI LƯỢNG HOÀN THÀNH ĐƯA VÀO QUYẾT TOÁN</v>
          </cell>
        </row>
      </sheetData>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ow r="4">
          <cell r="A4" t="str">
            <v>BẢNG TÍNH TOÁN, ĐO BÓC KHỐI LƯỢNG HOÀN THÀNH ĐƯA VÀO QUYẾT TOÁN</v>
          </cell>
        </row>
      </sheetData>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ow r="4">
          <cell r="A4" t="str">
            <v>BẢNG TÍNH TOÁN, ĐO BÓC KHỐI LƯỢNG HOÀN THÀNH ĐƯA VÀO QUYẾT TOÁN</v>
          </cell>
        </row>
      </sheetData>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ow r="9">
          <cell r="A9" t="str">
            <v>A</v>
          </cell>
        </row>
      </sheetData>
      <sheetData sheetId="9440">
        <row r="9">
          <cell r="A9" t="str">
            <v>A</v>
          </cell>
        </row>
      </sheetData>
      <sheetData sheetId="9441" refreshError="1"/>
      <sheetData sheetId="9442" refreshError="1"/>
      <sheetData sheetId="9443" refreshError="1"/>
      <sheetData sheetId="9444">
        <row r="9">
          <cell r="A9" t="str">
            <v>A</v>
          </cell>
        </row>
      </sheetData>
      <sheetData sheetId="9445">
        <row r="9">
          <cell r="A9" t="str">
            <v>A</v>
          </cell>
        </row>
      </sheetData>
      <sheetData sheetId="9446">
        <row r="9">
          <cell r="A9" t="str">
            <v>A</v>
          </cell>
        </row>
      </sheetData>
      <sheetData sheetId="9447">
        <row r="9">
          <cell r="A9" t="str">
            <v>A</v>
          </cell>
        </row>
      </sheetData>
      <sheetData sheetId="9448">
        <row r="9">
          <cell r="A9" t="str">
            <v>A</v>
          </cell>
        </row>
      </sheetData>
      <sheetData sheetId="9449">
        <row r="9">
          <cell r="A9" t="str">
            <v>A</v>
          </cell>
        </row>
      </sheetData>
      <sheetData sheetId="9450">
        <row r="9">
          <cell r="A9" t="str">
            <v>A</v>
          </cell>
        </row>
      </sheetData>
      <sheetData sheetId="9451">
        <row r="9">
          <cell r="A9" t="str">
            <v>A</v>
          </cell>
        </row>
      </sheetData>
      <sheetData sheetId="9452">
        <row r="9">
          <cell r="A9" t="str">
            <v>A</v>
          </cell>
        </row>
      </sheetData>
      <sheetData sheetId="9453">
        <row r="9">
          <cell r="A9" t="str">
            <v>A</v>
          </cell>
        </row>
      </sheetData>
      <sheetData sheetId="9454">
        <row r="9">
          <cell r="A9" t="str">
            <v>A</v>
          </cell>
        </row>
      </sheetData>
      <sheetData sheetId="9455">
        <row r="9">
          <cell r="A9" t="str">
            <v>A</v>
          </cell>
        </row>
      </sheetData>
      <sheetData sheetId="9456">
        <row r="9">
          <cell r="A9" t="str">
            <v>A</v>
          </cell>
        </row>
      </sheetData>
      <sheetData sheetId="9457">
        <row r="9">
          <cell r="A9" t="str">
            <v>A</v>
          </cell>
        </row>
      </sheetData>
      <sheetData sheetId="9458">
        <row r="9">
          <cell r="A9" t="str">
            <v>A</v>
          </cell>
        </row>
      </sheetData>
      <sheetData sheetId="9459">
        <row r="9">
          <cell r="A9" t="str">
            <v>A</v>
          </cell>
        </row>
      </sheetData>
      <sheetData sheetId="9460" refreshError="1"/>
      <sheetData sheetId="9461" refreshError="1"/>
      <sheetData sheetId="9462" refreshError="1"/>
      <sheetData sheetId="9463" refreshError="1"/>
      <sheetData sheetId="9464" refreshError="1"/>
      <sheetData sheetId="9465" refreshError="1"/>
      <sheetData sheetId="9466"/>
      <sheetData sheetId="9467"/>
      <sheetData sheetId="9468">
        <row r="9">
          <cell r="A9" t="str">
            <v>A</v>
          </cell>
        </row>
      </sheetData>
      <sheetData sheetId="9469">
        <row r="9">
          <cell r="A9" t="str">
            <v>A</v>
          </cell>
        </row>
      </sheetData>
      <sheetData sheetId="9470"/>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ow r="9">
          <cell r="A9" t="str">
            <v>A</v>
          </cell>
        </row>
      </sheetData>
      <sheetData sheetId="9491">
        <row r="9">
          <cell r="A9" t="str">
            <v>A</v>
          </cell>
        </row>
      </sheetData>
      <sheetData sheetId="9492">
        <row r="9">
          <cell r="A9" t="str">
            <v>A</v>
          </cell>
        </row>
      </sheetData>
      <sheetData sheetId="9493"/>
      <sheetData sheetId="9494">
        <row r="9">
          <cell r="A9" t="str">
            <v>A</v>
          </cell>
        </row>
      </sheetData>
      <sheetData sheetId="9495">
        <row r="9">
          <cell r="A9" t="str">
            <v>A</v>
          </cell>
        </row>
      </sheetData>
      <sheetData sheetId="9496">
        <row r="9">
          <cell r="A9" t="str">
            <v>A</v>
          </cell>
        </row>
      </sheetData>
      <sheetData sheetId="9497">
        <row r="9">
          <cell r="A9" t="str">
            <v>A</v>
          </cell>
        </row>
      </sheetData>
      <sheetData sheetId="9498"/>
      <sheetData sheetId="9499">
        <row r="9">
          <cell r="A9" t="str">
            <v>A</v>
          </cell>
        </row>
      </sheetData>
      <sheetData sheetId="9500">
        <row r="9">
          <cell r="A9" t="str">
            <v>A</v>
          </cell>
        </row>
      </sheetData>
      <sheetData sheetId="9501">
        <row r="9">
          <cell r="A9" t="str">
            <v>A</v>
          </cell>
        </row>
      </sheetData>
      <sheetData sheetId="9502">
        <row r="9">
          <cell r="A9" t="str">
            <v>A</v>
          </cell>
        </row>
      </sheetData>
      <sheetData sheetId="9503">
        <row r="9">
          <cell r="A9" t="str">
            <v>A</v>
          </cell>
        </row>
      </sheetData>
      <sheetData sheetId="9504"/>
      <sheetData sheetId="9505">
        <row r="9">
          <cell r="A9" t="str">
            <v>A</v>
          </cell>
        </row>
      </sheetData>
      <sheetData sheetId="9506">
        <row r="9">
          <cell r="A9" t="str">
            <v>A</v>
          </cell>
        </row>
      </sheetData>
      <sheetData sheetId="9507">
        <row r="9">
          <cell r="A9" t="str">
            <v>A</v>
          </cell>
        </row>
      </sheetData>
      <sheetData sheetId="9508">
        <row r="9">
          <cell r="A9" t="str">
            <v>A</v>
          </cell>
        </row>
      </sheetData>
      <sheetData sheetId="9509">
        <row r="9">
          <cell r="A9" t="str">
            <v>A</v>
          </cell>
        </row>
      </sheetData>
      <sheetData sheetId="9510"/>
      <sheetData sheetId="9511">
        <row r="9">
          <cell r="A9" t="str">
            <v>A</v>
          </cell>
        </row>
      </sheetData>
      <sheetData sheetId="9512">
        <row r="9">
          <cell r="A9" t="str">
            <v>A</v>
          </cell>
        </row>
      </sheetData>
      <sheetData sheetId="9513">
        <row r="9">
          <cell r="A9" t="str">
            <v>A</v>
          </cell>
        </row>
      </sheetData>
      <sheetData sheetId="9514">
        <row r="4">
          <cell r="A4" t="str">
            <v>BẢNG TÍNH TOÁN, ĐO BÓC KHỐI LƯỢNG HOÀN THÀNH ĐƯA VÀO QUYẾT TOÁN</v>
          </cell>
        </row>
      </sheetData>
      <sheetData sheetId="9515">
        <row r="4">
          <cell r="A4" t="str">
            <v>BẢNG TÍNH TOÁN, ĐO BÓC KHỐI LƯỢNG HOÀN THÀNH ĐƯA VÀO QUYẾT TOÁN</v>
          </cell>
        </row>
      </sheetData>
      <sheetData sheetId="9516">
        <row r="9">
          <cell r="A9" t="str">
            <v>A</v>
          </cell>
        </row>
      </sheetData>
      <sheetData sheetId="9517"/>
      <sheetData sheetId="9518">
        <row r="9">
          <cell r="A9" t="str">
            <v>A</v>
          </cell>
        </row>
      </sheetData>
      <sheetData sheetId="9519">
        <row r="9">
          <cell r="A9" t="str">
            <v>A</v>
          </cell>
        </row>
      </sheetData>
      <sheetData sheetId="9520">
        <row r="9">
          <cell r="A9" t="str">
            <v>A</v>
          </cell>
        </row>
      </sheetData>
      <sheetData sheetId="9521">
        <row r="9">
          <cell r="A9" t="str">
            <v>A</v>
          </cell>
        </row>
      </sheetData>
      <sheetData sheetId="9522">
        <row r="9">
          <cell r="A9" t="str">
            <v>A</v>
          </cell>
        </row>
      </sheetData>
      <sheetData sheetId="9523">
        <row r="9">
          <cell r="A9" t="str">
            <v>A</v>
          </cell>
        </row>
      </sheetData>
      <sheetData sheetId="9524"/>
      <sheetData sheetId="9525">
        <row r="9">
          <cell r="A9" t="str">
            <v>A</v>
          </cell>
        </row>
      </sheetData>
      <sheetData sheetId="9526"/>
      <sheetData sheetId="9527"/>
      <sheetData sheetId="9528">
        <row r="9">
          <cell r="A9" t="str">
            <v>A</v>
          </cell>
        </row>
      </sheetData>
      <sheetData sheetId="9529">
        <row r="9">
          <cell r="A9" t="str">
            <v>A</v>
          </cell>
        </row>
      </sheetData>
      <sheetData sheetId="9530">
        <row r="9">
          <cell r="A9" t="str">
            <v>A</v>
          </cell>
        </row>
      </sheetData>
      <sheetData sheetId="9531"/>
      <sheetData sheetId="9532">
        <row r="9">
          <cell r="A9" t="str">
            <v>A</v>
          </cell>
        </row>
      </sheetData>
      <sheetData sheetId="9533">
        <row r="9">
          <cell r="A9" t="str">
            <v>A</v>
          </cell>
        </row>
      </sheetData>
      <sheetData sheetId="9534"/>
      <sheetData sheetId="9535"/>
      <sheetData sheetId="9536"/>
      <sheetData sheetId="9537"/>
      <sheetData sheetId="9538">
        <row r="9">
          <cell r="A9" t="str">
            <v>A</v>
          </cell>
        </row>
      </sheetData>
      <sheetData sheetId="9539">
        <row r="9">
          <cell r="A9" t="str">
            <v>A</v>
          </cell>
        </row>
      </sheetData>
      <sheetData sheetId="9540">
        <row r="9">
          <cell r="A9" t="str">
            <v>A</v>
          </cell>
        </row>
      </sheetData>
      <sheetData sheetId="9541"/>
      <sheetData sheetId="9542"/>
      <sheetData sheetId="9543">
        <row r="9">
          <cell r="A9" t="str">
            <v>A</v>
          </cell>
        </row>
      </sheetData>
      <sheetData sheetId="9544">
        <row r="9">
          <cell r="A9" t="str">
            <v>A</v>
          </cell>
        </row>
      </sheetData>
      <sheetData sheetId="9545" refreshError="1"/>
      <sheetData sheetId="9546"/>
      <sheetData sheetId="9547"/>
      <sheetData sheetId="9548">
        <row r="9">
          <cell r="A9" t="str">
            <v>A</v>
          </cell>
        </row>
      </sheetData>
      <sheetData sheetId="9549">
        <row r="9">
          <cell r="A9" t="str">
            <v>A</v>
          </cell>
        </row>
      </sheetData>
      <sheetData sheetId="9550">
        <row r="9">
          <cell r="A9" t="str">
            <v>A</v>
          </cell>
        </row>
      </sheetData>
      <sheetData sheetId="9551"/>
      <sheetData sheetId="9552"/>
      <sheetData sheetId="9553">
        <row r="9">
          <cell r="A9" t="str">
            <v>A</v>
          </cell>
        </row>
      </sheetData>
      <sheetData sheetId="9554"/>
      <sheetData sheetId="9555"/>
      <sheetData sheetId="9556">
        <row r="9">
          <cell r="A9" t="str">
            <v>A</v>
          </cell>
        </row>
      </sheetData>
      <sheetData sheetId="9557"/>
      <sheetData sheetId="9558"/>
      <sheetData sheetId="9559"/>
      <sheetData sheetId="9560"/>
      <sheetData sheetId="9561"/>
      <sheetData sheetId="9562" refreshError="1"/>
      <sheetData sheetId="9563"/>
      <sheetData sheetId="9564"/>
      <sheetData sheetId="9565" refreshError="1"/>
      <sheetData sheetId="9566" refreshError="1"/>
      <sheetData sheetId="9567">
        <row r="9">
          <cell r="A9" t="str">
            <v>A</v>
          </cell>
        </row>
      </sheetData>
      <sheetData sheetId="9568">
        <row r="9">
          <cell r="A9" t="str">
            <v>A</v>
          </cell>
        </row>
      </sheetData>
      <sheetData sheetId="9569"/>
      <sheetData sheetId="9570"/>
      <sheetData sheetId="9571"/>
      <sheetData sheetId="9572"/>
      <sheetData sheetId="9573">
        <row r="9">
          <cell r="A9" t="str">
            <v>A</v>
          </cell>
        </row>
      </sheetData>
      <sheetData sheetId="9574"/>
      <sheetData sheetId="9575"/>
      <sheetData sheetId="9576">
        <row r="9">
          <cell r="A9" t="str">
            <v>A</v>
          </cell>
        </row>
      </sheetData>
      <sheetData sheetId="9577"/>
      <sheetData sheetId="9578"/>
      <sheetData sheetId="9579"/>
      <sheetData sheetId="9580"/>
      <sheetData sheetId="9581"/>
      <sheetData sheetId="9582"/>
      <sheetData sheetId="9583"/>
      <sheetData sheetId="9584">
        <row r="9">
          <cell r="A9" t="str">
            <v>A</v>
          </cell>
        </row>
      </sheetData>
      <sheetData sheetId="9585">
        <row r="9">
          <cell r="A9" t="str">
            <v>A</v>
          </cell>
        </row>
      </sheetData>
      <sheetData sheetId="9586">
        <row r="9">
          <cell r="A9" t="str">
            <v>A</v>
          </cell>
        </row>
      </sheetData>
      <sheetData sheetId="9587">
        <row r="9">
          <cell r="A9" t="str">
            <v>A</v>
          </cell>
        </row>
      </sheetData>
      <sheetData sheetId="9588"/>
      <sheetData sheetId="9589"/>
      <sheetData sheetId="9590">
        <row r="9">
          <cell r="A9" t="str">
            <v>A</v>
          </cell>
        </row>
      </sheetData>
      <sheetData sheetId="9591"/>
      <sheetData sheetId="9592">
        <row r="9">
          <cell r="A9" t="str">
            <v>A</v>
          </cell>
        </row>
      </sheetData>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refreshError="1"/>
      <sheetData sheetId="9628" refreshError="1"/>
      <sheetData sheetId="9629" refreshError="1"/>
      <sheetData sheetId="9630" refreshError="1"/>
      <sheetData sheetId="9631">
        <row r="9">
          <cell r="A9" t="str">
            <v>A</v>
          </cell>
        </row>
      </sheetData>
      <sheetData sheetId="9632">
        <row r="9">
          <cell r="A9" t="str">
            <v>A</v>
          </cell>
        </row>
      </sheetData>
      <sheetData sheetId="9633">
        <row r="9">
          <cell r="A9" t="str">
            <v>A</v>
          </cell>
        </row>
      </sheetData>
      <sheetData sheetId="9634">
        <row r="9">
          <cell r="A9" t="str">
            <v>A</v>
          </cell>
        </row>
      </sheetData>
      <sheetData sheetId="9635">
        <row r="9">
          <cell r="A9" t="str">
            <v>A</v>
          </cell>
        </row>
      </sheetData>
      <sheetData sheetId="9636">
        <row r="9">
          <cell r="A9" t="str">
            <v>A</v>
          </cell>
        </row>
      </sheetData>
      <sheetData sheetId="9637"/>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ow r="9">
          <cell r="A9" t="str">
            <v>A</v>
          </cell>
        </row>
      </sheetData>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ow r="9">
          <cell r="A9" t="str">
            <v>A</v>
          </cell>
        </row>
      </sheetData>
      <sheetData sheetId="9743" refreshError="1"/>
      <sheetData sheetId="9744" refreshError="1"/>
      <sheetData sheetId="9745"/>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sheetData sheetId="9818"/>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sheetData sheetId="9890"/>
      <sheetData sheetId="9891"/>
      <sheetData sheetId="9892"/>
      <sheetData sheetId="9893"/>
      <sheetData sheetId="9894"/>
      <sheetData sheetId="9895"/>
      <sheetData sheetId="9896"/>
      <sheetData sheetId="9897"/>
      <sheetData sheetId="9898" refreshError="1"/>
      <sheetData sheetId="9899" refreshError="1"/>
      <sheetData sheetId="9900"/>
      <sheetData sheetId="9901"/>
      <sheetData sheetId="9902">
        <row r="9">
          <cell r="A9" t="str">
            <v>A</v>
          </cell>
        </row>
      </sheetData>
      <sheetData sheetId="9903">
        <row r="9">
          <cell r="A9" t="str">
            <v>A</v>
          </cell>
        </row>
      </sheetData>
      <sheetData sheetId="9904">
        <row r="9">
          <cell r="A9" t="str">
            <v>A</v>
          </cell>
        </row>
      </sheetData>
      <sheetData sheetId="9905">
        <row r="9">
          <cell r="A9" t="str">
            <v>A</v>
          </cell>
        </row>
      </sheetData>
      <sheetData sheetId="9906"/>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sheetData sheetId="9932"/>
      <sheetData sheetId="9933"/>
      <sheetData sheetId="9934"/>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sheetData sheetId="9949"/>
      <sheetData sheetId="9950"/>
      <sheetData sheetId="995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sheetData sheetId="9961"/>
      <sheetData sheetId="9962"/>
      <sheetData sheetId="9963"/>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row r="9">
          <cell r="A9" t="str">
            <v>A</v>
          </cell>
        </row>
      </sheetData>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row r="9">
          <cell r="A9" t="str">
            <v>A</v>
          </cell>
        </row>
      </sheetData>
      <sheetData sheetId="10161">
        <row r="9">
          <cell r="A9" t="str">
            <v>A</v>
          </cell>
        </row>
      </sheetData>
      <sheetData sheetId="10162">
        <row r="9">
          <cell r="A9" t="str">
            <v>A</v>
          </cell>
        </row>
      </sheetData>
      <sheetData sheetId="10163">
        <row r="9">
          <cell r="A9" t="str">
            <v>A</v>
          </cell>
        </row>
      </sheetData>
      <sheetData sheetId="10164">
        <row r="9">
          <cell r="A9" t="str">
            <v>A</v>
          </cell>
        </row>
      </sheetData>
      <sheetData sheetId="10165">
        <row r="9">
          <cell r="A9" t="str">
            <v>A</v>
          </cell>
        </row>
      </sheetData>
      <sheetData sheetId="10166"/>
      <sheetData sheetId="10167"/>
      <sheetData sheetId="10168"/>
      <sheetData sheetId="10169"/>
      <sheetData sheetId="10170"/>
      <sheetData sheetId="10171"/>
      <sheetData sheetId="10172">
        <row r="9">
          <cell r="A9" t="str">
            <v>A</v>
          </cell>
        </row>
      </sheetData>
      <sheetData sheetId="10173">
        <row r="9">
          <cell r="A9" t="str">
            <v>A</v>
          </cell>
        </row>
      </sheetData>
      <sheetData sheetId="10174">
        <row r="9">
          <cell r="A9" t="str">
            <v>A</v>
          </cell>
        </row>
      </sheetData>
      <sheetData sheetId="10175">
        <row r="9">
          <cell r="A9" t="str">
            <v>A</v>
          </cell>
        </row>
      </sheetData>
      <sheetData sheetId="10176">
        <row r="9">
          <cell r="A9" t="str">
            <v>A</v>
          </cell>
        </row>
      </sheetData>
      <sheetData sheetId="10177">
        <row r="9">
          <cell r="A9" t="str">
            <v>A</v>
          </cell>
        </row>
      </sheetData>
      <sheetData sheetId="10178">
        <row r="9">
          <cell r="A9" t="str">
            <v>A</v>
          </cell>
        </row>
      </sheetData>
      <sheetData sheetId="10179">
        <row r="9">
          <cell r="A9" t="str">
            <v>A</v>
          </cell>
        </row>
      </sheetData>
      <sheetData sheetId="10180">
        <row r="9">
          <cell r="A9" t="str">
            <v>A</v>
          </cell>
        </row>
      </sheetData>
      <sheetData sheetId="10181">
        <row r="9">
          <cell r="A9" t="str">
            <v>A</v>
          </cell>
        </row>
      </sheetData>
      <sheetData sheetId="10182">
        <row r="9">
          <cell r="A9" t="str">
            <v>A</v>
          </cell>
        </row>
      </sheetData>
      <sheetData sheetId="10183">
        <row r="9">
          <cell r="A9" t="str">
            <v>A</v>
          </cell>
        </row>
      </sheetData>
      <sheetData sheetId="10184">
        <row r="9">
          <cell r="A9" t="str">
            <v>A</v>
          </cell>
        </row>
      </sheetData>
      <sheetData sheetId="10185">
        <row r="9">
          <cell r="A9" t="str">
            <v>A</v>
          </cell>
        </row>
      </sheetData>
      <sheetData sheetId="10186">
        <row r="9">
          <cell r="A9" t="str">
            <v>A</v>
          </cell>
        </row>
      </sheetData>
      <sheetData sheetId="10187">
        <row r="9">
          <cell r="A9" t="str">
            <v>A</v>
          </cell>
        </row>
      </sheetData>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row r="9">
          <cell r="A9" t="str">
            <v>A</v>
          </cell>
        </row>
      </sheetData>
      <sheetData sheetId="10239">
        <row r="9">
          <cell r="A9" t="str">
            <v>A</v>
          </cell>
        </row>
      </sheetData>
      <sheetData sheetId="10240"/>
      <sheetData sheetId="10241"/>
      <sheetData sheetId="10242">
        <row r="9">
          <cell r="A9" t="str">
            <v>A</v>
          </cell>
        </row>
      </sheetData>
      <sheetData sheetId="10243"/>
      <sheetData sheetId="10244"/>
      <sheetData sheetId="10245"/>
      <sheetData sheetId="10246">
        <row r="9">
          <cell r="A9" t="str">
            <v>A</v>
          </cell>
        </row>
      </sheetData>
      <sheetData sheetId="10247">
        <row r="9">
          <cell r="A9" t="str">
            <v>A</v>
          </cell>
        </row>
      </sheetData>
      <sheetData sheetId="10248"/>
      <sheetData sheetId="10249"/>
      <sheetData sheetId="10250"/>
      <sheetData sheetId="10251"/>
      <sheetData sheetId="10252"/>
      <sheetData sheetId="10253"/>
      <sheetData sheetId="10254"/>
      <sheetData sheetId="10255"/>
      <sheetData sheetId="10256">
        <row r="9">
          <cell r="A9" t="str">
            <v>A</v>
          </cell>
        </row>
      </sheetData>
      <sheetData sheetId="10257">
        <row r="9">
          <cell r="A9" t="str">
            <v>A</v>
          </cell>
        </row>
      </sheetData>
      <sheetData sheetId="10258"/>
      <sheetData sheetId="10259"/>
      <sheetData sheetId="10260"/>
      <sheetData sheetId="10261"/>
      <sheetData sheetId="10262"/>
      <sheetData sheetId="10263"/>
      <sheetData sheetId="10264"/>
      <sheetData sheetId="10265">
        <row r="9">
          <cell r="A9" t="str">
            <v>A</v>
          </cell>
        </row>
      </sheetData>
      <sheetData sheetId="10266"/>
      <sheetData sheetId="10267"/>
      <sheetData sheetId="10268"/>
      <sheetData sheetId="10269"/>
      <sheetData sheetId="10270">
        <row r="9">
          <cell r="A9" t="str">
            <v>A</v>
          </cell>
        </row>
      </sheetData>
      <sheetData sheetId="10271"/>
      <sheetData sheetId="10272"/>
      <sheetData sheetId="10273"/>
      <sheetData sheetId="10274">
        <row r="9">
          <cell r="A9" t="str">
            <v>A</v>
          </cell>
        </row>
      </sheetData>
      <sheetData sheetId="10275">
        <row r="9">
          <cell r="A9" t="str">
            <v>A</v>
          </cell>
        </row>
      </sheetData>
      <sheetData sheetId="10276"/>
      <sheetData sheetId="10277"/>
      <sheetData sheetId="10278"/>
      <sheetData sheetId="10279">
        <row r="9">
          <cell r="A9" t="str">
            <v>A</v>
          </cell>
        </row>
      </sheetData>
      <sheetData sheetId="10280">
        <row r="9">
          <cell r="A9" t="str">
            <v>A</v>
          </cell>
        </row>
      </sheetData>
      <sheetData sheetId="10281"/>
      <sheetData sheetId="10282"/>
      <sheetData sheetId="10283">
        <row r="9">
          <cell r="A9" t="str">
            <v>A</v>
          </cell>
        </row>
      </sheetData>
      <sheetData sheetId="10284"/>
      <sheetData sheetId="10285"/>
      <sheetData sheetId="10286"/>
      <sheetData sheetId="10287"/>
      <sheetData sheetId="10288"/>
      <sheetData sheetId="10289"/>
      <sheetData sheetId="10290">
        <row r="9">
          <cell r="A9" t="str">
            <v>A</v>
          </cell>
        </row>
      </sheetData>
      <sheetData sheetId="10291">
        <row r="9">
          <cell r="A9" t="str">
            <v>A</v>
          </cell>
        </row>
      </sheetData>
      <sheetData sheetId="10292"/>
      <sheetData sheetId="10293">
        <row r="9">
          <cell r="A9" t="str">
            <v>A</v>
          </cell>
        </row>
      </sheetData>
      <sheetData sheetId="10294">
        <row r="9">
          <cell r="A9" t="str">
            <v>A</v>
          </cell>
        </row>
      </sheetData>
      <sheetData sheetId="10295">
        <row r="9">
          <cell r="A9" t="str">
            <v>A</v>
          </cell>
        </row>
      </sheetData>
      <sheetData sheetId="10296">
        <row r="9">
          <cell r="A9" t="str">
            <v>A</v>
          </cell>
        </row>
      </sheetData>
      <sheetData sheetId="10297"/>
      <sheetData sheetId="10298">
        <row r="9">
          <cell r="A9" t="str">
            <v>A</v>
          </cell>
        </row>
      </sheetData>
      <sheetData sheetId="10299">
        <row r="9">
          <cell r="A9" t="str">
            <v>A</v>
          </cell>
        </row>
      </sheetData>
      <sheetData sheetId="10300">
        <row r="9">
          <cell r="A9" t="str">
            <v>A</v>
          </cell>
        </row>
      </sheetData>
      <sheetData sheetId="10301">
        <row r="9">
          <cell r="A9" t="str">
            <v>A</v>
          </cell>
        </row>
      </sheetData>
      <sheetData sheetId="10302">
        <row r="9">
          <cell r="A9" t="str">
            <v>A</v>
          </cell>
        </row>
      </sheetData>
      <sheetData sheetId="10303">
        <row r="9">
          <cell r="A9" t="str">
            <v>A</v>
          </cell>
        </row>
      </sheetData>
      <sheetData sheetId="10304">
        <row r="9">
          <cell r="A9" t="str">
            <v>A</v>
          </cell>
        </row>
      </sheetData>
      <sheetData sheetId="10305"/>
      <sheetData sheetId="10306"/>
      <sheetData sheetId="10307"/>
      <sheetData sheetId="10308"/>
      <sheetData sheetId="10309"/>
      <sheetData sheetId="10310">
        <row r="9">
          <cell r="A9" t="str">
            <v>A</v>
          </cell>
        </row>
      </sheetData>
      <sheetData sheetId="10311">
        <row r="9">
          <cell r="A9" t="str">
            <v>A</v>
          </cell>
        </row>
      </sheetData>
      <sheetData sheetId="10312">
        <row r="9">
          <cell r="A9" t="str">
            <v>A</v>
          </cell>
        </row>
      </sheetData>
      <sheetData sheetId="10313">
        <row r="9">
          <cell r="A9" t="str">
            <v>A</v>
          </cell>
        </row>
      </sheetData>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row r="9">
          <cell r="A9" t="str">
            <v>A</v>
          </cell>
        </row>
      </sheetData>
      <sheetData sheetId="10337"/>
      <sheetData sheetId="10338"/>
      <sheetData sheetId="10339"/>
      <sheetData sheetId="10340"/>
      <sheetData sheetId="10341"/>
      <sheetData sheetId="10342"/>
      <sheetData sheetId="10343"/>
      <sheetData sheetId="10344"/>
      <sheetData sheetId="10345"/>
      <sheetData sheetId="10346"/>
      <sheetData sheetId="10347">
        <row r="9">
          <cell r="A9" t="str">
            <v>A</v>
          </cell>
        </row>
      </sheetData>
      <sheetData sheetId="10348">
        <row r="9">
          <cell r="A9" t="str">
            <v>A</v>
          </cell>
        </row>
      </sheetData>
      <sheetData sheetId="10349">
        <row r="9">
          <cell r="A9" t="str">
            <v>A</v>
          </cell>
        </row>
      </sheetData>
      <sheetData sheetId="10350">
        <row r="9">
          <cell r="A9" t="str">
            <v>A</v>
          </cell>
        </row>
      </sheetData>
      <sheetData sheetId="10351">
        <row r="9">
          <cell r="A9" t="str">
            <v>A</v>
          </cell>
        </row>
      </sheetData>
      <sheetData sheetId="10352">
        <row r="9">
          <cell r="A9" t="str">
            <v>A</v>
          </cell>
        </row>
      </sheetData>
      <sheetData sheetId="10353">
        <row r="9">
          <cell r="A9" t="str">
            <v>A</v>
          </cell>
        </row>
      </sheetData>
      <sheetData sheetId="10354">
        <row r="9">
          <cell r="A9" t="str">
            <v>A</v>
          </cell>
        </row>
      </sheetData>
      <sheetData sheetId="10355">
        <row r="9">
          <cell r="A9" t="str">
            <v>A</v>
          </cell>
        </row>
      </sheetData>
      <sheetData sheetId="10356">
        <row r="9">
          <cell r="A9" t="str">
            <v>A</v>
          </cell>
        </row>
      </sheetData>
      <sheetData sheetId="10357">
        <row r="9">
          <cell r="A9" t="str">
            <v>A</v>
          </cell>
        </row>
      </sheetData>
      <sheetData sheetId="10358">
        <row r="9">
          <cell r="A9" t="str">
            <v>A</v>
          </cell>
        </row>
      </sheetData>
      <sheetData sheetId="10359">
        <row r="9">
          <cell r="A9" t="str">
            <v>A</v>
          </cell>
        </row>
      </sheetData>
      <sheetData sheetId="10360">
        <row r="9">
          <cell r="A9" t="str">
            <v>A</v>
          </cell>
        </row>
      </sheetData>
      <sheetData sheetId="10361">
        <row r="9">
          <cell r="A9" t="str">
            <v>A</v>
          </cell>
        </row>
      </sheetData>
      <sheetData sheetId="10362">
        <row r="9">
          <cell r="A9" t="str">
            <v>A</v>
          </cell>
        </row>
      </sheetData>
      <sheetData sheetId="10363">
        <row r="9">
          <cell r="A9" t="str">
            <v>A</v>
          </cell>
        </row>
      </sheetData>
      <sheetData sheetId="10364">
        <row r="9">
          <cell r="A9" t="str">
            <v>A</v>
          </cell>
        </row>
      </sheetData>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row r="9">
          <cell r="A9" t="str">
            <v>A</v>
          </cell>
        </row>
      </sheetData>
      <sheetData sheetId="10385"/>
      <sheetData sheetId="10386"/>
      <sheetData sheetId="10387"/>
      <sheetData sheetId="10388"/>
      <sheetData sheetId="10389"/>
      <sheetData sheetId="10390"/>
      <sheetData sheetId="10391"/>
      <sheetData sheetId="10392"/>
      <sheetData sheetId="10393"/>
      <sheetData sheetId="10394">
        <row r="9">
          <cell r="A9" t="str">
            <v>A</v>
          </cell>
        </row>
      </sheetData>
      <sheetData sheetId="10395">
        <row r="9">
          <cell r="A9" t="str">
            <v>A</v>
          </cell>
        </row>
      </sheetData>
      <sheetData sheetId="10396"/>
      <sheetData sheetId="10397"/>
      <sheetData sheetId="10398"/>
      <sheetData sheetId="10399"/>
      <sheetData sheetId="10400"/>
      <sheetData sheetId="10401"/>
      <sheetData sheetId="10402"/>
      <sheetData sheetId="10403">
        <row r="9">
          <cell r="A9" t="str">
            <v>A</v>
          </cell>
        </row>
      </sheetData>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row r="9">
          <cell r="A9" t="str">
            <v>A</v>
          </cell>
        </row>
      </sheetData>
      <sheetData sheetId="10420"/>
      <sheetData sheetId="10421"/>
      <sheetData sheetId="10422">
        <row r="9">
          <cell r="A9" t="str">
            <v>A</v>
          </cell>
        </row>
      </sheetData>
      <sheetData sheetId="10423">
        <row r="9">
          <cell r="A9" t="str">
            <v>A</v>
          </cell>
        </row>
      </sheetData>
      <sheetData sheetId="10424">
        <row r="9">
          <cell r="A9" t="str">
            <v>A</v>
          </cell>
        </row>
      </sheetData>
      <sheetData sheetId="10425"/>
      <sheetData sheetId="10426">
        <row r="9">
          <cell r="A9" t="str">
            <v>A</v>
          </cell>
        </row>
      </sheetData>
      <sheetData sheetId="10427">
        <row r="9">
          <cell r="A9" t="str">
            <v>A</v>
          </cell>
        </row>
      </sheetData>
      <sheetData sheetId="10428"/>
      <sheetData sheetId="10429"/>
      <sheetData sheetId="10430"/>
      <sheetData sheetId="10431"/>
      <sheetData sheetId="10432"/>
      <sheetData sheetId="10433"/>
      <sheetData sheetId="10434"/>
      <sheetData sheetId="10435">
        <row r="9">
          <cell r="A9" t="str">
            <v>A</v>
          </cell>
        </row>
      </sheetData>
      <sheetData sheetId="10436">
        <row r="9">
          <cell r="A9" t="str">
            <v>A</v>
          </cell>
        </row>
      </sheetData>
      <sheetData sheetId="10437">
        <row r="9">
          <cell r="A9" t="str">
            <v>A</v>
          </cell>
        </row>
      </sheetData>
      <sheetData sheetId="10438">
        <row r="9">
          <cell r="A9" t="str">
            <v>A</v>
          </cell>
        </row>
      </sheetData>
      <sheetData sheetId="10439">
        <row r="9">
          <cell r="A9" t="str">
            <v>A</v>
          </cell>
        </row>
      </sheetData>
      <sheetData sheetId="10440">
        <row r="9">
          <cell r="A9" t="str">
            <v>A</v>
          </cell>
        </row>
      </sheetData>
      <sheetData sheetId="10441">
        <row r="9">
          <cell r="A9" t="str">
            <v>A</v>
          </cell>
        </row>
      </sheetData>
      <sheetData sheetId="10442">
        <row r="9">
          <cell r="A9" t="str">
            <v>A</v>
          </cell>
        </row>
      </sheetData>
      <sheetData sheetId="10443">
        <row r="9">
          <cell r="A9" t="str">
            <v>A</v>
          </cell>
        </row>
      </sheetData>
      <sheetData sheetId="10444">
        <row r="9">
          <cell r="A9" t="str">
            <v>A</v>
          </cell>
        </row>
      </sheetData>
      <sheetData sheetId="10445">
        <row r="9">
          <cell r="A9" t="str">
            <v>A</v>
          </cell>
        </row>
      </sheetData>
      <sheetData sheetId="10446">
        <row r="9">
          <cell r="A9" t="str">
            <v>A</v>
          </cell>
        </row>
      </sheetData>
      <sheetData sheetId="10447">
        <row r="9">
          <cell r="A9" t="str">
            <v>A</v>
          </cell>
        </row>
      </sheetData>
      <sheetData sheetId="10448">
        <row r="9">
          <cell r="A9" t="str">
            <v>A</v>
          </cell>
        </row>
      </sheetData>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row r="9">
          <cell r="A9" t="str">
            <v>A</v>
          </cell>
        </row>
      </sheetData>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row r="9">
          <cell r="A9" t="str">
            <v>A</v>
          </cell>
        </row>
      </sheetData>
      <sheetData sheetId="10508">
        <row r="9">
          <cell r="A9" t="str">
            <v>A</v>
          </cell>
        </row>
      </sheetData>
      <sheetData sheetId="10509">
        <row r="9">
          <cell r="A9" t="str">
            <v>A</v>
          </cell>
        </row>
      </sheetData>
      <sheetData sheetId="10510">
        <row r="9">
          <cell r="A9" t="str">
            <v>A</v>
          </cell>
        </row>
      </sheetData>
      <sheetData sheetId="10511">
        <row r="9">
          <cell r="A9" t="str">
            <v>A</v>
          </cell>
        </row>
      </sheetData>
      <sheetData sheetId="10512">
        <row r="9">
          <cell r="A9" t="str">
            <v>A</v>
          </cell>
        </row>
      </sheetData>
      <sheetData sheetId="10513">
        <row r="9">
          <cell r="A9" t="str">
            <v>A</v>
          </cell>
        </row>
      </sheetData>
      <sheetData sheetId="10514">
        <row r="9">
          <cell r="A9" t="str">
            <v>A</v>
          </cell>
        </row>
      </sheetData>
      <sheetData sheetId="10515">
        <row r="9">
          <cell r="A9" t="str">
            <v>A</v>
          </cell>
        </row>
      </sheetData>
      <sheetData sheetId="10516">
        <row r="9">
          <cell r="A9" t="str">
            <v>A</v>
          </cell>
        </row>
      </sheetData>
      <sheetData sheetId="10517">
        <row r="9">
          <cell r="A9" t="str">
            <v>A</v>
          </cell>
        </row>
      </sheetData>
      <sheetData sheetId="10518">
        <row r="9">
          <cell r="A9" t="str">
            <v>A</v>
          </cell>
        </row>
      </sheetData>
      <sheetData sheetId="10519">
        <row r="9">
          <cell r="A9" t="str">
            <v>A</v>
          </cell>
        </row>
      </sheetData>
      <sheetData sheetId="10520"/>
      <sheetData sheetId="10521">
        <row r="9">
          <cell r="A9" t="str">
            <v>A</v>
          </cell>
        </row>
      </sheetData>
      <sheetData sheetId="10522">
        <row r="9">
          <cell r="A9" t="str">
            <v>A</v>
          </cell>
        </row>
      </sheetData>
      <sheetData sheetId="10523">
        <row r="9">
          <cell r="A9" t="str">
            <v>A</v>
          </cell>
        </row>
      </sheetData>
      <sheetData sheetId="10524"/>
      <sheetData sheetId="10525"/>
      <sheetData sheetId="10526"/>
      <sheetData sheetId="10527">
        <row r="9">
          <cell r="A9" t="str">
            <v>A</v>
          </cell>
        </row>
      </sheetData>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row r="9">
          <cell r="A9" t="str">
            <v>A</v>
          </cell>
        </row>
      </sheetData>
      <sheetData sheetId="10564"/>
      <sheetData sheetId="10565"/>
      <sheetData sheetId="10566"/>
      <sheetData sheetId="10567"/>
      <sheetData sheetId="10568"/>
      <sheetData sheetId="10569"/>
      <sheetData sheetId="10570"/>
      <sheetData sheetId="10571">
        <row r="9">
          <cell r="A9" t="str">
            <v>A</v>
          </cell>
        </row>
      </sheetData>
      <sheetData sheetId="10572">
        <row r="9">
          <cell r="A9" t="str">
            <v>A</v>
          </cell>
        </row>
      </sheetData>
      <sheetData sheetId="10573">
        <row r="9">
          <cell r="A9" t="str">
            <v>A</v>
          </cell>
        </row>
      </sheetData>
      <sheetData sheetId="10574">
        <row r="9">
          <cell r="A9" t="str">
            <v>A</v>
          </cell>
        </row>
      </sheetData>
      <sheetData sheetId="10575">
        <row r="9">
          <cell r="A9" t="str">
            <v>A</v>
          </cell>
        </row>
      </sheetData>
      <sheetData sheetId="10576"/>
      <sheetData sheetId="10577"/>
      <sheetData sheetId="10578"/>
      <sheetData sheetId="10579"/>
      <sheetData sheetId="10580"/>
      <sheetData sheetId="10581"/>
      <sheetData sheetId="10582"/>
      <sheetData sheetId="10583">
        <row r="9">
          <cell r="A9" t="str">
            <v>A</v>
          </cell>
        </row>
      </sheetData>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refreshError="1"/>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refreshError="1"/>
      <sheetData sheetId="10743" refreshError="1"/>
      <sheetData sheetId="10744" refreshError="1"/>
      <sheetData sheetId="10745" refreshError="1"/>
      <sheetData sheetId="10746" refreshError="1"/>
      <sheetData sheetId="10747" refreshError="1"/>
      <sheetData sheetId="10748"/>
      <sheetData sheetId="10749"/>
      <sheetData sheetId="10750"/>
      <sheetData sheetId="10751"/>
      <sheetData sheetId="10752"/>
      <sheetData sheetId="10753"/>
      <sheetData sheetId="10754"/>
      <sheetData sheetId="10755"/>
      <sheetData sheetId="10756"/>
      <sheetData sheetId="10757"/>
      <sheetData sheetId="10758" refreshError="1"/>
      <sheetData sheetId="10759" refreshError="1"/>
      <sheetData sheetId="10760"/>
      <sheetData sheetId="10761" refreshError="1"/>
      <sheetData sheetId="10762" refreshError="1"/>
      <sheetData sheetId="10763" refreshError="1"/>
      <sheetData sheetId="10764" refreshError="1"/>
      <sheetData sheetId="10765" refreshError="1"/>
      <sheetData sheetId="10766" refreshError="1"/>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refreshError="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refreshError="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refreshError="1"/>
      <sheetData sheetId="10894" refreshError="1"/>
      <sheetData sheetId="10895" refreshError="1"/>
      <sheetData sheetId="10896" refreshError="1"/>
      <sheetData sheetId="10897" refreshError="1"/>
      <sheetData sheetId="10898" refreshError="1"/>
      <sheetData sheetId="10899" refreshError="1"/>
      <sheetData sheetId="10900" refreshError="1"/>
      <sheetData sheetId="10901" refreshError="1"/>
      <sheetData sheetId="10902" refreshError="1"/>
      <sheetData sheetId="10903" refreshError="1"/>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refreshError="1"/>
      <sheetData sheetId="11205" refreshError="1"/>
      <sheetData sheetId="11206" refreshError="1"/>
      <sheetData sheetId="11207"/>
      <sheetData sheetId="11208">
        <row r="9">
          <cell r="A9" t="str">
            <v>A</v>
          </cell>
        </row>
      </sheetData>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nh mục"/>
      <sheetName val="Mở đầu"/>
      <sheetName val="Tong_hop"/>
      <sheetName val="Adjustment"/>
      <sheetName val="GL"/>
      <sheetName val="TB"/>
      <sheetName val="BS"/>
      <sheetName val="CF"/>
      <sheetName val="GL.2020"/>
      <sheetName val="PL"/>
      <sheetName val="TM_PL"/>
      <sheetName val="TM_BS"/>
      <sheetName val="Vay&amp;VCSH"/>
      <sheetName val="Thuế TND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M_Sheet"/>
      <sheetName val="Thong_tin"/>
      <sheetName val="Don_vi"/>
      <sheetName val="Danh_muc"/>
      <sheetName val="DM"/>
      <sheetName val="Dieu_chinh"/>
      <sheetName val="Chi_tiet"/>
      <sheetName val="Kiem_tra"/>
      <sheetName val="Tong_hop"/>
      <sheetName val="CDPS"/>
      <sheetName val="T911"/>
      <sheetName val="LC"/>
      <sheetName val="CTCongNo"/>
      <sheetName val="GiaoDichNB"/>
      <sheetName val="NBChuaXN"/>
      <sheetName val="BiaBC"/>
      <sheetName val="CDKT"/>
      <sheetName val="KQKD"/>
      <sheetName val="KQKD.Q"/>
      <sheetName val="LCTT"/>
      <sheetName val="LCGT"/>
      <sheetName val="Thuyet_minh"/>
      <sheetName val="TM_DTTC"/>
      <sheetName val="TM_TSCDHH"/>
      <sheetName val="TM_TSCDTTC"/>
      <sheetName val="TM_TSCDVH"/>
      <sheetName val="TM_Vay"/>
      <sheetName val="TM_Thue"/>
      <sheetName val="TM_VCSH"/>
      <sheetName val="LCBTCP"/>
      <sheetName val="KN_CPBQ"/>
      <sheetName val="KT_CPBQ"/>
      <sheetName val="Du_lieu"/>
      <sheetName val="CT_LCTT"/>
      <sheetName val="CT_LCGT"/>
      <sheetName val="QTTNDN"/>
      <sheetName val="Doi_chieu"/>
      <sheetName val="TM_BCBPKD"/>
      <sheetName val="TM_BCBPDL"/>
      <sheetName val="Trong_yeu"/>
      <sheetName val="TM_SoSanh"/>
      <sheetName val="Phan_tich"/>
      <sheetName val="TM_ChenhLechTK"/>
      <sheetName val="TM_ChenhLechCT"/>
      <sheetName val="1."/>
      <sheetName val="2."/>
      <sheetName val="3."/>
    </sheetNames>
    <sheetDataSet>
      <sheetData sheetId="0" refreshError="1"/>
      <sheetData sheetId="1" refreshError="1"/>
      <sheetData sheetId="2" refreshError="1">
        <row r="7">
          <cell r="D7" t="str">
            <v>BCTC riêng</v>
          </cell>
        </row>
      </sheetData>
      <sheetData sheetId="3" refreshError="1"/>
      <sheetData sheetId="4" refreshError="1"/>
      <sheetData sheetId="5" refreshError="1"/>
      <sheetData sheetId="6" refreshError="1"/>
      <sheetData sheetId="7" refreshError="1"/>
      <sheetData sheetId="8" refreshError="1"/>
      <sheetData sheetId="9" refreshError="1">
        <row r="312">
          <cell r="K312">
            <v>0</v>
          </cell>
          <cell r="Q312">
            <v>0</v>
          </cell>
        </row>
        <row r="317">
          <cell r="K317">
            <v>0</v>
          </cell>
          <cell r="Q317">
            <v>0</v>
          </cell>
        </row>
        <row r="321">
          <cell r="K321">
            <v>0</v>
          </cell>
          <cell r="Q321">
            <v>0</v>
          </cell>
        </row>
        <row r="493">
          <cell r="K493">
            <v>0</v>
          </cell>
          <cell r="Q493">
            <v>0</v>
          </cell>
        </row>
        <row r="494">
          <cell r="K494">
            <v>0</v>
          </cell>
          <cell r="Q494">
            <v>0</v>
          </cell>
        </row>
        <row r="495">
          <cell r="K495">
            <v>0</v>
          </cell>
          <cell r="Q495">
            <v>0</v>
          </cell>
        </row>
        <row r="496">
          <cell r="K496">
            <v>0</v>
          </cell>
          <cell r="Q496">
            <v>0</v>
          </cell>
        </row>
        <row r="554">
          <cell r="K554">
            <v>0</v>
          </cell>
          <cell r="Q554">
            <v>0</v>
          </cell>
        </row>
        <row r="555">
          <cell r="K555">
            <v>0</v>
          </cell>
          <cell r="Q555">
            <v>0</v>
          </cell>
        </row>
        <row r="556">
          <cell r="K556">
            <v>0</v>
          </cell>
          <cell r="Q556">
            <v>0</v>
          </cell>
        </row>
        <row r="557">
          <cell r="K557">
            <v>0</v>
          </cell>
          <cell r="Q557">
            <v>0</v>
          </cell>
        </row>
        <row r="558">
          <cell r="K558">
            <v>0</v>
          </cell>
          <cell r="Q558">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M_Sheet"/>
      <sheetName val="Thong_tin"/>
      <sheetName val="Danh_muc"/>
      <sheetName val="DM"/>
      <sheetName val="Dieu_chinh"/>
      <sheetName val="Chi_tiet"/>
      <sheetName val="Sai_sotKDC"/>
      <sheetName val="Soat_xet"/>
      <sheetName val="Tong_hop"/>
      <sheetName val="BiaBC"/>
      <sheetName val="BCBGD"/>
      <sheetName val="BCKT"/>
      <sheetName val="CDKT"/>
      <sheetName val="KQKD"/>
      <sheetName val="LCGT"/>
      <sheetName val="LCTT"/>
      <sheetName val="Thuyet_minh"/>
      <sheetName val="TM_TSCDHH"/>
      <sheetName val="TM_TSCDVH"/>
      <sheetName val="TM_TSCDTTC"/>
      <sheetName val="TM_VCSH"/>
      <sheetName val="TM_BCBPKD"/>
      <sheetName val="TM_BCBPDL"/>
      <sheetName val="LCBTCP"/>
      <sheetName val="KN_CPBQ"/>
      <sheetName val="KT_CPBQ"/>
      <sheetName val="Du_lieu"/>
      <sheetName val="CT_LCTT"/>
      <sheetName val="CT_LCGT"/>
      <sheetName val="QTTNDN"/>
      <sheetName val="Doi_chieu"/>
      <sheetName val="Phan_tich"/>
      <sheetName val="Trong_yeu"/>
      <sheetName val="TM_ChenhLechTK"/>
      <sheetName val="TM_ChenhLech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95">
          <cell r="S95">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M NEN HC"/>
      <sheetName val="DAMNEN KHONG HC"/>
      <sheetName val="dochat"/>
      <sheetName val="Sheet1"/>
      <sheetName val="dochat (2)"/>
      <sheetName val="CN"/>
      <sheetName val="Map"/>
      <sheetName val="DAM_NEN_HC"/>
      <sheetName val="DAMNEN_KHONG_HC"/>
      <sheetName val="dochat_(2)"/>
      <sheetName val="Droplist"/>
      <sheetName val="DATA"/>
    </sheetNames>
    <sheetDataSet>
      <sheetData sheetId="0" refreshError="1"/>
      <sheetData sheetId="1"/>
      <sheetData sheetId="2"/>
      <sheetData sheetId="3"/>
      <sheetData sheetId="4"/>
      <sheetData sheetId="5" refreshError="1"/>
      <sheetData sheetId="6" refreshError="1"/>
      <sheetData sheetId="7"/>
      <sheetData sheetId="8"/>
      <sheetData sheetId="9"/>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B 30.9.2022"/>
      <sheetName val="0. Allocated PM TE PT"/>
      <sheetName val="0. PM TE"/>
      <sheetName val="OBS 30.9.2022"/>
      <sheetName val="TB 30.11.2022"/>
      <sheetName val="0. Threshold by account"/>
      <sheetName val="Check TB mapping LS"/>
      <sheetName val="OBS 31.12.2022 Revised"/>
      <sheetName val="OBS 30.11.2022"/>
      <sheetName val="TB 31.12.2022 - Revised"/>
      <sheetName val="OBS Final 15.2.2023"/>
      <sheetName val="To BCTC"/>
      <sheetName val="1. Leadsheet"/>
      <sheetName val="SAD"/>
      <sheetName val="2. BS"/>
      <sheetName val="Check GLmast - TB Final"/>
      <sheetName val="2. PL"/>
      <sheetName val="2. CF"/>
      <sheetName val="2. N2FS"/>
      <sheetName val="TB Final 15.2.2023"/>
      <sheetName val="Derivatives"/>
      <sheetName val="Salary&amp;Bonus"/>
      <sheetName val="Sheet2"/>
      <sheetName val="GLmast2023"/>
      <sheetName val="Adj 547986"/>
      <sheetName val="R&amp;P 4599 4690"/>
      <sheetName val="TB 31.12.2023"/>
      <sheetName val="OBS 31.12.2023"/>
      <sheetName val="TM bổ sung"/>
      <sheetName val="Expense 8699"/>
      <sheetName val="GLmast2022"/>
      <sheetName val="MM all deal 3-13"/>
      <sheetName val="Status"/>
      <sheetName val="Sheet1"/>
      <sheetName val="R&amp;P 4599 4690 detail"/>
      <sheetName val="Expense 8699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5">
          <cell r="M25">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5 YE22"/>
      <sheetName val="Planning"/>
      <sheetName val="A5 CTC YE23"/>
      <sheetName val="LS"/>
      <sheetName val="GL911.S.YE23"/>
      <sheetName val="A5 Consol YE23"/>
      <sheetName val="BS"/>
      <sheetName val="PL"/>
      <sheetName val="CF"/>
      <sheetName val="Matching investment"/>
      <sheetName val="CF.W.C"/>
      <sheetName val="A5 YE23"/>
      <sheetName val="Group"/>
      <sheetName val="CF.W.S"/>
      <sheetName val="TB.S.YE22"/>
      <sheetName val="GL154.S.YE23"/>
      <sheetName val="BOM YE23"/>
      <sheetName val="TB.S.YE23"/>
      <sheetName val="TB.VNSC.YE22"/>
      <sheetName val="N2FS.S"/>
      <sheetName val="N2FS.C"/>
      <sheetName val="GW"/>
      <sheetName val="EPS"/>
      <sheetName val="TB.XH.YE23"/>
      <sheetName val="911.XH.YE23"/>
      <sheetName val="Dự phòng Finhay JSC"/>
      <sheetName val="TB.KCG.YE23"/>
      <sheetName val="911.KCG.YE23"/>
      <sheetName val="Finhay Ltd.911.YE23"/>
      <sheetName val="Finhay Ltd.TB.YE23"/>
      <sheetName val="911.CTC.YE22"/>
      <sheetName val="TB.CTC.YE22"/>
      <sheetName val="TB VNSC YE23"/>
      <sheetName val="TB.KCG.YE22"/>
      <sheetName val="911.KCG.YE22"/>
      <sheetName val="TB.XH.YE22"/>
      <sheetName val="911.XH.YE22"/>
      <sheetName val="911.VNSC.YE22"/>
      <sheetName val="911 VNSC YE23"/>
      <sheetName val="GL911.S.YE22"/>
      <sheetName val="GL154.S.YE22"/>
    </sheetNames>
    <sheetDataSet>
      <sheetData sheetId="0" refreshError="1"/>
      <sheetData sheetId="1" refreshError="1"/>
      <sheetData sheetId="2" refreshError="1"/>
      <sheetData sheetId="3">
        <row r="174">
          <cell r="Z174">
            <v>259516813229</v>
          </cell>
          <cell r="AC174">
            <v>259516813229</v>
          </cell>
          <cell r="AP174">
            <v>23107432623</v>
          </cell>
        </row>
        <row r="175">
          <cell r="Z175">
            <v>34651030</v>
          </cell>
          <cell r="AC175">
            <v>2435656155</v>
          </cell>
          <cell r="AP175">
            <v>16443060443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33">
          <cell r="E33">
            <v>70956772314</v>
          </cell>
        </row>
        <row r="249">
          <cell r="E249">
            <v>1802302475</v>
          </cell>
        </row>
        <row r="258">
          <cell r="E258">
            <v>5350661938</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M TE"/>
      <sheetName val="A5 YE23"/>
      <sheetName val="A5 YE22"/>
      <sheetName val="LS"/>
      <sheetName val="PL.VAS"/>
      <sheetName val="A5.IFRS.YE23"/>
      <sheetName val="A5.IFRS.YE22"/>
      <sheetName val="BS.IFRS"/>
      <sheetName val="PL.IFRS"/>
      <sheetName val="CF.IFRS"/>
      <sheetName val="SOCE.IFRS"/>
      <sheetName val="N2FS.IFRS"/>
      <sheetName val="Planning"/>
      <sheetName val="CF.W.S"/>
      <sheetName val="A5.CTC.YE23"/>
      <sheetName val="A5.Consol.YE23"/>
      <sheetName val="CF.VAS"/>
      <sheetName val="Matching investment"/>
      <sheetName val="BS.VAS"/>
      <sheetName val="Group"/>
      <sheetName val="TB.S.YE22"/>
      <sheetName val="GL911.S.YE23"/>
      <sheetName val="GL154.S.YE23"/>
      <sheetName val="BOM YE23"/>
      <sheetName val="TB.S.YE23"/>
      <sheetName val="CF.W.C"/>
      <sheetName val="TB.VNSC.YE22"/>
      <sheetName val="N2FS.C.VAS"/>
      <sheetName val="N2FS.S.VAS"/>
      <sheetName val="GW"/>
      <sheetName val="EPS"/>
      <sheetName val="TB.XH.YE23"/>
      <sheetName val="911.XH.YE23"/>
      <sheetName val="Dự phòng Finhay JSC"/>
      <sheetName val="TB.KCG.YE23"/>
      <sheetName val="911.KCG.YE23"/>
      <sheetName val="Finhay Ltd.911.YE23"/>
      <sheetName val="Finhay Ltd.TB.YE23"/>
      <sheetName val="911.CTC.YE22"/>
      <sheetName val="TB.CTC.YE22"/>
      <sheetName val="TB VNSC YE23"/>
      <sheetName val="TB.KCG.YE22"/>
      <sheetName val="911.KCG.YE22"/>
      <sheetName val="TB.XH.YE22"/>
      <sheetName val="911.XH.YE22"/>
      <sheetName val="911.VNSC.YE22"/>
      <sheetName val="911 VNSC YE23"/>
      <sheetName val="GL911.S.YE22"/>
      <sheetName val="GL154.S.YE22"/>
    </sheetNames>
    <sheetDataSet>
      <sheetData sheetId="0"/>
      <sheetData sheetId="1"/>
      <sheetData sheetId="2"/>
      <sheetData sheetId="3">
        <row r="6">
          <cell r="G6" t="str">
            <v>LS Account</v>
          </cell>
          <cell r="AX6" t="str">
            <v>Consol Finhay
31/12/2023
Unaudited
VND</v>
          </cell>
        </row>
        <row r="7">
          <cell r="G7" t="str">
            <v>BẢNG CÂN ĐỐI KẾ TOÁN</v>
          </cell>
        </row>
        <row r="9">
          <cell r="AX9">
            <v>2229534868220</v>
          </cell>
        </row>
        <row r="10">
          <cell r="AX10">
            <v>69041490532</v>
          </cell>
        </row>
        <row r="11">
          <cell r="G11" t="str">
            <v>1111</v>
          </cell>
          <cell r="AX11">
            <v>5045205</v>
          </cell>
        </row>
        <row r="12">
          <cell r="G12" t="str">
            <v>1121</v>
          </cell>
          <cell r="AX12">
            <v>69036445327</v>
          </cell>
        </row>
        <row r="13">
          <cell r="G13" t="str">
            <v>1122</v>
          </cell>
          <cell r="AX13">
            <v>0</v>
          </cell>
        </row>
        <row r="14">
          <cell r="G14" t="str">
            <v>11311</v>
          </cell>
          <cell r="AX14">
            <v>0</v>
          </cell>
        </row>
        <row r="15">
          <cell r="G15" t="str">
            <v>11312</v>
          </cell>
          <cell r="AX15">
            <v>0</v>
          </cell>
        </row>
        <row r="17">
          <cell r="AX17">
            <v>17332654488</v>
          </cell>
        </row>
        <row r="18">
          <cell r="G18" t="str">
            <v>1123</v>
          </cell>
          <cell r="AX18">
            <v>17332654488</v>
          </cell>
        </row>
        <row r="21">
          <cell r="AX21">
            <v>1435453703993</v>
          </cell>
        </row>
        <row r="22">
          <cell r="G22" t="str">
            <v>1211</v>
          </cell>
          <cell r="AX22">
            <v>67464686475</v>
          </cell>
        </row>
        <row r="23">
          <cell r="G23" t="str">
            <v>1212</v>
          </cell>
          <cell r="AX23">
            <v>478649382862</v>
          </cell>
        </row>
        <row r="24">
          <cell r="G24" t="str">
            <v>1218</v>
          </cell>
          <cell r="AX24">
            <v>889524008010</v>
          </cell>
        </row>
        <row r="25">
          <cell r="G25" t="str">
            <v>2291</v>
          </cell>
          <cell r="AX25">
            <v>-184373354</v>
          </cell>
        </row>
        <row r="26">
          <cell r="G26" t="str">
            <v>1211.02</v>
          </cell>
          <cell r="AX26">
            <v>0</v>
          </cell>
        </row>
        <row r="27">
          <cell r="G27" t="str">
            <v>1212.02</v>
          </cell>
          <cell r="AX27">
            <v>0</v>
          </cell>
        </row>
        <row r="28">
          <cell r="G28" t="str">
            <v>1218.02</v>
          </cell>
          <cell r="AX28">
            <v>0</v>
          </cell>
        </row>
        <row r="30">
          <cell r="AX30">
            <v>637365158762</v>
          </cell>
        </row>
        <row r="31">
          <cell r="G31" t="str">
            <v>1281.01</v>
          </cell>
          <cell r="AX31">
            <v>0</v>
          </cell>
        </row>
        <row r="32">
          <cell r="G32" t="str">
            <v>1281.02</v>
          </cell>
          <cell r="AX32">
            <v>574472342467</v>
          </cell>
        </row>
        <row r="33">
          <cell r="G33" t="str">
            <v>1281.03</v>
          </cell>
          <cell r="AX33">
            <v>0</v>
          </cell>
        </row>
        <row r="34">
          <cell r="G34" t="str">
            <v>1281.04</v>
          </cell>
          <cell r="AX34">
            <v>0</v>
          </cell>
        </row>
        <row r="35">
          <cell r="G35" t="str">
            <v>1283</v>
          </cell>
          <cell r="AX35">
            <v>62892816295</v>
          </cell>
        </row>
        <row r="37">
          <cell r="AX37">
            <v>999420431</v>
          </cell>
        </row>
        <row r="38">
          <cell r="G38" t="str">
            <v>131</v>
          </cell>
          <cell r="AX38">
            <v>999420431</v>
          </cell>
        </row>
        <row r="39">
          <cell r="G39" t="str">
            <v>131.01</v>
          </cell>
          <cell r="AX39">
            <v>0</v>
          </cell>
        </row>
        <row r="41">
          <cell r="AX41">
            <v>28829765</v>
          </cell>
        </row>
        <row r="42">
          <cell r="G42" t="str">
            <v>331N</v>
          </cell>
          <cell r="AX42">
            <v>0</v>
          </cell>
        </row>
        <row r="43">
          <cell r="G43" t="str">
            <v>331.02</v>
          </cell>
          <cell r="AX43">
            <v>28829765</v>
          </cell>
        </row>
        <row r="45">
          <cell r="AX45">
            <v>55104397024</v>
          </cell>
        </row>
        <row r="46">
          <cell r="G46" t="str">
            <v>1321</v>
          </cell>
          <cell r="AX46">
            <v>724534352</v>
          </cell>
        </row>
        <row r="47">
          <cell r="G47" t="str">
            <v>1388.Quy</v>
          </cell>
          <cell r="AX47">
            <v>0</v>
          </cell>
        </row>
        <row r="48">
          <cell r="G48" t="str">
            <v>1388.NAV</v>
          </cell>
          <cell r="AX48">
            <v>9074618885</v>
          </cell>
        </row>
        <row r="49">
          <cell r="G49" t="str">
            <v>1388.CK</v>
          </cell>
          <cell r="AX49">
            <v>0</v>
          </cell>
        </row>
        <row r="50">
          <cell r="G50" t="str">
            <v>1388.User</v>
          </cell>
          <cell r="AX50">
            <v>2919672</v>
          </cell>
        </row>
        <row r="51">
          <cell r="G51" t="str">
            <v>1388.Bank</v>
          </cell>
          <cell r="AX51">
            <v>23257811780</v>
          </cell>
        </row>
        <row r="52">
          <cell r="G52" t="str">
            <v>1388.CT</v>
          </cell>
          <cell r="AX52">
            <v>77981100</v>
          </cell>
        </row>
        <row r="53">
          <cell r="G53" t="str">
            <v>1388.Khac</v>
          </cell>
          <cell r="AX53">
            <v>3195082475</v>
          </cell>
        </row>
        <row r="54">
          <cell r="G54" t="str">
            <v>1388.Other</v>
          </cell>
          <cell r="AX54">
            <v>792935656</v>
          </cell>
        </row>
        <row r="55">
          <cell r="G55" t="str">
            <v>1388.Vi</v>
          </cell>
          <cell r="AX55">
            <v>13378840971</v>
          </cell>
        </row>
        <row r="56">
          <cell r="G56" t="str">
            <v>1388.Pool</v>
          </cell>
          <cell r="AX56">
            <v>0</v>
          </cell>
        </row>
        <row r="57">
          <cell r="G57" t="str">
            <v>1388.Gold</v>
          </cell>
          <cell r="AX57">
            <v>2674885117</v>
          </cell>
        </row>
        <row r="58">
          <cell r="G58" t="str">
            <v>1388.NghiepvuCK</v>
          </cell>
          <cell r="AX58">
            <v>43966894</v>
          </cell>
        </row>
        <row r="59">
          <cell r="G59" t="str">
            <v>141</v>
          </cell>
          <cell r="AX59">
            <v>188544207</v>
          </cell>
        </row>
        <row r="60">
          <cell r="G60" t="str">
            <v>244</v>
          </cell>
          <cell r="AX60">
            <v>1692275915</v>
          </cell>
        </row>
        <row r="61">
          <cell r="G61" t="str">
            <v>1398</v>
          </cell>
          <cell r="AX61">
            <v>0</v>
          </cell>
        </row>
        <row r="63">
          <cell r="AX63">
            <v>7790138369</v>
          </cell>
        </row>
        <row r="64">
          <cell r="G64" t="str">
            <v>1531</v>
          </cell>
          <cell r="AX64">
            <v>0</v>
          </cell>
        </row>
        <row r="65">
          <cell r="G65" t="str">
            <v>1561</v>
          </cell>
          <cell r="AX65">
            <v>7790138369</v>
          </cell>
        </row>
        <row r="67">
          <cell r="AX67">
            <v>6419074856</v>
          </cell>
        </row>
        <row r="68">
          <cell r="G68" t="str">
            <v>2421</v>
          </cell>
          <cell r="AX68">
            <v>49323493</v>
          </cell>
        </row>
        <row r="69">
          <cell r="G69" t="str">
            <v>2422.01</v>
          </cell>
          <cell r="AX69">
            <v>2479009385</v>
          </cell>
        </row>
        <row r="70">
          <cell r="G70" t="str">
            <v>1331</v>
          </cell>
          <cell r="AX70">
            <v>3865847460</v>
          </cell>
        </row>
        <row r="71">
          <cell r="G71" t="str">
            <v>1332</v>
          </cell>
          <cell r="AX71">
            <v>24894518</v>
          </cell>
        </row>
        <row r="73">
          <cell r="AX73">
            <v>592904871688</v>
          </cell>
        </row>
        <row r="75">
          <cell r="AX75">
            <v>9764056515</v>
          </cell>
        </row>
        <row r="76">
          <cell r="G76" t="str">
            <v>ROU</v>
          </cell>
        </row>
        <row r="77">
          <cell r="G77" t="str">
            <v>2112</v>
          </cell>
          <cell r="AX77">
            <v>2721930149</v>
          </cell>
        </row>
        <row r="78">
          <cell r="G78" t="str">
            <v>2113</v>
          </cell>
          <cell r="AX78">
            <v>2514921818</v>
          </cell>
        </row>
        <row r="79">
          <cell r="G79" t="str">
            <v>2114</v>
          </cell>
          <cell r="AX79">
            <v>7836008182</v>
          </cell>
        </row>
        <row r="80">
          <cell r="G80" t="str">
            <v>2141</v>
          </cell>
          <cell r="AX80">
            <v>-3308803634</v>
          </cell>
        </row>
        <row r="82">
          <cell r="AX82">
            <v>45043879426</v>
          </cell>
        </row>
        <row r="83">
          <cell r="G83" t="str">
            <v>2135</v>
          </cell>
          <cell r="AX83">
            <v>49306494803</v>
          </cell>
        </row>
        <row r="84">
          <cell r="G84" t="str">
            <v>2133</v>
          </cell>
          <cell r="AX84">
            <v>433397208</v>
          </cell>
        </row>
        <row r="85">
          <cell r="G85" t="str">
            <v>2143</v>
          </cell>
          <cell r="AX85">
            <v>-4696012585</v>
          </cell>
        </row>
        <row r="87">
          <cell r="AX87">
            <v>5350661938</v>
          </cell>
        </row>
        <row r="88">
          <cell r="G88" t="str">
            <v>2411</v>
          </cell>
        </row>
        <row r="89">
          <cell r="G89" t="str">
            <v>2412</v>
          </cell>
          <cell r="AX89">
            <v>5350661938</v>
          </cell>
        </row>
        <row r="90">
          <cell r="G90" t="str">
            <v>2413</v>
          </cell>
        </row>
        <row r="92">
          <cell r="AX92">
            <v>401584761183</v>
          </cell>
        </row>
        <row r="93">
          <cell r="G93" t="str">
            <v>221</v>
          </cell>
          <cell r="AX93">
            <v>440010000000</v>
          </cell>
        </row>
        <row r="94">
          <cell r="G94" t="str">
            <v>2288</v>
          </cell>
          <cell r="AX94">
            <v>6000000</v>
          </cell>
        </row>
        <row r="95">
          <cell r="G95" t="str">
            <v>2292</v>
          </cell>
          <cell r="AX95">
            <v>-38431238817</v>
          </cell>
        </row>
        <row r="97">
          <cell r="AX97">
            <v>131161512626</v>
          </cell>
        </row>
        <row r="98">
          <cell r="G98" t="str">
            <v>2421.02</v>
          </cell>
          <cell r="AX98">
            <v>559685576</v>
          </cell>
        </row>
        <row r="99">
          <cell r="G99" t="str">
            <v>2423</v>
          </cell>
          <cell r="AX99">
            <v>34293622890</v>
          </cell>
        </row>
        <row r="100">
          <cell r="G100" t="str">
            <v>2422</v>
          </cell>
        </row>
        <row r="101">
          <cell r="G101" t="str">
            <v>2422.02</v>
          </cell>
          <cell r="AX101">
            <v>1410507851</v>
          </cell>
        </row>
        <row r="102">
          <cell r="G102" t="str">
            <v>GW</v>
          </cell>
          <cell r="AX102">
            <v>94600055220</v>
          </cell>
        </row>
        <row r="103">
          <cell r="G103" t="str">
            <v>2442</v>
          </cell>
          <cell r="AX103">
            <v>297641089</v>
          </cell>
        </row>
        <row r="105">
          <cell r="G105" t="str">
            <v>DTA</v>
          </cell>
        </row>
        <row r="107">
          <cell r="AX107">
            <v>2822439739908</v>
          </cell>
        </row>
        <row r="109">
          <cell r="AX109">
            <v>-2034987960181</v>
          </cell>
        </row>
        <row r="111">
          <cell r="G111" t="str">
            <v>LL</v>
          </cell>
        </row>
        <row r="113">
          <cell r="AX113">
            <v>-11103053897</v>
          </cell>
        </row>
        <row r="114">
          <cell r="G114" t="str">
            <v>331.01</v>
          </cell>
          <cell r="AX114">
            <v>-11103053897</v>
          </cell>
        </row>
        <row r="116">
          <cell r="AX116">
            <v>-2961139619</v>
          </cell>
        </row>
        <row r="117">
          <cell r="G117" t="str">
            <v>33311</v>
          </cell>
          <cell r="AX117">
            <v>-10800170</v>
          </cell>
        </row>
        <row r="118">
          <cell r="G118" t="str">
            <v>33382</v>
          </cell>
          <cell r="AX118">
            <v>-61480303</v>
          </cell>
        </row>
        <row r="119">
          <cell r="G119" t="str">
            <v>3339</v>
          </cell>
          <cell r="AX119">
            <v>0</v>
          </cell>
        </row>
        <row r="120">
          <cell r="G120" t="str">
            <v>3335.NLD</v>
          </cell>
          <cell r="AX120">
            <v>-1789647</v>
          </cell>
        </row>
        <row r="121">
          <cell r="G121" t="str">
            <v>3335.FH</v>
          </cell>
          <cell r="AX121">
            <v>-1361878789</v>
          </cell>
        </row>
        <row r="122">
          <cell r="G122" t="str">
            <v>3335.LV</v>
          </cell>
          <cell r="AX122">
            <v>0</v>
          </cell>
        </row>
        <row r="123">
          <cell r="G123" t="str">
            <v>3335.TN</v>
          </cell>
          <cell r="AX123">
            <v>-66225151</v>
          </cell>
        </row>
        <row r="124">
          <cell r="G124" t="str">
            <v>3335.User</v>
          </cell>
          <cell r="AX124">
            <v>-1458965559</v>
          </cell>
        </row>
        <row r="125">
          <cell r="G125" t="str">
            <v>3335-NLD</v>
          </cell>
          <cell r="AX125">
            <v>0</v>
          </cell>
        </row>
        <row r="127">
          <cell r="AX127">
            <v>-5675308911</v>
          </cell>
        </row>
        <row r="128">
          <cell r="G128" t="str">
            <v>3341</v>
          </cell>
          <cell r="AX128">
            <v>-5675308911</v>
          </cell>
        </row>
        <row r="130">
          <cell r="AX130">
            <v>-1524326663</v>
          </cell>
        </row>
        <row r="131">
          <cell r="G131" t="str">
            <v>335</v>
          </cell>
          <cell r="AX131">
            <v>-1524326663</v>
          </cell>
        </row>
        <row r="133">
          <cell r="AX133">
            <v>0</v>
          </cell>
        </row>
        <row r="134">
          <cell r="G134" t="str">
            <v>3387</v>
          </cell>
          <cell r="AX134">
            <v>0</v>
          </cell>
        </row>
        <row r="136">
          <cell r="AX136">
            <v>-1979596131091</v>
          </cell>
        </row>
        <row r="137">
          <cell r="G137" t="str">
            <v>3388.Cash</v>
          </cell>
          <cell r="AX137">
            <v>-3324591585</v>
          </cell>
        </row>
        <row r="138">
          <cell r="G138" t="str">
            <v>3388.CCQ</v>
          </cell>
          <cell r="AX138">
            <v>-236667220460</v>
          </cell>
        </row>
        <row r="139">
          <cell r="G139" t="str">
            <v>3388.CK</v>
          </cell>
          <cell r="AX139">
            <v>-71058953895</v>
          </cell>
        </row>
        <row r="140">
          <cell r="G140" t="str">
            <v>3388.CT</v>
          </cell>
          <cell r="AX140">
            <v>-55153781</v>
          </cell>
        </row>
        <row r="141">
          <cell r="G141" t="str">
            <v>3388.Gold</v>
          </cell>
          <cell r="AX141">
            <v>-2674885133</v>
          </cell>
        </row>
        <row r="142">
          <cell r="G142" t="str">
            <v>3388.Khac</v>
          </cell>
          <cell r="AX142">
            <v>-108793151</v>
          </cell>
        </row>
        <row r="143">
          <cell r="G143" t="str">
            <v>3388.Lai CCTG</v>
          </cell>
          <cell r="AX143">
            <v>-2121003</v>
          </cell>
        </row>
        <row r="144">
          <cell r="G144" t="str">
            <v>3388.Quy</v>
          </cell>
          <cell r="AX144">
            <v>0</v>
          </cell>
        </row>
        <row r="145">
          <cell r="G145" t="str">
            <v>3388.TD3</v>
          </cell>
          <cell r="AX145">
            <v>0</v>
          </cell>
        </row>
        <row r="146">
          <cell r="G146" t="str">
            <v>3388.Pool</v>
          </cell>
          <cell r="AX146">
            <v>0</v>
          </cell>
        </row>
        <row r="147">
          <cell r="G147" t="str">
            <v>3388.SS</v>
          </cell>
          <cell r="AX147">
            <v>0</v>
          </cell>
        </row>
        <row r="148">
          <cell r="G148" t="str">
            <v>3388.TD</v>
          </cell>
          <cell r="AX148">
            <v>-37695399</v>
          </cell>
        </row>
        <row r="149">
          <cell r="G149" t="str">
            <v>3388.Bank</v>
          </cell>
          <cell r="AX149">
            <v>-103596341</v>
          </cell>
        </row>
        <row r="150">
          <cell r="G150" t="str">
            <v>3388.BH</v>
          </cell>
          <cell r="AX150">
            <v>0</v>
          </cell>
        </row>
        <row r="151">
          <cell r="G151" t="str">
            <v>3388.CCTG</v>
          </cell>
          <cell r="AX151">
            <v>-25848880790</v>
          </cell>
        </row>
        <row r="152">
          <cell r="G152" t="str">
            <v>3388.CL9</v>
          </cell>
          <cell r="AX152">
            <v>0</v>
          </cell>
        </row>
        <row r="153">
          <cell r="G153" t="str">
            <v>3388.Nsav</v>
          </cell>
          <cell r="AX153">
            <v>-14511095984</v>
          </cell>
        </row>
        <row r="154">
          <cell r="G154" t="str">
            <v>3388.Saving</v>
          </cell>
          <cell r="AX154">
            <v>-64631660426</v>
          </cell>
        </row>
        <row r="155">
          <cell r="G155" t="str">
            <v>3388.Pending</v>
          </cell>
          <cell r="AX155">
            <v>-13967528648</v>
          </cell>
        </row>
        <row r="156">
          <cell r="G156" t="str">
            <v>3388-Gốc-Lãi lỗ</v>
          </cell>
          <cell r="AX156">
            <v>0</v>
          </cell>
        </row>
        <row r="157">
          <cell r="G157" t="str">
            <v>3388-Khác</v>
          </cell>
          <cell r="AX157">
            <v>0</v>
          </cell>
        </row>
        <row r="158">
          <cell r="G158" t="str">
            <v>3388.Other</v>
          </cell>
          <cell r="AX158">
            <v>-14981221</v>
          </cell>
        </row>
        <row r="159">
          <cell r="G159" t="str">
            <v>3388.NAV</v>
          </cell>
          <cell r="AX159">
            <v>0</v>
          </cell>
        </row>
        <row r="160">
          <cell r="G160" t="str">
            <v>3388.FHB</v>
          </cell>
          <cell r="AX160">
            <v>-1239739</v>
          </cell>
        </row>
        <row r="161">
          <cell r="G161" t="str">
            <v>3388.TLKH</v>
          </cell>
          <cell r="AX161">
            <v>-1546426845336</v>
          </cell>
        </row>
        <row r="162">
          <cell r="G162" t="str">
            <v>3388.NghiepvuCK</v>
          </cell>
          <cell r="AX162">
            <v>-128584199</v>
          </cell>
        </row>
        <row r="163">
          <cell r="G163" t="str">
            <v>3382</v>
          </cell>
          <cell r="AX163">
            <v>-32304000</v>
          </cell>
        </row>
        <row r="164">
          <cell r="G164" t="str">
            <v>3383</v>
          </cell>
          <cell r="AX164">
            <v>0</v>
          </cell>
        </row>
        <row r="165">
          <cell r="G165" t="str">
            <v>3384</v>
          </cell>
          <cell r="AX165">
            <v>0</v>
          </cell>
        </row>
        <row r="166">
          <cell r="G166" t="str">
            <v>3386</v>
          </cell>
          <cell r="AX166">
            <v>0</v>
          </cell>
        </row>
        <row r="169">
          <cell r="G169" t="str">
            <v>DTL</v>
          </cell>
        </row>
        <row r="171">
          <cell r="AX171">
            <v>-34128000000</v>
          </cell>
        </row>
        <row r="172">
          <cell r="AX172">
            <v>-34128000000</v>
          </cell>
        </row>
        <row r="173">
          <cell r="G173" t="str">
            <v>3387.02</v>
          </cell>
          <cell r="AX173">
            <v>-34128000000</v>
          </cell>
        </row>
        <row r="175">
          <cell r="AX175">
            <v>0</v>
          </cell>
        </row>
        <row r="176">
          <cell r="G176" t="str">
            <v>3411</v>
          </cell>
          <cell r="AX176">
            <v>0</v>
          </cell>
        </row>
        <row r="178">
          <cell r="AX178">
            <v>-787451779727</v>
          </cell>
        </row>
        <row r="179">
          <cell r="G179" t="str">
            <v>41111</v>
          </cell>
          <cell r="AX179">
            <v>-542136430000</v>
          </cell>
        </row>
        <row r="180">
          <cell r="G180" t="str">
            <v>41112</v>
          </cell>
          <cell r="AX180">
            <v>-32524680000</v>
          </cell>
        </row>
        <row r="181">
          <cell r="G181" t="str">
            <v>4112</v>
          </cell>
          <cell r="AX181">
            <v>-515310808868</v>
          </cell>
        </row>
        <row r="182">
          <cell r="G182" t="str">
            <v>4151</v>
          </cell>
          <cell r="AX182">
            <v>0</v>
          </cell>
        </row>
        <row r="183">
          <cell r="G183" t="str">
            <v>418</v>
          </cell>
          <cell r="AX183">
            <v>0</v>
          </cell>
        </row>
        <row r="184">
          <cell r="G184" t="str">
            <v>RR</v>
          </cell>
        </row>
        <row r="185">
          <cell r="G185" t="str">
            <v>4211</v>
          </cell>
          <cell r="AX185">
            <v>230069311002</v>
          </cell>
        </row>
        <row r="186">
          <cell r="G186" t="str">
            <v>4212</v>
          </cell>
          <cell r="AX186">
            <v>73573097763</v>
          </cell>
        </row>
        <row r="187">
          <cell r="G187" t="str">
            <v>NCI-BS</v>
          </cell>
          <cell r="AX187">
            <v>-1122269624</v>
          </cell>
        </row>
        <row r="189">
          <cell r="AX189">
            <v>-2822439739908</v>
          </cell>
        </row>
        <row r="191">
          <cell r="AX191">
            <v>0</v>
          </cell>
        </row>
        <row r="195">
          <cell r="AX195">
            <v>-52713921512</v>
          </cell>
        </row>
        <row r="196">
          <cell r="G196" t="str">
            <v>5111</v>
          </cell>
          <cell r="AX196">
            <v>-42377669111</v>
          </cell>
        </row>
        <row r="197">
          <cell r="G197" t="str">
            <v>5113</v>
          </cell>
          <cell r="AX197">
            <v>0</v>
          </cell>
        </row>
        <row r="198">
          <cell r="G198" t="str">
            <v>5113.01</v>
          </cell>
          <cell r="AX198">
            <v>-88497596</v>
          </cell>
        </row>
        <row r="199">
          <cell r="G199" t="str">
            <v>5113.02</v>
          </cell>
          <cell r="AX199">
            <v>-86751000</v>
          </cell>
        </row>
        <row r="200">
          <cell r="G200" t="str">
            <v>5113.03</v>
          </cell>
          <cell r="AX200">
            <v>-277056000</v>
          </cell>
        </row>
        <row r="201">
          <cell r="G201" t="str">
            <v>5113.04</v>
          </cell>
          <cell r="AX201">
            <v>0</v>
          </cell>
        </row>
        <row r="202">
          <cell r="G202" t="str">
            <v>5113.05</v>
          </cell>
          <cell r="AX202">
            <v>-1542894807</v>
          </cell>
        </row>
        <row r="203">
          <cell r="G203" t="str">
            <v>5113.06</v>
          </cell>
          <cell r="AX203">
            <v>0</v>
          </cell>
        </row>
        <row r="204">
          <cell r="G204" t="str">
            <v>5113.07</v>
          </cell>
          <cell r="AX204">
            <v>0</v>
          </cell>
        </row>
        <row r="205">
          <cell r="G205" t="str">
            <v>5113.08</v>
          </cell>
          <cell r="AX205">
            <v>-3869919155</v>
          </cell>
        </row>
        <row r="206">
          <cell r="G206" t="str">
            <v>5113.09</v>
          </cell>
          <cell r="AX206">
            <v>0</v>
          </cell>
        </row>
        <row r="207">
          <cell r="G207" t="str">
            <v>5113.10</v>
          </cell>
          <cell r="AX207">
            <v>-14017000</v>
          </cell>
        </row>
        <row r="208">
          <cell r="G208" t="str">
            <v>5113.11</v>
          </cell>
          <cell r="AX208">
            <v>0</v>
          </cell>
        </row>
        <row r="209">
          <cell r="G209" t="str">
            <v>5113.12</v>
          </cell>
          <cell r="AX209">
            <v>-245854407</v>
          </cell>
        </row>
        <row r="210">
          <cell r="G210" t="str">
            <v>5113.13</v>
          </cell>
          <cell r="AX210">
            <v>-1928576</v>
          </cell>
        </row>
        <row r="211">
          <cell r="G211" t="str">
            <v>5113.14</v>
          </cell>
          <cell r="AX211">
            <v>0</v>
          </cell>
        </row>
        <row r="212">
          <cell r="G212" t="str">
            <v>5113.15</v>
          </cell>
          <cell r="AX212">
            <v>-5998805</v>
          </cell>
        </row>
        <row r="213">
          <cell r="G213" t="str">
            <v>5113.16</v>
          </cell>
          <cell r="AX213">
            <v>-641722078</v>
          </cell>
        </row>
        <row r="214">
          <cell r="G214" t="str">
            <v>5113.17</v>
          </cell>
          <cell r="AX214">
            <v>-900000000</v>
          </cell>
        </row>
        <row r="215">
          <cell r="G215" t="str">
            <v>5118</v>
          </cell>
          <cell r="AX215">
            <v>-941095</v>
          </cell>
        </row>
        <row r="216">
          <cell r="G216" t="str">
            <v>5118.01</v>
          </cell>
          <cell r="AX216">
            <v>-2585344790</v>
          </cell>
        </row>
        <row r="217">
          <cell r="G217" t="str">
            <v>5118.02</v>
          </cell>
          <cell r="AX217">
            <v>-75327092</v>
          </cell>
        </row>
        <row r="219">
          <cell r="AX219">
            <v>67345449328</v>
          </cell>
        </row>
        <row r="220">
          <cell r="G220" t="str">
            <v>6273</v>
          </cell>
          <cell r="AX220">
            <v>28216794</v>
          </cell>
        </row>
        <row r="221">
          <cell r="G221" t="str">
            <v>6274</v>
          </cell>
          <cell r="AX221">
            <v>2258659587</v>
          </cell>
        </row>
        <row r="222">
          <cell r="G222" t="str">
            <v>6277.01</v>
          </cell>
          <cell r="AX222">
            <v>1312180867</v>
          </cell>
        </row>
        <row r="223">
          <cell r="G223" t="str">
            <v>6277.02</v>
          </cell>
          <cell r="AX223">
            <v>7426118</v>
          </cell>
        </row>
        <row r="224">
          <cell r="G224" t="str">
            <v>6277.03</v>
          </cell>
          <cell r="AX224">
            <v>595828018</v>
          </cell>
        </row>
        <row r="225">
          <cell r="G225" t="str">
            <v>6277.04</v>
          </cell>
          <cell r="AX225">
            <v>0</v>
          </cell>
        </row>
        <row r="226">
          <cell r="G226" t="str">
            <v>6277.05</v>
          </cell>
          <cell r="AX226">
            <v>5785000</v>
          </cell>
        </row>
        <row r="227">
          <cell r="G227" t="str">
            <v>6277.06</v>
          </cell>
          <cell r="AX227">
            <v>16404780</v>
          </cell>
        </row>
        <row r="228">
          <cell r="G228" t="str">
            <v>6277.07</v>
          </cell>
          <cell r="AX228">
            <v>2520245081</v>
          </cell>
        </row>
        <row r="229">
          <cell r="G229" t="str">
            <v>6277.09</v>
          </cell>
          <cell r="AX229">
            <v>4174595</v>
          </cell>
        </row>
        <row r="230">
          <cell r="G230" t="str">
            <v>6277.10</v>
          </cell>
          <cell r="AX230">
            <v>708184330</v>
          </cell>
        </row>
        <row r="231">
          <cell r="G231" t="str">
            <v>6277.11</v>
          </cell>
          <cell r="AX231">
            <v>216665530</v>
          </cell>
        </row>
        <row r="232">
          <cell r="G232" t="str">
            <v>6277.12</v>
          </cell>
          <cell r="AX232">
            <v>0</v>
          </cell>
        </row>
        <row r="233">
          <cell r="G233" t="str">
            <v>6277.13</v>
          </cell>
          <cell r="AX233">
            <v>7359466823</v>
          </cell>
        </row>
        <row r="234">
          <cell r="G234" t="str">
            <v>6277.14</v>
          </cell>
          <cell r="AX234">
            <v>55001243</v>
          </cell>
        </row>
        <row r="235">
          <cell r="G235" t="str">
            <v>6277.15</v>
          </cell>
          <cell r="AX235">
            <v>71590000</v>
          </cell>
        </row>
        <row r="236">
          <cell r="G236" t="str">
            <v>6277.16</v>
          </cell>
          <cell r="AX236">
            <v>50064606</v>
          </cell>
        </row>
        <row r="237">
          <cell r="G237" t="str">
            <v>6277.17</v>
          </cell>
          <cell r="AX237">
            <v>104166346</v>
          </cell>
        </row>
        <row r="238">
          <cell r="G238" t="str">
            <v>6277.18</v>
          </cell>
          <cell r="AX238">
            <v>0</v>
          </cell>
        </row>
        <row r="239">
          <cell r="G239" t="str">
            <v>6278</v>
          </cell>
          <cell r="AX239">
            <v>37922639</v>
          </cell>
        </row>
        <row r="240">
          <cell r="G240" t="str">
            <v>632.TDNB</v>
          </cell>
          <cell r="AX240">
            <v>0</v>
          </cell>
        </row>
        <row r="241">
          <cell r="G241" t="str">
            <v>632</v>
          </cell>
          <cell r="AX241">
            <v>41399531070</v>
          </cell>
        </row>
        <row r="242">
          <cell r="G242" t="str">
            <v>6331</v>
          </cell>
          <cell r="AX242">
            <v>10518769327</v>
          </cell>
        </row>
        <row r="243">
          <cell r="G243" t="str">
            <v>6332</v>
          </cell>
          <cell r="AX243">
            <v>75166574</v>
          </cell>
        </row>
        <row r="245">
          <cell r="AX245">
            <v>-212166236461</v>
          </cell>
        </row>
        <row r="246">
          <cell r="G246" t="str">
            <v>5151</v>
          </cell>
          <cell r="AX246">
            <v>-80334726352</v>
          </cell>
        </row>
        <row r="247">
          <cell r="G247" t="str">
            <v>5151.01</v>
          </cell>
        </row>
        <row r="248">
          <cell r="G248" t="str">
            <v>5151.02</v>
          </cell>
        </row>
        <row r="249">
          <cell r="G249" t="str">
            <v>5152</v>
          </cell>
          <cell r="AX249">
            <v>-22508187708</v>
          </cell>
        </row>
        <row r="250">
          <cell r="G250" t="str">
            <v>5155</v>
          </cell>
          <cell r="AX250">
            <v>0</v>
          </cell>
        </row>
        <row r="251">
          <cell r="G251" t="str">
            <v>5153.01</v>
          </cell>
          <cell r="AX251">
            <v>-9849208851</v>
          </cell>
        </row>
        <row r="252">
          <cell r="G252" t="str">
            <v>5153.02</v>
          </cell>
          <cell r="AX252">
            <v>-64131196336</v>
          </cell>
        </row>
        <row r="253">
          <cell r="G253" t="str">
            <v>5153.03</v>
          </cell>
          <cell r="AX253">
            <v>-33504607372</v>
          </cell>
        </row>
        <row r="254">
          <cell r="G254" t="str">
            <v>5154.01</v>
          </cell>
        </row>
        <row r="255">
          <cell r="G255" t="str">
            <v>5158</v>
          </cell>
          <cell r="AX255">
            <v>-34692835</v>
          </cell>
        </row>
        <row r="256">
          <cell r="G256" t="str">
            <v>5154</v>
          </cell>
          <cell r="AX256">
            <v>0</v>
          </cell>
        </row>
        <row r="257">
          <cell r="G257" t="str">
            <v>5156</v>
          </cell>
          <cell r="AX257">
            <v>-1697721873</v>
          </cell>
        </row>
        <row r="258">
          <cell r="G258" t="str">
            <v>5157</v>
          </cell>
          <cell r="AX258">
            <v>-105895134</v>
          </cell>
        </row>
        <row r="259">
          <cell r="G259" t="str">
            <v>5154.02</v>
          </cell>
          <cell r="AX259">
            <v>0</v>
          </cell>
        </row>
        <row r="261">
          <cell r="AX261">
            <v>193995239577</v>
          </cell>
        </row>
        <row r="262">
          <cell r="G262" t="str">
            <v>635</v>
          </cell>
          <cell r="AX262">
            <v>131507</v>
          </cell>
        </row>
        <row r="263">
          <cell r="G263" t="str">
            <v>6351</v>
          </cell>
          <cell r="AX263">
            <v>109793045368</v>
          </cell>
        </row>
        <row r="264">
          <cell r="G264" t="str">
            <v>6352</v>
          </cell>
          <cell r="AX264">
            <v>6973166310</v>
          </cell>
        </row>
        <row r="265">
          <cell r="G265" t="str">
            <v>6353.01</v>
          </cell>
          <cell r="AX265">
            <v>19245000803</v>
          </cell>
        </row>
        <row r="266">
          <cell r="G266" t="str">
            <v>6353.02</v>
          </cell>
          <cell r="AX266">
            <v>4097940401</v>
          </cell>
        </row>
        <row r="267">
          <cell r="G267" t="str">
            <v>6353.03</v>
          </cell>
          <cell r="AX267">
            <v>23525645484</v>
          </cell>
        </row>
        <row r="268">
          <cell r="G268" t="str">
            <v>6354.01</v>
          </cell>
        </row>
        <row r="269">
          <cell r="G269" t="str">
            <v>6354.04</v>
          </cell>
          <cell r="AX269">
            <v>0</v>
          </cell>
        </row>
        <row r="270">
          <cell r="G270" t="str">
            <v>6354</v>
          </cell>
          <cell r="AX270">
            <v>393000273</v>
          </cell>
        </row>
        <row r="271">
          <cell r="G271" t="str">
            <v>6355</v>
          </cell>
          <cell r="AX271">
            <v>29582884996</v>
          </cell>
        </row>
        <row r="272">
          <cell r="G272" t="str">
            <v>6356</v>
          </cell>
          <cell r="AX272">
            <v>0</v>
          </cell>
        </row>
        <row r="273">
          <cell r="G273" t="str">
            <v>6356.01</v>
          </cell>
          <cell r="AX273">
            <v>92794519</v>
          </cell>
        </row>
        <row r="274">
          <cell r="G274" t="str">
            <v>6356.02</v>
          </cell>
          <cell r="AX274">
            <v>288872341</v>
          </cell>
        </row>
        <row r="275">
          <cell r="G275" t="str">
            <v>6356.03</v>
          </cell>
          <cell r="AX275">
            <v>242270984</v>
          </cell>
        </row>
        <row r="276">
          <cell r="G276" t="str">
            <v>6357</v>
          </cell>
          <cell r="AX276">
            <v>0</v>
          </cell>
        </row>
        <row r="277">
          <cell r="G277" t="str">
            <v>6358</v>
          </cell>
          <cell r="AX277">
            <v>3226703</v>
          </cell>
        </row>
        <row r="278">
          <cell r="G278" t="str">
            <v>6358.01</v>
          </cell>
          <cell r="AX278">
            <v>0</v>
          </cell>
        </row>
        <row r="279">
          <cell r="G279" t="str">
            <v>6355.01</v>
          </cell>
          <cell r="AX279">
            <v>-242740112</v>
          </cell>
        </row>
        <row r="280">
          <cell r="G280" t="str">
            <v>6358.02</v>
          </cell>
          <cell r="AX280">
            <v>0</v>
          </cell>
        </row>
        <row r="281">
          <cell r="G281" t="str">
            <v>6359</v>
          </cell>
        </row>
        <row r="283">
          <cell r="AX283">
            <v>17907080434</v>
          </cell>
        </row>
        <row r="284">
          <cell r="G284" t="str">
            <v>6411.01</v>
          </cell>
          <cell r="AX284">
            <v>0</v>
          </cell>
        </row>
        <row r="285">
          <cell r="G285" t="str">
            <v>6411.02</v>
          </cell>
          <cell r="AX285">
            <v>0</v>
          </cell>
        </row>
        <row r="286">
          <cell r="G286" t="str">
            <v>6411.03</v>
          </cell>
          <cell r="AX286">
            <v>0</v>
          </cell>
        </row>
        <row r="287">
          <cell r="G287" t="str">
            <v>64111</v>
          </cell>
          <cell r="AX287">
            <v>5151245099</v>
          </cell>
        </row>
        <row r="288">
          <cell r="G288" t="str">
            <v>64112</v>
          </cell>
          <cell r="AX288">
            <v>393840500</v>
          </cell>
        </row>
        <row r="289">
          <cell r="G289" t="str">
            <v>64113</v>
          </cell>
          <cell r="AX289">
            <v>32316285</v>
          </cell>
        </row>
        <row r="290">
          <cell r="G290" t="str">
            <v>6413</v>
          </cell>
          <cell r="AX290">
            <v>102278020</v>
          </cell>
        </row>
        <row r="291">
          <cell r="G291" t="str">
            <v>6414</v>
          </cell>
          <cell r="AX291">
            <v>51338198</v>
          </cell>
        </row>
        <row r="292">
          <cell r="G292" t="str">
            <v>6417.01</v>
          </cell>
          <cell r="AX292">
            <v>1178771355</v>
          </cell>
        </row>
        <row r="293">
          <cell r="G293" t="str">
            <v>6417.02</v>
          </cell>
          <cell r="AX293">
            <v>4708175814</v>
          </cell>
        </row>
        <row r="294">
          <cell r="G294" t="str">
            <v>6417.03</v>
          </cell>
          <cell r="AX294">
            <v>2974632132</v>
          </cell>
        </row>
        <row r="295">
          <cell r="G295" t="str">
            <v>6417.04</v>
          </cell>
          <cell r="AX295">
            <v>7562671</v>
          </cell>
        </row>
        <row r="296">
          <cell r="G296" t="str">
            <v>6417.05</v>
          </cell>
          <cell r="AX296">
            <v>56806659</v>
          </cell>
        </row>
        <row r="297">
          <cell r="G297" t="str">
            <v>6417.06</v>
          </cell>
          <cell r="AX297">
            <v>581002</v>
          </cell>
        </row>
        <row r="298">
          <cell r="G298" t="str">
            <v>6417.07</v>
          </cell>
          <cell r="AX298">
            <v>107563997</v>
          </cell>
        </row>
        <row r="299">
          <cell r="G299" t="str">
            <v>6417.08</v>
          </cell>
          <cell r="AX299">
            <v>0</v>
          </cell>
        </row>
        <row r="300">
          <cell r="G300" t="str">
            <v>6417.09</v>
          </cell>
          <cell r="AX300">
            <v>11396526</v>
          </cell>
        </row>
        <row r="301">
          <cell r="G301" t="str">
            <v>6417.11</v>
          </cell>
          <cell r="AX301">
            <v>556351277</v>
          </cell>
        </row>
        <row r="302">
          <cell r="G302" t="str">
            <v>6417.12</v>
          </cell>
          <cell r="AX302">
            <v>187413356</v>
          </cell>
        </row>
        <row r="303">
          <cell r="G303" t="str">
            <v>6417.13</v>
          </cell>
          <cell r="AX303">
            <v>0</v>
          </cell>
        </row>
        <row r="304">
          <cell r="G304" t="str">
            <v>6417.14</v>
          </cell>
          <cell r="AX304">
            <v>5347342</v>
          </cell>
        </row>
        <row r="305">
          <cell r="G305" t="str">
            <v>6417.15</v>
          </cell>
          <cell r="AX305">
            <v>0</v>
          </cell>
        </row>
        <row r="306">
          <cell r="G306" t="str">
            <v>6417.16</v>
          </cell>
          <cell r="AX306">
            <v>6927382</v>
          </cell>
        </row>
        <row r="307">
          <cell r="G307" t="str">
            <v>6417.17</v>
          </cell>
          <cell r="AX307">
            <v>0</v>
          </cell>
        </row>
        <row r="308">
          <cell r="G308" t="str">
            <v>6418</v>
          </cell>
          <cell r="AX308">
            <v>0</v>
          </cell>
        </row>
        <row r="309">
          <cell r="G309" t="str">
            <v>6418.01</v>
          </cell>
          <cell r="AX309">
            <v>2067761021</v>
          </cell>
        </row>
        <row r="310">
          <cell r="G310" t="str">
            <v>6418.02</v>
          </cell>
          <cell r="AX310">
            <v>257271798</v>
          </cell>
        </row>
        <row r="311">
          <cell r="G311" t="str">
            <v>6418.03</v>
          </cell>
          <cell r="AX311">
            <v>49500000</v>
          </cell>
        </row>
        <row r="312">
          <cell r="G312" t="str">
            <v>6418.04</v>
          </cell>
          <cell r="AX312">
            <v>0</v>
          </cell>
        </row>
        <row r="314">
          <cell r="AX314">
            <v>55269601330</v>
          </cell>
        </row>
        <row r="315">
          <cell r="G315" t="str">
            <v>6421.01</v>
          </cell>
          <cell r="AX315">
            <v>7848313255</v>
          </cell>
        </row>
        <row r="316">
          <cell r="G316" t="str">
            <v>6421.02</v>
          </cell>
          <cell r="AX316">
            <v>335858200</v>
          </cell>
        </row>
        <row r="317">
          <cell r="G317" t="str">
            <v>6421.03</v>
          </cell>
          <cell r="AX317">
            <v>300000</v>
          </cell>
        </row>
        <row r="318">
          <cell r="G318" t="str">
            <v>64211</v>
          </cell>
          <cell r="AX318">
            <v>12290649561</v>
          </cell>
        </row>
        <row r="319">
          <cell r="G319" t="str">
            <v>64212</v>
          </cell>
          <cell r="AX319">
            <v>908169273</v>
          </cell>
        </row>
        <row r="320">
          <cell r="G320" t="str">
            <v>64213</v>
          </cell>
          <cell r="AX320">
            <v>1716891656</v>
          </cell>
        </row>
        <row r="321">
          <cell r="G321" t="str">
            <v>6422</v>
          </cell>
          <cell r="AX321">
            <v>6993417</v>
          </cell>
        </row>
        <row r="322">
          <cell r="G322" t="str">
            <v>6423</v>
          </cell>
          <cell r="AX322">
            <v>2222852942</v>
          </cell>
        </row>
        <row r="323">
          <cell r="G323" t="str">
            <v>6424</v>
          </cell>
          <cell r="AX323">
            <v>1501186195</v>
          </cell>
        </row>
        <row r="324">
          <cell r="G324" t="str">
            <v>6424-GW</v>
          </cell>
          <cell r="AX324">
            <v>12046712204</v>
          </cell>
        </row>
        <row r="325">
          <cell r="G325" t="str">
            <v>6425</v>
          </cell>
          <cell r="AX325">
            <v>25033084</v>
          </cell>
        </row>
        <row r="326">
          <cell r="G326" t="str">
            <v>6426</v>
          </cell>
          <cell r="AX326">
            <v>0</v>
          </cell>
        </row>
        <row r="327">
          <cell r="G327" t="str">
            <v>6427.01</v>
          </cell>
          <cell r="AX327">
            <v>2043834865</v>
          </cell>
        </row>
        <row r="328">
          <cell r="G328" t="str">
            <v>6427.02</v>
          </cell>
          <cell r="AX328">
            <v>267301755</v>
          </cell>
        </row>
        <row r="329">
          <cell r="G329" t="str">
            <v>6427.03</v>
          </cell>
          <cell r="AX329">
            <v>166550357</v>
          </cell>
        </row>
        <row r="330">
          <cell r="G330" t="str">
            <v>6427.04</v>
          </cell>
          <cell r="AX330">
            <v>101250453</v>
          </cell>
        </row>
        <row r="331">
          <cell r="G331" t="str">
            <v>6427.05</v>
          </cell>
          <cell r="AX331">
            <v>1035348978</v>
          </cell>
        </row>
        <row r="332">
          <cell r="G332" t="str">
            <v>6427.06</v>
          </cell>
          <cell r="AX332">
            <v>513959010</v>
          </cell>
        </row>
        <row r="333">
          <cell r="G333" t="str">
            <v>6427.07</v>
          </cell>
          <cell r="AX333">
            <v>273582580</v>
          </cell>
        </row>
        <row r="334">
          <cell r="G334" t="str">
            <v>6427.08</v>
          </cell>
          <cell r="AX334">
            <v>179898996</v>
          </cell>
        </row>
        <row r="335">
          <cell r="G335" t="str">
            <v>6427.09</v>
          </cell>
          <cell r="AX335">
            <v>350054745</v>
          </cell>
        </row>
        <row r="336">
          <cell r="G336" t="str">
            <v>6427.10</v>
          </cell>
          <cell r="AX336">
            <v>30000000</v>
          </cell>
        </row>
        <row r="337">
          <cell r="G337" t="str">
            <v>6427.11</v>
          </cell>
          <cell r="AX337">
            <v>151253430</v>
          </cell>
        </row>
        <row r="338">
          <cell r="G338" t="str">
            <v>6427.12</v>
          </cell>
          <cell r="AX338">
            <v>1109689398</v>
          </cell>
        </row>
        <row r="339">
          <cell r="G339" t="str">
            <v>6427.13</v>
          </cell>
          <cell r="AX339">
            <v>3000000</v>
          </cell>
        </row>
        <row r="340">
          <cell r="G340" t="str">
            <v>6427.14</v>
          </cell>
          <cell r="AX340">
            <v>30301209</v>
          </cell>
        </row>
        <row r="341">
          <cell r="G341" t="str">
            <v>6427.15</v>
          </cell>
          <cell r="AX341">
            <v>484433235</v>
          </cell>
        </row>
        <row r="342">
          <cell r="G342" t="str">
            <v>6427.16</v>
          </cell>
          <cell r="AX342">
            <v>191990849</v>
          </cell>
        </row>
        <row r="343">
          <cell r="G343" t="str">
            <v>6427.17</v>
          </cell>
          <cell r="AX343">
            <v>15119041</v>
          </cell>
        </row>
        <row r="344">
          <cell r="G344" t="str">
            <v>6427.18</v>
          </cell>
          <cell r="AX344">
            <v>111194442</v>
          </cell>
        </row>
        <row r="345">
          <cell r="G345" t="str">
            <v>6427.19</v>
          </cell>
          <cell r="AX345">
            <v>432843664</v>
          </cell>
        </row>
        <row r="346">
          <cell r="G346" t="str">
            <v>6427.20</v>
          </cell>
          <cell r="AX346">
            <v>567745841</v>
          </cell>
        </row>
        <row r="347">
          <cell r="G347" t="str">
            <v>6427.21</v>
          </cell>
          <cell r="AX347">
            <v>2581994384</v>
          </cell>
        </row>
        <row r="348">
          <cell r="G348" t="str">
            <v>6427.22</v>
          </cell>
          <cell r="AX348">
            <v>294554031</v>
          </cell>
        </row>
        <row r="349">
          <cell r="G349" t="str">
            <v>6427.23</v>
          </cell>
          <cell r="AX349">
            <v>352566446</v>
          </cell>
        </row>
        <row r="350">
          <cell r="G350" t="str">
            <v>6427.24</v>
          </cell>
          <cell r="AX350">
            <v>54616668</v>
          </cell>
        </row>
        <row r="351">
          <cell r="G351" t="str">
            <v>6427.25</v>
          </cell>
          <cell r="AX351">
            <v>0</v>
          </cell>
        </row>
        <row r="352">
          <cell r="G352" t="str">
            <v>6427.26</v>
          </cell>
          <cell r="AX352">
            <v>19133761</v>
          </cell>
        </row>
        <row r="353">
          <cell r="G353" t="str">
            <v>6427.27</v>
          </cell>
          <cell r="AX353">
            <v>0</v>
          </cell>
        </row>
        <row r="354">
          <cell r="G354" t="str">
            <v>6427.28</v>
          </cell>
          <cell r="AX354">
            <v>2814784114</v>
          </cell>
        </row>
        <row r="355">
          <cell r="G355" t="str">
            <v>6427.TDNB</v>
          </cell>
          <cell r="AX355">
            <v>0</v>
          </cell>
        </row>
        <row r="356">
          <cell r="G356" t="str">
            <v>6428</v>
          </cell>
          <cell r="AX356">
            <v>391487404</v>
          </cell>
        </row>
        <row r="357">
          <cell r="G357" t="str">
            <v>6428.01</v>
          </cell>
          <cell r="AX357">
            <v>556650936</v>
          </cell>
        </row>
        <row r="358">
          <cell r="G358" t="str">
            <v>6428.02</v>
          </cell>
          <cell r="AX358">
            <v>1223990215</v>
          </cell>
        </row>
        <row r="359">
          <cell r="G359" t="str">
            <v>6428.03</v>
          </cell>
          <cell r="AX359">
            <v>930104</v>
          </cell>
        </row>
        <row r="360">
          <cell r="G360" t="str">
            <v>6429</v>
          </cell>
          <cell r="AX360">
            <v>16580632</v>
          </cell>
        </row>
        <row r="362">
          <cell r="AX362">
            <v>1978860631</v>
          </cell>
        </row>
        <row r="363">
          <cell r="G363" t="str">
            <v>711</v>
          </cell>
          <cell r="AX363">
            <v>-14988968</v>
          </cell>
        </row>
        <row r="364">
          <cell r="G364" t="str">
            <v>811</v>
          </cell>
          <cell r="AX364">
            <v>1993849599</v>
          </cell>
        </row>
        <row r="366">
          <cell r="G366" t="str">
            <v>8212</v>
          </cell>
          <cell r="AX366">
            <v>0</v>
          </cell>
        </row>
        <row r="368">
          <cell r="G368" t="str">
            <v>NCI-PL</v>
          </cell>
          <cell r="AX368">
            <v>22467223</v>
          </cell>
        </row>
        <row r="371">
          <cell r="G371" t="str">
            <v>ECL-PL</v>
          </cell>
        </row>
        <row r="373">
          <cell r="G373" t="str">
            <v>DTI</v>
          </cell>
        </row>
        <row r="376">
          <cell r="G376" t="str">
            <v>OCI2</v>
          </cell>
        </row>
        <row r="377">
          <cell r="G377" t="str">
            <v>OCI2.1</v>
          </cell>
        </row>
        <row r="378">
          <cell r="G378" t="str">
            <v>OCI3</v>
          </cell>
        </row>
        <row r="380">
          <cell r="AX380">
            <v>71638540550</v>
          </cell>
        </row>
        <row r="382">
          <cell r="AX382">
            <v>-1934557213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B.CTM.YE23"/>
      <sheetName val="GL911.CTM.HY23"/>
      <sheetName val="GL154.CTM.HY23"/>
      <sheetName val="GL911.KCG.FY24"/>
      <sheetName val="Planning PM TE"/>
      <sheetName val="GL911.Cty Me.FY24"/>
      <sheetName val="GL154.Cty Me.FY24"/>
      <sheetName val="TB.CTy Me.FY2024"/>
      <sheetName val="TB.Cty Con.FY24"/>
      <sheetName val="GL911 VNSC FY24"/>
      <sheetName val="GL911.CtyCon.FY24"/>
      <sheetName val="TB.XH.FY24"/>
      <sheetName val="TB.KCG.FY24"/>
      <sheetName val="TB.Cty Con.HY25"/>
      <sheetName val="GL911.CtyCon.HY25"/>
      <sheetName val="GL911 VNSC HY25"/>
      <sheetName val="TB.KCG.HY25"/>
      <sheetName val="GL911.KCG.HY25"/>
      <sheetName val="TB.XH.HY25"/>
      <sheetName val="GL911.XH.FY24"/>
      <sheetName val="GL911.XH.HY25"/>
      <sheetName val="GL911.Cty Me.HY25"/>
      <sheetName val="GL154.Cty Me.HY25"/>
      <sheetName val="Sheet12"/>
      <sheetName val="A5.HY25"/>
      <sheetName val="A5.CTC HY25"/>
      <sheetName val="A5.Consol HY25"/>
      <sheetName val="Group"/>
      <sheetName val="TB VNSC FY24"/>
      <sheetName val="TB VNSC HY25"/>
      <sheetName val="A4.N2FS Consol"/>
      <sheetName val="A4.N2FS Singles"/>
      <sheetName val="A1.BS"/>
      <sheetName val="CF.W.C"/>
      <sheetName val="A2.PL"/>
      <sheetName val="A3.CF"/>
      <sheetName val="A5.IFRS HY25"/>
      <sheetName val="A5.IFRS YE24"/>
      <sheetName val="A1.BS IFRS"/>
      <sheetName val="A2.PL IFRS"/>
      <sheetName val="A3.SOCE.IFRS"/>
      <sheetName val="A4.CF IFRS"/>
      <sheetName val="A0.LS"/>
      <sheetName val="A5. N2FS IFRS"/>
      <sheetName val="IFRS.Revaluate"/>
      <sheetName val="BOM"/>
      <sheetName val="HY2025 IFRS.Revaluate-Bonds+CDs"/>
      <sheetName val="HY2025 IFRS.Revaluate - Shares"/>
      <sheetName val="HY2025 IFRS.Revaluate - FUs"/>
      <sheetName val="A5.IFRS.YE23"/>
      <sheetName val="YE2024 OCI Bonds+CDs"/>
      <sheetName val="YE2024 IFRS.Revaluate-3388.CP"/>
      <sheetName val="YE2024 IFRS.Revaluate-1388.CP"/>
      <sheetName val="YE24IFRS.Revaluate-1388+3388CCQ"/>
      <sheetName val="IFRS.Revaluate-Extracted GL"/>
      <sheetName val="5151 Cổ tức Cty con"/>
      <sheetName val="Reclassify DT-CP"/>
      <sheetName val="IFRS.Deferred tax"/>
      <sheetName val="TB.CTy Me.HY2025"/>
      <sheetName val="1218 1388.Khac"/>
      <sheetName val="TB Cty Me 30Jun24"/>
      <sheetName val="Adj#1-Interco Bal"/>
      <sheetName val="CF.W.S"/>
      <sheetName val="Dự thu mới"/>
      <sheetName val="PhươngNH_Bút toán điều chỉnh EY"/>
      <sheetName val="A5.YE22"/>
      <sheetName val="Matching investment"/>
      <sheetName val="TB.VNSC.YE22"/>
      <sheetName val="EPS"/>
      <sheetName val="911.CTC.YE22"/>
      <sheetName val="TB.CTC.YE22"/>
      <sheetName val="GW"/>
      <sheetName val="Dự phòng Finhay JSC"/>
      <sheetName val="Non deductible"/>
      <sheetName val="Adj#2-Interco Trans"/>
      <sheetName val="1218_Misa"/>
      <sheetName val="TB.KCG.YE22"/>
      <sheetName val="911.KCG.YE22"/>
      <sheetName val="TB.XH.YE22"/>
      <sheetName val="911.XH.YE22"/>
      <sheetName val="911.VNSC.YE22"/>
      <sheetName val="Goodwill"/>
      <sheetName val="DS_INTERNAL_SETTINGS_STORAGE"/>
      <sheetName val="DS_INTERNAL_DOCGROUP_STORAGE"/>
      <sheetName val="DS_INTERNAL_DOCUMENT_STORAGE"/>
      <sheetName val="DS_INTERNAL_SNIP_STORA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191">
          <cell r="AE191">
            <v>283538653151</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911 - 6m 2022"/>
      <sheetName val="VNSC"/>
      <sheetName val="Check for OBS"/>
      <sheetName val="Trading list"/>
      <sheetName val="Sheet1"/>
      <sheetName val="OBS - 6m2023"/>
      <sheetName val="A5 - 30.06.2024"/>
      <sheetName val="D Process - fair value"/>
      <sheetName val="BS"/>
      <sheetName val="PL"/>
      <sheetName val="CF"/>
      <sheetName val="Leadsheet"/>
      <sheetName val="NTFS"/>
      <sheetName val="A5 - 31.12.2024"/>
      <sheetName val="TB 31.12.24"/>
      <sheetName val="SOCE"/>
      <sheetName val="TB 30.06.24"/>
      <sheetName val="OBS"/>
      <sheetName val="D process - 31.12.24"/>
      <sheetName val="CF Working"/>
      <sheetName val="Spt Note 39.2"/>
      <sheetName val="CF Support"/>
      <sheetName val="D process - HY2024"/>
      <sheetName val="A5 - 31.12.2023"/>
      <sheetName val="TB 31.12.23"/>
      <sheetName val="911 - 31.12.2024"/>
      <sheetName val="MR"/>
      <sheetName val="SR"/>
      <sheetName val="OR"/>
      <sheetName val="CAPITAL"/>
      <sheetName val="911 - 30.06.2024"/>
      <sheetName val="911 - 2022"/>
      <sheetName val="A5 - 31.12.2022"/>
      <sheetName val="911 - 6m2023"/>
      <sheetName val="911 - 2023"/>
      <sheetName val="A5 - 30.06.2023"/>
      <sheetName val="A5"/>
      <sheetName val="TB 30.06.23"/>
      <sheetName val="TB1.7.22-31.12.22"/>
      <sheetName val="TB 30.06.22"/>
      <sheetName val="TB 2022"/>
      <sheetName val="OBS - 12m2023"/>
      <sheetName val="SUMMARY"/>
      <sheetName val="Threshold by account"/>
      <sheetName val="PM-TE setting"/>
      <sheetName val="242 - 2023"/>
      <sheetName val="Investment - 2023"/>
      <sheetName val="Mapping"/>
      <sheetName val="DS_INTERNAL_SETTINGS_STORAGE"/>
      <sheetName val="DS_INTERNAL_DOCGROUP_STORAGE"/>
      <sheetName val="DS_INTERNAL_DOCUMENT_STORAGE"/>
      <sheetName val="DS_INTERNAL_SNIP_STORAG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315">
          <cell r="I315">
            <v>926266762</v>
          </cell>
        </row>
        <row r="318">
          <cell r="I318">
            <v>2450068665</v>
          </cell>
        </row>
        <row r="319">
          <cell r="I319">
            <v>3256279160</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5"/>
      <sheetName val="Phương note"/>
      <sheetName val="D301 CP"/>
      <sheetName val="D303 - 3388"/>
      <sheetName val="D304 - 1388"/>
      <sheetName val="D302 - TVAM"/>
      <sheetName val="D501 CCQ"/>
      <sheetName val="D503 - TVAM"/>
      <sheetName val="NAV"/>
      <sheetName val="Tổng hợp CCQ"/>
      <sheetName val="FINHAY.BIDV_31122024"/>
      <sheetName val="Giá đóng cửa"/>
      <sheetName val="Sheet4"/>
      <sheetName val="Sheet3"/>
      <sheetName val="D305"/>
      <sheetName val="D401 Bond"/>
      <sheetName val="D402"/>
      <sheetName val="D403"/>
      <sheetName val="D404 - TVAM"/>
      <sheetName val="Sheet1"/>
      <sheetName val="FINHAY.BIDV"/>
      <sheetName val="D502"/>
      <sheetName val="D504"/>
      <sheetName val="D602 - Dự thu"/>
      <sheetName val="D701 - CTC"/>
      <sheetName val="D801"/>
    </sheetNames>
    <sheetDataSet>
      <sheetData sheetId="0"/>
      <sheetData sheetId="1"/>
      <sheetData sheetId="2"/>
      <sheetData sheetId="3">
        <row r="2">
          <cell r="S2">
            <v>40864322043</v>
          </cell>
        </row>
      </sheetData>
      <sheetData sheetId="4"/>
      <sheetData sheetId="5"/>
      <sheetData sheetId="6">
        <row r="5">
          <cell r="L5">
            <v>3040023618.9500003</v>
          </cell>
        </row>
        <row r="6">
          <cell r="L6">
            <v>2743948116</v>
          </cell>
        </row>
        <row r="7">
          <cell r="L7">
            <v>5990059196</v>
          </cell>
        </row>
        <row r="8">
          <cell r="L8">
            <v>3291365352</v>
          </cell>
        </row>
        <row r="9">
          <cell r="L9">
            <v>4981503198</v>
          </cell>
        </row>
        <row r="10">
          <cell r="L10">
            <v>42209470</v>
          </cell>
        </row>
        <row r="11">
          <cell r="L11">
            <v>6889851311.1999998</v>
          </cell>
        </row>
        <row r="12">
          <cell r="L12">
            <v>11546743468</v>
          </cell>
        </row>
        <row r="13">
          <cell r="L13">
            <v>52119638.346000001</v>
          </cell>
        </row>
        <row r="14">
          <cell r="L14">
            <v>32809189.955200002</v>
          </cell>
        </row>
        <row r="15">
          <cell r="L15">
            <v>3957710956</v>
          </cell>
        </row>
        <row r="16">
          <cell r="L16">
            <v>14396743570.1807</v>
          </cell>
        </row>
        <row r="17">
          <cell r="L17">
            <v>25630087203.759197</v>
          </cell>
        </row>
        <row r="18">
          <cell r="L18">
            <v>15397750608.450401</v>
          </cell>
        </row>
        <row r="19">
          <cell r="L19">
            <v>6681104531.4584999</v>
          </cell>
        </row>
        <row r="22">
          <cell r="L22">
            <v>59731994.123999991</v>
          </cell>
        </row>
        <row r="23">
          <cell r="L23">
            <v>378295703.40359998</v>
          </cell>
        </row>
        <row r="24">
          <cell r="L24">
            <v>12636123896.7264</v>
          </cell>
        </row>
        <row r="25">
          <cell r="L25">
            <v>2640559257.9520001</v>
          </cell>
        </row>
        <row r="26">
          <cell r="L26">
            <v>6362871.9093000004</v>
          </cell>
        </row>
        <row r="27">
          <cell r="L27">
            <v>9807120332.7999992</v>
          </cell>
        </row>
        <row r="28">
          <cell r="L28">
            <v>2587959941.9907999</v>
          </cell>
        </row>
        <row r="29">
          <cell r="L29">
            <v>4994843848.0600004</v>
          </cell>
        </row>
        <row r="36">
          <cell r="G36">
            <v>-44233346256.066086</v>
          </cell>
        </row>
        <row r="51">
          <cell r="H51">
            <v>27744357426.013294</v>
          </cell>
        </row>
        <row r="55">
          <cell r="H55">
            <v>1800775565.6951113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5_Audit"/>
      <sheetName val="Guide"/>
      <sheetName val="A5_Audit T-1"/>
      <sheetName val="1218- Tài sản-CCQ"/>
      <sheetName val="1211- Tài sản-CK"/>
      <sheetName val="EY.CK"/>
      <sheetName val="EY.CCQ"/>
      <sheetName val="3388.CCQ- Nợ PT.Misa"/>
      <sheetName val="3388.CK- Nợ PT.Misa"/>
      <sheetName val="VNSC-Giá CK"/>
      <sheetName val="3388.CCQ.MB"/>
      <sheetName val="Update CF_SP CCQ"/>
      <sheetName val="TVS"/>
      <sheetName val="1218_Misa"/>
      <sheetName val="TB.S.YE24"/>
      <sheetName val="Đệm TB"/>
    </sheetNames>
    <sheetDataSet>
      <sheetData sheetId="0">
        <row r="1">
          <cell r="A1">
            <v>45657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Set>
  </externalBook>
</externalLink>
</file>

<file path=xl/persons/person.xml><?xml version="1.0" encoding="utf-8"?>
<personList xmlns="http://schemas.microsoft.com/office/spreadsheetml/2018/threadedcomments" xmlns:x="http://schemas.openxmlformats.org/spreadsheetml/2006/main">
  <person displayName="Hai Quang Le" id="{180807D2-E43E-4C64-AF60-D60D3BF4DE6D}" userId="S::Hai.Quang.Le@vn.ey.com::42e328c6-25d5-4966-beb3-c33a954ddacf" providerId="AD"/>
  <person displayName="phuong.nguyen2" id="{2BB7FB93-7E60-49BE-BF2D-1A847FD5E432}" userId="S::phuong.nguyen2_finhay.com.vn#ext#@eygs.onmicrosoft.com::4311d728-d036-406f-a423-b2ead95e0e95" providerId="AD"/>
</personList>
</file>

<file path=xl/pivotCache/_rels/pivotCacheDefinition1.xml.rels><?xml version="1.0" encoding="UTF-8" standalone="yes"?>
<Relationships xmlns="http://schemas.openxmlformats.org/package/2006/relationships"><Relationship Id="rId3" Type="http://schemas.microsoft.com/office/2019/04/relationships/externalLinkLongPath" Target="/personal/hai_quang_le_vn_ey_com/Documents/Documents/2024/5.%20Finhay%20HY2024/0.%20Previous%20Years/9.%20Finhay%20YE23%20-%20VAS/8.%20WTB/1.%20Sent%20to%20Client/0.%20To%20reference/Finhay%20Consol%2031.12.2022%20-%20WTB%20-%20LQH%20-%20v7.xlsx?7E8431BB" TargetMode="External"/><Relationship Id="rId2" Type="http://schemas.openxmlformats.org/officeDocument/2006/relationships/externalLinkPath" Target="file:///\\7E8431BB\Finhay%20Consol%2031.12.2022%20-%20WTB%20-%20LQH%20-%20v7.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3" Type="http://schemas.microsoft.com/office/2019/04/relationships/externalLinkLongPath" Target="/personal/hai_quang_le_vn_ey_com/Documents/Documents/2024/5.%20Finhay%20HY2024/0.%20Previous%20Years/9.%20Finhay%20YE23%20-%20VAS/8.%20WTB/1.%20Sent%20to%20Client/0.%20To%20reference/Finhay%20Consol%2031.12.2022%20-%20WTB%20-%20LQH%20-%20v7.xlsx?7E8431BB" TargetMode="External"/><Relationship Id="rId2" Type="http://schemas.openxmlformats.org/officeDocument/2006/relationships/externalLinkPath" Target="file:///\\7E8431BB\Finhay%20Consol%2031.12.2022%20-%20WTB%20-%20LQH%20-%20v7.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3" Type="http://schemas.microsoft.com/office/2019/04/relationships/externalLinkLongPath" Target="/personal/hai_quang_le_vn_ey_com/Documents/Documents/2024/5.%20Finhay%20HY2024/0.%20Previous%20Years/9.%20Finhay%20YE23%20-%20VAS/8.%20WTB/1.%20Sent%20to%20Client/0.%20To%20reference/Finhay%20Consol%2031.12.2022%20-%20WTB%20-%20LQH%20-%20v7.xlsx?7E8431BB" TargetMode="External"/><Relationship Id="rId2" Type="http://schemas.openxmlformats.org/officeDocument/2006/relationships/externalLinkPath" Target="file:///\\7E8431BB\Finhay%20Consol%2031.12.2022%20-%20WTB%20-%20LQH%20-%20v7.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3" Type="http://schemas.microsoft.com/office/2019/04/relationships/externalLinkLongPath" Target="/personal/hai_quang_le_vn_ey_com/Documents/Documents/2024/5.%20Finhay%20HY2024/0.%20Previous%20Years/9.%20Finhay%20YE23%20-%20VAS/8.%20WTB/1.%20Sent%20to%20Client/0.%20To%20reference/Finhay%20Consol%2031.12.2022%20-%20WTB%20-%20LQH%20-%20v7.xlsx?7E8431BB" TargetMode="External"/><Relationship Id="rId2" Type="http://schemas.openxmlformats.org/officeDocument/2006/relationships/externalLinkPath" Target="file:///\\7E8431BB\Finhay%20Consol%2031.12.2022%20-%20WTB%20-%20LQH%20-%20v7.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008.48756736111" createdVersion="7" refreshedVersion="7" minRefreshableVersion="3" recordCount="207" xr:uid="{56F021B0-32B3-4EE8-863B-17BB67BAFCEF}">
  <cacheSource type="worksheet">
    <worksheetSource ref="A3:I210" sheet="911_VNSC" r:id="rId2"/>
  </cacheSource>
  <cacheFields count="9">
    <cacheField name="Ngày chứng từ" numFmtId="14">
      <sharedItems containsSemiMixedTypes="0" containsNonDate="0" containsDate="1" containsString="0" minDate="2022-01-31T00:00:00" maxDate="2023-01-01T00:00:00"/>
    </cacheField>
    <cacheField name="Ma_Ct0" numFmtId="49">
      <sharedItems/>
    </cacheField>
    <cacheField name="Số chứng từ" numFmtId="49">
      <sharedItems/>
    </cacheField>
    <cacheField name="Diễn giải" numFmtId="49">
      <sharedItems/>
    </cacheField>
    <cacheField name="TK nợ" numFmtId="49">
      <sharedItems count="10">
        <s v="9111"/>
        <s v="51111505"/>
        <s v="51511"/>
        <s v="5152"/>
        <s v="7111"/>
        <s v="6333342"/>
        <s v="51158"/>
        <s v="5117"/>
        <s v="51111503"/>
        <s v="51111598"/>
      </sharedItems>
    </cacheField>
    <cacheField name="TK có" numFmtId="49">
      <sharedItems count="27">
        <s v="42122"/>
        <s v="6333342"/>
        <s v="64282"/>
        <s v="64284"/>
        <s v="64288"/>
        <s v="64211"/>
        <s v="64212"/>
        <s v="6422"/>
        <s v="6423"/>
        <s v="642411"/>
        <s v="642412"/>
        <s v="64271"/>
        <s v="64272"/>
        <s v="64273"/>
        <s v="8111"/>
        <s v="64281"/>
        <s v="8113"/>
        <s v="64283"/>
        <s v="6429"/>
        <s v="6425"/>
        <s v="6427"/>
        <s v="64276"/>
        <s v="64278"/>
        <s v="632110598"/>
        <s v="6328"/>
        <s v="64214"/>
        <s v="9111"/>
      </sharedItems>
    </cacheField>
    <cacheField name="Phát sinh" numFmtId="0">
      <sharedItems containsSemiMixedTypes="0" containsString="0" containsNumber="1" minValue="-1518770368" maxValue="2828951423"/>
    </cacheField>
    <cacheField name="Vụ việc" numFmtId="49">
      <sharedItems/>
    </cacheField>
    <cacheField name="Chứng từ" numFmtId="49">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015.008214467591" createdVersion="7" refreshedVersion="7" minRefreshableVersion="3" recordCount="14" xr:uid="{7542602C-5A38-43F0-8BF9-66E205A1F77D}">
  <cacheSource type="worksheet">
    <worksheetSource ref="A2:J16" sheet="911_KCG" r:id="rId2"/>
  </cacheSource>
  <cacheFields count="10">
    <cacheField name="Ngày hạch toán" numFmtId="14">
      <sharedItems containsSemiMixedTypes="0" containsNonDate="0" containsDate="1" containsString="0" minDate="2022-10-31T00:00:00" maxDate="2023-01-01T00:00:00"/>
    </cacheField>
    <cacheField name="Ngày chứng từ" numFmtId="14">
      <sharedItems containsSemiMixedTypes="0" containsNonDate="0" containsDate="1" containsString="0" minDate="2022-10-31T00:00:00" maxDate="2023-01-01T00:00:00"/>
    </cacheField>
    <cacheField name="Số chứng từ" numFmtId="0">
      <sharedItems/>
    </cacheField>
    <cacheField name="Diễn giải" numFmtId="0">
      <sharedItems/>
    </cacheField>
    <cacheField name="Tài khoản" numFmtId="0">
      <sharedItems/>
    </cacheField>
    <cacheField name="3 số" numFmtId="0">
      <sharedItems count="4">
        <s v="911"/>
        <s v="515"/>
        <s v="421"/>
        <s v="642"/>
      </sharedItems>
    </cacheField>
    <cacheField name="TK đối ứng" numFmtId="0">
      <sharedItems count="4">
        <s v="515"/>
        <s v="4212"/>
        <s v="6427"/>
        <s v="911"/>
      </sharedItems>
    </cacheField>
    <cacheField name="Doi ung 3 so" numFmtId="0">
      <sharedItems/>
    </cacheField>
    <cacheField name="Phát sinh Nợ" numFmtId="38">
      <sharedItems containsSemiMixedTypes="0" containsString="0" containsNumber="1" containsInteger="1" minValue="0" maxValue="165083"/>
    </cacheField>
    <cacheField name="Phát sinh Có" numFmtId="38">
      <sharedItems containsSemiMixedTypes="0" containsString="0" containsNumber="1" containsInteger="1" minValue="0" maxValue="16508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015.009719907408" createdVersion="7" refreshedVersion="7" minRefreshableVersion="3" recordCount="14" xr:uid="{5FA3BF85-A963-4046-B453-569C36A55F2F}">
  <cacheSource type="worksheet">
    <worksheetSource ref="A1:N15" sheet="911_XH" r:id="rId2"/>
  </cacheSource>
  <cacheFields count="14">
    <cacheField name="Ngày hạch toán" numFmtId="14">
      <sharedItems containsSemiMixedTypes="0" containsNonDate="0" containsDate="1" containsString="0" minDate="2022-10-31T00:00:00" maxDate="2023-01-01T00:00:00"/>
    </cacheField>
    <cacheField name="Ngày chứng từ" numFmtId="14">
      <sharedItems containsSemiMixedTypes="0" containsNonDate="0" containsDate="1" containsString="0" minDate="2022-10-31T00:00:00" maxDate="2023-01-01T00:00:00"/>
    </cacheField>
    <cacheField name="Số chứng từ" numFmtId="0">
      <sharedItems/>
    </cacheField>
    <cacheField name="Diễn giải" numFmtId="0">
      <sharedItems/>
    </cacheField>
    <cacheField name="Tài khoản" numFmtId="0">
      <sharedItems/>
    </cacheField>
    <cacheField name="3 so" numFmtId="0">
      <sharedItems/>
    </cacheField>
    <cacheField name="TK đối ứng" numFmtId="0">
      <sharedItems count="6">
        <s v="515"/>
        <s v="6423"/>
        <s v="6427.10"/>
        <s v="6427.21"/>
        <s v="4212"/>
        <s v="811"/>
      </sharedItems>
    </cacheField>
    <cacheField name="Doi ung 3 so" numFmtId="0">
      <sharedItems/>
    </cacheField>
    <cacheField name="Phát sinh Nợ" numFmtId="38">
      <sharedItems containsSemiMixedTypes="0" containsString="0" containsNumber="1" containsInteger="1" minValue="0" maxValue="8000000"/>
    </cacheField>
    <cacheField name="Phát sinh Có" numFmtId="38">
      <sharedItems containsSemiMixedTypes="0" containsString="0" containsNumber="1" containsInteger="1" minValue="0" maxValue="13865304"/>
    </cacheField>
    <cacheField name="Mã đối tượng" numFmtId="0">
      <sharedItems containsNonDate="0" containsString="0" containsBlank="1"/>
    </cacheField>
    <cacheField name="Tên đối tượng" numFmtId="0">
      <sharedItems containsNonDate="0" containsString="0" containsBlank="1"/>
    </cacheField>
    <cacheField name="CP hợp lý/không hợp lý" numFmtId="0">
      <sharedItems/>
    </cacheField>
    <cacheField name="Dr-Cr" numFmtId="38">
      <sharedItems containsSemiMixedTypes="0" containsString="0" containsNumber="1" containsInteger="1" minValue="-13865304" maxValue="8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4999.60394641204" createdVersion="7" refreshedVersion="7" minRefreshableVersion="3" recordCount="218" xr:uid="{E8B04F3F-9188-42B5-B69F-55EA0E3B1ADE}">
  <cacheSource type="worksheet">
    <worksheetSource ref="A2:N220" sheet="911_CTC" r:id="rId2"/>
  </cacheSource>
  <cacheFields count="14">
    <cacheField name="Ngày hạch toán" numFmtId="14">
      <sharedItems containsSemiMixedTypes="0" containsNonDate="0" containsDate="1" containsString="0" minDate="2022-01-31T00:00:00" maxDate="2023-01-01T00:00:00"/>
    </cacheField>
    <cacheField name="Ngày chứng từ" numFmtId="14">
      <sharedItems containsSemiMixedTypes="0" containsNonDate="0" containsDate="1" containsString="0" minDate="2022-01-31T00:00:00" maxDate="2023-01-01T00:00:00"/>
    </cacheField>
    <cacheField name="Số chứng từ" numFmtId="0">
      <sharedItems/>
    </cacheField>
    <cacheField name="Diễn giải chung" numFmtId="0">
      <sharedItems/>
    </cacheField>
    <cacheField name="Diễn giải" numFmtId="0">
      <sharedItems/>
    </cacheField>
    <cacheField name="Tài khoản" numFmtId="0">
      <sharedItems/>
    </cacheField>
    <cacheField name="TK đối ứng" numFmtId="0">
      <sharedItems containsMixedTypes="1" containsNumber="1" containsInteger="1" minValue="5152" maxValue="5152" count="28">
        <s v="5111"/>
        <s v="5113"/>
        <n v="5152"/>
        <s v="632"/>
        <s v="6411.01"/>
        <s v="6411.02"/>
        <s v="6417.01"/>
        <s v="6417.03"/>
        <s v="6418"/>
        <s v="6421.01"/>
        <s v="6421.02"/>
        <s v="6423"/>
        <s v="6425"/>
        <s v="6427.01"/>
        <s v="6427.02"/>
        <s v="6427.05"/>
        <s v="6427.06"/>
        <s v="6427.07"/>
        <s v="6428"/>
        <s v="811"/>
        <s v="4212"/>
        <s v="635"/>
        <s v="6411.03"/>
        <s v="6421.03"/>
        <s v="711"/>
        <s v="6417.02"/>
        <s v="6427.20"/>
        <s v="515" u="1"/>
      </sharedItems>
    </cacheField>
    <cacheField name="Doi ung 3 so" numFmtId="0">
      <sharedItems/>
    </cacheField>
    <cacheField name="Phát sinh Nợ" numFmtId="38">
      <sharedItems containsSemiMixedTypes="0" containsString="0" containsNumber="1" containsInteger="1" minValue="0" maxValue="85000000000"/>
    </cacheField>
    <cacheField name="Phát sinh Có" numFmtId="38">
      <sharedItems containsSemiMixedTypes="0" containsString="0" containsNumber="1" containsInteger="1" minValue="0" maxValue="84881222257"/>
    </cacheField>
    <cacheField name="Mã đối tượng" numFmtId="0">
      <sharedItems containsNonDate="0" containsString="0" containsBlank="1"/>
    </cacheField>
    <cacheField name="Tên đối tượng" numFmtId="0">
      <sharedItems containsNonDate="0" containsString="0" containsBlank="1"/>
    </cacheField>
    <cacheField name="Mã thống kê" numFmtId="0">
      <sharedItems containsNonDate="0" containsString="0" containsBlank="1"/>
    </cacheField>
    <cacheField name="CP hợp lý/không hợp lý"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494.635721759259" createdVersion="8" refreshedVersion="8" minRefreshableVersion="3" recordCount="387" xr:uid="{5125C5DD-B0C3-480A-B674-A294EBF01EC3}">
  <cacheSource type="worksheet">
    <worksheetSource ref="A3:T390" sheet="GL911.Cty Me.FY24"/>
  </cacheSource>
  <cacheFields count="20">
    <cacheField name="Ngày hạch toán" numFmtId="14">
      <sharedItems containsSemiMixedTypes="0" containsNonDate="0" containsDate="1" containsString="0" minDate="2024-01-31T00:00:00" maxDate="2024-07-01T00:00:00"/>
    </cacheField>
    <cacheField name="Ngày chứng từ" numFmtId="14">
      <sharedItems containsSemiMixedTypes="0" containsNonDate="0" containsDate="1" containsString="0" minDate="2024-01-31T00:00:00" maxDate="2024-07-01T00:00:00"/>
    </cacheField>
    <cacheField name="Số chứng từ" numFmtId="0">
      <sharedItems/>
    </cacheField>
    <cacheField name="Ngày hóa đơn" numFmtId="14">
      <sharedItems containsNonDate="0" containsString="0" containsBlank="1"/>
    </cacheField>
    <cacheField name="Số hóa đơn" numFmtId="0">
      <sharedItems containsNonDate="0" containsString="0" containsBlank="1"/>
    </cacheField>
    <cacheField name="Diễn giải" numFmtId="0">
      <sharedItems/>
    </cacheField>
    <cacheField name="Tài khoản" numFmtId="0">
      <sharedItems/>
    </cacheField>
    <cacheField name="TK đối ứng" numFmtId="0">
      <sharedItems count="80">
        <s v="5111"/>
        <s v="5113.01"/>
        <s v="5113.02"/>
        <s v="5113.03"/>
        <s v="5113.05"/>
        <s v="5113.08"/>
        <s v="5113.10"/>
        <s v="5113.12"/>
        <s v="5113.13"/>
        <s v="5113.15"/>
        <s v="5113.16"/>
        <s v="5113.17"/>
        <s v="5118"/>
        <s v="5151"/>
        <s v="5153.01"/>
        <s v="5153.02"/>
        <s v="5153.03"/>
        <s v="5152"/>
        <s v="632"/>
        <s v="6352"/>
        <s v="6353.01"/>
        <s v="6353.03"/>
        <s v="6356.02"/>
        <s v="6356.03"/>
        <s v="6351"/>
        <s v="64111"/>
        <s v="6413"/>
        <s v="6414"/>
        <s v="6417.02"/>
        <s v="6417.03"/>
        <s v="6417.04"/>
        <s v="6417.05"/>
        <s v="6417.11"/>
        <s v="6417.12"/>
        <s v="6418.01"/>
        <s v="6418.02"/>
        <s v="64211"/>
        <s v="64212"/>
        <s v="64213"/>
        <s v="6423"/>
        <s v="6424"/>
        <s v="6425"/>
        <s v="6427.01"/>
        <s v="6427.02"/>
        <s v="6427.03"/>
        <s v="6427.04"/>
        <s v="6427.05"/>
        <s v="6427.07"/>
        <s v="6427.09"/>
        <s v="6427.11"/>
        <s v="6427.12"/>
        <s v="6427.16"/>
        <s v="6427.18"/>
        <s v="6427.19"/>
        <s v="6427.21"/>
        <s v="6427.22"/>
        <s v="6427.23"/>
        <s v="6427.26"/>
        <s v="6427.28"/>
        <s v="6428.01"/>
        <s v="6428.03"/>
        <s v="811"/>
        <s v="4212"/>
        <s v="5153.04"/>
        <s v="6356.01"/>
        <s v="6417.09"/>
        <s v="6427.15"/>
        <s v="6427.20"/>
        <s v="6428.02"/>
        <s v="6427.06"/>
        <s v="711"/>
        <s v="64112"/>
        <s v="6417.16"/>
        <s v="6353.02"/>
        <s v="6358"/>
        <s v="64113"/>
        <s v="6417.06"/>
        <s v="6418.03"/>
        <s v="6427.17"/>
        <s v="5158"/>
      </sharedItems>
    </cacheField>
    <cacheField name="Doi ung 3 so" numFmtId="0">
      <sharedItems count="9">
        <s v="511"/>
        <s v="515"/>
        <s v="632"/>
        <s v="635"/>
        <s v="641"/>
        <s v="642"/>
        <s v="811"/>
        <s v="421"/>
        <s v="711"/>
      </sharedItems>
    </cacheField>
    <cacheField name="Phát sinh Nợ" numFmtId="38">
      <sharedItems containsSemiMixedTypes="0" containsString="0" containsNumber="1" containsInteger="1" minValue="0" maxValue="23752692863"/>
    </cacheField>
    <cacheField name="Phát sinh Có" numFmtId="38">
      <sharedItems containsSemiMixedTypes="0" containsString="0" containsNumber="1" containsInteger="1" minValue="0" maxValue="20233412317"/>
    </cacheField>
    <cacheField name="Mã đối tượng" numFmtId="0">
      <sharedItems containsNonDate="0" containsString="0" containsBlank="1"/>
    </cacheField>
    <cacheField name="Tên đối tượng" numFmtId="0">
      <sharedItems containsNonDate="0" containsString="0" containsBlank="1"/>
    </cacheField>
    <cacheField name="Mã nhân viên" numFmtId="0">
      <sharedItems containsNonDate="0" containsString="0" containsBlank="1"/>
    </cacheField>
    <cacheField name="Tên nhân viên" numFmtId="0">
      <sharedItems containsNonDate="0" containsString="0" containsBlank="1"/>
    </cacheField>
    <cacheField name="Mã thống kê" numFmtId="0">
      <sharedItems containsNonDate="0" containsString="0" containsBlank="1"/>
    </cacheField>
    <cacheField name="Tên thống kê" numFmtId="0">
      <sharedItems containsNonDate="0" containsString="0" containsBlank="1"/>
    </cacheField>
    <cacheField name="Mã đơn vị" numFmtId="0">
      <sharedItems containsNonDate="0" containsString="0" containsBlank="1"/>
    </cacheField>
    <cacheField name="CP hợp lý/không hợp lý" numFmtId="0">
      <sharedItems/>
    </cacheField>
    <cacheField name="Dr-Cr" numFmtId="38">
      <sharedItems containsSemiMixedTypes="0" containsString="0" containsNumber="1" containsInteger="1" minValue="-20233412317" maxValue="23752692863"/>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532.586560416668" createdVersion="8" refreshedVersion="8" minRefreshableVersion="3" recordCount="406" xr:uid="{F97F7DC5-F8C0-4D20-B55B-29E7E2F4D596}">
  <cacheSource type="worksheet">
    <worksheetSource ref="A2:L408" sheet="GL911.CTM.HY23"/>
  </cacheSource>
  <cacheFields count="12">
    <cacheField name="Ngày hạch toán" numFmtId="14">
      <sharedItems containsSemiMixedTypes="0" containsNonDate="0" containsDate="1" containsString="0" minDate="2023-01-31T00:00:00" maxDate="2023-07-01T00:00:00"/>
    </cacheField>
    <cacheField name="Ngày chứng từ" numFmtId="14">
      <sharedItems containsSemiMixedTypes="0" containsNonDate="0" containsDate="1" containsString="0" minDate="2023-01-31T00:00:00" maxDate="2023-07-01T00:00:00"/>
    </cacheField>
    <cacheField name="Số chứng từ" numFmtId="0">
      <sharedItems/>
    </cacheField>
    <cacheField name="Ngày hóa đơn" numFmtId="14">
      <sharedItems containsNonDate="0" containsString="0" containsBlank="1"/>
    </cacheField>
    <cacheField name="Số hóa đơn" numFmtId="0">
      <sharedItems containsNonDate="0" containsString="0" containsBlank="1"/>
    </cacheField>
    <cacheField name="Diễn giải chung" numFmtId="0">
      <sharedItems containsNonDate="0" containsString="0" containsBlank="1"/>
    </cacheField>
    <cacheField name="Diễn giải" numFmtId="0">
      <sharedItems/>
    </cacheField>
    <cacheField name="Tài khoản" numFmtId="0">
      <sharedItems/>
    </cacheField>
    <cacheField name="TK đối ứng" numFmtId="0">
      <sharedItems count="79">
        <s v="5113.01"/>
        <s v="5113.02"/>
        <s v="5113.03"/>
        <s v="5113.05"/>
        <s v="5113.08"/>
        <s v="5113.10"/>
        <s v="5113.12"/>
        <s v="5113.13"/>
        <s v="5113.15"/>
        <s v="5113.16"/>
        <s v="5151"/>
        <s v="5152"/>
        <s v="5153.01"/>
        <s v="5153.02"/>
        <s v="5153.03"/>
        <s v="5158"/>
        <s v="632"/>
        <s v="6351"/>
        <s v="6352"/>
        <s v="6353.01"/>
        <s v="6353.03"/>
        <s v="64111"/>
        <s v="64112"/>
        <s v="6413"/>
        <s v="6414"/>
        <s v="6417.01"/>
        <s v="6417.02"/>
        <s v="6417.03"/>
        <s v="6417.05"/>
        <s v="6417.06"/>
        <s v="6417.07"/>
        <s v="6417.11"/>
        <s v="6417.12"/>
        <s v="6418.01"/>
        <s v="64211"/>
        <s v="64212"/>
        <s v="64213"/>
        <s v="6423"/>
        <s v="6424"/>
        <s v="6425"/>
        <s v="6427.01"/>
        <s v="6427.02"/>
        <s v="6427.03"/>
        <s v="6427.04"/>
        <s v="6427.06"/>
        <s v="6427.07"/>
        <s v="6427.09"/>
        <s v="6427.10"/>
        <s v="6427.11"/>
        <s v="6427.12"/>
        <s v="6427.13"/>
        <s v="6427.15"/>
        <s v="6427.16"/>
        <s v="6427.18"/>
        <s v="6427.19"/>
        <s v="6427.20"/>
        <s v="6427.21"/>
        <s v="6427.22"/>
        <s v="6427.23"/>
        <s v="6427.26"/>
        <s v="6427.28"/>
        <s v="6428.01"/>
        <s v="6428.03"/>
        <s v="711"/>
        <s v="811"/>
        <s v="4212"/>
        <s v="6358"/>
        <s v="64113"/>
        <s v="6418.02"/>
        <s v="6427.05"/>
        <s v="6427.14"/>
        <s v="6417.14"/>
        <s v="6427.24"/>
        <s v="5113.17"/>
        <s v="5156"/>
        <s v="6428.02"/>
        <s v="6427.08"/>
        <s v="6356"/>
        <s v="6427.17"/>
      </sharedItems>
    </cacheField>
    <cacheField name="3 so" numFmtId="0">
      <sharedItems containsNonDate="0" containsString="0" containsBlank="1"/>
    </cacheField>
    <cacheField name="Phát sinh Nợ" numFmtId="38">
      <sharedItems containsSemiMixedTypes="0" containsString="0" containsNumber="1" containsInteger="1" minValue="0" maxValue="14924789375"/>
    </cacheField>
    <cacheField name="Phát sinh Có" numFmtId="38">
      <sharedItems containsSemiMixedTypes="0" containsString="0" containsNumber="1" containsInteger="1" minValue="0" maxValue="19843228913"/>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532.593983217594" createdVersion="8" refreshedVersion="8" minRefreshableVersion="3" recordCount="87" xr:uid="{ED28E714-FB56-4939-A3F3-AC960ED4C312}">
  <cacheSource type="worksheet">
    <worksheetSource ref="A2:Q89" sheet="GL154.CTM.HY23"/>
  </cacheSource>
  <cacheFields count="17">
    <cacheField name="Ngày hạch toán" numFmtId="14">
      <sharedItems containsSemiMixedTypes="0" containsNonDate="0" containsDate="1" containsString="0" minDate="2023-01-31T00:00:00" maxDate="2023-07-01T00:00:00"/>
    </cacheField>
    <cacheField name="Ngày chứng từ" numFmtId="14">
      <sharedItems containsSemiMixedTypes="0" containsNonDate="0" containsDate="1" containsString="0" minDate="2023-01-31T00:00:00" maxDate="2023-07-01T00:00:00"/>
    </cacheField>
    <cacheField name="Số chứng từ" numFmtId="0">
      <sharedItems/>
    </cacheField>
    <cacheField name="Ngày hóa đơn" numFmtId="14">
      <sharedItems containsNonDate="0" containsString="0" containsBlank="1"/>
    </cacheField>
    <cacheField name="Số hóa đơn" numFmtId="0">
      <sharedItems containsNonDate="0" containsString="0" containsBlank="1"/>
    </cacheField>
    <cacheField name="Diễn giải chung" numFmtId="0">
      <sharedItems/>
    </cacheField>
    <cacheField name="Diễn giải" numFmtId="0">
      <sharedItems/>
    </cacheField>
    <cacheField name="Tài khoản" numFmtId="0">
      <sharedItems/>
    </cacheField>
    <cacheField name="TK đối ứng" numFmtId="0">
      <sharedItems count="16">
        <s v="6273"/>
        <s v="6274"/>
        <s v="6277.01"/>
        <s v="6277.03"/>
        <s v="6277.05"/>
        <s v="6277.07"/>
        <s v="6277.09"/>
        <s v="6277.10"/>
        <s v="6277.11"/>
        <s v="6277.13"/>
        <s v="6277.14"/>
        <s v="6277.15"/>
        <s v="6277.16"/>
        <s v="6277.17"/>
        <s v="6278"/>
        <s v="632"/>
      </sharedItems>
    </cacheField>
    <cacheField name="Phát sinh Nợ" numFmtId="38">
      <sharedItems containsSemiMixedTypes="0" containsString="0" containsNumber="1" containsInteger="1" minValue="0" maxValue="1263823115"/>
    </cacheField>
    <cacheField name="Phát sinh Có" numFmtId="38">
      <sharedItems containsSemiMixedTypes="0" containsString="0" containsNumber="1" containsInteger="1" minValue="0" maxValue="1973427856"/>
    </cacheField>
    <cacheField name="Mã đối tượng" numFmtId="0">
      <sharedItems containsNonDate="0" containsString="0" containsBlank="1"/>
    </cacheField>
    <cacheField name="Tên đối tượng" numFmtId="0">
      <sharedItems containsNonDate="0" containsString="0" containsBlank="1"/>
    </cacheField>
    <cacheField name="Mã khoản mục CP" numFmtId="0">
      <sharedItems containsNonDate="0" containsString="0" containsBlank="1"/>
    </cacheField>
    <cacheField name="Mã thống kê" numFmtId="0">
      <sharedItems containsNonDate="0" containsString="0" containsBlank="1"/>
    </cacheField>
    <cacheField name="Tên thống kê" numFmtId="0">
      <sharedItems containsNonDate="0" containsString="0" containsBlank="1"/>
    </cacheField>
    <cacheField name="CP hợp lý/không hợp lý"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698.759155671294" createdVersion="8" refreshedVersion="8" minRefreshableVersion="3" recordCount="161" xr:uid="{61543814-7D46-4ED2-A504-2979F2385F8C}">
  <cacheSource type="worksheet">
    <worksheetSource ref="A6:N167" sheet="GL911.CtyCon.FY24"/>
  </cacheSource>
  <cacheFields count="14">
    <cacheField name="Ngày hạch toán" numFmtId="0">
      <sharedItems containsNonDate="0" containsDate="1" containsString="0" containsBlank="1" minDate="2024-01-31T00:00:00" maxDate="2025-01-01T00:00:00"/>
    </cacheField>
    <cacheField name="Ngày chứng từ" numFmtId="0">
      <sharedItems containsNonDate="0" containsDate="1" containsString="0" containsBlank="1" minDate="2024-01-31T00:00:00" maxDate="2025-01-01T00:00:00"/>
    </cacheField>
    <cacheField name="Số chứng từ" numFmtId="0">
      <sharedItems containsBlank="1"/>
    </cacheField>
    <cacheField name="Diễn giải chung" numFmtId="0">
      <sharedItems containsBlank="1"/>
    </cacheField>
    <cacheField name="Diễn giải" numFmtId="0">
      <sharedItems containsBlank="1"/>
    </cacheField>
    <cacheField name="Tài khoản" numFmtId="0">
      <sharedItems containsBlank="1"/>
    </cacheField>
    <cacheField name="TK đối ứng" numFmtId="0">
      <sharedItems containsBlank="1" count="22">
        <s v="5111"/>
        <s v="515"/>
        <s v="632"/>
        <s v="6418"/>
        <s v="6421.01"/>
        <s v="6421.02"/>
        <s v="6425"/>
        <s v="6427.01"/>
        <s v="6427.05"/>
        <s v="6427.06"/>
        <s v="4212"/>
        <s v="6427.02"/>
        <s v="811"/>
        <m/>
        <s v="6417.02" u="1"/>
        <s v="6417.03" u="1"/>
        <s v="6423" u="1"/>
        <s v="6427.07" u="1"/>
        <s v="6427.20" u="1"/>
        <s v="6428" u="1"/>
        <s v="635" u="1"/>
        <s v="6421.03" u="1"/>
      </sharedItems>
    </cacheField>
    <cacheField name="Phát sinh Nợ" numFmtId="0">
      <sharedItems containsString="0" containsBlank="1" containsNumber="1" containsInteger="1" minValue="0" maxValue="6358361554"/>
    </cacheField>
    <cacheField name="Phát sinh Có" numFmtId="0">
      <sharedItems containsString="0" containsBlank="1" containsNumber="1" containsInteger="1" minValue="0" maxValue="6498264255"/>
    </cacheField>
    <cacheField name="Mã đối tượng" numFmtId="0">
      <sharedItems containsNonDate="0" containsString="0" containsBlank="1"/>
    </cacheField>
    <cacheField name="Tên đối tượng" numFmtId="0">
      <sharedItems containsNonDate="0" containsString="0" containsBlank="1"/>
    </cacheField>
    <cacheField name="Mã thống kê" numFmtId="0">
      <sharedItems containsNonDate="0" containsString="0" containsBlank="1"/>
    </cacheField>
    <cacheField name="CP hợp lý/không hợp lý" numFmtId="0">
      <sharedItems containsBlank="1"/>
    </cacheField>
    <cacheField name="Dr-Cr" numFmtId="172">
      <sharedItems containsString="0" containsBlank="1" containsNumber="1" containsInteger="1" minValue="-6498264255" maxValue="6358361554"/>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699.375248495373" createdVersion="8" refreshedVersion="8" minRefreshableVersion="3" recordCount="34" xr:uid="{BDEFBF1B-C975-4A41-A2E5-648AEEB6E481}">
  <cacheSource type="worksheet">
    <worksheetSource ref="A5:L39" sheet="GL911.KCG.FY24"/>
  </cacheSource>
  <cacheFields count="12">
    <cacheField name="Ngày hạch toán" numFmtId="14">
      <sharedItems containsSemiMixedTypes="0" containsNonDate="0" containsDate="1" containsString="0" minDate="2024-01-31T00:00:00" maxDate="2025-01-01T00:00:00"/>
    </cacheField>
    <cacheField name="Ngày chứng từ" numFmtId="14">
      <sharedItems containsSemiMixedTypes="0" containsNonDate="0" containsDate="1" containsString="0" minDate="2024-01-31T00:00:00" maxDate="2025-01-01T00:00:00"/>
    </cacheField>
    <cacheField name="Số chứng từ" numFmtId="0">
      <sharedItems/>
    </cacheField>
    <cacheField name="Diễn giải" numFmtId="0">
      <sharedItems/>
    </cacheField>
    <cacheField name="Tài khoản" numFmtId="0">
      <sharedItems/>
    </cacheField>
    <cacheField name="TK đối ứng" numFmtId="0">
      <sharedItems containsMixedTypes="1" containsNumber="1" minValue="5151" maxValue="6427.28" count="6">
        <n v="5151"/>
        <s v="6425"/>
        <s v="4212"/>
        <n v="6427.28"/>
        <s v="515" u="1"/>
        <s v="6427" u="1"/>
      </sharedItems>
    </cacheField>
    <cacheField name="Phát sinh Nợ" numFmtId="38">
      <sharedItems containsSemiMixedTypes="0" containsString="0" containsNumber="1" containsInteger="1" minValue="0" maxValue="2000000"/>
    </cacheField>
    <cacheField name="Phát sinh Có" numFmtId="38">
      <sharedItems containsSemiMixedTypes="0" containsString="0" containsNumber="1" containsInteger="1" minValue="0" maxValue="1998036"/>
    </cacheField>
    <cacheField name="Mã đối tượng" numFmtId="0">
      <sharedItems containsNonDate="0" containsString="0" containsBlank="1"/>
    </cacheField>
    <cacheField name="Tên đối tượng" numFmtId="0">
      <sharedItems containsNonDate="0" containsString="0" containsBlank="1"/>
    </cacheField>
    <cacheField name="CP hợp lý/không hợp lý" numFmtId="0">
      <sharedItems containsBlank="1"/>
    </cacheField>
    <cacheField name="Dr-Cr" numFmtId="172">
      <sharedItems containsSemiMixedTypes="0" containsString="0" containsNumber="1" containsInteger="1" minValue="-1998036" maxValue="200000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699.407003935186" createdVersion="8" refreshedVersion="8" minRefreshableVersion="3" recordCount="59" xr:uid="{2A362724-02BD-4E98-B1B4-6955A177B319}">
  <cacheSource type="worksheet">
    <worksheetSource ref="A5:L64" sheet="GL911.XH.FY24"/>
  </cacheSource>
  <cacheFields count="12">
    <cacheField name="Ngày hạch toán" numFmtId="14">
      <sharedItems containsSemiMixedTypes="0" containsNonDate="0" containsDate="1" containsString="0" minDate="2024-01-31T00:00:00" maxDate="2025-01-01T00:00:00"/>
    </cacheField>
    <cacheField name="Ngày chứng từ" numFmtId="14">
      <sharedItems containsSemiMixedTypes="0" containsNonDate="0" containsDate="1" containsString="0" minDate="2024-01-31T00:00:00" maxDate="2025-01-01T00:00:00"/>
    </cacheField>
    <cacheField name="Số chứng từ" numFmtId="0">
      <sharedItems/>
    </cacheField>
    <cacheField name="Diễn giải" numFmtId="0">
      <sharedItems/>
    </cacheField>
    <cacheField name="Tài khoản" numFmtId="0">
      <sharedItems/>
    </cacheField>
    <cacheField name="TK đối ứng" numFmtId="0">
      <sharedItems count="9">
        <s v="5151"/>
        <s v="6423"/>
        <s v="6425"/>
        <s v="6427.21"/>
        <s v="4212"/>
        <s v="6427.04"/>
        <s v="5113"/>
        <s v="635"/>
        <s v="6428"/>
      </sharedItems>
    </cacheField>
    <cacheField name="Phát sinh Nợ" numFmtId="38">
      <sharedItems containsSemiMixedTypes="0" containsString="0" containsNumber="1" containsInteger="1" minValue="0" maxValue="8000000"/>
    </cacheField>
    <cacheField name="Phát sinh Có" numFmtId="38">
      <sharedItems containsSemiMixedTypes="0" containsString="0" containsNumber="1" containsInteger="1" minValue="0" maxValue="11666901"/>
    </cacheField>
    <cacheField name="Mã đối tượng" numFmtId="0">
      <sharedItems containsNonDate="0" containsString="0" containsBlank="1"/>
    </cacheField>
    <cacheField name="Tên đối tượng" numFmtId="0">
      <sharedItems containsNonDate="0" containsString="0" containsBlank="1"/>
    </cacheField>
    <cacheField name="CP hợp lý/không hợp lý" numFmtId="0">
      <sharedItems/>
    </cacheField>
    <cacheField name="Dr-Cr" numFmtId="172">
      <sharedItems containsSemiMixedTypes="0" containsString="0" containsNumber="1" containsInteger="1" minValue="-11666901" maxValue="8000000"/>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699.611893634261" createdVersion="8" refreshedVersion="8" minRefreshableVersion="3" recordCount="676" xr:uid="{38985C8C-3202-4F29-B3B5-71B3541A7AC9}">
  <cacheSource type="worksheet">
    <worksheetSource ref="A7:N683" sheet="GL911 VNSC FY24"/>
  </cacheSource>
  <cacheFields count="14">
    <cacheField name="1" numFmtId="0">
      <sharedItems containsNonDate="0" containsDate="1" containsString="0" containsBlank="1" minDate="2024-01-31T00:00:00" maxDate="2024-07-01T00:00:00"/>
    </cacheField>
    <cacheField name="2" numFmtId="0">
      <sharedItems/>
    </cacheField>
    <cacheField name="3" numFmtId="0">
      <sharedItems containsNonDate="0" containsString="0" containsBlank="1"/>
    </cacheField>
    <cacheField name="4" numFmtId="0">
      <sharedItems containsNonDate="0" containsString="0" containsBlank="1"/>
    </cacheField>
    <cacheField name="5" numFmtId="0">
      <sharedItems/>
    </cacheField>
    <cacheField name="6" numFmtId="0">
      <sharedItems/>
    </cacheField>
    <cacheField name="7" numFmtId="0">
      <sharedItems/>
    </cacheField>
    <cacheField name="8" numFmtId="3">
      <sharedItems containsSemiMixedTypes="0" containsString="0" containsNumber="1" containsInteger="1" minValue="2" maxValue="9881818182"/>
    </cacheField>
    <cacheField name="9" numFmtId="0">
      <sharedItems containsString="0" containsBlank="1" containsNumber="1" containsInteger="1" minValue="1" maxValue="1"/>
    </cacheField>
    <cacheField name="10" numFmtId="0">
      <sharedItems containsString="0" containsBlank="1" containsNumber="1" containsInteger="1" minValue="0" maxValue="0"/>
    </cacheField>
    <cacheField name="11" numFmtId="0">
      <sharedItems containsNonDate="0" containsString="0" containsBlank="1"/>
    </cacheField>
    <cacheField name="12" numFmtId="0">
      <sharedItems/>
    </cacheField>
    <cacheField name="13" numFmtId="0">
      <sharedItems count="98">
        <s v="51101020306"/>
        <s v="51101030201"/>
        <s v="63311"/>
        <s v="63312"/>
        <s v="63313"/>
        <s v="6331711"/>
        <s v="6331712"/>
        <s v="633173"/>
        <s v="633174"/>
        <s v="633175"/>
        <s v="63341"/>
        <s v="63345"/>
        <s v="64111"/>
        <s v="64112"/>
        <s v="6414"/>
        <s v="641702"/>
        <s v="641704"/>
        <s v="641802"/>
        <s v="641809"/>
        <s v="64211"/>
        <s v="64212"/>
        <s v="6422"/>
        <s v="6423"/>
        <s v="6424"/>
        <s v="6425"/>
        <s v="642701"/>
        <s v="642702"/>
        <s v="642703"/>
        <s v="642704"/>
        <s v="642706"/>
        <s v="642707"/>
        <s v="642708"/>
        <s v="642709"/>
        <s v="642710"/>
        <s v="642711"/>
        <s v="642712"/>
        <s v="642799"/>
        <s v="51101030203"/>
        <s v="63314"/>
        <s v="64131"/>
        <s v="641701"/>
        <s v="642899"/>
        <s v="8114"/>
        <s v="641801"/>
        <s v="63201010505"/>
        <s v="63201010301"/>
        <s v="63201020301"/>
        <s v="63208"/>
        <s v="6333312"/>
        <s v="6333311"/>
        <s v="6352"/>
        <s v="641703"/>
        <s v="64132"/>
        <s v="641705"/>
        <s v="641706"/>
        <s v="63201030306"/>
        <s v="63201030301"/>
        <s v="6322105"/>
        <s v="642801"/>
        <s v="642803"/>
        <s v="642716"/>
        <s v="642802"/>
        <s v="642805"/>
        <s v="642717"/>
        <s v="642713"/>
        <s v="642715"/>
        <s v="642714"/>
        <s v="642718"/>
        <s v="642804"/>
        <s v="51101010306"/>
        <s v="51101030202"/>
        <s v="511030101"/>
        <s v="511030201"/>
        <s v="5110501"/>
        <s v="5110508"/>
        <s v="5110801"/>
        <s v="5110802"/>
        <s v="51118"/>
        <s v="5152"/>
        <s v="7114"/>
        <s v="42112"/>
        <s v="42122"/>
        <s v="51101010505"/>
        <s v="5110701"/>
        <s v="5110208"/>
        <s v="51101010301"/>
        <s v="63201010406"/>
        <s v="633448"/>
        <s v="51101010305"/>
        <s v="63201030305"/>
        <s v="633178"/>
        <s v="51101010406"/>
        <s v="51101020104"/>
        <s v="51101020301"/>
        <s v="51101020305"/>
        <s v="51102010101"/>
        <s v="9111" u="1"/>
        <s v="91122" u="1"/>
      </sharedItems>
    </cacheField>
    <cacheField name="14" numFmtId="172">
      <sharedItems containsSemiMixedTypes="0" containsString="0" containsNumber="1" containsInteger="1" minValue="-9881818182" maxValue="8872727273"/>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41.470561805552" createdVersion="8" refreshedVersion="8" minRefreshableVersion="3" recordCount="54" xr:uid="{0D85E156-7987-4114-AFE7-6F6043EDB781}">
  <cacheSource type="worksheet">
    <worksheetSource ref="A1:J55" sheet="PhươngNH_Bút toán điều chỉnh EY"/>
  </cacheSource>
  <cacheFields count="10">
    <cacheField name="Công ty" numFmtId="0">
      <sharedItems/>
    </cacheField>
    <cacheField name="Ngày" numFmtId="0">
      <sharedItems/>
    </cacheField>
    <cacheField name="Số bút toán" numFmtId="0">
      <sharedItems containsNonDate="0" containsString="0" containsBlank="1"/>
    </cacheField>
    <cacheField name="Diễn giải" numFmtId="0">
      <sharedItems/>
    </cacheField>
    <cacheField name="TK nợ" numFmtId="0">
      <sharedItems containsSemiMixedTypes="0" containsString="0" containsNumber="1" minValue="3348" maxValue="64213" count="28">
        <n v="6421.01"/>
        <n v="6428"/>
        <n v="6417.02"/>
        <n v="6427.01"/>
        <n v="3348"/>
        <n v="6428.01"/>
        <n v="6427.19"/>
        <n v="64213"/>
        <n v="6417.05"/>
        <n v="6427.26"/>
        <n v="6427.02"/>
        <n v="6427.16"/>
        <n v="6427.15"/>
        <n v="6427.06"/>
        <n v="6427.12"/>
        <n v="6428.02"/>
        <n v="6277.07"/>
        <n v="6427.11"/>
        <n v="6427.04"/>
        <n v="6423"/>
        <n v="6427.05"/>
        <n v="6427.07"/>
        <n v="6427.21"/>
        <n v="6277.01"/>
        <n v="6277.09"/>
        <n v="6417.12"/>
        <n v="6427.2" u="1"/>
        <n v="6277.1" u="1"/>
      </sharedItems>
    </cacheField>
    <cacheField name="TK đối ứng" numFmtId="0">
      <sharedItems containsSemiMixedTypes="0" containsString="0" containsNumber="1" minValue="331.01" maxValue="3348" count="5">
        <n v="3341"/>
        <n v="1121"/>
        <n v="1331"/>
        <n v="3348"/>
        <n v="331.01"/>
      </sharedItems>
    </cacheField>
    <cacheField name="Số tiền" numFmtId="3">
      <sharedItems containsSemiMixedTypes="0" containsString="0" containsNumber="1" containsInteger="1" minValue="37" maxValue="2315405"/>
    </cacheField>
    <cacheField name="Đối tượng Nợ" numFmtId="0">
      <sharedItems containsBlank="1"/>
    </cacheField>
    <cacheField name="Đối tượng Có" numFmtId="0">
      <sharedItems containsBlank="1"/>
    </cacheField>
    <cacheField name="Filter" numFmtId="0">
      <sharedItems count="3">
        <s v="cũ"/>
        <s v="bỏ"/>
        <s v="mớ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
  <r>
    <d v="2022-01-31T00:00:00"/>
    <s v="PK1"/>
    <s v="K/C-2201-20"/>
    <s v="Bút toán K/c tháng( 1/2022)"/>
    <x v="0"/>
    <x v="0"/>
    <n v="-1132139187"/>
    <s v=""/>
    <s v="PK3"/>
  </r>
  <r>
    <d v="2022-01-31T00:00:00"/>
    <s v="PK1"/>
    <s v="K/C-2201-4"/>
    <s v="Bút toán K/c tháng( 1/2022)"/>
    <x v="0"/>
    <x v="1"/>
    <n v="5000000"/>
    <s v=""/>
    <s v="PK3"/>
  </r>
  <r>
    <d v="2022-01-31T00:00:00"/>
    <s v="PK1"/>
    <s v="K/C-2201-9"/>
    <s v="Bút toán K/c tháng( 1/2022)"/>
    <x v="0"/>
    <x v="2"/>
    <n v="7364487"/>
    <s v=""/>
    <s v="PK3"/>
  </r>
  <r>
    <d v="2022-01-31T00:00:00"/>
    <s v="PK1"/>
    <s v="K/C-2201-9"/>
    <s v="Bút toán K/c tháng( 1/2022)"/>
    <x v="0"/>
    <x v="3"/>
    <n v="-1100000"/>
    <s v=""/>
    <s v="PK3"/>
  </r>
  <r>
    <d v="2022-01-31T00:00:00"/>
    <s v="PK1"/>
    <s v="K/C-2201-9"/>
    <s v="Bút toán K/c tháng( 1/2022)"/>
    <x v="0"/>
    <x v="4"/>
    <n v="236365285"/>
    <s v=""/>
    <s v="PK3"/>
  </r>
  <r>
    <d v="2022-01-31T00:00:00"/>
    <s v="PK1"/>
    <s v="K/C-2201-9"/>
    <s v="Bút toán K/c tháng( 1/2022)"/>
    <x v="0"/>
    <x v="5"/>
    <n v="732690508"/>
    <s v=""/>
    <s v="PK3"/>
  </r>
  <r>
    <d v="2022-01-31T00:00:00"/>
    <s v="PK1"/>
    <s v="K/C-2201-9"/>
    <s v="Bút toán K/c tháng( 1/2022)"/>
    <x v="0"/>
    <x v="6"/>
    <n v="20640000"/>
    <s v=""/>
    <s v="PK3"/>
  </r>
  <r>
    <d v="2022-01-31T00:00:00"/>
    <s v="PK1"/>
    <s v="K/C-2201-9"/>
    <s v="Bút toán K/c tháng( 1/2022)"/>
    <x v="0"/>
    <x v="7"/>
    <n v="1300636"/>
    <s v=""/>
    <s v="PK3"/>
  </r>
  <r>
    <d v="2022-01-31T00:00:00"/>
    <s v="PK1"/>
    <s v="K/C-2201-9"/>
    <s v="Bút toán K/c tháng( 1/2022)"/>
    <x v="0"/>
    <x v="8"/>
    <n v="23326813"/>
    <s v=""/>
    <s v="PK3"/>
  </r>
  <r>
    <d v="2022-01-31T00:00:00"/>
    <s v="PK1"/>
    <s v="K/C-2201-9"/>
    <s v="Bút toán K/c tháng( 1/2022)"/>
    <x v="0"/>
    <x v="9"/>
    <n v="18082090"/>
    <s v=""/>
    <s v="PK3"/>
  </r>
  <r>
    <d v="2022-01-31T00:00:00"/>
    <s v="PK1"/>
    <s v="K/C-2201-9"/>
    <s v="Bút toán K/c tháng( 1/2022)"/>
    <x v="0"/>
    <x v="10"/>
    <n v="5109191"/>
    <s v=""/>
    <s v="PK3"/>
  </r>
  <r>
    <d v="2022-01-31T00:00:00"/>
    <s v="PK1"/>
    <s v="K/C-2201-9"/>
    <s v="Bút toán K/c tháng( 1/2022)"/>
    <x v="0"/>
    <x v="11"/>
    <n v="1574545"/>
    <s v=""/>
    <s v="PK3"/>
  </r>
  <r>
    <d v="2022-01-31T00:00:00"/>
    <s v="PK1"/>
    <s v="K/C-2201-9"/>
    <s v="Bút toán K/c tháng( 1/2022)"/>
    <x v="0"/>
    <x v="12"/>
    <n v="9090909"/>
    <s v=""/>
    <s v="PK3"/>
  </r>
  <r>
    <d v="2022-01-31T00:00:00"/>
    <s v="PK1"/>
    <s v="K/C-2201-9"/>
    <s v="Bút toán K/c tháng( 1/2022)"/>
    <x v="0"/>
    <x v="13"/>
    <n v="79141414"/>
    <s v=""/>
    <s v="PK3"/>
  </r>
  <r>
    <d v="2022-02-28T00:00:00"/>
    <s v="PK1"/>
    <s v="K/C-2202-20"/>
    <s v="Bút toán K/c tháng( 2/2022)"/>
    <x v="0"/>
    <x v="0"/>
    <n v="-842057281"/>
    <s v=""/>
    <s v="PK3"/>
  </r>
  <r>
    <d v="2022-02-28T00:00:00"/>
    <s v="PK1"/>
    <s v="K/C-2202-4"/>
    <s v="Bút toán K/c tháng( 2/2022)"/>
    <x v="0"/>
    <x v="1"/>
    <n v="5000000"/>
    <s v=""/>
    <s v="PK3"/>
  </r>
  <r>
    <d v="2022-02-28T00:00:00"/>
    <s v="PK1"/>
    <s v="K/C-2202-9"/>
    <s v="Bút toán K/c tháng( 2/2022)"/>
    <x v="0"/>
    <x v="5"/>
    <n v="708202111"/>
    <s v=""/>
    <s v="PK3"/>
  </r>
  <r>
    <d v="2022-02-28T00:00:00"/>
    <s v="PK1"/>
    <s v="K/C-2202-9"/>
    <s v="Bút toán K/c tháng( 2/2022)"/>
    <x v="0"/>
    <x v="6"/>
    <n v="20640000"/>
    <s v=""/>
    <s v="PK3"/>
  </r>
  <r>
    <d v="2022-02-28T00:00:00"/>
    <s v="PK1"/>
    <s v="K/C-2202-9"/>
    <s v="Bút toán K/c tháng( 2/2022)"/>
    <x v="0"/>
    <x v="7"/>
    <n v="372637"/>
    <s v=""/>
    <s v="PK3"/>
  </r>
  <r>
    <d v="2022-02-28T00:00:00"/>
    <s v="PK1"/>
    <s v="K/C-2202-9"/>
    <s v="Bút toán K/c tháng( 2/2022)"/>
    <x v="0"/>
    <x v="8"/>
    <n v="23326813"/>
    <s v=""/>
    <s v="PK3"/>
  </r>
  <r>
    <d v="2022-02-28T00:00:00"/>
    <s v="PK1"/>
    <s v="K/C-2202-9"/>
    <s v="Bút toán K/c tháng( 2/2022)"/>
    <x v="0"/>
    <x v="9"/>
    <n v="18082090"/>
    <s v=""/>
    <s v="PK3"/>
  </r>
  <r>
    <d v="2022-02-28T00:00:00"/>
    <s v="PK1"/>
    <s v="K/C-2202-9"/>
    <s v="Bút toán K/c tháng( 2/2022)"/>
    <x v="0"/>
    <x v="10"/>
    <n v="5109191"/>
    <s v=""/>
    <s v="PK3"/>
  </r>
  <r>
    <d v="2022-02-28T00:00:00"/>
    <s v="PK1"/>
    <s v="K/C-2202-9"/>
    <s v="Bút toán K/c tháng( 2/2022)"/>
    <x v="0"/>
    <x v="13"/>
    <n v="79141414"/>
    <s v=""/>
    <s v="PK3"/>
  </r>
  <r>
    <d v="2022-02-28T00:00:00"/>
    <s v="PK1"/>
    <s v="K/C-2202-9"/>
    <s v="Bút toán K/c tháng( 2/2022)"/>
    <x v="0"/>
    <x v="4"/>
    <n v="215361420"/>
    <s v=""/>
    <s v="PK3"/>
  </r>
  <r>
    <d v="2022-03-31T00:00:00"/>
    <s v="PK1"/>
    <s v="K/C-2203-20"/>
    <s v="Bút toán K/c tháng( 3/2022)"/>
    <x v="0"/>
    <x v="0"/>
    <n v="-853319381"/>
    <s v=""/>
    <s v="PK3"/>
  </r>
  <r>
    <d v="2022-03-31T00:00:00"/>
    <s v="PK1"/>
    <s v="K/C-2203-4"/>
    <s v="Bút toán K/c tháng( 3/2022)"/>
    <x v="0"/>
    <x v="1"/>
    <n v="5000000"/>
    <s v=""/>
    <s v="PK3"/>
  </r>
  <r>
    <d v="2022-03-31T00:00:00"/>
    <s v="PK1"/>
    <s v="K/C-2203-6"/>
    <s v="Bút toán K/c tháng( 3/2022)"/>
    <x v="0"/>
    <x v="14"/>
    <n v="19335259"/>
    <s v=""/>
    <s v="PK3"/>
  </r>
  <r>
    <d v="2022-03-31T00:00:00"/>
    <s v="PK1"/>
    <s v="K/C-2203-9"/>
    <s v="Bút toán K/c tháng( 3/2022)"/>
    <x v="0"/>
    <x v="6"/>
    <n v="21600000"/>
    <s v=""/>
    <s v="PK3"/>
  </r>
  <r>
    <d v="2022-03-31T00:00:00"/>
    <s v="PK1"/>
    <s v="K/C-2203-9"/>
    <s v="Bút toán K/c tháng( 3/2022)"/>
    <x v="0"/>
    <x v="5"/>
    <n v="721031493"/>
    <s v=""/>
    <s v="PK3"/>
  </r>
  <r>
    <d v="2022-03-31T00:00:00"/>
    <s v="PK1"/>
    <s v="K/C-2203-9"/>
    <s v="Bút toán K/c tháng( 3/2022)"/>
    <x v="0"/>
    <x v="8"/>
    <n v="23326813"/>
    <s v=""/>
    <s v="PK3"/>
  </r>
  <r>
    <d v="2022-03-31T00:00:00"/>
    <s v="PK1"/>
    <s v="K/C-2203-9"/>
    <s v="Bút toán K/c tháng( 3/2022)"/>
    <x v="0"/>
    <x v="9"/>
    <n v="18082090"/>
    <s v=""/>
    <s v="PK3"/>
  </r>
  <r>
    <d v="2022-03-31T00:00:00"/>
    <s v="PK1"/>
    <s v="K/C-2203-9"/>
    <s v="Bút toán K/c tháng( 3/2022)"/>
    <x v="0"/>
    <x v="10"/>
    <n v="5109191"/>
    <s v=""/>
    <s v="PK3"/>
  </r>
  <r>
    <d v="2022-03-31T00:00:00"/>
    <s v="PK1"/>
    <s v="K/C-2203-9"/>
    <s v="Bút toán K/c tháng( 3/2022)"/>
    <x v="0"/>
    <x v="13"/>
    <n v="139141414"/>
    <s v=""/>
    <s v="PK3"/>
  </r>
  <r>
    <d v="2022-03-31T00:00:00"/>
    <s v="PK1"/>
    <s v="K/C-2203-9"/>
    <s v="Bút toán K/c tháng( 3/2022)"/>
    <x v="0"/>
    <x v="15"/>
    <n v="12016977"/>
    <s v=""/>
    <s v="PK3"/>
  </r>
  <r>
    <d v="2022-03-31T00:00:00"/>
    <s v="PK1"/>
    <s v="K/C-2203-9"/>
    <s v="Bút toán K/c tháng( 3/2022)"/>
    <x v="0"/>
    <x v="4"/>
    <n v="217244320"/>
    <s v=""/>
    <s v="PK3"/>
  </r>
  <r>
    <d v="2022-04-30T00:00:00"/>
    <s v="PK1"/>
    <s v="K/C-2204-20"/>
    <s v="Bút toán K/c tháng( 4/2022)"/>
    <x v="0"/>
    <x v="0"/>
    <n v="-370166283"/>
    <s v=""/>
    <s v="PK3"/>
  </r>
  <r>
    <d v="2022-04-30T00:00:00"/>
    <s v="PK1"/>
    <s v="K/C-2204-6"/>
    <s v="Bút toán K/c tháng( 4/2022)"/>
    <x v="0"/>
    <x v="16"/>
    <n v="10000000"/>
    <s v=""/>
    <s v="PK3"/>
  </r>
  <r>
    <d v="2022-04-30T00:00:00"/>
    <s v="PK1"/>
    <s v="K/C-2204-9"/>
    <s v="Bút toán K/c tháng( 4/2022)"/>
    <x v="0"/>
    <x v="5"/>
    <n v="332161232"/>
    <s v=""/>
    <s v="PK3"/>
  </r>
  <r>
    <d v="2022-04-30T00:00:00"/>
    <s v="PK1"/>
    <s v="K/C-2204-9"/>
    <s v="Bút toán K/c tháng( 4/2022)"/>
    <x v="0"/>
    <x v="8"/>
    <n v="-25967888"/>
    <s v=""/>
    <s v="PK3"/>
  </r>
  <r>
    <d v="2022-04-30T00:00:00"/>
    <s v="PK1"/>
    <s v="K/C-2204-9"/>
    <s v="Bút toán K/c tháng( 4/2022)"/>
    <x v="0"/>
    <x v="9"/>
    <n v="38082090"/>
    <s v=""/>
    <s v="PK3"/>
  </r>
  <r>
    <d v="2022-04-30T00:00:00"/>
    <s v="PK1"/>
    <s v="K/C-2204-9"/>
    <s v="Bút toán K/c tháng( 4/2022)"/>
    <x v="0"/>
    <x v="10"/>
    <n v="5109191"/>
    <s v=""/>
    <s v="PK3"/>
  </r>
  <r>
    <d v="2022-04-30T00:00:00"/>
    <s v="PK1"/>
    <s v="K/C-2204-9"/>
    <s v="Bút toán K/c tháng( 4/2022)"/>
    <x v="0"/>
    <x v="13"/>
    <n v="79141414"/>
    <s v=""/>
    <s v="PK3"/>
  </r>
  <r>
    <d v="2022-04-30T00:00:00"/>
    <s v="PK1"/>
    <s v="K/C-2204-9"/>
    <s v="Bút toán K/c tháng( 4/2022)"/>
    <x v="0"/>
    <x v="15"/>
    <n v="9055453"/>
    <s v=""/>
    <s v="PK3"/>
  </r>
  <r>
    <d v="2022-04-30T00:00:00"/>
    <s v="PK1"/>
    <s v="K/C-2204-9"/>
    <s v="Bút toán K/c tháng( 4/2022)"/>
    <x v="0"/>
    <x v="2"/>
    <n v="10830556"/>
    <s v=""/>
    <s v="PK3"/>
  </r>
  <r>
    <d v="2022-04-30T00:00:00"/>
    <s v="PK1"/>
    <s v="K/C-2204-9"/>
    <s v="Bút toán K/c tháng( 4/2022)"/>
    <x v="0"/>
    <x v="17"/>
    <n v="1680000"/>
    <s v=""/>
    <s v="PK3"/>
  </r>
  <r>
    <d v="2022-04-30T00:00:00"/>
    <s v="PK1"/>
    <s v="K/C-2204-9"/>
    <s v="Bút toán K/c tháng( 4/2022)"/>
    <x v="0"/>
    <x v="3"/>
    <n v="1824798"/>
    <s v=""/>
    <s v="PK3"/>
  </r>
  <r>
    <d v="2022-04-30T00:00:00"/>
    <s v="PK1"/>
    <s v="K/C-2204-9"/>
    <s v="Bút toán K/c tháng( 4/2022)"/>
    <x v="0"/>
    <x v="4"/>
    <n v="145668938"/>
    <s v=""/>
    <s v="PK3"/>
  </r>
  <r>
    <d v="2022-05-31T00:00:00"/>
    <s v="PK1"/>
    <s v="K/C-2205-20"/>
    <s v="Bút toán K/c tháng( 5/2022)"/>
    <x v="0"/>
    <x v="0"/>
    <n v="-1518770368"/>
    <s v=""/>
    <s v="PK3"/>
  </r>
  <r>
    <d v="2022-05-31T00:00:00"/>
    <s v="PK1"/>
    <s v="K/C-2205-4"/>
    <s v="Bút toán K/c tháng( 5/2022)"/>
    <x v="0"/>
    <x v="1"/>
    <n v="5000000"/>
    <s v=""/>
    <s v="PK3"/>
  </r>
  <r>
    <d v="2022-05-31T00:00:00"/>
    <s v="PK1"/>
    <s v="K/C-2205-9"/>
    <s v="Bút toán K/c tháng( 5/2022)"/>
    <x v="0"/>
    <x v="5"/>
    <n v="1281364618"/>
    <s v=""/>
    <s v="PK3"/>
  </r>
  <r>
    <d v="2022-05-31T00:00:00"/>
    <s v="PK1"/>
    <s v="K/C-2205-9"/>
    <s v="Bút toán K/c tháng( 5/2022)"/>
    <x v="0"/>
    <x v="6"/>
    <n v="45120000"/>
    <s v=""/>
    <s v="PK3"/>
  </r>
  <r>
    <d v="2022-05-31T00:00:00"/>
    <s v="PK1"/>
    <s v="K/C-2205-9"/>
    <s v="Bút toán K/c tháng( 5/2022)"/>
    <x v="0"/>
    <x v="8"/>
    <n v="6959597"/>
    <s v=""/>
    <s v="PK3"/>
  </r>
  <r>
    <d v="2022-05-31T00:00:00"/>
    <s v="PK1"/>
    <s v="K/C-2205-9"/>
    <s v="Bút toán K/c tháng( 5/2022)"/>
    <x v="0"/>
    <x v="9"/>
    <n v="18082090"/>
    <s v=""/>
    <s v="PK3"/>
  </r>
  <r>
    <d v="2022-05-31T00:00:00"/>
    <s v="PK1"/>
    <s v="K/C-2205-9"/>
    <s v="Bút toán K/c tháng( 5/2022)"/>
    <x v="0"/>
    <x v="10"/>
    <n v="5109191"/>
    <s v=""/>
    <s v="PK3"/>
  </r>
  <r>
    <d v="2022-05-31T00:00:00"/>
    <s v="PK1"/>
    <s v="K/C-2205-9"/>
    <s v="Bút toán K/c tháng( 5/2022)"/>
    <x v="0"/>
    <x v="12"/>
    <n v="54166214"/>
    <s v=""/>
    <s v="PK3"/>
  </r>
  <r>
    <d v="2022-05-31T00:00:00"/>
    <s v="PK1"/>
    <s v="K/C-2205-9"/>
    <s v="Bút toán K/c tháng( 5/2022)"/>
    <x v="0"/>
    <x v="13"/>
    <n v="79141414"/>
    <s v=""/>
    <s v="PK3"/>
  </r>
  <r>
    <d v="2022-05-31T00:00:00"/>
    <s v="PK1"/>
    <s v="K/C-2205-9"/>
    <s v="Bút toán K/c tháng( 5/2022)"/>
    <x v="0"/>
    <x v="15"/>
    <n v="4522350"/>
    <s v=""/>
    <s v="PK3"/>
  </r>
  <r>
    <d v="2022-05-31T00:00:00"/>
    <s v="PK1"/>
    <s v="K/C-2205-9"/>
    <s v="Bút toán K/c tháng( 5/2022)"/>
    <x v="0"/>
    <x v="2"/>
    <n v="2777778"/>
    <s v=""/>
    <s v="PK3"/>
  </r>
  <r>
    <d v="2022-05-31T00:00:00"/>
    <s v="PK1"/>
    <s v="K/C-2205-9"/>
    <s v="Bút toán K/c tháng( 5/2022)"/>
    <x v="0"/>
    <x v="3"/>
    <n v="851300"/>
    <s v=""/>
    <s v="PK3"/>
  </r>
  <r>
    <d v="2022-05-31T00:00:00"/>
    <s v="PK1"/>
    <s v="K/C-2205-9"/>
    <s v="Bút toán K/c tháng( 5/2022)"/>
    <x v="0"/>
    <x v="4"/>
    <n v="257655545"/>
    <s v=""/>
    <s v="PK3"/>
  </r>
  <r>
    <d v="2022-05-31T00:00:00"/>
    <s v="PK1"/>
    <s v="K/C-2205-9"/>
    <s v="Bút toán K/c tháng( 5/2022)"/>
    <x v="0"/>
    <x v="18"/>
    <n v="27000000"/>
    <s v=""/>
    <s v="PK3"/>
  </r>
  <r>
    <d v="2022-06-30T00:00:00"/>
    <s v="PK1"/>
    <s v="K/C-2206-20"/>
    <s v="Bút toán K/c tháng( 6/2022)"/>
    <x v="0"/>
    <x v="0"/>
    <n v="-233152513"/>
    <s v=""/>
    <s v="PK3"/>
  </r>
  <r>
    <d v="2022-06-30T00:00:00"/>
    <s v="PK1"/>
    <s v="K/C-2206-9"/>
    <s v="Bút toán K/c tháng( 6/2022)"/>
    <x v="0"/>
    <x v="5"/>
    <n v="513694608"/>
    <s v=""/>
    <s v="PK3"/>
  </r>
  <r>
    <d v="2022-06-30T00:00:00"/>
    <s v="PK1"/>
    <s v="K/C-2206-9"/>
    <s v="Bút toán K/c tháng( 6/2022)"/>
    <x v="0"/>
    <x v="6"/>
    <n v="48075492"/>
    <s v=""/>
    <s v="PK3"/>
  </r>
  <r>
    <d v="2022-06-30T00:00:00"/>
    <s v="PK1"/>
    <s v="K/C-2206-9"/>
    <s v="Bút toán K/c tháng( 6/2022)"/>
    <x v="0"/>
    <x v="7"/>
    <n v="10650000"/>
    <s v=""/>
    <s v="PK3"/>
  </r>
  <r>
    <d v="2022-06-30T00:00:00"/>
    <s v="PK1"/>
    <s v="K/C-2206-9"/>
    <s v="Bút toán K/c tháng( 6/2022)"/>
    <x v="0"/>
    <x v="8"/>
    <n v="12229597"/>
    <s v=""/>
    <s v="PK3"/>
  </r>
  <r>
    <d v="2022-06-30T00:00:00"/>
    <s v="PK1"/>
    <s v="K/C-2206-9"/>
    <s v="Bút toán K/c tháng( 6/2022)"/>
    <x v="0"/>
    <x v="9"/>
    <n v="28082090"/>
    <s v=""/>
    <s v="PK3"/>
  </r>
  <r>
    <d v="2022-06-30T00:00:00"/>
    <s v="PK1"/>
    <s v="K/C-2206-9"/>
    <s v="Bút toán K/c tháng( 6/2022)"/>
    <x v="0"/>
    <x v="10"/>
    <n v="5109191"/>
    <s v=""/>
    <s v="PK3"/>
  </r>
  <r>
    <d v="2022-06-30T00:00:00"/>
    <s v="PK1"/>
    <s v="K/C-2206-9"/>
    <s v="Bút toán K/c tháng( 6/2022)"/>
    <x v="0"/>
    <x v="11"/>
    <n v="3095091"/>
    <s v=""/>
    <s v="PK3"/>
  </r>
  <r>
    <d v="2022-06-30T00:00:00"/>
    <s v="PK1"/>
    <s v="K/C-2206-9"/>
    <s v="Bút toán K/c tháng( 6/2022)"/>
    <x v="0"/>
    <x v="12"/>
    <n v="54166214"/>
    <s v=""/>
    <s v="PK3"/>
  </r>
  <r>
    <d v="2022-06-30T00:00:00"/>
    <s v="PK1"/>
    <s v="K/C-2206-9"/>
    <s v="Bút toán K/c tháng( 6/2022)"/>
    <x v="0"/>
    <x v="13"/>
    <n v="79141414"/>
    <s v=""/>
    <s v="PK3"/>
  </r>
  <r>
    <d v="2022-06-30T00:00:00"/>
    <s v="PK1"/>
    <s v="K/C-2206-9"/>
    <s v="Bút toán K/c tháng( 6/2022)"/>
    <x v="0"/>
    <x v="15"/>
    <n v="8842150"/>
    <s v=""/>
    <s v="PK3"/>
  </r>
  <r>
    <d v="2022-06-30T00:00:00"/>
    <s v="PK1"/>
    <s v="K/C-2206-9"/>
    <s v="Bút toán K/c tháng( 6/2022)"/>
    <x v="0"/>
    <x v="4"/>
    <n v="-305909486"/>
    <s v=""/>
    <s v="PK3"/>
  </r>
  <r>
    <d v="2022-06-30T00:00:00"/>
    <s v="PK1"/>
    <s v="K/C-2206-9"/>
    <s v="Bút toán K/c tháng( 6/2022)"/>
    <x v="0"/>
    <x v="18"/>
    <n v="27000000"/>
    <s v=""/>
    <s v="PK3"/>
  </r>
  <r>
    <d v="2022-07-31T00:00:00"/>
    <s v="PK1"/>
    <s v="K/C-2207-20"/>
    <s v="Bút toán K/c tháng( 7/2022)"/>
    <x v="0"/>
    <x v="0"/>
    <n v="-694692836"/>
    <s v=""/>
    <s v="PK3"/>
  </r>
  <r>
    <d v="2022-07-31T00:00:00"/>
    <s v="PK1"/>
    <s v="K/C-2207-4"/>
    <s v="Bút toán K/c tháng( 7/2022)"/>
    <x v="0"/>
    <x v="1"/>
    <n v="5000000"/>
    <s v=""/>
    <s v="PK3"/>
  </r>
  <r>
    <d v="2022-07-31T00:00:00"/>
    <s v="PK1"/>
    <s v="K/C-2207-9"/>
    <s v="Bút toán K/c tháng( 7/2022)"/>
    <x v="0"/>
    <x v="5"/>
    <n v="576044576"/>
    <s v=""/>
    <s v="PK3"/>
  </r>
  <r>
    <d v="2022-07-31T00:00:00"/>
    <s v="PK1"/>
    <s v="K/C-2207-9"/>
    <s v="Bút toán K/c tháng( 7/2022)"/>
    <x v="0"/>
    <x v="6"/>
    <n v="23280000"/>
    <s v=""/>
    <s v="PK3"/>
  </r>
  <r>
    <d v="2022-07-31T00:00:00"/>
    <s v="PK1"/>
    <s v="K/C-2207-9"/>
    <s v="Bút toán K/c tháng( 7/2022)"/>
    <x v="0"/>
    <x v="8"/>
    <n v="6959597"/>
    <s v=""/>
    <s v="PK3"/>
  </r>
  <r>
    <d v="2022-07-31T00:00:00"/>
    <s v="PK1"/>
    <s v="K/C-2207-9"/>
    <s v="Bút toán K/c tháng( 7/2022)"/>
    <x v="0"/>
    <x v="9"/>
    <n v="18082090"/>
    <s v=""/>
    <s v="PK3"/>
  </r>
  <r>
    <d v="2022-07-31T00:00:00"/>
    <s v="PK1"/>
    <s v="K/C-2207-9"/>
    <s v="Bút toán K/c tháng( 7/2022)"/>
    <x v="0"/>
    <x v="10"/>
    <n v="5109191"/>
    <s v=""/>
    <s v="PK3"/>
  </r>
  <r>
    <d v="2022-07-31T00:00:00"/>
    <s v="PK1"/>
    <s v="K/C-2207-9"/>
    <s v="Bút toán K/c tháng( 7/2022)"/>
    <x v="0"/>
    <x v="12"/>
    <n v="54166214"/>
    <s v=""/>
    <s v="PK3"/>
  </r>
  <r>
    <d v="2022-07-31T00:00:00"/>
    <s v="PK1"/>
    <s v="K/C-2207-9"/>
    <s v="Bút toán K/c tháng( 7/2022)"/>
    <x v="0"/>
    <x v="13"/>
    <n v="79141414"/>
    <s v=""/>
    <s v="PK3"/>
  </r>
  <r>
    <d v="2022-07-31T00:00:00"/>
    <s v="PK1"/>
    <s v="K/C-2207-9"/>
    <s v="Bút toán K/c tháng( 7/2022)"/>
    <x v="0"/>
    <x v="4"/>
    <n v="216396134"/>
    <s v=""/>
    <s v="PK3"/>
  </r>
  <r>
    <d v="2022-08-31T00:00:00"/>
    <s v="PK1"/>
    <s v="K/C-2208-20"/>
    <s v="Bút toán K/c tháng( 8/2022)"/>
    <x v="0"/>
    <x v="0"/>
    <n v="-231013262"/>
    <s v=""/>
    <s v="PK3"/>
  </r>
  <r>
    <d v="2022-08-31T00:00:00"/>
    <s v="PK1"/>
    <s v="K/C-2208-4"/>
    <s v="Bút toán K/c tháng( 8/2022)"/>
    <x v="0"/>
    <x v="1"/>
    <n v="5000000"/>
    <s v=""/>
    <s v="PK3"/>
  </r>
  <r>
    <d v="2022-08-31T00:00:00"/>
    <s v="PK1"/>
    <s v="K/C-2208-9"/>
    <s v="Bút toán K/c tháng( 8/2022)"/>
    <x v="0"/>
    <x v="5"/>
    <n v="550337846"/>
    <s v=""/>
    <s v="PK3"/>
  </r>
  <r>
    <d v="2022-08-31T00:00:00"/>
    <s v="PK1"/>
    <s v="K/C-2208-9"/>
    <s v="Bút toán K/c tháng( 8/2022)"/>
    <x v="0"/>
    <x v="6"/>
    <n v="16262000"/>
    <s v=""/>
    <s v="PK3"/>
  </r>
  <r>
    <d v="2022-08-31T00:00:00"/>
    <s v="PK1"/>
    <s v="K/C-2208-9"/>
    <s v="Bút toán K/c tháng( 8/2022)"/>
    <x v="0"/>
    <x v="8"/>
    <n v="27013631"/>
    <s v=""/>
    <s v="PK3"/>
  </r>
  <r>
    <d v="2022-08-31T00:00:00"/>
    <s v="PK1"/>
    <s v="K/C-2208-9"/>
    <s v="Bút toán K/c tháng( 8/2022)"/>
    <x v="0"/>
    <x v="9"/>
    <n v="18082090"/>
    <s v=""/>
    <s v="PK3"/>
  </r>
  <r>
    <d v="2022-08-31T00:00:00"/>
    <s v="PK1"/>
    <s v="K/C-2208-9"/>
    <s v="Bút toán K/c tháng( 8/2022)"/>
    <x v="0"/>
    <x v="10"/>
    <n v="5109191"/>
    <s v=""/>
    <s v="PK3"/>
  </r>
  <r>
    <d v="2022-08-31T00:00:00"/>
    <s v="PK1"/>
    <s v="K/C-2208-9"/>
    <s v="Bút toán K/c tháng( 8/2022)"/>
    <x v="0"/>
    <x v="12"/>
    <n v="62277487"/>
    <s v=""/>
    <s v="PK3"/>
  </r>
  <r>
    <d v="2022-08-31T00:00:00"/>
    <s v="PK1"/>
    <s v="K/C-2208-9"/>
    <s v="Bút toán K/c tháng( 8/2022)"/>
    <x v="0"/>
    <x v="13"/>
    <n v="124141414"/>
    <s v=""/>
    <s v="PK3"/>
  </r>
  <r>
    <d v="2022-08-31T00:00:00"/>
    <s v="PK1"/>
    <s v="K/C-2208-9"/>
    <s v="Bút toán K/c tháng( 8/2022)"/>
    <x v="0"/>
    <x v="15"/>
    <n v="1560000"/>
    <s v=""/>
    <s v="PK3"/>
  </r>
  <r>
    <d v="2022-08-31T00:00:00"/>
    <s v="PK1"/>
    <s v="K/C-2208-9"/>
    <s v="Bút toán K/c tháng( 8/2022)"/>
    <x v="0"/>
    <x v="17"/>
    <n v="7790100"/>
    <s v=""/>
    <s v="PK3"/>
  </r>
  <r>
    <d v="2022-08-31T00:00:00"/>
    <s v="PK1"/>
    <s v="K/C-2208-9"/>
    <s v="Bút toán K/c tháng( 8/2022)"/>
    <x v="0"/>
    <x v="3"/>
    <n v="110000"/>
    <s v=""/>
    <s v="PK3"/>
  </r>
  <r>
    <d v="2022-08-31T00:00:00"/>
    <s v="PK1"/>
    <s v="K/C-2208-9"/>
    <s v="Bút toán K/c tháng( 8/2022)"/>
    <x v="0"/>
    <x v="4"/>
    <n v="-309129219"/>
    <s v=""/>
    <s v="PK3"/>
  </r>
  <r>
    <d v="2022-09-30T00:00:00"/>
    <s v="PK1"/>
    <s v="K/C-2209-20"/>
    <s v="Bút toán K/c tháng( 9/2022)"/>
    <x v="0"/>
    <x v="0"/>
    <n v="2707212386"/>
    <s v=""/>
    <s v="PK3"/>
  </r>
  <r>
    <d v="2022-09-30T00:00:00"/>
    <s v="PK1"/>
    <s v="K/C-2209-4"/>
    <s v="Bút toán K/c tháng( 9/2022)"/>
    <x v="0"/>
    <x v="1"/>
    <n v="5000000"/>
    <s v=""/>
    <s v="PK3"/>
  </r>
  <r>
    <d v="2022-09-30T00:00:00"/>
    <s v="PK1"/>
    <s v="K/C-2209-9"/>
    <s v="Bút toán K/c tháng( 9/2022)"/>
    <x v="0"/>
    <x v="5"/>
    <n v="309571419"/>
    <s v=""/>
    <s v="PK3"/>
  </r>
  <r>
    <d v="2022-09-30T00:00:00"/>
    <s v="PK1"/>
    <s v="K/C-2209-9"/>
    <s v="Bút toán K/c tháng( 9/2022)"/>
    <x v="0"/>
    <x v="6"/>
    <n v="22632000"/>
    <s v=""/>
    <s v="PK3"/>
  </r>
  <r>
    <d v="2022-09-30T00:00:00"/>
    <s v="PK1"/>
    <s v="K/C-2209-9"/>
    <s v="Bút toán K/c tháng( 9/2022)"/>
    <x v="0"/>
    <x v="8"/>
    <n v="23326813"/>
    <s v=""/>
    <s v="PK3"/>
  </r>
  <r>
    <d v="2022-09-30T00:00:00"/>
    <s v="PK1"/>
    <s v="K/C-2209-9"/>
    <s v="Bút toán K/c tháng( 9/2022)"/>
    <x v="0"/>
    <x v="9"/>
    <n v="18082090"/>
    <s v=""/>
    <s v="PK3"/>
  </r>
  <r>
    <d v="2022-09-30T00:00:00"/>
    <s v="PK1"/>
    <s v="K/C-2209-9"/>
    <s v="Bút toán K/c tháng( 9/2022)"/>
    <x v="0"/>
    <x v="10"/>
    <n v="5109191"/>
    <s v=""/>
    <s v="PK3"/>
  </r>
  <r>
    <d v="2022-09-30T00:00:00"/>
    <s v="PK1"/>
    <s v="K/C-2209-9"/>
    <s v="Bút toán K/c tháng( 9/2022)"/>
    <x v="0"/>
    <x v="12"/>
    <n v="54166214"/>
    <s v=""/>
    <s v="PK3"/>
  </r>
  <r>
    <d v="2022-09-30T00:00:00"/>
    <s v="PK1"/>
    <s v="K/C-2209-9"/>
    <s v="Bút toán K/c tháng( 9/2022)"/>
    <x v="0"/>
    <x v="4"/>
    <n v="304101779"/>
    <s v=""/>
    <s v="PK3"/>
  </r>
  <r>
    <d v="2022-09-30T00:00:00"/>
    <s v="PK1"/>
    <s v="K/C-2209-9"/>
    <s v="Bút toán K/c tháng( 9/2022)"/>
    <x v="0"/>
    <x v="18"/>
    <n v="23400000"/>
    <s v=""/>
    <s v="PK3"/>
  </r>
  <r>
    <d v="2022-09-30T00:00:00"/>
    <s v="PK1"/>
    <s v="K/C-2209-9"/>
    <s v="Bút toán K/c tháng( 9/2022)"/>
    <x v="0"/>
    <x v="13"/>
    <n v="79141414"/>
    <s v=""/>
    <s v="PK3"/>
  </r>
  <r>
    <d v="2022-10-31T00:00:00"/>
    <s v="PK1"/>
    <s v="K/C-2210-20"/>
    <s v="Bút toán K/c tháng(10/2022)"/>
    <x v="0"/>
    <x v="0"/>
    <n v="2179057697"/>
    <s v=""/>
    <s v="PK3"/>
  </r>
  <r>
    <d v="2022-10-31T00:00:00"/>
    <s v="PK1"/>
    <s v="K/C-2210-4"/>
    <s v="Bút toán K/c tháng(10/2022)"/>
    <x v="0"/>
    <x v="1"/>
    <n v="5000000"/>
    <s v=""/>
    <s v="PK3"/>
  </r>
  <r>
    <d v="2022-10-31T00:00:00"/>
    <s v="PK1"/>
    <s v="K/C-2210-9"/>
    <s v="Bút toán K/c tháng(10/2022)"/>
    <x v="0"/>
    <x v="5"/>
    <n v="385580053"/>
    <s v=""/>
    <s v="PK3"/>
  </r>
  <r>
    <d v="2022-10-31T00:00:00"/>
    <s v="PK1"/>
    <s v="K/C-2210-9"/>
    <s v="Bút toán K/c tháng(10/2022)"/>
    <x v="0"/>
    <x v="7"/>
    <n v="23175818"/>
    <s v=""/>
    <s v="PK3"/>
  </r>
  <r>
    <d v="2022-10-31T00:00:00"/>
    <s v="PK1"/>
    <s v="K/C-2210-9"/>
    <s v="Bút toán K/c tháng(10/2022)"/>
    <x v="0"/>
    <x v="6"/>
    <n v="24710050"/>
    <s v=""/>
    <s v="PK3"/>
  </r>
  <r>
    <d v="2022-10-31T00:00:00"/>
    <s v="PK1"/>
    <s v="K/C-2210-9"/>
    <s v="Bút toán K/c tháng(10/2022)"/>
    <x v="0"/>
    <x v="8"/>
    <n v="86473146"/>
    <s v=""/>
    <s v="PK3"/>
  </r>
  <r>
    <d v="2022-10-31T00:00:00"/>
    <s v="PK1"/>
    <s v="K/C-2210-9"/>
    <s v="Bút toán K/c tháng(10/2022)"/>
    <x v="0"/>
    <x v="9"/>
    <n v="43097021"/>
    <s v=""/>
    <s v="PK3"/>
  </r>
  <r>
    <d v="2022-10-31T00:00:00"/>
    <s v="PK1"/>
    <s v="K/C-2210-9"/>
    <s v="Bút toán K/c tháng(10/2022)"/>
    <x v="0"/>
    <x v="10"/>
    <n v="6840024"/>
    <s v=""/>
    <s v="PK3"/>
  </r>
  <r>
    <d v="2022-10-31T00:00:00"/>
    <s v="PK1"/>
    <s v="K/C-2210-9"/>
    <s v="Bút toán K/c tháng(10/2022)"/>
    <x v="0"/>
    <x v="19"/>
    <n v="2877800"/>
    <s v=""/>
    <s v="PK3"/>
  </r>
  <r>
    <d v="2022-10-31T00:00:00"/>
    <s v="PK1"/>
    <s v="K/C-2210-9"/>
    <s v="Bút toán K/c tháng(10/2022)"/>
    <x v="0"/>
    <x v="20"/>
    <n v="18363636"/>
    <s v=""/>
    <s v="PK3"/>
  </r>
  <r>
    <d v="2022-10-31T00:00:00"/>
    <s v="PK1"/>
    <s v="K/C-2210-9"/>
    <s v="Bút toán K/c tháng(10/2022)"/>
    <x v="0"/>
    <x v="11"/>
    <n v="358646"/>
    <s v=""/>
    <s v="PK3"/>
  </r>
  <r>
    <d v="2022-10-31T00:00:00"/>
    <s v="PK1"/>
    <s v="K/C-2210-9"/>
    <s v="Bút toán K/c tháng(10/2022)"/>
    <x v="0"/>
    <x v="12"/>
    <n v="62460578"/>
    <s v=""/>
    <s v="PK3"/>
  </r>
  <r>
    <d v="2022-10-31T00:00:00"/>
    <s v="PK1"/>
    <s v="K/C-2210-9"/>
    <s v="Bút toán K/c tháng(10/2022)"/>
    <x v="0"/>
    <x v="13"/>
    <n v="5"/>
    <s v=""/>
    <s v="PK3"/>
  </r>
  <r>
    <d v="2022-10-31T00:00:00"/>
    <s v="PK1"/>
    <s v="K/C-2210-9"/>
    <s v="Bút toán K/c tháng(10/2022)"/>
    <x v="0"/>
    <x v="21"/>
    <n v="4492333"/>
    <s v=""/>
    <s v="PK3"/>
  </r>
  <r>
    <d v="2022-10-31T00:00:00"/>
    <s v="PK1"/>
    <s v="K/C-2210-9"/>
    <s v="Bút toán K/c tháng(10/2022)"/>
    <x v="0"/>
    <x v="22"/>
    <n v="5000000"/>
    <s v=""/>
    <s v="PK3"/>
  </r>
  <r>
    <d v="2022-10-31T00:00:00"/>
    <s v="PK1"/>
    <s v="K/C-2210-9"/>
    <s v="Bút toán K/c tháng(10/2022)"/>
    <x v="0"/>
    <x v="15"/>
    <n v="480000"/>
    <s v=""/>
    <s v="PK3"/>
  </r>
  <r>
    <d v="2022-10-31T00:00:00"/>
    <s v="PK1"/>
    <s v="K/C-2210-9"/>
    <s v="Bút toán K/c tháng(10/2022)"/>
    <x v="0"/>
    <x v="3"/>
    <n v="183838"/>
    <s v=""/>
    <s v="PK3"/>
  </r>
  <r>
    <d v="2022-10-31T00:00:00"/>
    <s v="PK1"/>
    <s v="K/C-2210-9"/>
    <s v="Bút toán K/c tháng(10/2022)"/>
    <x v="0"/>
    <x v="4"/>
    <n v="126924397"/>
    <s v=""/>
    <s v="PK3"/>
  </r>
  <r>
    <d v="2022-11-30T00:00:00"/>
    <s v="PK1"/>
    <s v="K/C-2211-20"/>
    <s v="Bút toán K/c tháng(11/2022)"/>
    <x v="0"/>
    <x v="0"/>
    <n v="2114214840.95"/>
    <s v=""/>
    <s v="PK3"/>
  </r>
  <r>
    <d v="2022-11-30T00:00:00"/>
    <s v="PK1"/>
    <s v="K/C-2211-21"/>
    <s v="Bút toán K/c tháng(11/2022)"/>
    <x v="0"/>
    <x v="23"/>
    <n v="723603840"/>
    <s v=""/>
    <s v="PK3"/>
  </r>
  <r>
    <d v="2022-11-30T00:00:00"/>
    <s v="PK1"/>
    <s v="K/C-2211-22"/>
    <s v="Bút toán K/c tháng(11/2022)"/>
    <x v="0"/>
    <x v="24"/>
    <n v="10000000"/>
    <s v=""/>
    <s v="PK3"/>
  </r>
  <r>
    <d v="2022-11-30T00:00:00"/>
    <s v="PK1"/>
    <s v="K/C-2211-4"/>
    <s v="Bút toán K/c tháng(11/2022)"/>
    <x v="0"/>
    <x v="1"/>
    <n v="5000000"/>
    <s v=""/>
    <s v="PK3"/>
  </r>
  <r>
    <d v="2022-11-30T00:00:00"/>
    <s v="PK1"/>
    <s v="K/C-2211-9"/>
    <s v="Bút toán K/c tháng(11/2022)"/>
    <x v="0"/>
    <x v="5"/>
    <n v="419467210"/>
    <s v=""/>
    <s v="PK3"/>
  </r>
  <r>
    <d v="2022-11-30T00:00:00"/>
    <s v="PK1"/>
    <s v="K/C-2211-9"/>
    <s v="Bút toán K/c tháng(11/2022)"/>
    <x v="0"/>
    <x v="6"/>
    <n v="31418050"/>
    <s v=""/>
    <s v="PK3"/>
  </r>
  <r>
    <d v="2022-11-30T00:00:00"/>
    <s v="PK1"/>
    <s v="K/C-2211-9"/>
    <s v="Bút toán K/c tháng(11/2022)"/>
    <x v="0"/>
    <x v="7"/>
    <n v="2420370"/>
    <s v=""/>
    <s v="PK3"/>
  </r>
  <r>
    <d v="2022-11-30T00:00:00"/>
    <s v="PK1"/>
    <s v="K/C-2211-9"/>
    <s v="Bút toán K/c tháng(11/2022)"/>
    <x v="0"/>
    <x v="8"/>
    <n v="123558134"/>
    <s v=""/>
    <s v="PK3"/>
  </r>
  <r>
    <d v="2022-11-30T00:00:00"/>
    <s v="PK1"/>
    <s v="K/C-2211-9"/>
    <s v="Bút toán K/c tháng(11/2022)"/>
    <x v="0"/>
    <x v="9"/>
    <n v="61959123"/>
    <s v=""/>
    <s v="PK3"/>
  </r>
  <r>
    <d v="2022-11-30T00:00:00"/>
    <s v="PK1"/>
    <s v="K/C-2211-9"/>
    <s v="Bút toán K/c tháng(11/2022)"/>
    <x v="0"/>
    <x v="10"/>
    <n v="6840024"/>
    <s v=""/>
    <s v="PK3"/>
  </r>
  <r>
    <d v="2022-11-30T00:00:00"/>
    <s v="PK1"/>
    <s v="K/C-2211-9"/>
    <s v="Bút toán K/c tháng(11/2022)"/>
    <x v="0"/>
    <x v="19"/>
    <n v="1705800"/>
    <s v=""/>
    <s v="PK3"/>
  </r>
  <r>
    <d v="2022-11-30T00:00:00"/>
    <s v="PK1"/>
    <s v="K/C-2211-9"/>
    <s v="Bút toán K/c tháng(11/2022)"/>
    <x v="0"/>
    <x v="20"/>
    <n v="18295592"/>
    <s v=""/>
    <s v="PK3"/>
  </r>
  <r>
    <d v="2022-11-30T00:00:00"/>
    <s v="PK1"/>
    <s v="K/C-2211-9"/>
    <s v="Bút toán K/c tháng(11/2022)"/>
    <x v="0"/>
    <x v="11"/>
    <n v="66538891"/>
    <s v=""/>
    <s v="PK3"/>
  </r>
  <r>
    <d v="2022-11-30T00:00:00"/>
    <s v="PK1"/>
    <s v="K/C-2211-9"/>
    <s v="Bút toán K/c tháng(11/2022)"/>
    <x v="0"/>
    <x v="12"/>
    <n v="62761468"/>
    <s v=""/>
    <s v="PK3"/>
  </r>
  <r>
    <d v="2022-11-30T00:00:00"/>
    <s v="PK1"/>
    <s v="K/C-2211-9"/>
    <s v="Bút toán K/c tháng(11/2022)"/>
    <x v="0"/>
    <x v="13"/>
    <n v="30000000"/>
    <s v=""/>
    <s v="PK3"/>
  </r>
  <r>
    <d v="2022-11-30T00:00:00"/>
    <s v="PK1"/>
    <s v="K/C-2211-9"/>
    <s v="Bút toán K/c tháng(11/2022)"/>
    <x v="0"/>
    <x v="21"/>
    <n v="20507314"/>
    <s v=""/>
    <s v="PK3"/>
  </r>
  <r>
    <d v="2022-11-30T00:00:00"/>
    <s v="PK1"/>
    <s v="K/C-2211-9"/>
    <s v="Bút toán K/c tháng(11/2022)"/>
    <x v="0"/>
    <x v="22"/>
    <n v="33956154"/>
    <s v=""/>
    <s v="PK3"/>
  </r>
  <r>
    <d v="2022-11-30T00:00:00"/>
    <s v="PK1"/>
    <s v="K/C-2211-9"/>
    <s v="Bút toán K/c tháng(11/2022)"/>
    <x v="0"/>
    <x v="15"/>
    <n v="6707612"/>
    <s v=""/>
    <s v="PK3"/>
  </r>
  <r>
    <d v="2022-11-30T00:00:00"/>
    <s v="PK1"/>
    <s v="K/C-2211-9"/>
    <s v="Bút toán K/c tháng(11/2022)"/>
    <x v="0"/>
    <x v="3"/>
    <n v="190991"/>
    <s v=""/>
    <s v="PK3"/>
  </r>
  <r>
    <d v="2022-11-30T00:00:00"/>
    <s v="PK1"/>
    <s v="K/C-2211-9"/>
    <s v="Bút toán K/c tháng(11/2022)"/>
    <x v="0"/>
    <x v="4"/>
    <n v="931330282.04999995"/>
    <s v=""/>
    <s v="PK3"/>
  </r>
  <r>
    <d v="2022-12-31T00:00:00"/>
    <s v="PK1"/>
    <s v="K/C-2212-20"/>
    <s v="Bút toán K/c tháng(12/2022)"/>
    <x v="0"/>
    <x v="0"/>
    <n v="273474046"/>
    <s v=""/>
    <s v="PK3"/>
  </r>
  <r>
    <d v="2022-12-31T00:00:00"/>
    <s v="PK1"/>
    <s v="K/C-2212-4"/>
    <s v="Bút toán K/c tháng(12/2022)"/>
    <x v="0"/>
    <x v="1"/>
    <n v="5000000"/>
    <s v=""/>
    <s v="PK3"/>
  </r>
  <r>
    <d v="2022-12-31T00:00:00"/>
    <s v="PK1"/>
    <s v="K/C-2212-6"/>
    <s v="Bút toán K/c tháng(12/2022)"/>
    <x v="0"/>
    <x v="16"/>
    <n v="2497075384"/>
    <s v=""/>
    <s v="PK3"/>
  </r>
  <r>
    <d v="2022-12-31T00:00:00"/>
    <s v="PK1"/>
    <s v="K/C-2212-9"/>
    <s v="Bút toán K/c tháng(12/2022)"/>
    <x v="0"/>
    <x v="5"/>
    <n v="609801694"/>
    <s v=""/>
    <s v="PK3"/>
  </r>
  <r>
    <d v="2022-12-31T00:00:00"/>
    <s v="PK1"/>
    <s v="K/C-2212-9"/>
    <s v="Bút toán K/c tháng(12/2022)"/>
    <x v="0"/>
    <x v="19"/>
    <n v="2174900"/>
    <s v=""/>
    <s v="PK3"/>
  </r>
  <r>
    <d v="2022-12-31T00:00:00"/>
    <s v="PK1"/>
    <s v="K/C-2212-9"/>
    <s v="Bút toán K/c tháng(12/2022)"/>
    <x v="0"/>
    <x v="11"/>
    <n v="150676663"/>
    <s v=""/>
    <s v="PK3"/>
  </r>
  <r>
    <d v="2022-12-31T00:00:00"/>
    <s v="PK1"/>
    <s v="K/C-2212-9"/>
    <s v="Bút toán K/c tháng(12/2022)"/>
    <x v="0"/>
    <x v="12"/>
    <n v="54166213"/>
    <s v=""/>
    <s v="PK3"/>
  </r>
  <r>
    <d v="2022-12-31T00:00:00"/>
    <s v="PK1"/>
    <s v="K/C-2212-9"/>
    <s v="Bút toán K/c tháng(12/2022)"/>
    <x v="0"/>
    <x v="13"/>
    <n v="130000000"/>
    <s v=""/>
    <s v="PK3"/>
  </r>
  <r>
    <d v="2022-12-31T00:00:00"/>
    <s v="PK1"/>
    <s v="K/C-2212-9"/>
    <s v="Bút toán K/c tháng(12/2022)"/>
    <x v="0"/>
    <x v="21"/>
    <n v="5480499"/>
    <s v=""/>
    <s v="PK3"/>
  </r>
  <r>
    <d v="2022-12-31T00:00:00"/>
    <s v="PK1"/>
    <s v="K/C-2212-9"/>
    <s v="Bút toán K/c tháng(12/2022)"/>
    <x v="0"/>
    <x v="22"/>
    <n v="10692000"/>
    <s v=""/>
    <s v="PK3"/>
  </r>
  <r>
    <d v="2022-12-31T00:00:00"/>
    <s v="PK1"/>
    <s v="K/C-2212-9"/>
    <s v="Bút toán K/c tháng(12/2022)"/>
    <x v="0"/>
    <x v="15"/>
    <n v="8863850"/>
    <s v=""/>
    <s v="PK3"/>
  </r>
  <r>
    <d v="2022-12-31T00:00:00"/>
    <s v="PK1"/>
    <s v="K/C-2212-9"/>
    <s v="Bút toán K/c tháng(12/2022)"/>
    <x v="0"/>
    <x v="3"/>
    <n v="184319"/>
    <s v=""/>
    <s v="PK3"/>
  </r>
  <r>
    <d v="2022-12-31T00:00:00"/>
    <s v="PK1"/>
    <s v="K/C-2212-9"/>
    <s v="Bút toán K/c tháng(12/2022)"/>
    <x v="0"/>
    <x v="4"/>
    <n v="59949735"/>
    <s v=""/>
    <s v="PK3"/>
  </r>
  <r>
    <d v="2022-12-31T00:00:00"/>
    <s v="PK1"/>
    <s v="K/C-2212-9"/>
    <s v="Bút toán K/c tháng(12/2022)"/>
    <x v="0"/>
    <x v="6"/>
    <n v="36492050"/>
    <s v=""/>
    <s v="PK3"/>
  </r>
  <r>
    <d v="2022-12-31T00:00:00"/>
    <s v="PK1"/>
    <s v="K/C-2212-9"/>
    <s v="Bút toán K/c tháng(12/2022)"/>
    <x v="0"/>
    <x v="25"/>
    <n v="13120545"/>
    <s v=""/>
    <s v="PK3"/>
  </r>
  <r>
    <d v="2022-12-31T00:00:00"/>
    <s v="PK1"/>
    <s v="K/C-2212-9"/>
    <s v="Bút toán K/c tháng(12/2022)"/>
    <x v="0"/>
    <x v="8"/>
    <n v="125211833"/>
    <s v=""/>
    <s v="PK3"/>
  </r>
  <r>
    <d v="2022-12-31T00:00:00"/>
    <s v="PK1"/>
    <s v="K/C-2212-9"/>
    <s v="Bút toán K/c tháng(12/2022)"/>
    <x v="0"/>
    <x v="9"/>
    <n v="71200956"/>
    <s v=""/>
    <s v="PK3"/>
  </r>
  <r>
    <d v="2022-12-31T00:00:00"/>
    <s v="PK1"/>
    <s v="K/C-2212-9"/>
    <s v="Bút toán K/c tháng(12/2022)"/>
    <x v="0"/>
    <x v="10"/>
    <n v="6840024"/>
    <s v=""/>
    <s v="PK3"/>
  </r>
  <r>
    <d v="2022-01-31T00:00:00"/>
    <s v="PK1"/>
    <s v="K/C-2201-15"/>
    <s v="Bút toán K/c tháng( 1/2022)"/>
    <x v="1"/>
    <x v="26"/>
    <n v="1446578"/>
    <s v=""/>
    <s v="PK3"/>
  </r>
  <r>
    <d v="2022-01-31T00:00:00"/>
    <s v="PK1"/>
    <s v="K/C-2201-16"/>
    <s v="Bút toán K/c tháng( 1/2022)"/>
    <x v="2"/>
    <x v="26"/>
    <n v="2172305"/>
    <s v=""/>
    <s v="PK3"/>
  </r>
  <r>
    <d v="2022-01-31T00:00:00"/>
    <s v="PK1"/>
    <s v="K/C-2201-16"/>
    <s v="Bút toán K/c tháng( 1/2022)"/>
    <x v="3"/>
    <x v="26"/>
    <n v="2827808"/>
    <s v=""/>
    <s v="PK3"/>
  </r>
  <r>
    <d v="2022-02-28T00:00:00"/>
    <s v="PK1"/>
    <s v="K/C-2202-15"/>
    <s v="Bút toán K/c tháng( 2/2022)"/>
    <x v="1"/>
    <x v="26"/>
    <n v="231426967"/>
    <s v=""/>
    <s v="PK3"/>
  </r>
  <r>
    <d v="2022-02-28T00:00:00"/>
    <s v="PK1"/>
    <s v="K/C-2202-16"/>
    <s v="Bút toán K/c tháng( 2/2022)"/>
    <x v="2"/>
    <x v="26"/>
    <n v="1972"/>
    <s v=""/>
    <s v="PK3"/>
  </r>
  <r>
    <d v="2022-02-28T00:00:00"/>
    <s v="PK1"/>
    <s v="K/C-2202-16"/>
    <s v="Bút toán K/c tháng( 2/2022)"/>
    <x v="3"/>
    <x v="26"/>
    <n v="1749456"/>
    <s v=""/>
    <s v="PK3"/>
  </r>
  <r>
    <d v="2022-03-31T00:00:00"/>
    <s v="PK1"/>
    <s v="K/C-2203-15"/>
    <s v="Bút toán K/c tháng( 3/2022)"/>
    <x v="1"/>
    <x v="26"/>
    <n v="308730442"/>
    <s v=""/>
    <s v="PK3"/>
  </r>
  <r>
    <d v="2022-03-31T00:00:00"/>
    <s v="PK1"/>
    <s v="K/C-2203-16"/>
    <s v="Bút toán K/c tháng( 3/2022)"/>
    <x v="3"/>
    <x v="26"/>
    <n v="502475"/>
    <s v=""/>
    <s v="PK3"/>
  </r>
  <r>
    <d v="2022-03-31T00:00:00"/>
    <s v="PK1"/>
    <s v="K/C-2203-17"/>
    <s v="Bút toán K/c tháng( 3/2022)"/>
    <x v="4"/>
    <x v="26"/>
    <n v="19335259"/>
    <s v=""/>
    <s v="PK3"/>
  </r>
  <r>
    <d v="2022-04-30T00:00:00"/>
    <s v="PK1"/>
    <s v="K/C-2204-15"/>
    <s v="Bút toán K/c tháng( 4/2022)"/>
    <x v="1"/>
    <x v="26"/>
    <n v="222165965"/>
    <s v=""/>
    <s v="PK3"/>
  </r>
  <r>
    <d v="2022-04-30T00:00:00"/>
    <s v="PK1"/>
    <s v="K/C-2204-16"/>
    <s v="Bút toán K/c tháng( 4/2022)"/>
    <x v="3"/>
    <x v="26"/>
    <n v="253536"/>
    <s v=""/>
    <s v="PK3"/>
  </r>
  <r>
    <d v="2022-04-30T00:00:00"/>
    <s v="PK1"/>
    <s v="K/C-2204-4"/>
    <s v="Bút toán K/c tháng( 4/2022)"/>
    <x v="5"/>
    <x v="26"/>
    <n v="15000000"/>
    <s v=""/>
    <s v="PK3"/>
  </r>
  <r>
    <d v="2022-05-31T00:00:00"/>
    <s v="PK1"/>
    <s v="K/C-2205-15"/>
    <s v="Bút toán K/c tháng( 5/2022)"/>
    <x v="1"/>
    <x v="26"/>
    <n v="214613178"/>
    <s v=""/>
    <s v="PK3"/>
  </r>
  <r>
    <d v="2022-05-31T00:00:00"/>
    <s v="PK1"/>
    <s v="K/C-2205-16"/>
    <s v="Bút toán K/c tháng( 5/2022)"/>
    <x v="2"/>
    <x v="26"/>
    <n v="1929069"/>
    <s v=""/>
    <s v="PK3"/>
  </r>
  <r>
    <d v="2022-05-31T00:00:00"/>
    <s v="PK1"/>
    <s v="K/C-2205-16"/>
    <s v="Bút toán K/c tháng( 5/2022)"/>
    <x v="3"/>
    <x v="26"/>
    <n v="1146392"/>
    <s v=""/>
    <s v="PK3"/>
  </r>
  <r>
    <d v="2022-06-30T00:00:00"/>
    <s v="PK1"/>
    <s v="K/C-2206-15"/>
    <s v="Bút toán K/c tháng( 6/2022)"/>
    <x v="1"/>
    <x v="26"/>
    <n v="246024379"/>
    <s v=""/>
    <s v="PK3"/>
  </r>
  <r>
    <d v="2022-06-30T00:00:00"/>
    <s v="PK1"/>
    <s v="K/C-2206-16"/>
    <s v="Bút toán K/c tháng( 6/2022)"/>
    <x v="3"/>
    <x v="26"/>
    <n v="-531"/>
    <s v=""/>
    <s v="PK3"/>
  </r>
  <r>
    <d v="2022-06-30T00:00:00"/>
    <s v="PK1"/>
    <s v="K/C-2206-4"/>
    <s v="Bút toán K/c tháng( 6/2022)"/>
    <x v="5"/>
    <x v="26"/>
    <n v="5000000"/>
    <s v=""/>
    <s v="PK3"/>
  </r>
  <r>
    <d v="2022-07-31T00:00:00"/>
    <s v="PK1"/>
    <s v="K/C-2207-15"/>
    <s v="Bút toán K/c tháng( 7/2022)"/>
    <x v="1"/>
    <x v="26"/>
    <n v="289136051"/>
    <s v=""/>
    <s v="PK3"/>
  </r>
  <r>
    <d v="2022-07-31T00:00:00"/>
    <s v="PK1"/>
    <s v="K/C-2207-16"/>
    <s v="Bút toán K/c tháng( 7/2022)"/>
    <x v="2"/>
    <x v="26"/>
    <n v="83791"/>
    <s v=""/>
    <s v="PK3"/>
  </r>
  <r>
    <d v="2022-07-31T00:00:00"/>
    <s v="PK1"/>
    <s v="K/C-2207-16"/>
    <s v="Bút toán K/c tháng( 7/2022)"/>
    <x v="3"/>
    <x v="26"/>
    <n v="266538"/>
    <s v=""/>
    <s v="PK3"/>
  </r>
  <r>
    <d v="2022-08-31T00:00:00"/>
    <s v="PK1"/>
    <s v="K/C-2208-15"/>
    <s v="Bút toán K/c tháng( 8/2022)"/>
    <x v="1"/>
    <x v="26"/>
    <n v="276857032"/>
    <s v=""/>
    <s v="PK3"/>
  </r>
  <r>
    <d v="2022-08-31T00:00:00"/>
    <s v="PK1"/>
    <s v="K/C-2208-16"/>
    <s v="Bút toán K/c tháng( 8/2022)"/>
    <x v="3"/>
    <x v="26"/>
    <n v="684246"/>
    <s v=""/>
    <s v="PK3"/>
  </r>
  <r>
    <d v="2022-09-30T00:00:00"/>
    <s v="PK1"/>
    <s v="K/C-2209-15"/>
    <s v="Bút toán K/c tháng( 9/2022)"/>
    <x v="1"/>
    <x v="26"/>
    <n v="241871043"/>
    <s v=""/>
    <s v="PK3"/>
  </r>
  <r>
    <d v="2022-09-30T00:00:00"/>
    <s v="PK1"/>
    <s v="K/C-2209-15"/>
    <s v="Bút toán K/c tháng( 9/2022)"/>
    <x v="6"/>
    <x v="26"/>
    <n v="2405961289"/>
    <s v=""/>
    <s v="PK3"/>
  </r>
  <r>
    <d v="2022-09-30T00:00:00"/>
    <s v="PK1"/>
    <s v="K/C-2209-15"/>
    <s v="Bút toán K/c tháng( 9/2022)"/>
    <x v="7"/>
    <x v="26"/>
    <n v="900000000"/>
    <s v=""/>
    <s v="PK3"/>
  </r>
  <r>
    <d v="2022-09-30T00:00:00"/>
    <s v="PK1"/>
    <s v="K/C-2209-16"/>
    <s v="Bút toán K/c tháng( 9/2022)"/>
    <x v="3"/>
    <x v="26"/>
    <n v="3910974"/>
    <s v=""/>
    <s v="PK3"/>
  </r>
  <r>
    <d v="2022-10-31T00:00:00"/>
    <s v="PK1"/>
    <s v="K/C-2210-15"/>
    <s v="Bút toán K/c tháng(10/2022)"/>
    <x v="8"/>
    <x v="26"/>
    <n v="124399829"/>
    <s v=""/>
    <s v="PK3"/>
  </r>
  <r>
    <d v="2022-10-31T00:00:00"/>
    <s v="PK1"/>
    <s v="K/C-2210-15"/>
    <s v="Bút toán K/c tháng(10/2022)"/>
    <x v="1"/>
    <x v="26"/>
    <n v="191596952"/>
    <s v=""/>
    <s v="PK3"/>
  </r>
  <r>
    <d v="2022-10-31T00:00:00"/>
    <s v="PK1"/>
    <s v="K/C-2210-15"/>
    <s v="Bút toán K/c tháng(10/2022)"/>
    <x v="9"/>
    <x v="26"/>
    <n v="464794508"/>
    <s v=""/>
    <s v="PK3"/>
  </r>
  <r>
    <d v="2022-10-31T00:00:00"/>
    <s v="PK1"/>
    <s v="K/C-2210-15"/>
    <s v="Bút toán K/c tháng(10/2022)"/>
    <x v="6"/>
    <x v="26"/>
    <n v="1277255537"/>
    <s v=""/>
    <s v="PK3"/>
  </r>
  <r>
    <d v="2022-10-31T00:00:00"/>
    <s v="PK1"/>
    <s v="K/C-2210-15"/>
    <s v="Bút toán K/c tháng(10/2022)"/>
    <x v="7"/>
    <x v="26"/>
    <n v="900000000"/>
    <s v=""/>
    <s v="PK3"/>
  </r>
  <r>
    <d v="2022-10-31T00:00:00"/>
    <s v="PK1"/>
    <s v="K/C-2210-16"/>
    <s v="Bút toán K/c tháng(10/2022)"/>
    <x v="3"/>
    <x v="26"/>
    <n v="17028216"/>
    <s v=""/>
    <s v="PK3"/>
  </r>
  <r>
    <d v="2022-11-30T00:00:00"/>
    <s v="PK1"/>
    <s v="K/C-2211-15"/>
    <s v="Bút toán K/c tháng(11/2022)"/>
    <x v="8"/>
    <x v="26"/>
    <n v="107287571"/>
    <s v=""/>
    <s v="PK3"/>
  </r>
  <r>
    <d v="2022-11-30T00:00:00"/>
    <s v="PK1"/>
    <s v="K/C-2211-15"/>
    <s v="Bút toán K/c tháng(11/2022)"/>
    <x v="9"/>
    <x v="26"/>
    <n v="2192127874"/>
    <s v=""/>
    <s v="PK3"/>
  </r>
  <r>
    <d v="2022-11-30T00:00:00"/>
    <s v="PK1"/>
    <s v="K/C-2211-15"/>
    <s v="Bút toán K/c tháng(11/2022)"/>
    <x v="6"/>
    <x v="26"/>
    <n v="1466480526"/>
    <s v=""/>
    <s v="PK3"/>
  </r>
  <r>
    <d v="2022-11-30T00:00:00"/>
    <s v="PK1"/>
    <s v="K/C-2211-15"/>
    <s v="Bút toán K/c tháng(11/2022)"/>
    <x v="7"/>
    <x v="26"/>
    <n v="900000000"/>
    <s v=""/>
    <s v="PK3"/>
  </r>
  <r>
    <d v="2022-11-30T00:00:00"/>
    <s v="PK1"/>
    <s v="K/C-2211-16"/>
    <s v="Bút toán K/c tháng(11/2022)"/>
    <x v="3"/>
    <x v="26"/>
    <n v="4579725"/>
    <s v=""/>
    <s v="PK3"/>
  </r>
  <r>
    <d v="2022-12-31T00:00:00"/>
    <s v="PK1"/>
    <s v="K/C-2212-15"/>
    <s v="Bút toán K/c tháng(12/2022)"/>
    <x v="8"/>
    <x v="26"/>
    <n v="38074135"/>
    <s v=""/>
    <s v="PK3"/>
  </r>
  <r>
    <d v="2022-12-31T00:00:00"/>
    <s v="PK1"/>
    <s v="K/C-2212-15"/>
    <s v="Bút toán K/c tháng(12/2022)"/>
    <x v="1"/>
    <x v="26"/>
    <n v="890494858"/>
    <s v=""/>
    <s v="PK3"/>
  </r>
  <r>
    <d v="2022-12-31T00:00:00"/>
    <s v="PK1"/>
    <s v="K/C-2212-15"/>
    <s v="Bút toán K/c tháng(12/2022)"/>
    <x v="9"/>
    <x v="26"/>
    <n v="296119423"/>
    <s v=""/>
    <s v="PK3"/>
  </r>
  <r>
    <d v="2022-12-31T00:00:00"/>
    <s v="PK1"/>
    <s v="K/C-2212-15"/>
    <s v="Bút toán K/c tháng(12/2022)"/>
    <x v="6"/>
    <x v="26"/>
    <n v="2828951423"/>
    <s v=""/>
    <s v="PK3"/>
  </r>
  <r>
    <d v="2022-12-31T00:00:00"/>
    <s v="PK1"/>
    <s v="K/C-2212-16"/>
    <s v="Bút toán K/c tháng(12/2022)"/>
    <x v="3"/>
    <x v="26"/>
    <n v="6764872"/>
    <s v=""/>
    <s v="PK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d v="2022-10-31T00:00:00"/>
    <d v="2022-10-31T00:00:00"/>
    <s v="JV2210.001"/>
    <s v="Kết chuyển doanh thu hoạt động tài chính"/>
    <s v="911"/>
    <x v="0"/>
    <x v="0"/>
    <s v="515"/>
    <n v="0"/>
    <n v="1233"/>
  </r>
  <r>
    <d v="2022-10-31T00:00:00"/>
    <d v="2022-10-31T00:00:00"/>
    <s v="JV2210.001"/>
    <s v="Kết chuyển kết quả hoạt động kinh doanh trong kỳ"/>
    <s v="911"/>
    <x v="0"/>
    <x v="1"/>
    <s v="421"/>
    <n v="1233"/>
    <n v="0"/>
  </r>
  <r>
    <d v="2022-11-30T00:00:00"/>
    <d v="2022-11-30T00:00:00"/>
    <s v="JV2211.001"/>
    <s v="Kết chuyển doanh thu hoạt động tài chính"/>
    <s v="911"/>
    <x v="0"/>
    <x v="0"/>
    <s v="515"/>
    <n v="0"/>
    <n v="3288"/>
  </r>
  <r>
    <d v="2022-11-30T00:00:00"/>
    <d v="2022-11-30T00:00:00"/>
    <s v="JV2211.001"/>
    <s v="Kết chuyển kết quả hoạt động kinh doanh trong kỳ"/>
    <s v="911"/>
    <x v="0"/>
    <x v="1"/>
    <s v="421"/>
    <n v="3288"/>
    <n v="0"/>
  </r>
  <r>
    <d v="2022-12-31T00:00:00"/>
    <d v="2022-12-31T00:00:00"/>
    <s v="JV2212.001"/>
    <s v="Kết chuyển doanh thu hoạt động tài chính"/>
    <s v="911"/>
    <x v="0"/>
    <x v="0"/>
    <s v="515"/>
    <n v="0"/>
    <n v="3279"/>
  </r>
  <r>
    <d v="2022-12-31T00:00:00"/>
    <d v="2022-12-31T00:00:00"/>
    <s v="JV2212.001"/>
    <s v="Kết chuyển chi phí quản lý doanh nghiệp"/>
    <s v="911"/>
    <x v="0"/>
    <x v="2"/>
    <s v="642"/>
    <n v="165083"/>
    <n v="0"/>
  </r>
  <r>
    <d v="2022-12-31T00:00:00"/>
    <d v="2022-12-31T00:00:00"/>
    <s v="JV2212.001"/>
    <s v="Kết chuyển kết quả hoạt động kinh doanh trong kỳ"/>
    <s v="911"/>
    <x v="0"/>
    <x v="1"/>
    <s v="421"/>
    <n v="0"/>
    <n v="161804"/>
  </r>
  <r>
    <d v="2022-10-31T00:00:00"/>
    <d v="2022-10-31T00:00:00"/>
    <s v="JV2210.001"/>
    <s v="Kết chuyển doanh thu hoạt động tài chính"/>
    <s v="515"/>
    <x v="1"/>
    <x v="3"/>
    <s v="911"/>
    <n v="1233"/>
    <n v="0"/>
  </r>
  <r>
    <d v="2022-10-31T00:00:00"/>
    <d v="2022-10-31T00:00:00"/>
    <s v="JV2210.001"/>
    <s v="Kết chuyển kết quả hoạt động kinh doanh trong kỳ"/>
    <s v="4212"/>
    <x v="2"/>
    <x v="3"/>
    <s v="911"/>
    <n v="0"/>
    <n v="1233"/>
  </r>
  <r>
    <d v="2022-11-30T00:00:00"/>
    <d v="2022-11-30T00:00:00"/>
    <s v="JV2211.001"/>
    <s v="Kết chuyển doanh thu hoạt động tài chính"/>
    <s v="515"/>
    <x v="1"/>
    <x v="3"/>
    <s v="911"/>
    <n v="3288"/>
    <n v="0"/>
  </r>
  <r>
    <d v="2022-11-30T00:00:00"/>
    <d v="2022-11-30T00:00:00"/>
    <s v="JV2211.001"/>
    <s v="Kết chuyển kết quả hoạt động kinh doanh trong kỳ"/>
    <s v="4212"/>
    <x v="2"/>
    <x v="3"/>
    <s v="911"/>
    <n v="0"/>
    <n v="3288"/>
  </r>
  <r>
    <d v="2022-12-31T00:00:00"/>
    <d v="2022-12-31T00:00:00"/>
    <s v="JV2212.001"/>
    <s v="Kết chuyển doanh thu hoạt động tài chính"/>
    <s v="515"/>
    <x v="1"/>
    <x v="3"/>
    <s v="911"/>
    <n v="3279"/>
    <n v="0"/>
  </r>
  <r>
    <d v="2022-12-31T00:00:00"/>
    <d v="2022-12-31T00:00:00"/>
    <s v="JV2212.001"/>
    <s v="Kết chuyển chi phí quản lý doanh nghiệp"/>
    <s v="6427"/>
    <x v="3"/>
    <x v="3"/>
    <s v="911"/>
    <n v="0"/>
    <n v="165083"/>
  </r>
  <r>
    <d v="2022-12-31T00:00:00"/>
    <d v="2022-12-31T00:00:00"/>
    <s v="JV2212.001"/>
    <s v="Kết chuyển kết quả hoạt động kinh doanh trong kỳ"/>
    <s v="4212"/>
    <x v="2"/>
    <x v="3"/>
    <s v="911"/>
    <n v="161804"/>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d v="2022-10-31T00:00:00"/>
    <d v="2022-10-31T00:00:00"/>
    <s v="JV2210.001"/>
    <s v="Kết chuyển doanh thu hoạt động tài chính"/>
    <s v="911"/>
    <s v="911"/>
    <x v="0"/>
    <s v="515"/>
    <n v="0"/>
    <n v="4633"/>
    <m/>
    <m/>
    <s v="Chi phí hợp lý"/>
    <n v="-4633"/>
  </r>
  <r>
    <d v="2022-10-31T00:00:00"/>
    <d v="2022-10-31T00:00:00"/>
    <s v="JV2210.001"/>
    <s v="Kết chuyển chi phí quản lý doanh nghiệp"/>
    <s v="911"/>
    <s v="911"/>
    <x v="1"/>
    <s v="642"/>
    <n v="371875"/>
    <n v="0"/>
    <m/>
    <m/>
    <s v="Chi phí hợp lý"/>
    <n v="371875"/>
  </r>
  <r>
    <d v="2022-10-31T00:00:00"/>
    <d v="2022-10-31T00:00:00"/>
    <s v="JV2210.001"/>
    <s v="Kết chuyển chi phí quản lý doanh nghiệp"/>
    <s v="911"/>
    <s v="911"/>
    <x v="2"/>
    <s v="642"/>
    <n v="2130000"/>
    <n v="0"/>
    <m/>
    <m/>
    <s v="Chi phí hợp lý"/>
    <n v="2130000"/>
  </r>
  <r>
    <d v="2022-10-31T00:00:00"/>
    <d v="2022-10-31T00:00:00"/>
    <s v="JV2210.001"/>
    <s v="Kết chuyển chi phí quản lý doanh nghiệp"/>
    <s v="911"/>
    <s v="911"/>
    <x v="3"/>
    <s v="642"/>
    <n v="8000000"/>
    <n v="0"/>
    <m/>
    <m/>
    <s v="Chi phí hợp lý"/>
    <n v="8000000"/>
  </r>
  <r>
    <d v="2022-10-31T00:00:00"/>
    <d v="2022-10-31T00:00:00"/>
    <s v="JV2210.001"/>
    <s v="Kết chuyển kết quả hoạt động kinh doanh trong kỳ"/>
    <s v="911"/>
    <s v="911"/>
    <x v="4"/>
    <s v="421"/>
    <n v="0"/>
    <n v="10497242"/>
    <m/>
    <m/>
    <s v="Chi phí hợp lý"/>
    <n v="-10497242"/>
  </r>
  <r>
    <d v="2022-11-30T00:00:00"/>
    <d v="2022-11-30T00:00:00"/>
    <s v="JV2211.001"/>
    <s v="Kết chuyển doanh thu hoạt động tài chính"/>
    <s v="911"/>
    <s v="911"/>
    <x v="0"/>
    <s v="515"/>
    <n v="0"/>
    <n v="6571"/>
    <m/>
    <m/>
    <s v="Chi phí hợp lý"/>
    <n v="-6571"/>
  </r>
  <r>
    <d v="2022-11-30T00:00:00"/>
    <d v="2022-11-30T00:00:00"/>
    <s v="JV2211.001"/>
    <s v="Kết chuyển chi phí quản lý doanh nghiệp"/>
    <s v="911"/>
    <s v="911"/>
    <x v="1"/>
    <s v="642"/>
    <n v="5871875"/>
    <n v="0"/>
    <m/>
    <m/>
    <s v="Chi phí hợp lý"/>
    <n v="5871875"/>
  </r>
  <r>
    <d v="2022-11-30T00:00:00"/>
    <d v="2022-11-30T00:00:00"/>
    <s v="JV2211.001"/>
    <s v="Kết chuyển chi phí quản lý doanh nghiệp"/>
    <s v="911"/>
    <s v="911"/>
    <x v="3"/>
    <s v="642"/>
    <n v="8000000"/>
    <n v="0"/>
    <m/>
    <m/>
    <s v="Chi phí hợp lý"/>
    <n v="8000000"/>
  </r>
  <r>
    <d v="2022-11-30T00:00:00"/>
    <d v="2022-11-30T00:00:00"/>
    <s v="JV2211.001"/>
    <s v="Kết chuyển kết quả hoạt động kinh doanh trong kỳ"/>
    <s v="911"/>
    <s v="911"/>
    <x v="4"/>
    <s v="421"/>
    <n v="0"/>
    <n v="13865304"/>
    <m/>
    <m/>
    <s v="Chi phí hợp lý"/>
    <n v="-13865304"/>
  </r>
  <r>
    <d v="2022-12-31T00:00:00"/>
    <d v="2022-12-31T00:00:00"/>
    <s v="JV2212.001"/>
    <s v="Kết chuyển doanh thu hoạt động tài chính"/>
    <s v="911"/>
    <s v="911"/>
    <x v="0"/>
    <s v="515"/>
    <n v="0"/>
    <n v="6499"/>
    <m/>
    <m/>
    <s v="Chi phí hợp lý"/>
    <n v="-6499"/>
  </r>
  <r>
    <d v="2022-12-31T00:00:00"/>
    <d v="2022-12-31T00:00:00"/>
    <s v="JV2212.001"/>
    <s v="Kết chuyển chi phí quản lý doanh nghiệp"/>
    <s v="911"/>
    <s v="911"/>
    <x v="1"/>
    <s v="642"/>
    <n v="371875"/>
    <n v="0"/>
    <m/>
    <m/>
    <s v="Chi phí hợp lý"/>
    <n v="371875"/>
  </r>
  <r>
    <d v="2022-12-31T00:00:00"/>
    <d v="2022-12-31T00:00:00"/>
    <s v="JV2212.001"/>
    <s v="Kết chuyển chi phí quản lý doanh nghiệp"/>
    <s v="911"/>
    <s v="911"/>
    <x v="3"/>
    <s v="642"/>
    <n v="8000000"/>
    <n v="0"/>
    <m/>
    <m/>
    <s v="Chi phí hợp lý"/>
    <n v="8000000"/>
  </r>
  <r>
    <d v="2022-12-31T00:00:00"/>
    <d v="2022-12-31T00:00:00"/>
    <s v="JV2212.001"/>
    <s v="Kết chuyển chi phí khác phát sinh trong kỳ"/>
    <s v="911"/>
    <s v="911"/>
    <x v="5"/>
    <s v="811"/>
    <n v="300000"/>
    <n v="0"/>
    <m/>
    <m/>
    <s v="Chi phí hợp lý"/>
    <n v="300000"/>
  </r>
  <r>
    <d v="2022-12-31T00:00:00"/>
    <d v="2022-12-31T00:00:00"/>
    <s v="JV2212.001"/>
    <s v="Kết chuyển kết quả hoạt động kinh doanh trong kỳ"/>
    <s v="911"/>
    <s v="911"/>
    <x v="4"/>
    <s v="421"/>
    <n v="0"/>
    <n v="8665376"/>
    <m/>
    <m/>
    <s v="Chi phí hợp lý"/>
    <n v="-866537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
  <r>
    <d v="2022-01-31T00:00:00"/>
    <d v="2022-01-31T00:00:00"/>
    <s v="KC202201"/>
    <s v="Kết chuyển lãi lỗ đến ngày 31/01/2022"/>
    <s v="Kết chuyển doanh thu bán hàng và cung cấp dịch vụ"/>
    <s v="911"/>
    <x v="0"/>
    <s v="511"/>
    <n v="0"/>
    <n v="6840013692"/>
    <m/>
    <m/>
    <m/>
    <s v="Chi phí hợp lý"/>
  </r>
  <r>
    <d v="2022-01-31T00:00:00"/>
    <d v="2022-01-31T00:00:00"/>
    <s v="KC202201"/>
    <s v="Kết chuyển lãi lỗ đến ngày 31/01/2022"/>
    <s v="Kết chuyển doanh thu bán hàng và cung cấp dịch vụ"/>
    <s v="911"/>
    <x v="1"/>
    <s v="511"/>
    <n v="0"/>
    <n v="3176550"/>
    <m/>
    <m/>
    <m/>
    <s v="Chi phí hợp lý"/>
  </r>
  <r>
    <d v="2022-01-31T00:00:00"/>
    <d v="2022-01-31T00:00:00"/>
    <s v="KC202201"/>
    <s v="Kết chuyển lãi lỗ đến ngày 31/01/2022"/>
    <s v="Kết chuyển doanh thu hoạt động tài chính"/>
    <s v="911"/>
    <x v="2"/>
    <s v="515"/>
    <n v="0"/>
    <n v="20199662"/>
    <m/>
    <m/>
    <m/>
    <s v="Chi phí hợp lý"/>
  </r>
  <r>
    <d v="2022-01-31T00:00:00"/>
    <d v="2022-01-31T00:00:00"/>
    <s v="KC202201"/>
    <s v="Kết chuyển lãi lỗ đến ngày 31/01/2022"/>
    <s v="Kết chuyển giá vốn hàng bán"/>
    <s v="911"/>
    <x v="3"/>
    <s v="632"/>
    <n v="6713372943"/>
    <n v="0"/>
    <m/>
    <m/>
    <m/>
    <s v="Chi phí hợp lý"/>
  </r>
  <r>
    <d v="2022-01-31T00:00:00"/>
    <d v="2022-01-31T00:00:00"/>
    <s v="KC202201"/>
    <s v="Kết chuyển lãi lỗ đến ngày 31/01/2022"/>
    <s v="Kết chuyển chi phí bán hàng"/>
    <s v="911"/>
    <x v="4"/>
    <s v="641"/>
    <n v="22300000"/>
    <n v="0"/>
    <m/>
    <m/>
    <m/>
    <s v="Chi phí hợp lý"/>
  </r>
  <r>
    <d v="2022-01-31T00:00:00"/>
    <d v="2022-01-31T00:00:00"/>
    <s v="KC202201"/>
    <s v="Kết chuyển lãi lỗ đến ngày 31/01/2022"/>
    <s v="Kết chuyển chi phí bán hàng"/>
    <s v="911"/>
    <x v="5"/>
    <s v="641"/>
    <n v="1056000"/>
    <n v="0"/>
    <m/>
    <m/>
    <m/>
    <s v="Chi phí hợp lý"/>
  </r>
  <r>
    <d v="2022-01-31T00:00:00"/>
    <d v="2022-01-31T00:00:00"/>
    <s v="KC202201"/>
    <s v="Kết chuyển lãi lỗ đến ngày 31/01/2022"/>
    <s v="Kết chuyển chi phí bán hàng"/>
    <s v="911"/>
    <x v="6"/>
    <s v="641"/>
    <n v="26385470"/>
    <n v="0"/>
    <m/>
    <m/>
    <m/>
    <s v="Chi phí hợp lý"/>
  </r>
  <r>
    <d v="2022-01-31T00:00:00"/>
    <d v="2022-01-31T00:00:00"/>
    <s v="KC202201"/>
    <s v="Kết chuyển lãi lỗ đến ngày 31/01/2022"/>
    <s v="Kết chuyển chi phí bán hàng"/>
    <s v="911"/>
    <x v="7"/>
    <s v="641"/>
    <n v="8042504"/>
    <n v="0"/>
    <m/>
    <m/>
    <m/>
    <s v="Chi phí hợp lý"/>
  </r>
  <r>
    <d v="2022-01-31T00:00:00"/>
    <d v="2022-01-31T00:00:00"/>
    <s v="KC202201"/>
    <s v="Kết chuyển lãi lỗ đến ngày 31/01/2022"/>
    <s v="Kết chuyển chi phí bán hàng"/>
    <s v="911"/>
    <x v="8"/>
    <s v="641"/>
    <n v="13142447"/>
    <n v="0"/>
    <m/>
    <m/>
    <m/>
    <s v="Chi phí hợp lý"/>
  </r>
  <r>
    <d v="2022-01-31T00:00:00"/>
    <d v="2022-01-31T00:00:00"/>
    <s v="KC202201"/>
    <s v="Kết chuyển lãi lỗ đến ngày 31/01/2022"/>
    <s v="Kết chuyển chi phí quản lý doanh nghiệp"/>
    <s v="911"/>
    <x v="9"/>
    <s v="642"/>
    <n v="71290724"/>
    <n v="0"/>
    <m/>
    <m/>
    <m/>
    <s v="Chi phí hợp lý"/>
  </r>
  <r>
    <d v="2022-01-31T00:00:00"/>
    <d v="2022-01-31T00:00:00"/>
    <s v="KC202201"/>
    <s v="Kết chuyển lãi lỗ đến ngày 31/01/2022"/>
    <s v="Kết chuyển chi phí quản lý doanh nghiệp"/>
    <s v="911"/>
    <x v="10"/>
    <s v="642"/>
    <n v="3696000"/>
    <n v="0"/>
    <m/>
    <m/>
    <m/>
    <s v="Chi phí hợp lý"/>
  </r>
  <r>
    <d v="2022-01-31T00:00:00"/>
    <d v="2022-01-31T00:00:00"/>
    <s v="KC202201"/>
    <s v="Kết chuyển lãi lỗ đến ngày 31/01/2022"/>
    <s v="Kết chuyển chi phí quản lý doanh nghiệp"/>
    <s v="911"/>
    <x v="11"/>
    <s v="642"/>
    <n v="2066264"/>
    <n v="0"/>
    <m/>
    <m/>
    <m/>
    <s v="Chi phí hợp lý"/>
  </r>
  <r>
    <d v="2022-01-31T00:00:00"/>
    <d v="2022-01-31T00:00:00"/>
    <s v="KC202201"/>
    <s v="Kết chuyển lãi lỗ đến ngày 31/01/2022"/>
    <s v="Kết chuyển chi phí quản lý doanh nghiệp"/>
    <s v="911"/>
    <x v="12"/>
    <s v="642"/>
    <n v="3000000"/>
    <n v="0"/>
    <m/>
    <m/>
    <m/>
    <s v="Chi phí hợp lý"/>
  </r>
  <r>
    <d v="2022-01-31T00:00:00"/>
    <d v="2022-01-31T00:00:00"/>
    <s v="KC202201"/>
    <s v="Kết chuyển lãi lỗ đến ngày 31/01/2022"/>
    <s v="Kết chuyển chi phí quản lý doanh nghiệp"/>
    <s v="911"/>
    <x v="13"/>
    <s v="642"/>
    <n v="1032797"/>
    <n v="0"/>
    <m/>
    <m/>
    <m/>
    <s v="Chi phí hợp lý"/>
  </r>
  <r>
    <d v="2022-01-31T00:00:00"/>
    <d v="2022-01-31T00:00:00"/>
    <s v="KC202201"/>
    <s v="Kết chuyển lãi lỗ đến ngày 31/01/2022"/>
    <s v="Kết chuyển chi phí quản lý doanh nghiệp"/>
    <s v="911"/>
    <x v="14"/>
    <s v="642"/>
    <n v="4446576"/>
    <n v="0"/>
    <m/>
    <m/>
    <m/>
    <s v="Chi phí hợp lý"/>
  </r>
  <r>
    <d v="2022-01-31T00:00:00"/>
    <d v="2022-01-31T00:00:00"/>
    <s v="KC202201"/>
    <s v="Kết chuyển lãi lỗ đến ngày 31/01/2022"/>
    <s v="Kết chuyển chi phí quản lý doanh nghiệp"/>
    <s v="911"/>
    <x v="15"/>
    <s v="642"/>
    <n v="26385470"/>
    <n v="0"/>
    <m/>
    <m/>
    <m/>
    <s v="Chi phí hợp lý"/>
  </r>
  <r>
    <d v="2022-01-31T00:00:00"/>
    <d v="2022-01-31T00:00:00"/>
    <s v="KC202201"/>
    <s v="Kết chuyển lãi lỗ đến ngày 31/01/2022"/>
    <s v="Kết chuyển chi phí quản lý doanh nghiệp"/>
    <s v="911"/>
    <x v="16"/>
    <s v="642"/>
    <n v="507908351"/>
    <n v="0"/>
    <m/>
    <m/>
    <m/>
    <s v="Chi phí hợp lý"/>
  </r>
  <r>
    <d v="2022-01-31T00:00:00"/>
    <d v="2022-01-31T00:00:00"/>
    <s v="KC202201"/>
    <s v="Kết chuyển lãi lỗ đến ngày 31/01/2022"/>
    <s v="Kết chuyển chi phí quản lý doanh nghiệp"/>
    <s v="911"/>
    <x v="17"/>
    <s v="642"/>
    <n v="8042506"/>
    <n v="0"/>
    <m/>
    <m/>
    <m/>
    <s v="Chi phí hợp lý"/>
  </r>
  <r>
    <d v="2022-01-31T00:00:00"/>
    <d v="2022-01-31T00:00:00"/>
    <s v="KC202201"/>
    <s v="Kết chuyển lãi lỗ đến ngày 31/01/2022"/>
    <s v="Kết chuyển chi phí quản lý doanh nghiệp"/>
    <s v="911"/>
    <x v="18"/>
    <s v="642"/>
    <n v="3175522"/>
    <n v="0"/>
    <m/>
    <m/>
    <m/>
    <s v="Chi phí hợp lý"/>
  </r>
  <r>
    <d v="2022-01-31T00:00:00"/>
    <d v="2022-01-31T00:00:00"/>
    <s v="KC202201"/>
    <s v="Kết chuyển lãi lỗ đến ngày 31/01/2022"/>
    <s v="Kết chuyển chi phí khác phát sinh trong kỳ"/>
    <s v="911"/>
    <x v="19"/>
    <s v="811"/>
    <n v="991688"/>
    <n v="0"/>
    <m/>
    <m/>
    <m/>
    <s v="Chi phí hợp lý"/>
  </r>
  <r>
    <d v="2022-01-31T00:00:00"/>
    <d v="2022-01-31T00:00:00"/>
    <s v="KC202201"/>
    <s v="Kết chuyển lãi lỗ đến ngày 31/01/2022"/>
    <s v="Kết chuyển kết quả hoạt động kinh doanh trong kỳ"/>
    <s v="911"/>
    <x v="20"/>
    <s v="421"/>
    <n v="0"/>
    <n v="552945358"/>
    <m/>
    <m/>
    <m/>
    <s v="Chi phí hợp lý"/>
  </r>
  <r>
    <d v="2022-02-28T00:00:00"/>
    <d v="2022-02-28T00:00:00"/>
    <s v="KC202202"/>
    <s v="Kết chuyển lãi lỗ đến ngày 28/02/2022"/>
    <s v="Kết chuyển doanh thu bán hàng và cung cấp dịch vụ"/>
    <s v="911"/>
    <x v="0"/>
    <s v="511"/>
    <n v="0"/>
    <n v="17321010054"/>
    <m/>
    <m/>
    <m/>
    <s v="Chi phí hợp lý"/>
  </r>
  <r>
    <d v="2022-02-28T00:00:00"/>
    <d v="2022-02-28T00:00:00"/>
    <s v="KC202202"/>
    <s v="Kết chuyển lãi lỗ đến ngày 28/02/2022"/>
    <s v="Kết chuyển doanh thu bán hàng và cung cấp dịch vụ"/>
    <s v="911"/>
    <x v="1"/>
    <s v="511"/>
    <n v="0"/>
    <n v="2865477"/>
    <m/>
    <m/>
    <m/>
    <s v="Chi phí hợp lý"/>
  </r>
  <r>
    <d v="2022-02-28T00:00:00"/>
    <d v="2022-02-28T00:00:00"/>
    <s v="KC202202"/>
    <s v="Kết chuyển lãi lỗ đến ngày 28/02/2022"/>
    <s v="Kết chuyển doanh thu hoạt động tài chính"/>
    <s v="911"/>
    <x v="2"/>
    <s v="515"/>
    <n v="0"/>
    <n v="13911365"/>
    <m/>
    <m/>
    <m/>
    <s v="Chi phí hợp lý"/>
  </r>
  <r>
    <d v="2022-02-28T00:00:00"/>
    <d v="2022-02-28T00:00:00"/>
    <s v="KC202202"/>
    <s v="Kết chuyển lãi lỗ đến ngày 28/02/2022"/>
    <s v="Kết chuyển giá vốn hàng bán"/>
    <s v="911"/>
    <x v="3"/>
    <s v="632"/>
    <n v="17036712039"/>
    <n v="0"/>
    <m/>
    <m/>
    <m/>
    <s v="Chi phí hợp lý"/>
  </r>
  <r>
    <d v="2022-02-28T00:00:00"/>
    <d v="2022-02-28T00:00:00"/>
    <s v="KC202202"/>
    <s v="Kết chuyển lãi lỗ đến ngày 28/02/2022"/>
    <s v="Kết chuyển chi phí bán hàng"/>
    <s v="911"/>
    <x v="4"/>
    <s v="641"/>
    <n v="15000000"/>
    <n v="0"/>
    <m/>
    <m/>
    <m/>
    <s v="Chi phí hợp lý"/>
  </r>
  <r>
    <d v="2022-02-28T00:00:00"/>
    <d v="2022-02-28T00:00:00"/>
    <s v="KC202202"/>
    <s v="Kết chuyển lãi lỗ đến ngày 28/02/2022"/>
    <s v="Kết chuyển chi phí bán hàng"/>
    <s v="911"/>
    <x v="5"/>
    <s v="641"/>
    <n v="1056000"/>
    <n v="0"/>
    <m/>
    <m/>
    <m/>
    <s v="Chi phí hợp lý"/>
  </r>
  <r>
    <d v="2022-02-28T00:00:00"/>
    <d v="2022-02-28T00:00:00"/>
    <s v="KC202202"/>
    <s v="Kết chuyển lãi lỗ đến ngày 28/02/2022"/>
    <s v="Kết chuyển chi phí bán hàng"/>
    <s v="911"/>
    <x v="6"/>
    <s v="641"/>
    <n v="26385470"/>
    <n v="0"/>
    <m/>
    <m/>
    <m/>
    <s v="Chi phí hợp lý"/>
  </r>
  <r>
    <d v="2022-02-28T00:00:00"/>
    <d v="2022-02-28T00:00:00"/>
    <s v="KC202202"/>
    <s v="Kết chuyển lãi lỗ đến ngày 28/02/2022"/>
    <s v="Kết chuyển chi phí bán hàng"/>
    <s v="911"/>
    <x v="7"/>
    <s v="641"/>
    <n v="8042504"/>
    <n v="0"/>
    <m/>
    <m/>
    <m/>
    <s v="Chi phí hợp lý"/>
  </r>
  <r>
    <d v="2022-02-28T00:00:00"/>
    <d v="2022-02-28T00:00:00"/>
    <s v="KC202202"/>
    <s v="Kết chuyển lãi lỗ đến ngày 28/02/2022"/>
    <s v="Kết chuyển chi phí bán hàng"/>
    <s v="911"/>
    <x v="8"/>
    <s v="641"/>
    <n v="44872058"/>
    <n v="0"/>
    <m/>
    <m/>
    <m/>
    <s v="Chi phí hợp lý"/>
  </r>
  <r>
    <d v="2022-02-28T00:00:00"/>
    <d v="2022-02-28T00:00:00"/>
    <s v="KC202202"/>
    <s v="Kết chuyển lãi lỗ đến ngày 28/02/2022"/>
    <s v="Kết chuyển chi phí quản lý doanh nghiệp"/>
    <s v="911"/>
    <x v="9"/>
    <s v="642"/>
    <n v="50950000"/>
    <n v="0"/>
    <m/>
    <m/>
    <m/>
    <s v="Chi phí hợp lý"/>
  </r>
  <r>
    <d v="2022-02-28T00:00:00"/>
    <d v="2022-02-28T00:00:00"/>
    <s v="KC202202"/>
    <s v="Kết chuyển lãi lỗ đến ngày 28/02/2022"/>
    <s v="Kết chuyển chi phí quản lý doanh nghiệp"/>
    <s v="911"/>
    <x v="10"/>
    <s v="642"/>
    <n v="3696000"/>
    <n v="0"/>
    <m/>
    <m/>
    <m/>
    <s v="Chi phí hợp lý"/>
  </r>
  <r>
    <d v="2022-02-28T00:00:00"/>
    <d v="2022-02-28T00:00:00"/>
    <s v="KC202202"/>
    <s v="Kết chuyển lãi lỗ đến ngày 28/02/2022"/>
    <s v="Kết chuyển chi phí quản lý doanh nghiệp"/>
    <s v="911"/>
    <x v="11"/>
    <s v="642"/>
    <n v="2066264"/>
    <n v="0"/>
    <m/>
    <m/>
    <m/>
    <s v="Chi phí hợp lý"/>
  </r>
  <r>
    <d v="2022-02-28T00:00:00"/>
    <d v="2022-02-28T00:00:00"/>
    <s v="KC202202"/>
    <s v="Kết chuyển lãi lỗ đến ngày 28/02/2022"/>
    <s v="Kết chuyển chi phí quản lý doanh nghiệp"/>
    <s v="911"/>
    <x v="14"/>
    <s v="642"/>
    <n v="3353000"/>
    <n v="0"/>
    <m/>
    <m/>
    <m/>
    <s v="Chi phí hợp lý"/>
  </r>
  <r>
    <d v="2022-02-28T00:00:00"/>
    <d v="2022-02-28T00:00:00"/>
    <s v="KC202202"/>
    <s v="Kết chuyển lãi lỗ đến ngày 28/02/2022"/>
    <s v="Kết chuyển chi phí quản lý doanh nghiệp"/>
    <s v="911"/>
    <x v="15"/>
    <s v="642"/>
    <n v="26385470"/>
    <n v="0"/>
    <m/>
    <m/>
    <m/>
    <s v="Chi phí hợp lý"/>
  </r>
  <r>
    <d v="2022-02-28T00:00:00"/>
    <d v="2022-02-28T00:00:00"/>
    <s v="KC202202"/>
    <s v="Kết chuyển lãi lỗ đến ngày 28/02/2022"/>
    <s v="Kết chuyển chi phí quản lý doanh nghiệp"/>
    <s v="911"/>
    <x v="16"/>
    <s v="642"/>
    <n v="2829541"/>
    <n v="0"/>
    <m/>
    <m/>
    <m/>
    <s v="Chi phí hợp lý"/>
  </r>
  <r>
    <d v="2022-02-28T00:00:00"/>
    <d v="2022-02-28T00:00:00"/>
    <s v="KC202202"/>
    <s v="Kết chuyển lãi lỗ đến ngày 28/02/2022"/>
    <s v="Kết chuyển chi phí quản lý doanh nghiệp"/>
    <s v="911"/>
    <x v="17"/>
    <s v="642"/>
    <n v="8042506"/>
    <n v="0"/>
    <m/>
    <m/>
    <m/>
    <s v="Chi phí hợp lý"/>
  </r>
  <r>
    <d v="2022-02-28T00:00:00"/>
    <d v="2022-02-28T00:00:00"/>
    <s v="KC202202"/>
    <s v="Kết chuyển lãi lỗ đến ngày 28/02/2022"/>
    <s v="Kết chuyển chi phí khác phát sinh trong kỳ"/>
    <s v="911"/>
    <x v="19"/>
    <s v="811"/>
    <n v="492990606"/>
    <n v="0"/>
    <m/>
    <m/>
    <m/>
    <s v="Chi phí hợp lý"/>
  </r>
  <r>
    <d v="2022-02-28T00:00:00"/>
    <d v="2022-02-28T00:00:00"/>
    <s v="KC202202"/>
    <s v="Kết chuyển lãi lỗ đến ngày 28/02/2022"/>
    <s v="Kết chuyển kết quả hoạt động kinh doanh trong kỳ"/>
    <s v="911"/>
    <x v="20"/>
    <s v="421"/>
    <n v="0"/>
    <n v="384594562"/>
    <m/>
    <m/>
    <m/>
    <s v="Chi phí hợp lý"/>
  </r>
  <r>
    <d v="2022-03-31T00:00:00"/>
    <d v="2022-03-31T00:00:00"/>
    <s v="KC202203"/>
    <s v="Kết chuyển lãi lỗ đến ngày 31/03/2022"/>
    <s v="Kết chuyển doanh thu bán hàng và cung cấp dịch vụ"/>
    <s v="911"/>
    <x v="0"/>
    <s v="511"/>
    <n v="0"/>
    <n v="18156631068"/>
    <m/>
    <m/>
    <m/>
    <s v="Chi phí hợp lý"/>
  </r>
  <r>
    <d v="2022-03-31T00:00:00"/>
    <d v="2022-03-31T00:00:00"/>
    <s v="KC202203"/>
    <s v="Kết chuyển lãi lỗ đến ngày 31/03/2022"/>
    <s v="Kết chuyển doanh thu bán hàng và cung cấp dịch vụ"/>
    <s v="911"/>
    <x v="1"/>
    <s v="511"/>
    <n v="0"/>
    <n v="2373500"/>
    <m/>
    <m/>
    <m/>
    <s v="Chi phí hợp lý"/>
  </r>
  <r>
    <d v="2022-03-31T00:00:00"/>
    <d v="2022-03-31T00:00:00"/>
    <s v="KC202203"/>
    <s v="Kết chuyển lãi lỗ đến ngày 31/03/2022"/>
    <s v="Kết chuyển doanh thu hoạt động tài chính"/>
    <s v="911"/>
    <x v="2"/>
    <s v="515"/>
    <n v="0"/>
    <n v="27928560"/>
    <m/>
    <m/>
    <m/>
    <s v="Chi phí hợp lý"/>
  </r>
  <r>
    <d v="2022-03-31T00:00:00"/>
    <d v="2022-03-31T00:00:00"/>
    <s v="KC202203"/>
    <s v="Kết chuyển lãi lỗ đến ngày 31/03/2022"/>
    <s v="Kết chuyển giá vốn hàng bán"/>
    <s v="911"/>
    <x v="3"/>
    <s v="632"/>
    <n v="17886233231"/>
    <n v="0"/>
    <m/>
    <m/>
    <m/>
    <s v="Chi phí hợp lý"/>
  </r>
  <r>
    <d v="2022-03-31T00:00:00"/>
    <d v="2022-03-31T00:00:00"/>
    <s v="KC202203"/>
    <s v="Kết chuyển lãi lỗ đến ngày 31/03/2022"/>
    <s v="Kết chuyển chi phí hoạt động tài chính"/>
    <s v="911"/>
    <x v="21"/>
    <s v="635"/>
    <n v="85000000000"/>
    <n v="0"/>
    <m/>
    <m/>
    <m/>
    <s v="Chi phí hợp lý"/>
  </r>
  <r>
    <d v="2022-03-31T00:00:00"/>
    <d v="2022-03-31T00:00:00"/>
    <s v="KC202203"/>
    <s v="Kết chuyển lãi lỗ đến ngày 31/03/2022"/>
    <s v="Kết chuyển chi phí bán hàng"/>
    <s v="911"/>
    <x v="4"/>
    <s v="641"/>
    <n v="15000000"/>
    <n v="0"/>
    <m/>
    <m/>
    <m/>
    <s v="Chi phí hợp lý"/>
  </r>
  <r>
    <d v="2022-03-31T00:00:00"/>
    <d v="2022-03-31T00:00:00"/>
    <s v="KC202203"/>
    <s v="Kết chuyển lãi lỗ đến ngày 31/03/2022"/>
    <s v="Kết chuyển chi phí bán hàng"/>
    <s v="911"/>
    <x v="5"/>
    <s v="641"/>
    <n v="1056000"/>
    <n v="0"/>
    <m/>
    <m/>
    <m/>
    <s v="Chi phí hợp lý"/>
  </r>
  <r>
    <d v="2022-03-31T00:00:00"/>
    <d v="2022-03-31T00:00:00"/>
    <s v="KC202203"/>
    <s v="Kết chuyển lãi lỗ đến ngày 31/03/2022"/>
    <s v="Kết chuyển chi phí bán hàng"/>
    <s v="911"/>
    <x v="22"/>
    <s v="641"/>
    <n v="1170000"/>
    <n v="0"/>
    <m/>
    <m/>
    <m/>
    <s v="Chi phí hợp lý"/>
  </r>
  <r>
    <d v="2022-03-31T00:00:00"/>
    <d v="2022-03-31T00:00:00"/>
    <s v="KC202203"/>
    <s v="Kết chuyển lãi lỗ đến ngày 31/03/2022"/>
    <s v="Kết chuyển chi phí bán hàng"/>
    <s v="911"/>
    <x v="6"/>
    <s v="641"/>
    <n v="26385470"/>
    <n v="0"/>
    <m/>
    <m/>
    <m/>
    <s v="Chi phí hợp lý"/>
  </r>
  <r>
    <d v="2022-03-31T00:00:00"/>
    <d v="2022-03-31T00:00:00"/>
    <s v="KC202203"/>
    <s v="Kết chuyển lãi lỗ đến ngày 31/03/2022"/>
    <s v="Kết chuyển chi phí bán hàng"/>
    <s v="911"/>
    <x v="7"/>
    <s v="641"/>
    <n v="8042504"/>
    <n v="0"/>
    <m/>
    <m/>
    <m/>
    <s v="Chi phí hợp lý"/>
  </r>
  <r>
    <d v="2022-03-31T00:00:00"/>
    <d v="2022-03-31T00:00:00"/>
    <s v="KC202203"/>
    <s v="Kết chuyển lãi lỗ đến ngày 31/03/2022"/>
    <s v="Kết chuyển chi phí bán hàng"/>
    <s v="911"/>
    <x v="8"/>
    <s v="641"/>
    <n v="32565809"/>
    <n v="0"/>
    <m/>
    <m/>
    <m/>
    <s v="Chi phí hợp lý"/>
  </r>
  <r>
    <d v="2022-03-31T00:00:00"/>
    <d v="2022-03-31T00:00:00"/>
    <s v="KC202203"/>
    <s v="Kết chuyển lãi lỗ đến ngày 31/03/2022"/>
    <s v="Kết chuyển chi phí quản lý doanh nghiệp"/>
    <s v="911"/>
    <x v="9"/>
    <s v="642"/>
    <n v="47236957"/>
    <n v="0"/>
    <m/>
    <m/>
    <m/>
    <s v="Chi phí hợp lý"/>
  </r>
  <r>
    <d v="2022-03-31T00:00:00"/>
    <d v="2022-03-31T00:00:00"/>
    <s v="KC202203"/>
    <s v="Kết chuyển lãi lỗ đến ngày 31/03/2022"/>
    <s v="Kết chuyển chi phí quản lý doanh nghiệp"/>
    <s v="911"/>
    <x v="10"/>
    <s v="642"/>
    <n v="3696000"/>
    <n v="0"/>
    <m/>
    <m/>
    <m/>
    <s v="Chi phí hợp lý"/>
  </r>
  <r>
    <d v="2022-03-31T00:00:00"/>
    <d v="2022-03-31T00:00:00"/>
    <s v="KC202203"/>
    <s v="Kết chuyển lãi lỗ đến ngày 31/03/2022"/>
    <s v="Kết chuyển chi phí quản lý doanh nghiệp"/>
    <s v="911"/>
    <x v="23"/>
    <s v="642"/>
    <n v="3510000"/>
    <n v="0"/>
    <m/>
    <m/>
    <m/>
    <s v="Chi phí hợp lý"/>
  </r>
  <r>
    <d v="2022-03-31T00:00:00"/>
    <d v="2022-03-31T00:00:00"/>
    <s v="KC202203"/>
    <s v="Kết chuyển lãi lỗ đến ngày 31/03/2022"/>
    <s v="Kết chuyển chi phí quản lý doanh nghiệp"/>
    <s v="911"/>
    <x v="11"/>
    <s v="642"/>
    <n v="2066264"/>
    <n v="0"/>
    <m/>
    <m/>
    <m/>
    <s v="Chi phí hợp lý"/>
  </r>
  <r>
    <d v="2022-03-31T00:00:00"/>
    <d v="2022-03-31T00:00:00"/>
    <s v="KC202203"/>
    <s v="Kết chuyển lãi lỗ đến ngày 31/03/2022"/>
    <s v="Kết chuyển chi phí quản lý doanh nghiệp"/>
    <s v="911"/>
    <x v="13"/>
    <s v="642"/>
    <n v="220000"/>
    <n v="0"/>
    <m/>
    <m/>
    <m/>
    <s v="Chi phí hợp lý"/>
  </r>
  <r>
    <d v="2022-03-31T00:00:00"/>
    <d v="2022-03-31T00:00:00"/>
    <s v="KC202203"/>
    <s v="Kết chuyển lãi lỗ đến ngày 31/03/2022"/>
    <s v="Kết chuyển chi phí quản lý doanh nghiệp"/>
    <s v="911"/>
    <x v="14"/>
    <s v="642"/>
    <n v="3715632"/>
    <n v="0"/>
    <m/>
    <m/>
    <m/>
    <s v="Chi phí hợp lý"/>
  </r>
  <r>
    <d v="2022-03-31T00:00:00"/>
    <d v="2022-03-31T00:00:00"/>
    <s v="KC202203"/>
    <s v="Kết chuyển lãi lỗ đến ngày 31/03/2022"/>
    <s v="Kết chuyển chi phí quản lý doanh nghiệp"/>
    <s v="911"/>
    <x v="15"/>
    <s v="642"/>
    <n v="26385471"/>
    <n v="0"/>
    <m/>
    <m/>
    <m/>
    <s v="Chi phí hợp lý"/>
  </r>
  <r>
    <d v="2022-03-31T00:00:00"/>
    <d v="2022-03-31T00:00:00"/>
    <s v="KC202203"/>
    <s v="Kết chuyển lãi lỗ đến ngày 31/03/2022"/>
    <s v="Kết chuyển chi phí quản lý doanh nghiệp"/>
    <s v="911"/>
    <x v="16"/>
    <s v="642"/>
    <n v="2829541"/>
    <n v="0"/>
    <m/>
    <m/>
    <m/>
    <s v="Chi phí hợp lý"/>
  </r>
  <r>
    <d v="2022-03-31T00:00:00"/>
    <d v="2022-03-31T00:00:00"/>
    <s v="KC202203"/>
    <s v="Kết chuyển lãi lỗ đến ngày 31/03/2022"/>
    <s v="Kết chuyển chi phí quản lý doanh nghiệp"/>
    <s v="911"/>
    <x v="17"/>
    <s v="642"/>
    <n v="8042506"/>
    <n v="0"/>
    <m/>
    <m/>
    <m/>
    <s v="Chi phí hợp lý"/>
  </r>
  <r>
    <d v="2022-03-31T00:00:00"/>
    <d v="2022-03-31T00:00:00"/>
    <s v="KC202203"/>
    <s v="Kết chuyển lãi lỗ đến ngày 31/03/2022"/>
    <s v="Kết chuyển kết quả hoạt động kinh doanh trong kỳ"/>
    <s v="911"/>
    <x v="20"/>
    <s v="421"/>
    <n v="0"/>
    <n v="84881222257"/>
    <m/>
    <m/>
    <m/>
    <s v="Chi phí hợp lý"/>
  </r>
  <r>
    <d v="2022-04-30T00:00:00"/>
    <d v="2022-04-30T00:00:00"/>
    <s v="KC202204"/>
    <s v="Kết chuyển lãi lỗ đến ngày 30/04/2022"/>
    <s v="Kết chuyển doanh thu bán hàng và cung cấp dịch vụ"/>
    <s v="911"/>
    <x v="0"/>
    <s v="511"/>
    <n v="0"/>
    <n v="8221383352"/>
    <m/>
    <m/>
    <m/>
    <s v="Chi phí hợp lý"/>
  </r>
  <r>
    <d v="2022-04-30T00:00:00"/>
    <d v="2022-04-30T00:00:00"/>
    <s v="KC202204"/>
    <s v="Kết chuyển lãi lỗ đến ngày 30/04/2022"/>
    <s v="Kết chuyển doanh thu bán hàng và cung cấp dịch vụ"/>
    <s v="911"/>
    <x v="1"/>
    <s v="511"/>
    <n v="0"/>
    <n v="1231945"/>
    <m/>
    <m/>
    <m/>
    <s v="Chi phí hợp lý"/>
  </r>
  <r>
    <d v="2022-04-30T00:00:00"/>
    <d v="2022-04-30T00:00:00"/>
    <s v="KC202204"/>
    <s v="Kết chuyển lãi lỗ đến ngày 30/04/2022"/>
    <s v="Kết chuyển doanh thu hoạt động tài chính"/>
    <s v="911"/>
    <x v="2"/>
    <s v="515"/>
    <n v="0"/>
    <n v="77847358"/>
    <m/>
    <m/>
    <m/>
    <s v="Chi phí hợp lý"/>
  </r>
  <r>
    <d v="2022-04-30T00:00:00"/>
    <d v="2022-04-30T00:00:00"/>
    <s v="KC202204"/>
    <s v="Kết chuyển lãi lỗ đến ngày 30/04/2022"/>
    <s v="Kết chuyển giá vốn hàng bán"/>
    <s v="911"/>
    <x v="3"/>
    <s v="632"/>
    <n v="8103248630"/>
    <n v="0"/>
    <m/>
    <m/>
    <m/>
    <s v="Chi phí hợp lý"/>
  </r>
  <r>
    <d v="2022-04-30T00:00:00"/>
    <d v="2022-04-30T00:00:00"/>
    <s v="KC202204"/>
    <s v="Kết chuyển lãi lỗ đến ngày 30/04/2022"/>
    <s v="Kết chuyển chi phí bán hàng"/>
    <s v="911"/>
    <x v="4"/>
    <s v="641"/>
    <n v="14428571"/>
    <n v="0"/>
    <m/>
    <m/>
    <m/>
    <s v="Chi phí hợp lý"/>
  </r>
  <r>
    <d v="2022-04-30T00:00:00"/>
    <d v="2022-04-30T00:00:00"/>
    <s v="KC202204"/>
    <s v="Kết chuyển lãi lỗ đến ngày 30/04/2022"/>
    <s v="Kết chuyển chi phí bán hàng"/>
    <s v="911"/>
    <x v="5"/>
    <s v="641"/>
    <n v="1056000"/>
    <n v="0"/>
    <m/>
    <m/>
    <m/>
    <s v="Chi phí hợp lý"/>
  </r>
  <r>
    <d v="2022-04-30T00:00:00"/>
    <d v="2022-04-30T00:00:00"/>
    <s v="KC202204"/>
    <s v="Kết chuyển lãi lỗ đến ngày 30/04/2022"/>
    <s v="Kết chuyển chi phí bán hàng"/>
    <s v="911"/>
    <x v="6"/>
    <s v="641"/>
    <n v="26526758"/>
    <n v="0"/>
    <m/>
    <m/>
    <m/>
    <s v="Chi phí hợp lý"/>
  </r>
  <r>
    <d v="2022-04-30T00:00:00"/>
    <d v="2022-04-30T00:00:00"/>
    <s v="KC202204"/>
    <s v="Kết chuyển lãi lỗ đến ngày 30/04/2022"/>
    <s v="Kết chuyển chi phí bán hàng"/>
    <s v="911"/>
    <x v="7"/>
    <s v="641"/>
    <n v="8042504"/>
    <n v="0"/>
    <m/>
    <m/>
    <m/>
    <s v="Chi phí hợp lý"/>
  </r>
  <r>
    <d v="2022-04-30T00:00:00"/>
    <d v="2022-04-30T00:00:00"/>
    <s v="KC202204"/>
    <s v="Kết chuyển lãi lỗ đến ngày 30/04/2022"/>
    <s v="Kết chuyển chi phí bán hàng"/>
    <s v="911"/>
    <x v="8"/>
    <s v="641"/>
    <n v="14847599"/>
    <n v="0"/>
    <m/>
    <m/>
    <m/>
    <s v="Chi phí hợp lý"/>
  </r>
  <r>
    <d v="2022-04-30T00:00:00"/>
    <d v="2022-04-30T00:00:00"/>
    <s v="KC202204"/>
    <s v="Kết chuyển lãi lỗ đến ngày 30/04/2022"/>
    <s v="Kết chuyển chi phí quản lý doanh nghiệp"/>
    <s v="911"/>
    <x v="9"/>
    <s v="642"/>
    <n v="43500000"/>
    <n v="0"/>
    <m/>
    <m/>
    <m/>
    <s v="Chi phí hợp lý"/>
  </r>
  <r>
    <d v="2022-04-30T00:00:00"/>
    <d v="2022-04-30T00:00:00"/>
    <s v="KC202204"/>
    <s v="Kết chuyển lãi lỗ đến ngày 30/04/2022"/>
    <s v="Kết chuyển chi phí quản lý doanh nghiệp"/>
    <s v="911"/>
    <x v="10"/>
    <s v="642"/>
    <n v="2640000"/>
    <n v="0"/>
    <m/>
    <m/>
    <m/>
    <s v="Chi phí hợp lý"/>
  </r>
  <r>
    <d v="2022-04-30T00:00:00"/>
    <d v="2022-04-30T00:00:00"/>
    <s v="KC202204"/>
    <s v="Kết chuyển lãi lỗ đến ngày 30/04/2022"/>
    <s v="Kết chuyển chi phí quản lý doanh nghiệp"/>
    <s v="911"/>
    <x v="11"/>
    <s v="642"/>
    <n v="2066264"/>
    <n v="0"/>
    <m/>
    <m/>
    <m/>
    <s v="Chi phí hợp lý"/>
  </r>
  <r>
    <d v="2022-04-30T00:00:00"/>
    <d v="2022-04-30T00:00:00"/>
    <s v="KC202204"/>
    <s v="Kết chuyển lãi lỗ đến ngày 30/04/2022"/>
    <s v="Kết chuyển chi phí quản lý doanh nghiệp"/>
    <s v="911"/>
    <x v="14"/>
    <s v="642"/>
    <n v="7719976"/>
    <n v="0"/>
    <m/>
    <m/>
    <m/>
    <s v="Chi phí hợp lý"/>
  </r>
  <r>
    <d v="2022-04-30T00:00:00"/>
    <d v="2022-04-30T00:00:00"/>
    <s v="KC202204"/>
    <s v="Kết chuyển lãi lỗ đến ngày 30/04/2022"/>
    <s v="Kết chuyển chi phí quản lý doanh nghiệp"/>
    <s v="911"/>
    <x v="15"/>
    <s v="642"/>
    <n v="26526759"/>
    <n v="0"/>
    <m/>
    <m/>
    <m/>
    <s v="Chi phí hợp lý"/>
  </r>
  <r>
    <d v="2022-04-30T00:00:00"/>
    <d v="2022-04-30T00:00:00"/>
    <s v="KC202204"/>
    <s v="Kết chuyển lãi lỗ đến ngày 30/04/2022"/>
    <s v="Kết chuyển chi phí quản lý doanh nghiệp"/>
    <s v="911"/>
    <x v="16"/>
    <s v="642"/>
    <n v="4566116"/>
    <n v="0"/>
    <m/>
    <m/>
    <m/>
    <s v="Chi phí hợp lý"/>
  </r>
  <r>
    <d v="2022-04-30T00:00:00"/>
    <d v="2022-04-30T00:00:00"/>
    <s v="KC202204"/>
    <s v="Kết chuyển lãi lỗ đến ngày 30/04/2022"/>
    <s v="Kết chuyển chi phí quản lý doanh nghiệp"/>
    <s v="911"/>
    <x v="17"/>
    <s v="642"/>
    <n v="8042506"/>
    <n v="0"/>
    <m/>
    <m/>
    <m/>
    <s v="Chi phí hợp lý"/>
  </r>
  <r>
    <d v="2022-04-30T00:00:00"/>
    <d v="2022-04-30T00:00:00"/>
    <s v="KC202204"/>
    <s v="Kết chuyển lãi lỗ đến ngày 30/04/2022"/>
    <s v="Kết chuyển kết quả hoạt động kinh doanh trong kỳ"/>
    <s v="911"/>
    <x v="20"/>
    <s v="421"/>
    <n v="37250972"/>
    <n v="0"/>
    <m/>
    <m/>
    <m/>
    <s v="Chi phí hợp lý"/>
  </r>
  <r>
    <d v="2022-05-31T00:00:00"/>
    <d v="2022-05-31T00:00:00"/>
    <s v="KC202205"/>
    <s v="Kết chuyển lãi lỗ đến ngày 31/05/2022"/>
    <s v="Kết chuyển doanh thu bán hàng và cung cấp dịch vụ"/>
    <s v="911"/>
    <x v="0"/>
    <s v="511"/>
    <n v="0"/>
    <n v="8141124327"/>
    <m/>
    <m/>
    <m/>
    <s v="Chi phí hợp lý"/>
  </r>
  <r>
    <d v="2022-05-31T00:00:00"/>
    <d v="2022-05-31T00:00:00"/>
    <s v="KC202205"/>
    <s v="Kết chuyển lãi lỗ đến ngày 31/05/2022"/>
    <s v="Kết chuyển doanh thu bán hàng và cung cấp dịch vụ"/>
    <s v="911"/>
    <x v="1"/>
    <s v="511"/>
    <n v="0"/>
    <n v="791364"/>
    <m/>
    <m/>
    <m/>
    <s v="Chi phí hợp lý"/>
  </r>
  <r>
    <d v="2022-05-31T00:00:00"/>
    <d v="2022-05-31T00:00:00"/>
    <s v="KC202205"/>
    <s v="Kết chuyển lãi lỗ đến ngày 31/05/2022"/>
    <s v="Kết chuyển doanh thu hoạt động tài chính"/>
    <s v="911"/>
    <x v="2"/>
    <s v="515"/>
    <n v="0"/>
    <n v="80909688"/>
    <m/>
    <m/>
    <m/>
    <s v="Chi phí hợp lý"/>
  </r>
  <r>
    <d v="2022-05-31T00:00:00"/>
    <d v="2022-05-31T00:00:00"/>
    <s v="KC202205"/>
    <s v="Kết chuyển lãi lỗ đến ngày 31/05/2022"/>
    <s v="Kết chuyển giá vốn hàng bán"/>
    <s v="911"/>
    <x v="3"/>
    <s v="632"/>
    <n v="8026585281"/>
    <n v="0"/>
    <m/>
    <m/>
    <m/>
    <s v="Chi phí hợp lý"/>
  </r>
  <r>
    <d v="2022-05-31T00:00:00"/>
    <d v="2022-05-31T00:00:00"/>
    <s v="KC202205"/>
    <s v="Kết chuyển lãi lỗ đến ngày 31/05/2022"/>
    <s v="Kết chuyển chi phí bán hàng"/>
    <s v="911"/>
    <x v="4"/>
    <s v="641"/>
    <n v="13977273"/>
    <n v="0"/>
    <m/>
    <m/>
    <m/>
    <s v="Chi phí hợp lý"/>
  </r>
  <r>
    <d v="2022-05-31T00:00:00"/>
    <d v="2022-05-31T00:00:00"/>
    <s v="KC202205"/>
    <s v="Kết chuyển lãi lỗ đến ngày 31/05/2022"/>
    <s v="Kết chuyển chi phí bán hàng"/>
    <s v="911"/>
    <x v="5"/>
    <s v="641"/>
    <n v="1056000"/>
    <n v="0"/>
    <m/>
    <m/>
    <m/>
    <s v="Chi phí hợp lý"/>
  </r>
  <r>
    <d v="2022-05-31T00:00:00"/>
    <d v="2022-05-31T00:00:00"/>
    <s v="KC202205"/>
    <s v="Kết chuyển lãi lỗ đến ngày 31/05/2022"/>
    <s v="Kết chuyển chi phí bán hàng"/>
    <s v="911"/>
    <x v="6"/>
    <s v="641"/>
    <n v="26526758"/>
    <n v="0"/>
    <m/>
    <m/>
    <m/>
    <s v="Chi phí hợp lý"/>
  </r>
  <r>
    <d v="2022-05-31T00:00:00"/>
    <d v="2022-05-31T00:00:00"/>
    <s v="KC202205"/>
    <s v="Kết chuyển lãi lỗ đến ngày 31/05/2022"/>
    <s v="Kết chuyển chi phí bán hàng"/>
    <s v="911"/>
    <x v="7"/>
    <s v="641"/>
    <n v="8042504"/>
    <n v="0"/>
    <m/>
    <m/>
    <m/>
    <s v="Chi phí hợp lý"/>
  </r>
  <r>
    <d v="2022-05-31T00:00:00"/>
    <d v="2022-05-31T00:00:00"/>
    <s v="KC202205"/>
    <s v="Kết chuyển lãi lỗ đến ngày 31/05/2022"/>
    <s v="Kết chuyển chi phí bán hàng"/>
    <s v="911"/>
    <x v="8"/>
    <s v="641"/>
    <n v="15810747"/>
    <n v="0"/>
    <m/>
    <m/>
    <m/>
    <s v="Chi phí hợp lý"/>
  </r>
  <r>
    <d v="2022-05-31T00:00:00"/>
    <d v="2022-05-31T00:00:00"/>
    <s v="KC202205"/>
    <s v="Kết chuyển lãi lỗ đến ngày 31/05/2022"/>
    <s v="Kết chuyển chi phí quản lý doanh nghiệp"/>
    <s v="911"/>
    <x v="9"/>
    <s v="642"/>
    <n v="35872727"/>
    <n v="0"/>
    <m/>
    <m/>
    <m/>
    <s v="Chi phí hợp lý"/>
  </r>
  <r>
    <d v="2022-05-31T00:00:00"/>
    <d v="2022-05-31T00:00:00"/>
    <s v="KC202205"/>
    <s v="Kết chuyển lãi lỗ đến ngày 31/05/2022"/>
    <s v="Kết chuyển chi phí quản lý doanh nghiệp"/>
    <s v="911"/>
    <x v="10"/>
    <s v="642"/>
    <n v="2640000"/>
    <n v="0"/>
    <m/>
    <m/>
    <m/>
    <s v="Chi phí hợp lý"/>
  </r>
  <r>
    <d v="2022-05-31T00:00:00"/>
    <d v="2022-05-31T00:00:00"/>
    <s v="KC202205"/>
    <s v="Kết chuyển lãi lỗ đến ngày 31/05/2022"/>
    <s v="Kết chuyển chi phí quản lý doanh nghiệp"/>
    <s v="911"/>
    <x v="23"/>
    <s v="642"/>
    <n v="3408500"/>
    <n v="0"/>
    <m/>
    <m/>
    <m/>
    <s v="Chi phí hợp lý"/>
  </r>
  <r>
    <d v="2022-05-31T00:00:00"/>
    <d v="2022-05-31T00:00:00"/>
    <s v="KC202205"/>
    <s v="Kết chuyển lãi lỗ đến ngày 31/05/2022"/>
    <s v="Kết chuyển chi phí quản lý doanh nghiệp"/>
    <s v="911"/>
    <x v="11"/>
    <s v="642"/>
    <n v="2066264"/>
    <n v="0"/>
    <m/>
    <m/>
    <m/>
    <s v="Chi phí hợp lý"/>
  </r>
  <r>
    <d v="2022-05-31T00:00:00"/>
    <d v="2022-05-31T00:00:00"/>
    <s v="KC202205"/>
    <s v="Kết chuyển lãi lỗ đến ngày 31/05/2022"/>
    <s v="Kết chuyển chi phí quản lý doanh nghiệp"/>
    <s v="911"/>
    <x v="13"/>
    <s v="642"/>
    <n v="154000"/>
    <n v="0"/>
    <m/>
    <m/>
    <m/>
    <s v="Chi phí hợp lý"/>
  </r>
  <r>
    <d v="2022-05-31T00:00:00"/>
    <d v="2022-05-31T00:00:00"/>
    <s v="KC202205"/>
    <s v="Kết chuyển lãi lỗ đến ngày 31/05/2022"/>
    <s v="Kết chuyển chi phí quản lý doanh nghiệp"/>
    <s v="911"/>
    <x v="14"/>
    <s v="642"/>
    <n v="17949019"/>
    <n v="0"/>
    <m/>
    <m/>
    <m/>
    <s v="Chi phí hợp lý"/>
  </r>
  <r>
    <d v="2022-05-31T00:00:00"/>
    <d v="2022-05-31T00:00:00"/>
    <s v="KC202205"/>
    <s v="Kết chuyển lãi lỗ đến ngày 31/05/2022"/>
    <s v="Kết chuyển chi phí quản lý doanh nghiệp"/>
    <s v="911"/>
    <x v="15"/>
    <s v="642"/>
    <n v="26526759"/>
    <n v="0"/>
    <m/>
    <m/>
    <m/>
    <s v="Chi phí hợp lý"/>
  </r>
  <r>
    <d v="2022-05-31T00:00:00"/>
    <d v="2022-05-31T00:00:00"/>
    <s v="KC202205"/>
    <s v="Kết chuyển lãi lỗ đến ngày 31/05/2022"/>
    <s v="Kết chuyển chi phí quản lý doanh nghiệp"/>
    <s v="911"/>
    <x v="16"/>
    <s v="642"/>
    <n v="2829541"/>
    <n v="0"/>
    <m/>
    <m/>
    <m/>
    <s v="Chi phí hợp lý"/>
  </r>
  <r>
    <d v="2022-05-31T00:00:00"/>
    <d v="2022-05-31T00:00:00"/>
    <s v="KC202205"/>
    <s v="Kết chuyển lãi lỗ đến ngày 31/05/2022"/>
    <s v="Kết chuyển chi phí quản lý doanh nghiệp"/>
    <s v="911"/>
    <x v="17"/>
    <s v="642"/>
    <n v="8042506"/>
    <n v="0"/>
    <m/>
    <m/>
    <m/>
    <s v="Chi phí hợp lý"/>
  </r>
  <r>
    <d v="2022-05-31T00:00:00"/>
    <d v="2022-05-31T00:00:00"/>
    <s v="KC202205"/>
    <s v="Kết chuyển lãi lỗ đến ngày 31/05/2022"/>
    <s v="Kết chuyển kết quả hoạt động kinh doanh trong kỳ"/>
    <s v="911"/>
    <x v="20"/>
    <s v="421"/>
    <n v="31337500"/>
    <n v="0"/>
    <m/>
    <m/>
    <m/>
    <s v="Chi phí hợp lý"/>
  </r>
  <r>
    <d v="2022-06-30T00:00:00"/>
    <d v="2022-06-30T00:00:00"/>
    <s v="JV2206.012"/>
    <s v="Kết chuyển lãi lỗ đến ngày 30/06/2022"/>
    <s v="Kết chuyển doanh thu bán hàng và cung cấp dịch vụ"/>
    <s v="911"/>
    <x v="0"/>
    <s v="511"/>
    <n v="0"/>
    <n v="12107402705"/>
    <m/>
    <m/>
    <m/>
    <s v="Chi phí hợp lý"/>
  </r>
  <r>
    <d v="2022-06-30T00:00:00"/>
    <d v="2022-06-30T00:00:00"/>
    <s v="JV2206.012"/>
    <s v="Kết chuyển lãi lỗ đến ngày 30/06/2022"/>
    <s v="Kết chuyển doanh thu hoạt động tài chính"/>
    <s v="911"/>
    <x v="2"/>
    <s v="515"/>
    <n v="0"/>
    <n v="67762269"/>
    <m/>
    <m/>
    <m/>
    <s v="Chi phí hợp lý"/>
  </r>
  <r>
    <d v="2022-06-30T00:00:00"/>
    <d v="2022-06-30T00:00:00"/>
    <s v="JV2206.012"/>
    <s v="Kết chuyển lãi lỗ đến ngày 30/06/2022"/>
    <s v="Kết chuyển giá vốn hàng bán"/>
    <s v="911"/>
    <x v="3"/>
    <s v="632"/>
    <n v="12016045298"/>
    <n v="0"/>
    <m/>
    <m/>
    <m/>
    <s v="Chi phí hợp lý"/>
  </r>
  <r>
    <d v="2022-06-30T00:00:00"/>
    <d v="2022-06-30T00:00:00"/>
    <s v="JV2206.012"/>
    <s v="Kết chuyển lãi lỗ đến ngày 30/06/2022"/>
    <s v="Kết chuyển chi phí bán hàng"/>
    <s v="911"/>
    <x v="4"/>
    <s v="641"/>
    <n v="12272727"/>
    <n v="0"/>
    <m/>
    <m/>
    <m/>
    <s v="Chi phí hợp lý"/>
  </r>
  <r>
    <d v="2022-06-30T00:00:00"/>
    <d v="2022-06-30T00:00:00"/>
    <s v="JV2206.012"/>
    <s v="Kết chuyển lãi lỗ đến ngày 30/06/2022"/>
    <s v="Kết chuyển chi phí bán hàng"/>
    <s v="911"/>
    <x v="5"/>
    <s v="641"/>
    <n v="1056000"/>
    <n v="0"/>
    <m/>
    <m/>
    <m/>
    <s v="Chi phí hợp lý"/>
  </r>
  <r>
    <d v="2022-06-30T00:00:00"/>
    <d v="2022-06-30T00:00:00"/>
    <s v="JV2206.012"/>
    <s v="Kết chuyển lãi lỗ đến ngày 30/06/2022"/>
    <s v="Kết chuyển chi phí bán hàng"/>
    <s v="911"/>
    <x v="6"/>
    <s v="641"/>
    <n v="26526758"/>
    <n v="0"/>
    <m/>
    <m/>
    <m/>
    <s v="Chi phí hợp lý"/>
  </r>
  <r>
    <d v="2022-06-30T00:00:00"/>
    <d v="2022-06-30T00:00:00"/>
    <s v="JV2206.012"/>
    <s v="Kết chuyển lãi lỗ đến ngày 30/06/2022"/>
    <s v="Kết chuyển chi phí bán hàng"/>
    <s v="911"/>
    <x v="7"/>
    <s v="641"/>
    <n v="8042504"/>
    <n v="0"/>
    <m/>
    <m/>
    <m/>
    <s v="Chi phí hợp lý"/>
  </r>
  <r>
    <d v="2022-06-30T00:00:00"/>
    <d v="2022-06-30T00:00:00"/>
    <s v="JV2206.012"/>
    <s v="Kết chuyển lãi lỗ đến ngày 30/06/2022"/>
    <s v="Kết chuyển chi phí bán hàng"/>
    <s v="911"/>
    <x v="8"/>
    <s v="641"/>
    <n v="4075798"/>
    <n v="0"/>
    <m/>
    <m/>
    <m/>
    <s v="Chi phí hợp lý"/>
  </r>
  <r>
    <d v="2022-06-30T00:00:00"/>
    <d v="2022-06-30T00:00:00"/>
    <s v="JV2206.012"/>
    <s v="Kết chuyển lãi lỗ đến ngày 30/06/2022"/>
    <s v="Kết chuyển chi phí quản lý doanh nghiệp"/>
    <s v="911"/>
    <x v="9"/>
    <s v="642"/>
    <n v="22309091"/>
    <n v="0"/>
    <m/>
    <m/>
    <m/>
    <s v="Chi phí hợp lý"/>
  </r>
  <r>
    <d v="2022-06-30T00:00:00"/>
    <d v="2022-06-30T00:00:00"/>
    <s v="JV2206.012"/>
    <s v="Kết chuyển lãi lỗ đến ngày 30/06/2022"/>
    <s v="Kết chuyển chi phí quản lý doanh nghiệp"/>
    <s v="911"/>
    <x v="10"/>
    <s v="642"/>
    <n v="1320000"/>
    <n v="0"/>
    <m/>
    <m/>
    <m/>
    <s v="Chi phí hợp lý"/>
  </r>
  <r>
    <d v="2022-06-30T00:00:00"/>
    <d v="2022-06-30T00:00:00"/>
    <s v="JV2206.012"/>
    <s v="Kết chuyển lãi lỗ đến ngày 30/06/2022"/>
    <s v="Kết chuyển chi phí quản lý doanh nghiệp"/>
    <s v="911"/>
    <x v="11"/>
    <s v="642"/>
    <n v="2066268"/>
    <n v="0"/>
    <m/>
    <m/>
    <m/>
    <s v="Chi phí hợp lý"/>
  </r>
  <r>
    <d v="2022-06-30T00:00:00"/>
    <d v="2022-06-30T00:00:00"/>
    <s v="JV2206.012"/>
    <s v="Kết chuyển lãi lỗ đến ngày 30/06/2022"/>
    <s v="Kết chuyển chi phí quản lý doanh nghiệp"/>
    <s v="911"/>
    <x v="13"/>
    <s v="642"/>
    <n v="99000"/>
    <n v="0"/>
    <m/>
    <m/>
    <m/>
    <s v="Chi phí hợp lý"/>
  </r>
  <r>
    <d v="2022-06-30T00:00:00"/>
    <d v="2022-06-30T00:00:00"/>
    <s v="JV2206.012"/>
    <s v="Kết chuyển lãi lỗ đến ngày 30/06/2022"/>
    <s v="Kết chuyển chi phí quản lý doanh nghiệp"/>
    <s v="911"/>
    <x v="14"/>
    <s v="642"/>
    <n v="2045730"/>
    <n v="0"/>
    <m/>
    <m/>
    <m/>
    <s v="Chi phí hợp lý"/>
  </r>
  <r>
    <d v="2022-06-30T00:00:00"/>
    <d v="2022-06-30T00:00:00"/>
    <s v="JV2206.012"/>
    <s v="Kết chuyển lãi lỗ đến ngày 30/06/2022"/>
    <s v="Kết chuyển chi phí quản lý doanh nghiệp"/>
    <s v="911"/>
    <x v="15"/>
    <s v="642"/>
    <n v="26526759"/>
    <n v="0"/>
    <m/>
    <m/>
    <m/>
    <s v="Chi phí hợp lý"/>
  </r>
  <r>
    <d v="2022-06-30T00:00:00"/>
    <d v="2022-06-30T00:00:00"/>
    <s v="JV2206.012"/>
    <s v="Kết chuyển lãi lỗ đến ngày 30/06/2022"/>
    <s v="Kết chuyển chi phí quản lý doanh nghiệp"/>
    <s v="911"/>
    <x v="16"/>
    <s v="642"/>
    <n v="2829537"/>
    <n v="0"/>
    <m/>
    <m/>
    <m/>
    <s v="Chi phí hợp lý"/>
  </r>
  <r>
    <d v="2022-06-30T00:00:00"/>
    <d v="2022-06-30T00:00:00"/>
    <s v="JV2206.012"/>
    <s v="Kết chuyển lãi lỗ đến ngày 30/06/2022"/>
    <s v="Kết chuyển chi phí quản lý doanh nghiệp"/>
    <s v="911"/>
    <x v="17"/>
    <s v="642"/>
    <n v="8042506"/>
    <n v="0"/>
    <m/>
    <m/>
    <m/>
    <s v="Chi phí hợp lý"/>
  </r>
  <r>
    <d v="2022-06-30T00:00:00"/>
    <d v="2022-06-30T00:00:00"/>
    <s v="JV2206.012"/>
    <s v="Kết chuyển lãi lỗ đến ngày 30/06/2022"/>
    <s v="Kết chuyển thu nhập khác phát sinh trong kỳ"/>
    <s v="911"/>
    <x v="24"/>
    <s v="711"/>
    <n v="0"/>
    <n v="600"/>
    <m/>
    <m/>
    <m/>
    <s v="Chi phí hợp lý"/>
  </r>
  <r>
    <d v="2022-06-30T00:00:00"/>
    <d v="2022-06-30T00:00:00"/>
    <s v="JV2206.012"/>
    <s v="Kết chuyển lãi lỗ đến ngày 30/06/2022"/>
    <s v="Kết chuyển kết quả hoạt động kinh doanh trong kỳ"/>
    <s v="911"/>
    <x v="20"/>
    <s v="421"/>
    <n v="41907598"/>
    <n v="0"/>
    <m/>
    <m/>
    <m/>
    <s v="Chi phí hợp lý"/>
  </r>
  <r>
    <d v="2022-07-31T00:00:00"/>
    <d v="2022-07-31T00:00:00"/>
    <s v="JV2207.018"/>
    <s v="Kết chuyển lãi lỗ đến ngày 31/07/2022"/>
    <s v="Kết chuyển doanh thu bán hàng và cung cấp dịch vụ"/>
    <s v="911"/>
    <x v="0"/>
    <s v="511"/>
    <n v="0"/>
    <n v="31699600614"/>
    <m/>
    <m/>
    <m/>
    <s v="Chi phí hợp lý"/>
  </r>
  <r>
    <d v="2022-07-31T00:00:00"/>
    <d v="2022-07-31T00:00:00"/>
    <s v="JV2207.018"/>
    <s v="Kết chuyển lãi lỗ đến ngày 31/07/2022"/>
    <s v="Kết chuyển doanh thu hoạt động tài chính"/>
    <s v="911"/>
    <x v="2"/>
    <s v="515"/>
    <n v="0"/>
    <n v="159352623"/>
    <m/>
    <m/>
    <m/>
    <s v="Chi phí hợp lý"/>
  </r>
  <r>
    <d v="2022-07-31T00:00:00"/>
    <d v="2022-07-31T00:00:00"/>
    <s v="JV2207.018"/>
    <s v="Kết chuyển lãi lỗ đến ngày 31/07/2022"/>
    <s v="Kết chuyển giá vốn hàng bán"/>
    <s v="911"/>
    <x v="3"/>
    <s v="632"/>
    <n v="31615202732"/>
    <n v="0"/>
    <m/>
    <m/>
    <m/>
    <s v="Chi phí hợp lý"/>
  </r>
  <r>
    <d v="2022-07-31T00:00:00"/>
    <d v="2022-07-31T00:00:00"/>
    <s v="JV2207.018"/>
    <s v="Kết chuyển lãi lỗ đến ngày 31/07/2022"/>
    <s v="Kết chuyển chi phí bán hàng"/>
    <s v="911"/>
    <x v="6"/>
    <s v="641"/>
    <n v="27677418"/>
    <n v="0"/>
    <m/>
    <m/>
    <m/>
    <s v="Chi phí hợp lý"/>
  </r>
  <r>
    <d v="2022-07-31T00:00:00"/>
    <d v="2022-07-31T00:00:00"/>
    <s v="JV2207.018"/>
    <s v="Kết chuyển lãi lỗ đến ngày 31/07/2022"/>
    <s v="Kết chuyển chi phí bán hàng"/>
    <s v="911"/>
    <x v="25"/>
    <s v="641"/>
    <n v="670000"/>
    <n v="0"/>
    <m/>
    <m/>
    <m/>
    <s v="Chi phí hợp lý"/>
  </r>
  <r>
    <d v="2022-07-31T00:00:00"/>
    <d v="2022-07-31T00:00:00"/>
    <s v="JV2207.018"/>
    <s v="Kết chuyển lãi lỗ đến ngày 31/07/2022"/>
    <s v="Kết chuyển chi phí bán hàng"/>
    <s v="911"/>
    <x v="7"/>
    <s v="641"/>
    <n v="8042504"/>
    <n v="0"/>
    <m/>
    <m/>
    <m/>
    <s v="Chi phí hợp lý"/>
  </r>
  <r>
    <d v="2022-07-31T00:00:00"/>
    <d v="2022-07-31T00:00:00"/>
    <s v="JV2207.018"/>
    <s v="Kết chuyển lãi lỗ đến ngày 31/07/2022"/>
    <s v="Kết chuyển chi phí bán hàng"/>
    <s v="911"/>
    <x v="8"/>
    <s v="641"/>
    <n v="4125000"/>
    <n v="0"/>
    <m/>
    <m/>
    <m/>
    <s v="Chi phí hợp lý"/>
  </r>
  <r>
    <d v="2022-07-31T00:00:00"/>
    <d v="2022-07-31T00:00:00"/>
    <s v="JV2207.018"/>
    <s v="Kết chuyển lãi lỗ đến ngày 31/07/2022"/>
    <s v="Kết chuyển chi phí quản lý doanh nghiệp"/>
    <s v="911"/>
    <x v="9"/>
    <s v="642"/>
    <n v="24300000"/>
    <n v="0"/>
    <m/>
    <m/>
    <m/>
    <s v="Chi phí hợp lý"/>
  </r>
  <r>
    <d v="2022-07-31T00:00:00"/>
    <d v="2022-07-31T00:00:00"/>
    <s v="JV2207.018"/>
    <s v="Kết chuyển lãi lỗ đến ngày 31/07/2022"/>
    <s v="Kết chuyển chi phí quản lý doanh nghiệp"/>
    <s v="911"/>
    <x v="10"/>
    <s v="642"/>
    <n v="1620000"/>
    <n v="0"/>
    <m/>
    <m/>
    <m/>
    <s v="Chi phí hợp lý"/>
  </r>
  <r>
    <d v="2022-07-31T00:00:00"/>
    <d v="2022-07-31T00:00:00"/>
    <s v="JV2207.018"/>
    <s v="Kết chuyển lãi lỗ đến ngày 31/07/2022"/>
    <s v="Kết chuyển chi phí quản lý doanh nghiệp"/>
    <s v="911"/>
    <x v="11"/>
    <s v="642"/>
    <n v="1466264"/>
    <n v="0"/>
    <m/>
    <m/>
    <m/>
    <s v="Chi phí hợp lý"/>
  </r>
  <r>
    <d v="2022-07-31T00:00:00"/>
    <d v="2022-07-31T00:00:00"/>
    <s v="JV2207.018"/>
    <s v="Kết chuyển lãi lỗ đến ngày 31/07/2022"/>
    <s v="Kết chuyển chi phí quản lý doanh nghiệp"/>
    <s v="911"/>
    <x v="13"/>
    <s v="642"/>
    <n v="88000"/>
    <n v="0"/>
    <m/>
    <m/>
    <m/>
    <s v="Chi phí hợp lý"/>
  </r>
  <r>
    <d v="2022-07-31T00:00:00"/>
    <d v="2022-07-31T00:00:00"/>
    <s v="JV2207.018"/>
    <s v="Kết chuyển lãi lỗ đến ngày 31/07/2022"/>
    <s v="Kết chuyển chi phí quản lý doanh nghiệp"/>
    <s v="911"/>
    <x v="14"/>
    <s v="642"/>
    <n v="11569930"/>
    <n v="0"/>
    <m/>
    <m/>
    <m/>
    <s v="Chi phí hợp lý"/>
  </r>
  <r>
    <d v="2022-07-31T00:00:00"/>
    <d v="2022-07-31T00:00:00"/>
    <s v="JV2207.018"/>
    <s v="Kết chuyển lãi lỗ đến ngày 31/07/2022"/>
    <s v="Kết chuyển chi phí quản lý doanh nghiệp"/>
    <s v="911"/>
    <x v="15"/>
    <s v="642"/>
    <n v="27677418"/>
    <n v="0"/>
    <m/>
    <m/>
    <m/>
    <s v="Chi phí hợp lý"/>
  </r>
  <r>
    <d v="2022-07-31T00:00:00"/>
    <d v="2022-07-31T00:00:00"/>
    <s v="JV2207.018"/>
    <s v="Kết chuyển lãi lỗ đến ngày 31/07/2022"/>
    <s v="Kết chuyển chi phí quản lý doanh nghiệp"/>
    <s v="911"/>
    <x v="16"/>
    <s v="642"/>
    <n v="3031890"/>
    <n v="0"/>
    <m/>
    <m/>
    <m/>
    <s v="Chi phí hợp lý"/>
  </r>
  <r>
    <d v="2022-07-31T00:00:00"/>
    <d v="2022-07-31T00:00:00"/>
    <s v="JV2207.018"/>
    <s v="Kết chuyển lãi lỗ đến ngày 31/07/2022"/>
    <s v="Kết chuyển chi phí quản lý doanh nghiệp"/>
    <s v="911"/>
    <x v="17"/>
    <s v="642"/>
    <n v="8042506"/>
    <n v="0"/>
    <m/>
    <m/>
    <m/>
    <s v="Chi phí hợp lý"/>
  </r>
  <r>
    <d v="2022-07-31T00:00:00"/>
    <d v="2022-07-31T00:00:00"/>
    <s v="JV2207.018"/>
    <s v="Kết chuyển lãi lỗ đến ngày 31/07/2022"/>
    <s v="Kết chuyển kết quả hoạt động kinh doanh trong kỳ"/>
    <s v="911"/>
    <x v="20"/>
    <s v="421"/>
    <n v="125439575"/>
    <n v="0"/>
    <m/>
    <m/>
    <m/>
    <s v="Chi phí hợp lý"/>
  </r>
  <r>
    <d v="2022-08-31T00:00:00"/>
    <d v="2022-08-31T00:00:00"/>
    <s v="JV2208.16"/>
    <s v="Kết chuyển lãi lỗ đến ngày 31/08/2022"/>
    <s v="Kết chuyển doanh thu bán hàng và cung cấp dịch vụ"/>
    <s v="911"/>
    <x v="0"/>
    <s v="511"/>
    <n v="0"/>
    <n v="22308474130"/>
    <m/>
    <m/>
    <m/>
    <s v="Chi phí hợp lý"/>
  </r>
  <r>
    <d v="2022-08-31T00:00:00"/>
    <d v="2022-08-31T00:00:00"/>
    <s v="JV2208.16"/>
    <s v="Kết chuyển lãi lỗ đến ngày 31/08/2022"/>
    <s v="Kết chuyển doanh thu hoạt động tài chính"/>
    <s v="911"/>
    <x v="2"/>
    <s v="515"/>
    <n v="0"/>
    <n v="749192254"/>
    <m/>
    <m/>
    <m/>
    <s v="Chi phí hợp lý"/>
  </r>
  <r>
    <d v="2022-08-31T00:00:00"/>
    <d v="2022-08-31T00:00:00"/>
    <s v="JV2208.16"/>
    <s v="Kết chuyển lãi lỗ đến ngày 31/08/2022"/>
    <s v="Kết chuyển giá vốn hàng bán"/>
    <s v="911"/>
    <x v="3"/>
    <s v="632"/>
    <n v="22257305547"/>
    <n v="0"/>
    <m/>
    <m/>
    <m/>
    <s v="Chi phí hợp lý"/>
  </r>
  <r>
    <d v="2022-08-31T00:00:00"/>
    <d v="2022-08-31T00:00:00"/>
    <s v="JV2208.16"/>
    <s v="Kết chuyển lãi lỗ đến ngày 31/08/2022"/>
    <s v="Kết chuyển chi phí bán hàng"/>
    <s v="911"/>
    <x v="6"/>
    <s v="641"/>
    <n v="27677418"/>
    <n v="0"/>
    <m/>
    <m/>
    <m/>
    <s v="Chi phí hợp lý"/>
  </r>
  <r>
    <d v="2022-08-31T00:00:00"/>
    <d v="2022-08-31T00:00:00"/>
    <s v="JV2208.16"/>
    <s v="Kết chuyển lãi lỗ đến ngày 31/08/2022"/>
    <s v="Kết chuyển chi phí bán hàng"/>
    <s v="911"/>
    <x v="25"/>
    <s v="641"/>
    <n v="670000"/>
    <n v="0"/>
    <m/>
    <m/>
    <m/>
    <s v="Chi phí hợp lý"/>
  </r>
  <r>
    <d v="2022-08-31T00:00:00"/>
    <d v="2022-08-31T00:00:00"/>
    <s v="JV2208.16"/>
    <s v="Kết chuyển lãi lỗ đến ngày 31/08/2022"/>
    <s v="Kết chuyển chi phí bán hàng"/>
    <s v="911"/>
    <x v="7"/>
    <s v="641"/>
    <n v="8042504"/>
    <n v="0"/>
    <m/>
    <m/>
    <m/>
    <s v="Chi phí hợp lý"/>
  </r>
  <r>
    <d v="2022-08-31T00:00:00"/>
    <d v="2022-08-31T00:00:00"/>
    <s v="JV2208.16"/>
    <s v="Kết chuyển lãi lỗ đến ngày 31/08/2022"/>
    <s v="Kết chuyển chi phí bán hàng"/>
    <s v="911"/>
    <x v="8"/>
    <s v="641"/>
    <n v="6911861"/>
    <n v="0"/>
    <m/>
    <m/>
    <m/>
    <s v="Chi phí hợp lý"/>
  </r>
  <r>
    <d v="2022-08-31T00:00:00"/>
    <d v="2022-08-31T00:00:00"/>
    <s v="JV2208.16"/>
    <s v="Kết chuyển lãi lỗ đến ngày 31/08/2022"/>
    <s v="Kết chuyển chi phí quản lý doanh nghiệp"/>
    <s v="911"/>
    <x v="9"/>
    <s v="642"/>
    <n v="30458044"/>
    <n v="0"/>
    <m/>
    <m/>
    <m/>
    <s v="Chi phí hợp lý"/>
  </r>
  <r>
    <d v="2022-08-31T00:00:00"/>
    <d v="2022-08-31T00:00:00"/>
    <s v="JV2208.16"/>
    <s v="Kết chuyển lãi lỗ đến ngày 31/08/2022"/>
    <s v="Kết chuyển chi phí quản lý doanh nghiệp"/>
    <s v="911"/>
    <x v="10"/>
    <s v="642"/>
    <n v="1620000"/>
    <n v="0"/>
    <m/>
    <m/>
    <m/>
    <s v="Chi phí hợp lý"/>
  </r>
  <r>
    <d v="2022-08-31T00:00:00"/>
    <d v="2022-08-31T00:00:00"/>
    <s v="JV2208.16"/>
    <s v="Kết chuyển lãi lỗ đến ngày 31/08/2022"/>
    <s v="Kết chuyển chi phí quản lý doanh nghiệp"/>
    <s v="911"/>
    <x v="11"/>
    <s v="642"/>
    <n v="1466264"/>
    <n v="0"/>
    <m/>
    <m/>
    <m/>
    <s v="Chi phí hợp lý"/>
  </r>
  <r>
    <d v="2022-08-31T00:00:00"/>
    <d v="2022-08-31T00:00:00"/>
    <s v="JV2208.16"/>
    <s v="Kết chuyển lãi lỗ đến ngày 31/08/2022"/>
    <s v="Kết chuyển chi phí quản lý doanh nghiệp"/>
    <s v="911"/>
    <x v="13"/>
    <s v="642"/>
    <n v="308000"/>
    <n v="0"/>
    <m/>
    <m/>
    <m/>
    <s v="Chi phí hợp lý"/>
  </r>
  <r>
    <d v="2022-08-31T00:00:00"/>
    <d v="2022-08-31T00:00:00"/>
    <s v="JV2208.16"/>
    <s v="Kết chuyển lãi lỗ đến ngày 31/08/2022"/>
    <s v="Kết chuyển chi phí quản lý doanh nghiệp"/>
    <s v="911"/>
    <x v="14"/>
    <s v="642"/>
    <n v="14016765"/>
    <n v="0"/>
    <m/>
    <m/>
    <m/>
    <s v="Chi phí hợp lý"/>
  </r>
  <r>
    <d v="2022-08-31T00:00:00"/>
    <d v="2022-08-31T00:00:00"/>
    <s v="JV2208.16"/>
    <s v="Kết chuyển lãi lỗ đến ngày 31/08/2022"/>
    <s v="Kết chuyển chi phí quản lý doanh nghiệp"/>
    <s v="911"/>
    <x v="15"/>
    <s v="642"/>
    <n v="27677418"/>
    <n v="0"/>
    <m/>
    <m/>
    <m/>
    <s v="Chi phí hợp lý"/>
  </r>
  <r>
    <d v="2022-08-31T00:00:00"/>
    <d v="2022-08-31T00:00:00"/>
    <s v="JV2208.16"/>
    <s v="Kết chuyển lãi lỗ đến ngày 31/08/2022"/>
    <s v="Kết chuyển chi phí quản lý doanh nghiệp"/>
    <s v="911"/>
    <x v="16"/>
    <s v="642"/>
    <n v="3031890"/>
    <n v="0"/>
    <m/>
    <m/>
    <m/>
    <s v="Chi phí hợp lý"/>
  </r>
  <r>
    <d v="2022-08-31T00:00:00"/>
    <d v="2022-08-31T00:00:00"/>
    <s v="JV2208.16"/>
    <s v="Kết chuyển lãi lỗ đến ngày 31/08/2022"/>
    <s v="Kết chuyển chi phí quản lý doanh nghiệp"/>
    <s v="911"/>
    <x v="17"/>
    <s v="642"/>
    <n v="8042506"/>
    <n v="0"/>
    <m/>
    <m/>
    <m/>
    <s v="Chi phí hợp lý"/>
  </r>
  <r>
    <d v="2022-08-31T00:00:00"/>
    <d v="2022-08-31T00:00:00"/>
    <s v="JV2208.16"/>
    <s v="Kết chuyển lãi lỗ đến ngày 31/08/2022"/>
    <s v="Kết chuyển thu nhập khác phát sinh trong kỳ"/>
    <s v="911"/>
    <x v="24"/>
    <s v="711"/>
    <n v="0"/>
    <n v="14030"/>
    <m/>
    <m/>
    <m/>
    <s v="Chi phí hợp lý"/>
  </r>
  <r>
    <d v="2022-08-31T00:00:00"/>
    <d v="2022-08-31T00:00:00"/>
    <s v="JV2208.16"/>
    <s v="Kết chuyển lãi lỗ đến ngày 31/08/2022"/>
    <s v="Kết chuyển chi phí khác phát sinh trong kỳ"/>
    <s v="911"/>
    <x v="19"/>
    <s v="811"/>
    <n v="461608"/>
    <n v="0"/>
    <m/>
    <m/>
    <m/>
    <s v="Chi phí hợp lý"/>
  </r>
  <r>
    <d v="2022-08-31T00:00:00"/>
    <d v="2022-08-31T00:00:00"/>
    <s v="JV2208.16"/>
    <s v="Kết chuyển lãi lỗ đến ngày 31/08/2022"/>
    <s v="Kết chuyển kết quả hoạt động kinh doanh trong kỳ"/>
    <s v="911"/>
    <x v="20"/>
    <s v="421"/>
    <n v="669990589"/>
    <n v="0"/>
    <m/>
    <m/>
    <m/>
    <s v="Chi phí hợp lý"/>
  </r>
  <r>
    <d v="2022-09-30T00:00:00"/>
    <d v="2022-09-30T00:00:00"/>
    <s v="JV2209.16"/>
    <s v="Kết chuyển lãi lỗ đến ngày 30/09/2022"/>
    <s v="Kết chuyển doanh thu bán hàng và cung cấp dịch vụ"/>
    <s v="911"/>
    <x v="0"/>
    <s v="511"/>
    <n v="0"/>
    <n v="9505977476"/>
    <m/>
    <m/>
    <m/>
    <s v="Chi phí hợp lý"/>
  </r>
  <r>
    <d v="2022-09-30T00:00:00"/>
    <d v="2022-09-30T00:00:00"/>
    <s v="JV2209.16"/>
    <s v="Kết chuyển lãi lỗ đến ngày 30/09/2022"/>
    <s v="Kết chuyển doanh thu hoạt động tài chính"/>
    <s v="911"/>
    <x v="2"/>
    <s v="515"/>
    <n v="0"/>
    <n v="660170350"/>
    <m/>
    <m/>
    <m/>
    <s v="Chi phí hợp lý"/>
  </r>
  <r>
    <d v="2022-09-30T00:00:00"/>
    <d v="2022-09-30T00:00:00"/>
    <s v="JV2209.16"/>
    <s v="Kết chuyển lãi lỗ đến ngày 30/09/2022"/>
    <s v="Kết chuyển giá vốn hàng bán"/>
    <s v="911"/>
    <x v="3"/>
    <s v="632"/>
    <n v="9488437448"/>
    <n v="0"/>
    <m/>
    <m/>
    <m/>
    <s v="Chi phí hợp lý"/>
  </r>
  <r>
    <d v="2022-09-30T00:00:00"/>
    <d v="2022-09-30T00:00:00"/>
    <s v="JV2209.16"/>
    <s v="Kết chuyển lãi lỗ đến ngày 30/09/2022"/>
    <s v="Kết chuyển chi phí hoạt động tài chính"/>
    <s v="911"/>
    <x v="21"/>
    <s v="635"/>
    <n v="42426520518"/>
    <n v="0"/>
    <m/>
    <m/>
    <m/>
    <s v="Chi phí hợp lý"/>
  </r>
  <r>
    <d v="2022-09-30T00:00:00"/>
    <d v="2022-09-30T00:00:00"/>
    <s v="JV2209.16"/>
    <s v="Kết chuyển lãi lỗ đến ngày 30/09/2022"/>
    <s v="Kết chuyển chi phí bán hàng"/>
    <s v="911"/>
    <x v="6"/>
    <s v="641"/>
    <n v="27677418"/>
    <n v="0"/>
    <m/>
    <m/>
    <m/>
    <s v="Chi phí hợp lý"/>
  </r>
  <r>
    <d v="2022-09-30T00:00:00"/>
    <d v="2022-09-30T00:00:00"/>
    <s v="JV2209.16"/>
    <s v="Kết chuyển lãi lỗ đến ngày 30/09/2022"/>
    <s v="Kết chuyển chi phí bán hàng"/>
    <s v="911"/>
    <x v="25"/>
    <s v="641"/>
    <n v="670000"/>
    <n v="0"/>
    <m/>
    <m/>
    <m/>
    <s v="Chi phí hợp lý"/>
  </r>
  <r>
    <d v="2022-09-30T00:00:00"/>
    <d v="2022-09-30T00:00:00"/>
    <s v="JV2209.16"/>
    <s v="Kết chuyển lãi lỗ đến ngày 30/09/2022"/>
    <s v="Kết chuyển chi phí bán hàng"/>
    <s v="911"/>
    <x v="7"/>
    <s v="641"/>
    <n v="8042504"/>
    <n v="0"/>
    <m/>
    <m/>
    <m/>
    <s v="Chi phí hợp lý"/>
  </r>
  <r>
    <d v="2022-09-30T00:00:00"/>
    <d v="2022-09-30T00:00:00"/>
    <s v="JV2209.16"/>
    <s v="Kết chuyển lãi lỗ đến ngày 30/09/2022"/>
    <s v="Kết chuyển chi phí bán hàng"/>
    <s v="911"/>
    <x v="8"/>
    <s v="641"/>
    <n v="5167513"/>
    <n v="0"/>
    <m/>
    <m/>
    <m/>
    <s v="Chi phí hợp lý"/>
  </r>
  <r>
    <d v="2022-09-30T00:00:00"/>
    <d v="2022-09-30T00:00:00"/>
    <s v="JV2209.16"/>
    <s v="Kết chuyển lãi lỗ đến ngày 30/09/2022"/>
    <s v="Kết chuyển chi phí quản lý doanh nghiệp"/>
    <s v="911"/>
    <x v="9"/>
    <s v="642"/>
    <n v="32370369"/>
    <n v="0"/>
    <m/>
    <m/>
    <m/>
    <s v="Chi phí hợp lý"/>
  </r>
  <r>
    <d v="2022-09-30T00:00:00"/>
    <d v="2022-09-30T00:00:00"/>
    <s v="JV2209.16"/>
    <s v="Kết chuyển lãi lỗ đến ngày 30/09/2022"/>
    <s v="Kết chuyển chi phí quản lý doanh nghiệp"/>
    <s v="911"/>
    <x v="10"/>
    <s v="642"/>
    <n v="1620000"/>
    <n v="0"/>
    <m/>
    <m/>
    <m/>
    <s v="Chi phí hợp lý"/>
  </r>
  <r>
    <d v="2022-09-30T00:00:00"/>
    <d v="2022-09-30T00:00:00"/>
    <s v="JV2209.16"/>
    <s v="Kết chuyển lãi lỗ đến ngày 30/09/2022"/>
    <s v="Kết chuyển chi phí quản lý doanh nghiệp"/>
    <s v="911"/>
    <x v="11"/>
    <s v="642"/>
    <n v="1466264"/>
    <n v="0"/>
    <m/>
    <m/>
    <m/>
    <s v="Chi phí hợp lý"/>
  </r>
  <r>
    <d v="2022-09-30T00:00:00"/>
    <d v="2022-09-30T00:00:00"/>
    <s v="JV2209.16"/>
    <s v="Kết chuyển lãi lỗ đến ngày 30/09/2022"/>
    <s v="Kết chuyển chi phí quản lý doanh nghiệp"/>
    <s v="911"/>
    <x v="13"/>
    <s v="642"/>
    <n v="44000"/>
    <n v="0"/>
    <m/>
    <m/>
    <m/>
    <s v="Chi phí hợp lý"/>
  </r>
  <r>
    <d v="2022-09-30T00:00:00"/>
    <d v="2022-09-30T00:00:00"/>
    <s v="JV2209.16"/>
    <s v="Kết chuyển lãi lỗ đến ngày 30/09/2022"/>
    <s v="Kết chuyển chi phí quản lý doanh nghiệp"/>
    <s v="911"/>
    <x v="14"/>
    <s v="642"/>
    <n v="9094923"/>
    <n v="0"/>
    <m/>
    <m/>
    <m/>
    <s v="Chi phí hợp lý"/>
  </r>
  <r>
    <d v="2022-09-30T00:00:00"/>
    <d v="2022-09-30T00:00:00"/>
    <s v="JV2209.16"/>
    <s v="Kết chuyển lãi lỗ đến ngày 30/09/2022"/>
    <s v="Kết chuyển chi phí quản lý doanh nghiệp"/>
    <s v="911"/>
    <x v="15"/>
    <s v="642"/>
    <n v="27677419"/>
    <n v="0"/>
    <m/>
    <m/>
    <m/>
    <s v="Chi phí hợp lý"/>
  </r>
  <r>
    <d v="2022-09-30T00:00:00"/>
    <d v="2022-09-30T00:00:00"/>
    <s v="JV2209.16"/>
    <s v="Kết chuyển lãi lỗ đến ngày 30/09/2022"/>
    <s v="Kết chuyển chi phí quản lý doanh nghiệp"/>
    <s v="911"/>
    <x v="16"/>
    <s v="642"/>
    <n v="3031890"/>
    <n v="0"/>
    <m/>
    <m/>
    <m/>
    <s v="Chi phí hợp lý"/>
  </r>
  <r>
    <d v="2022-09-30T00:00:00"/>
    <d v="2022-09-30T00:00:00"/>
    <s v="JV2209.16"/>
    <s v="Kết chuyển lãi lỗ đến ngày 30/09/2022"/>
    <s v="Kết chuyển chi phí quản lý doanh nghiệp"/>
    <s v="911"/>
    <x v="17"/>
    <s v="642"/>
    <n v="8042506"/>
    <n v="0"/>
    <m/>
    <m/>
    <m/>
    <s v="Chi phí hợp lý"/>
  </r>
  <r>
    <d v="2022-09-30T00:00:00"/>
    <d v="2022-09-30T00:00:00"/>
    <s v="JV2209.16"/>
    <s v="Kết chuyển lãi lỗ đến ngày 30/09/2022"/>
    <s v="Kết chuyển thu nhập khác phát sinh trong kỳ"/>
    <s v="911"/>
    <x v="24"/>
    <s v="711"/>
    <n v="0"/>
    <n v="1"/>
    <m/>
    <m/>
    <m/>
    <s v="Chi phí hợp lý"/>
  </r>
  <r>
    <d v="2022-09-30T00:00:00"/>
    <d v="2022-09-30T00:00:00"/>
    <s v="JV2209.16"/>
    <s v="Kết chuyển lãi lỗ đến ngày 30/09/2022"/>
    <s v="Kết chuyển chi phí khác phát sinh trong kỳ"/>
    <s v="911"/>
    <x v="19"/>
    <s v="811"/>
    <n v="2"/>
    <n v="0"/>
    <m/>
    <m/>
    <m/>
    <s v="Chi phí hợp lý"/>
  </r>
  <r>
    <d v="2022-09-30T00:00:00"/>
    <d v="2022-09-30T00:00:00"/>
    <s v="JV2209.16"/>
    <s v="Kết chuyển lãi lỗ đến ngày 30/09/2022"/>
    <s v="Kết chuyển kết quả hoạt động kinh doanh trong kỳ"/>
    <s v="911"/>
    <x v="20"/>
    <s v="421"/>
    <n v="0"/>
    <n v="41873714947"/>
    <m/>
    <m/>
    <m/>
    <s v="Chi phí hợp lý"/>
  </r>
  <r>
    <d v="2022-10-31T00:00:00"/>
    <d v="2022-10-31T00:00:00"/>
    <s v="JV2210.14"/>
    <s v="Kết chuyển lãi lỗ đến ngày 31/10/2022"/>
    <s v="Kết chuyển doanh thu bán hàng và cung cấp dịch vụ"/>
    <s v="911"/>
    <x v="0"/>
    <s v="511"/>
    <n v="0"/>
    <n v="9959942784"/>
    <m/>
    <m/>
    <m/>
    <s v="Chi phí hợp lý"/>
  </r>
  <r>
    <d v="2022-10-31T00:00:00"/>
    <d v="2022-10-31T00:00:00"/>
    <s v="JV2210.14"/>
    <s v="Kết chuyển lãi lỗ đến ngày 31/10/2022"/>
    <s v="Kết chuyển doanh thu hoạt động tài chính"/>
    <s v="911"/>
    <x v="2"/>
    <s v="515"/>
    <n v="0"/>
    <n v="78549108"/>
    <m/>
    <m/>
    <m/>
    <s v="Chi phí hợp lý"/>
  </r>
  <r>
    <d v="2022-10-31T00:00:00"/>
    <d v="2022-10-31T00:00:00"/>
    <s v="JV2210.14"/>
    <s v="Kết chuyển lãi lỗ đến ngày 31/10/2022"/>
    <s v="Kết chuyển giá vốn hàng bán"/>
    <s v="911"/>
    <x v="3"/>
    <s v="632"/>
    <n v="9979391730"/>
    <n v="0"/>
    <m/>
    <m/>
    <m/>
    <s v="Chi phí hợp lý"/>
  </r>
  <r>
    <d v="2022-10-31T00:00:00"/>
    <d v="2022-10-31T00:00:00"/>
    <s v="JV2210.14"/>
    <s v="Kết chuyển lãi lỗ đến ngày 31/10/2022"/>
    <s v="Kết chuyển chi phí bán hàng"/>
    <s v="911"/>
    <x v="6"/>
    <s v="641"/>
    <n v="27755273"/>
    <n v="0"/>
    <m/>
    <m/>
    <m/>
    <s v="Chi phí hợp lý"/>
  </r>
  <r>
    <d v="2022-10-31T00:00:00"/>
    <d v="2022-10-31T00:00:00"/>
    <s v="JV2210.14"/>
    <s v="Kết chuyển lãi lỗ đến ngày 31/10/2022"/>
    <s v="Kết chuyển chi phí bán hàng"/>
    <s v="911"/>
    <x v="25"/>
    <s v="641"/>
    <n v="670000"/>
    <n v="0"/>
    <m/>
    <m/>
    <m/>
    <s v="Chi phí hợp lý"/>
  </r>
  <r>
    <d v="2022-10-31T00:00:00"/>
    <d v="2022-10-31T00:00:00"/>
    <s v="JV2210.14"/>
    <s v="Kết chuyển lãi lỗ đến ngày 31/10/2022"/>
    <s v="Kết chuyển chi phí bán hàng"/>
    <s v="911"/>
    <x v="7"/>
    <s v="641"/>
    <n v="8042504"/>
    <n v="0"/>
    <m/>
    <m/>
    <m/>
    <s v="Chi phí hợp lý"/>
  </r>
  <r>
    <d v="2022-10-31T00:00:00"/>
    <d v="2022-10-31T00:00:00"/>
    <s v="JV2210.14"/>
    <s v="Kết chuyển lãi lỗ đến ngày 31/10/2022"/>
    <s v="Kết chuyển chi phí bán hàng"/>
    <s v="911"/>
    <x v="8"/>
    <s v="641"/>
    <n v="4125000"/>
    <n v="0"/>
    <m/>
    <m/>
    <m/>
    <s v="Chi phí hợp lý"/>
  </r>
  <r>
    <d v="2022-10-31T00:00:00"/>
    <d v="2022-10-31T00:00:00"/>
    <s v="JV2210.14"/>
    <s v="Kết chuyển lãi lỗ đến ngày 31/10/2022"/>
    <s v="Kết chuyển chi phí quản lý doanh nghiệp"/>
    <s v="911"/>
    <x v="9"/>
    <s v="642"/>
    <n v="30080497"/>
    <n v="0"/>
    <m/>
    <m/>
    <m/>
    <s v="Chi phí hợp lý"/>
  </r>
  <r>
    <d v="2022-10-31T00:00:00"/>
    <d v="2022-10-31T00:00:00"/>
    <s v="JV2210.14"/>
    <s v="Kết chuyển lãi lỗ đến ngày 31/10/2022"/>
    <s v="Kết chuyển chi phí quản lý doanh nghiệp"/>
    <s v="911"/>
    <x v="10"/>
    <s v="642"/>
    <n v="1692000"/>
    <n v="0"/>
    <m/>
    <m/>
    <m/>
    <s v="Chi phí hợp lý"/>
  </r>
  <r>
    <d v="2022-10-31T00:00:00"/>
    <d v="2022-10-31T00:00:00"/>
    <s v="JV2210.14"/>
    <s v="Kết chuyển lãi lỗ đến ngày 31/10/2022"/>
    <s v="Kết chuyển chi phí quản lý doanh nghiệp"/>
    <s v="911"/>
    <x v="11"/>
    <s v="642"/>
    <n v="1466264"/>
    <n v="0"/>
    <m/>
    <m/>
    <m/>
    <s v="Chi phí hợp lý"/>
  </r>
  <r>
    <d v="2022-10-31T00:00:00"/>
    <d v="2022-10-31T00:00:00"/>
    <s v="JV2210.14"/>
    <s v="Kết chuyển lãi lỗ đến ngày 31/10/2022"/>
    <s v="Kết chuyển chi phí quản lý doanh nghiệp"/>
    <s v="911"/>
    <x v="13"/>
    <s v="642"/>
    <n v="88000"/>
    <n v="0"/>
    <m/>
    <m/>
    <m/>
    <s v="Chi phí hợp lý"/>
  </r>
  <r>
    <d v="2022-10-31T00:00:00"/>
    <d v="2022-10-31T00:00:00"/>
    <s v="JV2210.14"/>
    <s v="Kết chuyển lãi lỗ đến ngày 31/10/2022"/>
    <s v="Kết chuyển chi phí quản lý doanh nghiệp"/>
    <s v="911"/>
    <x v="14"/>
    <s v="642"/>
    <n v="10088550"/>
    <n v="0"/>
    <m/>
    <m/>
    <m/>
    <s v="Chi phí hợp lý"/>
  </r>
  <r>
    <d v="2022-10-31T00:00:00"/>
    <d v="2022-10-31T00:00:00"/>
    <s v="JV2210.14"/>
    <s v="Kết chuyển lãi lỗ đến ngày 31/10/2022"/>
    <s v="Kết chuyển chi phí quản lý doanh nghiệp"/>
    <s v="911"/>
    <x v="15"/>
    <s v="642"/>
    <n v="27755273"/>
    <n v="0"/>
    <m/>
    <m/>
    <m/>
    <s v="Chi phí hợp lý"/>
  </r>
  <r>
    <d v="2022-10-31T00:00:00"/>
    <d v="2022-10-31T00:00:00"/>
    <s v="JV2210.14"/>
    <s v="Kết chuyển lãi lỗ đến ngày 31/10/2022"/>
    <s v="Kết chuyển chi phí quản lý doanh nghiệp"/>
    <s v="911"/>
    <x v="16"/>
    <s v="642"/>
    <n v="11365222"/>
    <n v="0"/>
    <m/>
    <m/>
    <m/>
    <s v="Chi phí hợp lý"/>
  </r>
  <r>
    <d v="2022-10-31T00:00:00"/>
    <d v="2022-10-31T00:00:00"/>
    <s v="JV2210.14"/>
    <s v="Kết chuyển lãi lỗ đến ngày 31/10/2022"/>
    <s v="Kết chuyển chi phí quản lý doanh nghiệp"/>
    <s v="911"/>
    <x v="17"/>
    <s v="642"/>
    <n v="8042506"/>
    <n v="0"/>
    <m/>
    <m/>
    <m/>
    <s v="Chi phí hợp lý"/>
  </r>
  <r>
    <d v="2022-10-31T00:00:00"/>
    <d v="2022-10-31T00:00:00"/>
    <s v="JV2210.14"/>
    <s v="Kết chuyển lãi lỗ đến ngày 31/10/2022"/>
    <s v="Kết chuyển chi phí quản lý doanh nghiệp"/>
    <s v="911"/>
    <x v="26"/>
    <s v="642"/>
    <n v="400000"/>
    <n v="0"/>
    <m/>
    <m/>
    <m/>
    <s v="Chi phí hợp lý"/>
  </r>
  <r>
    <d v="2022-10-31T00:00:00"/>
    <d v="2022-10-31T00:00:00"/>
    <s v="JV2210.14"/>
    <s v="Kết chuyển lãi lỗ đến ngày 31/10/2022"/>
    <s v="Kết chuyển kết quả hoạt động kinh doanh trong kỳ"/>
    <s v="911"/>
    <x v="20"/>
    <s v="421"/>
    <n v="0"/>
    <n v="72470927"/>
    <m/>
    <m/>
    <m/>
    <s v="Chi phí hợp lý"/>
  </r>
  <r>
    <d v="2022-11-30T00:00:00"/>
    <d v="2022-11-30T00:00:00"/>
    <s v="JV2211.013"/>
    <s v="Kết chuyển lãi lỗ đến ngày 30/11/2022"/>
    <s v="Kết chuyển doanh thu bán hàng và cung cấp dịch vụ"/>
    <s v="911"/>
    <x v="0"/>
    <s v="511"/>
    <n v="0"/>
    <n v="6735984546"/>
    <m/>
    <m/>
    <m/>
    <s v="Chi phí hợp lý"/>
  </r>
  <r>
    <d v="2022-11-30T00:00:00"/>
    <d v="2022-11-30T00:00:00"/>
    <s v="JV2211.013"/>
    <s v="Kết chuyển lãi lỗ đến ngày 30/11/2022"/>
    <s v="Kết chuyển doanh thu hoạt động tài chính"/>
    <s v="911"/>
    <x v="2"/>
    <s v="515"/>
    <n v="0"/>
    <n v="83726257"/>
    <m/>
    <m/>
    <m/>
    <s v="Chi phí hợp lý"/>
  </r>
  <r>
    <d v="2022-11-30T00:00:00"/>
    <d v="2022-11-30T00:00:00"/>
    <s v="JV2211.013"/>
    <s v="Kết chuyển lãi lỗ đến ngày 30/11/2022"/>
    <s v="Kết chuyển giá vốn hàng bán"/>
    <s v="911"/>
    <x v="3"/>
    <s v="632"/>
    <n v="6739291727"/>
    <n v="0"/>
    <m/>
    <m/>
    <m/>
    <s v="Chi phí hợp lý"/>
  </r>
  <r>
    <d v="2022-11-30T00:00:00"/>
    <d v="2022-11-30T00:00:00"/>
    <s v="JV2211.013"/>
    <s v="Kết chuyển lãi lỗ đến ngày 30/11/2022"/>
    <s v="Kết chuyển chi phí bán hàng"/>
    <s v="911"/>
    <x v="6"/>
    <s v="641"/>
    <n v="27755273"/>
    <n v="0"/>
    <m/>
    <m/>
    <m/>
    <s v="Chi phí hợp lý"/>
  </r>
  <r>
    <d v="2022-11-30T00:00:00"/>
    <d v="2022-11-30T00:00:00"/>
    <s v="JV2211.013"/>
    <s v="Kết chuyển lãi lỗ đến ngày 30/11/2022"/>
    <s v="Kết chuyển chi phí bán hàng"/>
    <s v="911"/>
    <x v="25"/>
    <s v="641"/>
    <n v="670000"/>
    <n v="0"/>
    <m/>
    <m/>
    <m/>
    <s v="Chi phí hợp lý"/>
  </r>
  <r>
    <d v="2022-11-30T00:00:00"/>
    <d v="2022-11-30T00:00:00"/>
    <s v="JV2211.013"/>
    <s v="Kết chuyển lãi lỗ đến ngày 30/11/2022"/>
    <s v="Kết chuyển chi phí bán hàng"/>
    <s v="911"/>
    <x v="7"/>
    <s v="641"/>
    <n v="8042504"/>
    <n v="0"/>
    <m/>
    <m/>
    <m/>
    <s v="Chi phí hợp lý"/>
  </r>
  <r>
    <d v="2022-11-30T00:00:00"/>
    <d v="2022-11-30T00:00:00"/>
    <s v="JV2211.013"/>
    <s v="Kết chuyển lãi lỗ đến ngày 30/11/2022"/>
    <s v="Kết chuyển chi phí bán hàng"/>
    <s v="911"/>
    <x v="8"/>
    <s v="641"/>
    <n v="4125000"/>
    <n v="0"/>
    <m/>
    <m/>
    <m/>
    <s v="Chi phí hợp lý"/>
  </r>
  <r>
    <d v="2022-11-30T00:00:00"/>
    <d v="2022-11-30T00:00:00"/>
    <s v="JV2211.013"/>
    <s v="Kết chuyển lãi lỗ đến ngày 30/11/2022"/>
    <s v="Kết chuyển chi phí quản lý doanh nghiệp"/>
    <s v="911"/>
    <x v="9"/>
    <s v="642"/>
    <n v="27625000"/>
    <n v="0"/>
    <m/>
    <m/>
    <m/>
    <s v="Chi phí hợp lý"/>
  </r>
  <r>
    <d v="2022-11-30T00:00:00"/>
    <d v="2022-11-30T00:00:00"/>
    <s v="JV2211.013"/>
    <s v="Kết chuyển lãi lỗ đến ngày 30/11/2022"/>
    <s v="Kết chuyển chi phí quản lý doanh nghiệp"/>
    <s v="911"/>
    <x v="10"/>
    <s v="642"/>
    <n v="1692000"/>
    <n v="0"/>
    <m/>
    <m/>
    <m/>
    <s v="Chi phí hợp lý"/>
  </r>
  <r>
    <d v="2022-11-30T00:00:00"/>
    <d v="2022-11-30T00:00:00"/>
    <s v="JV2211.013"/>
    <s v="Kết chuyển lãi lỗ đến ngày 30/11/2022"/>
    <s v="Kết chuyển chi phí quản lý doanh nghiệp"/>
    <s v="911"/>
    <x v="11"/>
    <s v="642"/>
    <n v="1466264"/>
    <n v="0"/>
    <m/>
    <m/>
    <m/>
    <s v="Chi phí hợp lý"/>
  </r>
  <r>
    <d v="2022-11-30T00:00:00"/>
    <d v="2022-11-30T00:00:00"/>
    <s v="JV2211.013"/>
    <s v="Kết chuyển lãi lỗ đến ngày 30/11/2022"/>
    <s v="Kết chuyển chi phí quản lý doanh nghiệp"/>
    <s v="911"/>
    <x v="13"/>
    <s v="642"/>
    <n v="44000"/>
    <n v="0"/>
    <m/>
    <m/>
    <m/>
    <s v="Chi phí hợp lý"/>
  </r>
  <r>
    <d v="2022-11-30T00:00:00"/>
    <d v="2022-11-30T00:00:00"/>
    <s v="JV2211.013"/>
    <s v="Kết chuyển lãi lỗ đến ngày 30/11/2022"/>
    <s v="Kết chuyển chi phí quản lý doanh nghiệp"/>
    <s v="911"/>
    <x v="14"/>
    <s v="642"/>
    <n v="5507816"/>
    <n v="0"/>
    <m/>
    <m/>
    <m/>
    <s v="Chi phí hợp lý"/>
  </r>
  <r>
    <d v="2022-11-30T00:00:00"/>
    <d v="2022-11-30T00:00:00"/>
    <s v="JV2211.013"/>
    <s v="Kết chuyển lãi lỗ đến ngày 30/11/2022"/>
    <s v="Kết chuyển chi phí quản lý doanh nghiệp"/>
    <s v="911"/>
    <x v="15"/>
    <s v="642"/>
    <n v="27755273"/>
    <n v="0"/>
    <m/>
    <m/>
    <m/>
    <s v="Chi phí hợp lý"/>
  </r>
  <r>
    <d v="2022-11-30T00:00:00"/>
    <d v="2022-11-30T00:00:00"/>
    <s v="JV2211.013"/>
    <s v="Kết chuyển lãi lỗ đến ngày 30/11/2022"/>
    <s v="Kết chuyển chi phí quản lý doanh nghiệp"/>
    <s v="911"/>
    <x v="16"/>
    <s v="642"/>
    <n v="3031890"/>
    <n v="0"/>
    <m/>
    <m/>
    <m/>
    <s v="Chi phí hợp lý"/>
  </r>
  <r>
    <d v="2022-11-30T00:00:00"/>
    <d v="2022-11-30T00:00:00"/>
    <s v="JV2211.013"/>
    <s v="Kết chuyển lãi lỗ đến ngày 30/11/2022"/>
    <s v="Kết chuyển chi phí quản lý doanh nghiệp"/>
    <s v="911"/>
    <x v="17"/>
    <s v="642"/>
    <n v="8042506"/>
    <n v="0"/>
    <m/>
    <m/>
    <m/>
    <s v="Chi phí hợp lý"/>
  </r>
  <r>
    <d v="2022-11-30T00:00:00"/>
    <d v="2022-11-30T00:00:00"/>
    <s v="JV2211.013"/>
    <s v="Kết chuyển lãi lỗ đến ngày 30/11/2022"/>
    <s v="Kết chuyển kết quả hoạt động kinh doanh trong kỳ"/>
    <s v="911"/>
    <x v="20"/>
    <s v="421"/>
    <n v="0"/>
    <n v="35338450"/>
    <m/>
    <m/>
    <m/>
    <s v="Chi phí hợp lý"/>
  </r>
  <r>
    <d v="2022-12-31T00:00:00"/>
    <d v="2022-12-31T00:00:00"/>
    <s v="JV2212.011"/>
    <s v="Kết chuyển lãi lỗ đến ngày 31/12/2022"/>
    <s v="Kết chuyển doanh thu bán hàng và cung cấp dịch vụ"/>
    <s v="911"/>
    <x v="0"/>
    <s v="511"/>
    <n v="0"/>
    <n v="3541645450"/>
    <m/>
    <m/>
    <m/>
    <s v="Chi phí hợp lý"/>
  </r>
  <r>
    <d v="2022-12-31T00:00:00"/>
    <d v="2022-12-31T00:00:00"/>
    <s v="JV2212.011"/>
    <s v="Kết chuyển lãi lỗ đến ngày 31/12/2022"/>
    <s v="Kết chuyển doanh thu hoạt động tài chính"/>
    <s v="911"/>
    <x v="2"/>
    <s v="515"/>
    <n v="0"/>
    <n v="57069363"/>
    <m/>
    <m/>
    <m/>
    <s v="Chi phí hợp lý"/>
  </r>
  <r>
    <d v="2022-12-31T00:00:00"/>
    <d v="2022-12-31T00:00:00"/>
    <s v="JV2212.011"/>
    <s v="Kết chuyển lãi lỗ đến ngày 31/12/2022"/>
    <s v="Kết chuyển giá vốn hàng bán"/>
    <s v="911"/>
    <x v="3"/>
    <s v="632"/>
    <n v="3531012744"/>
    <n v="0"/>
    <m/>
    <m/>
    <m/>
    <s v="Chi phí hợp lý"/>
  </r>
  <r>
    <d v="2022-12-31T00:00:00"/>
    <d v="2022-12-31T00:00:00"/>
    <s v="JV2212.011"/>
    <s v="Kết chuyển lãi lỗ đến ngày 31/12/2022"/>
    <s v="Kết chuyển chi phí hoạt động tài chính"/>
    <s v="911"/>
    <x v="21"/>
    <s v="635"/>
    <n v="0"/>
    <n v="1115460751"/>
    <m/>
    <m/>
    <m/>
    <s v="Chi phí hợp lý"/>
  </r>
  <r>
    <d v="2022-12-31T00:00:00"/>
    <d v="2022-12-31T00:00:00"/>
    <s v="JV2212.011"/>
    <s v="Kết chuyển lãi lỗ đến ngày 31/12/2022"/>
    <s v="Kết chuyển chi phí bán hàng"/>
    <s v="911"/>
    <x v="6"/>
    <s v="641"/>
    <n v="0"/>
    <n v="138542800"/>
    <m/>
    <m/>
    <m/>
    <s v="Chi phí hợp lý"/>
  </r>
  <r>
    <d v="2022-12-31T00:00:00"/>
    <d v="2022-12-31T00:00:00"/>
    <s v="JV2212.011"/>
    <s v="Kết chuyển lãi lỗ đến ngày 31/12/2022"/>
    <s v="Kết chuyển chi phí bán hàng"/>
    <s v="911"/>
    <x v="25"/>
    <s v="641"/>
    <n v="0"/>
    <n v="3350000"/>
    <m/>
    <m/>
    <m/>
    <s v="Chi phí hợp lý"/>
  </r>
  <r>
    <d v="2022-12-31T00:00:00"/>
    <d v="2022-12-31T00:00:00"/>
    <s v="JV2212.011"/>
    <s v="Kết chuyển lãi lỗ đến ngày 31/12/2022"/>
    <s v="Kết chuyển chi phí bán hàng"/>
    <s v="911"/>
    <x v="7"/>
    <s v="641"/>
    <n v="0"/>
    <n v="40212520"/>
    <m/>
    <m/>
    <m/>
    <s v="Chi phí hợp lý"/>
  </r>
  <r>
    <d v="2022-12-31T00:00:00"/>
    <d v="2022-12-31T00:00:00"/>
    <s v="JV2212.011"/>
    <s v="Kết chuyển lãi lỗ đến ngày 31/12/2022"/>
    <s v="Kết chuyển chi phí bán hàng"/>
    <s v="911"/>
    <x v="8"/>
    <s v="641"/>
    <n v="4125000"/>
    <n v="0"/>
    <m/>
    <m/>
    <m/>
    <s v="Chi phí hợp lý"/>
  </r>
  <r>
    <d v="2022-12-31T00:00:00"/>
    <d v="2022-12-31T00:00:00"/>
    <s v="JV2212.011"/>
    <s v="Kết chuyển lãi lỗ đến ngày 31/12/2022"/>
    <s v="Kết chuyển chi phí quản lý doanh nghiệp"/>
    <s v="911"/>
    <x v="9"/>
    <s v="642"/>
    <n v="56270364"/>
    <n v="0"/>
    <m/>
    <m/>
    <m/>
    <s v="Chi phí hợp lý"/>
  </r>
  <r>
    <d v="2022-12-31T00:00:00"/>
    <d v="2022-12-31T00:00:00"/>
    <s v="JV2212.011"/>
    <s v="Kết chuyển lãi lỗ đến ngày 31/12/2022"/>
    <s v="Kết chuyển chi phí quản lý doanh nghiệp"/>
    <s v="911"/>
    <x v="10"/>
    <s v="642"/>
    <n v="3102000"/>
    <n v="0"/>
    <m/>
    <m/>
    <m/>
    <s v="Chi phí hợp lý"/>
  </r>
  <r>
    <d v="2022-12-31T00:00:00"/>
    <d v="2022-12-31T00:00:00"/>
    <s v="JV2212.011"/>
    <s v="Kết chuyển lãi lỗ đến ngày 31/12/2022"/>
    <s v="Kết chuyển chi phí quản lý doanh nghiệp"/>
    <s v="911"/>
    <x v="11"/>
    <s v="642"/>
    <n v="1466264"/>
    <n v="0"/>
    <m/>
    <m/>
    <m/>
    <s v="Chi phí hợp lý"/>
  </r>
  <r>
    <d v="2022-12-31T00:00:00"/>
    <d v="2022-12-31T00:00:00"/>
    <s v="JV2212.011"/>
    <s v="Kết chuyển lãi lỗ đến ngày 31/12/2022"/>
    <s v="Kết chuyển chi phí quản lý doanh nghiệp"/>
    <s v="911"/>
    <x v="13"/>
    <s v="642"/>
    <n v="198000"/>
    <n v="0"/>
    <m/>
    <m/>
    <m/>
    <s v="Chi phí hợp lý"/>
  </r>
  <r>
    <d v="2022-12-31T00:00:00"/>
    <d v="2022-12-31T00:00:00"/>
    <s v="JV2212.011"/>
    <s v="Kết chuyển lãi lỗ đến ngày 31/12/2022"/>
    <s v="Kết chuyển chi phí quản lý doanh nghiệp"/>
    <s v="911"/>
    <x v="14"/>
    <s v="642"/>
    <n v="2212019"/>
    <n v="0"/>
    <m/>
    <m/>
    <m/>
    <s v="Chi phí hợp lý"/>
  </r>
  <r>
    <d v="2022-12-31T00:00:00"/>
    <d v="2022-12-31T00:00:00"/>
    <s v="JV2212.011"/>
    <s v="Kết chuyển lãi lỗ đến ngày 31/12/2022"/>
    <s v="Kết chuyển chi phí quản lý doanh nghiệp"/>
    <s v="911"/>
    <x v="15"/>
    <s v="642"/>
    <n v="194053346"/>
    <n v="0"/>
    <m/>
    <m/>
    <m/>
    <s v="Chi phí hợp lý"/>
  </r>
  <r>
    <d v="2022-12-31T00:00:00"/>
    <d v="2022-12-31T00:00:00"/>
    <s v="JV2212.011"/>
    <s v="Kết chuyển lãi lỗ đến ngày 31/12/2022"/>
    <s v="Kết chuyển chi phí quản lý doanh nghiệp"/>
    <s v="911"/>
    <x v="16"/>
    <s v="642"/>
    <n v="7718558"/>
    <n v="0"/>
    <m/>
    <m/>
    <m/>
    <s v="Chi phí hợp lý"/>
  </r>
  <r>
    <d v="2022-12-31T00:00:00"/>
    <d v="2022-12-31T00:00:00"/>
    <s v="JV2212.011"/>
    <s v="Kết chuyển lãi lỗ đến ngày 31/12/2022"/>
    <s v="Kết chuyển chi phí quản lý doanh nghiệp"/>
    <s v="911"/>
    <x v="17"/>
    <s v="642"/>
    <n v="56297530"/>
    <n v="0"/>
    <m/>
    <m/>
    <m/>
    <s v="Chi phí hợp lý"/>
  </r>
  <r>
    <d v="2022-12-31T00:00:00"/>
    <d v="2022-12-31T00:00:00"/>
    <s v="JV2212.011"/>
    <s v="Kết chuyển lãi lỗ đến ngày 31/12/2022"/>
    <s v="Kết chuyển chi phí quản lý doanh nghiệp"/>
    <s v="911"/>
    <x v="18"/>
    <s v="642"/>
    <n v="5788888"/>
    <n v="0"/>
    <m/>
    <m/>
    <m/>
    <s v="Chi phí hợp lý"/>
  </r>
  <r>
    <d v="2022-12-31T00:00:00"/>
    <d v="2022-12-31T00:00:00"/>
    <s v="JV2212.011"/>
    <s v="Kết chuyển lãi lỗ đến ngày 31/12/2022"/>
    <s v="Kết chuyển kết quả hoạt động kinh doanh trong kỳ"/>
    <s v="911"/>
    <x v="20"/>
    <s v="421"/>
    <n v="1034036171"/>
    <n v="0"/>
    <m/>
    <m/>
    <m/>
    <s v="Chi phí hợp lý"/>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7">
  <r>
    <d v="2024-01-31T00:00:00"/>
    <d v="2024-01-31T00:00:00"/>
    <s v="KC2024.01"/>
    <m/>
    <m/>
    <s v="Kết chuyển doanh thu bán hàng và cung cấp dịch vụ"/>
    <s v="911"/>
    <x v="0"/>
    <x v="0"/>
    <n v="0"/>
    <n v="1444000000"/>
    <m/>
    <m/>
    <m/>
    <m/>
    <m/>
    <m/>
    <m/>
    <s v="Chi phí hợp lý"/>
    <n v="-1444000000"/>
  </r>
  <r>
    <d v="2024-01-31T00:00:00"/>
    <d v="2024-01-31T00:00:00"/>
    <s v="KC2024.01"/>
    <m/>
    <m/>
    <s v="Kết chuyển doanh thu bán hàng và cung cấp dịch vụ"/>
    <s v="911"/>
    <x v="1"/>
    <x v="0"/>
    <n v="0"/>
    <n v="362519"/>
    <m/>
    <m/>
    <m/>
    <m/>
    <m/>
    <m/>
    <m/>
    <s v="Chi phí hợp lý"/>
    <n v="-362519"/>
  </r>
  <r>
    <d v="2024-01-31T00:00:00"/>
    <d v="2024-01-31T00:00:00"/>
    <s v="KC2024.01"/>
    <m/>
    <m/>
    <s v="Kết chuyển doanh thu bán hàng và cung cấp dịch vụ"/>
    <s v="911"/>
    <x v="2"/>
    <x v="0"/>
    <n v="0"/>
    <n v="3456000"/>
    <m/>
    <m/>
    <m/>
    <m/>
    <m/>
    <m/>
    <m/>
    <s v="Chi phí hợp lý"/>
    <n v="-3456000"/>
  </r>
  <r>
    <d v="2024-01-31T00:00:00"/>
    <d v="2024-01-31T00:00:00"/>
    <s v="KC2024.01"/>
    <m/>
    <m/>
    <s v="Kết chuyển doanh thu bán hàng và cung cấp dịch vụ"/>
    <s v="911"/>
    <x v="3"/>
    <x v="0"/>
    <n v="0"/>
    <n v="11538000"/>
    <m/>
    <m/>
    <m/>
    <m/>
    <m/>
    <m/>
    <m/>
    <s v="Chi phí hợp lý"/>
    <n v="-11538000"/>
  </r>
  <r>
    <d v="2024-01-31T00:00:00"/>
    <d v="2024-01-31T00:00:00"/>
    <s v="KC2024.01"/>
    <m/>
    <m/>
    <s v="Kết chuyển doanh thu bán hàng và cung cấp dịch vụ"/>
    <s v="911"/>
    <x v="4"/>
    <x v="0"/>
    <n v="0"/>
    <n v="74228222"/>
    <m/>
    <m/>
    <m/>
    <m/>
    <m/>
    <m/>
    <m/>
    <s v="Chi phí hợp lý"/>
    <n v="-74228222"/>
  </r>
  <r>
    <d v="2024-01-31T00:00:00"/>
    <d v="2024-01-31T00:00:00"/>
    <s v="KC2024.01"/>
    <m/>
    <m/>
    <s v="Kết chuyển doanh thu bán hàng và cung cấp dịch vụ"/>
    <s v="911"/>
    <x v="5"/>
    <x v="0"/>
    <n v="0"/>
    <n v="194741592"/>
    <m/>
    <m/>
    <m/>
    <m/>
    <m/>
    <m/>
    <m/>
    <s v="Chi phí hợp lý"/>
    <n v="-194741592"/>
  </r>
  <r>
    <d v="2024-01-31T00:00:00"/>
    <d v="2024-01-31T00:00:00"/>
    <s v="KC2024.01"/>
    <m/>
    <m/>
    <s v="Kết chuyển doanh thu bán hàng và cung cấp dịch vụ"/>
    <s v="911"/>
    <x v="6"/>
    <x v="0"/>
    <n v="0"/>
    <n v="1856000"/>
    <m/>
    <m/>
    <m/>
    <m/>
    <m/>
    <m/>
    <m/>
    <s v="Chi phí hợp lý"/>
    <n v="-1856000"/>
  </r>
  <r>
    <d v="2024-01-31T00:00:00"/>
    <d v="2024-01-31T00:00:00"/>
    <s v="KC2024.01"/>
    <m/>
    <m/>
    <s v="Kết chuyển doanh thu bán hàng và cung cấp dịch vụ"/>
    <s v="911"/>
    <x v="7"/>
    <x v="0"/>
    <n v="0"/>
    <n v="13631087"/>
    <m/>
    <m/>
    <m/>
    <m/>
    <m/>
    <m/>
    <m/>
    <s v="Chi phí hợp lý"/>
    <n v="-13631087"/>
  </r>
  <r>
    <d v="2024-01-31T00:00:00"/>
    <d v="2024-01-31T00:00:00"/>
    <s v="KC2024.01"/>
    <m/>
    <m/>
    <s v="Kết chuyển doanh thu bán hàng và cung cấp dịch vụ"/>
    <s v="911"/>
    <x v="8"/>
    <x v="0"/>
    <n v="0"/>
    <n v="132981"/>
    <m/>
    <m/>
    <m/>
    <m/>
    <m/>
    <m/>
    <m/>
    <s v="Chi phí hợp lý"/>
    <n v="-132981"/>
  </r>
  <r>
    <d v="2024-01-31T00:00:00"/>
    <d v="2024-01-31T00:00:00"/>
    <s v="KC2024.01"/>
    <m/>
    <m/>
    <s v="Kết chuyển doanh thu bán hàng và cung cấp dịch vụ"/>
    <s v="911"/>
    <x v="9"/>
    <x v="0"/>
    <n v="0"/>
    <n v="440318"/>
    <m/>
    <m/>
    <m/>
    <m/>
    <m/>
    <m/>
    <m/>
    <s v="Chi phí hợp lý"/>
    <n v="-440318"/>
  </r>
  <r>
    <d v="2024-01-31T00:00:00"/>
    <d v="2024-01-31T00:00:00"/>
    <s v="KC2024.01"/>
    <m/>
    <m/>
    <s v="Kết chuyển doanh thu bán hàng và cung cấp dịch vụ"/>
    <s v="911"/>
    <x v="10"/>
    <x v="0"/>
    <n v="0"/>
    <n v="6101313"/>
    <m/>
    <m/>
    <m/>
    <m/>
    <m/>
    <m/>
    <m/>
    <s v="Chi phí hợp lý"/>
    <n v="-6101313"/>
  </r>
  <r>
    <d v="2024-01-31T00:00:00"/>
    <d v="2024-01-31T00:00:00"/>
    <s v="KC2024.01"/>
    <m/>
    <m/>
    <s v="Kết chuyển doanh thu bán hàng và cung cấp dịch vụ"/>
    <s v="911"/>
    <x v="11"/>
    <x v="0"/>
    <n v="0"/>
    <n v="307459459"/>
    <m/>
    <m/>
    <m/>
    <m/>
    <m/>
    <m/>
    <m/>
    <s v="Chi phí hợp lý"/>
    <n v="-307459459"/>
  </r>
  <r>
    <d v="2024-01-31T00:00:00"/>
    <d v="2024-01-31T00:00:00"/>
    <s v="KC2024.01"/>
    <m/>
    <m/>
    <s v="Kết chuyển doanh thu bán hàng và cung cấp dịch vụ"/>
    <s v="911"/>
    <x v="12"/>
    <x v="0"/>
    <n v="0"/>
    <n v="400000"/>
    <m/>
    <m/>
    <m/>
    <m/>
    <m/>
    <m/>
    <m/>
    <s v="Chi phí hợp lý"/>
    <n v="-400000"/>
  </r>
  <r>
    <d v="2024-01-31T00:00:00"/>
    <d v="2024-01-31T00:00:00"/>
    <s v="KC2024.01"/>
    <m/>
    <m/>
    <s v="Kết chuyển doanh thu hoạt động tài chính"/>
    <s v="911"/>
    <x v="13"/>
    <x v="1"/>
    <n v="0"/>
    <n v="11411274436"/>
    <m/>
    <m/>
    <m/>
    <m/>
    <m/>
    <m/>
    <m/>
    <s v="Chi phí hợp lý"/>
    <n v="-11411274436"/>
  </r>
  <r>
    <d v="2024-01-31T00:00:00"/>
    <d v="2024-01-31T00:00:00"/>
    <s v="KC2024.01"/>
    <m/>
    <m/>
    <s v="Kết chuyển doanh thu hoạt động tài chính"/>
    <s v="911"/>
    <x v="14"/>
    <x v="1"/>
    <n v="0"/>
    <n v="1678922941"/>
    <m/>
    <m/>
    <m/>
    <m/>
    <m/>
    <m/>
    <m/>
    <s v="Chi phí hợp lý"/>
    <n v="-1678922941"/>
  </r>
  <r>
    <d v="2024-01-31T00:00:00"/>
    <d v="2024-01-31T00:00:00"/>
    <s v="KC2024.01"/>
    <m/>
    <m/>
    <s v="Kết chuyển doanh thu hoạt động tài chính"/>
    <s v="911"/>
    <x v="15"/>
    <x v="1"/>
    <n v="0"/>
    <n v="4480000000"/>
    <m/>
    <m/>
    <m/>
    <m/>
    <m/>
    <m/>
    <m/>
    <s v="Chi phí hợp lý"/>
    <n v="-4480000000"/>
  </r>
  <r>
    <d v="2024-01-31T00:00:00"/>
    <d v="2024-01-31T00:00:00"/>
    <s v="KC2024.01"/>
    <m/>
    <m/>
    <s v="Kết chuyển doanh thu hoạt động tài chính"/>
    <s v="911"/>
    <x v="16"/>
    <x v="1"/>
    <n v="0"/>
    <n v="2068795725"/>
    <m/>
    <m/>
    <m/>
    <m/>
    <m/>
    <m/>
    <m/>
    <s v="Chi phí hợp lý"/>
    <n v="-2068795725"/>
  </r>
  <r>
    <d v="2024-01-31T00:00:00"/>
    <d v="2024-01-31T00:00:00"/>
    <s v="KC2024.01"/>
    <m/>
    <m/>
    <s v="Kết chuyển doanh thu hoạt động tài chính"/>
    <s v="911"/>
    <x v="17"/>
    <x v="1"/>
    <n v="166632601"/>
    <n v="0"/>
    <m/>
    <m/>
    <m/>
    <m/>
    <m/>
    <m/>
    <m/>
    <s v="Chi phí hợp lý"/>
    <n v="166632601"/>
  </r>
  <r>
    <d v="2024-01-31T00:00:00"/>
    <d v="2024-01-31T00:00:00"/>
    <s v="KC2024.01"/>
    <m/>
    <m/>
    <s v="Kết chuyển giá vốn hàng bán"/>
    <s v="911"/>
    <x v="18"/>
    <x v="2"/>
    <n v="1087727283"/>
    <n v="0"/>
    <m/>
    <m/>
    <m/>
    <m/>
    <m/>
    <m/>
    <m/>
    <s v="Chi phí hợp lý"/>
    <n v="1087727283"/>
  </r>
  <r>
    <d v="2024-01-31T00:00:00"/>
    <d v="2024-01-31T00:00:00"/>
    <s v="KC2024.01"/>
    <m/>
    <m/>
    <s v="Kết chuyển chi phí hoạt động tài chính"/>
    <s v="911"/>
    <x v="19"/>
    <x v="3"/>
    <n v="0"/>
    <n v="535288272"/>
    <m/>
    <m/>
    <m/>
    <m/>
    <m/>
    <m/>
    <m/>
    <s v="Chi phí hợp lý"/>
    <n v="-535288272"/>
  </r>
  <r>
    <d v="2024-01-31T00:00:00"/>
    <d v="2024-01-31T00:00:00"/>
    <s v="KC2024.01"/>
    <m/>
    <m/>
    <s v="Kết chuyển chi phí hoạt động tài chính"/>
    <s v="911"/>
    <x v="20"/>
    <x v="3"/>
    <n v="1046423961"/>
    <n v="0"/>
    <m/>
    <m/>
    <m/>
    <m/>
    <m/>
    <m/>
    <m/>
    <s v="Chi phí hợp lý"/>
    <n v="1046423961"/>
  </r>
  <r>
    <d v="2024-01-31T00:00:00"/>
    <d v="2024-01-31T00:00:00"/>
    <s v="KC2024.01"/>
    <m/>
    <m/>
    <s v="Kết chuyển chi phí hoạt động tài chính"/>
    <s v="911"/>
    <x v="21"/>
    <x v="3"/>
    <n v="295291042"/>
    <n v="0"/>
    <m/>
    <m/>
    <m/>
    <m/>
    <m/>
    <m/>
    <m/>
    <s v="Chi phí hợp lý"/>
    <n v="295291042"/>
  </r>
  <r>
    <d v="2024-01-31T00:00:00"/>
    <d v="2024-01-31T00:00:00"/>
    <s v="KC2024.01"/>
    <m/>
    <m/>
    <s v="Kết chuyển chi phí hoạt động tài chính"/>
    <s v="911"/>
    <x v="22"/>
    <x v="3"/>
    <n v="234841315"/>
    <n v="0"/>
    <m/>
    <m/>
    <m/>
    <m/>
    <m/>
    <m/>
    <m/>
    <s v="Chi phí hợp lý"/>
    <n v="234841315"/>
  </r>
  <r>
    <d v="2024-01-31T00:00:00"/>
    <d v="2024-01-31T00:00:00"/>
    <s v="KC2024.01"/>
    <m/>
    <m/>
    <s v="Kết chuyển chi phí hoạt động tài chính"/>
    <s v="911"/>
    <x v="23"/>
    <x v="3"/>
    <n v="277108158"/>
    <n v="0"/>
    <m/>
    <m/>
    <m/>
    <m/>
    <m/>
    <m/>
    <m/>
    <s v="Chi phí hợp lý"/>
    <n v="277108158"/>
  </r>
  <r>
    <d v="2024-01-31T00:00:00"/>
    <d v="2024-01-31T00:00:00"/>
    <s v="KC2024.01"/>
    <m/>
    <m/>
    <s v="Kết chuyển chi phí hoạt động tài chính"/>
    <s v="911"/>
    <x v="24"/>
    <x v="3"/>
    <n v="9103937807"/>
    <n v="0"/>
    <m/>
    <m/>
    <m/>
    <m/>
    <m/>
    <m/>
    <m/>
    <s v="Chi phí hợp lý"/>
    <n v="9103937807"/>
  </r>
  <r>
    <d v="2024-01-31T00:00:00"/>
    <d v="2024-01-31T00:00:00"/>
    <s v="KC2024.01"/>
    <m/>
    <m/>
    <s v="Kết chuyển chi phí bán hàng"/>
    <s v="911"/>
    <x v="25"/>
    <x v="4"/>
    <n v="15318585"/>
    <n v="0"/>
    <m/>
    <m/>
    <m/>
    <m/>
    <m/>
    <m/>
    <m/>
    <s v="Chi phí hợp lý"/>
    <n v="15318585"/>
  </r>
  <r>
    <d v="2024-01-31T00:00:00"/>
    <d v="2024-01-31T00:00:00"/>
    <s v="KC2024.01"/>
    <m/>
    <m/>
    <s v="Kết chuyển chi phí bán hàng"/>
    <s v="911"/>
    <x v="26"/>
    <x v="4"/>
    <n v="5814470"/>
    <n v="0"/>
    <m/>
    <m/>
    <m/>
    <m/>
    <m/>
    <m/>
    <m/>
    <s v="Chi phí hợp lý"/>
    <n v="5814470"/>
  </r>
  <r>
    <d v="2024-01-31T00:00:00"/>
    <d v="2024-01-31T00:00:00"/>
    <s v="KC2024.01"/>
    <m/>
    <m/>
    <s v="Kết chuyển chi phí bán hàng"/>
    <s v="911"/>
    <x v="27"/>
    <x v="4"/>
    <n v="3870417"/>
    <n v="0"/>
    <m/>
    <m/>
    <m/>
    <m/>
    <m/>
    <m/>
    <m/>
    <s v="Chi phí hợp lý"/>
    <n v="3870417"/>
  </r>
  <r>
    <d v="2024-01-31T00:00:00"/>
    <d v="2024-01-31T00:00:00"/>
    <s v="KC2024.01"/>
    <m/>
    <m/>
    <s v="Kết chuyển chi phí bán hàng"/>
    <s v="911"/>
    <x v="28"/>
    <x v="4"/>
    <n v="174908544"/>
    <n v="0"/>
    <m/>
    <m/>
    <m/>
    <m/>
    <m/>
    <m/>
    <m/>
    <s v="Chi phí hợp lý"/>
    <n v="174908544"/>
  </r>
  <r>
    <d v="2024-01-31T00:00:00"/>
    <d v="2024-01-31T00:00:00"/>
    <s v="KC2024.01"/>
    <m/>
    <m/>
    <s v="Kết chuyển chi phí bán hàng"/>
    <s v="911"/>
    <x v="29"/>
    <x v="4"/>
    <n v="33443210"/>
    <n v="0"/>
    <m/>
    <m/>
    <m/>
    <m/>
    <m/>
    <m/>
    <m/>
    <s v="Chi phí hợp lý"/>
    <n v="33443210"/>
  </r>
  <r>
    <d v="2024-01-31T00:00:00"/>
    <d v="2024-01-31T00:00:00"/>
    <s v="KC2024.01"/>
    <m/>
    <m/>
    <s v="Kết chuyển chi phí bán hàng"/>
    <s v="911"/>
    <x v="30"/>
    <x v="4"/>
    <n v="1200000"/>
    <n v="0"/>
    <m/>
    <m/>
    <m/>
    <m/>
    <m/>
    <m/>
    <m/>
    <s v="Chi phí hợp lý"/>
    <n v="1200000"/>
  </r>
  <r>
    <d v="2024-01-31T00:00:00"/>
    <d v="2024-01-31T00:00:00"/>
    <s v="KC2024.01"/>
    <m/>
    <m/>
    <s v="Kết chuyển chi phí bán hàng"/>
    <s v="911"/>
    <x v="31"/>
    <x v="4"/>
    <n v="2629091"/>
    <n v="0"/>
    <m/>
    <m/>
    <m/>
    <m/>
    <m/>
    <m/>
    <m/>
    <s v="Chi phí hợp lý"/>
    <n v="2629091"/>
  </r>
  <r>
    <d v="2024-01-31T00:00:00"/>
    <d v="2024-01-31T00:00:00"/>
    <s v="KC2024.01"/>
    <m/>
    <m/>
    <s v="Kết chuyển chi phí bán hàng"/>
    <s v="911"/>
    <x v="32"/>
    <x v="4"/>
    <n v="31076376"/>
    <n v="0"/>
    <m/>
    <m/>
    <m/>
    <m/>
    <m/>
    <m/>
    <m/>
    <s v="Chi phí hợp lý"/>
    <n v="31076376"/>
  </r>
  <r>
    <d v="2024-01-31T00:00:00"/>
    <d v="2024-01-31T00:00:00"/>
    <s v="KC2024.01"/>
    <m/>
    <m/>
    <s v="Kết chuyển chi phí bán hàng"/>
    <s v="911"/>
    <x v="33"/>
    <x v="4"/>
    <n v="3125252"/>
    <n v="0"/>
    <m/>
    <m/>
    <m/>
    <m/>
    <m/>
    <m/>
    <m/>
    <s v="Chi phí hợp lý"/>
    <n v="3125252"/>
  </r>
  <r>
    <d v="2024-01-31T00:00:00"/>
    <d v="2024-01-31T00:00:00"/>
    <s v="KC2024.01"/>
    <m/>
    <m/>
    <s v="Kết chuyển chi phí bán hàng"/>
    <s v="911"/>
    <x v="34"/>
    <x v="4"/>
    <n v="21923338"/>
    <n v="0"/>
    <m/>
    <m/>
    <m/>
    <m/>
    <m/>
    <m/>
    <m/>
    <s v="Chi phí hợp lý"/>
    <n v="21923338"/>
  </r>
  <r>
    <d v="2024-01-31T00:00:00"/>
    <d v="2024-01-31T00:00:00"/>
    <s v="KC2024.01"/>
    <m/>
    <m/>
    <s v="Kết chuyển chi phí bán hàng"/>
    <s v="911"/>
    <x v="35"/>
    <x v="4"/>
    <n v="2611111"/>
    <n v="0"/>
    <m/>
    <m/>
    <m/>
    <m/>
    <m/>
    <m/>
    <m/>
    <s v="Chi phí hợp lý"/>
    <n v="2611111"/>
  </r>
  <r>
    <d v="2024-01-31T00:00:00"/>
    <d v="2024-01-31T00:00:00"/>
    <s v="KC2024.01"/>
    <m/>
    <m/>
    <s v="Kết chuyển chi phí quản lý doanh nghiệp"/>
    <s v="911"/>
    <x v="36"/>
    <x v="5"/>
    <n v="244326249"/>
    <n v="0"/>
    <m/>
    <m/>
    <m/>
    <m/>
    <m/>
    <m/>
    <m/>
    <s v="Chi phí hợp lý"/>
    <n v="244326249"/>
  </r>
  <r>
    <d v="2024-01-31T00:00:00"/>
    <d v="2024-01-31T00:00:00"/>
    <s v="KC2024.01"/>
    <m/>
    <m/>
    <s v="Kết chuyển chi phí quản lý doanh nghiệp"/>
    <s v="911"/>
    <x v="37"/>
    <x v="5"/>
    <n v="16958000"/>
    <n v="0"/>
    <m/>
    <m/>
    <m/>
    <m/>
    <m/>
    <m/>
    <m/>
    <s v="Chi phí hợp lý"/>
    <n v="16958000"/>
  </r>
  <r>
    <d v="2024-01-31T00:00:00"/>
    <d v="2024-01-31T00:00:00"/>
    <s v="KC2024.01"/>
    <m/>
    <m/>
    <s v="Kết chuyển chi phí quản lý doanh nghiệp"/>
    <s v="911"/>
    <x v="38"/>
    <x v="5"/>
    <n v="39601478"/>
    <n v="0"/>
    <m/>
    <m/>
    <m/>
    <m/>
    <m/>
    <m/>
    <m/>
    <s v="Chi phí hợp lý"/>
    <n v="39601478"/>
  </r>
  <r>
    <d v="2024-01-31T00:00:00"/>
    <d v="2024-01-31T00:00:00"/>
    <s v="KC2024.01"/>
    <m/>
    <m/>
    <s v="Kết chuyển chi phí quản lý doanh nghiệp"/>
    <s v="911"/>
    <x v="39"/>
    <x v="5"/>
    <n v="51183742"/>
    <n v="0"/>
    <m/>
    <m/>
    <m/>
    <m/>
    <m/>
    <m/>
    <m/>
    <s v="Chi phí hợp lý"/>
    <n v="51183742"/>
  </r>
  <r>
    <d v="2024-01-31T00:00:00"/>
    <d v="2024-01-31T00:00:00"/>
    <s v="KC2024.01"/>
    <m/>
    <m/>
    <s v="Kết chuyển chi phí quản lý doanh nghiệp"/>
    <s v="911"/>
    <x v="40"/>
    <x v="5"/>
    <n v="39554350"/>
    <n v="0"/>
    <m/>
    <m/>
    <m/>
    <m/>
    <m/>
    <m/>
    <m/>
    <s v="Chi phí hợp lý"/>
    <n v="39554350"/>
  </r>
  <r>
    <d v="2024-01-31T00:00:00"/>
    <d v="2024-01-31T00:00:00"/>
    <s v="KC2024.01"/>
    <m/>
    <m/>
    <s v="Kết chuyển chi phí quản lý doanh nghiệp"/>
    <s v="911"/>
    <x v="41"/>
    <x v="5"/>
    <n v="4500000"/>
    <n v="0"/>
    <m/>
    <m/>
    <m/>
    <m/>
    <m/>
    <m/>
    <m/>
    <s v="Chi phí hợp lý"/>
    <n v="4500000"/>
  </r>
  <r>
    <d v="2024-01-31T00:00:00"/>
    <d v="2024-01-31T00:00:00"/>
    <s v="KC2024.01"/>
    <m/>
    <m/>
    <s v="Kết chuyển chi phí quản lý doanh nghiệp"/>
    <s v="911"/>
    <x v="42"/>
    <x v="5"/>
    <n v="206123465"/>
    <n v="0"/>
    <m/>
    <m/>
    <m/>
    <m/>
    <m/>
    <m/>
    <m/>
    <s v="Chi phí hợp lý"/>
    <n v="206123465"/>
  </r>
  <r>
    <d v="2024-01-31T00:00:00"/>
    <d v="2024-01-31T00:00:00"/>
    <s v="KC2024.01"/>
    <m/>
    <m/>
    <s v="Kết chuyển chi phí quản lý doanh nghiệp"/>
    <s v="911"/>
    <x v="43"/>
    <x v="5"/>
    <n v="12609887"/>
    <n v="0"/>
    <m/>
    <m/>
    <m/>
    <m/>
    <m/>
    <m/>
    <m/>
    <s v="Chi phí hợp lý"/>
    <n v="12609887"/>
  </r>
  <r>
    <d v="2024-01-31T00:00:00"/>
    <d v="2024-01-31T00:00:00"/>
    <s v="KC2024.01"/>
    <m/>
    <m/>
    <s v="Kết chuyển chi phí quản lý doanh nghiệp"/>
    <s v="911"/>
    <x v="44"/>
    <x v="5"/>
    <n v="2455922"/>
    <n v="0"/>
    <m/>
    <m/>
    <m/>
    <m/>
    <m/>
    <m/>
    <m/>
    <s v="Chi phí hợp lý"/>
    <n v="2455922"/>
  </r>
  <r>
    <d v="2024-01-31T00:00:00"/>
    <d v="2024-01-31T00:00:00"/>
    <s v="KC2024.01"/>
    <m/>
    <m/>
    <s v="Kết chuyển chi phí quản lý doanh nghiệp"/>
    <s v="911"/>
    <x v="45"/>
    <x v="5"/>
    <n v="12716476"/>
    <n v="0"/>
    <m/>
    <m/>
    <m/>
    <m/>
    <m/>
    <m/>
    <m/>
    <s v="Chi phí hợp lý"/>
    <n v="12716476"/>
  </r>
  <r>
    <d v="2024-01-31T00:00:00"/>
    <d v="2024-01-31T00:00:00"/>
    <s v="KC2024.01"/>
    <m/>
    <m/>
    <s v="Kết chuyển chi phí quản lý doanh nghiệp"/>
    <s v="911"/>
    <x v="46"/>
    <x v="5"/>
    <n v="4799333"/>
    <n v="0"/>
    <m/>
    <m/>
    <m/>
    <m/>
    <m/>
    <m/>
    <m/>
    <s v="Chi phí hợp lý"/>
    <n v="4799333"/>
  </r>
  <r>
    <d v="2024-01-31T00:00:00"/>
    <d v="2024-01-31T00:00:00"/>
    <s v="KC2024.01"/>
    <m/>
    <m/>
    <s v="Kết chuyển chi phí quản lý doanh nghiệp"/>
    <s v="911"/>
    <x v="47"/>
    <x v="5"/>
    <n v="123368865"/>
    <n v="0"/>
    <m/>
    <m/>
    <m/>
    <m/>
    <m/>
    <m/>
    <m/>
    <s v="Chi phí hợp lý"/>
    <n v="123368865"/>
  </r>
  <r>
    <d v="2024-01-31T00:00:00"/>
    <d v="2024-01-31T00:00:00"/>
    <s v="KC2024.01"/>
    <m/>
    <m/>
    <s v="Kết chuyển chi phí quản lý doanh nghiệp"/>
    <s v="911"/>
    <x v="48"/>
    <x v="5"/>
    <n v="136364"/>
    <n v="0"/>
    <m/>
    <m/>
    <m/>
    <m/>
    <m/>
    <m/>
    <m/>
    <s v="Chi phí hợp lý"/>
    <n v="136364"/>
  </r>
  <r>
    <d v="2024-01-31T00:00:00"/>
    <d v="2024-01-31T00:00:00"/>
    <s v="KC2024.01"/>
    <m/>
    <m/>
    <s v="Kết chuyển chi phí quản lý doanh nghiệp"/>
    <s v="911"/>
    <x v="49"/>
    <x v="5"/>
    <n v="12000000"/>
    <n v="0"/>
    <m/>
    <m/>
    <m/>
    <m/>
    <m/>
    <m/>
    <m/>
    <s v="Chi phí hợp lý"/>
    <n v="12000000"/>
  </r>
  <r>
    <d v="2024-01-31T00:00:00"/>
    <d v="2024-01-31T00:00:00"/>
    <s v="KC2024.01"/>
    <m/>
    <m/>
    <s v="Kết chuyển chi phí quản lý doanh nghiệp"/>
    <s v="911"/>
    <x v="50"/>
    <x v="5"/>
    <n v="64393939"/>
    <n v="0"/>
    <m/>
    <m/>
    <m/>
    <m/>
    <m/>
    <m/>
    <m/>
    <s v="Chi phí hợp lý"/>
    <n v="64393939"/>
  </r>
  <r>
    <d v="2024-01-31T00:00:00"/>
    <d v="2024-01-31T00:00:00"/>
    <s v="KC2024.01"/>
    <m/>
    <m/>
    <s v="Kết chuyển chi phí quản lý doanh nghiệp"/>
    <s v="911"/>
    <x v="51"/>
    <x v="5"/>
    <n v="3681818"/>
    <n v="0"/>
    <m/>
    <m/>
    <m/>
    <m/>
    <m/>
    <m/>
    <m/>
    <s v="Chi phí hợp lý"/>
    <n v="3681818"/>
  </r>
  <r>
    <d v="2024-01-31T00:00:00"/>
    <d v="2024-01-31T00:00:00"/>
    <s v="KC2024.01"/>
    <m/>
    <m/>
    <s v="Kết chuyển chi phí quản lý doanh nghiệp"/>
    <s v="911"/>
    <x v="52"/>
    <x v="5"/>
    <n v="1950000"/>
    <n v="0"/>
    <m/>
    <m/>
    <m/>
    <m/>
    <m/>
    <m/>
    <m/>
    <s v="Chi phí hợp lý"/>
    <n v="1950000"/>
  </r>
  <r>
    <d v="2024-01-31T00:00:00"/>
    <d v="2024-01-31T00:00:00"/>
    <s v="KC2024.01"/>
    <m/>
    <m/>
    <s v="Kết chuyển chi phí quản lý doanh nghiệp"/>
    <s v="911"/>
    <x v="53"/>
    <x v="5"/>
    <n v="11911883"/>
    <n v="0"/>
    <m/>
    <m/>
    <m/>
    <m/>
    <m/>
    <m/>
    <m/>
    <s v="Chi phí hợp lý"/>
    <n v="11911883"/>
  </r>
  <r>
    <d v="2024-01-31T00:00:00"/>
    <d v="2024-01-31T00:00:00"/>
    <s v="KC2024.01"/>
    <m/>
    <m/>
    <s v="Kết chuyển chi phí quản lý doanh nghiệp"/>
    <s v="911"/>
    <x v="54"/>
    <x v="5"/>
    <n v="22076454"/>
    <n v="0"/>
    <m/>
    <m/>
    <m/>
    <m/>
    <m/>
    <m/>
    <m/>
    <s v="Chi phí hợp lý"/>
    <n v="22076454"/>
  </r>
  <r>
    <d v="2024-01-31T00:00:00"/>
    <d v="2024-01-31T00:00:00"/>
    <s v="KC2024.01"/>
    <m/>
    <m/>
    <s v="Kết chuyển chi phí quản lý doanh nghiệp"/>
    <s v="911"/>
    <x v="55"/>
    <x v="5"/>
    <n v="10358656"/>
    <n v="0"/>
    <m/>
    <m/>
    <m/>
    <m/>
    <m/>
    <m/>
    <m/>
    <s v="Chi phí hợp lý"/>
    <n v="10358656"/>
  </r>
  <r>
    <d v="2024-01-31T00:00:00"/>
    <d v="2024-01-31T00:00:00"/>
    <s v="KC2024.01"/>
    <m/>
    <m/>
    <s v="Kết chuyển chi phí quản lý doanh nghiệp"/>
    <s v="911"/>
    <x v="56"/>
    <x v="5"/>
    <n v="23086401"/>
    <n v="0"/>
    <m/>
    <m/>
    <m/>
    <m/>
    <m/>
    <m/>
    <m/>
    <s v="Chi phí hợp lý"/>
    <n v="23086401"/>
  </r>
  <r>
    <d v="2024-01-31T00:00:00"/>
    <d v="2024-01-31T00:00:00"/>
    <s v="KC2024.01"/>
    <m/>
    <m/>
    <s v="Kết chuyển chi phí quản lý doanh nghiệp"/>
    <s v="911"/>
    <x v="57"/>
    <x v="5"/>
    <n v="611764"/>
    <n v="0"/>
    <m/>
    <m/>
    <m/>
    <m/>
    <m/>
    <m/>
    <m/>
    <s v="Chi phí hợp lý"/>
    <n v="611764"/>
  </r>
  <r>
    <d v="2024-01-31T00:00:00"/>
    <d v="2024-01-31T00:00:00"/>
    <s v="KC2024.01"/>
    <m/>
    <m/>
    <s v="Kết chuyển chi phí quản lý doanh nghiệp"/>
    <s v="911"/>
    <x v="58"/>
    <x v="5"/>
    <n v="1018000"/>
    <n v="0"/>
    <m/>
    <m/>
    <m/>
    <m/>
    <m/>
    <m/>
    <m/>
    <s v="Chi phí hợp lý"/>
    <n v="1018000"/>
  </r>
  <r>
    <d v="2024-01-31T00:00:00"/>
    <d v="2024-01-31T00:00:00"/>
    <s v="KC2024.01"/>
    <m/>
    <m/>
    <s v="Kết chuyển chi phí quản lý doanh nghiệp"/>
    <s v="911"/>
    <x v="59"/>
    <x v="5"/>
    <n v="33768581"/>
    <n v="0"/>
    <m/>
    <m/>
    <m/>
    <m/>
    <m/>
    <m/>
    <m/>
    <s v="Chi phí hợp lý"/>
    <n v="33768581"/>
  </r>
  <r>
    <d v="2024-01-31T00:00:00"/>
    <d v="2024-01-31T00:00:00"/>
    <s v="KC2024.01"/>
    <m/>
    <m/>
    <s v="Kết chuyển chi phí quản lý doanh nghiệp"/>
    <s v="911"/>
    <x v="60"/>
    <x v="5"/>
    <n v="256900"/>
    <n v="0"/>
    <m/>
    <m/>
    <m/>
    <m/>
    <m/>
    <m/>
    <m/>
    <s v="Chi phí hợp lý"/>
    <n v="256900"/>
  </r>
  <r>
    <d v="2024-01-31T00:00:00"/>
    <d v="2024-01-31T00:00:00"/>
    <s v="KC2024.01"/>
    <m/>
    <m/>
    <s v="Kết chuyển chi phí khác phát sinh trong kỳ"/>
    <s v="911"/>
    <x v="61"/>
    <x v="6"/>
    <n v="102000"/>
    <n v="0"/>
    <m/>
    <m/>
    <m/>
    <m/>
    <m/>
    <m/>
    <m/>
    <s v="Chi phí hợp lý"/>
    <n v="102000"/>
  </r>
  <r>
    <d v="2024-01-31T00:00:00"/>
    <d v="2024-01-31T00:00:00"/>
    <s v="KC2024.01"/>
    <m/>
    <m/>
    <s v="Kết chuyển kết quả hoạt động kinh doanh trong kỳ"/>
    <s v="911"/>
    <x v="62"/>
    <x v="7"/>
    <n v="8781195777"/>
    <n v="0"/>
    <m/>
    <m/>
    <m/>
    <m/>
    <m/>
    <m/>
    <m/>
    <s v="Chi phí hợp lý"/>
    <n v="8781195777"/>
  </r>
  <r>
    <d v="2024-02-29T00:00:00"/>
    <d v="2024-02-29T00:00:00"/>
    <s v="KC2024.02"/>
    <m/>
    <m/>
    <s v="Kết chuyển doanh thu bán hàng và cung cấp dịch vụ"/>
    <s v="911"/>
    <x v="0"/>
    <x v="0"/>
    <n v="0"/>
    <n v="1444000000"/>
    <m/>
    <m/>
    <m/>
    <m/>
    <m/>
    <m/>
    <m/>
    <s v="Chi phí hợp lý"/>
    <n v="-1444000000"/>
  </r>
  <r>
    <d v="2024-02-29T00:00:00"/>
    <d v="2024-02-29T00:00:00"/>
    <s v="KC2024.02"/>
    <m/>
    <m/>
    <s v="Kết chuyển doanh thu bán hàng và cung cấp dịch vụ"/>
    <s v="911"/>
    <x v="1"/>
    <x v="0"/>
    <n v="0"/>
    <n v="115180"/>
    <m/>
    <m/>
    <m/>
    <m/>
    <m/>
    <m/>
    <m/>
    <s v="Chi phí hợp lý"/>
    <n v="-115180"/>
  </r>
  <r>
    <d v="2024-02-29T00:00:00"/>
    <d v="2024-02-29T00:00:00"/>
    <s v="KC2024.02"/>
    <m/>
    <m/>
    <s v="Kết chuyển doanh thu bán hàng và cung cấp dịch vụ"/>
    <s v="911"/>
    <x v="2"/>
    <x v="0"/>
    <n v="0"/>
    <n v="2610000"/>
    <m/>
    <m/>
    <m/>
    <m/>
    <m/>
    <m/>
    <m/>
    <s v="Chi phí hợp lý"/>
    <n v="-2610000"/>
  </r>
  <r>
    <d v="2024-02-29T00:00:00"/>
    <d v="2024-02-29T00:00:00"/>
    <s v="KC2024.02"/>
    <m/>
    <m/>
    <s v="Kết chuyển doanh thu bán hàng và cung cấp dịch vụ"/>
    <s v="911"/>
    <x v="3"/>
    <x v="0"/>
    <n v="0"/>
    <n v="7794000"/>
    <m/>
    <m/>
    <m/>
    <m/>
    <m/>
    <m/>
    <m/>
    <s v="Chi phí hợp lý"/>
    <n v="-7794000"/>
  </r>
  <r>
    <d v="2024-02-29T00:00:00"/>
    <d v="2024-02-29T00:00:00"/>
    <s v="KC2024.02"/>
    <m/>
    <m/>
    <s v="Kết chuyển doanh thu bán hàng và cung cấp dịch vụ"/>
    <s v="911"/>
    <x v="4"/>
    <x v="0"/>
    <n v="0"/>
    <n v="71463340"/>
    <m/>
    <m/>
    <m/>
    <m/>
    <m/>
    <m/>
    <m/>
    <s v="Chi phí hợp lý"/>
    <n v="-71463340"/>
  </r>
  <r>
    <d v="2024-02-29T00:00:00"/>
    <d v="2024-02-29T00:00:00"/>
    <s v="KC2024.02"/>
    <m/>
    <m/>
    <s v="Kết chuyển doanh thu bán hàng và cung cấp dịch vụ"/>
    <s v="911"/>
    <x v="5"/>
    <x v="0"/>
    <n v="0"/>
    <n v="176734554"/>
    <m/>
    <m/>
    <m/>
    <m/>
    <m/>
    <m/>
    <m/>
    <s v="Chi phí hợp lý"/>
    <n v="-176734554"/>
  </r>
  <r>
    <d v="2024-02-29T00:00:00"/>
    <d v="2024-02-29T00:00:00"/>
    <s v="KC2024.02"/>
    <m/>
    <m/>
    <s v="Kết chuyển doanh thu bán hàng và cung cấp dịch vụ"/>
    <s v="911"/>
    <x v="6"/>
    <x v="0"/>
    <n v="0"/>
    <n v="1044000"/>
    <m/>
    <m/>
    <m/>
    <m/>
    <m/>
    <m/>
    <m/>
    <s v="Chi phí hợp lý"/>
    <n v="-1044000"/>
  </r>
  <r>
    <d v="2024-02-29T00:00:00"/>
    <d v="2024-02-29T00:00:00"/>
    <s v="KC2024.02"/>
    <m/>
    <m/>
    <s v="Kết chuyển doanh thu bán hàng và cung cấp dịch vụ"/>
    <s v="911"/>
    <x v="7"/>
    <x v="0"/>
    <n v="0"/>
    <n v="12509356"/>
    <m/>
    <m/>
    <m/>
    <m/>
    <m/>
    <m/>
    <m/>
    <s v="Chi phí hợp lý"/>
    <n v="-12509356"/>
  </r>
  <r>
    <d v="2024-02-29T00:00:00"/>
    <d v="2024-02-29T00:00:00"/>
    <s v="KC2024.02"/>
    <m/>
    <m/>
    <s v="Kết chuyển doanh thu bán hàng và cung cấp dịch vụ"/>
    <s v="911"/>
    <x v="8"/>
    <x v="0"/>
    <n v="0"/>
    <n v="173866"/>
    <m/>
    <m/>
    <m/>
    <m/>
    <m/>
    <m/>
    <m/>
    <s v="Chi phí hợp lý"/>
    <n v="-173866"/>
  </r>
  <r>
    <d v="2024-02-29T00:00:00"/>
    <d v="2024-02-29T00:00:00"/>
    <s v="KC2024.02"/>
    <m/>
    <m/>
    <s v="Kết chuyển doanh thu bán hàng và cung cấp dịch vụ"/>
    <s v="911"/>
    <x v="10"/>
    <x v="0"/>
    <n v="0"/>
    <n v="3764490"/>
    <m/>
    <m/>
    <m/>
    <m/>
    <m/>
    <m/>
    <m/>
    <s v="Chi phí hợp lý"/>
    <n v="-3764490"/>
  </r>
  <r>
    <d v="2024-02-29T00:00:00"/>
    <d v="2024-02-29T00:00:00"/>
    <s v="KC2024.02"/>
    <m/>
    <m/>
    <s v="Kết chuyển doanh thu bán hàng và cung cấp dịch vụ"/>
    <s v="911"/>
    <x v="11"/>
    <x v="0"/>
    <n v="0"/>
    <n v="324540541"/>
    <m/>
    <m/>
    <m/>
    <m/>
    <m/>
    <m/>
    <m/>
    <s v="Chi phí hợp lý"/>
    <n v="-324540541"/>
  </r>
  <r>
    <d v="2024-02-29T00:00:00"/>
    <d v="2024-02-29T00:00:00"/>
    <s v="KC2024.02"/>
    <m/>
    <m/>
    <s v="Kết chuyển doanh thu hoạt động tài chính"/>
    <s v="911"/>
    <x v="13"/>
    <x v="1"/>
    <n v="0"/>
    <n v="10407901737"/>
    <m/>
    <m/>
    <m/>
    <m/>
    <m/>
    <m/>
    <m/>
    <s v="Chi phí hợp lý"/>
    <n v="-10407901737"/>
  </r>
  <r>
    <d v="2024-02-29T00:00:00"/>
    <d v="2024-02-29T00:00:00"/>
    <s v="KC2024.02"/>
    <m/>
    <m/>
    <s v="Kết chuyển doanh thu hoạt động tài chính"/>
    <s v="911"/>
    <x v="17"/>
    <x v="1"/>
    <n v="0"/>
    <n v="3805306575"/>
    <m/>
    <m/>
    <m/>
    <m/>
    <m/>
    <m/>
    <m/>
    <s v="Chi phí hợp lý"/>
    <n v="-3805306575"/>
  </r>
  <r>
    <d v="2024-02-29T00:00:00"/>
    <d v="2024-02-29T00:00:00"/>
    <s v="KC2024.02"/>
    <m/>
    <m/>
    <s v="Kết chuyển doanh thu hoạt động tài chính"/>
    <s v="911"/>
    <x v="14"/>
    <x v="1"/>
    <n v="0"/>
    <n v="2029455904"/>
    <m/>
    <m/>
    <m/>
    <m/>
    <m/>
    <m/>
    <m/>
    <s v="Chi phí hợp lý"/>
    <n v="-2029455904"/>
  </r>
  <r>
    <d v="2024-02-29T00:00:00"/>
    <d v="2024-02-29T00:00:00"/>
    <s v="KC2024.02"/>
    <m/>
    <m/>
    <s v="Kết chuyển doanh thu hoạt động tài chính"/>
    <s v="911"/>
    <x v="15"/>
    <x v="1"/>
    <n v="0"/>
    <n v="2410822820"/>
    <m/>
    <m/>
    <m/>
    <m/>
    <m/>
    <m/>
    <m/>
    <s v="Chi phí hợp lý"/>
    <n v="-2410822820"/>
  </r>
  <r>
    <d v="2024-02-29T00:00:00"/>
    <d v="2024-02-29T00:00:00"/>
    <s v="KC2024.02"/>
    <m/>
    <m/>
    <s v="Kết chuyển doanh thu hoạt động tài chính"/>
    <s v="911"/>
    <x v="16"/>
    <x v="1"/>
    <n v="0"/>
    <n v="1293451261"/>
    <m/>
    <m/>
    <m/>
    <m/>
    <m/>
    <m/>
    <m/>
    <s v="Chi phí hợp lý"/>
    <n v="-1293451261"/>
  </r>
  <r>
    <d v="2024-02-29T00:00:00"/>
    <d v="2024-02-29T00:00:00"/>
    <s v="KC2024.02"/>
    <m/>
    <m/>
    <s v="Kết chuyển doanh thu hoạt động tài chính"/>
    <s v="911"/>
    <x v="63"/>
    <x v="1"/>
    <n v="0"/>
    <n v="632073"/>
    <m/>
    <m/>
    <m/>
    <m/>
    <m/>
    <m/>
    <m/>
    <s v="Chi phí hợp lý"/>
    <n v="-632073"/>
  </r>
  <r>
    <d v="2024-02-29T00:00:00"/>
    <d v="2024-02-29T00:00:00"/>
    <s v="KC2024.02"/>
    <m/>
    <m/>
    <s v="Kết chuyển giá vốn hàng bán"/>
    <s v="911"/>
    <x v="18"/>
    <x v="2"/>
    <n v="1344940012"/>
    <n v="0"/>
    <m/>
    <m/>
    <m/>
    <m/>
    <m/>
    <m/>
    <m/>
    <s v="Chi phí hợp lý"/>
    <n v="1344940012"/>
  </r>
  <r>
    <d v="2024-02-29T00:00:00"/>
    <d v="2024-02-29T00:00:00"/>
    <s v="KC2024.02"/>
    <m/>
    <m/>
    <s v="Kết chuyển chi phí hoạt động tài chính"/>
    <s v="911"/>
    <x v="19"/>
    <x v="3"/>
    <n v="0"/>
    <n v="2981466931"/>
    <m/>
    <m/>
    <m/>
    <m/>
    <m/>
    <m/>
    <m/>
    <s v="Chi phí hợp lý"/>
    <n v="-2981466931"/>
  </r>
  <r>
    <d v="2024-02-29T00:00:00"/>
    <d v="2024-02-29T00:00:00"/>
    <s v="KC2024.02"/>
    <m/>
    <m/>
    <s v="Kết chuyển chi phí hoạt động tài chính"/>
    <s v="911"/>
    <x v="20"/>
    <x v="3"/>
    <n v="1020121486"/>
    <n v="0"/>
    <m/>
    <m/>
    <m/>
    <m/>
    <m/>
    <m/>
    <m/>
    <s v="Chi phí hợp lý"/>
    <n v="1020121486"/>
  </r>
  <r>
    <d v="2024-02-29T00:00:00"/>
    <d v="2024-02-29T00:00:00"/>
    <s v="KC2024.02"/>
    <m/>
    <m/>
    <s v="Kết chuyển chi phí hoạt động tài chính"/>
    <s v="911"/>
    <x v="21"/>
    <x v="3"/>
    <n v="166415425"/>
    <n v="0"/>
    <m/>
    <m/>
    <m/>
    <m/>
    <m/>
    <m/>
    <m/>
    <s v="Chi phí hợp lý"/>
    <n v="166415425"/>
  </r>
  <r>
    <d v="2024-02-29T00:00:00"/>
    <d v="2024-02-29T00:00:00"/>
    <s v="KC2024.02"/>
    <m/>
    <m/>
    <s v="Kết chuyển chi phí hoạt động tài chính"/>
    <s v="911"/>
    <x v="64"/>
    <x v="3"/>
    <n v="11506849"/>
    <n v="0"/>
    <m/>
    <m/>
    <m/>
    <m/>
    <m/>
    <m/>
    <m/>
    <s v="Chi phí hợp lý"/>
    <n v="11506849"/>
  </r>
  <r>
    <d v="2024-02-29T00:00:00"/>
    <d v="2024-02-29T00:00:00"/>
    <s v="KC2024.02"/>
    <m/>
    <m/>
    <s v="Kết chuyển chi phí hoạt động tài chính"/>
    <s v="911"/>
    <x v="22"/>
    <x v="3"/>
    <n v="281530591"/>
    <n v="0"/>
    <m/>
    <m/>
    <m/>
    <m/>
    <m/>
    <m/>
    <m/>
    <s v="Chi phí hợp lý"/>
    <n v="281530591"/>
  </r>
  <r>
    <d v="2024-02-29T00:00:00"/>
    <d v="2024-02-29T00:00:00"/>
    <s v="KC2024.02"/>
    <m/>
    <m/>
    <s v="Kết chuyển chi phí hoạt động tài chính"/>
    <s v="911"/>
    <x v="23"/>
    <x v="3"/>
    <n v="387406458"/>
    <n v="0"/>
    <m/>
    <m/>
    <m/>
    <m/>
    <m/>
    <m/>
    <m/>
    <s v="Chi phí hợp lý"/>
    <n v="387406458"/>
  </r>
  <r>
    <d v="2024-02-29T00:00:00"/>
    <d v="2024-02-29T00:00:00"/>
    <s v="KC2024.02"/>
    <m/>
    <m/>
    <s v="Kết chuyển chi phí hoạt động tài chính"/>
    <s v="911"/>
    <x v="24"/>
    <x v="3"/>
    <n v="11248733827"/>
    <n v="0"/>
    <m/>
    <m/>
    <m/>
    <m/>
    <m/>
    <m/>
    <m/>
    <s v="Chi phí hợp lý"/>
    <n v="11248733827"/>
  </r>
  <r>
    <d v="2024-02-29T00:00:00"/>
    <d v="2024-02-29T00:00:00"/>
    <s v="KC2024.02"/>
    <m/>
    <m/>
    <s v="Kết chuyển chi phí bán hàng"/>
    <s v="911"/>
    <x v="25"/>
    <x v="4"/>
    <n v="6889119"/>
    <n v="0"/>
    <m/>
    <m/>
    <m/>
    <m/>
    <m/>
    <m/>
    <m/>
    <s v="Chi phí hợp lý"/>
    <n v="6889119"/>
  </r>
  <r>
    <d v="2024-02-29T00:00:00"/>
    <d v="2024-02-29T00:00:00"/>
    <s v="KC2024.02"/>
    <m/>
    <m/>
    <s v="Kết chuyển chi phí bán hàng"/>
    <s v="911"/>
    <x v="26"/>
    <x v="4"/>
    <n v="5814470"/>
    <n v="0"/>
    <m/>
    <m/>
    <m/>
    <m/>
    <m/>
    <m/>
    <m/>
    <s v="Chi phí hợp lý"/>
    <n v="5814470"/>
  </r>
  <r>
    <d v="2024-02-29T00:00:00"/>
    <d v="2024-02-29T00:00:00"/>
    <s v="KC2024.02"/>
    <m/>
    <m/>
    <s v="Kết chuyển chi phí bán hàng"/>
    <s v="911"/>
    <x v="27"/>
    <x v="4"/>
    <n v="3870417"/>
    <n v="0"/>
    <m/>
    <m/>
    <m/>
    <m/>
    <m/>
    <m/>
    <m/>
    <s v="Chi phí hợp lý"/>
    <n v="3870417"/>
  </r>
  <r>
    <d v="2024-02-29T00:00:00"/>
    <d v="2024-02-29T00:00:00"/>
    <s v="KC2024.02"/>
    <m/>
    <m/>
    <s v="Kết chuyển chi phí bán hàng"/>
    <s v="911"/>
    <x v="28"/>
    <x v="4"/>
    <n v="354201072"/>
    <n v="0"/>
    <m/>
    <m/>
    <m/>
    <m/>
    <m/>
    <m/>
    <m/>
    <s v="Chi phí hợp lý"/>
    <n v="354201072"/>
  </r>
  <r>
    <d v="2024-02-29T00:00:00"/>
    <d v="2024-02-29T00:00:00"/>
    <s v="KC2024.02"/>
    <m/>
    <m/>
    <s v="Kết chuyển chi phí bán hàng"/>
    <s v="911"/>
    <x v="29"/>
    <x v="4"/>
    <n v="17410654"/>
    <n v="0"/>
    <m/>
    <m/>
    <m/>
    <m/>
    <m/>
    <m/>
    <m/>
    <s v="Chi phí hợp lý"/>
    <n v="17410654"/>
  </r>
  <r>
    <d v="2024-02-29T00:00:00"/>
    <d v="2024-02-29T00:00:00"/>
    <s v="KC2024.02"/>
    <m/>
    <m/>
    <s v="Kết chuyển chi phí bán hàng"/>
    <s v="911"/>
    <x v="30"/>
    <x v="4"/>
    <n v="1200000"/>
    <n v="0"/>
    <m/>
    <m/>
    <m/>
    <m/>
    <m/>
    <m/>
    <m/>
    <s v="Chi phí hợp lý"/>
    <n v="1200000"/>
  </r>
  <r>
    <d v="2024-02-29T00:00:00"/>
    <d v="2024-02-29T00:00:00"/>
    <s v="KC2024.02"/>
    <m/>
    <m/>
    <s v="Kết chuyển chi phí bán hàng"/>
    <s v="911"/>
    <x v="31"/>
    <x v="4"/>
    <n v="3471396"/>
    <n v="0"/>
    <m/>
    <m/>
    <m/>
    <m/>
    <m/>
    <m/>
    <m/>
    <s v="Chi phí hợp lý"/>
    <n v="3471396"/>
  </r>
  <r>
    <d v="2024-02-29T00:00:00"/>
    <d v="2024-02-29T00:00:00"/>
    <s v="KC2024.02"/>
    <m/>
    <m/>
    <s v="Kết chuyển chi phí bán hàng"/>
    <s v="911"/>
    <x v="65"/>
    <x v="4"/>
    <n v="6117876"/>
    <n v="0"/>
    <m/>
    <m/>
    <m/>
    <m/>
    <m/>
    <m/>
    <m/>
    <s v="Chi phí hợp lý"/>
    <n v="6117876"/>
  </r>
  <r>
    <d v="2024-02-29T00:00:00"/>
    <d v="2024-02-29T00:00:00"/>
    <s v="KC2024.02"/>
    <m/>
    <m/>
    <s v="Kết chuyển chi phí bán hàng"/>
    <s v="911"/>
    <x v="32"/>
    <x v="4"/>
    <n v="18764183"/>
    <n v="0"/>
    <m/>
    <m/>
    <m/>
    <m/>
    <m/>
    <m/>
    <m/>
    <s v="Chi phí hợp lý"/>
    <n v="18764183"/>
  </r>
  <r>
    <d v="2024-02-29T00:00:00"/>
    <d v="2024-02-29T00:00:00"/>
    <s v="KC2024.02"/>
    <m/>
    <m/>
    <s v="Kết chuyển chi phí bán hàng"/>
    <s v="911"/>
    <x v="33"/>
    <x v="4"/>
    <n v="3905252"/>
    <n v="0"/>
    <m/>
    <m/>
    <m/>
    <m/>
    <m/>
    <m/>
    <m/>
    <s v="Chi phí hợp lý"/>
    <n v="3905252"/>
  </r>
  <r>
    <d v="2024-02-29T00:00:00"/>
    <d v="2024-02-29T00:00:00"/>
    <s v="KC2024.02"/>
    <m/>
    <m/>
    <s v="Kết chuyển chi phí bán hàng"/>
    <s v="911"/>
    <x v="34"/>
    <x v="4"/>
    <n v="36228893"/>
    <n v="0"/>
    <m/>
    <m/>
    <m/>
    <m/>
    <m/>
    <m/>
    <m/>
    <s v="Chi phí hợp lý"/>
    <n v="36228893"/>
  </r>
  <r>
    <d v="2024-02-29T00:00:00"/>
    <d v="2024-02-29T00:00:00"/>
    <s v="KC2024.02"/>
    <m/>
    <m/>
    <s v="Kết chuyển chi phí quản lý doanh nghiệp"/>
    <s v="911"/>
    <x v="47"/>
    <x v="5"/>
    <n v="0"/>
    <n v="123368865"/>
    <m/>
    <m/>
    <m/>
    <m/>
    <m/>
    <m/>
    <m/>
    <s v="Chi phí hợp lý"/>
    <n v="-123368865"/>
  </r>
  <r>
    <d v="2024-02-29T00:00:00"/>
    <d v="2024-02-29T00:00:00"/>
    <s v="KC2024.02"/>
    <m/>
    <m/>
    <s v="Kết chuyển chi phí quản lý doanh nghiệp"/>
    <s v="911"/>
    <x v="49"/>
    <x v="5"/>
    <n v="12000000"/>
    <n v="0"/>
    <m/>
    <m/>
    <m/>
    <m/>
    <m/>
    <m/>
    <m/>
    <s v="Chi phí hợp lý"/>
    <n v="12000000"/>
  </r>
  <r>
    <d v="2024-02-29T00:00:00"/>
    <d v="2024-02-29T00:00:00"/>
    <s v="KC2024.02"/>
    <m/>
    <m/>
    <s v="Kết chuyển chi phí quản lý doanh nghiệp"/>
    <s v="911"/>
    <x v="50"/>
    <x v="5"/>
    <n v="64393939"/>
    <n v="0"/>
    <m/>
    <m/>
    <m/>
    <m/>
    <m/>
    <m/>
    <m/>
    <s v="Chi phí hợp lý"/>
    <n v="64393939"/>
  </r>
  <r>
    <d v="2024-02-29T00:00:00"/>
    <d v="2024-02-29T00:00:00"/>
    <s v="KC2024.02"/>
    <m/>
    <m/>
    <s v="Kết chuyển chi phí quản lý doanh nghiệp"/>
    <s v="911"/>
    <x v="66"/>
    <x v="5"/>
    <n v="11233665"/>
    <n v="0"/>
    <m/>
    <m/>
    <m/>
    <m/>
    <m/>
    <m/>
    <m/>
    <s v="Chi phí hợp lý"/>
    <n v="11233665"/>
  </r>
  <r>
    <d v="2024-02-29T00:00:00"/>
    <d v="2024-02-29T00:00:00"/>
    <s v="KC2024.02"/>
    <m/>
    <m/>
    <s v="Kết chuyển chi phí quản lý doanh nghiệp"/>
    <s v="911"/>
    <x v="51"/>
    <x v="5"/>
    <n v="3409091"/>
    <n v="0"/>
    <m/>
    <m/>
    <m/>
    <m/>
    <m/>
    <m/>
    <m/>
    <s v="Chi phí hợp lý"/>
    <n v="3409091"/>
  </r>
  <r>
    <d v="2024-02-29T00:00:00"/>
    <d v="2024-02-29T00:00:00"/>
    <s v="KC2024.02"/>
    <m/>
    <m/>
    <s v="Kết chuyển chi phí quản lý doanh nghiệp"/>
    <s v="911"/>
    <x v="52"/>
    <x v="5"/>
    <n v="1950000"/>
    <n v="0"/>
    <m/>
    <m/>
    <m/>
    <m/>
    <m/>
    <m/>
    <m/>
    <s v="Chi phí hợp lý"/>
    <n v="1950000"/>
  </r>
  <r>
    <d v="2024-02-29T00:00:00"/>
    <d v="2024-02-29T00:00:00"/>
    <s v="KC2024.02"/>
    <m/>
    <m/>
    <s v="Kết chuyển chi phí quản lý doanh nghiệp"/>
    <s v="911"/>
    <x v="53"/>
    <x v="5"/>
    <n v="7479592"/>
    <n v="0"/>
    <m/>
    <m/>
    <m/>
    <m/>
    <m/>
    <m/>
    <m/>
    <s v="Chi phí hợp lý"/>
    <n v="7479592"/>
  </r>
  <r>
    <d v="2024-02-29T00:00:00"/>
    <d v="2024-02-29T00:00:00"/>
    <s v="KC2024.02"/>
    <m/>
    <m/>
    <s v="Kết chuyển chi phí quản lý doanh nghiệp"/>
    <s v="911"/>
    <x v="67"/>
    <x v="5"/>
    <n v="17648148"/>
    <n v="0"/>
    <m/>
    <m/>
    <m/>
    <m/>
    <m/>
    <m/>
    <m/>
    <s v="Chi phí hợp lý"/>
    <n v="17648148"/>
  </r>
  <r>
    <d v="2024-02-29T00:00:00"/>
    <d v="2024-02-29T00:00:00"/>
    <s v="KC2024.02"/>
    <m/>
    <m/>
    <s v="Kết chuyển chi phí quản lý doanh nghiệp"/>
    <s v="911"/>
    <x v="54"/>
    <x v="5"/>
    <n v="22076454"/>
    <n v="0"/>
    <m/>
    <m/>
    <m/>
    <m/>
    <m/>
    <m/>
    <m/>
    <s v="Chi phí hợp lý"/>
    <n v="22076454"/>
  </r>
  <r>
    <d v="2024-02-29T00:00:00"/>
    <d v="2024-02-29T00:00:00"/>
    <s v="KC2024.02"/>
    <m/>
    <m/>
    <s v="Kết chuyển chi phí quản lý doanh nghiệp"/>
    <s v="911"/>
    <x v="55"/>
    <x v="5"/>
    <n v="4202560"/>
    <n v="0"/>
    <m/>
    <m/>
    <m/>
    <m/>
    <m/>
    <m/>
    <m/>
    <s v="Chi phí hợp lý"/>
    <n v="4202560"/>
  </r>
  <r>
    <d v="2024-02-29T00:00:00"/>
    <d v="2024-02-29T00:00:00"/>
    <s v="KC2024.02"/>
    <m/>
    <m/>
    <s v="Kết chuyển chi phí quản lý doanh nghiệp"/>
    <s v="911"/>
    <x v="56"/>
    <x v="5"/>
    <n v="23086401"/>
    <n v="0"/>
    <m/>
    <m/>
    <m/>
    <m/>
    <m/>
    <m/>
    <m/>
    <s v="Chi phí hợp lý"/>
    <n v="23086401"/>
  </r>
  <r>
    <d v="2024-02-29T00:00:00"/>
    <d v="2024-02-29T00:00:00"/>
    <s v="KC2024.02"/>
    <m/>
    <m/>
    <s v="Kết chuyển chi phí quản lý doanh nghiệp"/>
    <s v="911"/>
    <x v="57"/>
    <x v="5"/>
    <n v="640986"/>
    <n v="0"/>
    <m/>
    <m/>
    <m/>
    <m/>
    <m/>
    <m/>
    <m/>
    <s v="Chi phí hợp lý"/>
    <n v="640986"/>
  </r>
  <r>
    <d v="2024-02-29T00:00:00"/>
    <d v="2024-02-29T00:00:00"/>
    <s v="KC2024.02"/>
    <m/>
    <m/>
    <s v="Kết chuyển chi phí quản lý doanh nghiệp"/>
    <s v="911"/>
    <x v="58"/>
    <x v="5"/>
    <n v="1018000"/>
    <n v="0"/>
    <m/>
    <m/>
    <m/>
    <m/>
    <m/>
    <m/>
    <m/>
    <s v="Chi phí hợp lý"/>
    <n v="1018000"/>
  </r>
  <r>
    <d v="2024-02-29T00:00:00"/>
    <d v="2024-02-29T00:00:00"/>
    <s v="KC2024.02"/>
    <m/>
    <m/>
    <s v="Kết chuyển chi phí quản lý doanh nghiệp"/>
    <s v="911"/>
    <x v="59"/>
    <x v="5"/>
    <n v="22843603"/>
    <n v="0"/>
    <m/>
    <m/>
    <m/>
    <m/>
    <m/>
    <m/>
    <m/>
    <s v="Chi phí hợp lý"/>
    <n v="22843603"/>
  </r>
  <r>
    <d v="2024-02-29T00:00:00"/>
    <d v="2024-02-29T00:00:00"/>
    <s v="KC2024.02"/>
    <m/>
    <m/>
    <s v="Kết chuyển chi phí quản lý doanh nghiệp"/>
    <s v="911"/>
    <x v="68"/>
    <x v="5"/>
    <n v="100000"/>
    <n v="0"/>
    <m/>
    <m/>
    <m/>
    <m/>
    <m/>
    <m/>
    <m/>
    <s v="Chi phí hợp lý"/>
    <n v="100000"/>
  </r>
  <r>
    <d v="2024-02-29T00:00:00"/>
    <d v="2024-02-29T00:00:00"/>
    <s v="KC2024.02"/>
    <m/>
    <m/>
    <s v="Kết chuyển chi phí quản lý doanh nghiệp"/>
    <s v="911"/>
    <x v="60"/>
    <x v="5"/>
    <n v="189000"/>
    <n v="0"/>
    <m/>
    <m/>
    <m/>
    <m/>
    <m/>
    <m/>
    <m/>
    <s v="Chi phí hợp lý"/>
    <n v="189000"/>
  </r>
  <r>
    <d v="2024-02-29T00:00:00"/>
    <d v="2024-02-29T00:00:00"/>
    <s v="KC2024.02"/>
    <m/>
    <m/>
    <s v="Kết chuyển chi phí quản lý doanh nghiệp"/>
    <s v="911"/>
    <x v="36"/>
    <x v="5"/>
    <n v="250205992"/>
    <n v="0"/>
    <m/>
    <m/>
    <m/>
    <m/>
    <m/>
    <m/>
    <m/>
    <s v="Chi phí hợp lý"/>
    <n v="250205992"/>
  </r>
  <r>
    <d v="2024-02-29T00:00:00"/>
    <d v="2024-02-29T00:00:00"/>
    <s v="KC2024.02"/>
    <m/>
    <m/>
    <s v="Kết chuyển chi phí quản lý doanh nghiệp"/>
    <s v="911"/>
    <x v="37"/>
    <x v="5"/>
    <n v="16958000"/>
    <n v="0"/>
    <m/>
    <m/>
    <m/>
    <m/>
    <m/>
    <m/>
    <m/>
    <s v="Chi phí hợp lý"/>
    <n v="16958000"/>
  </r>
  <r>
    <d v="2024-02-29T00:00:00"/>
    <d v="2024-02-29T00:00:00"/>
    <s v="KC2024.02"/>
    <m/>
    <m/>
    <s v="Kết chuyển chi phí quản lý doanh nghiệp"/>
    <s v="911"/>
    <x v="38"/>
    <x v="5"/>
    <n v="13095871"/>
    <n v="0"/>
    <m/>
    <m/>
    <m/>
    <m/>
    <m/>
    <m/>
    <m/>
    <s v="Chi phí hợp lý"/>
    <n v="13095871"/>
  </r>
  <r>
    <d v="2024-02-29T00:00:00"/>
    <d v="2024-02-29T00:00:00"/>
    <s v="KC2024.02"/>
    <m/>
    <m/>
    <s v="Kết chuyển chi phí quản lý doanh nghiệp"/>
    <s v="911"/>
    <x v="39"/>
    <x v="5"/>
    <n v="45957140"/>
    <n v="0"/>
    <m/>
    <m/>
    <m/>
    <m/>
    <m/>
    <m/>
    <m/>
    <s v="Chi phí hợp lý"/>
    <n v="45957140"/>
  </r>
  <r>
    <d v="2024-02-29T00:00:00"/>
    <d v="2024-02-29T00:00:00"/>
    <s v="KC2024.02"/>
    <m/>
    <m/>
    <s v="Kết chuyển chi phí quản lý doanh nghiệp"/>
    <s v="911"/>
    <x v="40"/>
    <x v="5"/>
    <n v="39554350"/>
    <n v="0"/>
    <m/>
    <m/>
    <m/>
    <m/>
    <m/>
    <m/>
    <m/>
    <s v="Chi phí hợp lý"/>
    <n v="39554350"/>
  </r>
  <r>
    <d v="2024-02-29T00:00:00"/>
    <d v="2024-02-29T00:00:00"/>
    <s v="KC2024.02"/>
    <m/>
    <m/>
    <s v="Kết chuyển chi phí quản lý doanh nghiệp"/>
    <s v="911"/>
    <x v="42"/>
    <x v="5"/>
    <n v="221791611"/>
    <n v="0"/>
    <m/>
    <m/>
    <m/>
    <m/>
    <m/>
    <m/>
    <m/>
    <s v="Chi phí hợp lý"/>
    <n v="221791611"/>
  </r>
  <r>
    <d v="2024-02-29T00:00:00"/>
    <d v="2024-02-29T00:00:00"/>
    <s v="KC2024.02"/>
    <m/>
    <m/>
    <s v="Kết chuyển chi phí quản lý doanh nghiệp"/>
    <s v="911"/>
    <x v="43"/>
    <x v="5"/>
    <n v="14848174"/>
    <n v="0"/>
    <m/>
    <m/>
    <m/>
    <m/>
    <m/>
    <m/>
    <m/>
    <s v="Chi phí hợp lý"/>
    <n v="14848174"/>
  </r>
  <r>
    <d v="2024-02-29T00:00:00"/>
    <d v="2024-02-29T00:00:00"/>
    <s v="KC2024.02"/>
    <m/>
    <m/>
    <s v="Kết chuyển chi phí quản lý doanh nghiệp"/>
    <s v="911"/>
    <x v="44"/>
    <x v="5"/>
    <n v="3697134"/>
    <n v="0"/>
    <m/>
    <m/>
    <m/>
    <m/>
    <m/>
    <m/>
    <m/>
    <s v="Chi phí hợp lý"/>
    <n v="3697134"/>
  </r>
  <r>
    <d v="2024-02-29T00:00:00"/>
    <d v="2024-02-29T00:00:00"/>
    <s v="KC2024.02"/>
    <m/>
    <m/>
    <s v="Kết chuyển chi phí quản lý doanh nghiệp"/>
    <s v="911"/>
    <x v="45"/>
    <x v="5"/>
    <n v="8683477"/>
    <n v="0"/>
    <m/>
    <m/>
    <m/>
    <m/>
    <m/>
    <m/>
    <m/>
    <s v="Chi phí hợp lý"/>
    <n v="8683477"/>
  </r>
  <r>
    <d v="2024-02-29T00:00:00"/>
    <d v="2024-02-29T00:00:00"/>
    <s v="KC2024.02"/>
    <m/>
    <m/>
    <s v="Kết chuyển chi phí quản lý doanh nghiệp"/>
    <s v="911"/>
    <x v="46"/>
    <x v="5"/>
    <n v="125147000"/>
    <n v="0"/>
    <m/>
    <m/>
    <m/>
    <m/>
    <m/>
    <m/>
    <m/>
    <s v="Chi phí hợp lý"/>
    <n v="125147000"/>
  </r>
  <r>
    <d v="2024-02-29T00:00:00"/>
    <d v="2024-02-29T00:00:00"/>
    <s v="KC2024.02"/>
    <m/>
    <m/>
    <s v="Kết chuyển chi phí quản lý doanh nghiệp"/>
    <s v="911"/>
    <x v="69"/>
    <x v="5"/>
    <n v="106760643"/>
    <n v="0"/>
    <m/>
    <m/>
    <m/>
    <m/>
    <m/>
    <m/>
    <m/>
    <s v="Chi phí hợp lý"/>
    <n v="106760643"/>
  </r>
  <r>
    <d v="2024-02-29T00:00:00"/>
    <d v="2024-02-29T00:00:00"/>
    <s v="KC2024.02"/>
    <m/>
    <m/>
    <s v="Kết chuyển thu nhập khác phát sinh trong kỳ"/>
    <s v="911"/>
    <x v="70"/>
    <x v="8"/>
    <n v="0"/>
    <n v="661000"/>
    <m/>
    <m/>
    <m/>
    <m/>
    <m/>
    <m/>
    <m/>
    <s v="Chi phí hợp lý"/>
    <n v="-661000"/>
  </r>
  <r>
    <d v="2024-02-29T00:00:00"/>
    <d v="2024-02-29T00:00:00"/>
    <s v="KC2024.02"/>
    <m/>
    <m/>
    <s v="Kết chuyển kết quả hoạt động kinh doanh trong kỳ"/>
    <s v="911"/>
    <x v="62"/>
    <x v="7"/>
    <n v="9140317682"/>
    <n v="0"/>
    <m/>
    <m/>
    <m/>
    <m/>
    <m/>
    <m/>
    <m/>
    <s v="Chi phí hợp lý"/>
    <n v="9140317682"/>
  </r>
  <r>
    <d v="2024-03-31T00:00:00"/>
    <d v="2024-03-31T00:00:00"/>
    <s v="KC2024.03"/>
    <m/>
    <m/>
    <s v="Kết chuyển doanh thu bán hàng và cung cấp dịch vụ"/>
    <s v="911"/>
    <x v="1"/>
    <x v="0"/>
    <n v="0"/>
    <n v="115205"/>
    <m/>
    <m/>
    <m/>
    <m/>
    <m/>
    <m/>
    <m/>
    <s v="Chi phí hợp lý"/>
    <n v="-115205"/>
  </r>
  <r>
    <d v="2024-03-31T00:00:00"/>
    <d v="2024-03-31T00:00:00"/>
    <s v="KC2024.03"/>
    <m/>
    <m/>
    <s v="Kết chuyển doanh thu bán hàng và cung cấp dịch vụ"/>
    <s v="911"/>
    <x v="2"/>
    <x v="0"/>
    <n v="0"/>
    <n v="3483000"/>
    <m/>
    <m/>
    <m/>
    <m/>
    <m/>
    <m/>
    <m/>
    <s v="Chi phí hợp lý"/>
    <n v="-3483000"/>
  </r>
  <r>
    <d v="2024-03-31T00:00:00"/>
    <d v="2024-03-31T00:00:00"/>
    <s v="KC2024.03"/>
    <m/>
    <m/>
    <s v="Kết chuyển doanh thu bán hàng và cung cấp dịch vụ"/>
    <s v="911"/>
    <x v="3"/>
    <x v="0"/>
    <n v="0"/>
    <n v="8478000"/>
    <m/>
    <m/>
    <m/>
    <m/>
    <m/>
    <m/>
    <m/>
    <s v="Chi phí hợp lý"/>
    <n v="-8478000"/>
  </r>
  <r>
    <d v="2024-03-31T00:00:00"/>
    <d v="2024-03-31T00:00:00"/>
    <s v="KC2024.03"/>
    <m/>
    <m/>
    <s v="Kết chuyển doanh thu bán hàng và cung cấp dịch vụ"/>
    <s v="911"/>
    <x v="4"/>
    <x v="0"/>
    <n v="0"/>
    <n v="70203411"/>
    <m/>
    <m/>
    <m/>
    <m/>
    <m/>
    <m/>
    <m/>
    <s v="Chi phí hợp lý"/>
    <n v="-70203411"/>
  </r>
  <r>
    <d v="2024-03-31T00:00:00"/>
    <d v="2024-03-31T00:00:00"/>
    <s v="KC2024.03"/>
    <m/>
    <m/>
    <s v="Kết chuyển doanh thu bán hàng và cung cấp dịch vụ"/>
    <s v="911"/>
    <x v="5"/>
    <x v="0"/>
    <n v="0"/>
    <n v="147785249"/>
    <m/>
    <m/>
    <m/>
    <m/>
    <m/>
    <m/>
    <m/>
    <s v="Chi phí hợp lý"/>
    <n v="-147785249"/>
  </r>
  <r>
    <d v="2024-03-31T00:00:00"/>
    <d v="2024-03-31T00:00:00"/>
    <s v="KC2024.03"/>
    <m/>
    <m/>
    <s v="Kết chuyển doanh thu bán hàng và cung cấp dịch vụ"/>
    <s v="911"/>
    <x v="6"/>
    <x v="0"/>
    <n v="0"/>
    <n v="1328000"/>
    <m/>
    <m/>
    <m/>
    <m/>
    <m/>
    <m/>
    <m/>
    <s v="Chi phí hợp lý"/>
    <n v="-1328000"/>
  </r>
  <r>
    <d v="2024-03-31T00:00:00"/>
    <d v="2024-03-31T00:00:00"/>
    <s v="KC2024.03"/>
    <m/>
    <m/>
    <s v="Kết chuyển doanh thu bán hàng và cung cấp dịch vụ"/>
    <s v="911"/>
    <x v="7"/>
    <x v="0"/>
    <n v="0"/>
    <n v="12320221"/>
    <m/>
    <m/>
    <m/>
    <m/>
    <m/>
    <m/>
    <m/>
    <s v="Chi phí hợp lý"/>
    <n v="-12320221"/>
  </r>
  <r>
    <d v="2024-03-31T00:00:00"/>
    <d v="2024-03-31T00:00:00"/>
    <s v="KC2024.03"/>
    <m/>
    <m/>
    <s v="Kết chuyển doanh thu bán hàng và cung cấp dịch vụ"/>
    <s v="911"/>
    <x v="8"/>
    <x v="0"/>
    <n v="0"/>
    <n v="226387"/>
    <m/>
    <m/>
    <m/>
    <m/>
    <m/>
    <m/>
    <m/>
    <s v="Chi phí hợp lý"/>
    <n v="-226387"/>
  </r>
  <r>
    <d v="2024-03-31T00:00:00"/>
    <d v="2024-03-31T00:00:00"/>
    <s v="KC2024.03"/>
    <m/>
    <m/>
    <s v="Kết chuyển doanh thu bán hàng và cung cấp dịch vụ"/>
    <s v="911"/>
    <x v="10"/>
    <x v="0"/>
    <n v="0"/>
    <n v="4803833"/>
    <m/>
    <m/>
    <m/>
    <m/>
    <m/>
    <m/>
    <m/>
    <s v="Chi phí hợp lý"/>
    <n v="-4803833"/>
  </r>
  <r>
    <d v="2024-03-31T00:00:00"/>
    <d v="2024-03-31T00:00:00"/>
    <s v="KC2024.03"/>
    <m/>
    <m/>
    <s v="Kết chuyển doanh thu bán hàng và cung cấp dịch vụ"/>
    <s v="911"/>
    <x v="11"/>
    <x v="0"/>
    <n v="0"/>
    <n v="324540541"/>
    <m/>
    <m/>
    <m/>
    <m/>
    <m/>
    <m/>
    <m/>
    <s v="Chi phí hợp lý"/>
    <n v="-324540541"/>
  </r>
  <r>
    <d v="2024-03-31T00:00:00"/>
    <d v="2024-03-31T00:00:00"/>
    <s v="KC2024.03"/>
    <m/>
    <m/>
    <s v="Kết chuyển doanh thu hoạt động tài chính"/>
    <s v="911"/>
    <x v="13"/>
    <x v="1"/>
    <n v="0"/>
    <n v="158584773"/>
    <m/>
    <m/>
    <m/>
    <m/>
    <m/>
    <m/>
    <m/>
    <s v="Chi phí hợp lý"/>
    <n v="-158584773"/>
  </r>
  <r>
    <d v="2024-03-31T00:00:00"/>
    <d v="2024-03-31T00:00:00"/>
    <s v="KC2024.03"/>
    <m/>
    <m/>
    <s v="Kết chuyển doanh thu hoạt động tài chính"/>
    <s v="911"/>
    <x v="17"/>
    <x v="1"/>
    <n v="0"/>
    <n v="2684189315"/>
    <m/>
    <m/>
    <m/>
    <m/>
    <m/>
    <m/>
    <m/>
    <s v="Chi phí hợp lý"/>
    <n v="-2684189315"/>
  </r>
  <r>
    <d v="2024-03-31T00:00:00"/>
    <d v="2024-03-31T00:00:00"/>
    <s v="KC2024.03"/>
    <m/>
    <m/>
    <s v="Kết chuyển doanh thu hoạt động tài chính"/>
    <s v="911"/>
    <x v="14"/>
    <x v="1"/>
    <n v="0"/>
    <n v="2427919522"/>
    <m/>
    <m/>
    <m/>
    <m/>
    <m/>
    <m/>
    <m/>
    <s v="Chi phí hợp lý"/>
    <n v="-2427919522"/>
  </r>
  <r>
    <d v="2024-03-31T00:00:00"/>
    <d v="2024-03-31T00:00:00"/>
    <s v="KC2024.03"/>
    <m/>
    <m/>
    <s v="Kết chuyển doanh thu hoạt động tài chính"/>
    <s v="911"/>
    <x v="15"/>
    <x v="1"/>
    <n v="0"/>
    <n v="10068105546"/>
    <m/>
    <m/>
    <m/>
    <m/>
    <m/>
    <m/>
    <m/>
    <s v="Chi phí hợp lý"/>
    <n v="-10068105546"/>
  </r>
  <r>
    <d v="2024-03-31T00:00:00"/>
    <d v="2024-03-31T00:00:00"/>
    <s v="KC2024.03"/>
    <m/>
    <m/>
    <s v="Kết chuyển doanh thu hoạt động tài chính"/>
    <s v="911"/>
    <x v="16"/>
    <x v="1"/>
    <n v="0"/>
    <n v="2024830224"/>
    <m/>
    <m/>
    <m/>
    <m/>
    <m/>
    <m/>
    <m/>
    <s v="Chi phí hợp lý"/>
    <n v="-2024830224"/>
  </r>
  <r>
    <d v="2024-03-31T00:00:00"/>
    <d v="2024-03-31T00:00:00"/>
    <s v="KC2024.03"/>
    <m/>
    <m/>
    <s v="Kết chuyển doanh thu hoạt động tài chính"/>
    <s v="911"/>
    <x v="63"/>
    <x v="1"/>
    <n v="0"/>
    <n v="218404320"/>
    <m/>
    <m/>
    <m/>
    <m/>
    <m/>
    <m/>
    <m/>
    <s v="Chi phí hợp lý"/>
    <n v="-218404320"/>
  </r>
  <r>
    <d v="2024-03-31T00:00:00"/>
    <d v="2024-03-31T00:00:00"/>
    <s v="KC2024.03"/>
    <m/>
    <m/>
    <s v="Kết chuyển giá vốn hàng bán"/>
    <s v="911"/>
    <x v="18"/>
    <x v="2"/>
    <n v="1195632779"/>
    <n v="0"/>
    <m/>
    <m/>
    <m/>
    <m/>
    <m/>
    <m/>
    <m/>
    <s v="Chi phí hợp lý"/>
    <n v="1195632779"/>
  </r>
  <r>
    <d v="2024-03-31T00:00:00"/>
    <d v="2024-03-31T00:00:00"/>
    <s v="KC2024.03"/>
    <m/>
    <m/>
    <s v="Kết chuyển chi phí hoạt động tài chính"/>
    <s v="911"/>
    <x v="19"/>
    <x v="3"/>
    <n v="0"/>
    <n v="2957746363"/>
    <m/>
    <m/>
    <m/>
    <m/>
    <m/>
    <m/>
    <m/>
    <s v="Chi phí hợp lý"/>
    <n v="-2957746363"/>
  </r>
  <r>
    <d v="2024-03-31T00:00:00"/>
    <d v="2024-03-31T00:00:00"/>
    <s v="KC2024.03"/>
    <m/>
    <m/>
    <s v="Kết chuyển chi phí hoạt động tài chính"/>
    <s v="911"/>
    <x v="20"/>
    <x v="3"/>
    <n v="666736283"/>
    <n v="0"/>
    <m/>
    <m/>
    <m/>
    <m/>
    <m/>
    <m/>
    <m/>
    <s v="Chi phí hợp lý"/>
    <n v="666736283"/>
  </r>
  <r>
    <d v="2024-03-31T00:00:00"/>
    <d v="2024-03-31T00:00:00"/>
    <s v="KC2024.03"/>
    <m/>
    <m/>
    <s v="Kết chuyển chi phí hoạt động tài chính"/>
    <s v="911"/>
    <x v="21"/>
    <x v="3"/>
    <n v="377556432"/>
    <n v="0"/>
    <m/>
    <m/>
    <m/>
    <m/>
    <m/>
    <m/>
    <m/>
    <s v="Chi phí hợp lý"/>
    <n v="377556432"/>
  </r>
  <r>
    <d v="2024-03-31T00:00:00"/>
    <d v="2024-03-31T00:00:00"/>
    <s v="KC2024.03"/>
    <m/>
    <m/>
    <s v="Kết chuyển chi phí hoạt động tài chính"/>
    <s v="911"/>
    <x v="64"/>
    <x v="3"/>
    <n v="8150685"/>
    <n v="0"/>
    <m/>
    <m/>
    <m/>
    <m/>
    <m/>
    <m/>
    <m/>
    <s v="Chi phí hợp lý"/>
    <n v="8150685"/>
  </r>
  <r>
    <d v="2024-03-31T00:00:00"/>
    <d v="2024-03-31T00:00:00"/>
    <s v="KC2024.03"/>
    <m/>
    <m/>
    <s v="Kết chuyển chi phí hoạt động tài chính"/>
    <s v="911"/>
    <x v="22"/>
    <x v="3"/>
    <n v="726729580"/>
    <n v="0"/>
    <m/>
    <m/>
    <m/>
    <m/>
    <m/>
    <m/>
    <m/>
    <s v="Chi phí hợp lý"/>
    <n v="726729580"/>
  </r>
  <r>
    <d v="2024-03-31T00:00:00"/>
    <d v="2024-03-31T00:00:00"/>
    <s v="KC2024.03"/>
    <m/>
    <m/>
    <s v="Kết chuyển chi phí hoạt động tài chính"/>
    <s v="911"/>
    <x v="23"/>
    <x v="3"/>
    <n v="153286132"/>
    <n v="0"/>
    <m/>
    <m/>
    <m/>
    <m/>
    <m/>
    <m/>
    <m/>
    <s v="Chi phí hợp lý"/>
    <n v="153286132"/>
  </r>
  <r>
    <d v="2024-03-31T00:00:00"/>
    <d v="2024-03-31T00:00:00"/>
    <s v="KC2024.03"/>
    <m/>
    <m/>
    <s v="Kết chuyển chi phí hoạt động tài chính"/>
    <s v="911"/>
    <x v="24"/>
    <x v="3"/>
    <n v="11282998938"/>
    <n v="0"/>
    <m/>
    <m/>
    <m/>
    <m/>
    <m/>
    <m/>
    <m/>
    <s v="Chi phí hợp lý"/>
    <n v="11282998938"/>
  </r>
  <r>
    <d v="2024-03-31T00:00:00"/>
    <d v="2024-03-31T00:00:00"/>
    <s v="KC2024.03"/>
    <m/>
    <m/>
    <s v="Kết chuyển chi phí bán hàng"/>
    <s v="911"/>
    <x v="25"/>
    <x v="4"/>
    <n v="25823407"/>
    <n v="0"/>
    <m/>
    <m/>
    <m/>
    <m/>
    <m/>
    <m/>
    <m/>
    <s v="Chi phí hợp lý"/>
    <n v="25823407"/>
  </r>
  <r>
    <d v="2024-03-31T00:00:00"/>
    <d v="2024-03-31T00:00:00"/>
    <s v="KC2024.03"/>
    <m/>
    <m/>
    <s v="Kết chuyển chi phí bán hàng"/>
    <s v="911"/>
    <x v="71"/>
    <x v="4"/>
    <n v="1410000"/>
    <n v="0"/>
    <m/>
    <m/>
    <m/>
    <m/>
    <m/>
    <m/>
    <m/>
    <s v="Chi phí hợp lý"/>
    <n v="1410000"/>
  </r>
  <r>
    <d v="2024-03-31T00:00:00"/>
    <d v="2024-03-31T00:00:00"/>
    <s v="KC2024.03"/>
    <m/>
    <m/>
    <s v="Kết chuyển chi phí bán hàng"/>
    <s v="911"/>
    <x v="26"/>
    <x v="4"/>
    <n v="5814470"/>
    <n v="0"/>
    <m/>
    <m/>
    <m/>
    <m/>
    <m/>
    <m/>
    <m/>
    <s v="Chi phí hợp lý"/>
    <n v="5814470"/>
  </r>
  <r>
    <d v="2024-03-31T00:00:00"/>
    <d v="2024-03-31T00:00:00"/>
    <s v="KC2024.03"/>
    <m/>
    <m/>
    <s v="Kết chuyển chi phí bán hàng"/>
    <s v="911"/>
    <x v="27"/>
    <x v="4"/>
    <n v="3870417"/>
    <n v="0"/>
    <m/>
    <m/>
    <m/>
    <m/>
    <m/>
    <m/>
    <m/>
    <s v="Chi phí hợp lý"/>
    <n v="3870417"/>
  </r>
  <r>
    <d v="2024-03-31T00:00:00"/>
    <d v="2024-03-31T00:00:00"/>
    <s v="KC2024.03"/>
    <m/>
    <m/>
    <s v="Kết chuyển chi phí bán hàng"/>
    <s v="911"/>
    <x v="28"/>
    <x v="4"/>
    <n v="561056340"/>
    <n v="0"/>
    <m/>
    <m/>
    <m/>
    <m/>
    <m/>
    <m/>
    <m/>
    <s v="Chi phí hợp lý"/>
    <n v="561056340"/>
  </r>
  <r>
    <d v="2024-03-31T00:00:00"/>
    <d v="2024-03-31T00:00:00"/>
    <s v="KC2024.03"/>
    <m/>
    <m/>
    <s v="Kết chuyển chi phí bán hàng"/>
    <s v="911"/>
    <x v="29"/>
    <x v="4"/>
    <n v="15100987"/>
    <n v="0"/>
    <m/>
    <m/>
    <m/>
    <m/>
    <m/>
    <m/>
    <m/>
    <s v="Chi phí hợp lý"/>
    <n v="15100987"/>
  </r>
  <r>
    <d v="2024-03-31T00:00:00"/>
    <d v="2024-03-31T00:00:00"/>
    <s v="KC2024.03"/>
    <m/>
    <m/>
    <s v="Kết chuyển chi phí bán hàng"/>
    <s v="911"/>
    <x v="30"/>
    <x v="4"/>
    <n v="1200000"/>
    <n v="0"/>
    <m/>
    <m/>
    <m/>
    <m/>
    <m/>
    <m/>
    <m/>
    <s v="Chi phí hợp lý"/>
    <n v="1200000"/>
  </r>
  <r>
    <d v="2024-03-31T00:00:00"/>
    <d v="2024-03-31T00:00:00"/>
    <s v="KC2024.03"/>
    <m/>
    <m/>
    <s v="Kết chuyển chi phí bán hàng"/>
    <s v="911"/>
    <x v="31"/>
    <x v="4"/>
    <n v="3492291"/>
    <n v="0"/>
    <m/>
    <m/>
    <m/>
    <m/>
    <m/>
    <m/>
    <m/>
    <s v="Chi phí hợp lý"/>
    <n v="3492291"/>
  </r>
  <r>
    <d v="2024-03-31T00:00:00"/>
    <d v="2024-03-31T00:00:00"/>
    <s v="KC2024.03"/>
    <m/>
    <m/>
    <s v="Kết chuyển chi phí bán hàng"/>
    <s v="911"/>
    <x v="32"/>
    <x v="4"/>
    <n v="18764183"/>
    <n v="0"/>
    <m/>
    <m/>
    <m/>
    <m/>
    <m/>
    <m/>
    <m/>
    <s v="Chi phí hợp lý"/>
    <n v="18764183"/>
  </r>
  <r>
    <d v="2024-03-31T00:00:00"/>
    <d v="2024-03-31T00:00:00"/>
    <s v="KC2024.03"/>
    <m/>
    <m/>
    <s v="Kết chuyển chi phí bán hàng"/>
    <s v="911"/>
    <x v="33"/>
    <x v="4"/>
    <n v="3645252"/>
    <n v="0"/>
    <m/>
    <m/>
    <m/>
    <m/>
    <m/>
    <m/>
    <m/>
    <s v="Chi phí hợp lý"/>
    <n v="3645252"/>
  </r>
  <r>
    <d v="2024-03-31T00:00:00"/>
    <d v="2024-03-31T00:00:00"/>
    <s v="KC2024.03"/>
    <m/>
    <m/>
    <s v="Kết chuyển chi phí bán hàng"/>
    <s v="911"/>
    <x v="72"/>
    <x v="4"/>
    <n v="20264700"/>
    <n v="0"/>
    <m/>
    <m/>
    <m/>
    <m/>
    <m/>
    <m/>
    <m/>
    <s v="Chi phí hợp lý"/>
    <n v="20264700"/>
  </r>
  <r>
    <d v="2024-03-31T00:00:00"/>
    <d v="2024-03-31T00:00:00"/>
    <s v="KC2024.03"/>
    <m/>
    <m/>
    <s v="Kết chuyển chi phí bán hàng"/>
    <s v="911"/>
    <x v="34"/>
    <x v="4"/>
    <n v="7994448"/>
    <n v="0"/>
    <m/>
    <m/>
    <m/>
    <m/>
    <m/>
    <m/>
    <m/>
    <s v="Chi phí hợp lý"/>
    <n v="7994448"/>
  </r>
  <r>
    <d v="2024-03-31T00:00:00"/>
    <d v="2024-03-31T00:00:00"/>
    <s v="KC2024.03"/>
    <m/>
    <m/>
    <s v="Kết chuyển chi phí quản lý doanh nghiệp"/>
    <s v="911"/>
    <x v="36"/>
    <x v="5"/>
    <n v="263830286"/>
    <n v="0"/>
    <m/>
    <m/>
    <m/>
    <m/>
    <m/>
    <m/>
    <m/>
    <s v="Chi phí hợp lý"/>
    <n v="263830286"/>
  </r>
  <r>
    <d v="2024-03-31T00:00:00"/>
    <d v="2024-03-31T00:00:00"/>
    <s v="KC2024.03"/>
    <m/>
    <m/>
    <s v="Kết chuyển chi phí quản lý doanh nghiệp"/>
    <s v="911"/>
    <x v="37"/>
    <x v="5"/>
    <n v="18368000"/>
    <n v="0"/>
    <m/>
    <m/>
    <m/>
    <m/>
    <m/>
    <m/>
    <m/>
    <s v="Chi phí hợp lý"/>
    <n v="18368000"/>
  </r>
  <r>
    <d v="2024-03-31T00:00:00"/>
    <d v="2024-03-31T00:00:00"/>
    <s v="KC2024.03"/>
    <m/>
    <m/>
    <s v="Kết chuyển chi phí quản lý doanh nghiệp"/>
    <s v="911"/>
    <x v="38"/>
    <x v="5"/>
    <n v="83649537"/>
    <n v="0"/>
    <m/>
    <m/>
    <m/>
    <m/>
    <m/>
    <m/>
    <m/>
    <s v="Chi phí hợp lý"/>
    <n v="83649537"/>
  </r>
  <r>
    <d v="2024-03-31T00:00:00"/>
    <d v="2024-03-31T00:00:00"/>
    <s v="KC2024.03"/>
    <m/>
    <m/>
    <s v="Kết chuyển chi phí quản lý doanh nghiệp"/>
    <s v="911"/>
    <x v="39"/>
    <x v="5"/>
    <n v="41781488"/>
    <n v="0"/>
    <m/>
    <m/>
    <m/>
    <m/>
    <m/>
    <m/>
    <m/>
    <s v="Chi phí hợp lý"/>
    <n v="41781488"/>
  </r>
  <r>
    <d v="2024-03-31T00:00:00"/>
    <d v="2024-03-31T00:00:00"/>
    <s v="KC2024.03"/>
    <m/>
    <m/>
    <s v="Kết chuyển chi phí quản lý doanh nghiệp"/>
    <s v="911"/>
    <x v="40"/>
    <x v="5"/>
    <n v="39554350"/>
    <n v="0"/>
    <m/>
    <m/>
    <m/>
    <m/>
    <m/>
    <m/>
    <m/>
    <s v="Chi phí hợp lý"/>
    <n v="39554350"/>
  </r>
  <r>
    <d v="2024-03-31T00:00:00"/>
    <d v="2024-03-31T00:00:00"/>
    <s v="KC2024.03"/>
    <m/>
    <m/>
    <s v="Kết chuyển chi phí quản lý doanh nghiệp"/>
    <s v="911"/>
    <x v="42"/>
    <x v="5"/>
    <n v="199437985"/>
    <n v="0"/>
    <m/>
    <m/>
    <m/>
    <m/>
    <m/>
    <m/>
    <m/>
    <s v="Chi phí hợp lý"/>
    <n v="199437985"/>
  </r>
  <r>
    <d v="2024-03-31T00:00:00"/>
    <d v="2024-03-31T00:00:00"/>
    <s v="KC2024.03"/>
    <m/>
    <m/>
    <s v="Kết chuyển chi phí quản lý doanh nghiệp"/>
    <s v="911"/>
    <x v="43"/>
    <x v="5"/>
    <n v="7023584"/>
    <n v="0"/>
    <m/>
    <m/>
    <m/>
    <m/>
    <m/>
    <m/>
    <m/>
    <s v="Chi phí hợp lý"/>
    <n v="7023584"/>
  </r>
  <r>
    <d v="2024-03-31T00:00:00"/>
    <d v="2024-03-31T00:00:00"/>
    <s v="KC2024.03"/>
    <m/>
    <m/>
    <s v="Kết chuyển chi phí quản lý doanh nghiệp"/>
    <s v="911"/>
    <x v="44"/>
    <x v="5"/>
    <n v="3854362"/>
    <n v="0"/>
    <m/>
    <m/>
    <m/>
    <m/>
    <m/>
    <m/>
    <m/>
    <s v="Chi phí hợp lý"/>
    <n v="3854362"/>
  </r>
  <r>
    <d v="2024-03-31T00:00:00"/>
    <d v="2024-03-31T00:00:00"/>
    <s v="KC2024.03"/>
    <m/>
    <m/>
    <s v="Kết chuyển chi phí quản lý doanh nghiệp"/>
    <s v="911"/>
    <x v="45"/>
    <x v="5"/>
    <n v="10486430"/>
    <n v="0"/>
    <m/>
    <m/>
    <m/>
    <m/>
    <m/>
    <m/>
    <m/>
    <s v="Chi phí hợp lý"/>
    <n v="10486430"/>
  </r>
  <r>
    <d v="2024-03-31T00:00:00"/>
    <d v="2024-03-31T00:00:00"/>
    <s v="KC2024.03"/>
    <m/>
    <m/>
    <s v="Kết chuyển chi phí quản lý doanh nghiệp"/>
    <s v="911"/>
    <x v="46"/>
    <x v="5"/>
    <n v="4414000"/>
    <n v="0"/>
    <m/>
    <m/>
    <m/>
    <m/>
    <m/>
    <m/>
    <m/>
    <s v="Chi phí hợp lý"/>
    <n v="4414000"/>
  </r>
  <r>
    <d v="2024-03-31T00:00:00"/>
    <d v="2024-03-31T00:00:00"/>
    <s v="KC2024.03"/>
    <m/>
    <m/>
    <s v="Kết chuyển chi phí quản lý doanh nghiệp"/>
    <s v="911"/>
    <x v="69"/>
    <x v="5"/>
    <n v="6324707"/>
    <n v="0"/>
    <m/>
    <m/>
    <m/>
    <m/>
    <m/>
    <m/>
    <m/>
    <s v="Chi phí hợp lý"/>
    <n v="6324707"/>
  </r>
  <r>
    <d v="2024-03-31T00:00:00"/>
    <d v="2024-03-31T00:00:00"/>
    <s v="KC2024.03"/>
    <m/>
    <m/>
    <s v="Kết chuyển chi phí quản lý doanh nghiệp"/>
    <s v="911"/>
    <x v="47"/>
    <x v="5"/>
    <n v="1818097"/>
    <n v="0"/>
    <m/>
    <m/>
    <m/>
    <m/>
    <m/>
    <m/>
    <m/>
    <s v="Chi phí hợp lý"/>
    <n v="1818097"/>
  </r>
  <r>
    <d v="2024-03-31T00:00:00"/>
    <d v="2024-03-31T00:00:00"/>
    <s v="KC2024.03"/>
    <m/>
    <m/>
    <s v="Kết chuyển chi phí quản lý doanh nghiệp"/>
    <s v="911"/>
    <x v="48"/>
    <x v="5"/>
    <n v="4480187"/>
    <n v="0"/>
    <m/>
    <m/>
    <m/>
    <m/>
    <m/>
    <m/>
    <m/>
    <s v="Chi phí hợp lý"/>
    <n v="4480187"/>
  </r>
  <r>
    <d v="2024-03-31T00:00:00"/>
    <d v="2024-03-31T00:00:00"/>
    <s v="KC2024.03"/>
    <m/>
    <m/>
    <s v="Kết chuyển chi phí quản lý doanh nghiệp"/>
    <s v="911"/>
    <x v="49"/>
    <x v="5"/>
    <n v="12000000"/>
    <n v="0"/>
    <m/>
    <m/>
    <m/>
    <m/>
    <m/>
    <m/>
    <m/>
    <s v="Chi phí hợp lý"/>
    <n v="12000000"/>
  </r>
  <r>
    <d v="2024-03-31T00:00:00"/>
    <d v="2024-03-31T00:00:00"/>
    <s v="KC2024.03"/>
    <m/>
    <m/>
    <s v="Kết chuyển chi phí quản lý doanh nghiệp"/>
    <s v="911"/>
    <x v="50"/>
    <x v="5"/>
    <n v="64393939"/>
    <n v="0"/>
    <m/>
    <m/>
    <m/>
    <m/>
    <m/>
    <m/>
    <m/>
    <s v="Chi phí hợp lý"/>
    <n v="64393939"/>
  </r>
  <r>
    <d v="2024-03-31T00:00:00"/>
    <d v="2024-03-31T00:00:00"/>
    <s v="KC2024.03"/>
    <m/>
    <m/>
    <s v="Kết chuyển chi phí quản lý doanh nghiệp"/>
    <s v="911"/>
    <x v="66"/>
    <x v="5"/>
    <n v="7685160"/>
    <n v="0"/>
    <m/>
    <m/>
    <m/>
    <m/>
    <m/>
    <m/>
    <m/>
    <s v="Chi phí hợp lý"/>
    <n v="7685160"/>
  </r>
  <r>
    <d v="2024-03-31T00:00:00"/>
    <d v="2024-03-31T00:00:00"/>
    <s v="KC2024.03"/>
    <m/>
    <m/>
    <s v="Kết chuyển chi phí quản lý doanh nghiệp"/>
    <s v="911"/>
    <x v="51"/>
    <x v="5"/>
    <n v="3409091"/>
    <n v="0"/>
    <m/>
    <m/>
    <m/>
    <m/>
    <m/>
    <m/>
    <m/>
    <s v="Chi phí hợp lý"/>
    <n v="3409091"/>
  </r>
  <r>
    <d v="2024-03-31T00:00:00"/>
    <d v="2024-03-31T00:00:00"/>
    <s v="KC2024.03"/>
    <m/>
    <m/>
    <s v="Kết chuyển chi phí quản lý doanh nghiệp"/>
    <s v="911"/>
    <x v="52"/>
    <x v="5"/>
    <n v="1950000"/>
    <n v="0"/>
    <m/>
    <m/>
    <m/>
    <m/>
    <m/>
    <m/>
    <m/>
    <s v="Chi phí hợp lý"/>
    <n v="1950000"/>
  </r>
  <r>
    <d v="2024-03-31T00:00:00"/>
    <d v="2024-03-31T00:00:00"/>
    <s v="KC2024.03"/>
    <m/>
    <m/>
    <s v="Kết chuyển chi phí quản lý doanh nghiệp"/>
    <s v="911"/>
    <x v="53"/>
    <x v="5"/>
    <n v="16042555"/>
    <n v="0"/>
    <m/>
    <m/>
    <m/>
    <m/>
    <m/>
    <m/>
    <m/>
    <s v="Chi phí hợp lý"/>
    <n v="16042555"/>
  </r>
  <r>
    <d v="2024-03-31T00:00:00"/>
    <d v="2024-03-31T00:00:00"/>
    <s v="KC2024.03"/>
    <m/>
    <m/>
    <s v="Kết chuyển chi phí quản lý doanh nghiệp"/>
    <s v="911"/>
    <x v="54"/>
    <x v="5"/>
    <n v="22076455"/>
    <n v="0"/>
    <m/>
    <m/>
    <m/>
    <m/>
    <m/>
    <m/>
    <m/>
    <s v="Chi phí hợp lý"/>
    <n v="22076455"/>
  </r>
  <r>
    <d v="2024-03-31T00:00:00"/>
    <d v="2024-03-31T00:00:00"/>
    <s v="KC2024.03"/>
    <m/>
    <m/>
    <s v="Kết chuyển chi phí quản lý doanh nghiệp"/>
    <s v="911"/>
    <x v="55"/>
    <x v="5"/>
    <n v="4202560"/>
    <n v="0"/>
    <m/>
    <m/>
    <m/>
    <m/>
    <m/>
    <m/>
    <m/>
    <s v="Chi phí hợp lý"/>
    <n v="4202560"/>
  </r>
  <r>
    <d v="2024-03-31T00:00:00"/>
    <d v="2024-03-31T00:00:00"/>
    <s v="KC2024.03"/>
    <m/>
    <m/>
    <s v="Kết chuyển chi phí quản lý doanh nghiệp"/>
    <s v="911"/>
    <x v="56"/>
    <x v="5"/>
    <n v="23086401"/>
    <n v="0"/>
    <m/>
    <m/>
    <m/>
    <m/>
    <m/>
    <m/>
    <m/>
    <s v="Chi phí hợp lý"/>
    <n v="23086401"/>
  </r>
  <r>
    <d v="2024-03-31T00:00:00"/>
    <d v="2024-03-31T00:00:00"/>
    <s v="KC2024.03"/>
    <m/>
    <m/>
    <s v="Kết chuyển chi phí quản lý doanh nghiệp"/>
    <s v="911"/>
    <x v="57"/>
    <x v="5"/>
    <n v="613074"/>
    <n v="0"/>
    <m/>
    <m/>
    <m/>
    <m/>
    <m/>
    <m/>
    <m/>
    <s v="Chi phí hợp lý"/>
    <n v="613074"/>
  </r>
  <r>
    <d v="2024-03-31T00:00:00"/>
    <d v="2024-03-31T00:00:00"/>
    <s v="KC2024.03"/>
    <m/>
    <m/>
    <s v="Kết chuyển chi phí quản lý doanh nghiệp"/>
    <s v="911"/>
    <x v="58"/>
    <x v="5"/>
    <n v="1018000"/>
    <n v="0"/>
    <m/>
    <m/>
    <m/>
    <m/>
    <m/>
    <m/>
    <m/>
    <s v="Chi phí hợp lý"/>
    <n v="1018000"/>
  </r>
  <r>
    <d v="2024-03-31T00:00:00"/>
    <d v="2024-03-31T00:00:00"/>
    <s v="KC2024.03"/>
    <m/>
    <m/>
    <s v="Kết chuyển chi phí quản lý doanh nghiệp"/>
    <s v="911"/>
    <x v="59"/>
    <x v="5"/>
    <n v="71820908"/>
    <n v="0"/>
    <m/>
    <m/>
    <m/>
    <m/>
    <m/>
    <m/>
    <m/>
    <s v="Chi phí hợp lý"/>
    <n v="71820908"/>
  </r>
  <r>
    <d v="2024-03-31T00:00:00"/>
    <d v="2024-03-31T00:00:00"/>
    <s v="KC2024.03"/>
    <m/>
    <m/>
    <s v="Kết chuyển thu nhập khác phát sinh trong kỳ"/>
    <s v="911"/>
    <x v="70"/>
    <x v="8"/>
    <n v="0"/>
    <n v="1736503"/>
    <m/>
    <m/>
    <m/>
    <m/>
    <m/>
    <m/>
    <m/>
    <s v="Chi phí hợp lý"/>
    <n v="-1736503"/>
  </r>
  <r>
    <d v="2024-03-31T00:00:00"/>
    <d v="2024-03-31T00:00:00"/>
    <s v="KC2024.03"/>
    <m/>
    <m/>
    <s v="Kết chuyển kết quả hoạt động kinh doanh trong kỳ"/>
    <s v="911"/>
    <x v="62"/>
    <x v="7"/>
    <n v="5121951933"/>
    <n v="0"/>
    <m/>
    <m/>
    <m/>
    <m/>
    <m/>
    <m/>
    <m/>
    <s v="Chi phí hợp lý"/>
    <n v="5121951933"/>
  </r>
  <r>
    <d v="2024-04-30T00:00:00"/>
    <d v="2024-04-30T00:00:00"/>
    <s v="KC2024.04"/>
    <m/>
    <m/>
    <s v="Kết chuyển doanh thu bán hàng và cung cấp dịch vụ"/>
    <s v="911"/>
    <x v="1"/>
    <x v="0"/>
    <n v="0"/>
    <n v="1216"/>
    <m/>
    <m/>
    <m/>
    <m/>
    <m/>
    <m/>
    <m/>
    <s v="Chi phí hợp lý"/>
    <n v="-1216"/>
  </r>
  <r>
    <d v="2024-04-30T00:00:00"/>
    <d v="2024-04-30T00:00:00"/>
    <s v="KC2024.04"/>
    <m/>
    <m/>
    <s v="Kết chuyển doanh thu bán hàng và cung cấp dịch vụ"/>
    <s v="911"/>
    <x v="2"/>
    <x v="0"/>
    <n v="0"/>
    <n v="2448000"/>
    <m/>
    <m/>
    <m/>
    <m/>
    <m/>
    <m/>
    <m/>
    <s v="Chi phí hợp lý"/>
    <n v="-2448000"/>
  </r>
  <r>
    <d v="2024-04-30T00:00:00"/>
    <d v="2024-04-30T00:00:00"/>
    <s v="KC2024.04"/>
    <m/>
    <m/>
    <s v="Kết chuyển doanh thu bán hàng và cung cấp dịch vụ"/>
    <s v="911"/>
    <x v="3"/>
    <x v="0"/>
    <n v="0"/>
    <n v="8343000"/>
    <m/>
    <m/>
    <m/>
    <m/>
    <m/>
    <m/>
    <m/>
    <s v="Chi phí hợp lý"/>
    <n v="-8343000"/>
  </r>
  <r>
    <d v="2024-04-30T00:00:00"/>
    <d v="2024-04-30T00:00:00"/>
    <s v="KC2024.04"/>
    <m/>
    <m/>
    <s v="Kết chuyển doanh thu bán hàng và cung cấp dịch vụ"/>
    <s v="911"/>
    <x v="4"/>
    <x v="0"/>
    <n v="0"/>
    <n v="66858611"/>
    <m/>
    <m/>
    <m/>
    <m/>
    <m/>
    <m/>
    <m/>
    <s v="Chi phí hợp lý"/>
    <n v="-66858611"/>
  </r>
  <r>
    <d v="2024-04-30T00:00:00"/>
    <d v="2024-04-30T00:00:00"/>
    <s v="KC2024.04"/>
    <m/>
    <m/>
    <s v="Kết chuyển doanh thu bán hàng và cung cấp dịch vụ"/>
    <s v="911"/>
    <x v="5"/>
    <x v="0"/>
    <n v="0"/>
    <n v="70370213"/>
    <m/>
    <m/>
    <m/>
    <m/>
    <m/>
    <m/>
    <m/>
    <s v="Chi phí hợp lý"/>
    <n v="-70370213"/>
  </r>
  <r>
    <d v="2024-04-30T00:00:00"/>
    <d v="2024-04-30T00:00:00"/>
    <s v="KC2024.04"/>
    <m/>
    <m/>
    <s v="Kết chuyển doanh thu bán hàng và cung cấp dịch vụ"/>
    <s v="911"/>
    <x v="6"/>
    <x v="0"/>
    <n v="0"/>
    <n v="1719000"/>
    <m/>
    <m/>
    <m/>
    <m/>
    <m/>
    <m/>
    <m/>
    <s v="Chi phí hợp lý"/>
    <n v="-1719000"/>
  </r>
  <r>
    <d v="2024-04-30T00:00:00"/>
    <d v="2024-04-30T00:00:00"/>
    <s v="KC2024.04"/>
    <m/>
    <m/>
    <s v="Kết chuyển doanh thu bán hàng và cung cấp dịch vụ"/>
    <s v="911"/>
    <x v="7"/>
    <x v="0"/>
    <n v="0"/>
    <n v="11493199"/>
    <m/>
    <m/>
    <m/>
    <m/>
    <m/>
    <m/>
    <m/>
    <s v="Chi phí hợp lý"/>
    <n v="-11493199"/>
  </r>
  <r>
    <d v="2024-04-30T00:00:00"/>
    <d v="2024-04-30T00:00:00"/>
    <s v="KC2024.04"/>
    <m/>
    <m/>
    <s v="Kết chuyển doanh thu bán hàng và cung cấp dịch vụ"/>
    <s v="911"/>
    <x v="8"/>
    <x v="0"/>
    <n v="0"/>
    <n v="208734"/>
    <m/>
    <m/>
    <m/>
    <m/>
    <m/>
    <m/>
    <m/>
    <s v="Chi phí hợp lý"/>
    <n v="-208734"/>
  </r>
  <r>
    <d v="2024-04-30T00:00:00"/>
    <d v="2024-04-30T00:00:00"/>
    <s v="KC2024.04"/>
    <m/>
    <m/>
    <s v="Kết chuyển doanh thu bán hàng và cung cấp dịch vụ"/>
    <s v="911"/>
    <x v="10"/>
    <x v="0"/>
    <n v="0"/>
    <n v="3912925"/>
    <m/>
    <m/>
    <m/>
    <m/>
    <m/>
    <m/>
    <m/>
    <s v="Chi phí hợp lý"/>
    <n v="-3912925"/>
  </r>
  <r>
    <d v="2024-04-30T00:00:00"/>
    <d v="2024-04-30T00:00:00"/>
    <s v="KC2024.04"/>
    <m/>
    <m/>
    <s v="Kết chuyển doanh thu bán hàng và cung cấp dịch vụ"/>
    <s v="911"/>
    <x v="11"/>
    <x v="0"/>
    <n v="0"/>
    <n v="324540541"/>
    <m/>
    <m/>
    <m/>
    <m/>
    <m/>
    <m/>
    <m/>
    <s v="Chi phí hợp lý"/>
    <n v="-324540541"/>
  </r>
  <r>
    <d v="2024-04-30T00:00:00"/>
    <d v="2024-04-30T00:00:00"/>
    <s v="KC2024.04"/>
    <m/>
    <m/>
    <s v="Kết chuyển doanh thu bán hàng và cung cấp dịch vụ"/>
    <s v="911"/>
    <x v="12"/>
    <x v="0"/>
    <n v="0"/>
    <n v="400000"/>
    <m/>
    <m/>
    <m/>
    <m/>
    <m/>
    <m/>
    <m/>
    <s v="Chi phí hợp lý"/>
    <n v="-400000"/>
  </r>
  <r>
    <d v="2024-04-30T00:00:00"/>
    <d v="2024-04-30T00:00:00"/>
    <s v="KC2024.04"/>
    <m/>
    <m/>
    <s v="Kết chuyển doanh thu hoạt động tài chính"/>
    <s v="911"/>
    <x v="13"/>
    <x v="1"/>
    <n v="0"/>
    <n v="1534319222"/>
    <m/>
    <m/>
    <m/>
    <m/>
    <m/>
    <m/>
    <m/>
    <s v="Chi phí hợp lý"/>
    <n v="-1534319222"/>
  </r>
  <r>
    <d v="2024-04-30T00:00:00"/>
    <d v="2024-04-30T00:00:00"/>
    <s v="KC2024.04"/>
    <m/>
    <m/>
    <s v="Kết chuyển doanh thu hoạt động tài chính"/>
    <s v="911"/>
    <x v="17"/>
    <x v="1"/>
    <n v="0"/>
    <n v="3790775342"/>
    <m/>
    <m/>
    <m/>
    <m/>
    <m/>
    <m/>
    <m/>
    <s v="Chi phí hợp lý"/>
    <n v="-3790775342"/>
  </r>
  <r>
    <d v="2024-04-30T00:00:00"/>
    <d v="2024-04-30T00:00:00"/>
    <s v="KC2024.04"/>
    <m/>
    <m/>
    <s v="Kết chuyển doanh thu hoạt động tài chính"/>
    <s v="911"/>
    <x v="14"/>
    <x v="1"/>
    <n v="0"/>
    <n v="1245705174"/>
    <m/>
    <m/>
    <m/>
    <m/>
    <m/>
    <m/>
    <m/>
    <s v="Chi phí hợp lý"/>
    <n v="-1245705174"/>
  </r>
  <r>
    <d v="2024-04-30T00:00:00"/>
    <d v="2024-04-30T00:00:00"/>
    <s v="KC2024.04"/>
    <m/>
    <m/>
    <s v="Kết chuyển doanh thu hoạt động tài chính"/>
    <s v="911"/>
    <x v="15"/>
    <x v="1"/>
    <n v="0"/>
    <n v="992002255"/>
    <m/>
    <m/>
    <m/>
    <m/>
    <m/>
    <m/>
    <m/>
    <s v="Chi phí hợp lý"/>
    <n v="-992002255"/>
  </r>
  <r>
    <d v="2024-04-30T00:00:00"/>
    <d v="2024-04-30T00:00:00"/>
    <s v="KC2024.04"/>
    <m/>
    <m/>
    <s v="Kết chuyển doanh thu hoạt động tài chính"/>
    <s v="911"/>
    <x v="16"/>
    <x v="1"/>
    <n v="0"/>
    <n v="1790285735"/>
    <m/>
    <m/>
    <m/>
    <m/>
    <m/>
    <m/>
    <m/>
    <s v="Chi phí hợp lý"/>
    <n v="-1790285735"/>
  </r>
  <r>
    <d v="2024-04-30T00:00:00"/>
    <d v="2024-04-30T00:00:00"/>
    <s v="KC2024.04"/>
    <m/>
    <m/>
    <s v="Kết chuyển doanh thu hoạt động tài chính"/>
    <s v="911"/>
    <x v="63"/>
    <x v="1"/>
    <n v="0"/>
    <n v="887011068"/>
    <m/>
    <m/>
    <m/>
    <m/>
    <m/>
    <m/>
    <m/>
    <s v="Chi phí hợp lý"/>
    <n v="-887011068"/>
  </r>
  <r>
    <d v="2024-04-30T00:00:00"/>
    <d v="2024-04-30T00:00:00"/>
    <s v="KC2024.04"/>
    <m/>
    <m/>
    <s v="Kết chuyển giá vốn hàng bán"/>
    <s v="911"/>
    <x v="18"/>
    <x v="2"/>
    <n v="1155928795"/>
    <n v="0"/>
    <m/>
    <m/>
    <m/>
    <m/>
    <m/>
    <m/>
    <m/>
    <s v="Chi phí hợp lý"/>
    <n v="1155928795"/>
  </r>
  <r>
    <d v="2024-04-30T00:00:00"/>
    <d v="2024-04-30T00:00:00"/>
    <s v="KC2024.04"/>
    <m/>
    <m/>
    <s v="Kết chuyển chi phí hoạt động tài chính"/>
    <s v="911"/>
    <x v="19"/>
    <x v="3"/>
    <n v="0"/>
    <n v="1643307520"/>
    <m/>
    <m/>
    <m/>
    <m/>
    <m/>
    <m/>
    <m/>
    <s v="Chi phí hợp lý"/>
    <n v="-1643307520"/>
  </r>
  <r>
    <d v="2024-04-30T00:00:00"/>
    <d v="2024-04-30T00:00:00"/>
    <s v="KC2024.04"/>
    <m/>
    <m/>
    <s v="Kết chuyển chi phí hoạt động tài chính"/>
    <s v="911"/>
    <x v="20"/>
    <x v="3"/>
    <n v="292948097"/>
    <n v="0"/>
    <m/>
    <m/>
    <m/>
    <m/>
    <m/>
    <m/>
    <m/>
    <s v="Chi phí hợp lý"/>
    <n v="292948097"/>
  </r>
  <r>
    <d v="2024-04-30T00:00:00"/>
    <d v="2024-04-30T00:00:00"/>
    <s v="KC2024.04"/>
    <m/>
    <m/>
    <s v="Kết chuyển chi phí hoạt động tài chính"/>
    <s v="911"/>
    <x v="73"/>
    <x v="3"/>
    <n v="169175000"/>
    <n v="0"/>
    <m/>
    <m/>
    <m/>
    <m/>
    <m/>
    <m/>
    <m/>
    <s v="Chi phí hợp lý"/>
    <n v="169175000"/>
  </r>
  <r>
    <d v="2024-04-30T00:00:00"/>
    <d v="2024-04-30T00:00:00"/>
    <s v="KC2024.04"/>
    <m/>
    <m/>
    <s v="Kết chuyển chi phí hoạt động tài chính"/>
    <s v="911"/>
    <x v="21"/>
    <x v="3"/>
    <n v="638331897"/>
    <n v="0"/>
    <m/>
    <m/>
    <m/>
    <m/>
    <m/>
    <m/>
    <m/>
    <s v="Chi phí hợp lý"/>
    <n v="638331897"/>
  </r>
  <r>
    <d v="2024-04-30T00:00:00"/>
    <d v="2024-04-30T00:00:00"/>
    <s v="KC2024.04"/>
    <m/>
    <m/>
    <s v="Kết chuyển chi phí hoạt động tài chính"/>
    <s v="911"/>
    <x v="64"/>
    <x v="3"/>
    <n v="14258630"/>
    <n v="0"/>
    <m/>
    <m/>
    <m/>
    <m/>
    <m/>
    <m/>
    <m/>
    <s v="Chi phí hợp lý"/>
    <n v="14258630"/>
  </r>
  <r>
    <d v="2024-04-30T00:00:00"/>
    <d v="2024-04-30T00:00:00"/>
    <s v="KC2024.04"/>
    <m/>
    <m/>
    <s v="Kết chuyển chi phí hoạt động tài chính"/>
    <s v="911"/>
    <x v="22"/>
    <x v="3"/>
    <n v="485528460"/>
    <n v="0"/>
    <m/>
    <m/>
    <m/>
    <m/>
    <m/>
    <m/>
    <m/>
    <s v="Chi phí hợp lý"/>
    <n v="485528460"/>
  </r>
  <r>
    <d v="2024-04-30T00:00:00"/>
    <d v="2024-04-30T00:00:00"/>
    <s v="KC2024.04"/>
    <m/>
    <m/>
    <s v="Kết chuyển chi phí hoạt động tài chính"/>
    <s v="911"/>
    <x v="23"/>
    <x v="3"/>
    <n v="362211174"/>
    <n v="0"/>
    <m/>
    <m/>
    <m/>
    <m/>
    <m/>
    <m/>
    <m/>
    <s v="Chi phí hợp lý"/>
    <n v="362211174"/>
  </r>
  <r>
    <d v="2024-04-30T00:00:00"/>
    <d v="2024-04-30T00:00:00"/>
    <s v="KC2024.04"/>
    <m/>
    <m/>
    <s v="Kết chuyển chi phí hoạt động tài chính"/>
    <s v="911"/>
    <x v="74"/>
    <x v="3"/>
    <n v="558516"/>
    <n v="0"/>
    <m/>
    <m/>
    <m/>
    <m/>
    <m/>
    <m/>
    <m/>
    <s v="Chi phí hợp lý"/>
    <n v="558516"/>
  </r>
  <r>
    <d v="2024-04-30T00:00:00"/>
    <d v="2024-04-30T00:00:00"/>
    <s v="KC2024.04"/>
    <m/>
    <m/>
    <s v="Kết chuyển chi phí hoạt động tài chính"/>
    <s v="911"/>
    <x v="24"/>
    <x v="3"/>
    <n v="8912920717"/>
    <n v="0"/>
    <m/>
    <m/>
    <m/>
    <m/>
    <m/>
    <m/>
    <m/>
    <s v="Chi phí hợp lý"/>
    <n v="8912920717"/>
  </r>
  <r>
    <d v="2024-04-30T00:00:00"/>
    <d v="2024-04-30T00:00:00"/>
    <s v="KC2024.04"/>
    <m/>
    <m/>
    <s v="Kết chuyển chi phí bán hàng"/>
    <s v="911"/>
    <x v="25"/>
    <x v="4"/>
    <n v="15028450"/>
    <n v="0"/>
    <m/>
    <m/>
    <m/>
    <m/>
    <m/>
    <m/>
    <m/>
    <s v="Chi phí hợp lý"/>
    <n v="15028450"/>
  </r>
  <r>
    <d v="2024-04-30T00:00:00"/>
    <d v="2024-04-30T00:00:00"/>
    <s v="KC2024.04"/>
    <m/>
    <m/>
    <s v="Kết chuyển chi phí bán hàng"/>
    <s v="911"/>
    <x v="71"/>
    <x v="4"/>
    <n v="1410000"/>
    <n v="0"/>
    <m/>
    <m/>
    <m/>
    <m/>
    <m/>
    <m/>
    <m/>
    <s v="Chi phí hợp lý"/>
    <n v="1410000"/>
  </r>
  <r>
    <d v="2024-04-30T00:00:00"/>
    <d v="2024-04-30T00:00:00"/>
    <s v="KC2024.04"/>
    <m/>
    <m/>
    <s v="Kết chuyển chi phí bán hàng"/>
    <s v="911"/>
    <x v="75"/>
    <x v="4"/>
    <n v="6000000"/>
    <n v="0"/>
    <m/>
    <m/>
    <m/>
    <m/>
    <m/>
    <m/>
    <m/>
    <s v="Chi phí hợp lý"/>
    <n v="6000000"/>
  </r>
  <r>
    <d v="2024-04-30T00:00:00"/>
    <d v="2024-04-30T00:00:00"/>
    <s v="KC2024.04"/>
    <m/>
    <m/>
    <s v="Kết chuyển chi phí bán hàng"/>
    <s v="911"/>
    <x v="26"/>
    <x v="4"/>
    <n v="5814470"/>
    <n v="0"/>
    <m/>
    <m/>
    <m/>
    <m/>
    <m/>
    <m/>
    <m/>
    <s v="Chi phí hợp lý"/>
    <n v="5814470"/>
  </r>
  <r>
    <d v="2024-04-30T00:00:00"/>
    <d v="2024-04-30T00:00:00"/>
    <s v="KC2024.04"/>
    <m/>
    <m/>
    <s v="Kết chuyển chi phí bán hàng"/>
    <s v="911"/>
    <x v="27"/>
    <x v="4"/>
    <n v="3870417"/>
    <n v="0"/>
    <m/>
    <m/>
    <m/>
    <m/>
    <m/>
    <m/>
    <m/>
    <s v="Chi phí hợp lý"/>
    <n v="3870417"/>
  </r>
  <r>
    <d v="2024-04-30T00:00:00"/>
    <d v="2024-04-30T00:00:00"/>
    <s v="KC2024.04"/>
    <m/>
    <m/>
    <s v="Kết chuyển chi phí bán hàng"/>
    <s v="911"/>
    <x v="28"/>
    <x v="4"/>
    <n v="479019298"/>
    <n v="0"/>
    <m/>
    <m/>
    <m/>
    <m/>
    <m/>
    <m/>
    <m/>
    <s v="Chi phí hợp lý"/>
    <n v="479019298"/>
  </r>
  <r>
    <d v="2024-04-30T00:00:00"/>
    <d v="2024-04-30T00:00:00"/>
    <s v="KC2024.04"/>
    <m/>
    <m/>
    <s v="Kết chuyển chi phí bán hàng"/>
    <s v="911"/>
    <x v="29"/>
    <x v="4"/>
    <n v="15509876"/>
    <n v="0"/>
    <m/>
    <m/>
    <m/>
    <m/>
    <m/>
    <m/>
    <m/>
    <s v="Chi phí hợp lý"/>
    <n v="15509876"/>
  </r>
  <r>
    <d v="2024-04-30T00:00:00"/>
    <d v="2024-04-30T00:00:00"/>
    <s v="KC2024.04"/>
    <m/>
    <m/>
    <s v="Kết chuyển chi phí bán hàng"/>
    <s v="911"/>
    <x v="30"/>
    <x v="4"/>
    <n v="1200000"/>
    <n v="0"/>
    <m/>
    <m/>
    <m/>
    <m/>
    <m/>
    <m/>
    <m/>
    <s v="Chi phí hợp lý"/>
    <n v="1200000"/>
  </r>
  <r>
    <d v="2024-04-30T00:00:00"/>
    <d v="2024-04-30T00:00:00"/>
    <s v="KC2024.04"/>
    <m/>
    <m/>
    <s v="Kết chuyển chi phí bán hàng"/>
    <s v="911"/>
    <x v="31"/>
    <x v="4"/>
    <n v="1123555"/>
    <n v="0"/>
    <m/>
    <m/>
    <m/>
    <m/>
    <m/>
    <m/>
    <m/>
    <s v="Chi phí hợp lý"/>
    <n v="1123555"/>
  </r>
  <r>
    <d v="2024-04-30T00:00:00"/>
    <d v="2024-04-30T00:00:00"/>
    <s v="KC2024.04"/>
    <m/>
    <m/>
    <s v="Kết chuyển chi phí bán hàng"/>
    <s v="911"/>
    <x v="32"/>
    <x v="4"/>
    <n v="18764183"/>
    <n v="0"/>
    <m/>
    <m/>
    <m/>
    <m/>
    <m/>
    <m/>
    <m/>
    <s v="Chi phí hợp lý"/>
    <n v="18764183"/>
  </r>
  <r>
    <d v="2024-04-30T00:00:00"/>
    <d v="2024-04-30T00:00:00"/>
    <s v="KC2024.04"/>
    <m/>
    <m/>
    <s v="Kết chuyển chi phí bán hàng"/>
    <s v="911"/>
    <x v="33"/>
    <x v="4"/>
    <n v="3945252"/>
    <n v="0"/>
    <m/>
    <m/>
    <m/>
    <m/>
    <m/>
    <m/>
    <m/>
    <s v="Chi phí hợp lý"/>
    <n v="3945252"/>
  </r>
  <r>
    <d v="2024-04-30T00:00:00"/>
    <d v="2024-04-30T00:00:00"/>
    <s v="KC2024.04"/>
    <m/>
    <m/>
    <s v="Kết chuyển chi phí bán hàng"/>
    <s v="911"/>
    <x v="72"/>
    <x v="4"/>
    <n v="2032709"/>
    <n v="0"/>
    <m/>
    <m/>
    <m/>
    <m/>
    <m/>
    <m/>
    <m/>
    <s v="Chi phí hợp lý"/>
    <n v="2032709"/>
  </r>
  <r>
    <d v="2024-04-30T00:00:00"/>
    <d v="2024-04-30T00:00:00"/>
    <s v="KC2024.04"/>
    <m/>
    <m/>
    <s v="Kết chuyển chi phí bán hàng"/>
    <s v="911"/>
    <x v="34"/>
    <x v="4"/>
    <n v="12346913"/>
    <n v="0"/>
    <m/>
    <m/>
    <m/>
    <m/>
    <m/>
    <m/>
    <m/>
    <s v="Chi phí hợp lý"/>
    <n v="12346913"/>
  </r>
  <r>
    <d v="2024-04-30T00:00:00"/>
    <d v="2024-04-30T00:00:00"/>
    <s v="KC2024.04"/>
    <m/>
    <m/>
    <s v="Kết chuyển chi phí quản lý doanh nghiệp"/>
    <s v="911"/>
    <x v="36"/>
    <x v="5"/>
    <n v="260167556"/>
    <n v="0"/>
    <m/>
    <m/>
    <m/>
    <m/>
    <m/>
    <m/>
    <m/>
    <s v="Chi phí hợp lý"/>
    <n v="260167556"/>
  </r>
  <r>
    <d v="2024-04-30T00:00:00"/>
    <d v="2024-04-30T00:00:00"/>
    <s v="KC2024.04"/>
    <m/>
    <m/>
    <s v="Kết chuyển chi phí quản lý doanh nghiệp"/>
    <s v="911"/>
    <x v="37"/>
    <x v="5"/>
    <n v="13856000"/>
    <n v="0"/>
    <m/>
    <m/>
    <m/>
    <m/>
    <m/>
    <m/>
    <m/>
    <s v="Chi phí hợp lý"/>
    <n v="13856000"/>
  </r>
  <r>
    <d v="2024-04-30T00:00:00"/>
    <d v="2024-04-30T00:00:00"/>
    <s v="KC2024.04"/>
    <m/>
    <m/>
    <s v="Kết chuyển chi phí quản lý doanh nghiệp"/>
    <s v="911"/>
    <x v="39"/>
    <x v="5"/>
    <n v="44172582"/>
    <n v="0"/>
    <m/>
    <m/>
    <m/>
    <m/>
    <m/>
    <m/>
    <m/>
    <s v="Chi phí hợp lý"/>
    <n v="44172582"/>
  </r>
  <r>
    <d v="2024-04-30T00:00:00"/>
    <d v="2024-04-30T00:00:00"/>
    <s v="KC2024.04"/>
    <m/>
    <m/>
    <s v="Kết chuyển chi phí quản lý doanh nghiệp"/>
    <s v="911"/>
    <x v="40"/>
    <x v="5"/>
    <n v="40633138"/>
    <n v="0"/>
    <m/>
    <m/>
    <m/>
    <m/>
    <m/>
    <m/>
    <m/>
    <s v="Chi phí hợp lý"/>
    <n v="40633138"/>
  </r>
  <r>
    <d v="2024-04-30T00:00:00"/>
    <d v="2024-04-30T00:00:00"/>
    <s v="KC2024.04"/>
    <m/>
    <m/>
    <s v="Kết chuyển chi phí quản lý doanh nghiệp"/>
    <s v="911"/>
    <x v="42"/>
    <x v="5"/>
    <n v="218204951"/>
    <n v="0"/>
    <m/>
    <m/>
    <m/>
    <m/>
    <m/>
    <m/>
    <m/>
    <s v="Chi phí hợp lý"/>
    <n v="218204951"/>
  </r>
  <r>
    <d v="2024-04-30T00:00:00"/>
    <d v="2024-04-30T00:00:00"/>
    <s v="KC2024.04"/>
    <m/>
    <m/>
    <s v="Kết chuyển chi phí quản lý doanh nghiệp"/>
    <s v="911"/>
    <x v="44"/>
    <x v="5"/>
    <n v="1057533"/>
    <n v="0"/>
    <m/>
    <m/>
    <m/>
    <m/>
    <m/>
    <m/>
    <m/>
    <s v="Chi phí hợp lý"/>
    <n v="1057533"/>
  </r>
  <r>
    <d v="2024-04-30T00:00:00"/>
    <d v="2024-04-30T00:00:00"/>
    <s v="KC2024.04"/>
    <m/>
    <m/>
    <s v="Kết chuyển chi phí quản lý doanh nghiệp"/>
    <s v="911"/>
    <x v="45"/>
    <x v="5"/>
    <n v="10716489"/>
    <n v="0"/>
    <m/>
    <m/>
    <m/>
    <m/>
    <m/>
    <m/>
    <m/>
    <s v="Chi phí hợp lý"/>
    <n v="10716489"/>
  </r>
  <r>
    <d v="2024-04-30T00:00:00"/>
    <d v="2024-04-30T00:00:00"/>
    <s v="KC2024.04"/>
    <m/>
    <m/>
    <s v="Kết chuyển chi phí quản lý doanh nghiệp"/>
    <s v="911"/>
    <x v="46"/>
    <x v="5"/>
    <n v="4416000"/>
    <n v="0"/>
    <m/>
    <m/>
    <m/>
    <m/>
    <m/>
    <m/>
    <m/>
    <s v="Chi phí hợp lý"/>
    <n v="4416000"/>
  </r>
  <r>
    <d v="2024-04-30T00:00:00"/>
    <d v="2024-04-30T00:00:00"/>
    <s v="KC2024.04"/>
    <m/>
    <m/>
    <s v="Kết chuyển chi phí quản lý doanh nghiệp"/>
    <s v="911"/>
    <x v="69"/>
    <x v="5"/>
    <n v="4799025"/>
    <n v="0"/>
    <m/>
    <m/>
    <m/>
    <m/>
    <m/>
    <m/>
    <m/>
    <s v="Chi phí hợp lý"/>
    <n v="4799025"/>
  </r>
  <r>
    <d v="2024-04-30T00:00:00"/>
    <d v="2024-04-30T00:00:00"/>
    <s v="KC2024.04"/>
    <m/>
    <m/>
    <s v="Kết chuyển chi phí quản lý doanh nghiệp"/>
    <s v="911"/>
    <x v="47"/>
    <x v="5"/>
    <n v="3440000"/>
    <n v="0"/>
    <m/>
    <m/>
    <m/>
    <m/>
    <m/>
    <m/>
    <m/>
    <s v="Chi phí hợp lý"/>
    <n v="3440000"/>
  </r>
  <r>
    <d v="2024-04-30T00:00:00"/>
    <d v="2024-04-30T00:00:00"/>
    <s v="KC2024.04"/>
    <m/>
    <m/>
    <s v="Kết chuyển chi phí quản lý doanh nghiệp"/>
    <s v="911"/>
    <x v="48"/>
    <x v="5"/>
    <n v="9113548"/>
    <n v="0"/>
    <m/>
    <m/>
    <m/>
    <m/>
    <m/>
    <m/>
    <m/>
    <s v="Chi phí hợp lý"/>
    <n v="9113548"/>
  </r>
  <r>
    <d v="2024-04-30T00:00:00"/>
    <d v="2024-04-30T00:00:00"/>
    <s v="KC2024.04"/>
    <m/>
    <m/>
    <s v="Kết chuyển chi phí quản lý doanh nghiệp"/>
    <s v="911"/>
    <x v="49"/>
    <x v="5"/>
    <n v="12000000"/>
    <n v="0"/>
    <m/>
    <m/>
    <m/>
    <m/>
    <m/>
    <m/>
    <m/>
    <s v="Chi phí hợp lý"/>
    <n v="12000000"/>
  </r>
  <r>
    <d v="2024-04-30T00:00:00"/>
    <d v="2024-04-30T00:00:00"/>
    <s v="KC2024.04"/>
    <m/>
    <m/>
    <s v="Kết chuyển chi phí quản lý doanh nghiệp"/>
    <s v="911"/>
    <x v="50"/>
    <x v="5"/>
    <n v="64393939"/>
    <n v="0"/>
    <m/>
    <m/>
    <m/>
    <m/>
    <m/>
    <m/>
    <m/>
    <s v="Chi phí hợp lý"/>
    <n v="64393939"/>
  </r>
  <r>
    <d v="2024-04-30T00:00:00"/>
    <d v="2024-04-30T00:00:00"/>
    <s v="KC2024.04"/>
    <m/>
    <m/>
    <s v="Kết chuyển chi phí quản lý doanh nghiệp"/>
    <s v="911"/>
    <x v="66"/>
    <x v="5"/>
    <n v="9873078"/>
    <n v="0"/>
    <m/>
    <m/>
    <m/>
    <m/>
    <m/>
    <m/>
    <m/>
    <s v="Chi phí hợp lý"/>
    <n v="9873078"/>
  </r>
  <r>
    <d v="2024-04-30T00:00:00"/>
    <d v="2024-04-30T00:00:00"/>
    <s v="KC2024.04"/>
    <m/>
    <m/>
    <s v="Kết chuyển chi phí quản lý doanh nghiệp"/>
    <s v="911"/>
    <x v="51"/>
    <x v="5"/>
    <n v="2863636"/>
    <n v="0"/>
    <m/>
    <m/>
    <m/>
    <m/>
    <m/>
    <m/>
    <m/>
    <s v="Chi phí hợp lý"/>
    <n v="2863636"/>
  </r>
  <r>
    <d v="2024-04-30T00:00:00"/>
    <d v="2024-04-30T00:00:00"/>
    <s v="KC2024.04"/>
    <m/>
    <m/>
    <s v="Kết chuyển chi phí quản lý doanh nghiệp"/>
    <s v="911"/>
    <x v="52"/>
    <x v="5"/>
    <n v="1950000"/>
    <n v="0"/>
    <m/>
    <m/>
    <m/>
    <m/>
    <m/>
    <m/>
    <m/>
    <s v="Chi phí hợp lý"/>
    <n v="1950000"/>
  </r>
  <r>
    <d v="2024-04-30T00:00:00"/>
    <d v="2024-04-30T00:00:00"/>
    <s v="KC2024.04"/>
    <m/>
    <m/>
    <s v="Kết chuyển chi phí quản lý doanh nghiệp"/>
    <s v="911"/>
    <x v="53"/>
    <x v="5"/>
    <n v="30195894"/>
    <n v="0"/>
    <m/>
    <m/>
    <m/>
    <m/>
    <m/>
    <m/>
    <m/>
    <s v="Chi phí hợp lý"/>
    <n v="30195894"/>
  </r>
  <r>
    <d v="2024-04-30T00:00:00"/>
    <d v="2024-04-30T00:00:00"/>
    <s v="KC2024.04"/>
    <m/>
    <m/>
    <s v="Kết chuyển chi phí quản lý doanh nghiệp"/>
    <s v="911"/>
    <x v="67"/>
    <x v="5"/>
    <n v="1000000"/>
    <n v="0"/>
    <m/>
    <m/>
    <m/>
    <m/>
    <m/>
    <m/>
    <m/>
    <s v="Chi phí hợp lý"/>
    <n v="1000000"/>
  </r>
  <r>
    <d v="2024-04-30T00:00:00"/>
    <d v="2024-04-30T00:00:00"/>
    <s v="KC2024.04"/>
    <m/>
    <m/>
    <s v="Kết chuyển chi phí quản lý doanh nghiệp"/>
    <s v="911"/>
    <x v="54"/>
    <x v="5"/>
    <n v="17452500"/>
    <n v="0"/>
    <m/>
    <m/>
    <m/>
    <m/>
    <m/>
    <m/>
    <m/>
    <s v="Chi phí hợp lý"/>
    <n v="17452500"/>
  </r>
  <r>
    <d v="2024-04-30T00:00:00"/>
    <d v="2024-04-30T00:00:00"/>
    <s v="KC2024.04"/>
    <m/>
    <m/>
    <s v="Kết chuyển chi phí quản lý doanh nghiệp"/>
    <s v="911"/>
    <x v="55"/>
    <x v="5"/>
    <n v="4202560"/>
    <n v="0"/>
    <m/>
    <m/>
    <m/>
    <m/>
    <m/>
    <m/>
    <m/>
    <s v="Chi phí hợp lý"/>
    <n v="4202560"/>
  </r>
  <r>
    <d v="2024-04-30T00:00:00"/>
    <d v="2024-04-30T00:00:00"/>
    <s v="KC2024.04"/>
    <m/>
    <m/>
    <s v="Kết chuyển chi phí quản lý doanh nghiệp"/>
    <s v="911"/>
    <x v="56"/>
    <x v="5"/>
    <n v="23086403"/>
    <n v="0"/>
    <m/>
    <m/>
    <m/>
    <m/>
    <m/>
    <m/>
    <m/>
    <s v="Chi phí hợp lý"/>
    <n v="23086403"/>
  </r>
  <r>
    <d v="2024-04-30T00:00:00"/>
    <d v="2024-04-30T00:00:00"/>
    <s v="KC2024.04"/>
    <m/>
    <m/>
    <s v="Kết chuyển chi phí quản lý doanh nghiệp"/>
    <s v="911"/>
    <x v="57"/>
    <x v="5"/>
    <n v="610000"/>
    <n v="0"/>
    <m/>
    <m/>
    <m/>
    <m/>
    <m/>
    <m/>
    <m/>
    <s v="Chi phí hợp lý"/>
    <n v="610000"/>
  </r>
  <r>
    <d v="2024-04-30T00:00:00"/>
    <d v="2024-04-30T00:00:00"/>
    <s v="KC2024.04"/>
    <m/>
    <m/>
    <s v="Kết chuyển chi phí quản lý doanh nghiệp"/>
    <s v="911"/>
    <x v="58"/>
    <x v="5"/>
    <n v="1018000"/>
    <n v="0"/>
    <m/>
    <m/>
    <m/>
    <m/>
    <m/>
    <m/>
    <m/>
    <s v="Chi phí hợp lý"/>
    <n v="1018000"/>
  </r>
  <r>
    <d v="2024-04-30T00:00:00"/>
    <d v="2024-04-30T00:00:00"/>
    <s v="KC2024.04"/>
    <m/>
    <m/>
    <s v="Kết chuyển chi phí quản lý doanh nghiệp"/>
    <s v="911"/>
    <x v="59"/>
    <x v="5"/>
    <n v="17546672"/>
    <n v="0"/>
    <m/>
    <m/>
    <m/>
    <m/>
    <m/>
    <m/>
    <m/>
    <s v="Chi phí hợp lý"/>
    <n v="17546672"/>
  </r>
  <r>
    <d v="2024-04-30T00:00:00"/>
    <d v="2024-04-30T00:00:00"/>
    <s v="KC2024.04"/>
    <m/>
    <m/>
    <s v="Kết chuyển chi phí quản lý doanh nghiệp"/>
    <s v="911"/>
    <x v="68"/>
    <x v="5"/>
    <n v="16719064"/>
    <n v="0"/>
    <m/>
    <m/>
    <m/>
    <m/>
    <m/>
    <m/>
    <m/>
    <s v="Chi phí hợp lý"/>
    <n v="16719064"/>
  </r>
  <r>
    <d v="2024-04-30T00:00:00"/>
    <d v="2024-04-30T00:00:00"/>
    <s v="KC2024.04"/>
    <m/>
    <m/>
    <s v="Kết chuyển chi phí quản lý doanh nghiệp"/>
    <s v="911"/>
    <x v="60"/>
    <x v="5"/>
    <n v="424900"/>
    <n v="0"/>
    <m/>
    <m/>
    <m/>
    <m/>
    <m/>
    <m/>
    <m/>
    <s v="Chi phí hợp lý"/>
    <n v="424900"/>
  </r>
  <r>
    <d v="2024-04-30T00:00:00"/>
    <d v="2024-04-30T00:00:00"/>
    <s v="KC2024.04"/>
    <m/>
    <m/>
    <s v="Kết chuyển kết quả hoạt động kinh doanh trong kỳ"/>
    <s v="911"/>
    <x v="62"/>
    <x v="7"/>
    <n v="0"/>
    <n v="1038138122"/>
    <m/>
    <m/>
    <m/>
    <m/>
    <m/>
    <m/>
    <m/>
    <s v="Chi phí hợp lý"/>
    <n v="-1038138122"/>
  </r>
  <r>
    <d v="2024-05-31T00:00:00"/>
    <d v="2024-05-31T00:00:00"/>
    <s v="KC2024.05"/>
    <m/>
    <m/>
    <s v="Kết chuyển doanh thu bán hàng và cung cấp dịch vụ"/>
    <s v="911"/>
    <x v="2"/>
    <x v="0"/>
    <n v="0"/>
    <n v="3006000"/>
    <m/>
    <m/>
    <m/>
    <m/>
    <m/>
    <m/>
    <m/>
    <s v="Chi phí hợp lý"/>
    <n v="-3006000"/>
  </r>
  <r>
    <d v="2024-05-31T00:00:00"/>
    <d v="2024-05-31T00:00:00"/>
    <s v="KC2024.05"/>
    <m/>
    <m/>
    <s v="Kết chuyển doanh thu bán hàng và cung cấp dịch vụ"/>
    <s v="911"/>
    <x v="3"/>
    <x v="0"/>
    <n v="0"/>
    <n v="7677000"/>
    <m/>
    <m/>
    <m/>
    <m/>
    <m/>
    <m/>
    <m/>
    <s v="Chi phí hợp lý"/>
    <n v="-7677000"/>
  </r>
  <r>
    <d v="2024-05-31T00:00:00"/>
    <d v="2024-05-31T00:00:00"/>
    <s v="KC2024.05"/>
    <m/>
    <m/>
    <s v="Kết chuyển doanh thu bán hàng và cung cấp dịch vụ"/>
    <s v="911"/>
    <x v="4"/>
    <x v="0"/>
    <n v="0"/>
    <n v="63215928"/>
    <m/>
    <m/>
    <m/>
    <m/>
    <m/>
    <m/>
    <m/>
    <s v="Chi phí hợp lý"/>
    <n v="-63215928"/>
  </r>
  <r>
    <d v="2024-05-31T00:00:00"/>
    <d v="2024-05-31T00:00:00"/>
    <s v="KC2024.05"/>
    <m/>
    <m/>
    <s v="Kết chuyển doanh thu bán hàng và cung cấp dịch vụ"/>
    <s v="911"/>
    <x v="5"/>
    <x v="0"/>
    <n v="0"/>
    <n v="129555152"/>
    <m/>
    <m/>
    <m/>
    <m/>
    <m/>
    <m/>
    <m/>
    <s v="Chi phí hợp lý"/>
    <n v="-129555152"/>
  </r>
  <r>
    <d v="2024-05-31T00:00:00"/>
    <d v="2024-05-31T00:00:00"/>
    <s v="KC2024.05"/>
    <m/>
    <m/>
    <s v="Kết chuyển doanh thu bán hàng và cung cấp dịch vụ"/>
    <s v="911"/>
    <x v="6"/>
    <x v="0"/>
    <n v="0"/>
    <n v="1615000"/>
    <m/>
    <m/>
    <m/>
    <m/>
    <m/>
    <m/>
    <m/>
    <s v="Chi phí hợp lý"/>
    <n v="-1615000"/>
  </r>
  <r>
    <d v="2024-05-31T00:00:00"/>
    <d v="2024-05-31T00:00:00"/>
    <s v="KC2024.05"/>
    <m/>
    <m/>
    <s v="Kết chuyển doanh thu bán hàng và cung cấp dịch vụ"/>
    <s v="911"/>
    <x v="7"/>
    <x v="0"/>
    <n v="0"/>
    <n v="11525072"/>
    <m/>
    <m/>
    <m/>
    <m/>
    <m/>
    <m/>
    <m/>
    <s v="Chi phí hợp lý"/>
    <n v="-11525072"/>
  </r>
  <r>
    <d v="2024-05-31T00:00:00"/>
    <d v="2024-05-31T00:00:00"/>
    <s v="KC2024.05"/>
    <m/>
    <m/>
    <s v="Kết chuyển doanh thu bán hàng và cung cấp dịch vụ"/>
    <s v="911"/>
    <x v="8"/>
    <x v="0"/>
    <n v="0"/>
    <n v="220535"/>
    <m/>
    <m/>
    <m/>
    <m/>
    <m/>
    <m/>
    <m/>
    <s v="Chi phí hợp lý"/>
    <n v="-220535"/>
  </r>
  <r>
    <d v="2024-05-31T00:00:00"/>
    <d v="2024-05-31T00:00:00"/>
    <s v="KC2024.05"/>
    <m/>
    <m/>
    <s v="Kết chuyển doanh thu bán hàng và cung cấp dịch vụ"/>
    <s v="911"/>
    <x v="10"/>
    <x v="0"/>
    <n v="0"/>
    <n v="3433366"/>
    <m/>
    <m/>
    <m/>
    <m/>
    <m/>
    <m/>
    <m/>
    <s v="Chi phí hợp lý"/>
    <n v="-3433366"/>
  </r>
  <r>
    <d v="2024-05-31T00:00:00"/>
    <d v="2024-05-31T00:00:00"/>
    <s v="KC2024.05"/>
    <m/>
    <m/>
    <s v="Kết chuyển doanh thu bán hàng và cung cấp dịch vụ"/>
    <s v="911"/>
    <x v="11"/>
    <x v="0"/>
    <n v="0"/>
    <n v="324540541"/>
    <m/>
    <m/>
    <m/>
    <m/>
    <m/>
    <m/>
    <m/>
    <s v="Chi phí hợp lý"/>
    <n v="-324540541"/>
  </r>
  <r>
    <d v="2024-05-31T00:00:00"/>
    <d v="2024-05-31T00:00:00"/>
    <s v="KC2024.05"/>
    <m/>
    <m/>
    <s v="Kết chuyển doanh thu bán hàng và cung cấp dịch vụ"/>
    <s v="911"/>
    <x v="12"/>
    <x v="0"/>
    <n v="0"/>
    <n v="400000"/>
    <m/>
    <m/>
    <m/>
    <m/>
    <m/>
    <m/>
    <m/>
    <s v="Chi phí hợp lý"/>
    <n v="-400000"/>
  </r>
  <r>
    <d v="2024-05-31T00:00:00"/>
    <d v="2024-05-31T00:00:00"/>
    <s v="KC2024.05"/>
    <m/>
    <m/>
    <s v="Kết chuyển doanh thu hoạt động tài chính"/>
    <s v="911"/>
    <x v="13"/>
    <x v="1"/>
    <n v="0"/>
    <n v="1213784145"/>
    <m/>
    <m/>
    <m/>
    <m/>
    <m/>
    <m/>
    <m/>
    <s v="Chi phí hợp lý"/>
    <n v="-1213784145"/>
  </r>
  <r>
    <d v="2024-05-31T00:00:00"/>
    <d v="2024-05-31T00:00:00"/>
    <s v="KC2024.05"/>
    <m/>
    <m/>
    <s v="Kết chuyển doanh thu hoạt động tài chính"/>
    <s v="911"/>
    <x v="17"/>
    <x v="1"/>
    <n v="0"/>
    <n v="3276224179"/>
    <m/>
    <m/>
    <m/>
    <m/>
    <m/>
    <m/>
    <m/>
    <s v="Chi phí hợp lý"/>
    <n v="-3276224179"/>
  </r>
  <r>
    <d v="2024-05-31T00:00:00"/>
    <d v="2024-05-31T00:00:00"/>
    <s v="KC2024.05"/>
    <m/>
    <m/>
    <s v="Kết chuyển doanh thu hoạt động tài chính"/>
    <s v="911"/>
    <x v="14"/>
    <x v="1"/>
    <n v="0"/>
    <n v="2411051502"/>
    <m/>
    <m/>
    <m/>
    <m/>
    <m/>
    <m/>
    <m/>
    <s v="Chi phí hợp lý"/>
    <n v="-2411051502"/>
  </r>
  <r>
    <d v="2024-05-31T00:00:00"/>
    <d v="2024-05-31T00:00:00"/>
    <s v="KC2024.05"/>
    <m/>
    <m/>
    <s v="Kết chuyển doanh thu hoạt động tài chính"/>
    <s v="911"/>
    <x v="15"/>
    <x v="1"/>
    <n v="0"/>
    <n v="5386722642"/>
    <m/>
    <m/>
    <m/>
    <m/>
    <m/>
    <m/>
    <m/>
    <s v="Chi phí hợp lý"/>
    <n v="-5386722642"/>
  </r>
  <r>
    <d v="2024-05-31T00:00:00"/>
    <d v="2024-05-31T00:00:00"/>
    <s v="KC2024.05"/>
    <m/>
    <m/>
    <s v="Kết chuyển doanh thu hoạt động tài chính"/>
    <s v="911"/>
    <x v="16"/>
    <x v="1"/>
    <n v="0"/>
    <n v="1454997219"/>
    <m/>
    <m/>
    <m/>
    <m/>
    <m/>
    <m/>
    <m/>
    <s v="Chi phí hợp lý"/>
    <n v="-1454997219"/>
  </r>
  <r>
    <d v="2024-05-31T00:00:00"/>
    <d v="2024-05-31T00:00:00"/>
    <s v="KC2024.05"/>
    <m/>
    <m/>
    <s v="Kết chuyển doanh thu hoạt động tài chính"/>
    <s v="911"/>
    <x v="63"/>
    <x v="1"/>
    <n v="0"/>
    <n v="827728406"/>
    <m/>
    <m/>
    <m/>
    <m/>
    <m/>
    <m/>
    <m/>
    <s v="Chi phí hợp lý"/>
    <n v="-827728406"/>
  </r>
  <r>
    <d v="2024-05-31T00:00:00"/>
    <d v="2024-05-31T00:00:00"/>
    <s v="KC2024.05"/>
    <m/>
    <m/>
    <s v="Kết chuyển giá vốn hàng bán"/>
    <s v="911"/>
    <x v="18"/>
    <x v="2"/>
    <n v="1276029408"/>
    <n v="0"/>
    <m/>
    <m/>
    <m/>
    <m/>
    <m/>
    <m/>
    <m/>
    <s v="Chi phí hợp lý"/>
    <n v="1276029408"/>
  </r>
  <r>
    <d v="2024-05-31T00:00:00"/>
    <d v="2024-05-31T00:00:00"/>
    <s v="KC2024.05"/>
    <m/>
    <m/>
    <s v="Kết chuyển chi phí hoạt động tài chính"/>
    <s v="911"/>
    <x v="19"/>
    <x v="3"/>
    <n v="0"/>
    <n v="1094162430"/>
    <m/>
    <m/>
    <m/>
    <m/>
    <m/>
    <m/>
    <m/>
    <s v="Chi phí hợp lý"/>
    <n v="-1094162430"/>
  </r>
  <r>
    <d v="2024-05-31T00:00:00"/>
    <d v="2024-05-31T00:00:00"/>
    <s v="KC2024.05"/>
    <m/>
    <m/>
    <s v="Kết chuyển chi phí hoạt động tài chính"/>
    <s v="911"/>
    <x v="20"/>
    <x v="3"/>
    <n v="519137471"/>
    <n v="0"/>
    <m/>
    <m/>
    <m/>
    <m/>
    <m/>
    <m/>
    <m/>
    <s v="Chi phí hợp lý"/>
    <n v="519137471"/>
  </r>
  <r>
    <d v="2024-05-31T00:00:00"/>
    <d v="2024-05-31T00:00:00"/>
    <s v="KC2024.05"/>
    <m/>
    <m/>
    <s v="Kết chuyển chi phí hoạt động tài chính"/>
    <s v="911"/>
    <x v="21"/>
    <x v="3"/>
    <n v="205927268"/>
    <n v="0"/>
    <m/>
    <m/>
    <m/>
    <m/>
    <m/>
    <m/>
    <m/>
    <s v="Chi phí hợp lý"/>
    <n v="205927268"/>
  </r>
  <r>
    <d v="2024-05-31T00:00:00"/>
    <d v="2024-05-31T00:00:00"/>
    <s v="KC2024.05"/>
    <m/>
    <m/>
    <s v="Kết chuyển chi phí hoạt động tài chính"/>
    <s v="911"/>
    <x v="64"/>
    <x v="3"/>
    <n v="8081645"/>
    <n v="0"/>
    <m/>
    <m/>
    <m/>
    <m/>
    <m/>
    <m/>
    <m/>
    <s v="Chi phí hợp lý"/>
    <n v="8081645"/>
  </r>
  <r>
    <d v="2024-05-31T00:00:00"/>
    <d v="2024-05-31T00:00:00"/>
    <s v="KC2024.05"/>
    <m/>
    <m/>
    <s v="Kết chuyển chi phí hoạt động tài chính"/>
    <s v="911"/>
    <x v="22"/>
    <x v="3"/>
    <n v="642713733"/>
    <n v="0"/>
    <m/>
    <m/>
    <m/>
    <m/>
    <m/>
    <m/>
    <m/>
    <s v="Chi phí hợp lý"/>
    <n v="642713733"/>
  </r>
  <r>
    <d v="2024-05-31T00:00:00"/>
    <d v="2024-05-31T00:00:00"/>
    <s v="KC2024.05"/>
    <m/>
    <m/>
    <s v="Kết chuyển chi phí hoạt động tài chính"/>
    <s v="911"/>
    <x v="23"/>
    <x v="3"/>
    <n v="234559458"/>
    <n v="0"/>
    <m/>
    <m/>
    <m/>
    <m/>
    <m/>
    <m/>
    <m/>
    <s v="Chi phí hợp lý"/>
    <n v="234559458"/>
  </r>
  <r>
    <d v="2024-05-31T00:00:00"/>
    <d v="2024-05-31T00:00:00"/>
    <s v="KC2024.05"/>
    <m/>
    <m/>
    <s v="Kết chuyển chi phí hoạt động tài chính"/>
    <s v="911"/>
    <x v="74"/>
    <x v="3"/>
    <n v="144921"/>
    <n v="0"/>
    <m/>
    <m/>
    <m/>
    <m/>
    <m/>
    <m/>
    <m/>
    <s v="Chi phí hợp lý"/>
    <n v="144921"/>
  </r>
  <r>
    <d v="2024-05-31T00:00:00"/>
    <d v="2024-05-31T00:00:00"/>
    <s v="KC2024.05"/>
    <m/>
    <m/>
    <s v="Kết chuyển chi phí hoạt động tài chính"/>
    <s v="911"/>
    <x v="24"/>
    <x v="3"/>
    <n v="8710006637"/>
    <n v="0"/>
    <m/>
    <m/>
    <m/>
    <m/>
    <m/>
    <m/>
    <m/>
    <s v="Chi phí hợp lý"/>
    <n v="8710006637"/>
  </r>
  <r>
    <d v="2024-05-31T00:00:00"/>
    <d v="2024-05-31T00:00:00"/>
    <s v="KC2024.05"/>
    <m/>
    <m/>
    <s v="Kết chuyển chi phí bán hàng"/>
    <s v="911"/>
    <x v="25"/>
    <x v="4"/>
    <n v="14251533"/>
    <n v="0"/>
    <m/>
    <m/>
    <m/>
    <m/>
    <m/>
    <m/>
    <m/>
    <s v="Chi phí hợp lý"/>
    <n v="14251533"/>
  </r>
  <r>
    <d v="2024-05-31T00:00:00"/>
    <d v="2024-05-31T00:00:00"/>
    <s v="KC2024.05"/>
    <m/>
    <m/>
    <s v="Kết chuyển chi phí bán hàng"/>
    <s v="911"/>
    <x v="71"/>
    <x v="4"/>
    <n v="1410000"/>
    <n v="0"/>
    <m/>
    <m/>
    <m/>
    <m/>
    <m/>
    <m/>
    <m/>
    <s v="Chi phí hợp lý"/>
    <n v="1410000"/>
  </r>
  <r>
    <d v="2024-05-31T00:00:00"/>
    <d v="2024-05-31T00:00:00"/>
    <s v="KC2024.05"/>
    <m/>
    <m/>
    <s v="Kết chuyển chi phí bán hàng"/>
    <s v="911"/>
    <x v="75"/>
    <x v="4"/>
    <n v="11000000"/>
    <n v="0"/>
    <m/>
    <m/>
    <m/>
    <m/>
    <m/>
    <m/>
    <m/>
    <s v="Chi phí hợp lý"/>
    <n v="11000000"/>
  </r>
  <r>
    <d v="2024-05-31T00:00:00"/>
    <d v="2024-05-31T00:00:00"/>
    <s v="KC2024.05"/>
    <m/>
    <m/>
    <s v="Kết chuyển chi phí bán hàng"/>
    <s v="911"/>
    <x v="26"/>
    <x v="4"/>
    <n v="5814470"/>
    <n v="0"/>
    <m/>
    <m/>
    <m/>
    <m/>
    <m/>
    <m/>
    <m/>
    <s v="Chi phí hợp lý"/>
    <n v="5814470"/>
  </r>
  <r>
    <d v="2024-05-31T00:00:00"/>
    <d v="2024-05-31T00:00:00"/>
    <s v="KC2024.05"/>
    <m/>
    <m/>
    <s v="Kết chuyển chi phí bán hàng"/>
    <s v="911"/>
    <x v="27"/>
    <x v="4"/>
    <n v="3870417"/>
    <n v="0"/>
    <m/>
    <m/>
    <m/>
    <m/>
    <m/>
    <m/>
    <m/>
    <s v="Chi phí hợp lý"/>
    <n v="3870417"/>
  </r>
  <r>
    <d v="2024-05-31T00:00:00"/>
    <d v="2024-05-31T00:00:00"/>
    <s v="KC2024.05"/>
    <m/>
    <m/>
    <s v="Kết chuyển chi phí bán hàng"/>
    <s v="911"/>
    <x v="28"/>
    <x v="4"/>
    <n v="454627864"/>
    <n v="0"/>
    <m/>
    <m/>
    <m/>
    <m/>
    <m/>
    <m/>
    <m/>
    <s v="Chi phí hợp lý"/>
    <n v="454627864"/>
  </r>
  <r>
    <d v="2024-05-31T00:00:00"/>
    <d v="2024-05-31T00:00:00"/>
    <s v="KC2024.05"/>
    <m/>
    <m/>
    <s v="Kết chuyển chi phí bán hàng"/>
    <s v="911"/>
    <x v="29"/>
    <x v="4"/>
    <n v="3104444"/>
    <n v="0"/>
    <m/>
    <m/>
    <m/>
    <m/>
    <m/>
    <m/>
    <m/>
    <s v="Chi phí hợp lý"/>
    <n v="3104444"/>
  </r>
  <r>
    <d v="2024-05-31T00:00:00"/>
    <d v="2024-05-31T00:00:00"/>
    <s v="KC2024.05"/>
    <m/>
    <m/>
    <s v="Kết chuyển chi phí bán hàng"/>
    <s v="911"/>
    <x v="30"/>
    <x v="4"/>
    <n v="1200000"/>
    <n v="0"/>
    <m/>
    <m/>
    <m/>
    <m/>
    <m/>
    <m/>
    <m/>
    <s v="Chi phí hợp lý"/>
    <n v="1200000"/>
  </r>
  <r>
    <d v="2024-05-31T00:00:00"/>
    <d v="2024-05-31T00:00:00"/>
    <s v="KC2024.05"/>
    <m/>
    <m/>
    <s v="Kết chuyển chi phí bán hàng"/>
    <s v="911"/>
    <x v="31"/>
    <x v="4"/>
    <n v="1916245"/>
    <n v="0"/>
    <m/>
    <m/>
    <m/>
    <m/>
    <m/>
    <m/>
    <m/>
    <s v="Chi phí hợp lý"/>
    <n v="1916245"/>
  </r>
  <r>
    <d v="2024-05-31T00:00:00"/>
    <d v="2024-05-31T00:00:00"/>
    <s v="KC2024.05"/>
    <m/>
    <m/>
    <s v="Kết chuyển chi phí bán hàng"/>
    <s v="911"/>
    <x v="76"/>
    <x v="4"/>
    <n v="146025"/>
    <n v="0"/>
    <m/>
    <m/>
    <m/>
    <m/>
    <m/>
    <m/>
    <m/>
    <s v="Chi phí hợp lý"/>
    <n v="146025"/>
  </r>
  <r>
    <d v="2024-05-31T00:00:00"/>
    <d v="2024-05-31T00:00:00"/>
    <s v="KC2024.05"/>
    <m/>
    <m/>
    <s v="Kết chuyển chi phí bán hàng"/>
    <s v="911"/>
    <x v="32"/>
    <x v="4"/>
    <n v="18764183"/>
    <n v="0"/>
    <m/>
    <m/>
    <m/>
    <m/>
    <m/>
    <m/>
    <m/>
    <s v="Chi phí hợp lý"/>
    <n v="18764183"/>
  </r>
  <r>
    <d v="2024-05-31T00:00:00"/>
    <d v="2024-05-31T00:00:00"/>
    <s v="KC2024.05"/>
    <m/>
    <m/>
    <s v="Kết chuyển chi phí bán hàng"/>
    <s v="911"/>
    <x v="33"/>
    <x v="4"/>
    <n v="2938054"/>
    <n v="0"/>
    <m/>
    <m/>
    <m/>
    <m/>
    <m/>
    <m/>
    <m/>
    <s v="Chi phí hợp lý"/>
    <n v="2938054"/>
  </r>
  <r>
    <d v="2024-05-31T00:00:00"/>
    <d v="2024-05-31T00:00:00"/>
    <s v="KC2024.05"/>
    <m/>
    <m/>
    <s v="Kết chuyển chi phí bán hàng"/>
    <s v="911"/>
    <x v="34"/>
    <x v="4"/>
    <n v="342393065"/>
    <n v="0"/>
    <m/>
    <m/>
    <m/>
    <m/>
    <m/>
    <m/>
    <m/>
    <s v="Chi phí hợp lý"/>
    <n v="342393065"/>
  </r>
  <r>
    <d v="2024-05-31T00:00:00"/>
    <d v="2024-05-31T00:00:00"/>
    <s v="KC2024.05"/>
    <m/>
    <m/>
    <s v="Kết chuyển chi phí bán hàng"/>
    <s v="911"/>
    <x v="77"/>
    <x v="4"/>
    <n v="3067440"/>
    <n v="0"/>
    <m/>
    <m/>
    <m/>
    <m/>
    <m/>
    <m/>
    <m/>
    <s v="Chi phí hợp lý"/>
    <n v="3067440"/>
  </r>
  <r>
    <d v="2024-05-31T00:00:00"/>
    <d v="2024-05-31T00:00:00"/>
    <s v="KC2024.05"/>
    <m/>
    <m/>
    <s v="Kết chuyển chi phí quản lý doanh nghiệp"/>
    <s v="911"/>
    <x v="56"/>
    <x v="5"/>
    <n v="0"/>
    <n v="5229077"/>
    <m/>
    <m/>
    <m/>
    <m/>
    <m/>
    <m/>
    <m/>
    <s v="Chi phí hợp lý"/>
    <n v="-5229077"/>
  </r>
  <r>
    <d v="2024-05-31T00:00:00"/>
    <d v="2024-05-31T00:00:00"/>
    <s v="KC2024.05"/>
    <m/>
    <m/>
    <s v="Kết chuyển chi phí quản lý doanh nghiệp"/>
    <s v="911"/>
    <x v="57"/>
    <x v="5"/>
    <n v="610424"/>
    <n v="0"/>
    <m/>
    <m/>
    <m/>
    <m/>
    <m/>
    <m/>
    <m/>
    <s v="Chi phí hợp lý"/>
    <n v="610424"/>
  </r>
  <r>
    <d v="2024-05-31T00:00:00"/>
    <d v="2024-05-31T00:00:00"/>
    <s v="KC2024.05"/>
    <m/>
    <m/>
    <s v="Kết chuyển chi phí quản lý doanh nghiệp"/>
    <s v="911"/>
    <x v="59"/>
    <x v="5"/>
    <n v="72566609"/>
    <n v="0"/>
    <m/>
    <m/>
    <m/>
    <m/>
    <m/>
    <m/>
    <m/>
    <s v="Chi phí hợp lý"/>
    <n v="72566609"/>
  </r>
  <r>
    <d v="2024-05-31T00:00:00"/>
    <d v="2024-05-31T00:00:00"/>
    <s v="KC2024.05"/>
    <m/>
    <m/>
    <s v="Kết chuyển chi phí quản lý doanh nghiệp"/>
    <s v="911"/>
    <x v="68"/>
    <x v="5"/>
    <n v="4995995"/>
    <n v="0"/>
    <m/>
    <m/>
    <m/>
    <m/>
    <m/>
    <m/>
    <m/>
    <s v="Chi phí hợp lý"/>
    <n v="4995995"/>
  </r>
  <r>
    <d v="2024-05-31T00:00:00"/>
    <d v="2024-05-31T00:00:00"/>
    <s v="KC2024.05"/>
    <m/>
    <m/>
    <s v="Kết chuyển chi phí quản lý doanh nghiệp"/>
    <s v="911"/>
    <x v="60"/>
    <x v="5"/>
    <n v="191800"/>
    <n v="0"/>
    <m/>
    <m/>
    <m/>
    <m/>
    <m/>
    <m/>
    <m/>
    <s v="Chi phí hợp lý"/>
    <n v="191800"/>
  </r>
  <r>
    <d v="2024-05-31T00:00:00"/>
    <d v="2024-05-31T00:00:00"/>
    <s v="KC2024.05"/>
    <m/>
    <m/>
    <s v="Kết chuyển chi phí quản lý doanh nghiệp"/>
    <s v="911"/>
    <x v="36"/>
    <x v="5"/>
    <n v="253957781"/>
    <n v="0"/>
    <m/>
    <m/>
    <m/>
    <m/>
    <m/>
    <m/>
    <m/>
    <s v="Chi phí hợp lý"/>
    <n v="253957781"/>
  </r>
  <r>
    <d v="2024-05-31T00:00:00"/>
    <d v="2024-05-31T00:00:00"/>
    <s v="KC2024.05"/>
    <m/>
    <m/>
    <s v="Kết chuyển chi phí quản lý doanh nghiệp"/>
    <s v="911"/>
    <x v="37"/>
    <x v="5"/>
    <n v="13856000"/>
    <n v="0"/>
    <m/>
    <m/>
    <m/>
    <m/>
    <m/>
    <m/>
    <m/>
    <s v="Chi phí hợp lý"/>
    <n v="13856000"/>
  </r>
  <r>
    <d v="2024-05-31T00:00:00"/>
    <d v="2024-05-31T00:00:00"/>
    <s v="KC2024.05"/>
    <m/>
    <m/>
    <s v="Kết chuyển chi phí quản lý doanh nghiệp"/>
    <s v="911"/>
    <x v="39"/>
    <x v="5"/>
    <n v="40320882"/>
    <n v="0"/>
    <m/>
    <m/>
    <m/>
    <m/>
    <m/>
    <m/>
    <m/>
    <s v="Chi phí hợp lý"/>
    <n v="40320882"/>
  </r>
  <r>
    <d v="2024-05-31T00:00:00"/>
    <d v="2024-05-31T00:00:00"/>
    <s v="KC2024.05"/>
    <m/>
    <m/>
    <s v="Kết chuyển chi phí quản lý doanh nghiệp"/>
    <s v="911"/>
    <x v="40"/>
    <x v="5"/>
    <n v="40902835"/>
    <n v="0"/>
    <m/>
    <m/>
    <m/>
    <m/>
    <m/>
    <m/>
    <m/>
    <s v="Chi phí hợp lý"/>
    <n v="40902835"/>
  </r>
  <r>
    <d v="2024-05-31T00:00:00"/>
    <d v="2024-05-31T00:00:00"/>
    <s v="KC2024.05"/>
    <m/>
    <m/>
    <s v="Kết chuyển chi phí quản lý doanh nghiệp"/>
    <s v="911"/>
    <x v="42"/>
    <x v="5"/>
    <n v="209034487"/>
    <n v="0"/>
    <m/>
    <m/>
    <m/>
    <m/>
    <m/>
    <m/>
    <m/>
    <s v="Chi phí hợp lý"/>
    <n v="209034487"/>
  </r>
  <r>
    <d v="2024-05-31T00:00:00"/>
    <d v="2024-05-31T00:00:00"/>
    <s v="KC2024.05"/>
    <m/>
    <m/>
    <s v="Kết chuyển chi phí quản lý doanh nghiệp"/>
    <s v="911"/>
    <x v="43"/>
    <x v="5"/>
    <n v="8915584"/>
    <n v="0"/>
    <m/>
    <m/>
    <m/>
    <m/>
    <m/>
    <m/>
    <m/>
    <s v="Chi phí hợp lý"/>
    <n v="8915584"/>
  </r>
  <r>
    <d v="2024-05-31T00:00:00"/>
    <d v="2024-05-31T00:00:00"/>
    <s v="KC2024.05"/>
    <m/>
    <m/>
    <s v="Kết chuyển chi phí quản lý doanh nghiệp"/>
    <s v="911"/>
    <x v="44"/>
    <x v="5"/>
    <n v="939063"/>
    <n v="0"/>
    <m/>
    <m/>
    <m/>
    <m/>
    <m/>
    <m/>
    <m/>
    <s v="Chi phí hợp lý"/>
    <n v="939063"/>
  </r>
  <r>
    <d v="2024-05-31T00:00:00"/>
    <d v="2024-05-31T00:00:00"/>
    <s v="KC2024.05"/>
    <m/>
    <m/>
    <s v="Kết chuyển chi phí quản lý doanh nghiệp"/>
    <s v="911"/>
    <x v="45"/>
    <x v="5"/>
    <n v="1576952"/>
    <n v="0"/>
    <m/>
    <m/>
    <m/>
    <m/>
    <m/>
    <m/>
    <m/>
    <s v="Chi phí hợp lý"/>
    <n v="1576952"/>
  </r>
  <r>
    <d v="2024-05-31T00:00:00"/>
    <d v="2024-05-31T00:00:00"/>
    <s v="KC2024.05"/>
    <m/>
    <m/>
    <s v="Kết chuyển chi phí quản lý doanh nghiệp"/>
    <s v="911"/>
    <x v="69"/>
    <x v="5"/>
    <n v="18228136"/>
    <n v="0"/>
    <m/>
    <m/>
    <m/>
    <m/>
    <m/>
    <m/>
    <m/>
    <s v="Chi phí hợp lý"/>
    <n v="18228136"/>
  </r>
  <r>
    <d v="2024-05-31T00:00:00"/>
    <d v="2024-05-31T00:00:00"/>
    <s v="KC2024.05"/>
    <m/>
    <m/>
    <s v="Kết chuyển chi phí quản lý doanh nghiệp"/>
    <s v="911"/>
    <x v="48"/>
    <x v="5"/>
    <n v="6944444"/>
    <n v="0"/>
    <m/>
    <m/>
    <m/>
    <m/>
    <m/>
    <m/>
    <m/>
    <s v="Chi phí hợp lý"/>
    <n v="6944444"/>
  </r>
  <r>
    <d v="2024-05-31T00:00:00"/>
    <d v="2024-05-31T00:00:00"/>
    <s v="KC2024.05"/>
    <m/>
    <m/>
    <s v="Kết chuyển chi phí quản lý doanh nghiệp"/>
    <s v="911"/>
    <x v="49"/>
    <x v="5"/>
    <n v="12000000"/>
    <n v="0"/>
    <m/>
    <m/>
    <m/>
    <m/>
    <m/>
    <m/>
    <m/>
    <s v="Chi phí hợp lý"/>
    <n v="12000000"/>
  </r>
  <r>
    <d v="2024-05-31T00:00:00"/>
    <d v="2024-05-31T00:00:00"/>
    <s v="KC2024.05"/>
    <m/>
    <m/>
    <s v="Kết chuyển chi phí quản lý doanh nghiệp"/>
    <s v="911"/>
    <x v="50"/>
    <x v="5"/>
    <n v="64393939"/>
    <n v="0"/>
    <m/>
    <m/>
    <m/>
    <m/>
    <m/>
    <m/>
    <m/>
    <s v="Chi phí hợp lý"/>
    <n v="64393939"/>
  </r>
  <r>
    <d v="2024-05-31T00:00:00"/>
    <d v="2024-05-31T00:00:00"/>
    <s v="KC2024.05"/>
    <m/>
    <m/>
    <s v="Kết chuyển chi phí quản lý doanh nghiệp"/>
    <s v="911"/>
    <x v="66"/>
    <x v="5"/>
    <n v="16150599"/>
    <n v="0"/>
    <m/>
    <m/>
    <m/>
    <m/>
    <m/>
    <m/>
    <m/>
    <s v="Chi phí hợp lý"/>
    <n v="16150599"/>
  </r>
  <r>
    <d v="2024-05-31T00:00:00"/>
    <d v="2024-05-31T00:00:00"/>
    <s v="KC2024.05"/>
    <m/>
    <m/>
    <s v="Kết chuyển chi phí quản lý doanh nghiệp"/>
    <s v="911"/>
    <x v="51"/>
    <x v="5"/>
    <n v="2863636"/>
    <n v="0"/>
    <m/>
    <m/>
    <m/>
    <m/>
    <m/>
    <m/>
    <m/>
    <s v="Chi phí hợp lý"/>
    <n v="2863636"/>
  </r>
  <r>
    <d v="2024-05-31T00:00:00"/>
    <d v="2024-05-31T00:00:00"/>
    <s v="KC2024.05"/>
    <m/>
    <m/>
    <s v="Kết chuyển chi phí quản lý doanh nghiệp"/>
    <s v="911"/>
    <x v="78"/>
    <x v="5"/>
    <n v="8863000"/>
    <n v="0"/>
    <m/>
    <m/>
    <m/>
    <m/>
    <m/>
    <m/>
    <m/>
    <s v="Chi phí hợp lý"/>
    <n v="8863000"/>
  </r>
  <r>
    <d v="2024-05-31T00:00:00"/>
    <d v="2024-05-31T00:00:00"/>
    <s v="KC2024.05"/>
    <m/>
    <m/>
    <s v="Kết chuyển chi phí quản lý doanh nghiệp"/>
    <s v="911"/>
    <x v="52"/>
    <x v="5"/>
    <n v="1950000"/>
    <n v="0"/>
    <m/>
    <m/>
    <m/>
    <m/>
    <m/>
    <m/>
    <m/>
    <s v="Chi phí hợp lý"/>
    <n v="1950000"/>
  </r>
  <r>
    <d v="2024-05-31T00:00:00"/>
    <d v="2024-05-31T00:00:00"/>
    <s v="KC2024.05"/>
    <m/>
    <m/>
    <s v="Kết chuyển chi phí quản lý doanh nghiệp"/>
    <s v="911"/>
    <x v="53"/>
    <x v="5"/>
    <n v="36995943"/>
    <n v="0"/>
    <m/>
    <m/>
    <m/>
    <m/>
    <m/>
    <m/>
    <m/>
    <s v="Chi phí hợp lý"/>
    <n v="36995943"/>
  </r>
  <r>
    <d v="2024-05-31T00:00:00"/>
    <d v="2024-05-31T00:00:00"/>
    <s v="KC2024.05"/>
    <m/>
    <m/>
    <s v="Kết chuyển chi phí quản lý doanh nghiệp"/>
    <s v="911"/>
    <x v="54"/>
    <x v="5"/>
    <n v="17452500"/>
    <n v="0"/>
    <m/>
    <m/>
    <m/>
    <m/>
    <m/>
    <m/>
    <m/>
    <s v="Chi phí hợp lý"/>
    <n v="17452500"/>
  </r>
  <r>
    <d v="2024-05-31T00:00:00"/>
    <d v="2024-05-31T00:00:00"/>
    <s v="KC2024.05"/>
    <m/>
    <m/>
    <s v="Kết chuyển chi phí quản lý doanh nghiệp"/>
    <s v="911"/>
    <x v="55"/>
    <x v="5"/>
    <n v="4202560"/>
    <n v="0"/>
    <m/>
    <m/>
    <m/>
    <m/>
    <m/>
    <m/>
    <m/>
    <s v="Chi phí hợp lý"/>
    <n v="4202560"/>
  </r>
  <r>
    <d v="2024-05-31T00:00:00"/>
    <d v="2024-05-31T00:00:00"/>
    <s v="KC2024.05"/>
    <m/>
    <m/>
    <s v="Kết chuyển thu nhập khác phát sinh trong kỳ"/>
    <s v="911"/>
    <x v="70"/>
    <x v="8"/>
    <n v="0"/>
    <n v="1241741"/>
    <m/>
    <m/>
    <m/>
    <m/>
    <m/>
    <m/>
    <m/>
    <s v="Chi phí hợp lý"/>
    <n v="-1241741"/>
  </r>
  <r>
    <d v="2024-05-31T00:00:00"/>
    <d v="2024-05-31T00:00:00"/>
    <s v="KC2024.05"/>
    <m/>
    <m/>
    <s v="Kết chuyển chi phí khác phát sinh trong kỳ"/>
    <s v="911"/>
    <x v="61"/>
    <x v="6"/>
    <n v="2863992"/>
    <n v="0"/>
    <m/>
    <m/>
    <m/>
    <m/>
    <m/>
    <m/>
    <m/>
    <s v="Chi phí hợp lý"/>
    <n v="2863992"/>
  </r>
  <r>
    <d v="2024-05-31T00:00:00"/>
    <d v="2024-05-31T00:00:00"/>
    <s v="KC2024.05"/>
    <m/>
    <m/>
    <s v="Kết chuyển kết quả hoạt động kinh doanh trong kỳ"/>
    <s v="911"/>
    <x v="62"/>
    <x v="7"/>
    <n v="2914448493"/>
    <n v="0"/>
    <m/>
    <m/>
    <m/>
    <m/>
    <m/>
    <m/>
    <m/>
    <s v="Chi phí hợp lý"/>
    <n v="2914448493"/>
  </r>
  <r>
    <d v="2024-06-30T00:00:00"/>
    <d v="2024-06-30T00:00:00"/>
    <s v="KC2024.06"/>
    <m/>
    <m/>
    <s v="Kết chuyển doanh thu bán hàng và cung cấp dịch vụ"/>
    <s v="911"/>
    <x v="2"/>
    <x v="0"/>
    <n v="0"/>
    <n v="1908000"/>
    <m/>
    <m/>
    <m/>
    <m/>
    <m/>
    <m/>
    <m/>
    <s v="Chi phí hợp lý"/>
    <n v="-1908000"/>
  </r>
  <r>
    <d v="2024-06-30T00:00:00"/>
    <d v="2024-06-30T00:00:00"/>
    <s v="KC2024.06"/>
    <m/>
    <m/>
    <s v="Kết chuyển doanh thu bán hàng và cung cấp dịch vụ"/>
    <s v="911"/>
    <x v="3"/>
    <x v="0"/>
    <n v="0"/>
    <n v="7902000"/>
    <m/>
    <m/>
    <m/>
    <m/>
    <m/>
    <m/>
    <m/>
    <s v="Chi phí hợp lý"/>
    <n v="-7902000"/>
  </r>
  <r>
    <d v="2024-06-30T00:00:00"/>
    <d v="2024-06-30T00:00:00"/>
    <s v="KC2024.06"/>
    <m/>
    <m/>
    <s v="Kết chuyển doanh thu bán hàng và cung cấp dịch vụ"/>
    <s v="911"/>
    <x v="4"/>
    <x v="0"/>
    <n v="0"/>
    <n v="61020936"/>
    <m/>
    <m/>
    <m/>
    <m/>
    <m/>
    <m/>
    <m/>
    <s v="Chi phí hợp lý"/>
    <n v="-61020936"/>
  </r>
  <r>
    <d v="2024-06-30T00:00:00"/>
    <d v="2024-06-30T00:00:00"/>
    <s v="KC2024.06"/>
    <m/>
    <m/>
    <s v="Kết chuyển doanh thu bán hàng và cung cấp dịch vụ"/>
    <s v="911"/>
    <x v="5"/>
    <x v="0"/>
    <n v="0"/>
    <n v="74151434"/>
    <m/>
    <m/>
    <m/>
    <m/>
    <m/>
    <m/>
    <m/>
    <s v="Chi phí hợp lý"/>
    <n v="-74151434"/>
  </r>
  <r>
    <d v="2024-06-30T00:00:00"/>
    <d v="2024-06-30T00:00:00"/>
    <s v="KC2024.06"/>
    <m/>
    <m/>
    <s v="Kết chuyển doanh thu bán hàng và cung cấp dịch vụ"/>
    <s v="911"/>
    <x v="6"/>
    <x v="0"/>
    <n v="0"/>
    <n v="700000"/>
    <m/>
    <m/>
    <m/>
    <m/>
    <m/>
    <m/>
    <m/>
    <s v="Chi phí hợp lý"/>
    <n v="-700000"/>
  </r>
  <r>
    <d v="2024-06-30T00:00:00"/>
    <d v="2024-06-30T00:00:00"/>
    <s v="KC2024.06"/>
    <m/>
    <m/>
    <s v="Kết chuyển doanh thu bán hàng và cung cấp dịch vụ"/>
    <s v="911"/>
    <x v="7"/>
    <x v="0"/>
    <n v="0"/>
    <n v="10930204"/>
    <m/>
    <m/>
    <m/>
    <m/>
    <m/>
    <m/>
    <m/>
    <s v="Chi phí hợp lý"/>
    <n v="-10930204"/>
  </r>
  <r>
    <d v="2024-06-30T00:00:00"/>
    <d v="2024-06-30T00:00:00"/>
    <s v="KC2024.06"/>
    <m/>
    <m/>
    <s v="Kết chuyển doanh thu bán hàng và cung cấp dịch vụ"/>
    <s v="911"/>
    <x v="8"/>
    <x v="0"/>
    <n v="0"/>
    <n v="212935"/>
    <m/>
    <m/>
    <m/>
    <m/>
    <m/>
    <m/>
    <m/>
    <s v="Chi phí hợp lý"/>
    <n v="-212935"/>
  </r>
  <r>
    <d v="2024-06-30T00:00:00"/>
    <d v="2024-06-30T00:00:00"/>
    <s v="KC2024.06"/>
    <m/>
    <m/>
    <s v="Kết chuyển doanh thu bán hàng và cung cấp dịch vụ"/>
    <s v="911"/>
    <x v="9"/>
    <x v="0"/>
    <n v="0"/>
    <n v="307601"/>
    <m/>
    <m/>
    <m/>
    <m/>
    <m/>
    <m/>
    <m/>
    <s v="Chi phí hợp lý"/>
    <n v="-307601"/>
  </r>
  <r>
    <d v="2024-06-30T00:00:00"/>
    <d v="2024-06-30T00:00:00"/>
    <s v="KC2024.06"/>
    <m/>
    <m/>
    <s v="Kết chuyển doanh thu bán hàng và cung cấp dịch vụ"/>
    <s v="911"/>
    <x v="10"/>
    <x v="0"/>
    <n v="0"/>
    <n v="2878163"/>
    <m/>
    <m/>
    <m/>
    <m/>
    <m/>
    <m/>
    <m/>
    <s v="Chi phí hợp lý"/>
    <n v="-2878163"/>
  </r>
  <r>
    <d v="2024-06-30T00:00:00"/>
    <d v="2024-06-30T00:00:00"/>
    <s v="KC2024.06"/>
    <m/>
    <m/>
    <s v="Kết chuyển doanh thu bán hàng và cung cấp dịch vụ"/>
    <s v="911"/>
    <x v="11"/>
    <x v="0"/>
    <n v="0"/>
    <n v="324540541"/>
    <m/>
    <m/>
    <m/>
    <m/>
    <m/>
    <m/>
    <m/>
    <s v="Chi phí hợp lý"/>
    <n v="-324540541"/>
  </r>
  <r>
    <d v="2024-06-30T00:00:00"/>
    <d v="2024-06-30T00:00:00"/>
    <s v="KC2024.06"/>
    <m/>
    <m/>
    <s v="Kết chuyển doanh thu bán hàng và cung cấp dịch vụ"/>
    <s v="911"/>
    <x v="12"/>
    <x v="0"/>
    <n v="0"/>
    <n v="800000"/>
    <m/>
    <m/>
    <m/>
    <m/>
    <m/>
    <m/>
    <m/>
    <s v="Chi phí hợp lý"/>
    <n v="-800000"/>
  </r>
  <r>
    <d v="2024-06-30T00:00:00"/>
    <d v="2024-06-30T00:00:00"/>
    <s v="KC2024.06"/>
    <m/>
    <m/>
    <s v="Kết chuyển doanh thu hoạt động tài chính"/>
    <s v="911"/>
    <x v="13"/>
    <x v="1"/>
    <n v="0"/>
    <n v="20233412317"/>
    <m/>
    <m/>
    <m/>
    <m/>
    <m/>
    <m/>
    <m/>
    <s v="Chi phí hợp lý"/>
    <n v="-20233412317"/>
  </r>
  <r>
    <d v="2024-06-30T00:00:00"/>
    <d v="2024-06-30T00:00:00"/>
    <s v="KC2024.06"/>
    <m/>
    <m/>
    <s v="Kết chuyển doanh thu hoạt động tài chính"/>
    <s v="911"/>
    <x v="14"/>
    <x v="1"/>
    <n v="0"/>
    <n v="3034852639"/>
    <m/>
    <m/>
    <m/>
    <m/>
    <m/>
    <m/>
    <m/>
    <s v="Chi phí hợp lý"/>
    <n v="-3034852639"/>
  </r>
  <r>
    <d v="2024-06-30T00:00:00"/>
    <d v="2024-06-30T00:00:00"/>
    <s v="KC2024.06"/>
    <m/>
    <m/>
    <s v="Kết chuyển doanh thu hoạt động tài chính"/>
    <s v="911"/>
    <x v="15"/>
    <x v="1"/>
    <n v="0"/>
    <n v="10000923094"/>
    <m/>
    <m/>
    <m/>
    <m/>
    <m/>
    <m/>
    <m/>
    <s v="Chi phí hợp lý"/>
    <n v="-10000923094"/>
  </r>
  <r>
    <d v="2024-06-30T00:00:00"/>
    <d v="2024-06-30T00:00:00"/>
    <s v="KC2024.06"/>
    <m/>
    <m/>
    <s v="Kết chuyển doanh thu hoạt động tài chính"/>
    <s v="911"/>
    <x v="16"/>
    <x v="1"/>
    <n v="0"/>
    <n v="1225498345"/>
    <m/>
    <m/>
    <m/>
    <m/>
    <m/>
    <m/>
    <m/>
    <s v="Chi phí hợp lý"/>
    <n v="-1225498345"/>
  </r>
  <r>
    <d v="2024-06-30T00:00:00"/>
    <d v="2024-06-30T00:00:00"/>
    <s v="KC2024.06"/>
    <m/>
    <m/>
    <s v="Kết chuyển doanh thu hoạt động tài chính"/>
    <s v="911"/>
    <x v="63"/>
    <x v="1"/>
    <n v="0"/>
    <n v="1155434349"/>
    <m/>
    <m/>
    <m/>
    <m/>
    <m/>
    <m/>
    <m/>
    <s v="Chi phí hợp lý"/>
    <n v="-1155434349"/>
  </r>
  <r>
    <d v="2024-06-30T00:00:00"/>
    <d v="2024-06-30T00:00:00"/>
    <s v="KC2024.06"/>
    <m/>
    <m/>
    <s v="Kết chuyển doanh thu hoạt động tài chính"/>
    <s v="911"/>
    <x v="79"/>
    <x v="1"/>
    <n v="0"/>
    <n v="2449607"/>
    <m/>
    <m/>
    <m/>
    <m/>
    <m/>
    <m/>
    <m/>
    <s v="Chi phí hợp lý"/>
    <n v="-2449607"/>
  </r>
  <r>
    <d v="2024-06-30T00:00:00"/>
    <d v="2024-06-30T00:00:00"/>
    <s v="KC2024.06"/>
    <m/>
    <m/>
    <s v="Kết chuyển doanh thu hoạt động tài chính"/>
    <s v="911"/>
    <x v="17"/>
    <x v="1"/>
    <n v="736548849"/>
    <n v="0"/>
    <m/>
    <m/>
    <m/>
    <m/>
    <m/>
    <m/>
    <m/>
    <s v="Chi phí hợp lý"/>
    <n v="736548849"/>
  </r>
  <r>
    <d v="2024-06-30T00:00:00"/>
    <d v="2024-06-30T00:00:00"/>
    <s v="KC2024.06"/>
    <m/>
    <m/>
    <s v="Kết chuyển giá vốn hàng bán"/>
    <s v="911"/>
    <x v="18"/>
    <x v="2"/>
    <n v="1263732223"/>
    <n v="0"/>
    <m/>
    <m/>
    <m/>
    <m/>
    <m/>
    <m/>
    <m/>
    <s v="Chi phí hợp lý"/>
    <n v="1263732223"/>
  </r>
  <r>
    <d v="2024-06-30T00:00:00"/>
    <d v="2024-06-30T00:00:00"/>
    <s v="KC2024.06"/>
    <m/>
    <m/>
    <s v="Kết chuyển chi phí hoạt động tài chính"/>
    <s v="911"/>
    <x v="19"/>
    <x v="3"/>
    <n v="0"/>
    <n v="2231006398"/>
    <m/>
    <m/>
    <m/>
    <m/>
    <m/>
    <m/>
    <m/>
    <s v="Chi phí hợp lý"/>
    <n v="-2231006398"/>
  </r>
  <r>
    <d v="2024-06-30T00:00:00"/>
    <d v="2024-06-30T00:00:00"/>
    <s v="KC2024.06"/>
    <m/>
    <m/>
    <s v="Kết chuyển chi phí hoạt động tài chính"/>
    <s v="911"/>
    <x v="20"/>
    <x v="3"/>
    <n v="385316483"/>
    <n v="0"/>
    <m/>
    <m/>
    <m/>
    <m/>
    <m/>
    <m/>
    <m/>
    <s v="Chi phí hợp lý"/>
    <n v="385316483"/>
  </r>
  <r>
    <d v="2024-06-30T00:00:00"/>
    <d v="2024-06-30T00:00:00"/>
    <s v="KC2024.06"/>
    <m/>
    <m/>
    <s v="Kết chuyển chi phí hoạt động tài chính"/>
    <s v="911"/>
    <x v="21"/>
    <x v="3"/>
    <n v="388373370"/>
    <n v="0"/>
    <m/>
    <m/>
    <m/>
    <m/>
    <m/>
    <m/>
    <m/>
    <s v="Chi phí hợp lý"/>
    <n v="388373370"/>
  </r>
  <r>
    <d v="2024-06-30T00:00:00"/>
    <d v="2024-06-30T00:00:00"/>
    <s v="KC2024.06"/>
    <m/>
    <m/>
    <s v="Kết chuyển chi phí hoạt động tài chính"/>
    <s v="911"/>
    <x v="64"/>
    <x v="3"/>
    <n v="1350685"/>
    <n v="0"/>
    <m/>
    <m/>
    <m/>
    <m/>
    <m/>
    <m/>
    <m/>
    <s v="Chi phí hợp lý"/>
    <n v="1350685"/>
  </r>
  <r>
    <d v="2024-06-30T00:00:00"/>
    <d v="2024-06-30T00:00:00"/>
    <s v="KC2024.06"/>
    <m/>
    <m/>
    <s v="Kết chuyển chi phí hoạt động tài chính"/>
    <s v="911"/>
    <x v="22"/>
    <x v="3"/>
    <n v="795456335"/>
    <n v="0"/>
    <m/>
    <m/>
    <m/>
    <m/>
    <m/>
    <m/>
    <m/>
    <s v="Chi phí hợp lý"/>
    <n v="795456335"/>
  </r>
  <r>
    <d v="2024-06-30T00:00:00"/>
    <d v="2024-06-30T00:00:00"/>
    <s v="KC2024.06"/>
    <m/>
    <m/>
    <s v="Kết chuyển chi phí hoạt động tài chính"/>
    <s v="911"/>
    <x v="23"/>
    <x v="3"/>
    <n v="52109885"/>
    <n v="0"/>
    <m/>
    <m/>
    <m/>
    <m/>
    <m/>
    <m/>
    <m/>
    <s v="Chi phí hợp lý"/>
    <n v="52109885"/>
  </r>
  <r>
    <d v="2024-06-30T00:00:00"/>
    <d v="2024-06-30T00:00:00"/>
    <s v="KC2024.06"/>
    <m/>
    <m/>
    <s v="Kết chuyển chi phí hoạt động tài chính"/>
    <s v="911"/>
    <x v="24"/>
    <x v="3"/>
    <n v="9552050608"/>
    <n v="0"/>
    <m/>
    <m/>
    <m/>
    <m/>
    <m/>
    <m/>
    <m/>
    <s v="Chi phí hợp lý"/>
    <n v="9552050608"/>
  </r>
  <r>
    <d v="2024-06-30T00:00:00"/>
    <d v="2024-06-30T00:00:00"/>
    <s v="KC2024.06"/>
    <m/>
    <m/>
    <s v="Kết chuyển chi phí bán hàng"/>
    <s v="911"/>
    <x v="25"/>
    <x v="4"/>
    <n v="3428860"/>
    <n v="0"/>
    <m/>
    <m/>
    <m/>
    <m/>
    <m/>
    <m/>
    <m/>
    <s v="Chi phí hợp lý"/>
    <n v="3428860"/>
  </r>
  <r>
    <d v="2024-06-30T00:00:00"/>
    <d v="2024-06-30T00:00:00"/>
    <s v="KC2024.06"/>
    <m/>
    <m/>
    <s v="Kết chuyển chi phí bán hàng"/>
    <s v="911"/>
    <x v="26"/>
    <x v="4"/>
    <n v="5814475"/>
    <n v="0"/>
    <m/>
    <m/>
    <m/>
    <m/>
    <m/>
    <m/>
    <m/>
    <s v="Chi phí hợp lý"/>
    <n v="5814475"/>
  </r>
  <r>
    <d v="2024-06-30T00:00:00"/>
    <d v="2024-06-30T00:00:00"/>
    <s v="KC2024.06"/>
    <m/>
    <m/>
    <s v="Kết chuyển chi phí bán hàng"/>
    <s v="911"/>
    <x v="27"/>
    <x v="4"/>
    <n v="3870417"/>
    <n v="0"/>
    <m/>
    <m/>
    <m/>
    <m/>
    <m/>
    <m/>
    <m/>
    <s v="Chi phí hợp lý"/>
    <n v="3870417"/>
  </r>
  <r>
    <d v="2024-06-30T00:00:00"/>
    <d v="2024-06-30T00:00:00"/>
    <s v="KC2024.06"/>
    <m/>
    <m/>
    <s v="Kết chuyển chi phí bán hàng"/>
    <s v="911"/>
    <x v="28"/>
    <x v="4"/>
    <n v="304954868"/>
    <n v="0"/>
    <m/>
    <m/>
    <m/>
    <m/>
    <m/>
    <m/>
    <m/>
    <s v="Chi phí hợp lý"/>
    <n v="304954868"/>
  </r>
  <r>
    <d v="2024-06-30T00:00:00"/>
    <d v="2024-06-30T00:00:00"/>
    <s v="KC2024.06"/>
    <m/>
    <m/>
    <s v="Kết chuyển chi phí bán hàng"/>
    <s v="911"/>
    <x v="29"/>
    <x v="4"/>
    <n v="8030741"/>
    <n v="0"/>
    <m/>
    <m/>
    <m/>
    <m/>
    <m/>
    <m/>
    <m/>
    <s v="Chi phí hợp lý"/>
    <n v="8030741"/>
  </r>
  <r>
    <d v="2024-06-30T00:00:00"/>
    <d v="2024-06-30T00:00:00"/>
    <s v="KC2024.06"/>
    <m/>
    <m/>
    <s v="Kết chuyển chi phí bán hàng"/>
    <s v="911"/>
    <x v="30"/>
    <x v="4"/>
    <n v="1200000"/>
    <n v="0"/>
    <m/>
    <m/>
    <m/>
    <m/>
    <m/>
    <m/>
    <m/>
    <s v="Chi phí hợp lý"/>
    <n v="1200000"/>
  </r>
  <r>
    <d v="2024-06-30T00:00:00"/>
    <d v="2024-06-30T00:00:00"/>
    <s v="KC2024.06"/>
    <m/>
    <m/>
    <s v="Kết chuyển chi phí bán hàng"/>
    <s v="911"/>
    <x v="31"/>
    <x v="4"/>
    <n v="1924853"/>
    <n v="0"/>
    <m/>
    <m/>
    <m/>
    <m/>
    <m/>
    <m/>
    <m/>
    <s v="Chi phí hợp lý"/>
    <n v="1924853"/>
  </r>
  <r>
    <d v="2024-06-30T00:00:00"/>
    <d v="2024-06-30T00:00:00"/>
    <s v="KC2024.06"/>
    <m/>
    <m/>
    <s v="Kết chuyển chi phí bán hàng"/>
    <s v="911"/>
    <x v="76"/>
    <x v="4"/>
    <n v="146025"/>
    <n v="0"/>
    <m/>
    <m/>
    <m/>
    <m/>
    <m/>
    <m/>
    <m/>
    <s v="Chi phí hợp lý"/>
    <n v="146025"/>
  </r>
  <r>
    <d v="2024-06-30T00:00:00"/>
    <d v="2024-06-30T00:00:00"/>
    <s v="KC2024.06"/>
    <m/>
    <m/>
    <s v="Kết chuyển chi phí bán hàng"/>
    <s v="911"/>
    <x v="32"/>
    <x v="4"/>
    <n v="18764183"/>
    <n v="0"/>
    <m/>
    <m/>
    <m/>
    <m/>
    <m/>
    <m/>
    <m/>
    <s v="Chi phí hợp lý"/>
    <n v="18764183"/>
  </r>
  <r>
    <d v="2024-06-30T00:00:00"/>
    <d v="2024-06-30T00:00:00"/>
    <s v="KC2024.06"/>
    <m/>
    <m/>
    <s v="Kết chuyển chi phí bán hàng"/>
    <s v="911"/>
    <x v="33"/>
    <x v="4"/>
    <n v="53207143"/>
    <n v="0"/>
    <m/>
    <m/>
    <m/>
    <m/>
    <m/>
    <m/>
    <m/>
    <s v="Chi phí hợp lý"/>
    <n v="53207143"/>
  </r>
  <r>
    <d v="2024-06-30T00:00:00"/>
    <d v="2024-06-30T00:00:00"/>
    <s v="KC2024.06"/>
    <m/>
    <m/>
    <s v="Kết chuyển chi phí bán hàng"/>
    <s v="911"/>
    <x v="34"/>
    <x v="4"/>
    <n v="92528327"/>
    <n v="0"/>
    <m/>
    <m/>
    <m/>
    <m/>
    <m/>
    <m/>
    <m/>
    <s v="Chi phí hợp lý"/>
    <n v="92528327"/>
  </r>
  <r>
    <d v="2024-06-30T00:00:00"/>
    <d v="2024-06-30T00:00:00"/>
    <s v="KC2024.06"/>
    <m/>
    <m/>
    <s v="Kết chuyển chi phí quản lý doanh nghiệp"/>
    <s v="911"/>
    <x v="60"/>
    <x v="5"/>
    <n v="0"/>
    <n v="1578500"/>
    <m/>
    <m/>
    <m/>
    <m/>
    <m/>
    <m/>
    <m/>
    <s v="Chi phí hợp lý"/>
    <n v="-1578500"/>
  </r>
  <r>
    <d v="2024-06-30T00:00:00"/>
    <d v="2024-06-30T00:00:00"/>
    <s v="KC2024.06"/>
    <m/>
    <m/>
    <s v="Kết chuyển chi phí quản lý doanh nghiệp"/>
    <s v="911"/>
    <x v="36"/>
    <x v="5"/>
    <n v="255533540"/>
    <n v="0"/>
    <m/>
    <m/>
    <m/>
    <m/>
    <m/>
    <m/>
    <m/>
    <s v="Chi phí hợp lý"/>
    <n v="255533540"/>
  </r>
  <r>
    <d v="2024-06-30T00:00:00"/>
    <d v="2024-06-30T00:00:00"/>
    <s v="KC2024.06"/>
    <m/>
    <m/>
    <s v="Kết chuyển chi phí quản lý doanh nghiệp"/>
    <s v="911"/>
    <x v="37"/>
    <x v="5"/>
    <n v="13856000"/>
    <n v="0"/>
    <m/>
    <m/>
    <m/>
    <m/>
    <m/>
    <m/>
    <m/>
    <s v="Chi phí hợp lý"/>
    <n v="13856000"/>
  </r>
  <r>
    <d v="2024-06-30T00:00:00"/>
    <d v="2024-06-30T00:00:00"/>
    <s v="KC2024.06"/>
    <m/>
    <m/>
    <s v="Kết chuyển chi phí quản lý doanh nghiệp"/>
    <s v="911"/>
    <x v="38"/>
    <x v="5"/>
    <n v="1470000"/>
    <n v="0"/>
    <m/>
    <m/>
    <m/>
    <m/>
    <m/>
    <m/>
    <m/>
    <s v="Chi phí hợp lý"/>
    <n v="1470000"/>
  </r>
  <r>
    <d v="2024-06-30T00:00:00"/>
    <d v="2024-06-30T00:00:00"/>
    <s v="KC2024.06"/>
    <m/>
    <m/>
    <s v="Kết chuyển chi phí quản lý doanh nghiệp"/>
    <s v="911"/>
    <x v="39"/>
    <x v="5"/>
    <n v="40320886"/>
    <n v="0"/>
    <m/>
    <m/>
    <m/>
    <m/>
    <m/>
    <m/>
    <m/>
    <s v="Chi phí hợp lý"/>
    <n v="40320886"/>
  </r>
  <r>
    <d v="2024-06-30T00:00:00"/>
    <d v="2024-06-30T00:00:00"/>
    <s v="KC2024.06"/>
    <m/>
    <m/>
    <s v="Kết chuyển chi phí quản lý doanh nghiệp"/>
    <s v="911"/>
    <x v="40"/>
    <x v="5"/>
    <n v="40902835"/>
    <n v="0"/>
    <m/>
    <m/>
    <m/>
    <m/>
    <m/>
    <m/>
    <m/>
    <s v="Chi phí hợp lý"/>
    <n v="40902835"/>
  </r>
  <r>
    <d v="2024-06-30T00:00:00"/>
    <d v="2024-06-30T00:00:00"/>
    <s v="KC2024.06"/>
    <m/>
    <m/>
    <s v="Kết chuyển chi phí quản lý doanh nghiệp"/>
    <s v="911"/>
    <x v="42"/>
    <x v="5"/>
    <n v="225918394"/>
    <n v="0"/>
    <m/>
    <m/>
    <m/>
    <m/>
    <m/>
    <m/>
    <m/>
    <s v="Chi phí hợp lý"/>
    <n v="225918394"/>
  </r>
  <r>
    <d v="2024-06-30T00:00:00"/>
    <d v="2024-06-30T00:00:00"/>
    <s v="KC2024.06"/>
    <m/>
    <m/>
    <s v="Kết chuyển chi phí quản lý doanh nghiệp"/>
    <s v="911"/>
    <x v="43"/>
    <x v="5"/>
    <n v="4199358"/>
    <n v="0"/>
    <m/>
    <m/>
    <m/>
    <m/>
    <m/>
    <m/>
    <m/>
    <s v="Chi phí hợp lý"/>
    <n v="4199358"/>
  </r>
  <r>
    <d v="2024-06-30T00:00:00"/>
    <d v="2024-06-30T00:00:00"/>
    <s v="KC2024.06"/>
    <m/>
    <m/>
    <s v="Kết chuyển chi phí quản lý doanh nghiệp"/>
    <s v="911"/>
    <x v="44"/>
    <x v="5"/>
    <n v="760751"/>
    <n v="0"/>
    <m/>
    <m/>
    <m/>
    <m/>
    <m/>
    <m/>
    <m/>
    <s v="Chi phí hợp lý"/>
    <n v="760751"/>
  </r>
  <r>
    <d v="2024-06-30T00:00:00"/>
    <d v="2024-06-30T00:00:00"/>
    <s v="KC2024.06"/>
    <m/>
    <m/>
    <s v="Kết chuyển chi phí quản lý doanh nghiệp"/>
    <s v="911"/>
    <x v="45"/>
    <x v="5"/>
    <n v="6684529"/>
    <n v="0"/>
    <m/>
    <m/>
    <m/>
    <m/>
    <m/>
    <m/>
    <m/>
    <s v="Chi phí hợp lý"/>
    <n v="6684529"/>
  </r>
  <r>
    <d v="2024-06-30T00:00:00"/>
    <d v="2024-06-30T00:00:00"/>
    <s v="KC2024.06"/>
    <m/>
    <m/>
    <s v="Kết chuyển chi phí quản lý doanh nghiệp"/>
    <s v="911"/>
    <x v="46"/>
    <x v="5"/>
    <n v="4226000"/>
    <n v="0"/>
    <m/>
    <m/>
    <m/>
    <m/>
    <m/>
    <m/>
    <m/>
    <s v="Chi phí hợp lý"/>
    <n v="4226000"/>
  </r>
  <r>
    <d v="2024-06-30T00:00:00"/>
    <d v="2024-06-30T00:00:00"/>
    <s v="KC2024.06"/>
    <m/>
    <m/>
    <s v="Kết chuyển chi phí quản lý doanh nghiệp"/>
    <s v="911"/>
    <x v="69"/>
    <x v="5"/>
    <n v="7239104"/>
    <n v="0"/>
    <m/>
    <m/>
    <m/>
    <m/>
    <m/>
    <m/>
    <m/>
    <s v="Chi phí hợp lý"/>
    <n v="7239104"/>
  </r>
  <r>
    <d v="2024-06-30T00:00:00"/>
    <d v="2024-06-30T00:00:00"/>
    <s v="KC2024.06"/>
    <m/>
    <m/>
    <s v="Kết chuyển chi phí quản lý doanh nghiệp"/>
    <s v="911"/>
    <x v="47"/>
    <x v="5"/>
    <n v="3164074"/>
    <n v="0"/>
    <m/>
    <m/>
    <m/>
    <m/>
    <m/>
    <m/>
    <m/>
    <s v="Chi phí hợp lý"/>
    <n v="3164074"/>
  </r>
  <r>
    <d v="2024-06-30T00:00:00"/>
    <d v="2024-06-30T00:00:00"/>
    <s v="KC2024.06"/>
    <m/>
    <m/>
    <s v="Kết chuyển chi phí quản lý doanh nghiệp"/>
    <s v="911"/>
    <x v="49"/>
    <x v="5"/>
    <n v="12000000"/>
    <n v="0"/>
    <m/>
    <m/>
    <m/>
    <m/>
    <m/>
    <m/>
    <m/>
    <s v="Chi phí hợp lý"/>
    <n v="12000000"/>
  </r>
  <r>
    <d v="2024-06-30T00:00:00"/>
    <d v="2024-06-30T00:00:00"/>
    <s v="KC2024.06"/>
    <m/>
    <m/>
    <s v="Kết chuyển chi phí quản lý doanh nghiệp"/>
    <s v="911"/>
    <x v="50"/>
    <x v="5"/>
    <n v="69893939"/>
    <n v="0"/>
    <m/>
    <m/>
    <m/>
    <m/>
    <m/>
    <m/>
    <m/>
    <s v="Chi phí hợp lý"/>
    <n v="69893939"/>
  </r>
  <r>
    <d v="2024-06-30T00:00:00"/>
    <d v="2024-06-30T00:00:00"/>
    <s v="KC2024.06"/>
    <m/>
    <m/>
    <s v="Kết chuyển chi phí quản lý doanh nghiệp"/>
    <s v="911"/>
    <x v="66"/>
    <x v="5"/>
    <n v="16562304"/>
    <n v="0"/>
    <m/>
    <m/>
    <m/>
    <m/>
    <m/>
    <m/>
    <m/>
    <s v="Chi phí hợp lý"/>
    <n v="16562304"/>
  </r>
  <r>
    <d v="2024-06-30T00:00:00"/>
    <d v="2024-06-30T00:00:00"/>
    <s v="KC2024.06"/>
    <m/>
    <m/>
    <s v="Kết chuyển chi phí quản lý doanh nghiệp"/>
    <s v="911"/>
    <x v="51"/>
    <x v="5"/>
    <n v="2181818"/>
    <n v="0"/>
    <m/>
    <m/>
    <m/>
    <m/>
    <m/>
    <m/>
    <m/>
    <s v="Chi phí hợp lý"/>
    <n v="2181818"/>
  </r>
  <r>
    <d v="2024-06-30T00:00:00"/>
    <d v="2024-06-30T00:00:00"/>
    <s v="KC2024.06"/>
    <m/>
    <m/>
    <s v="Kết chuyển chi phí quản lý doanh nghiệp"/>
    <s v="911"/>
    <x v="52"/>
    <x v="5"/>
    <n v="1950000"/>
    <n v="0"/>
    <m/>
    <m/>
    <m/>
    <m/>
    <m/>
    <m/>
    <m/>
    <s v="Chi phí hợp lý"/>
    <n v="1950000"/>
  </r>
  <r>
    <d v="2024-06-30T00:00:00"/>
    <d v="2024-06-30T00:00:00"/>
    <s v="KC2024.06"/>
    <m/>
    <m/>
    <s v="Kết chuyển chi phí quản lý doanh nghiệp"/>
    <s v="911"/>
    <x v="53"/>
    <x v="5"/>
    <n v="195585886"/>
    <n v="0"/>
    <m/>
    <m/>
    <m/>
    <m/>
    <m/>
    <m/>
    <m/>
    <s v="Chi phí hợp lý"/>
    <n v="195585886"/>
  </r>
  <r>
    <d v="2024-06-30T00:00:00"/>
    <d v="2024-06-30T00:00:00"/>
    <s v="KC2024.06"/>
    <m/>
    <m/>
    <s v="Kết chuyển chi phí quản lý doanh nghiệp"/>
    <s v="911"/>
    <x v="54"/>
    <x v="5"/>
    <n v="17452500"/>
    <n v="0"/>
    <m/>
    <m/>
    <m/>
    <m/>
    <m/>
    <m/>
    <m/>
    <s v="Chi phí hợp lý"/>
    <n v="17452500"/>
  </r>
  <r>
    <d v="2024-06-30T00:00:00"/>
    <d v="2024-06-30T00:00:00"/>
    <s v="KC2024.06"/>
    <m/>
    <m/>
    <s v="Kết chuyển chi phí quản lý doanh nghiệp"/>
    <s v="911"/>
    <x v="55"/>
    <x v="5"/>
    <n v="4202560"/>
    <n v="0"/>
    <m/>
    <m/>
    <m/>
    <m/>
    <m/>
    <m/>
    <m/>
    <s v="Chi phí hợp lý"/>
    <n v="4202560"/>
  </r>
  <r>
    <d v="2024-06-30T00:00:00"/>
    <d v="2024-06-30T00:00:00"/>
    <s v="KC2024.06"/>
    <m/>
    <m/>
    <s v="Kết chuyển chi phí quản lý doanh nghiệp"/>
    <s v="911"/>
    <x v="56"/>
    <x v="5"/>
    <n v="5444052"/>
    <n v="0"/>
    <m/>
    <m/>
    <m/>
    <m/>
    <m/>
    <m/>
    <m/>
    <s v="Chi phí hợp lý"/>
    <n v="5444052"/>
  </r>
  <r>
    <d v="2024-06-30T00:00:00"/>
    <d v="2024-06-30T00:00:00"/>
    <s v="KC2024.06"/>
    <m/>
    <m/>
    <s v="Kết chuyển chi phí quản lý doanh nghiệp"/>
    <s v="911"/>
    <x v="57"/>
    <x v="5"/>
    <n v="628922"/>
    <n v="0"/>
    <m/>
    <m/>
    <m/>
    <m/>
    <m/>
    <m/>
    <m/>
    <s v="Chi phí hợp lý"/>
    <n v="628922"/>
  </r>
  <r>
    <d v="2024-06-30T00:00:00"/>
    <d v="2024-06-30T00:00:00"/>
    <s v="KC2024.06"/>
    <m/>
    <m/>
    <s v="Kết chuyển chi phí quản lý doanh nghiệp"/>
    <s v="911"/>
    <x v="59"/>
    <x v="5"/>
    <n v="18594267"/>
    <n v="0"/>
    <m/>
    <m/>
    <m/>
    <m/>
    <m/>
    <m/>
    <m/>
    <s v="Chi phí hợp lý"/>
    <n v="18594267"/>
  </r>
  <r>
    <d v="2024-06-30T00:00:00"/>
    <d v="2024-06-30T00:00:00"/>
    <s v="KC2024.06"/>
    <m/>
    <m/>
    <s v="Kết chuyển chi phí khác phát sinh trong kỳ"/>
    <s v="911"/>
    <x v="61"/>
    <x v="6"/>
    <n v="234151"/>
    <n v="0"/>
    <m/>
    <m/>
    <m/>
    <m/>
    <m/>
    <m/>
    <m/>
    <s v="Chi phí hợp lý"/>
    <n v="234151"/>
  </r>
  <r>
    <d v="2024-06-30T00:00:00"/>
    <d v="2024-06-30T00:00:00"/>
    <s v="KC2024.06"/>
    <m/>
    <m/>
    <s v="Kết chuyển kết quả hoạt động kinh doanh trong kỳ"/>
    <s v="911"/>
    <x v="62"/>
    <x v="7"/>
    <n v="23752692863"/>
    <n v="0"/>
    <m/>
    <m/>
    <m/>
    <m/>
    <m/>
    <m/>
    <m/>
    <s v="Chi phí hợp lý"/>
    <n v="2375269286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
  <r>
    <d v="2023-01-31T00:00:00"/>
    <d v="2023-01-31T00:00:00"/>
    <s v="KC202301"/>
    <m/>
    <m/>
    <m/>
    <s v="Kết chuyển doanh thu bán hàng và cung cấp dịch vụ"/>
    <s v="911"/>
    <x v="0"/>
    <m/>
    <n v="0"/>
    <n v="22630952"/>
  </r>
  <r>
    <d v="2023-01-31T00:00:00"/>
    <d v="2023-01-31T00:00:00"/>
    <s v="KC202301"/>
    <m/>
    <m/>
    <m/>
    <s v="Kết chuyển doanh thu bán hàng và cung cấp dịch vụ"/>
    <s v="911"/>
    <x v="1"/>
    <m/>
    <n v="0"/>
    <n v="11223000"/>
  </r>
  <r>
    <d v="2023-01-31T00:00:00"/>
    <d v="2023-01-31T00:00:00"/>
    <s v="KC202301"/>
    <m/>
    <m/>
    <m/>
    <s v="Kết chuyển doanh thu bán hàng và cung cấp dịch vụ"/>
    <s v="911"/>
    <x v="2"/>
    <m/>
    <n v="0"/>
    <n v="34146000"/>
  </r>
  <r>
    <d v="2023-01-31T00:00:00"/>
    <d v="2023-01-31T00:00:00"/>
    <s v="KC202301"/>
    <m/>
    <m/>
    <m/>
    <s v="Kết chuyển doanh thu bán hàng và cung cấp dịch vụ"/>
    <s v="911"/>
    <x v="3"/>
    <m/>
    <n v="0"/>
    <n v="200534940"/>
  </r>
  <r>
    <d v="2023-01-31T00:00:00"/>
    <d v="2023-01-31T00:00:00"/>
    <s v="KC202301"/>
    <m/>
    <m/>
    <m/>
    <s v="Kết chuyển doanh thu bán hàng và cung cấp dịch vụ"/>
    <s v="911"/>
    <x v="4"/>
    <m/>
    <n v="0"/>
    <n v="323782406"/>
  </r>
  <r>
    <d v="2023-01-31T00:00:00"/>
    <d v="2023-01-31T00:00:00"/>
    <s v="KC202301"/>
    <m/>
    <m/>
    <m/>
    <s v="Kết chuyển doanh thu bán hàng và cung cấp dịch vụ"/>
    <s v="911"/>
    <x v="5"/>
    <m/>
    <n v="0"/>
    <n v="2576000"/>
  </r>
  <r>
    <d v="2023-01-31T00:00:00"/>
    <d v="2023-01-31T00:00:00"/>
    <s v="KC202301"/>
    <m/>
    <m/>
    <m/>
    <s v="Kết chuyển doanh thu bán hàng và cung cấp dịch vụ"/>
    <s v="911"/>
    <x v="6"/>
    <m/>
    <n v="0"/>
    <n v="35104294"/>
  </r>
  <r>
    <d v="2023-01-31T00:00:00"/>
    <d v="2023-01-31T00:00:00"/>
    <s v="KC202301"/>
    <m/>
    <m/>
    <m/>
    <s v="Kết chuyển doanh thu bán hàng và cung cấp dịch vụ"/>
    <s v="911"/>
    <x v="7"/>
    <m/>
    <n v="0"/>
    <n v="288947"/>
  </r>
  <r>
    <d v="2023-01-31T00:00:00"/>
    <d v="2023-01-31T00:00:00"/>
    <s v="KC202301"/>
    <m/>
    <m/>
    <m/>
    <s v="Kết chuyển doanh thu bán hàng và cung cấp dịch vụ"/>
    <s v="911"/>
    <x v="8"/>
    <m/>
    <n v="0"/>
    <n v="1353240"/>
  </r>
  <r>
    <d v="2023-01-31T00:00:00"/>
    <d v="2023-01-31T00:00:00"/>
    <s v="KC202301"/>
    <m/>
    <m/>
    <m/>
    <s v="Kết chuyển doanh thu bán hàng và cung cấp dịch vụ"/>
    <s v="911"/>
    <x v="9"/>
    <m/>
    <n v="0"/>
    <n v="105856134"/>
  </r>
  <r>
    <d v="2023-01-31T00:00:00"/>
    <d v="2023-01-31T00:00:00"/>
    <s v="KC202301"/>
    <m/>
    <m/>
    <m/>
    <s v="Kết chuyển doanh thu hoạt động tài chính"/>
    <s v="911"/>
    <x v="10"/>
    <m/>
    <n v="0"/>
    <n v="9509812077"/>
  </r>
  <r>
    <d v="2023-01-31T00:00:00"/>
    <d v="2023-01-31T00:00:00"/>
    <s v="KC202301"/>
    <m/>
    <m/>
    <m/>
    <s v="Kết chuyển doanh thu hoạt động tài chính"/>
    <s v="911"/>
    <x v="11"/>
    <m/>
    <n v="0"/>
    <n v="1732681223"/>
  </r>
  <r>
    <d v="2023-01-31T00:00:00"/>
    <d v="2023-01-31T00:00:00"/>
    <s v="KC202301"/>
    <m/>
    <m/>
    <m/>
    <s v="Kết chuyển doanh thu hoạt động tài chính"/>
    <s v="911"/>
    <x v="12"/>
    <m/>
    <n v="0"/>
    <n v="289077220"/>
  </r>
  <r>
    <d v="2023-01-31T00:00:00"/>
    <d v="2023-01-31T00:00:00"/>
    <s v="KC202301"/>
    <m/>
    <m/>
    <m/>
    <s v="Kết chuyển doanh thu hoạt động tài chính"/>
    <s v="911"/>
    <x v="13"/>
    <m/>
    <n v="0"/>
    <n v="990993140"/>
  </r>
  <r>
    <d v="2023-01-31T00:00:00"/>
    <d v="2023-01-31T00:00:00"/>
    <s v="KC202301"/>
    <m/>
    <m/>
    <m/>
    <s v="Kết chuyển doanh thu hoạt động tài chính"/>
    <s v="911"/>
    <x v="14"/>
    <m/>
    <n v="0"/>
    <n v="2968767162"/>
  </r>
  <r>
    <d v="2023-01-31T00:00:00"/>
    <d v="2023-01-31T00:00:00"/>
    <s v="KC202301"/>
    <m/>
    <m/>
    <m/>
    <s v="Kết chuyển doanh thu hoạt động tài chính"/>
    <s v="911"/>
    <x v="15"/>
    <m/>
    <n v="0"/>
    <n v="714115"/>
  </r>
  <r>
    <d v="2023-01-31T00:00:00"/>
    <d v="2023-01-31T00:00:00"/>
    <s v="KC202301"/>
    <m/>
    <m/>
    <m/>
    <s v="Kết chuyển giá vốn hàng bán"/>
    <s v="911"/>
    <x v="16"/>
    <m/>
    <n v="1839980401"/>
    <n v="0"/>
  </r>
  <r>
    <d v="2023-01-31T00:00:00"/>
    <d v="2023-01-31T00:00:00"/>
    <s v="KC202301"/>
    <m/>
    <m/>
    <m/>
    <s v="Kết chuyển chi phí hoạt động tài chính"/>
    <s v="911"/>
    <x v="17"/>
    <m/>
    <n v="7517726915"/>
    <n v="0"/>
  </r>
  <r>
    <d v="2023-01-31T00:00:00"/>
    <d v="2023-01-31T00:00:00"/>
    <s v="KC202301"/>
    <m/>
    <m/>
    <m/>
    <s v="Kết chuyển chi phí hoạt động tài chính"/>
    <s v="911"/>
    <x v="18"/>
    <m/>
    <n v="1944360786"/>
    <n v="0"/>
  </r>
  <r>
    <d v="2023-01-31T00:00:00"/>
    <d v="2023-01-31T00:00:00"/>
    <s v="KC202301"/>
    <m/>
    <m/>
    <m/>
    <s v="Kết chuyển chi phí hoạt động tài chính"/>
    <s v="911"/>
    <x v="19"/>
    <m/>
    <n v="2208904842"/>
    <n v="0"/>
  </r>
  <r>
    <d v="2023-01-31T00:00:00"/>
    <d v="2023-01-31T00:00:00"/>
    <s v="KC202301"/>
    <m/>
    <m/>
    <m/>
    <s v="Kết chuyển chi phí hoạt động tài chính"/>
    <s v="911"/>
    <x v="20"/>
    <m/>
    <n v="4403922271"/>
    <n v="0"/>
  </r>
  <r>
    <d v="2023-01-31T00:00:00"/>
    <d v="2023-01-31T00:00:00"/>
    <s v="KC202301"/>
    <m/>
    <m/>
    <m/>
    <s v="Kết chuyển chi phí bán hàng"/>
    <s v="911"/>
    <x v="21"/>
    <m/>
    <n v="615319891"/>
    <n v="0"/>
  </r>
  <r>
    <d v="2023-01-31T00:00:00"/>
    <d v="2023-01-31T00:00:00"/>
    <s v="KC202301"/>
    <m/>
    <m/>
    <m/>
    <s v="Kết chuyển chi phí bán hàng"/>
    <s v="911"/>
    <x v="22"/>
    <m/>
    <n v="55272000"/>
    <n v="0"/>
  </r>
  <r>
    <d v="2023-01-31T00:00:00"/>
    <d v="2023-01-31T00:00:00"/>
    <s v="KC202301"/>
    <m/>
    <m/>
    <m/>
    <s v="Kết chuyển chi phí bán hàng"/>
    <s v="911"/>
    <x v="23"/>
    <m/>
    <n v="10667372"/>
    <n v="0"/>
  </r>
  <r>
    <d v="2023-01-31T00:00:00"/>
    <d v="2023-01-31T00:00:00"/>
    <s v="KC202301"/>
    <m/>
    <m/>
    <m/>
    <s v="Kết chuyển chi phí bán hàng"/>
    <s v="911"/>
    <x v="24"/>
    <m/>
    <n v="3870417"/>
    <n v="0"/>
  </r>
  <r>
    <d v="2023-01-31T00:00:00"/>
    <d v="2023-01-31T00:00:00"/>
    <s v="KC202301"/>
    <m/>
    <m/>
    <m/>
    <s v="Kết chuyển chi phí bán hàng"/>
    <s v="911"/>
    <x v="25"/>
    <m/>
    <n v="97586332"/>
    <n v="0"/>
  </r>
  <r>
    <d v="2023-01-31T00:00:00"/>
    <d v="2023-01-31T00:00:00"/>
    <s v="KC202301"/>
    <m/>
    <m/>
    <m/>
    <s v="Kết chuyển chi phí bán hàng"/>
    <s v="911"/>
    <x v="26"/>
    <m/>
    <n v="290649959"/>
    <n v="0"/>
  </r>
  <r>
    <d v="2023-01-31T00:00:00"/>
    <d v="2023-01-31T00:00:00"/>
    <s v="KC202301"/>
    <m/>
    <m/>
    <m/>
    <s v="Kết chuyển chi phí bán hàng"/>
    <s v="911"/>
    <x v="27"/>
    <m/>
    <n v="13029723"/>
    <n v="0"/>
  </r>
  <r>
    <d v="2023-01-31T00:00:00"/>
    <d v="2023-01-31T00:00:00"/>
    <s v="KC202301"/>
    <m/>
    <m/>
    <m/>
    <s v="Kết chuyển chi phí bán hàng"/>
    <s v="911"/>
    <x v="28"/>
    <m/>
    <n v="5696511"/>
    <n v="0"/>
  </r>
  <r>
    <d v="2023-01-31T00:00:00"/>
    <d v="2023-01-31T00:00:00"/>
    <s v="KC202301"/>
    <m/>
    <m/>
    <m/>
    <s v="Kết chuyển chi phí bán hàng"/>
    <s v="911"/>
    <x v="29"/>
    <m/>
    <n v="96833"/>
    <n v="0"/>
  </r>
  <r>
    <d v="2023-01-31T00:00:00"/>
    <d v="2023-01-31T00:00:00"/>
    <s v="KC202301"/>
    <m/>
    <m/>
    <m/>
    <s v="Kết chuyển chi phí bán hàng"/>
    <s v="911"/>
    <x v="30"/>
    <m/>
    <n v="10222500"/>
    <n v="0"/>
  </r>
  <r>
    <d v="2023-01-31T00:00:00"/>
    <d v="2023-01-31T00:00:00"/>
    <s v="KC202301"/>
    <m/>
    <m/>
    <m/>
    <s v="Kết chuyển chi phí bán hàng"/>
    <s v="911"/>
    <x v="31"/>
    <m/>
    <n v="44683921"/>
    <n v="0"/>
  </r>
  <r>
    <d v="2023-01-31T00:00:00"/>
    <d v="2023-01-31T00:00:00"/>
    <s v="KC202301"/>
    <m/>
    <m/>
    <m/>
    <s v="Kết chuyển chi phí bán hàng"/>
    <s v="911"/>
    <x v="32"/>
    <m/>
    <n v="9306112"/>
    <n v="0"/>
  </r>
  <r>
    <d v="2023-01-31T00:00:00"/>
    <d v="2023-01-31T00:00:00"/>
    <s v="KC202301"/>
    <m/>
    <m/>
    <m/>
    <s v="Kết chuyển chi phí bán hàng"/>
    <s v="911"/>
    <x v="33"/>
    <m/>
    <n v="471976609"/>
    <n v="0"/>
  </r>
  <r>
    <d v="2023-01-31T00:00:00"/>
    <d v="2023-01-31T00:00:00"/>
    <s v="KC202301"/>
    <m/>
    <m/>
    <m/>
    <s v="Kết chuyển chi phí quản lý doanh nghiệp"/>
    <s v="911"/>
    <x v="34"/>
    <m/>
    <n v="967371379"/>
    <n v="0"/>
  </r>
  <r>
    <d v="2023-01-31T00:00:00"/>
    <d v="2023-01-31T00:00:00"/>
    <s v="KC202301"/>
    <m/>
    <m/>
    <m/>
    <s v="Kết chuyển chi phí quản lý doanh nghiệp"/>
    <s v="911"/>
    <x v="35"/>
    <m/>
    <n v="72638000"/>
    <n v="0"/>
  </r>
  <r>
    <d v="2023-01-31T00:00:00"/>
    <d v="2023-01-31T00:00:00"/>
    <s v="KC202301"/>
    <m/>
    <m/>
    <m/>
    <s v="Kết chuyển chi phí quản lý doanh nghiệp"/>
    <s v="911"/>
    <x v="36"/>
    <m/>
    <n v="349928248"/>
    <n v="0"/>
  </r>
  <r>
    <d v="2023-01-31T00:00:00"/>
    <d v="2023-01-31T00:00:00"/>
    <s v="KC202301"/>
    <m/>
    <m/>
    <m/>
    <s v="Kết chuyển chi phí quản lý doanh nghiệp"/>
    <s v="911"/>
    <x v="37"/>
    <m/>
    <n v="182101121"/>
    <n v="0"/>
  </r>
  <r>
    <d v="2023-01-31T00:00:00"/>
    <d v="2023-01-31T00:00:00"/>
    <s v="KC202301"/>
    <m/>
    <m/>
    <m/>
    <s v="Kết chuyển chi phí quản lý doanh nghiệp"/>
    <s v="911"/>
    <x v="38"/>
    <m/>
    <n v="32639206"/>
    <n v="0"/>
  </r>
  <r>
    <d v="2023-01-31T00:00:00"/>
    <d v="2023-01-31T00:00:00"/>
    <s v="KC202301"/>
    <m/>
    <m/>
    <m/>
    <s v="Kết chuyển chi phí quản lý doanh nghiệp"/>
    <s v="911"/>
    <x v="39"/>
    <m/>
    <n v="5000000"/>
    <n v="0"/>
  </r>
  <r>
    <d v="2023-01-31T00:00:00"/>
    <d v="2023-01-31T00:00:00"/>
    <s v="KC202301"/>
    <m/>
    <m/>
    <m/>
    <s v="Kết chuyển chi phí quản lý doanh nghiệp"/>
    <s v="911"/>
    <x v="40"/>
    <m/>
    <n v="151881411"/>
    <n v="0"/>
  </r>
  <r>
    <d v="2023-01-31T00:00:00"/>
    <d v="2023-01-31T00:00:00"/>
    <s v="KC202301"/>
    <m/>
    <m/>
    <m/>
    <s v="Kết chuyển chi phí quản lý doanh nghiệp"/>
    <s v="911"/>
    <x v="41"/>
    <m/>
    <n v="16187200"/>
    <n v="0"/>
  </r>
  <r>
    <d v="2023-01-31T00:00:00"/>
    <d v="2023-01-31T00:00:00"/>
    <s v="KC202301"/>
    <m/>
    <m/>
    <m/>
    <s v="Kết chuyển chi phí quản lý doanh nghiệp"/>
    <s v="911"/>
    <x v="42"/>
    <m/>
    <n v="1775201"/>
    <n v="0"/>
  </r>
  <r>
    <d v="2023-01-31T00:00:00"/>
    <d v="2023-01-31T00:00:00"/>
    <s v="KC202301"/>
    <m/>
    <m/>
    <m/>
    <s v="Kết chuyển chi phí quản lý doanh nghiệp"/>
    <s v="911"/>
    <x v="43"/>
    <m/>
    <n v="4826997"/>
    <n v="0"/>
  </r>
  <r>
    <d v="2023-01-31T00:00:00"/>
    <d v="2023-01-31T00:00:00"/>
    <s v="KC202301"/>
    <m/>
    <m/>
    <m/>
    <s v="Kết chuyển chi phí quản lý doanh nghiệp"/>
    <s v="911"/>
    <x v="44"/>
    <m/>
    <n v="68112557"/>
    <n v="0"/>
  </r>
  <r>
    <d v="2023-01-31T00:00:00"/>
    <d v="2023-01-31T00:00:00"/>
    <s v="KC202301"/>
    <m/>
    <m/>
    <m/>
    <s v="Kết chuyển chi phí quản lý doanh nghiệp"/>
    <s v="911"/>
    <x v="45"/>
    <m/>
    <n v="64683510"/>
    <n v="0"/>
  </r>
  <r>
    <d v="2023-01-31T00:00:00"/>
    <d v="2023-01-31T00:00:00"/>
    <s v="KC202301"/>
    <m/>
    <m/>
    <m/>
    <s v="Kết chuyển chi phí quản lý doanh nghiệp"/>
    <s v="911"/>
    <x v="46"/>
    <m/>
    <n v="31760957"/>
    <n v="0"/>
  </r>
  <r>
    <d v="2023-01-31T00:00:00"/>
    <d v="2023-01-31T00:00:00"/>
    <s v="KC202301"/>
    <m/>
    <m/>
    <m/>
    <s v="Kết chuyển chi phí quản lý doanh nghiệp"/>
    <s v="911"/>
    <x v="47"/>
    <m/>
    <n v="3000000"/>
    <n v="0"/>
  </r>
  <r>
    <d v="2023-01-31T00:00:00"/>
    <d v="2023-01-31T00:00:00"/>
    <s v="KC202301"/>
    <m/>
    <m/>
    <m/>
    <s v="Kết chuyển chi phí quản lý doanh nghiệp"/>
    <s v="911"/>
    <x v="48"/>
    <m/>
    <n v="12000000"/>
    <n v="0"/>
  </r>
  <r>
    <d v="2023-01-31T00:00:00"/>
    <d v="2023-01-31T00:00:00"/>
    <s v="KC202301"/>
    <m/>
    <m/>
    <m/>
    <s v="Kết chuyển chi phí quản lý doanh nghiệp"/>
    <s v="911"/>
    <x v="49"/>
    <m/>
    <n v="51075758"/>
    <n v="0"/>
  </r>
  <r>
    <d v="2023-01-31T00:00:00"/>
    <d v="2023-01-31T00:00:00"/>
    <s v="KC202301"/>
    <m/>
    <m/>
    <m/>
    <s v="Kết chuyển chi phí quản lý doanh nghiệp"/>
    <s v="911"/>
    <x v="50"/>
    <m/>
    <n v="3000000"/>
    <n v="0"/>
  </r>
  <r>
    <d v="2023-01-31T00:00:00"/>
    <d v="2023-01-31T00:00:00"/>
    <s v="KC202301"/>
    <m/>
    <m/>
    <m/>
    <s v="Kết chuyển chi phí quản lý doanh nghiệp"/>
    <s v="911"/>
    <x v="51"/>
    <m/>
    <n v="3127913"/>
    <n v="0"/>
  </r>
  <r>
    <d v="2023-01-31T00:00:00"/>
    <d v="2023-01-31T00:00:00"/>
    <s v="KC202301"/>
    <m/>
    <m/>
    <m/>
    <s v="Kết chuyển chi phí quản lý doanh nghiệp"/>
    <s v="911"/>
    <x v="52"/>
    <m/>
    <n v="12281818"/>
    <n v="0"/>
  </r>
  <r>
    <d v="2023-01-31T00:00:00"/>
    <d v="2023-01-31T00:00:00"/>
    <s v="KC202301"/>
    <m/>
    <m/>
    <m/>
    <s v="Kết chuyển chi phí quản lý doanh nghiệp"/>
    <s v="911"/>
    <x v="53"/>
    <m/>
    <n v="10344442"/>
    <n v="0"/>
  </r>
  <r>
    <d v="2023-01-31T00:00:00"/>
    <d v="2023-01-31T00:00:00"/>
    <s v="KC202301"/>
    <m/>
    <m/>
    <m/>
    <s v="Kết chuyển chi phí quản lý doanh nghiệp"/>
    <s v="911"/>
    <x v="54"/>
    <m/>
    <n v="16305726"/>
    <n v="0"/>
  </r>
  <r>
    <d v="2023-01-31T00:00:00"/>
    <d v="2023-01-31T00:00:00"/>
    <s v="KC202301"/>
    <m/>
    <m/>
    <m/>
    <s v="Kết chuyển chi phí quản lý doanh nghiệp"/>
    <s v="911"/>
    <x v="55"/>
    <m/>
    <n v="55761862"/>
    <n v="0"/>
  </r>
  <r>
    <d v="2023-01-31T00:00:00"/>
    <d v="2023-01-31T00:00:00"/>
    <s v="KC202301"/>
    <m/>
    <m/>
    <m/>
    <s v="Kết chuyển chi phí quản lý doanh nghiệp"/>
    <s v="911"/>
    <x v="56"/>
    <m/>
    <n v="126748352"/>
    <n v="0"/>
  </r>
  <r>
    <d v="2023-01-31T00:00:00"/>
    <d v="2023-01-31T00:00:00"/>
    <s v="KC202301"/>
    <m/>
    <m/>
    <m/>
    <s v="Kết chuyển chi phí quản lý doanh nghiệp"/>
    <s v="911"/>
    <x v="57"/>
    <m/>
    <n v="20888788"/>
    <n v="0"/>
  </r>
  <r>
    <d v="2023-01-31T00:00:00"/>
    <d v="2023-01-31T00:00:00"/>
    <s v="KC202301"/>
    <m/>
    <m/>
    <m/>
    <s v="Kết chuyển chi phí quản lý doanh nghiệp"/>
    <s v="911"/>
    <x v="58"/>
    <m/>
    <n v="11010828"/>
    <n v="0"/>
  </r>
  <r>
    <d v="2023-01-31T00:00:00"/>
    <d v="2023-01-31T00:00:00"/>
    <s v="KC202301"/>
    <m/>
    <m/>
    <m/>
    <s v="Kết chuyển chi phí quản lý doanh nghiệp"/>
    <s v="911"/>
    <x v="59"/>
    <m/>
    <n v="592899"/>
    <n v="0"/>
  </r>
  <r>
    <d v="2023-01-31T00:00:00"/>
    <d v="2023-01-31T00:00:00"/>
    <s v="KC202301"/>
    <m/>
    <m/>
    <m/>
    <s v="Kết chuyển chi phí quản lý doanh nghiệp"/>
    <s v="911"/>
    <x v="60"/>
    <m/>
    <n v="241018000"/>
    <n v="0"/>
  </r>
  <r>
    <d v="2023-01-31T00:00:00"/>
    <d v="2023-01-31T00:00:00"/>
    <s v="KC202301"/>
    <m/>
    <m/>
    <m/>
    <s v="Kết chuyển chi phí quản lý doanh nghiệp"/>
    <s v="911"/>
    <x v="61"/>
    <m/>
    <n v="73283426"/>
    <n v="0"/>
  </r>
  <r>
    <d v="2023-01-31T00:00:00"/>
    <d v="2023-01-31T00:00:00"/>
    <s v="KC202301"/>
    <m/>
    <m/>
    <m/>
    <s v="Kết chuyển chi phí quản lý doanh nghiệp"/>
    <s v="911"/>
    <x v="62"/>
    <m/>
    <n v="1978200"/>
    <n v="0"/>
  </r>
  <r>
    <d v="2023-01-31T00:00:00"/>
    <d v="2023-01-31T00:00:00"/>
    <s v="KC202301"/>
    <m/>
    <m/>
    <m/>
    <s v="Kết chuyển thu nhập khác phát sinh trong kỳ"/>
    <s v="911"/>
    <x v="63"/>
    <m/>
    <n v="0"/>
    <n v="2"/>
  </r>
  <r>
    <d v="2023-01-31T00:00:00"/>
    <d v="2023-01-31T00:00:00"/>
    <s v="KC202301"/>
    <m/>
    <m/>
    <m/>
    <s v="Kết chuyển chi phí khác phát sinh trong kỳ"/>
    <s v="911"/>
    <x v="64"/>
    <m/>
    <n v="8901227"/>
    <n v="0"/>
  </r>
  <r>
    <d v="2023-01-31T00:00:00"/>
    <d v="2023-01-31T00:00:00"/>
    <s v="KC202301"/>
    <m/>
    <m/>
    <m/>
    <s v="Kết chuyển kết quả hoạt động kinh doanh trong kỳ"/>
    <s v="911"/>
    <x v="65"/>
    <m/>
    <n v="0"/>
    <n v="5913957569"/>
  </r>
  <r>
    <d v="2023-02-28T00:00:00"/>
    <d v="2023-02-28T00:00:00"/>
    <s v="KC202302"/>
    <m/>
    <m/>
    <m/>
    <s v="Kết chuyển doanh thu bán hàng và cung cấp dịch vụ"/>
    <s v="911"/>
    <x v="0"/>
    <m/>
    <n v="0"/>
    <n v="19255201"/>
  </r>
  <r>
    <d v="2023-02-28T00:00:00"/>
    <d v="2023-02-28T00:00:00"/>
    <s v="KC202302"/>
    <m/>
    <m/>
    <m/>
    <s v="Kết chuyển doanh thu bán hàng và cung cấp dịch vụ"/>
    <s v="911"/>
    <x v="1"/>
    <m/>
    <n v="0"/>
    <n v="10872000"/>
  </r>
  <r>
    <d v="2023-02-28T00:00:00"/>
    <d v="2023-02-28T00:00:00"/>
    <s v="KC202302"/>
    <m/>
    <m/>
    <m/>
    <s v="Kết chuyển doanh thu bán hàng và cung cấp dịch vụ"/>
    <s v="911"/>
    <x v="2"/>
    <m/>
    <n v="0"/>
    <n v="34416000"/>
  </r>
  <r>
    <d v="2023-02-28T00:00:00"/>
    <d v="2023-02-28T00:00:00"/>
    <s v="KC202302"/>
    <m/>
    <m/>
    <m/>
    <s v="Kết chuyển doanh thu bán hàng và cung cấp dịch vụ"/>
    <s v="911"/>
    <x v="3"/>
    <m/>
    <n v="0"/>
    <n v="179826857"/>
  </r>
  <r>
    <d v="2023-02-28T00:00:00"/>
    <d v="2023-02-28T00:00:00"/>
    <s v="KC202302"/>
    <m/>
    <m/>
    <m/>
    <s v="Kết chuyển doanh thu bán hàng và cung cấp dịch vụ"/>
    <s v="911"/>
    <x v="4"/>
    <m/>
    <n v="0"/>
    <n v="377189379"/>
  </r>
  <r>
    <d v="2023-02-28T00:00:00"/>
    <d v="2023-02-28T00:00:00"/>
    <s v="KC202302"/>
    <m/>
    <m/>
    <m/>
    <s v="Kết chuyển doanh thu bán hàng và cung cấp dịch vụ"/>
    <s v="911"/>
    <x v="5"/>
    <m/>
    <n v="0"/>
    <n v="1730000"/>
  </r>
  <r>
    <d v="2023-02-28T00:00:00"/>
    <d v="2023-02-28T00:00:00"/>
    <s v="KC202302"/>
    <m/>
    <m/>
    <m/>
    <s v="Kết chuyển doanh thu bán hàng và cung cấp dịch vụ"/>
    <s v="911"/>
    <x v="6"/>
    <m/>
    <n v="0"/>
    <n v="27598154"/>
  </r>
  <r>
    <d v="2023-02-28T00:00:00"/>
    <d v="2023-02-28T00:00:00"/>
    <s v="KC202302"/>
    <m/>
    <m/>
    <m/>
    <s v="Kết chuyển doanh thu bán hàng và cung cấp dịch vụ"/>
    <s v="911"/>
    <x v="7"/>
    <m/>
    <n v="0"/>
    <n v="304847"/>
  </r>
  <r>
    <d v="2023-02-28T00:00:00"/>
    <d v="2023-02-28T00:00:00"/>
    <s v="KC202302"/>
    <m/>
    <m/>
    <m/>
    <s v="Kết chuyển doanh thu bán hàng và cung cấp dịch vụ"/>
    <s v="911"/>
    <x v="8"/>
    <m/>
    <n v="0"/>
    <n v="272727"/>
  </r>
  <r>
    <d v="2023-02-28T00:00:00"/>
    <d v="2023-02-28T00:00:00"/>
    <s v="KC202302"/>
    <m/>
    <m/>
    <m/>
    <s v="Kết chuyển doanh thu bán hàng và cung cấp dịch vụ"/>
    <s v="911"/>
    <x v="9"/>
    <m/>
    <n v="0"/>
    <n v="141622513"/>
  </r>
  <r>
    <d v="2023-02-28T00:00:00"/>
    <d v="2023-02-28T00:00:00"/>
    <s v="KC202302"/>
    <m/>
    <m/>
    <m/>
    <s v="Kết chuyển doanh thu hoạt động tài chính"/>
    <s v="911"/>
    <x v="10"/>
    <m/>
    <n v="0"/>
    <n v="8288256175"/>
  </r>
  <r>
    <d v="2023-02-28T00:00:00"/>
    <d v="2023-02-28T00:00:00"/>
    <s v="KC202302"/>
    <m/>
    <m/>
    <m/>
    <s v="Kết chuyển doanh thu hoạt động tài chính"/>
    <s v="911"/>
    <x v="11"/>
    <m/>
    <n v="0"/>
    <n v="2766267052"/>
  </r>
  <r>
    <d v="2023-02-28T00:00:00"/>
    <d v="2023-02-28T00:00:00"/>
    <s v="KC202302"/>
    <m/>
    <m/>
    <m/>
    <s v="Kết chuyển doanh thu hoạt động tài chính"/>
    <s v="911"/>
    <x v="12"/>
    <m/>
    <n v="0"/>
    <n v="403420269"/>
  </r>
  <r>
    <d v="2023-02-28T00:00:00"/>
    <d v="2023-02-28T00:00:00"/>
    <s v="KC202302"/>
    <m/>
    <m/>
    <m/>
    <s v="Kết chuyển doanh thu hoạt động tài chính"/>
    <s v="911"/>
    <x v="13"/>
    <m/>
    <n v="0"/>
    <n v="916000661"/>
  </r>
  <r>
    <d v="2023-02-28T00:00:00"/>
    <d v="2023-02-28T00:00:00"/>
    <s v="KC202302"/>
    <m/>
    <m/>
    <m/>
    <s v="Kết chuyển doanh thu hoạt động tài chính"/>
    <s v="911"/>
    <x v="14"/>
    <m/>
    <n v="0"/>
    <n v="4357253421"/>
  </r>
  <r>
    <d v="2023-02-28T00:00:00"/>
    <d v="2023-02-28T00:00:00"/>
    <s v="KC202302"/>
    <m/>
    <m/>
    <m/>
    <s v="Kết chuyển giá vốn hàng bán"/>
    <s v="911"/>
    <x v="16"/>
    <m/>
    <n v="1866114936"/>
    <n v="0"/>
  </r>
  <r>
    <d v="2023-02-28T00:00:00"/>
    <d v="2023-02-28T00:00:00"/>
    <s v="KC202302"/>
    <m/>
    <m/>
    <m/>
    <s v="Kết chuyển chi phí hoạt động tài chính"/>
    <s v="911"/>
    <x v="18"/>
    <m/>
    <n v="0"/>
    <n v="1448857320"/>
  </r>
  <r>
    <d v="2023-02-28T00:00:00"/>
    <d v="2023-02-28T00:00:00"/>
    <s v="KC202302"/>
    <m/>
    <m/>
    <m/>
    <s v="Kết chuyển chi phí hoạt động tài chính"/>
    <s v="911"/>
    <x v="19"/>
    <m/>
    <n v="2621880246"/>
    <n v="0"/>
  </r>
  <r>
    <d v="2023-02-28T00:00:00"/>
    <d v="2023-02-28T00:00:00"/>
    <s v="KC202302"/>
    <m/>
    <m/>
    <m/>
    <s v="Kết chuyển chi phí hoạt động tài chính"/>
    <s v="911"/>
    <x v="20"/>
    <m/>
    <n v="4864767953"/>
    <n v="0"/>
  </r>
  <r>
    <d v="2023-02-28T00:00:00"/>
    <d v="2023-02-28T00:00:00"/>
    <s v="KC202302"/>
    <m/>
    <m/>
    <m/>
    <s v="Kết chuyển chi phí hoạt động tài chính"/>
    <s v="911"/>
    <x v="66"/>
    <m/>
    <n v="1630564"/>
    <n v="0"/>
  </r>
  <r>
    <d v="2023-02-28T00:00:00"/>
    <d v="2023-02-28T00:00:00"/>
    <s v="KC202302"/>
    <m/>
    <m/>
    <m/>
    <s v="Kết chuyển chi phí hoạt động tài chính"/>
    <s v="911"/>
    <x v="17"/>
    <m/>
    <n v="10830029203"/>
    <n v="0"/>
  </r>
  <r>
    <d v="2023-02-28T00:00:00"/>
    <d v="2023-02-28T00:00:00"/>
    <s v="KC202302"/>
    <m/>
    <m/>
    <m/>
    <s v="Kết chuyển chi phí bán hàng"/>
    <s v="911"/>
    <x v="21"/>
    <m/>
    <n v="470338600"/>
    <n v="0"/>
  </r>
  <r>
    <d v="2023-02-28T00:00:00"/>
    <d v="2023-02-28T00:00:00"/>
    <s v="KC202302"/>
    <m/>
    <m/>
    <m/>
    <s v="Kết chuyển chi phí bán hàng"/>
    <s v="911"/>
    <x v="22"/>
    <m/>
    <n v="40890000"/>
    <n v="0"/>
  </r>
  <r>
    <d v="2023-02-28T00:00:00"/>
    <d v="2023-02-28T00:00:00"/>
    <s v="KC202302"/>
    <m/>
    <m/>
    <m/>
    <s v="Kết chuyển chi phí bán hàng"/>
    <s v="911"/>
    <x v="67"/>
    <m/>
    <n v="500000"/>
    <n v="0"/>
  </r>
  <r>
    <d v="2023-02-28T00:00:00"/>
    <d v="2023-02-28T00:00:00"/>
    <s v="KC202302"/>
    <m/>
    <m/>
    <m/>
    <s v="Kết chuyển chi phí bán hàng"/>
    <s v="911"/>
    <x v="23"/>
    <m/>
    <n v="10667362"/>
    <n v="0"/>
  </r>
  <r>
    <d v="2023-02-28T00:00:00"/>
    <d v="2023-02-28T00:00:00"/>
    <s v="KC202302"/>
    <m/>
    <m/>
    <m/>
    <s v="Kết chuyển chi phí bán hàng"/>
    <s v="911"/>
    <x v="24"/>
    <m/>
    <n v="3870417"/>
    <n v="0"/>
  </r>
  <r>
    <d v="2023-02-28T00:00:00"/>
    <d v="2023-02-28T00:00:00"/>
    <s v="KC202302"/>
    <m/>
    <m/>
    <m/>
    <s v="Kết chuyển chi phí bán hàng"/>
    <s v="911"/>
    <x v="25"/>
    <m/>
    <n v="97586332"/>
    <n v="0"/>
  </r>
  <r>
    <d v="2023-02-28T00:00:00"/>
    <d v="2023-02-28T00:00:00"/>
    <s v="KC202302"/>
    <m/>
    <m/>
    <m/>
    <s v="Kết chuyển chi phí bán hàng"/>
    <s v="911"/>
    <x v="26"/>
    <m/>
    <n v="159946688"/>
    <n v="0"/>
  </r>
  <r>
    <d v="2023-02-28T00:00:00"/>
    <d v="2023-02-28T00:00:00"/>
    <s v="KC202302"/>
    <m/>
    <m/>
    <m/>
    <s v="Kết chuyển chi phí bán hàng"/>
    <s v="911"/>
    <x v="27"/>
    <m/>
    <n v="88051245"/>
    <n v="0"/>
  </r>
  <r>
    <d v="2023-02-28T00:00:00"/>
    <d v="2023-02-28T00:00:00"/>
    <s v="KC202302"/>
    <m/>
    <m/>
    <m/>
    <s v="Kết chuyển chi phí bán hàng"/>
    <s v="911"/>
    <x v="28"/>
    <m/>
    <n v="5215566"/>
    <n v="0"/>
  </r>
  <r>
    <d v="2023-02-28T00:00:00"/>
    <d v="2023-02-28T00:00:00"/>
    <s v="KC202302"/>
    <m/>
    <m/>
    <m/>
    <s v="Kết chuyển chi phí bán hàng"/>
    <s v="911"/>
    <x v="29"/>
    <m/>
    <n v="96833"/>
    <n v="0"/>
  </r>
  <r>
    <d v="2023-02-28T00:00:00"/>
    <d v="2023-02-28T00:00:00"/>
    <s v="KC202302"/>
    <m/>
    <m/>
    <m/>
    <s v="Kết chuyển chi phí bán hàng"/>
    <s v="911"/>
    <x v="30"/>
    <m/>
    <n v="10222500"/>
    <n v="0"/>
  </r>
  <r>
    <d v="2023-02-28T00:00:00"/>
    <d v="2023-02-28T00:00:00"/>
    <s v="KC202302"/>
    <m/>
    <m/>
    <m/>
    <s v="Kết chuyển chi phí bán hàng"/>
    <s v="911"/>
    <x v="31"/>
    <m/>
    <n v="44683921"/>
    <n v="0"/>
  </r>
  <r>
    <d v="2023-02-28T00:00:00"/>
    <d v="2023-02-28T00:00:00"/>
    <s v="KC202302"/>
    <m/>
    <m/>
    <m/>
    <s v="Kết chuyển chi phí bán hàng"/>
    <s v="911"/>
    <x v="32"/>
    <m/>
    <n v="9592200"/>
    <n v="0"/>
  </r>
  <r>
    <d v="2023-02-28T00:00:00"/>
    <d v="2023-02-28T00:00:00"/>
    <s v="KC202302"/>
    <m/>
    <m/>
    <m/>
    <s v="Kết chuyển chi phí bán hàng"/>
    <s v="911"/>
    <x v="33"/>
    <m/>
    <n v="244488927"/>
    <n v="0"/>
  </r>
  <r>
    <d v="2023-02-28T00:00:00"/>
    <d v="2023-02-28T00:00:00"/>
    <s v="KC202302"/>
    <m/>
    <m/>
    <m/>
    <s v="Kết chuyển chi phí bán hàng"/>
    <s v="911"/>
    <x v="68"/>
    <m/>
    <n v="2767400"/>
    <n v="0"/>
  </r>
  <r>
    <d v="2023-02-28T00:00:00"/>
    <d v="2023-02-28T00:00:00"/>
    <s v="KC202302"/>
    <m/>
    <m/>
    <m/>
    <s v="Kết chuyển chi phí quản lý doanh nghiệp"/>
    <s v="911"/>
    <x v="62"/>
    <m/>
    <n v="0"/>
    <n v="2171400"/>
  </r>
  <r>
    <d v="2023-02-28T00:00:00"/>
    <d v="2023-02-28T00:00:00"/>
    <s v="KC202302"/>
    <m/>
    <m/>
    <m/>
    <s v="Kết chuyển chi phí quản lý doanh nghiệp"/>
    <s v="911"/>
    <x v="34"/>
    <m/>
    <n v="948570727"/>
    <n v="0"/>
  </r>
  <r>
    <d v="2023-02-28T00:00:00"/>
    <d v="2023-02-28T00:00:00"/>
    <s v="KC202302"/>
    <m/>
    <m/>
    <m/>
    <s v="Kết chuyển chi phí quản lý doanh nghiệp"/>
    <s v="911"/>
    <x v="35"/>
    <m/>
    <n v="70554273"/>
    <n v="0"/>
  </r>
  <r>
    <d v="2023-02-28T00:00:00"/>
    <d v="2023-02-28T00:00:00"/>
    <s v="KC202302"/>
    <m/>
    <m/>
    <m/>
    <s v="Kết chuyển chi phí quản lý doanh nghiệp"/>
    <s v="911"/>
    <x v="36"/>
    <m/>
    <n v="206294362"/>
    <n v="0"/>
  </r>
  <r>
    <d v="2023-02-28T00:00:00"/>
    <d v="2023-02-28T00:00:00"/>
    <s v="KC202302"/>
    <m/>
    <m/>
    <m/>
    <s v="Kết chuyển chi phí quản lý doanh nghiệp"/>
    <s v="911"/>
    <x v="37"/>
    <m/>
    <n v="194759091"/>
    <n v="0"/>
  </r>
  <r>
    <d v="2023-02-28T00:00:00"/>
    <d v="2023-02-28T00:00:00"/>
    <s v="KC202302"/>
    <m/>
    <m/>
    <m/>
    <s v="Kết chuyển chi phí quản lý doanh nghiệp"/>
    <s v="911"/>
    <x v="38"/>
    <m/>
    <n v="32639206"/>
    <n v="0"/>
  </r>
  <r>
    <d v="2023-02-28T00:00:00"/>
    <d v="2023-02-28T00:00:00"/>
    <s v="KC202302"/>
    <m/>
    <m/>
    <m/>
    <s v="Kết chuyển chi phí quản lý doanh nghiệp"/>
    <s v="911"/>
    <x v="40"/>
    <m/>
    <n v="142255919"/>
    <n v="0"/>
  </r>
  <r>
    <d v="2023-02-28T00:00:00"/>
    <d v="2023-02-28T00:00:00"/>
    <s v="KC202302"/>
    <m/>
    <m/>
    <m/>
    <s v="Kết chuyển chi phí quản lý doanh nghiệp"/>
    <s v="911"/>
    <x v="41"/>
    <m/>
    <n v="17350824"/>
    <n v="0"/>
  </r>
  <r>
    <d v="2023-02-28T00:00:00"/>
    <d v="2023-02-28T00:00:00"/>
    <s v="KC202302"/>
    <m/>
    <m/>
    <m/>
    <s v="Kết chuyển chi phí quản lý doanh nghiệp"/>
    <s v="911"/>
    <x v="42"/>
    <m/>
    <n v="11431799"/>
    <n v="0"/>
  </r>
  <r>
    <d v="2023-02-28T00:00:00"/>
    <d v="2023-02-28T00:00:00"/>
    <s v="KC202302"/>
    <m/>
    <m/>
    <m/>
    <s v="Kết chuyển chi phí quản lý doanh nghiệp"/>
    <s v="911"/>
    <x v="43"/>
    <m/>
    <n v="4565411"/>
    <n v="0"/>
  </r>
  <r>
    <d v="2023-02-28T00:00:00"/>
    <d v="2023-02-28T00:00:00"/>
    <s v="KC202302"/>
    <m/>
    <m/>
    <m/>
    <s v="Kết chuyển chi phí quản lý doanh nghiệp"/>
    <s v="911"/>
    <x v="69"/>
    <m/>
    <n v="17524182"/>
    <n v="0"/>
  </r>
  <r>
    <d v="2023-02-28T00:00:00"/>
    <d v="2023-02-28T00:00:00"/>
    <s v="KC202302"/>
    <m/>
    <m/>
    <m/>
    <s v="Kết chuyển chi phí quản lý doanh nghiệp"/>
    <s v="911"/>
    <x v="44"/>
    <m/>
    <n v="24093819"/>
    <n v="0"/>
  </r>
  <r>
    <d v="2023-02-28T00:00:00"/>
    <d v="2023-02-28T00:00:00"/>
    <s v="KC202302"/>
    <m/>
    <m/>
    <m/>
    <s v="Kết chuyển chi phí quản lý doanh nghiệp"/>
    <s v="911"/>
    <x v="45"/>
    <m/>
    <n v="11260123"/>
    <n v="0"/>
  </r>
  <r>
    <d v="2023-02-28T00:00:00"/>
    <d v="2023-02-28T00:00:00"/>
    <s v="KC202302"/>
    <m/>
    <m/>
    <m/>
    <s v="Kết chuyển chi phí quản lý doanh nghiệp"/>
    <s v="911"/>
    <x v="47"/>
    <m/>
    <n v="3000000"/>
    <n v="0"/>
  </r>
  <r>
    <d v="2023-02-28T00:00:00"/>
    <d v="2023-02-28T00:00:00"/>
    <s v="KC202302"/>
    <m/>
    <m/>
    <m/>
    <s v="Kết chuyển chi phí quản lý doanh nghiệp"/>
    <s v="911"/>
    <x v="48"/>
    <m/>
    <n v="12000000"/>
    <n v="0"/>
  </r>
  <r>
    <d v="2023-02-28T00:00:00"/>
    <d v="2023-02-28T00:00:00"/>
    <s v="KC202302"/>
    <m/>
    <m/>
    <m/>
    <s v="Kết chuyển chi phí quản lý doanh nghiệp"/>
    <s v="911"/>
    <x v="49"/>
    <m/>
    <n v="51075758"/>
    <n v="0"/>
  </r>
  <r>
    <d v="2023-02-28T00:00:00"/>
    <d v="2023-02-28T00:00:00"/>
    <s v="KC202302"/>
    <m/>
    <m/>
    <m/>
    <s v="Kết chuyển chi phí quản lý doanh nghiệp"/>
    <s v="911"/>
    <x v="70"/>
    <m/>
    <n v="700000"/>
    <n v="0"/>
  </r>
  <r>
    <d v="2023-02-28T00:00:00"/>
    <d v="2023-02-28T00:00:00"/>
    <s v="KC202302"/>
    <m/>
    <m/>
    <m/>
    <s v="Kết chuyển chi phí quản lý doanh nghiệp"/>
    <s v="911"/>
    <x v="51"/>
    <m/>
    <n v="18977388"/>
    <n v="0"/>
  </r>
  <r>
    <d v="2023-02-28T00:00:00"/>
    <d v="2023-02-28T00:00:00"/>
    <s v="KC202302"/>
    <m/>
    <m/>
    <m/>
    <s v="Kết chuyển chi phí quản lý doanh nghiệp"/>
    <s v="911"/>
    <x v="52"/>
    <m/>
    <n v="6736364"/>
    <n v="0"/>
  </r>
  <r>
    <d v="2023-02-28T00:00:00"/>
    <d v="2023-02-28T00:00:00"/>
    <s v="KC202302"/>
    <m/>
    <m/>
    <m/>
    <s v="Kết chuyển chi phí quản lý doanh nghiệp"/>
    <s v="911"/>
    <x v="53"/>
    <m/>
    <n v="10166666"/>
    <n v="0"/>
  </r>
  <r>
    <d v="2023-02-28T00:00:00"/>
    <d v="2023-02-28T00:00:00"/>
    <s v="KC202302"/>
    <m/>
    <m/>
    <m/>
    <s v="Kết chuyển chi phí quản lý doanh nghiệp"/>
    <s v="911"/>
    <x v="54"/>
    <m/>
    <n v="11389582"/>
    <n v="0"/>
  </r>
  <r>
    <d v="2023-02-28T00:00:00"/>
    <d v="2023-02-28T00:00:00"/>
    <s v="KC202302"/>
    <m/>
    <m/>
    <m/>
    <s v="Kết chuyển chi phí quản lý doanh nghiệp"/>
    <s v="911"/>
    <x v="55"/>
    <m/>
    <n v="8732647"/>
    <n v="0"/>
  </r>
  <r>
    <d v="2023-02-28T00:00:00"/>
    <d v="2023-02-28T00:00:00"/>
    <s v="KC202302"/>
    <m/>
    <m/>
    <m/>
    <s v="Kết chuyển chi phí quản lý doanh nghiệp"/>
    <s v="911"/>
    <x v="56"/>
    <m/>
    <n v="122551684"/>
    <n v="0"/>
  </r>
  <r>
    <d v="2023-02-28T00:00:00"/>
    <d v="2023-02-28T00:00:00"/>
    <s v="KC202302"/>
    <m/>
    <m/>
    <m/>
    <s v="Kết chuyển chi phí quản lý doanh nghiệp"/>
    <s v="911"/>
    <x v="57"/>
    <m/>
    <n v="20888788"/>
    <n v="0"/>
  </r>
  <r>
    <d v="2023-02-28T00:00:00"/>
    <d v="2023-02-28T00:00:00"/>
    <s v="KC202302"/>
    <m/>
    <m/>
    <m/>
    <s v="Kết chuyển chi phí quản lý doanh nghiệp"/>
    <s v="911"/>
    <x v="58"/>
    <m/>
    <n v="11010828"/>
    <n v="0"/>
  </r>
  <r>
    <d v="2023-02-28T00:00:00"/>
    <d v="2023-02-28T00:00:00"/>
    <s v="KC202302"/>
    <m/>
    <m/>
    <m/>
    <s v="Kết chuyển chi phí quản lý doanh nghiệp"/>
    <s v="911"/>
    <x v="59"/>
    <m/>
    <n v="2286906"/>
    <n v="0"/>
  </r>
  <r>
    <d v="2023-02-28T00:00:00"/>
    <d v="2023-02-28T00:00:00"/>
    <s v="KC202302"/>
    <m/>
    <m/>
    <m/>
    <s v="Kết chuyển chi phí quản lý doanh nghiệp"/>
    <s v="911"/>
    <x v="60"/>
    <m/>
    <n v="241018000"/>
    <n v="0"/>
  </r>
  <r>
    <d v="2023-02-28T00:00:00"/>
    <d v="2023-02-28T00:00:00"/>
    <s v="KC202302"/>
    <m/>
    <m/>
    <m/>
    <s v="Kết chuyển chi phí quản lý doanh nghiệp"/>
    <s v="911"/>
    <x v="61"/>
    <m/>
    <n v="10126542"/>
    <n v="0"/>
  </r>
  <r>
    <d v="2023-02-28T00:00:00"/>
    <d v="2023-02-28T00:00:00"/>
    <s v="KC202302"/>
    <m/>
    <m/>
    <m/>
    <s v="Kết chuyển thu nhập khác phát sinh trong kỳ"/>
    <s v="911"/>
    <x v="63"/>
    <m/>
    <n v="0"/>
    <n v="1265000"/>
  </r>
  <r>
    <d v="2023-02-28T00:00:00"/>
    <d v="2023-02-28T00:00:00"/>
    <s v="KC202302"/>
    <m/>
    <m/>
    <m/>
    <s v="Kết chuyển chi phí khác phát sinh trong kỳ"/>
    <s v="911"/>
    <x v="64"/>
    <m/>
    <n v="9900"/>
    <n v="0"/>
  </r>
  <r>
    <d v="2023-02-28T00:00:00"/>
    <d v="2023-02-28T00:00:00"/>
    <s v="KC202302"/>
    <m/>
    <m/>
    <m/>
    <s v="Kết chuyển kết quả hoạt động kinh doanh trong kỳ"/>
    <s v="911"/>
    <x v="65"/>
    <m/>
    <n v="0"/>
    <n v="4608732706"/>
  </r>
  <r>
    <d v="2023-03-31T00:00:00"/>
    <d v="2023-03-31T00:00:00"/>
    <s v="KC202303"/>
    <m/>
    <m/>
    <m/>
    <s v="Kết chuyển doanh thu bán hàng và cung cấp dịch vụ"/>
    <s v="911"/>
    <x v="0"/>
    <m/>
    <n v="0"/>
    <n v="14712621"/>
  </r>
  <r>
    <d v="2023-03-31T00:00:00"/>
    <d v="2023-03-31T00:00:00"/>
    <s v="KC202303"/>
    <m/>
    <m/>
    <m/>
    <s v="Kết chuyển doanh thu bán hàng và cung cấp dịch vụ"/>
    <s v="911"/>
    <x v="1"/>
    <m/>
    <n v="0"/>
    <n v="13806000"/>
  </r>
  <r>
    <d v="2023-03-31T00:00:00"/>
    <d v="2023-03-31T00:00:00"/>
    <s v="KC202303"/>
    <m/>
    <m/>
    <m/>
    <s v="Kết chuyển doanh thu bán hàng và cung cấp dịch vụ"/>
    <s v="911"/>
    <x v="2"/>
    <m/>
    <n v="0"/>
    <n v="39087000"/>
  </r>
  <r>
    <d v="2023-03-31T00:00:00"/>
    <d v="2023-03-31T00:00:00"/>
    <s v="KC202303"/>
    <m/>
    <m/>
    <m/>
    <s v="Kết chuyển doanh thu bán hàng và cung cấp dịch vụ"/>
    <s v="911"/>
    <x v="3"/>
    <m/>
    <n v="0"/>
    <n v="161884280"/>
  </r>
  <r>
    <d v="2023-03-31T00:00:00"/>
    <d v="2023-03-31T00:00:00"/>
    <s v="KC202303"/>
    <m/>
    <m/>
    <m/>
    <s v="Kết chuyển doanh thu bán hàng và cung cấp dịch vụ"/>
    <s v="911"/>
    <x v="4"/>
    <m/>
    <n v="0"/>
    <n v="417955622"/>
  </r>
  <r>
    <d v="2023-03-31T00:00:00"/>
    <d v="2023-03-31T00:00:00"/>
    <s v="KC202303"/>
    <m/>
    <m/>
    <m/>
    <s v="Kết chuyển doanh thu bán hàng và cung cấp dịch vụ"/>
    <s v="911"/>
    <x v="5"/>
    <m/>
    <n v="0"/>
    <n v="1375000"/>
  </r>
  <r>
    <d v="2023-03-31T00:00:00"/>
    <d v="2023-03-31T00:00:00"/>
    <s v="KC202303"/>
    <m/>
    <m/>
    <m/>
    <s v="Kết chuyển doanh thu bán hàng và cung cấp dịch vụ"/>
    <s v="911"/>
    <x v="6"/>
    <m/>
    <n v="0"/>
    <n v="25824845"/>
  </r>
  <r>
    <d v="2023-03-31T00:00:00"/>
    <d v="2023-03-31T00:00:00"/>
    <s v="KC202303"/>
    <m/>
    <m/>
    <m/>
    <s v="Kết chuyển doanh thu bán hàng và cung cấp dịch vụ"/>
    <s v="911"/>
    <x v="7"/>
    <m/>
    <n v="0"/>
    <n v="162748"/>
  </r>
  <r>
    <d v="2023-03-31T00:00:00"/>
    <d v="2023-03-31T00:00:00"/>
    <s v="KC202303"/>
    <m/>
    <m/>
    <m/>
    <s v="Kết chuyển doanh thu bán hàng và cung cấp dịch vụ"/>
    <s v="911"/>
    <x v="8"/>
    <m/>
    <n v="0"/>
    <n v="1185300"/>
  </r>
  <r>
    <d v="2023-03-31T00:00:00"/>
    <d v="2023-03-31T00:00:00"/>
    <s v="KC202303"/>
    <m/>
    <m/>
    <m/>
    <s v="Kết chuyển doanh thu bán hàng và cung cấp dịch vụ"/>
    <s v="911"/>
    <x v="9"/>
    <m/>
    <n v="0"/>
    <n v="148546249"/>
  </r>
  <r>
    <d v="2023-03-31T00:00:00"/>
    <d v="2023-03-31T00:00:00"/>
    <s v="KC202303"/>
    <m/>
    <m/>
    <m/>
    <s v="Kết chuyển doanh thu hoạt động tài chính"/>
    <s v="911"/>
    <x v="10"/>
    <m/>
    <n v="0"/>
    <n v="15073473194"/>
  </r>
  <r>
    <d v="2023-03-31T00:00:00"/>
    <d v="2023-03-31T00:00:00"/>
    <s v="KC202303"/>
    <m/>
    <m/>
    <m/>
    <s v="Kết chuyển doanh thu hoạt động tài chính"/>
    <s v="911"/>
    <x v="11"/>
    <m/>
    <n v="0"/>
    <n v="3751564933"/>
  </r>
  <r>
    <d v="2023-03-31T00:00:00"/>
    <d v="2023-03-31T00:00:00"/>
    <s v="KC202303"/>
    <m/>
    <m/>
    <m/>
    <s v="Kết chuyển doanh thu hoạt động tài chính"/>
    <s v="911"/>
    <x v="12"/>
    <m/>
    <n v="0"/>
    <n v="410767324"/>
  </r>
  <r>
    <d v="2023-03-31T00:00:00"/>
    <d v="2023-03-31T00:00:00"/>
    <s v="KC202303"/>
    <m/>
    <m/>
    <m/>
    <s v="Kết chuyển doanh thu hoạt động tài chính"/>
    <s v="911"/>
    <x v="13"/>
    <m/>
    <n v="0"/>
    <n v="31428544"/>
  </r>
  <r>
    <d v="2023-03-31T00:00:00"/>
    <d v="2023-03-31T00:00:00"/>
    <s v="KC202303"/>
    <m/>
    <m/>
    <m/>
    <s v="Kết chuyển doanh thu hoạt động tài chính"/>
    <s v="911"/>
    <x v="14"/>
    <m/>
    <n v="0"/>
    <n v="3983301040"/>
  </r>
  <r>
    <d v="2023-03-31T00:00:00"/>
    <d v="2023-03-31T00:00:00"/>
    <s v="KC202303"/>
    <m/>
    <m/>
    <m/>
    <s v="Kết chuyển doanh thu hoạt động tài chính"/>
    <s v="911"/>
    <x v="15"/>
    <m/>
    <n v="0"/>
    <n v="951216"/>
  </r>
  <r>
    <d v="2023-03-31T00:00:00"/>
    <d v="2023-03-31T00:00:00"/>
    <s v="KC202303"/>
    <m/>
    <m/>
    <m/>
    <s v="Kết chuyển giá vốn hàng bán"/>
    <s v="911"/>
    <x v="16"/>
    <m/>
    <n v="1973427856"/>
    <n v="0"/>
  </r>
  <r>
    <d v="2023-03-31T00:00:00"/>
    <d v="2023-03-31T00:00:00"/>
    <s v="KC202303"/>
    <m/>
    <m/>
    <m/>
    <s v="Kết chuyển chi phí hoạt động tài chính"/>
    <s v="911"/>
    <x v="17"/>
    <m/>
    <n v="8557863083"/>
    <n v="0"/>
  </r>
  <r>
    <d v="2023-03-31T00:00:00"/>
    <d v="2023-03-31T00:00:00"/>
    <s v="KC202303"/>
    <m/>
    <m/>
    <m/>
    <s v="Kết chuyển chi phí hoạt động tài chính"/>
    <s v="911"/>
    <x v="18"/>
    <m/>
    <n v="1753860617"/>
    <n v="0"/>
  </r>
  <r>
    <d v="2023-03-31T00:00:00"/>
    <d v="2023-03-31T00:00:00"/>
    <s v="KC202303"/>
    <m/>
    <m/>
    <m/>
    <s v="Kết chuyển chi phí hoạt động tài chính"/>
    <s v="911"/>
    <x v="19"/>
    <m/>
    <n v="2890433299"/>
    <n v="0"/>
  </r>
  <r>
    <d v="2023-03-31T00:00:00"/>
    <d v="2023-03-31T00:00:00"/>
    <s v="KC202303"/>
    <m/>
    <m/>
    <m/>
    <s v="Kết chuyển chi phí hoạt động tài chính"/>
    <s v="911"/>
    <x v="20"/>
    <m/>
    <n v="5339522429"/>
    <n v="0"/>
  </r>
  <r>
    <d v="2023-03-31T00:00:00"/>
    <d v="2023-03-31T00:00:00"/>
    <s v="KC202303"/>
    <m/>
    <m/>
    <m/>
    <s v="Kết chuyển chi phí bán hàng"/>
    <s v="911"/>
    <x v="21"/>
    <m/>
    <n v="458278912"/>
    <n v="0"/>
  </r>
  <r>
    <d v="2023-03-31T00:00:00"/>
    <d v="2023-03-31T00:00:00"/>
    <s v="KC202303"/>
    <m/>
    <m/>
    <m/>
    <s v="Kết chuyển chi phí bán hàng"/>
    <s v="911"/>
    <x v="22"/>
    <m/>
    <n v="46260500"/>
    <n v="0"/>
  </r>
  <r>
    <d v="2023-03-31T00:00:00"/>
    <d v="2023-03-31T00:00:00"/>
    <s v="KC202303"/>
    <m/>
    <m/>
    <m/>
    <s v="Kết chuyển chi phí bán hàng"/>
    <s v="911"/>
    <x v="67"/>
    <m/>
    <n v="3000000"/>
    <n v="0"/>
  </r>
  <r>
    <d v="2023-03-31T00:00:00"/>
    <d v="2023-03-31T00:00:00"/>
    <s v="KC202303"/>
    <m/>
    <m/>
    <m/>
    <s v="Kết chuyển chi phí bán hàng"/>
    <s v="911"/>
    <x v="23"/>
    <m/>
    <n v="8953015"/>
    <n v="0"/>
  </r>
  <r>
    <d v="2023-03-31T00:00:00"/>
    <d v="2023-03-31T00:00:00"/>
    <s v="KC202303"/>
    <m/>
    <m/>
    <m/>
    <s v="Kết chuyển chi phí bán hàng"/>
    <s v="911"/>
    <x v="24"/>
    <m/>
    <n v="3870417"/>
    <n v="0"/>
  </r>
  <r>
    <d v="2023-03-31T00:00:00"/>
    <d v="2023-03-31T00:00:00"/>
    <s v="KC202303"/>
    <m/>
    <m/>
    <m/>
    <s v="Kết chuyển chi phí bán hàng"/>
    <s v="911"/>
    <x v="25"/>
    <m/>
    <n v="97586332"/>
    <n v="0"/>
  </r>
  <r>
    <d v="2023-03-31T00:00:00"/>
    <d v="2023-03-31T00:00:00"/>
    <s v="KC202303"/>
    <m/>
    <m/>
    <m/>
    <s v="Kết chuyển chi phí bán hàng"/>
    <s v="911"/>
    <x v="26"/>
    <m/>
    <n v="204063419"/>
    <n v="0"/>
  </r>
  <r>
    <d v="2023-03-31T00:00:00"/>
    <d v="2023-03-31T00:00:00"/>
    <s v="KC202303"/>
    <m/>
    <m/>
    <m/>
    <s v="Kết chuyển chi phí bán hàng"/>
    <s v="911"/>
    <x v="27"/>
    <m/>
    <n v="294735216"/>
    <n v="0"/>
  </r>
  <r>
    <d v="2023-03-31T00:00:00"/>
    <d v="2023-03-31T00:00:00"/>
    <s v="KC202303"/>
    <m/>
    <m/>
    <m/>
    <s v="Kết chuyển chi phí bán hàng"/>
    <s v="911"/>
    <x v="28"/>
    <m/>
    <n v="5010502"/>
    <n v="0"/>
  </r>
  <r>
    <d v="2023-03-31T00:00:00"/>
    <d v="2023-03-31T00:00:00"/>
    <s v="KC202303"/>
    <m/>
    <m/>
    <m/>
    <s v="Kết chuyển chi phí bán hàng"/>
    <s v="911"/>
    <x v="29"/>
    <m/>
    <n v="96833"/>
    <n v="0"/>
  </r>
  <r>
    <d v="2023-03-31T00:00:00"/>
    <d v="2023-03-31T00:00:00"/>
    <s v="KC202303"/>
    <m/>
    <m/>
    <m/>
    <s v="Kết chuyển chi phí bán hàng"/>
    <s v="911"/>
    <x v="30"/>
    <m/>
    <n v="10222500"/>
    <n v="0"/>
  </r>
  <r>
    <d v="2023-03-31T00:00:00"/>
    <d v="2023-03-31T00:00:00"/>
    <s v="KC202303"/>
    <m/>
    <m/>
    <m/>
    <s v="Kết chuyển chi phí bán hàng"/>
    <s v="911"/>
    <x v="31"/>
    <m/>
    <n v="44683921"/>
    <n v="0"/>
  </r>
  <r>
    <d v="2023-03-31T00:00:00"/>
    <d v="2023-03-31T00:00:00"/>
    <s v="KC202303"/>
    <m/>
    <m/>
    <m/>
    <s v="Kết chuyển chi phí bán hàng"/>
    <s v="911"/>
    <x v="32"/>
    <m/>
    <n v="11697200"/>
    <n v="0"/>
  </r>
  <r>
    <d v="2023-03-31T00:00:00"/>
    <d v="2023-03-31T00:00:00"/>
    <s v="KC202303"/>
    <m/>
    <m/>
    <m/>
    <s v="Kết chuyển chi phí bán hàng"/>
    <s v="911"/>
    <x v="71"/>
    <m/>
    <n v="2727272"/>
    <n v="0"/>
  </r>
  <r>
    <d v="2023-03-31T00:00:00"/>
    <d v="2023-03-31T00:00:00"/>
    <s v="KC202303"/>
    <m/>
    <m/>
    <m/>
    <s v="Kết chuyển chi phí bán hàng"/>
    <s v="911"/>
    <x v="33"/>
    <m/>
    <n v="189741647"/>
    <n v="0"/>
  </r>
  <r>
    <d v="2023-03-31T00:00:00"/>
    <d v="2023-03-31T00:00:00"/>
    <s v="KC202303"/>
    <m/>
    <m/>
    <m/>
    <s v="Kết chuyển chi phí quản lý doanh nghiệp"/>
    <s v="911"/>
    <x v="34"/>
    <m/>
    <n v="901889738"/>
    <n v="0"/>
  </r>
  <r>
    <d v="2023-03-31T00:00:00"/>
    <d v="2023-03-31T00:00:00"/>
    <s v="KC202303"/>
    <m/>
    <m/>
    <m/>
    <s v="Kết chuyển chi phí quản lý doanh nghiệp"/>
    <s v="911"/>
    <x v="35"/>
    <m/>
    <n v="69213000"/>
    <n v="0"/>
  </r>
  <r>
    <d v="2023-03-31T00:00:00"/>
    <d v="2023-03-31T00:00:00"/>
    <s v="KC202303"/>
    <m/>
    <m/>
    <m/>
    <s v="Kết chuyển chi phí quản lý doanh nghiệp"/>
    <s v="911"/>
    <x v="36"/>
    <m/>
    <n v="421673833"/>
    <n v="0"/>
  </r>
  <r>
    <d v="2023-03-31T00:00:00"/>
    <d v="2023-03-31T00:00:00"/>
    <s v="KC202303"/>
    <m/>
    <m/>
    <m/>
    <s v="Kết chuyển chi phí quản lý doanh nghiệp"/>
    <s v="911"/>
    <x v="37"/>
    <m/>
    <n v="178150520"/>
    <n v="0"/>
  </r>
  <r>
    <d v="2023-03-31T00:00:00"/>
    <d v="2023-03-31T00:00:00"/>
    <s v="KC202303"/>
    <m/>
    <m/>
    <m/>
    <s v="Kết chuyển chi phí quản lý doanh nghiệp"/>
    <s v="911"/>
    <x v="38"/>
    <m/>
    <n v="32639206"/>
    <n v="0"/>
  </r>
  <r>
    <d v="2023-03-31T00:00:00"/>
    <d v="2023-03-31T00:00:00"/>
    <s v="KC202303"/>
    <m/>
    <m/>
    <m/>
    <s v="Kết chuyển chi phí quản lý doanh nghiệp"/>
    <s v="911"/>
    <x v="40"/>
    <m/>
    <n v="129014087"/>
    <n v="0"/>
  </r>
  <r>
    <d v="2023-03-31T00:00:00"/>
    <d v="2023-03-31T00:00:00"/>
    <s v="KC202303"/>
    <m/>
    <m/>
    <m/>
    <s v="Kết chuyển chi phí quản lý doanh nghiệp"/>
    <s v="911"/>
    <x v="41"/>
    <m/>
    <n v="8579819"/>
    <n v="0"/>
  </r>
  <r>
    <d v="2023-03-31T00:00:00"/>
    <d v="2023-03-31T00:00:00"/>
    <s v="KC202303"/>
    <m/>
    <m/>
    <m/>
    <s v="Kết chuyển chi phí quản lý doanh nghiệp"/>
    <s v="911"/>
    <x v="42"/>
    <m/>
    <n v="4715329"/>
    <n v="0"/>
  </r>
  <r>
    <d v="2023-03-31T00:00:00"/>
    <d v="2023-03-31T00:00:00"/>
    <s v="KC202303"/>
    <m/>
    <m/>
    <m/>
    <s v="Kết chuyển chi phí quản lý doanh nghiệp"/>
    <s v="911"/>
    <x v="43"/>
    <m/>
    <n v="5332675"/>
    <n v="0"/>
  </r>
  <r>
    <d v="2023-03-31T00:00:00"/>
    <d v="2023-03-31T00:00:00"/>
    <s v="KC202303"/>
    <m/>
    <m/>
    <m/>
    <s v="Kết chuyển chi phí quản lý doanh nghiệp"/>
    <s v="911"/>
    <x v="69"/>
    <m/>
    <n v="46345861"/>
    <n v="0"/>
  </r>
  <r>
    <d v="2023-03-31T00:00:00"/>
    <d v="2023-03-31T00:00:00"/>
    <s v="KC202303"/>
    <m/>
    <m/>
    <m/>
    <s v="Kết chuyển chi phí quản lý doanh nghiệp"/>
    <s v="911"/>
    <x v="44"/>
    <m/>
    <n v="4089539"/>
    <n v="0"/>
  </r>
  <r>
    <d v="2023-03-31T00:00:00"/>
    <d v="2023-03-31T00:00:00"/>
    <s v="KC202303"/>
    <m/>
    <m/>
    <m/>
    <s v="Kết chuyển chi phí quản lý doanh nghiệp"/>
    <s v="911"/>
    <x v="45"/>
    <m/>
    <n v="18863737"/>
    <n v="0"/>
  </r>
  <r>
    <d v="2023-03-31T00:00:00"/>
    <d v="2023-03-31T00:00:00"/>
    <s v="KC202303"/>
    <m/>
    <m/>
    <m/>
    <s v="Kết chuyển chi phí quản lý doanh nghiệp"/>
    <s v="911"/>
    <x v="47"/>
    <m/>
    <n v="3000000"/>
    <n v="0"/>
  </r>
  <r>
    <d v="2023-03-31T00:00:00"/>
    <d v="2023-03-31T00:00:00"/>
    <s v="KC202303"/>
    <m/>
    <m/>
    <m/>
    <s v="Kết chuyển chi phí quản lý doanh nghiệp"/>
    <s v="911"/>
    <x v="48"/>
    <m/>
    <n v="12000000"/>
    <n v="0"/>
  </r>
  <r>
    <d v="2023-03-31T00:00:00"/>
    <d v="2023-03-31T00:00:00"/>
    <s v="KC202303"/>
    <m/>
    <m/>
    <m/>
    <s v="Kết chuyển chi phí quản lý doanh nghiệp"/>
    <s v="911"/>
    <x v="49"/>
    <m/>
    <n v="51075758"/>
    <n v="0"/>
  </r>
  <r>
    <d v="2023-03-31T00:00:00"/>
    <d v="2023-03-31T00:00:00"/>
    <s v="KC202303"/>
    <m/>
    <m/>
    <m/>
    <s v="Kết chuyển chi phí quản lý doanh nghiệp"/>
    <s v="911"/>
    <x v="51"/>
    <m/>
    <n v="17086017"/>
    <n v="0"/>
  </r>
  <r>
    <d v="2023-03-31T00:00:00"/>
    <d v="2023-03-31T00:00:00"/>
    <s v="KC202303"/>
    <m/>
    <m/>
    <m/>
    <s v="Kết chuyển chi phí quản lý doanh nghiệp"/>
    <s v="911"/>
    <x v="52"/>
    <m/>
    <n v="8281818"/>
    <n v="0"/>
  </r>
  <r>
    <d v="2023-03-31T00:00:00"/>
    <d v="2023-03-31T00:00:00"/>
    <s v="KC202303"/>
    <m/>
    <m/>
    <m/>
    <s v="Kết chuyển chi phí quản lý doanh nghiệp"/>
    <s v="911"/>
    <x v="53"/>
    <m/>
    <n v="20333332"/>
    <n v="0"/>
  </r>
  <r>
    <d v="2023-03-31T00:00:00"/>
    <d v="2023-03-31T00:00:00"/>
    <s v="KC202303"/>
    <m/>
    <m/>
    <m/>
    <s v="Kết chuyển chi phí quản lý doanh nghiệp"/>
    <s v="911"/>
    <x v="54"/>
    <m/>
    <n v="17518900"/>
    <n v="0"/>
  </r>
  <r>
    <d v="2023-03-31T00:00:00"/>
    <d v="2023-03-31T00:00:00"/>
    <s v="KC202303"/>
    <m/>
    <m/>
    <m/>
    <s v="Kết chuyển chi phí quản lý doanh nghiệp"/>
    <s v="911"/>
    <x v="55"/>
    <m/>
    <n v="29489877"/>
    <n v="0"/>
  </r>
  <r>
    <d v="2023-03-31T00:00:00"/>
    <d v="2023-03-31T00:00:00"/>
    <s v="KC202303"/>
    <m/>
    <m/>
    <m/>
    <s v="Kết chuyển chi phí quản lý doanh nghiệp"/>
    <s v="911"/>
    <x v="56"/>
    <m/>
    <n v="125435020"/>
    <n v="0"/>
  </r>
  <r>
    <d v="2023-03-31T00:00:00"/>
    <d v="2023-03-31T00:00:00"/>
    <s v="KC202303"/>
    <m/>
    <m/>
    <m/>
    <s v="Kết chuyển chi phí quản lý doanh nghiệp"/>
    <s v="911"/>
    <x v="57"/>
    <m/>
    <n v="46548788"/>
    <n v="0"/>
  </r>
  <r>
    <d v="2023-03-31T00:00:00"/>
    <d v="2023-03-31T00:00:00"/>
    <s v="KC202303"/>
    <m/>
    <m/>
    <m/>
    <s v="Kết chuyển chi phí quản lý doanh nghiệp"/>
    <s v="911"/>
    <x v="58"/>
    <m/>
    <n v="11010828"/>
    <n v="0"/>
  </r>
  <r>
    <d v="2023-03-31T00:00:00"/>
    <d v="2023-03-31T00:00:00"/>
    <s v="KC202303"/>
    <m/>
    <m/>
    <m/>
    <s v="Kết chuyển chi phí quản lý doanh nghiệp"/>
    <s v="911"/>
    <x v="72"/>
    <m/>
    <n v="24937500"/>
    <n v="0"/>
  </r>
  <r>
    <d v="2023-03-31T00:00:00"/>
    <d v="2023-03-31T00:00:00"/>
    <s v="KC202303"/>
    <m/>
    <m/>
    <m/>
    <s v="Kết chuyển chi phí quản lý doanh nghiệp"/>
    <s v="911"/>
    <x v="59"/>
    <m/>
    <n v="3520542"/>
    <n v="0"/>
  </r>
  <r>
    <d v="2023-03-31T00:00:00"/>
    <d v="2023-03-31T00:00:00"/>
    <s v="KC202303"/>
    <m/>
    <m/>
    <m/>
    <s v="Kết chuyển chi phí quản lý doanh nghiệp"/>
    <s v="911"/>
    <x v="60"/>
    <m/>
    <n v="246018000"/>
    <n v="0"/>
  </r>
  <r>
    <d v="2023-03-31T00:00:00"/>
    <d v="2023-03-31T00:00:00"/>
    <s v="KC202303"/>
    <m/>
    <m/>
    <m/>
    <s v="Kết chuyển chi phí quản lý doanh nghiệp"/>
    <s v="911"/>
    <x v="61"/>
    <m/>
    <n v="33164275"/>
    <n v="0"/>
  </r>
  <r>
    <d v="2023-03-31T00:00:00"/>
    <d v="2023-03-31T00:00:00"/>
    <s v="KC202303"/>
    <m/>
    <m/>
    <m/>
    <s v="Kết chuyển chi phí quản lý doanh nghiệp"/>
    <s v="911"/>
    <x v="62"/>
    <m/>
    <n v="25900"/>
    <n v="0"/>
  </r>
  <r>
    <d v="2023-03-31T00:00:00"/>
    <d v="2023-03-31T00:00:00"/>
    <s v="KC202303"/>
    <m/>
    <m/>
    <m/>
    <s v="Kết chuyển thu nhập khác phát sinh trong kỳ"/>
    <s v="911"/>
    <x v="63"/>
    <m/>
    <n v="0"/>
    <n v="2"/>
  </r>
  <r>
    <d v="2023-03-31T00:00:00"/>
    <d v="2023-03-31T00:00:00"/>
    <s v="KC202303"/>
    <m/>
    <m/>
    <m/>
    <s v="Kết chuyển chi phí khác phát sinh trong kỳ"/>
    <s v="911"/>
    <x v="64"/>
    <m/>
    <n v="1"/>
    <n v="0"/>
  </r>
  <r>
    <d v="2023-03-31T00:00:00"/>
    <d v="2023-03-31T00:00:00"/>
    <s v="KC202303"/>
    <m/>
    <m/>
    <m/>
    <s v="Kết chuyển kết quả hoạt động kinh doanh trong kỳ"/>
    <s v="911"/>
    <x v="65"/>
    <m/>
    <n v="0"/>
    <n v="289962952"/>
  </r>
  <r>
    <d v="2023-04-30T00:00:00"/>
    <d v="2023-04-30T00:00:00"/>
    <s v="KC202304"/>
    <m/>
    <m/>
    <m/>
    <s v="Kết chuyển doanh thu bán hàng và cung cấp dịch vụ"/>
    <s v="911"/>
    <x v="0"/>
    <m/>
    <n v="0"/>
    <n v="9574358"/>
  </r>
  <r>
    <d v="2023-04-30T00:00:00"/>
    <d v="2023-04-30T00:00:00"/>
    <s v="KC202304"/>
    <m/>
    <m/>
    <m/>
    <s v="Kết chuyển doanh thu bán hàng và cung cấp dịch vụ"/>
    <s v="911"/>
    <x v="1"/>
    <m/>
    <n v="0"/>
    <n v="10728000"/>
  </r>
  <r>
    <d v="2023-04-30T00:00:00"/>
    <d v="2023-04-30T00:00:00"/>
    <s v="KC202304"/>
    <m/>
    <m/>
    <m/>
    <s v="Kết chuyển doanh thu bán hàng và cung cấp dịch vụ"/>
    <s v="911"/>
    <x v="2"/>
    <m/>
    <n v="0"/>
    <n v="35730000"/>
  </r>
  <r>
    <d v="2023-04-30T00:00:00"/>
    <d v="2023-04-30T00:00:00"/>
    <s v="KC202304"/>
    <m/>
    <m/>
    <m/>
    <s v="Kết chuyển doanh thu bán hàng và cung cấp dịch vụ"/>
    <s v="911"/>
    <x v="3"/>
    <m/>
    <n v="0"/>
    <n v="150795167"/>
  </r>
  <r>
    <d v="2023-04-30T00:00:00"/>
    <d v="2023-04-30T00:00:00"/>
    <s v="KC202304"/>
    <m/>
    <m/>
    <m/>
    <s v="Kết chuyển doanh thu bán hàng và cung cấp dịch vụ"/>
    <s v="911"/>
    <x v="4"/>
    <m/>
    <n v="0"/>
    <n v="300166244"/>
  </r>
  <r>
    <d v="2023-04-30T00:00:00"/>
    <d v="2023-04-30T00:00:00"/>
    <s v="KC202304"/>
    <m/>
    <m/>
    <m/>
    <s v="Kết chuyển doanh thu bán hàng và cung cấp dịch vụ"/>
    <s v="911"/>
    <x v="5"/>
    <m/>
    <n v="0"/>
    <n v="1693000"/>
  </r>
  <r>
    <d v="2023-04-30T00:00:00"/>
    <d v="2023-04-30T00:00:00"/>
    <s v="KC202304"/>
    <m/>
    <m/>
    <m/>
    <s v="Kết chuyển doanh thu bán hàng và cung cấp dịch vụ"/>
    <s v="911"/>
    <x v="6"/>
    <m/>
    <n v="0"/>
    <n v="22728776"/>
  </r>
  <r>
    <d v="2023-04-30T00:00:00"/>
    <d v="2023-04-30T00:00:00"/>
    <s v="KC202304"/>
    <m/>
    <m/>
    <m/>
    <s v="Kết chuyển doanh thu bán hàng và cung cấp dịch vụ"/>
    <s v="911"/>
    <x v="7"/>
    <m/>
    <n v="0"/>
    <n v="132665"/>
  </r>
  <r>
    <d v="2023-04-30T00:00:00"/>
    <d v="2023-04-30T00:00:00"/>
    <s v="KC202304"/>
    <m/>
    <m/>
    <m/>
    <s v="Kết chuyển doanh thu bán hàng và cung cấp dịch vụ"/>
    <s v="911"/>
    <x v="8"/>
    <m/>
    <n v="0"/>
    <n v="272727"/>
  </r>
  <r>
    <d v="2023-04-30T00:00:00"/>
    <d v="2023-04-30T00:00:00"/>
    <s v="KC202304"/>
    <m/>
    <m/>
    <m/>
    <s v="Kết chuyển doanh thu bán hàng và cung cấp dịch vụ"/>
    <s v="911"/>
    <x v="9"/>
    <m/>
    <n v="0"/>
    <n v="151699531"/>
  </r>
  <r>
    <d v="2023-04-30T00:00:00"/>
    <d v="2023-04-30T00:00:00"/>
    <s v="KC202304"/>
    <m/>
    <m/>
    <m/>
    <s v="Kết chuyển doanh thu bán hàng và cung cấp dịch vụ"/>
    <s v="911"/>
    <x v="73"/>
    <m/>
    <n v="0"/>
    <n v="100000000"/>
  </r>
  <r>
    <d v="2023-04-30T00:00:00"/>
    <d v="2023-04-30T00:00:00"/>
    <s v="KC202304"/>
    <m/>
    <m/>
    <m/>
    <s v="Kết chuyển doanh thu hoạt động tài chính"/>
    <s v="911"/>
    <x v="10"/>
    <m/>
    <n v="0"/>
    <n v="19843228913"/>
  </r>
  <r>
    <d v="2023-04-30T00:00:00"/>
    <d v="2023-04-30T00:00:00"/>
    <s v="KC202304"/>
    <m/>
    <m/>
    <m/>
    <s v="Kết chuyển doanh thu hoạt động tài chính"/>
    <s v="911"/>
    <x v="11"/>
    <m/>
    <n v="0"/>
    <n v="4203623370"/>
  </r>
  <r>
    <d v="2023-04-30T00:00:00"/>
    <d v="2023-04-30T00:00:00"/>
    <s v="KC202304"/>
    <m/>
    <m/>
    <m/>
    <s v="Kết chuyển doanh thu hoạt động tài chính"/>
    <s v="911"/>
    <x v="12"/>
    <m/>
    <n v="0"/>
    <n v="348619002"/>
  </r>
  <r>
    <d v="2023-04-30T00:00:00"/>
    <d v="2023-04-30T00:00:00"/>
    <s v="KC202304"/>
    <m/>
    <m/>
    <m/>
    <s v="Kết chuyển doanh thu hoạt động tài chính"/>
    <s v="911"/>
    <x v="13"/>
    <m/>
    <n v="0"/>
    <n v="2120547895"/>
  </r>
  <r>
    <d v="2023-04-30T00:00:00"/>
    <d v="2023-04-30T00:00:00"/>
    <s v="KC202304"/>
    <m/>
    <m/>
    <m/>
    <s v="Kết chuyển doanh thu hoạt động tài chính"/>
    <s v="911"/>
    <x v="14"/>
    <m/>
    <n v="0"/>
    <n v="3727777674"/>
  </r>
  <r>
    <d v="2023-04-30T00:00:00"/>
    <d v="2023-04-30T00:00:00"/>
    <s v="KC202304"/>
    <m/>
    <m/>
    <m/>
    <s v="Kết chuyển doanh thu hoạt động tài chính"/>
    <s v="911"/>
    <x v="74"/>
    <m/>
    <n v="0"/>
    <n v="131507"/>
  </r>
  <r>
    <d v="2023-04-30T00:00:00"/>
    <d v="2023-04-30T00:00:00"/>
    <s v="KC202304"/>
    <m/>
    <m/>
    <m/>
    <s v="Kết chuyển doanh thu hoạt động tài chính"/>
    <s v="911"/>
    <x v="15"/>
    <m/>
    <n v="0"/>
    <n v="4139"/>
  </r>
  <r>
    <d v="2023-04-30T00:00:00"/>
    <d v="2023-04-30T00:00:00"/>
    <s v="KC202304"/>
    <m/>
    <m/>
    <m/>
    <s v="Kết chuyển giá vốn hàng bán"/>
    <s v="911"/>
    <x v="16"/>
    <m/>
    <n v="1935169851"/>
    <n v="0"/>
  </r>
  <r>
    <d v="2023-04-30T00:00:00"/>
    <d v="2023-04-30T00:00:00"/>
    <s v="KC202304"/>
    <m/>
    <m/>
    <m/>
    <s v="Kết chuyển chi phí hoạt động tài chính"/>
    <s v="911"/>
    <x v="17"/>
    <m/>
    <n v="7819421755"/>
    <n v="0"/>
  </r>
  <r>
    <d v="2023-04-30T00:00:00"/>
    <d v="2023-04-30T00:00:00"/>
    <s v="KC202304"/>
    <m/>
    <m/>
    <m/>
    <s v="Kết chuyển chi phí hoạt động tài chính"/>
    <s v="911"/>
    <x v="18"/>
    <m/>
    <n v="2592534151"/>
    <n v="0"/>
  </r>
  <r>
    <d v="2023-04-30T00:00:00"/>
    <d v="2023-04-30T00:00:00"/>
    <s v="KC202304"/>
    <m/>
    <m/>
    <m/>
    <s v="Kết chuyển chi phí hoạt động tài chính"/>
    <s v="911"/>
    <x v="19"/>
    <m/>
    <n v="2351193359"/>
    <n v="0"/>
  </r>
  <r>
    <d v="2023-04-30T00:00:00"/>
    <d v="2023-04-30T00:00:00"/>
    <s v="KC202304"/>
    <m/>
    <m/>
    <m/>
    <s v="Kết chuyển chi phí hoạt động tài chính"/>
    <s v="911"/>
    <x v="20"/>
    <m/>
    <n v="2761485187"/>
    <n v="0"/>
  </r>
  <r>
    <d v="2023-04-30T00:00:00"/>
    <d v="2023-04-30T00:00:00"/>
    <s v="KC202304"/>
    <m/>
    <m/>
    <m/>
    <s v="Kết chuyển chi phí bán hàng"/>
    <s v="911"/>
    <x v="21"/>
    <m/>
    <n v="485698975"/>
    <n v="0"/>
  </r>
  <r>
    <d v="2023-04-30T00:00:00"/>
    <d v="2023-04-30T00:00:00"/>
    <s v="KC202304"/>
    <m/>
    <m/>
    <m/>
    <s v="Kết chuyển chi phí bán hàng"/>
    <s v="911"/>
    <x v="67"/>
    <m/>
    <n v="11515909"/>
    <n v="0"/>
  </r>
  <r>
    <d v="2023-04-30T00:00:00"/>
    <d v="2023-04-30T00:00:00"/>
    <s v="KC202304"/>
    <m/>
    <m/>
    <m/>
    <s v="Kết chuyển chi phí bán hàng"/>
    <s v="911"/>
    <x v="23"/>
    <m/>
    <n v="8953023"/>
    <n v="0"/>
  </r>
  <r>
    <d v="2023-04-30T00:00:00"/>
    <d v="2023-04-30T00:00:00"/>
    <s v="KC202304"/>
    <m/>
    <m/>
    <m/>
    <s v="Kết chuyển chi phí bán hàng"/>
    <s v="911"/>
    <x v="24"/>
    <m/>
    <n v="3870417"/>
    <n v="0"/>
  </r>
  <r>
    <d v="2023-04-30T00:00:00"/>
    <d v="2023-04-30T00:00:00"/>
    <s v="KC202304"/>
    <m/>
    <m/>
    <m/>
    <s v="Kết chuyển chi phí bán hàng"/>
    <s v="911"/>
    <x v="25"/>
    <m/>
    <n v="97586332"/>
    <n v="0"/>
  </r>
  <r>
    <d v="2023-04-30T00:00:00"/>
    <d v="2023-04-30T00:00:00"/>
    <s v="KC202304"/>
    <m/>
    <m/>
    <m/>
    <s v="Kết chuyển chi phí bán hàng"/>
    <s v="911"/>
    <x v="26"/>
    <m/>
    <n v="42593331"/>
    <n v="0"/>
  </r>
  <r>
    <d v="2023-04-30T00:00:00"/>
    <d v="2023-04-30T00:00:00"/>
    <s v="KC202304"/>
    <m/>
    <m/>
    <m/>
    <s v="Kết chuyển chi phí bán hàng"/>
    <s v="911"/>
    <x v="27"/>
    <m/>
    <n v="344647506"/>
    <n v="0"/>
  </r>
  <r>
    <d v="2023-04-30T00:00:00"/>
    <d v="2023-04-30T00:00:00"/>
    <s v="KC202304"/>
    <m/>
    <m/>
    <m/>
    <s v="Kết chuyển chi phí bán hàng"/>
    <s v="911"/>
    <x v="28"/>
    <m/>
    <n v="4961503"/>
    <n v="0"/>
  </r>
  <r>
    <d v="2023-04-30T00:00:00"/>
    <d v="2023-04-30T00:00:00"/>
    <s v="KC202304"/>
    <m/>
    <m/>
    <m/>
    <s v="Kết chuyển chi phí bán hàng"/>
    <s v="911"/>
    <x v="29"/>
    <m/>
    <n v="96833"/>
    <n v="0"/>
  </r>
  <r>
    <d v="2023-04-30T00:00:00"/>
    <d v="2023-04-30T00:00:00"/>
    <s v="KC202304"/>
    <m/>
    <m/>
    <m/>
    <s v="Kết chuyển chi phí bán hàng"/>
    <s v="911"/>
    <x v="30"/>
    <m/>
    <n v="10222500"/>
    <n v="0"/>
  </r>
  <r>
    <d v="2023-04-30T00:00:00"/>
    <d v="2023-04-30T00:00:00"/>
    <s v="KC202304"/>
    <m/>
    <m/>
    <m/>
    <s v="Kết chuyển chi phí bán hàng"/>
    <s v="911"/>
    <x v="31"/>
    <m/>
    <n v="44683921"/>
    <n v="0"/>
  </r>
  <r>
    <d v="2023-04-30T00:00:00"/>
    <d v="2023-04-30T00:00:00"/>
    <s v="KC202304"/>
    <m/>
    <m/>
    <m/>
    <s v="Kết chuyển chi phí bán hàng"/>
    <s v="911"/>
    <x v="32"/>
    <m/>
    <n v="32983108"/>
    <n v="0"/>
  </r>
  <r>
    <d v="2023-04-30T00:00:00"/>
    <d v="2023-04-30T00:00:00"/>
    <s v="KC202304"/>
    <m/>
    <m/>
    <m/>
    <s v="Kết chuyển chi phí bán hàng"/>
    <s v="911"/>
    <x v="33"/>
    <m/>
    <n v="240792301"/>
    <n v="0"/>
  </r>
  <r>
    <d v="2023-04-30T00:00:00"/>
    <d v="2023-04-30T00:00:00"/>
    <s v="KC202304"/>
    <m/>
    <m/>
    <m/>
    <s v="Kết chuyển chi phí quản lý doanh nghiệp"/>
    <s v="911"/>
    <x v="53"/>
    <m/>
    <n v="0"/>
    <n v="2650000"/>
  </r>
  <r>
    <d v="2023-04-30T00:00:00"/>
    <d v="2023-04-30T00:00:00"/>
    <s v="KC202304"/>
    <m/>
    <m/>
    <m/>
    <s v="Kết chuyển chi phí quản lý doanh nghiệp"/>
    <s v="911"/>
    <x v="54"/>
    <m/>
    <n v="30074271"/>
    <n v="0"/>
  </r>
  <r>
    <d v="2023-04-30T00:00:00"/>
    <d v="2023-04-30T00:00:00"/>
    <s v="KC202304"/>
    <m/>
    <m/>
    <m/>
    <s v="Kết chuyển chi phí quản lý doanh nghiệp"/>
    <s v="911"/>
    <x v="55"/>
    <m/>
    <n v="4046667"/>
    <n v="0"/>
  </r>
  <r>
    <d v="2023-04-30T00:00:00"/>
    <d v="2023-04-30T00:00:00"/>
    <s v="KC202304"/>
    <m/>
    <m/>
    <m/>
    <s v="Kết chuyển chi phí quản lý doanh nghiệp"/>
    <s v="911"/>
    <x v="56"/>
    <m/>
    <n v="124505834"/>
    <n v="0"/>
  </r>
  <r>
    <d v="2023-04-30T00:00:00"/>
    <d v="2023-04-30T00:00:00"/>
    <s v="KC202304"/>
    <m/>
    <m/>
    <m/>
    <s v="Kết chuyển chi phí quản lý doanh nghiệp"/>
    <s v="911"/>
    <x v="57"/>
    <m/>
    <n v="28508788"/>
    <n v="0"/>
  </r>
  <r>
    <d v="2023-04-30T00:00:00"/>
    <d v="2023-04-30T00:00:00"/>
    <s v="KC202304"/>
    <m/>
    <m/>
    <m/>
    <s v="Kết chuyển chi phí quản lý doanh nghiệp"/>
    <s v="911"/>
    <x v="58"/>
    <m/>
    <n v="11010830"/>
    <n v="0"/>
  </r>
  <r>
    <d v="2023-04-30T00:00:00"/>
    <d v="2023-04-30T00:00:00"/>
    <s v="KC202304"/>
    <m/>
    <m/>
    <m/>
    <s v="Kết chuyển chi phí quản lý doanh nghiệp"/>
    <s v="911"/>
    <x v="59"/>
    <m/>
    <n v="3130359"/>
    <n v="0"/>
  </r>
  <r>
    <d v="2023-04-30T00:00:00"/>
    <d v="2023-04-30T00:00:00"/>
    <s v="KC202304"/>
    <m/>
    <m/>
    <m/>
    <s v="Kết chuyển chi phí quản lý doanh nghiệp"/>
    <s v="911"/>
    <x v="60"/>
    <m/>
    <n v="241018000"/>
    <n v="0"/>
  </r>
  <r>
    <d v="2023-04-30T00:00:00"/>
    <d v="2023-04-30T00:00:00"/>
    <s v="KC202304"/>
    <m/>
    <m/>
    <m/>
    <s v="Kết chuyển chi phí quản lý doanh nghiệp"/>
    <s v="911"/>
    <x v="61"/>
    <m/>
    <n v="36662780"/>
    <n v="0"/>
  </r>
  <r>
    <d v="2023-04-30T00:00:00"/>
    <d v="2023-04-30T00:00:00"/>
    <s v="KC202304"/>
    <m/>
    <m/>
    <m/>
    <s v="Kết chuyển chi phí quản lý doanh nghiệp"/>
    <s v="911"/>
    <x v="75"/>
    <m/>
    <n v="18778885"/>
    <n v="0"/>
  </r>
  <r>
    <d v="2023-04-30T00:00:00"/>
    <d v="2023-04-30T00:00:00"/>
    <s v="KC202304"/>
    <m/>
    <m/>
    <m/>
    <s v="Kết chuyển chi phí quản lý doanh nghiệp"/>
    <s v="911"/>
    <x v="62"/>
    <m/>
    <n v="31500"/>
    <n v="0"/>
  </r>
  <r>
    <d v="2023-04-30T00:00:00"/>
    <d v="2023-04-30T00:00:00"/>
    <s v="KC202304"/>
    <m/>
    <m/>
    <m/>
    <s v="Kết chuyển chi phí quản lý doanh nghiệp"/>
    <s v="911"/>
    <x v="34"/>
    <m/>
    <n v="1084110206"/>
    <n v="0"/>
  </r>
  <r>
    <d v="2023-04-30T00:00:00"/>
    <d v="2023-04-30T00:00:00"/>
    <s v="KC202304"/>
    <m/>
    <m/>
    <m/>
    <s v="Kết chuyển chi phí quản lý doanh nghiệp"/>
    <s v="911"/>
    <x v="36"/>
    <m/>
    <n v="149655215"/>
    <n v="0"/>
  </r>
  <r>
    <d v="2023-04-30T00:00:00"/>
    <d v="2023-04-30T00:00:00"/>
    <s v="KC202304"/>
    <m/>
    <m/>
    <m/>
    <s v="Kết chuyển chi phí quản lý doanh nghiệp"/>
    <s v="911"/>
    <x v="37"/>
    <m/>
    <n v="165936393"/>
    <n v="0"/>
  </r>
  <r>
    <d v="2023-04-30T00:00:00"/>
    <d v="2023-04-30T00:00:00"/>
    <s v="KC202304"/>
    <m/>
    <m/>
    <m/>
    <s v="Kết chuyển chi phí quản lý doanh nghiệp"/>
    <s v="911"/>
    <x v="38"/>
    <m/>
    <n v="32639206"/>
    <n v="0"/>
  </r>
  <r>
    <d v="2023-04-30T00:00:00"/>
    <d v="2023-04-30T00:00:00"/>
    <s v="KC202304"/>
    <m/>
    <m/>
    <m/>
    <s v="Kết chuyển chi phí quản lý doanh nghiệp"/>
    <s v="911"/>
    <x v="40"/>
    <m/>
    <n v="149255291"/>
    <n v="0"/>
  </r>
  <r>
    <d v="2023-04-30T00:00:00"/>
    <d v="2023-04-30T00:00:00"/>
    <s v="KC202304"/>
    <m/>
    <m/>
    <m/>
    <s v="Kết chuyển chi phí quản lý doanh nghiệp"/>
    <s v="911"/>
    <x v="41"/>
    <m/>
    <n v="8582904"/>
    <n v="0"/>
  </r>
  <r>
    <d v="2023-04-30T00:00:00"/>
    <d v="2023-04-30T00:00:00"/>
    <s v="KC202304"/>
    <m/>
    <m/>
    <m/>
    <s v="Kết chuyển chi phí quản lý doanh nghiệp"/>
    <s v="911"/>
    <x v="42"/>
    <m/>
    <n v="5503315"/>
    <n v="0"/>
  </r>
  <r>
    <d v="2023-04-30T00:00:00"/>
    <d v="2023-04-30T00:00:00"/>
    <s v="KC202304"/>
    <m/>
    <m/>
    <m/>
    <s v="Kết chuyển chi phí quản lý doanh nghiệp"/>
    <s v="911"/>
    <x v="43"/>
    <m/>
    <n v="7877816"/>
    <n v="0"/>
  </r>
  <r>
    <d v="2023-04-30T00:00:00"/>
    <d v="2023-04-30T00:00:00"/>
    <s v="KC202304"/>
    <m/>
    <m/>
    <m/>
    <s v="Kết chuyển chi phí quản lý doanh nghiệp"/>
    <s v="911"/>
    <x v="69"/>
    <m/>
    <n v="9966000"/>
    <n v="0"/>
  </r>
  <r>
    <d v="2023-04-30T00:00:00"/>
    <d v="2023-04-30T00:00:00"/>
    <s v="KC202304"/>
    <m/>
    <m/>
    <m/>
    <s v="Kết chuyển chi phí quản lý doanh nghiệp"/>
    <s v="911"/>
    <x v="44"/>
    <m/>
    <n v="37057672"/>
    <n v="0"/>
  </r>
  <r>
    <d v="2023-04-30T00:00:00"/>
    <d v="2023-04-30T00:00:00"/>
    <s v="KC202304"/>
    <m/>
    <m/>
    <m/>
    <s v="Kết chuyển chi phí quản lý doanh nghiệp"/>
    <s v="911"/>
    <x v="45"/>
    <m/>
    <n v="24476058"/>
    <n v="0"/>
  </r>
  <r>
    <d v="2023-04-30T00:00:00"/>
    <d v="2023-04-30T00:00:00"/>
    <s v="KC202304"/>
    <m/>
    <m/>
    <m/>
    <s v="Kết chuyển chi phí quản lý doanh nghiệp"/>
    <s v="911"/>
    <x v="76"/>
    <m/>
    <n v="1281818"/>
    <n v="0"/>
  </r>
  <r>
    <d v="2023-04-30T00:00:00"/>
    <d v="2023-04-30T00:00:00"/>
    <s v="KC202304"/>
    <m/>
    <m/>
    <m/>
    <s v="Kết chuyển chi phí quản lý doanh nghiệp"/>
    <s v="911"/>
    <x v="47"/>
    <m/>
    <n v="3000000"/>
    <n v="0"/>
  </r>
  <r>
    <d v="2023-04-30T00:00:00"/>
    <d v="2023-04-30T00:00:00"/>
    <s v="KC202304"/>
    <m/>
    <m/>
    <m/>
    <s v="Kết chuyển chi phí quản lý doanh nghiệp"/>
    <s v="911"/>
    <x v="48"/>
    <m/>
    <n v="12000000"/>
    <n v="0"/>
  </r>
  <r>
    <d v="2023-04-30T00:00:00"/>
    <d v="2023-04-30T00:00:00"/>
    <s v="KC202304"/>
    <m/>
    <m/>
    <m/>
    <s v="Kết chuyển chi phí quản lý doanh nghiệp"/>
    <s v="911"/>
    <x v="49"/>
    <m/>
    <n v="130106058"/>
    <n v="0"/>
  </r>
  <r>
    <d v="2023-04-30T00:00:00"/>
    <d v="2023-04-30T00:00:00"/>
    <s v="KC202304"/>
    <m/>
    <m/>
    <m/>
    <s v="Kết chuyển chi phí quản lý doanh nghiệp"/>
    <s v="911"/>
    <x v="51"/>
    <m/>
    <n v="23023465"/>
    <n v="0"/>
  </r>
  <r>
    <d v="2023-04-30T00:00:00"/>
    <d v="2023-04-30T00:00:00"/>
    <s v="KC202304"/>
    <m/>
    <m/>
    <m/>
    <s v="Kết chuyển chi phí quản lý doanh nghiệp"/>
    <s v="911"/>
    <x v="52"/>
    <m/>
    <n v="5963636"/>
    <n v="0"/>
  </r>
  <r>
    <d v="2023-04-30T00:00:00"/>
    <d v="2023-04-30T00:00:00"/>
    <s v="KC202304"/>
    <m/>
    <m/>
    <m/>
    <s v="Kết chuyển thu nhập khác phát sinh trong kỳ"/>
    <s v="911"/>
    <x v="63"/>
    <m/>
    <n v="0"/>
    <n v="50"/>
  </r>
  <r>
    <d v="2023-04-30T00:00:00"/>
    <d v="2023-04-30T00:00:00"/>
    <s v="KC202304"/>
    <m/>
    <m/>
    <m/>
    <s v="Kết chuyển chi phí khác phát sinh trong kỳ"/>
    <s v="911"/>
    <x v="64"/>
    <m/>
    <n v="16"/>
    <n v="0"/>
  </r>
  <r>
    <d v="2023-04-30T00:00:00"/>
    <d v="2023-04-30T00:00:00"/>
    <s v="KC202304"/>
    <m/>
    <m/>
    <m/>
    <s v="Kết chuyển kết quả hoạt động kinh doanh trong kỳ"/>
    <s v="911"/>
    <x v="65"/>
    <m/>
    <n v="9893490073"/>
    <n v="0"/>
  </r>
  <r>
    <d v="2023-05-31T00:00:00"/>
    <d v="2023-05-31T00:00:00"/>
    <s v="KC202305"/>
    <m/>
    <m/>
    <m/>
    <s v="Kết chuyển doanh thu bán hàng và cung cấp dịch vụ"/>
    <s v="911"/>
    <x v="0"/>
    <m/>
    <n v="0"/>
    <n v="9034175"/>
  </r>
  <r>
    <d v="2023-05-31T00:00:00"/>
    <d v="2023-05-31T00:00:00"/>
    <s v="KC202305"/>
    <m/>
    <m/>
    <m/>
    <s v="Kết chuyển doanh thu bán hàng và cung cấp dịch vụ"/>
    <s v="911"/>
    <x v="1"/>
    <m/>
    <n v="0"/>
    <n v="8298000"/>
  </r>
  <r>
    <d v="2023-05-31T00:00:00"/>
    <d v="2023-05-31T00:00:00"/>
    <s v="KC202305"/>
    <m/>
    <m/>
    <m/>
    <s v="Kết chuyển doanh thu bán hàng và cung cấp dịch vụ"/>
    <s v="911"/>
    <x v="2"/>
    <m/>
    <n v="0"/>
    <n v="28692000"/>
  </r>
  <r>
    <d v="2023-05-31T00:00:00"/>
    <d v="2023-05-31T00:00:00"/>
    <s v="KC202305"/>
    <m/>
    <m/>
    <m/>
    <s v="Kết chuyển doanh thu bán hàng và cung cấp dịch vụ"/>
    <s v="911"/>
    <x v="3"/>
    <m/>
    <n v="0"/>
    <n v="141612391"/>
  </r>
  <r>
    <d v="2023-05-31T00:00:00"/>
    <d v="2023-05-31T00:00:00"/>
    <s v="KC202305"/>
    <m/>
    <m/>
    <m/>
    <s v="Kết chuyển doanh thu bán hàng và cung cấp dịch vụ"/>
    <s v="911"/>
    <x v="4"/>
    <m/>
    <n v="0"/>
    <n v="321344897"/>
  </r>
  <r>
    <d v="2023-05-31T00:00:00"/>
    <d v="2023-05-31T00:00:00"/>
    <s v="KC202305"/>
    <m/>
    <m/>
    <m/>
    <s v="Kết chuyển doanh thu bán hàng và cung cấp dịch vụ"/>
    <s v="911"/>
    <x v="5"/>
    <m/>
    <n v="0"/>
    <n v="1274000"/>
  </r>
  <r>
    <d v="2023-05-31T00:00:00"/>
    <d v="2023-05-31T00:00:00"/>
    <s v="KC202305"/>
    <m/>
    <m/>
    <m/>
    <s v="Kết chuyển doanh thu bán hàng và cung cấp dịch vụ"/>
    <s v="911"/>
    <x v="6"/>
    <m/>
    <n v="0"/>
    <n v="20610665"/>
  </r>
  <r>
    <d v="2023-05-31T00:00:00"/>
    <d v="2023-05-31T00:00:00"/>
    <s v="KC202305"/>
    <m/>
    <m/>
    <m/>
    <s v="Kết chuyển doanh thu bán hàng và cung cấp dịch vụ"/>
    <s v="911"/>
    <x v="7"/>
    <m/>
    <n v="0"/>
    <n v="126311"/>
  </r>
  <r>
    <d v="2023-05-31T00:00:00"/>
    <d v="2023-05-31T00:00:00"/>
    <s v="KC202305"/>
    <m/>
    <m/>
    <m/>
    <s v="Kết chuyển doanh thu bán hàng và cung cấp dịch vụ"/>
    <s v="911"/>
    <x v="8"/>
    <m/>
    <n v="0"/>
    <n v="868754"/>
  </r>
  <r>
    <d v="2023-05-31T00:00:00"/>
    <d v="2023-05-31T00:00:00"/>
    <s v="KC202305"/>
    <m/>
    <m/>
    <m/>
    <s v="Kết chuyển doanh thu bán hàng và cung cấp dịch vụ"/>
    <s v="911"/>
    <x v="9"/>
    <m/>
    <n v="0"/>
    <n v="39491115"/>
  </r>
  <r>
    <d v="2023-05-31T00:00:00"/>
    <d v="2023-05-31T00:00:00"/>
    <s v="KC202305"/>
    <m/>
    <m/>
    <m/>
    <s v="Kết chuyển doanh thu bán hàng và cung cấp dịch vụ"/>
    <s v="911"/>
    <x v="73"/>
    <m/>
    <n v="0"/>
    <n v="100000000"/>
  </r>
  <r>
    <d v="2023-05-31T00:00:00"/>
    <d v="2023-05-31T00:00:00"/>
    <s v="KC202305"/>
    <m/>
    <m/>
    <m/>
    <s v="Kết chuyển doanh thu hoạt động tài chính"/>
    <s v="911"/>
    <x v="10"/>
    <m/>
    <n v="0"/>
    <n v="1028102846"/>
  </r>
  <r>
    <d v="2023-05-31T00:00:00"/>
    <d v="2023-05-31T00:00:00"/>
    <s v="KC202305"/>
    <m/>
    <m/>
    <m/>
    <s v="Kết chuyển doanh thu hoạt động tài chính"/>
    <s v="911"/>
    <x v="11"/>
    <m/>
    <n v="0"/>
    <n v="4675980382"/>
  </r>
  <r>
    <d v="2023-05-31T00:00:00"/>
    <d v="2023-05-31T00:00:00"/>
    <s v="KC202305"/>
    <m/>
    <m/>
    <m/>
    <s v="Kết chuyển doanh thu hoạt động tài chính"/>
    <s v="911"/>
    <x v="12"/>
    <m/>
    <n v="0"/>
    <n v="492364581"/>
  </r>
  <r>
    <d v="2023-05-31T00:00:00"/>
    <d v="2023-05-31T00:00:00"/>
    <s v="KC202305"/>
    <m/>
    <m/>
    <m/>
    <s v="Kết chuyển doanh thu hoạt động tài chính"/>
    <s v="911"/>
    <x v="13"/>
    <m/>
    <n v="0"/>
    <n v="9443084940"/>
  </r>
  <r>
    <d v="2023-05-31T00:00:00"/>
    <d v="2023-05-31T00:00:00"/>
    <s v="KC202305"/>
    <m/>
    <m/>
    <m/>
    <s v="Kết chuyển doanh thu hoạt động tài chính"/>
    <s v="911"/>
    <x v="14"/>
    <m/>
    <n v="0"/>
    <n v="4115434428"/>
  </r>
  <r>
    <d v="2023-05-31T00:00:00"/>
    <d v="2023-05-31T00:00:00"/>
    <s v="KC202305"/>
    <m/>
    <m/>
    <m/>
    <s v="Kết chuyển giá vốn hàng bán"/>
    <s v="911"/>
    <x v="16"/>
    <m/>
    <n v="1056269930"/>
    <n v="0"/>
  </r>
  <r>
    <d v="2023-05-31T00:00:00"/>
    <d v="2023-05-31T00:00:00"/>
    <s v="KC202305"/>
    <m/>
    <m/>
    <m/>
    <s v="Kết chuyển chi phí hoạt động tài chính"/>
    <s v="911"/>
    <x v="17"/>
    <m/>
    <n v="9012099123"/>
    <n v="0"/>
  </r>
  <r>
    <d v="2023-05-31T00:00:00"/>
    <d v="2023-05-31T00:00:00"/>
    <s v="KC202305"/>
    <m/>
    <m/>
    <m/>
    <s v="Kết chuyển chi phí hoạt động tài chính"/>
    <s v="911"/>
    <x v="18"/>
    <m/>
    <n v="1818483506"/>
    <n v="0"/>
  </r>
  <r>
    <d v="2023-05-31T00:00:00"/>
    <d v="2023-05-31T00:00:00"/>
    <s v="KC202305"/>
    <m/>
    <m/>
    <m/>
    <s v="Kết chuyển chi phí hoạt động tài chính"/>
    <s v="911"/>
    <x v="19"/>
    <m/>
    <n v="2244455993"/>
    <n v="0"/>
  </r>
  <r>
    <d v="2023-05-31T00:00:00"/>
    <d v="2023-05-31T00:00:00"/>
    <s v="KC202305"/>
    <m/>
    <m/>
    <m/>
    <s v="Kết chuyển chi phí hoạt động tài chính"/>
    <s v="911"/>
    <x v="20"/>
    <m/>
    <n v="1671920538"/>
    <n v="0"/>
  </r>
  <r>
    <d v="2023-05-31T00:00:00"/>
    <d v="2023-05-31T00:00:00"/>
    <s v="KC202305"/>
    <m/>
    <m/>
    <m/>
    <s v="Kết chuyển chi phí hoạt động tài chính"/>
    <s v="911"/>
    <x v="77"/>
    <m/>
    <n v="3287671"/>
    <n v="0"/>
  </r>
  <r>
    <d v="2023-05-31T00:00:00"/>
    <d v="2023-05-31T00:00:00"/>
    <s v="KC202305"/>
    <m/>
    <m/>
    <m/>
    <s v="Kết chuyển chi phí hoạt động tài chính"/>
    <s v="911"/>
    <x v="66"/>
    <m/>
    <n v="24757"/>
    <n v="0"/>
  </r>
  <r>
    <d v="2023-05-31T00:00:00"/>
    <d v="2023-05-31T00:00:00"/>
    <s v="KC202305"/>
    <m/>
    <m/>
    <m/>
    <s v="Kết chuyển chi phí bán hàng"/>
    <s v="911"/>
    <x v="22"/>
    <m/>
    <n v="0"/>
    <n v="9306000"/>
  </r>
  <r>
    <d v="2023-05-31T00:00:00"/>
    <d v="2023-05-31T00:00:00"/>
    <s v="KC202305"/>
    <m/>
    <m/>
    <m/>
    <s v="Kết chuyển chi phí bán hàng"/>
    <s v="911"/>
    <x v="27"/>
    <m/>
    <n v="0"/>
    <n v="2929867"/>
  </r>
  <r>
    <d v="2023-05-31T00:00:00"/>
    <d v="2023-05-31T00:00:00"/>
    <s v="KC202305"/>
    <m/>
    <m/>
    <m/>
    <s v="Kết chuyển chi phí bán hàng"/>
    <s v="911"/>
    <x v="28"/>
    <m/>
    <n v="4796315"/>
    <n v="0"/>
  </r>
  <r>
    <d v="2023-05-31T00:00:00"/>
    <d v="2023-05-31T00:00:00"/>
    <s v="KC202305"/>
    <m/>
    <m/>
    <m/>
    <s v="Kết chuyển chi phí bán hàng"/>
    <s v="911"/>
    <x v="29"/>
    <m/>
    <n v="96833"/>
    <n v="0"/>
  </r>
  <r>
    <d v="2023-05-31T00:00:00"/>
    <d v="2023-05-31T00:00:00"/>
    <s v="KC202305"/>
    <m/>
    <m/>
    <m/>
    <s v="Kết chuyển chi phí bán hàng"/>
    <s v="911"/>
    <x v="30"/>
    <m/>
    <n v="10222500"/>
    <n v="0"/>
  </r>
  <r>
    <d v="2023-05-31T00:00:00"/>
    <d v="2023-05-31T00:00:00"/>
    <s v="KC202305"/>
    <m/>
    <m/>
    <m/>
    <s v="Kết chuyển chi phí bán hàng"/>
    <s v="911"/>
    <x v="31"/>
    <m/>
    <n v="44683921"/>
    <n v="0"/>
  </r>
  <r>
    <d v="2023-05-31T00:00:00"/>
    <d v="2023-05-31T00:00:00"/>
    <s v="KC202305"/>
    <m/>
    <m/>
    <m/>
    <s v="Kết chuyển chi phí bán hàng"/>
    <s v="911"/>
    <x v="32"/>
    <m/>
    <n v="44237552"/>
    <n v="0"/>
  </r>
  <r>
    <d v="2023-05-31T00:00:00"/>
    <d v="2023-05-31T00:00:00"/>
    <s v="KC202305"/>
    <m/>
    <m/>
    <m/>
    <s v="Kết chuyển chi phí bán hàng"/>
    <s v="911"/>
    <x v="33"/>
    <m/>
    <n v="181242048"/>
    <n v="0"/>
  </r>
  <r>
    <d v="2023-05-31T00:00:00"/>
    <d v="2023-05-31T00:00:00"/>
    <s v="KC202305"/>
    <m/>
    <m/>
    <m/>
    <s v="Kết chuyển chi phí bán hàng"/>
    <s v="911"/>
    <x v="23"/>
    <m/>
    <n v="7690894"/>
    <n v="0"/>
  </r>
  <r>
    <d v="2023-05-31T00:00:00"/>
    <d v="2023-05-31T00:00:00"/>
    <s v="KC202305"/>
    <m/>
    <m/>
    <m/>
    <s v="Kết chuyển chi phí bán hàng"/>
    <s v="911"/>
    <x v="24"/>
    <m/>
    <n v="3870417"/>
    <n v="0"/>
  </r>
  <r>
    <d v="2023-05-31T00:00:00"/>
    <d v="2023-05-31T00:00:00"/>
    <s v="KC202305"/>
    <m/>
    <m/>
    <m/>
    <s v="Kết chuyển chi phí bán hàng"/>
    <s v="911"/>
    <x v="25"/>
    <m/>
    <n v="97586332"/>
    <n v="0"/>
  </r>
  <r>
    <d v="2023-05-31T00:00:00"/>
    <d v="2023-05-31T00:00:00"/>
    <s v="KC202305"/>
    <m/>
    <m/>
    <m/>
    <s v="Kết chuyển chi phí bán hàng"/>
    <s v="911"/>
    <x v="26"/>
    <m/>
    <n v="221459921"/>
    <n v="0"/>
  </r>
  <r>
    <d v="2023-05-31T00:00:00"/>
    <d v="2023-05-31T00:00:00"/>
    <s v="KC202305"/>
    <m/>
    <m/>
    <m/>
    <s v="Kết chuyển chi phí bán hàng"/>
    <s v="911"/>
    <x v="21"/>
    <m/>
    <n v="402125957"/>
    <n v="0"/>
  </r>
  <r>
    <d v="2023-05-31T00:00:00"/>
    <d v="2023-05-31T00:00:00"/>
    <s v="KC202305"/>
    <m/>
    <m/>
    <m/>
    <s v="Kết chuyển chi phí quản lý doanh nghiệp"/>
    <s v="911"/>
    <x v="35"/>
    <m/>
    <n v="0"/>
    <n v="9024000"/>
  </r>
  <r>
    <d v="2023-05-31T00:00:00"/>
    <d v="2023-05-31T00:00:00"/>
    <s v="KC202305"/>
    <m/>
    <m/>
    <m/>
    <s v="Kết chuyển chi phí quản lý doanh nghiệp"/>
    <s v="911"/>
    <x v="36"/>
    <m/>
    <n v="56712777"/>
    <n v="0"/>
  </r>
  <r>
    <d v="2023-05-31T00:00:00"/>
    <d v="2023-05-31T00:00:00"/>
    <s v="KC202305"/>
    <m/>
    <m/>
    <m/>
    <s v="Kết chuyển chi phí quản lý doanh nghiệp"/>
    <s v="911"/>
    <x v="37"/>
    <m/>
    <n v="157237126"/>
    <n v="0"/>
  </r>
  <r>
    <d v="2023-05-31T00:00:00"/>
    <d v="2023-05-31T00:00:00"/>
    <s v="KC202305"/>
    <m/>
    <m/>
    <m/>
    <s v="Kết chuyển chi phí quản lý doanh nghiệp"/>
    <s v="911"/>
    <x v="38"/>
    <m/>
    <n v="32639206"/>
    <n v="0"/>
  </r>
  <r>
    <d v="2023-05-31T00:00:00"/>
    <d v="2023-05-31T00:00:00"/>
    <s v="KC202305"/>
    <m/>
    <m/>
    <m/>
    <s v="Kết chuyển chi phí quản lý doanh nghiệp"/>
    <s v="911"/>
    <x v="40"/>
    <m/>
    <n v="164721857"/>
    <n v="0"/>
  </r>
  <r>
    <d v="2023-05-31T00:00:00"/>
    <d v="2023-05-31T00:00:00"/>
    <s v="KC202305"/>
    <m/>
    <m/>
    <m/>
    <s v="Kết chuyển chi phí quản lý doanh nghiệp"/>
    <s v="911"/>
    <x v="41"/>
    <m/>
    <n v="8273406"/>
    <n v="0"/>
  </r>
  <r>
    <d v="2023-05-31T00:00:00"/>
    <d v="2023-05-31T00:00:00"/>
    <s v="KC202305"/>
    <m/>
    <m/>
    <m/>
    <s v="Kết chuyển chi phí quản lý doanh nghiệp"/>
    <s v="911"/>
    <x v="42"/>
    <m/>
    <n v="6866956"/>
    <n v="0"/>
  </r>
  <r>
    <d v="2023-05-31T00:00:00"/>
    <d v="2023-05-31T00:00:00"/>
    <s v="KC202305"/>
    <m/>
    <m/>
    <m/>
    <s v="Kết chuyển chi phí quản lý doanh nghiệp"/>
    <s v="911"/>
    <x v="43"/>
    <m/>
    <n v="3630528"/>
    <n v="0"/>
  </r>
  <r>
    <d v="2023-05-31T00:00:00"/>
    <d v="2023-05-31T00:00:00"/>
    <s v="KC202305"/>
    <m/>
    <m/>
    <m/>
    <s v="Kết chuyển chi phí quản lý doanh nghiệp"/>
    <s v="911"/>
    <x v="69"/>
    <m/>
    <n v="70637184"/>
    <n v="0"/>
  </r>
  <r>
    <d v="2023-05-31T00:00:00"/>
    <d v="2023-05-31T00:00:00"/>
    <s v="KC202305"/>
    <m/>
    <m/>
    <m/>
    <s v="Kết chuyển chi phí quản lý doanh nghiệp"/>
    <s v="911"/>
    <x v="44"/>
    <m/>
    <n v="71747170"/>
    <n v="0"/>
  </r>
  <r>
    <d v="2023-05-31T00:00:00"/>
    <d v="2023-05-31T00:00:00"/>
    <s v="KC202305"/>
    <m/>
    <m/>
    <m/>
    <s v="Kết chuyển chi phí quản lý doanh nghiệp"/>
    <s v="911"/>
    <x v="45"/>
    <m/>
    <n v="2838000"/>
    <n v="0"/>
  </r>
  <r>
    <d v="2023-05-31T00:00:00"/>
    <d v="2023-05-31T00:00:00"/>
    <s v="KC202305"/>
    <m/>
    <m/>
    <m/>
    <s v="Kết chuyển chi phí quản lý doanh nghiệp"/>
    <s v="911"/>
    <x v="76"/>
    <m/>
    <n v="3054545"/>
    <n v="0"/>
  </r>
  <r>
    <d v="2023-05-31T00:00:00"/>
    <d v="2023-05-31T00:00:00"/>
    <s v="KC202305"/>
    <m/>
    <m/>
    <m/>
    <s v="Kết chuyển chi phí quản lý doanh nghiệp"/>
    <s v="911"/>
    <x v="46"/>
    <m/>
    <n v="3900000"/>
    <n v="0"/>
  </r>
  <r>
    <d v="2023-05-31T00:00:00"/>
    <d v="2023-05-31T00:00:00"/>
    <s v="KC202305"/>
    <m/>
    <m/>
    <m/>
    <s v="Kết chuyển chi phí quản lý doanh nghiệp"/>
    <s v="911"/>
    <x v="47"/>
    <m/>
    <n v="3000000"/>
    <n v="0"/>
  </r>
  <r>
    <d v="2023-05-31T00:00:00"/>
    <d v="2023-05-31T00:00:00"/>
    <s v="KC202305"/>
    <m/>
    <m/>
    <m/>
    <s v="Kết chuyển chi phí quản lý doanh nghiệp"/>
    <s v="911"/>
    <x v="48"/>
    <m/>
    <n v="12000000"/>
    <n v="0"/>
  </r>
  <r>
    <d v="2023-05-31T00:00:00"/>
    <d v="2023-05-31T00:00:00"/>
    <s v="KC202305"/>
    <m/>
    <m/>
    <m/>
    <s v="Kết chuyển chi phí quản lý doanh nghiệp"/>
    <s v="911"/>
    <x v="49"/>
    <m/>
    <n v="70833333"/>
    <n v="0"/>
  </r>
  <r>
    <d v="2023-05-31T00:00:00"/>
    <d v="2023-05-31T00:00:00"/>
    <s v="KC202305"/>
    <m/>
    <m/>
    <m/>
    <s v="Kết chuyển chi phí quản lý doanh nghiệp"/>
    <s v="911"/>
    <x v="51"/>
    <m/>
    <n v="29835174"/>
    <n v="0"/>
  </r>
  <r>
    <d v="2023-05-31T00:00:00"/>
    <d v="2023-05-31T00:00:00"/>
    <s v="KC202305"/>
    <m/>
    <m/>
    <m/>
    <s v="Kết chuyển chi phí quản lý doanh nghiệp"/>
    <s v="911"/>
    <x v="52"/>
    <m/>
    <n v="5700000"/>
    <n v="0"/>
  </r>
  <r>
    <d v="2023-05-31T00:00:00"/>
    <d v="2023-05-31T00:00:00"/>
    <s v="KC202305"/>
    <m/>
    <m/>
    <m/>
    <s v="Kết chuyển chi phí quản lý doanh nghiệp"/>
    <s v="911"/>
    <x v="78"/>
    <m/>
    <n v="5079000"/>
    <n v="0"/>
  </r>
  <r>
    <d v="2023-05-31T00:00:00"/>
    <d v="2023-05-31T00:00:00"/>
    <s v="KC202305"/>
    <m/>
    <m/>
    <m/>
    <s v="Kết chuyển chi phí quản lý doanh nghiệp"/>
    <s v="911"/>
    <x v="53"/>
    <m/>
    <n v="9055555"/>
    <n v="0"/>
  </r>
  <r>
    <d v="2023-05-31T00:00:00"/>
    <d v="2023-05-31T00:00:00"/>
    <s v="KC202305"/>
    <m/>
    <m/>
    <m/>
    <s v="Kết chuyển chi phí quản lý doanh nghiệp"/>
    <s v="911"/>
    <x v="54"/>
    <m/>
    <n v="20829167"/>
    <n v="0"/>
  </r>
  <r>
    <d v="2023-05-31T00:00:00"/>
    <d v="2023-05-31T00:00:00"/>
    <s v="KC202305"/>
    <m/>
    <m/>
    <m/>
    <s v="Kết chuyển chi phí quản lý doanh nghiệp"/>
    <s v="911"/>
    <x v="55"/>
    <m/>
    <n v="12266667"/>
    <n v="0"/>
  </r>
  <r>
    <d v="2023-05-31T00:00:00"/>
    <d v="2023-05-31T00:00:00"/>
    <s v="KC202305"/>
    <m/>
    <m/>
    <m/>
    <s v="Kết chuyển chi phí quản lý doanh nghiệp"/>
    <s v="911"/>
    <x v="56"/>
    <m/>
    <n v="124505834"/>
    <n v="0"/>
  </r>
  <r>
    <d v="2023-05-31T00:00:00"/>
    <d v="2023-05-31T00:00:00"/>
    <s v="KC202305"/>
    <m/>
    <m/>
    <m/>
    <s v="Kết chuyển chi phí quản lý doanh nghiệp"/>
    <s v="911"/>
    <x v="57"/>
    <m/>
    <n v="20888788"/>
    <n v="0"/>
  </r>
  <r>
    <d v="2023-05-31T00:00:00"/>
    <d v="2023-05-31T00:00:00"/>
    <s v="KC202305"/>
    <m/>
    <m/>
    <m/>
    <s v="Kết chuyển chi phí quản lý doanh nghiệp"/>
    <s v="911"/>
    <x v="58"/>
    <m/>
    <n v="26032925"/>
    <n v="0"/>
  </r>
  <r>
    <d v="2023-05-31T00:00:00"/>
    <d v="2023-05-31T00:00:00"/>
    <s v="KC202305"/>
    <m/>
    <m/>
    <m/>
    <s v="Kết chuyển chi phí quản lý doanh nghiệp"/>
    <s v="911"/>
    <x v="72"/>
    <m/>
    <n v="4340000"/>
    <n v="0"/>
  </r>
  <r>
    <d v="2023-05-31T00:00:00"/>
    <d v="2023-05-31T00:00:00"/>
    <s v="KC202305"/>
    <m/>
    <m/>
    <m/>
    <s v="Kết chuyển chi phí quản lý doanh nghiệp"/>
    <s v="911"/>
    <x v="59"/>
    <m/>
    <n v="2937693"/>
    <n v="0"/>
  </r>
  <r>
    <d v="2023-05-31T00:00:00"/>
    <d v="2023-05-31T00:00:00"/>
    <s v="KC202305"/>
    <m/>
    <m/>
    <m/>
    <s v="Kết chuyển chi phí quản lý doanh nghiệp"/>
    <s v="911"/>
    <x v="60"/>
    <m/>
    <n v="335403520"/>
    <n v="0"/>
  </r>
  <r>
    <d v="2023-05-31T00:00:00"/>
    <d v="2023-05-31T00:00:00"/>
    <s v="KC202305"/>
    <m/>
    <m/>
    <m/>
    <s v="Kết chuyển chi phí quản lý doanh nghiệp"/>
    <s v="911"/>
    <x v="61"/>
    <m/>
    <n v="24235550"/>
    <n v="0"/>
  </r>
  <r>
    <d v="2023-05-31T00:00:00"/>
    <d v="2023-05-31T00:00:00"/>
    <s v="KC202305"/>
    <m/>
    <m/>
    <m/>
    <s v="Kết chuyển chi phí quản lý doanh nghiệp"/>
    <s v="911"/>
    <x v="75"/>
    <m/>
    <n v="8168270"/>
    <n v="0"/>
  </r>
  <r>
    <d v="2023-05-31T00:00:00"/>
    <d v="2023-05-31T00:00:00"/>
    <s v="KC202305"/>
    <m/>
    <m/>
    <m/>
    <s v="Kết chuyển chi phí quản lý doanh nghiệp"/>
    <s v="911"/>
    <x v="34"/>
    <m/>
    <n v="1063254563"/>
    <n v="0"/>
  </r>
  <r>
    <d v="2023-05-31T00:00:00"/>
    <d v="2023-05-31T00:00:00"/>
    <s v="KC202305"/>
    <m/>
    <m/>
    <m/>
    <s v="Kết chuyển thu nhập khác phát sinh trong kỳ"/>
    <s v="911"/>
    <x v="63"/>
    <m/>
    <n v="0"/>
    <n v="4400000"/>
  </r>
  <r>
    <d v="2023-05-31T00:00:00"/>
    <d v="2023-05-31T00:00:00"/>
    <s v="KC202305"/>
    <m/>
    <m/>
    <m/>
    <s v="Kết chuyển chi phí khác phát sinh trong kỳ"/>
    <s v="911"/>
    <x v="64"/>
    <m/>
    <n v="109900"/>
    <n v="0"/>
  </r>
  <r>
    <d v="2023-05-31T00:00:00"/>
    <d v="2023-05-31T00:00:00"/>
    <s v="KC202305"/>
    <m/>
    <m/>
    <m/>
    <s v="Kết chuyển kết quả hoạt động kinh doanh trong kỳ"/>
    <s v="911"/>
    <x v="65"/>
    <m/>
    <n v="1266690450"/>
    <n v="0"/>
  </r>
  <r>
    <d v="2023-06-30T00:00:00"/>
    <d v="2023-06-30T00:00:00"/>
    <s v="KC202307"/>
    <m/>
    <m/>
    <m/>
    <s v="Kết chuyển doanh thu bán hàng và cung cấp dịch vụ"/>
    <s v="911"/>
    <x v="0"/>
    <m/>
    <n v="0"/>
    <n v="4686139"/>
  </r>
  <r>
    <d v="2023-06-30T00:00:00"/>
    <d v="2023-06-30T00:00:00"/>
    <s v="KC202307"/>
    <m/>
    <m/>
    <m/>
    <s v="Kết chuyển doanh thu bán hàng và cung cấp dịch vụ"/>
    <s v="911"/>
    <x v="1"/>
    <m/>
    <n v="0"/>
    <n v="5526000"/>
  </r>
  <r>
    <d v="2023-06-30T00:00:00"/>
    <d v="2023-06-30T00:00:00"/>
    <s v="KC202307"/>
    <m/>
    <m/>
    <m/>
    <s v="Kết chuyển doanh thu bán hàng và cung cấp dịch vụ"/>
    <s v="911"/>
    <x v="2"/>
    <m/>
    <n v="0"/>
    <n v="20313000"/>
  </r>
  <r>
    <d v="2023-06-30T00:00:00"/>
    <d v="2023-06-30T00:00:00"/>
    <s v="KC202307"/>
    <m/>
    <m/>
    <m/>
    <s v="Kết chuyển doanh thu bán hàng và cung cấp dịch vụ"/>
    <s v="911"/>
    <x v="3"/>
    <m/>
    <n v="0"/>
    <n v="131987424"/>
  </r>
  <r>
    <d v="2023-06-30T00:00:00"/>
    <d v="2023-06-30T00:00:00"/>
    <s v="KC202307"/>
    <m/>
    <m/>
    <m/>
    <s v="Kết chuyển doanh thu bán hàng và cung cấp dịch vụ"/>
    <s v="911"/>
    <x v="4"/>
    <m/>
    <n v="0"/>
    <n v="402487410"/>
  </r>
  <r>
    <d v="2023-06-30T00:00:00"/>
    <d v="2023-06-30T00:00:00"/>
    <s v="KC202307"/>
    <m/>
    <m/>
    <m/>
    <s v="Kết chuyển doanh thu bán hàng và cung cấp dịch vụ"/>
    <s v="911"/>
    <x v="5"/>
    <m/>
    <n v="0"/>
    <n v="744000"/>
  </r>
  <r>
    <d v="2023-06-30T00:00:00"/>
    <d v="2023-06-30T00:00:00"/>
    <s v="KC202307"/>
    <m/>
    <m/>
    <m/>
    <s v="Kết chuyển doanh thu bán hàng và cung cấp dịch vụ"/>
    <s v="911"/>
    <x v="6"/>
    <m/>
    <n v="0"/>
    <n v="18705548"/>
  </r>
  <r>
    <d v="2023-06-30T00:00:00"/>
    <d v="2023-06-30T00:00:00"/>
    <s v="KC202307"/>
    <m/>
    <m/>
    <m/>
    <s v="Kết chuyển doanh thu bán hàng và cung cấp dịch vụ"/>
    <s v="911"/>
    <x v="7"/>
    <m/>
    <n v="0"/>
    <n v="121775"/>
  </r>
  <r>
    <d v="2023-06-30T00:00:00"/>
    <d v="2023-06-30T00:00:00"/>
    <s v="KC202307"/>
    <m/>
    <m/>
    <m/>
    <s v="Kết chuyển doanh thu bán hàng và cung cấp dịch vụ"/>
    <s v="911"/>
    <x v="8"/>
    <m/>
    <n v="0"/>
    <n v="272727"/>
  </r>
  <r>
    <d v="2023-06-30T00:00:00"/>
    <d v="2023-06-30T00:00:00"/>
    <s v="KC202307"/>
    <m/>
    <m/>
    <m/>
    <s v="Kết chuyển doanh thu bán hàng và cung cấp dịch vụ"/>
    <s v="911"/>
    <x v="73"/>
    <m/>
    <n v="0"/>
    <n v="100000000"/>
  </r>
  <r>
    <d v="2023-06-30T00:00:00"/>
    <d v="2023-06-30T00:00:00"/>
    <s v="KC202307"/>
    <m/>
    <m/>
    <m/>
    <s v="Kết chuyển doanh thu hoạt động tài chính"/>
    <s v="911"/>
    <x v="10"/>
    <m/>
    <n v="0"/>
    <n v="5322601610"/>
  </r>
  <r>
    <d v="2023-06-30T00:00:00"/>
    <d v="2023-06-30T00:00:00"/>
    <s v="KC202307"/>
    <m/>
    <m/>
    <m/>
    <s v="Kết chuyển doanh thu hoạt động tài chính"/>
    <s v="911"/>
    <x v="12"/>
    <m/>
    <n v="0"/>
    <n v="750118133"/>
  </r>
  <r>
    <d v="2023-06-30T00:00:00"/>
    <d v="2023-06-30T00:00:00"/>
    <s v="KC202307"/>
    <m/>
    <m/>
    <m/>
    <s v="Kết chuyển doanh thu hoạt động tài chính"/>
    <s v="911"/>
    <x v="13"/>
    <m/>
    <n v="0"/>
    <n v="7432493728"/>
  </r>
  <r>
    <d v="2023-06-30T00:00:00"/>
    <d v="2023-06-30T00:00:00"/>
    <s v="KC202307"/>
    <m/>
    <m/>
    <m/>
    <s v="Kết chuyển doanh thu hoạt động tài chính"/>
    <s v="911"/>
    <x v="14"/>
    <m/>
    <n v="0"/>
    <n v="2801312573"/>
  </r>
  <r>
    <d v="2023-06-30T00:00:00"/>
    <d v="2023-06-30T00:00:00"/>
    <s v="KC202307"/>
    <m/>
    <m/>
    <m/>
    <s v="Kết chuyển doanh thu hoạt động tài chính"/>
    <s v="911"/>
    <x v="15"/>
    <m/>
    <n v="0"/>
    <n v="4889489"/>
  </r>
  <r>
    <d v="2023-06-30T00:00:00"/>
    <d v="2023-06-30T00:00:00"/>
    <s v="KC202307"/>
    <m/>
    <m/>
    <m/>
    <s v="Kết chuyển doanh thu hoạt động tài chính"/>
    <s v="911"/>
    <x v="11"/>
    <m/>
    <n v="301942979"/>
    <n v="0"/>
  </r>
  <r>
    <d v="2023-06-30T00:00:00"/>
    <d v="2023-06-30T00:00:00"/>
    <s v="KC202307"/>
    <m/>
    <m/>
    <m/>
    <s v="Kết chuyển giá vốn hàng bán"/>
    <s v="911"/>
    <x v="16"/>
    <m/>
    <n v="933870857"/>
    <n v="0"/>
  </r>
  <r>
    <d v="2023-06-30T00:00:00"/>
    <d v="2023-06-30T00:00:00"/>
    <s v="KC202307"/>
    <m/>
    <m/>
    <m/>
    <s v="Kết chuyển chi phí hoạt động tài chính"/>
    <s v="911"/>
    <x v="18"/>
    <m/>
    <n v="0"/>
    <n v="4661653182"/>
  </r>
  <r>
    <d v="2023-06-30T00:00:00"/>
    <d v="2023-06-30T00:00:00"/>
    <s v="KC202307"/>
    <m/>
    <m/>
    <m/>
    <s v="Kết chuyển chi phí hoạt động tài chính"/>
    <s v="911"/>
    <x v="19"/>
    <m/>
    <n v="1847904964"/>
    <n v="0"/>
  </r>
  <r>
    <d v="2023-06-30T00:00:00"/>
    <d v="2023-06-30T00:00:00"/>
    <s v="KC202307"/>
    <m/>
    <m/>
    <m/>
    <s v="Kết chuyển chi phí hoạt động tài chính"/>
    <s v="911"/>
    <x v="20"/>
    <m/>
    <n v="717938459"/>
    <n v="0"/>
  </r>
  <r>
    <d v="2023-06-30T00:00:00"/>
    <d v="2023-06-30T00:00:00"/>
    <s v="KC202307"/>
    <m/>
    <m/>
    <m/>
    <s v="Kết chuyển chi phí hoạt động tài chính"/>
    <s v="911"/>
    <x v="77"/>
    <m/>
    <n v="4356164"/>
    <n v="0"/>
  </r>
  <r>
    <d v="2023-06-30T00:00:00"/>
    <d v="2023-06-30T00:00:00"/>
    <s v="KC202307"/>
    <m/>
    <m/>
    <m/>
    <s v="Kết chuyển chi phí hoạt động tài chính"/>
    <s v="911"/>
    <x v="17"/>
    <m/>
    <n v="14924789375"/>
    <n v="0"/>
  </r>
  <r>
    <d v="2023-06-30T00:00:00"/>
    <d v="2023-06-30T00:00:00"/>
    <s v="KC202307"/>
    <m/>
    <m/>
    <m/>
    <s v="Kết chuyển chi phí bán hàng"/>
    <s v="911"/>
    <x v="21"/>
    <m/>
    <n v="371674910"/>
    <n v="0"/>
  </r>
  <r>
    <d v="2023-06-30T00:00:00"/>
    <d v="2023-06-30T00:00:00"/>
    <s v="KC202307"/>
    <m/>
    <m/>
    <m/>
    <s v="Kết chuyển chi phí bán hàng"/>
    <s v="911"/>
    <x v="22"/>
    <m/>
    <n v="26022000"/>
    <n v="0"/>
  </r>
  <r>
    <d v="2023-06-30T00:00:00"/>
    <d v="2023-06-30T00:00:00"/>
    <s v="KC202307"/>
    <m/>
    <m/>
    <m/>
    <s v="Kết chuyển chi phí bán hàng"/>
    <s v="911"/>
    <x v="23"/>
    <m/>
    <n v="7690886"/>
    <n v="0"/>
  </r>
  <r>
    <d v="2023-06-30T00:00:00"/>
    <d v="2023-06-30T00:00:00"/>
    <s v="KC202307"/>
    <m/>
    <m/>
    <m/>
    <s v="Kết chuyển chi phí bán hàng"/>
    <s v="911"/>
    <x v="24"/>
    <m/>
    <n v="3870417"/>
    <n v="0"/>
  </r>
  <r>
    <d v="2023-06-30T00:00:00"/>
    <d v="2023-06-30T00:00:00"/>
    <s v="KC202307"/>
    <m/>
    <m/>
    <m/>
    <s v="Kết chuyển chi phí bán hàng"/>
    <s v="911"/>
    <x v="25"/>
    <m/>
    <n v="97586332"/>
    <n v="0"/>
  </r>
  <r>
    <d v="2023-06-30T00:00:00"/>
    <d v="2023-06-30T00:00:00"/>
    <s v="KC202307"/>
    <m/>
    <m/>
    <m/>
    <s v="Kết chuyển chi phí bán hàng"/>
    <s v="911"/>
    <x v="26"/>
    <m/>
    <n v="186457669"/>
    <n v="0"/>
  </r>
  <r>
    <d v="2023-06-30T00:00:00"/>
    <d v="2023-06-30T00:00:00"/>
    <s v="KC202307"/>
    <m/>
    <m/>
    <m/>
    <s v="Kết chuyển chi phí bán hàng"/>
    <s v="911"/>
    <x v="27"/>
    <m/>
    <n v="230397618"/>
    <n v="0"/>
  </r>
  <r>
    <d v="2023-06-30T00:00:00"/>
    <d v="2023-06-30T00:00:00"/>
    <s v="KC202307"/>
    <m/>
    <m/>
    <m/>
    <s v="Kết chuyển chi phí bán hàng"/>
    <s v="911"/>
    <x v="28"/>
    <m/>
    <n v="4282126"/>
    <n v="0"/>
  </r>
  <r>
    <d v="2023-06-30T00:00:00"/>
    <d v="2023-06-30T00:00:00"/>
    <s v="KC202307"/>
    <m/>
    <m/>
    <m/>
    <s v="Kết chuyển chi phí bán hàng"/>
    <s v="911"/>
    <x v="29"/>
    <m/>
    <n v="96837"/>
    <n v="0"/>
  </r>
  <r>
    <d v="2023-06-30T00:00:00"/>
    <d v="2023-06-30T00:00:00"/>
    <s v="KC202307"/>
    <m/>
    <m/>
    <m/>
    <s v="Kết chuyển chi phí bán hàng"/>
    <s v="911"/>
    <x v="30"/>
    <m/>
    <n v="10222500"/>
    <n v="0"/>
  </r>
  <r>
    <d v="2023-06-30T00:00:00"/>
    <d v="2023-06-30T00:00:00"/>
    <s v="KC202307"/>
    <m/>
    <m/>
    <m/>
    <s v="Kết chuyển chi phí bán hàng"/>
    <s v="911"/>
    <x v="31"/>
    <m/>
    <n v="44683921"/>
    <n v="0"/>
  </r>
  <r>
    <d v="2023-06-30T00:00:00"/>
    <d v="2023-06-30T00:00:00"/>
    <s v="KC202307"/>
    <m/>
    <m/>
    <m/>
    <s v="Kết chuyển chi phí bán hàng"/>
    <s v="911"/>
    <x v="32"/>
    <m/>
    <n v="9285330"/>
    <n v="0"/>
  </r>
  <r>
    <d v="2023-06-30T00:00:00"/>
    <d v="2023-06-30T00:00:00"/>
    <s v="KC202307"/>
    <m/>
    <m/>
    <m/>
    <s v="Kết chuyển chi phí bán hàng"/>
    <s v="911"/>
    <x v="71"/>
    <m/>
    <n v="2363636"/>
    <n v="0"/>
  </r>
  <r>
    <d v="2023-06-30T00:00:00"/>
    <d v="2023-06-30T00:00:00"/>
    <s v="KC202307"/>
    <m/>
    <m/>
    <m/>
    <s v="Kết chuyển chi phí bán hàng"/>
    <s v="911"/>
    <x v="33"/>
    <m/>
    <n v="180283498"/>
    <n v="0"/>
  </r>
  <r>
    <d v="2023-06-30T00:00:00"/>
    <d v="2023-06-30T00:00:00"/>
    <s v="KC202307"/>
    <m/>
    <m/>
    <m/>
    <s v="Kết chuyển chi phí bán hàng"/>
    <s v="911"/>
    <x v="68"/>
    <m/>
    <n v="35938500"/>
    <n v="0"/>
  </r>
  <r>
    <d v="2023-06-30T00:00:00"/>
    <d v="2023-06-30T00:00:00"/>
    <s v="KC202307"/>
    <m/>
    <m/>
    <m/>
    <s v="Kết chuyển chi phí quản lý doanh nghiệp"/>
    <s v="911"/>
    <x v="34"/>
    <m/>
    <n v="928206639"/>
    <n v="0"/>
  </r>
  <r>
    <d v="2023-06-30T00:00:00"/>
    <d v="2023-06-30T00:00:00"/>
    <s v="KC202307"/>
    <m/>
    <m/>
    <m/>
    <s v="Kết chuyển chi phí quản lý doanh nghiệp"/>
    <s v="911"/>
    <x v="35"/>
    <m/>
    <n v="73568000"/>
    <n v="0"/>
  </r>
  <r>
    <d v="2023-06-30T00:00:00"/>
    <d v="2023-06-30T00:00:00"/>
    <s v="KC202307"/>
    <m/>
    <m/>
    <m/>
    <s v="Kết chuyển chi phí quản lý doanh nghiệp"/>
    <s v="911"/>
    <x v="36"/>
    <m/>
    <n v="57707541"/>
    <n v="0"/>
  </r>
  <r>
    <d v="2023-06-30T00:00:00"/>
    <d v="2023-06-30T00:00:00"/>
    <s v="KC202307"/>
    <m/>
    <m/>
    <m/>
    <s v="Kết chuyển chi phí quản lý doanh nghiệp"/>
    <s v="911"/>
    <x v="37"/>
    <m/>
    <n v="168291230"/>
    <n v="0"/>
  </r>
  <r>
    <d v="2023-06-30T00:00:00"/>
    <d v="2023-06-30T00:00:00"/>
    <s v="KC202307"/>
    <m/>
    <m/>
    <m/>
    <s v="Kết chuyển chi phí quản lý doanh nghiệp"/>
    <s v="911"/>
    <x v="38"/>
    <m/>
    <n v="32639206"/>
    <n v="0"/>
  </r>
  <r>
    <d v="2023-06-30T00:00:00"/>
    <d v="2023-06-30T00:00:00"/>
    <s v="KC202307"/>
    <m/>
    <m/>
    <m/>
    <s v="Kết chuyển chi phí quản lý doanh nghiệp"/>
    <s v="911"/>
    <x v="40"/>
    <m/>
    <n v="173361963"/>
    <n v="0"/>
  </r>
  <r>
    <d v="2023-06-30T00:00:00"/>
    <d v="2023-06-30T00:00:00"/>
    <s v="KC202307"/>
    <m/>
    <m/>
    <m/>
    <s v="Kết chuyển chi phí quản lý doanh nghiệp"/>
    <s v="911"/>
    <x v="41"/>
    <m/>
    <n v="9273497"/>
    <n v="0"/>
  </r>
  <r>
    <d v="2023-06-30T00:00:00"/>
    <d v="2023-06-30T00:00:00"/>
    <s v="KC202307"/>
    <m/>
    <m/>
    <m/>
    <s v="Kết chuyển chi phí quản lý doanh nghiệp"/>
    <s v="911"/>
    <x v="42"/>
    <m/>
    <n v="4726631"/>
    <n v="0"/>
  </r>
  <r>
    <d v="2023-06-30T00:00:00"/>
    <d v="2023-06-30T00:00:00"/>
    <s v="KC202307"/>
    <m/>
    <m/>
    <m/>
    <s v="Kết chuyển chi phí quản lý doanh nghiệp"/>
    <s v="911"/>
    <x v="43"/>
    <m/>
    <n v="4568863"/>
    <n v="0"/>
  </r>
  <r>
    <d v="2023-06-30T00:00:00"/>
    <d v="2023-06-30T00:00:00"/>
    <s v="KC202307"/>
    <m/>
    <m/>
    <m/>
    <s v="Kết chuyển chi phí quản lý doanh nghiệp"/>
    <s v="911"/>
    <x v="69"/>
    <m/>
    <n v="4225454"/>
    <n v="0"/>
  </r>
  <r>
    <d v="2023-06-30T00:00:00"/>
    <d v="2023-06-30T00:00:00"/>
    <s v="KC202307"/>
    <m/>
    <m/>
    <m/>
    <s v="Kết chuyển chi phí quản lý doanh nghiệp"/>
    <s v="911"/>
    <x v="44"/>
    <m/>
    <n v="5027400"/>
    <n v="0"/>
  </r>
  <r>
    <d v="2023-06-30T00:00:00"/>
    <d v="2023-06-30T00:00:00"/>
    <s v="KC202307"/>
    <m/>
    <m/>
    <m/>
    <s v="Kết chuyển chi phí quản lý doanh nghiệp"/>
    <s v="911"/>
    <x v="47"/>
    <m/>
    <n v="3000000"/>
    <n v="0"/>
  </r>
  <r>
    <d v="2023-06-30T00:00:00"/>
    <d v="2023-06-30T00:00:00"/>
    <s v="KC202307"/>
    <m/>
    <m/>
    <m/>
    <s v="Kết chuyển chi phí quản lý doanh nghiệp"/>
    <s v="911"/>
    <x v="48"/>
    <m/>
    <n v="12000000"/>
    <n v="0"/>
  </r>
  <r>
    <d v="2023-06-30T00:00:00"/>
    <d v="2023-06-30T00:00:00"/>
    <s v="KC202307"/>
    <m/>
    <m/>
    <m/>
    <s v="Kết chuyển chi phí quản lý doanh nghiệp"/>
    <s v="911"/>
    <x v="49"/>
    <m/>
    <n v="26521884"/>
    <n v="0"/>
  </r>
  <r>
    <d v="2023-06-30T00:00:00"/>
    <d v="2023-06-30T00:00:00"/>
    <s v="KC202307"/>
    <m/>
    <m/>
    <m/>
    <s v="Kết chuyển chi phí quản lý doanh nghiệp"/>
    <s v="911"/>
    <x v="70"/>
    <m/>
    <n v="12066000"/>
    <n v="0"/>
  </r>
  <r>
    <d v="2023-06-30T00:00:00"/>
    <d v="2023-06-30T00:00:00"/>
    <s v="KC202307"/>
    <m/>
    <m/>
    <m/>
    <s v="Kết chuyển chi phí quản lý doanh nghiệp"/>
    <s v="911"/>
    <x v="51"/>
    <m/>
    <n v="44402408"/>
    <n v="0"/>
  </r>
  <r>
    <d v="2023-06-30T00:00:00"/>
    <d v="2023-06-30T00:00:00"/>
    <s v="KC202307"/>
    <m/>
    <m/>
    <m/>
    <s v="Kết chuyển chi phí quản lý doanh nghiệp"/>
    <s v="911"/>
    <x v="52"/>
    <m/>
    <n v="5700000"/>
    <n v="0"/>
  </r>
  <r>
    <d v="2023-06-30T00:00:00"/>
    <d v="2023-06-30T00:00:00"/>
    <s v="KC202307"/>
    <m/>
    <m/>
    <m/>
    <s v="Kết chuyển chi phí quản lý doanh nghiệp"/>
    <s v="911"/>
    <x v="78"/>
    <m/>
    <n v="60000"/>
    <n v="0"/>
  </r>
  <r>
    <d v="2023-06-30T00:00:00"/>
    <d v="2023-06-30T00:00:00"/>
    <s v="KC202307"/>
    <m/>
    <m/>
    <m/>
    <s v="Kết chuyển chi phí quản lý doanh nghiệp"/>
    <s v="911"/>
    <x v="53"/>
    <m/>
    <n v="9261114"/>
    <n v="0"/>
  </r>
  <r>
    <d v="2023-06-30T00:00:00"/>
    <d v="2023-06-30T00:00:00"/>
    <s v="KC202307"/>
    <m/>
    <m/>
    <m/>
    <s v="Kết chuyển chi phí quản lý doanh nghiệp"/>
    <s v="911"/>
    <x v="54"/>
    <m/>
    <n v="17940187"/>
    <n v="0"/>
  </r>
  <r>
    <d v="2023-06-30T00:00:00"/>
    <d v="2023-06-30T00:00:00"/>
    <s v="KC202307"/>
    <m/>
    <m/>
    <m/>
    <s v="Kết chuyển chi phí quản lý doanh nghiệp"/>
    <s v="911"/>
    <x v="55"/>
    <m/>
    <n v="30497208"/>
    <n v="0"/>
  </r>
  <r>
    <d v="2023-06-30T00:00:00"/>
    <d v="2023-06-30T00:00:00"/>
    <s v="KC202307"/>
    <m/>
    <m/>
    <m/>
    <s v="Kết chuyển chi phí quản lý doanh nghiệp"/>
    <s v="911"/>
    <x v="56"/>
    <m/>
    <n v="124601957"/>
    <n v="0"/>
  </r>
  <r>
    <d v="2023-06-30T00:00:00"/>
    <d v="2023-06-30T00:00:00"/>
    <s v="KC202307"/>
    <m/>
    <m/>
    <m/>
    <s v="Kết chuyển chi phí quản lý doanh nghiệp"/>
    <s v="911"/>
    <x v="57"/>
    <m/>
    <n v="20888788"/>
    <n v="0"/>
  </r>
  <r>
    <d v="2023-06-30T00:00:00"/>
    <d v="2023-06-30T00:00:00"/>
    <s v="KC202307"/>
    <m/>
    <m/>
    <m/>
    <s v="Kết chuyển chi phí quản lý doanh nghiệp"/>
    <s v="911"/>
    <x v="58"/>
    <m/>
    <n v="26032922"/>
    <n v="0"/>
  </r>
  <r>
    <d v="2023-06-30T00:00:00"/>
    <d v="2023-06-30T00:00:00"/>
    <s v="KC202307"/>
    <m/>
    <m/>
    <m/>
    <s v="Kết chuyển chi phí quản lý doanh nghiệp"/>
    <s v="911"/>
    <x v="59"/>
    <m/>
    <n v="1218888"/>
    <n v="0"/>
  </r>
  <r>
    <d v="2023-06-30T00:00:00"/>
    <d v="2023-06-30T00:00:00"/>
    <s v="KC202307"/>
    <m/>
    <m/>
    <m/>
    <s v="Kết chuyển chi phí quản lý doanh nghiệp"/>
    <s v="911"/>
    <x v="60"/>
    <m/>
    <n v="241018000"/>
    <n v="0"/>
  </r>
  <r>
    <d v="2023-06-30T00:00:00"/>
    <d v="2023-06-30T00:00:00"/>
    <s v="KC202307"/>
    <m/>
    <m/>
    <m/>
    <s v="Kết chuyển chi phí quản lý doanh nghiệp"/>
    <s v="911"/>
    <x v="61"/>
    <m/>
    <n v="37880104"/>
    <n v="0"/>
  </r>
  <r>
    <d v="2023-06-30T00:00:00"/>
    <d v="2023-06-30T00:00:00"/>
    <s v="KC202307"/>
    <m/>
    <m/>
    <m/>
    <s v="Kết chuyển chi phí quản lý doanh nghiệp"/>
    <s v="911"/>
    <x v="75"/>
    <m/>
    <n v="16130000"/>
    <n v="0"/>
  </r>
  <r>
    <d v="2023-06-30T00:00:00"/>
    <d v="2023-06-30T00:00:00"/>
    <s v="KC202307"/>
    <m/>
    <m/>
    <m/>
    <s v="Kết chuyển chi phí quản lý doanh nghiệp"/>
    <s v="911"/>
    <x v="62"/>
    <m/>
    <n v="1456000"/>
    <n v="0"/>
  </r>
  <r>
    <d v="2023-06-30T00:00:00"/>
    <d v="2023-06-30T00:00:00"/>
    <s v="KC202307"/>
    <m/>
    <m/>
    <m/>
    <s v="Kết chuyển thu nhập khác phát sinh trong kỳ"/>
    <s v="911"/>
    <x v="63"/>
    <m/>
    <n v="0"/>
    <n v="2700001"/>
  </r>
  <r>
    <d v="2023-06-30T00:00:00"/>
    <d v="2023-06-30T00:00:00"/>
    <s v="KC202307"/>
    <m/>
    <m/>
    <m/>
    <s v="Kết chuyển chi phí khác phát sinh trong kỳ"/>
    <s v="911"/>
    <x v="64"/>
    <m/>
    <n v="260348"/>
    <n v="0"/>
  </r>
  <r>
    <d v="2023-06-30T00:00:00"/>
    <d v="2023-06-30T00:00:00"/>
    <s v="KC202307"/>
    <m/>
    <m/>
    <m/>
    <s v="Kết chuyển kết quả hoạt động kinh doanh trong kỳ"/>
    <s v="911"/>
    <x v="65"/>
    <m/>
    <n v="0"/>
    <n v="37357847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
  <r>
    <d v="2023-01-31T00:00:00"/>
    <d v="2023-01-31T00:00:00"/>
    <s v="KC202301"/>
    <m/>
    <m/>
    <s v="Kết chuyển lãi lỗ đến ngày 31/01/2023"/>
    <s v="Kết chuyển chi phí sản xuất"/>
    <s v="154"/>
    <x v="0"/>
    <n v="2863637"/>
    <n v="0"/>
    <m/>
    <m/>
    <m/>
    <m/>
    <m/>
    <s v="Chi phí hợp lý"/>
  </r>
  <r>
    <d v="2023-01-31T00:00:00"/>
    <d v="2023-01-31T00:00:00"/>
    <s v="KC202301"/>
    <m/>
    <m/>
    <s v="Kết chuyển lãi lỗ đến ngày 31/01/2023"/>
    <s v="Kết chuyển chi phí sản xuất"/>
    <s v="154"/>
    <x v="1"/>
    <n v="100271124"/>
    <n v="0"/>
    <m/>
    <m/>
    <m/>
    <m/>
    <m/>
    <s v="Chi phí hợp lý"/>
  </r>
  <r>
    <d v="2023-01-31T00:00:00"/>
    <d v="2023-01-31T00:00:00"/>
    <s v="KC202301"/>
    <m/>
    <m/>
    <s v="Kết chuyển lãi lỗ đến ngày 31/01/2023"/>
    <s v="Kết chuyển chi phí sản xuất"/>
    <s v="154"/>
    <x v="2"/>
    <n v="168397288"/>
    <n v="0"/>
    <m/>
    <m/>
    <m/>
    <m/>
    <m/>
    <s v="Chi phí hợp lý"/>
  </r>
  <r>
    <d v="2023-01-31T00:00:00"/>
    <d v="2023-01-31T00:00:00"/>
    <s v="KC202301"/>
    <m/>
    <m/>
    <s v="Kết chuyển lãi lỗ đến ngày 31/01/2023"/>
    <s v="Kết chuyển chi phí sản xuất"/>
    <s v="154"/>
    <x v="3"/>
    <n v="55690151"/>
    <n v="0"/>
    <m/>
    <m/>
    <m/>
    <m/>
    <m/>
    <s v="Chi phí hợp lý"/>
  </r>
  <r>
    <d v="2023-01-31T00:00:00"/>
    <d v="2023-01-31T00:00:00"/>
    <s v="KC202301"/>
    <m/>
    <m/>
    <s v="Kết chuyển lãi lỗ đến ngày 31/01/2023"/>
    <s v="Kết chuyển chi phí sản xuất"/>
    <s v="154"/>
    <x v="4"/>
    <n v="5785000"/>
    <n v="0"/>
    <m/>
    <m/>
    <m/>
    <m/>
    <m/>
    <s v="Chi phí hợp lý"/>
  </r>
  <r>
    <d v="2023-01-31T00:00:00"/>
    <d v="2023-01-31T00:00:00"/>
    <s v="KC202301"/>
    <m/>
    <m/>
    <s v="Kết chuyển lãi lỗ đến ngày 31/01/2023"/>
    <s v="Kết chuyển chi phí sản xuất"/>
    <s v="154"/>
    <x v="5"/>
    <n v="177447930"/>
    <n v="0"/>
    <m/>
    <m/>
    <m/>
    <m/>
    <m/>
    <s v="Chi phí hợp lý"/>
  </r>
  <r>
    <d v="2023-01-31T00:00:00"/>
    <d v="2023-01-31T00:00:00"/>
    <s v="KC202301"/>
    <m/>
    <m/>
    <s v="Kết chuyển lãi lỗ đến ngày 31/01/2023"/>
    <s v="Kết chuyển chi phí sản xuất"/>
    <s v="154"/>
    <x v="6"/>
    <n v="187200"/>
    <n v="0"/>
    <m/>
    <m/>
    <m/>
    <m/>
    <m/>
    <s v="Chi phí hợp lý"/>
  </r>
  <r>
    <d v="2023-01-31T00:00:00"/>
    <d v="2023-01-31T00:00:00"/>
    <s v="KC202301"/>
    <m/>
    <m/>
    <s v="Kết chuyển lãi lỗ đến ngày 31/01/2023"/>
    <s v="Kết chuyển chi phí sản xuất"/>
    <s v="154"/>
    <x v="7"/>
    <n v="54949264"/>
    <n v="0"/>
    <m/>
    <m/>
    <m/>
    <m/>
    <m/>
    <s v="Chi phí hợp lý"/>
  </r>
  <r>
    <d v="2023-01-31T00:00:00"/>
    <d v="2023-01-31T00:00:00"/>
    <s v="KC202301"/>
    <m/>
    <m/>
    <s v="Kết chuyển lãi lỗ đến ngày 31/01/2023"/>
    <s v="Kết chuyển chi phí sản xuất"/>
    <s v="154"/>
    <x v="8"/>
    <n v="17428510"/>
    <n v="0"/>
    <m/>
    <m/>
    <m/>
    <m/>
    <m/>
    <s v="Chi phí hợp lý"/>
  </r>
  <r>
    <d v="2023-01-31T00:00:00"/>
    <d v="2023-01-31T00:00:00"/>
    <s v="KC202301"/>
    <m/>
    <m/>
    <s v="Kết chuyển lãi lỗ đến ngày 31/01/2023"/>
    <s v="Kết chuyển chi phí sản xuất"/>
    <s v="154"/>
    <x v="9"/>
    <n v="1214436455"/>
    <n v="0"/>
    <m/>
    <m/>
    <m/>
    <m/>
    <m/>
    <s v="Chi phí hợp lý"/>
  </r>
  <r>
    <d v="2023-01-31T00:00:00"/>
    <d v="2023-01-31T00:00:00"/>
    <s v="KC202301"/>
    <m/>
    <m/>
    <s v="Kết chuyển lãi lỗ đến ngày 31/01/2023"/>
    <s v="Kết chuyển chi phí sản xuất"/>
    <s v="154"/>
    <x v="10"/>
    <n v="4363636"/>
    <n v="0"/>
    <m/>
    <m/>
    <m/>
    <m/>
    <m/>
    <s v="Chi phí hợp lý"/>
  </r>
  <r>
    <d v="2023-01-31T00:00:00"/>
    <d v="2023-01-31T00:00:00"/>
    <s v="KC202301"/>
    <m/>
    <m/>
    <s v="Kết chuyển lãi lỗ đến ngày 31/01/2023"/>
    <s v="Kết chuyển chi phí sản xuất"/>
    <s v="154"/>
    <x v="11"/>
    <n v="10137500"/>
    <n v="0"/>
    <m/>
    <m/>
    <m/>
    <m/>
    <m/>
    <s v="Chi phí hợp lý"/>
  </r>
  <r>
    <d v="2023-01-31T00:00:00"/>
    <d v="2023-01-31T00:00:00"/>
    <s v="KC202301"/>
    <m/>
    <m/>
    <s v="Kết chuyển lãi lỗ đến ngày 31/01/2023"/>
    <s v="Kết chuyển chi phí sản xuất"/>
    <s v="154"/>
    <x v="12"/>
    <n v="4953625"/>
    <n v="0"/>
    <m/>
    <m/>
    <m/>
    <m/>
    <m/>
    <s v="Chi phí hợp lý"/>
  </r>
  <r>
    <d v="2023-01-31T00:00:00"/>
    <d v="2023-01-31T00:00:00"/>
    <s v="KC202301"/>
    <m/>
    <m/>
    <s v="Kết chuyển lãi lỗ đến ngày 31/01/2023"/>
    <s v="Kết chuyển chi phí sản xuất"/>
    <s v="154"/>
    <x v="13"/>
    <n v="20560500"/>
    <n v="0"/>
    <m/>
    <m/>
    <m/>
    <m/>
    <m/>
    <s v="Chi phí hợp lý"/>
  </r>
  <r>
    <d v="2023-01-31T00:00:00"/>
    <d v="2023-01-31T00:00:00"/>
    <s v="KC202301"/>
    <m/>
    <m/>
    <s v="Kết chuyển lãi lỗ đến ngày 31/01/2023"/>
    <s v="Kết chuyển chi phí sản xuất"/>
    <s v="154"/>
    <x v="14"/>
    <n v="2508581"/>
    <n v="0"/>
    <m/>
    <m/>
    <m/>
    <m/>
    <m/>
    <s v="Chi phí hợp lý"/>
  </r>
  <r>
    <d v="2023-01-31T00:00:00"/>
    <d v="2023-01-31T00:00:00"/>
    <s v="KC202301"/>
    <m/>
    <m/>
    <s v="Kết chuyển lãi lỗ đến ngày 31/01/2023"/>
    <s v="Kết chuyển giá vốn hàng bán"/>
    <s v="154"/>
    <x v="15"/>
    <n v="0"/>
    <n v="1839980401"/>
    <m/>
    <m/>
    <m/>
    <m/>
    <m/>
    <s v="Chi phí hợp lý"/>
  </r>
  <r>
    <d v="2023-02-28T00:00:00"/>
    <d v="2023-02-28T00:00:00"/>
    <s v="KC202302"/>
    <m/>
    <m/>
    <s v="Kết chuyển lãi lỗ đến ngày 28/02/2023"/>
    <s v="Kết chuyển chi phí sản xuất"/>
    <s v="154"/>
    <x v="0"/>
    <n v="2863637"/>
    <n v="0"/>
    <m/>
    <m/>
    <m/>
    <m/>
    <m/>
    <s v="Chi phí hợp lý"/>
  </r>
  <r>
    <d v="2023-02-28T00:00:00"/>
    <d v="2023-02-28T00:00:00"/>
    <s v="KC202302"/>
    <m/>
    <m/>
    <s v="Kết chuyển lãi lỗ đến ngày 28/02/2023"/>
    <s v="Kết chuyển chi phí sản xuất"/>
    <s v="154"/>
    <x v="1"/>
    <n v="100271124"/>
    <n v="0"/>
    <m/>
    <m/>
    <m/>
    <m/>
    <m/>
    <s v="Chi phí hợp lý"/>
  </r>
  <r>
    <d v="2023-02-28T00:00:00"/>
    <d v="2023-02-28T00:00:00"/>
    <s v="KC202302"/>
    <m/>
    <m/>
    <s v="Kết chuyển lãi lỗ đến ngày 28/02/2023"/>
    <s v="Kết chuyển chi phí sản xuất"/>
    <s v="154"/>
    <x v="2"/>
    <n v="227123582"/>
    <n v="0"/>
    <m/>
    <m/>
    <m/>
    <m/>
    <m/>
    <s v="Chi phí hợp lý"/>
  </r>
  <r>
    <d v="2023-02-28T00:00:00"/>
    <d v="2023-02-28T00:00:00"/>
    <s v="KC202302"/>
    <m/>
    <m/>
    <s v="Kết chuyển lãi lỗ đến ngày 28/02/2023"/>
    <s v="Kết chuyển chi phí sản xuất"/>
    <s v="154"/>
    <x v="3"/>
    <n v="47839525"/>
    <n v="0"/>
    <m/>
    <m/>
    <m/>
    <m/>
    <m/>
    <s v="Chi phí hợp lý"/>
  </r>
  <r>
    <d v="2023-02-28T00:00:00"/>
    <d v="2023-02-28T00:00:00"/>
    <s v="KC202302"/>
    <m/>
    <m/>
    <s v="Kết chuyển lãi lỗ đến ngày 28/02/2023"/>
    <s v="Kết chuyển chi phí sản xuất"/>
    <s v="154"/>
    <x v="5"/>
    <n v="198484327"/>
    <n v="0"/>
    <m/>
    <m/>
    <m/>
    <m/>
    <m/>
    <s v="Chi phí hợp lý"/>
  </r>
  <r>
    <d v="2023-02-28T00:00:00"/>
    <d v="2023-02-28T00:00:00"/>
    <s v="KC202302"/>
    <m/>
    <m/>
    <s v="Kết chuyển lãi lỗ đến ngày 28/02/2023"/>
    <s v="Kết chuyển chi phí sản xuất"/>
    <s v="154"/>
    <x v="6"/>
    <n v="187200"/>
    <n v="0"/>
    <m/>
    <m/>
    <m/>
    <m/>
    <m/>
    <s v="Chi phí hợp lý"/>
  </r>
  <r>
    <d v="2023-02-28T00:00:00"/>
    <d v="2023-02-28T00:00:00"/>
    <s v="KC202302"/>
    <m/>
    <m/>
    <s v="Kết chuyển lãi lỗ đến ngày 28/02/2023"/>
    <s v="Kết chuyển chi phí sản xuất"/>
    <s v="154"/>
    <x v="7"/>
    <n v="54949264"/>
    <n v="0"/>
    <m/>
    <m/>
    <m/>
    <m/>
    <m/>
    <s v="Chi phí hợp lý"/>
  </r>
  <r>
    <d v="2023-02-28T00:00:00"/>
    <d v="2023-02-28T00:00:00"/>
    <s v="KC202302"/>
    <m/>
    <m/>
    <s v="Kết chuyển lãi lỗ đến ngày 28/02/2023"/>
    <s v="Kết chuyển chi phí sản xuất"/>
    <s v="154"/>
    <x v="8"/>
    <n v="17428510"/>
    <n v="0"/>
    <m/>
    <m/>
    <m/>
    <m/>
    <m/>
    <s v="Chi phí hợp lý"/>
  </r>
  <r>
    <d v="2023-02-28T00:00:00"/>
    <d v="2023-02-28T00:00:00"/>
    <s v="KC202302"/>
    <m/>
    <m/>
    <s v="Kết chuyển lãi lỗ đến ngày 28/02/2023"/>
    <s v="Kết chuyển chi phí sản xuất"/>
    <s v="154"/>
    <x v="9"/>
    <n v="1179639460"/>
    <n v="0"/>
    <m/>
    <m/>
    <m/>
    <m/>
    <m/>
    <s v="Chi phí hợp lý"/>
  </r>
  <r>
    <d v="2023-02-28T00:00:00"/>
    <d v="2023-02-28T00:00:00"/>
    <s v="KC202302"/>
    <m/>
    <m/>
    <s v="Kết chuyển lãi lỗ đến ngày 28/02/2023"/>
    <s v="Kết chuyển chi phí sản xuất"/>
    <s v="154"/>
    <x v="10"/>
    <n v="4363636"/>
    <n v="0"/>
    <m/>
    <m/>
    <m/>
    <m/>
    <m/>
    <s v="Chi phí hợp lý"/>
  </r>
  <r>
    <d v="2023-02-28T00:00:00"/>
    <d v="2023-02-28T00:00:00"/>
    <s v="KC202302"/>
    <m/>
    <m/>
    <s v="Kết chuyển lãi lỗ đến ngày 28/02/2023"/>
    <s v="Kết chuyển chi phí sản xuất"/>
    <s v="154"/>
    <x v="11"/>
    <n v="5710000"/>
    <n v="0"/>
    <m/>
    <m/>
    <m/>
    <m/>
    <m/>
    <s v="Chi phí hợp lý"/>
  </r>
  <r>
    <d v="2023-02-28T00:00:00"/>
    <d v="2023-02-28T00:00:00"/>
    <s v="KC202302"/>
    <m/>
    <m/>
    <s v="Kết chuyển lãi lỗ đến ngày 28/02/2023"/>
    <s v="Kết chuyển chi phí sản xuất"/>
    <s v="154"/>
    <x v="12"/>
    <n v="9644728"/>
    <n v="0"/>
    <m/>
    <m/>
    <m/>
    <m/>
    <m/>
    <s v="Chi phí hợp lý"/>
  </r>
  <r>
    <d v="2023-02-28T00:00:00"/>
    <d v="2023-02-28T00:00:00"/>
    <s v="KC202302"/>
    <m/>
    <m/>
    <s v="Kết chuyển lãi lỗ đến ngày 28/02/2023"/>
    <s v="Kết chuyển chi phí sản xuất"/>
    <s v="154"/>
    <x v="13"/>
    <n v="15556500"/>
    <n v="0"/>
    <m/>
    <m/>
    <m/>
    <m/>
    <m/>
    <s v="Chi phí hợp lý"/>
  </r>
  <r>
    <d v="2023-02-28T00:00:00"/>
    <d v="2023-02-28T00:00:00"/>
    <s v="KC202302"/>
    <m/>
    <m/>
    <s v="Kết chuyển lãi lỗ đến ngày 28/02/2023"/>
    <s v="Kết chuyển chi phí sản xuất"/>
    <s v="154"/>
    <x v="14"/>
    <n v="2053443"/>
    <n v="0"/>
    <m/>
    <m/>
    <m/>
    <m/>
    <m/>
    <s v="Chi phí hợp lý"/>
  </r>
  <r>
    <d v="2023-02-28T00:00:00"/>
    <d v="2023-02-28T00:00:00"/>
    <s v="KC202302"/>
    <m/>
    <m/>
    <s v="Kết chuyển lãi lỗ đến ngày 28/02/2023"/>
    <s v="Kết chuyển giá vốn hàng bán"/>
    <s v="154"/>
    <x v="15"/>
    <n v="0"/>
    <n v="1866114936"/>
    <m/>
    <m/>
    <m/>
    <m/>
    <m/>
    <s v="Chi phí hợp lý"/>
  </r>
  <r>
    <d v="2023-03-31T00:00:00"/>
    <d v="2023-03-31T00:00:00"/>
    <s v="KC202303"/>
    <m/>
    <m/>
    <s v="Kết chuyển lãi lỗ đến ngày 31/03/2023"/>
    <s v="Kết chuyển chi phí sản xuất"/>
    <s v="154"/>
    <x v="0"/>
    <n v="2113637"/>
    <n v="0"/>
    <m/>
    <m/>
    <m/>
    <m/>
    <m/>
    <s v="Chi phí hợp lý"/>
  </r>
  <r>
    <d v="2023-03-31T00:00:00"/>
    <d v="2023-03-31T00:00:00"/>
    <s v="KC202303"/>
    <m/>
    <m/>
    <s v="Kết chuyển lãi lỗ đến ngày 31/03/2023"/>
    <s v="Kết chuyển chi phí sản xuất"/>
    <s v="154"/>
    <x v="1"/>
    <n v="116400156"/>
    <n v="0"/>
    <m/>
    <m/>
    <m/>
    <m/>
    <m/>
    <s v="Chi phí hợp lý"/>
  </r>
  <r>
    <d v="2023-03-31T00:00:00"/>
    <d v="2023-03-31T00:00:00"/>
    <s v="KC202303"/>
    <m/>
    <m/>
    <s v="Kết chuyển lãi lỗ đến ngày 31/03/2023"/>
    <s v="Kết chuyển chi phí sản xuất"/>
    <s v="154"/>
    <x v="2"/>
    <n v="257755451"/>
    <n v="0"/>
    <m/>
    <m/>
    <m/>
    <m/>
    <m/>
    <s v="Chi phí hợp lý"/>
  </r>
  <r>
    <d v="2023-03-31T00:00:00"/>
    <d v="2023-03-31T00:00:00"/>
    <s v="KC202303"/>
    <m/>
    <m/>
    <s v="Kết chuyển lãi lỗ đến ngày 31/03/2023"/>
    <s v="Kết chuyển chi phí sản xuất"/>
    <s v="154"/>
    <x v="3"/>
    <n v="53968308"/>
    <n v="0"/>
    <m/>
    <m/>
    <m/>
    <m/>
    <m/>
    <s v="Chi phí hợp lý"/>
  </r>
  <r>
    <d v="2023-03-31T00:00:00"/>
    <d v="2023-03-31T00:00:00"/>
    <s v="KC202303"/>
    <m/>
    <m/>
    <s v="Kết chuyển lãi lỗ đến ngày 31/03/2023"/>
    <s v="Kết chuyển chi phí sản xuất"/>
    <s v="154"/>
    <x v="5"/>
    <n v="174439845"/>
    <n v="0"/>
    <m/>
    <m/>
    <m/>
    <m/>
    <m/>
    <s v="Chi phí hợp lý"/>
  </r>
  <r>
    <d v="2023-03-31T00:00:00"/>
    <d v="2023-03-31T00:00:00"/>
    <s v="KC202303"/>
    <m/>
    <m/>
    <s v="Kết chuyển lãi lỗ đến ngày 31/03/2023"/>
    <s v="Kết chuyển chi phí sản xuất"/>
    <s v="154"/>
    <x v="7"/>
    <n v="54949263"/>
    <n v="0"/>
    <m/>
    <m/>
    <m/>
    <m/>
    <m/>
    <s v="Chi phí hợp lý"/>
  </r>
  <r>
    <d v="2023-03-31T00:00:00"/>
    <d v="2023-03-31T00:00:00"/>
    <s v="KC202303"/>
    <m/>
    <m/>
    <s v="Kết chuyển lãi lỗ đến ngày 31/03/2023"/>
    <s v="Kết chuyển chi phí sản xuất"/>
    <s v="154"/>
    <x v="8"/>
    <n v="17428510"/>
    <n v="0"/>
    <m/>
    <m/>
    <m/>
    <m/>
    <m/>
    <s v="Chi phí hợp lý"/>
  </r>
  <r>
    <d v="2023-03-31T00:00:00"/>
    <d v="2023-03-31T00:00:00"/>
    <s v="KC202303"/>
    <m/>
    <m/>
    <s v="Kết chuyển lãi lỗ đến ngày 31/03/2023"/>
    <s v="Kết chuyển chi phí sản xuất"/>
    <s v="154"/>
    <x v="9"/>
    <n v="1263823115"/>
    <n v="0"/>
    <m/>
    <m/>
    <m/>
    <m/>
    <m/>
    <s v="Chi phí hợp lý"/>
  </r>
  <r>
    <d v="2023-03-31T00:00:00"/>
    <d v="2023-03-31T00:00:00"/>
    <s v="KC202303"/>
    <m/>
    <m/>
    <s v="Kết chuyển lãi lỗ đến ngày 31/03/2023"/>
    <s v="Kết chuyển chi phí sản xuất"/>
    <s v="154"/>
    <x v="10"/>
    <n v="4363636"/>
    <n v="0"/>
    <m/>
    <m/>
    <m/>
    <m/>
    <m/>
    <s v="Chi phí hợp lý"/>
  </r>
  <r>
    <d v="2023-03-31T00:00:00"/>
    <d v="2023-03-31T00:00:00"/>
    <s v="KC202303"/>
    <m/>
    <m/>
    <s v="Kết chuyển lãi lỗ đến ngày 31/03/2023"/>
    <s v="Kết chuyển chi phí sản xuất"/>
    <s v="154"/>
    <x v="11"/>
    <n v="7852500"/>
    <n v="0"/>
    <m/>
    <m/>
    <m/>
    <m/>
    <m/>
    <s v="Chi phí hợp lý"/>
  </r>
  <r>
    <d v="2023-03-31T00:00:00"/>
    <d v="2023-03-31T00:00:00"/>
    <s v="KC202303"/>
    <m/>
    <m/>
    <s v="Kết chuyển lãi lỗ đến ngày 31/03/2023"/>
    <s v="Kết chuyển chi phí sản xuất"/>
    <s v="154"/>
    <x v="12"/>
    <n v="7164237"/>
    <n v="0"/>
    <m/>
    <m/>
    <m/>
    <m/>
    <m/>
    <s v="Chi phí hợp lý"/>
  </r>
  <r>
    <d v="2023-03-31T00:00:00"/>
    <d v="2023-03-31T00:00:00"/>
    <s v="KC202303"/>
    <m/>
    <m/>
    <s v="Kết chuyển lãi lỗ đến ngày 31/03/2023"/>
    <s v="Kết chuyển chi phí sản xuất"/>
    <s v="154"/>
    <x v="13"/>
    <n v="10552500"/>
    <n v="0"/>
    <m/>
    <m/>
    <m/>
    <m/>
    <m/>
    <s v="Chi phí hợp lý"/>
  </r>
  <r>
    <d v="2023-03-31T00:00:00"/>
    <d v="2023-03-31T00:00:00"/>
    <s v="KC202303"/>
    <m/>
    <m/>
    <s v="Kết chuyển lãi lỗ đến ngày 31/03/2023"/>
    <s v="Kết chuyển chi phí sản xuất"/>
    <s v="154"/>
    <x v="14"/>
    <n v="2616698"/>
    <n v="0"/>
    <m/>
    <m/>
    <m/>
    <m/>
    <m/>
    <s v="Chi phí hợp lý"/>
  </r>
  <r>
    <d v="2023-03-31T00:00:00"/>
    <d v="2023-03-31T00:00:00"/>
    <s v="KC202303"/>
    <m/>
    <m/>
    <s v="Kết chuyển lãi lỗ đến ngày 31/03/2023"/>
    <s v="Kết chuyển giá vốn hàng bán"/>
    <s v="154"/>
    <x v="15"/>
    <n v="0"/>
    <n v="1973427856"/>
    <m/>
    <m/>
    <m/>
    <m/>
    <m/>
    <s v="Chi phí hợp lý"/>
  </r>
  <r>
    <d v="2023-04-30T00:00:00"/>
    <d v="2023-04-30T00:00:00"/>
    <s v="KC202304"/>
    <m/>
    <m/>
    <s v="Kết chuyển lãi lỗ đến ngày 30/04/2023"/>
    <s v="Kết chuyển chi phí sản xuất"/>
    <s v="154"/>
    <x v="0"/>
    <n v="2113637"/>
    <n v="0"/>
    <m/>
    <m/>
    <m/>
    <m/>
    <m/>
    <s v="Chi phí hợp lý"/>
  </r>
  <r>
    <d v="2023-04-30T00:00:00"/>
    <d v="2023-04-30T00:00:00"/>
    <s v="KC202304"/>
    <m/>
    <m/>
    <s v="Kết chuyển lãi lỗ đến ngày 30/04/2023"/>
    <s v="Kết chuyển chi phí sản xuất"/>
    <s v="154"/>
    <x v="1"/>
    <n v="133604457"/>
    <n v="0"/>
    <m/>
    <m/>
    <m/>
    <m/>
    <m/>
    <s v="Chi phí hợp lý"/>
  </r>
  <r>
    <d v="2023-04-30T00:00:00"/>
    <d v="2023-04-30T00:00:00"/>
    <s v="KC202304"/>
    <m/>
    <m/>
    <s v="Kết chuyển lãi lỗ đến ngày 30/04/2023"/>
    <s v="Kết chuyển chi phí sản xuất"/>
    <s v="154"/>
    <x v="2"/>
    <n v="235511053"/>
    <n v="0"/>
    <m/>
    <m/>
    <m/>
    <m/>
    <m/>
    <s v="Chi phí hợp lý"/>
  </r>
  <r>
    <d v="2023-04-30T00:00:00"/>
    <d v="2023-04-30T00:00:00"/>
    <s v="KC202304"/>
    <m/>
    <m/>
    <s v="Kết chuyển lãi lỗ đến ngày 30/04/2023"/>
    <s v="Kết chuyển chi phí sản xuất"/>
    <s v="154"/>
    <x v="3"/>
    <n v="50628203"/>
    <n v="0"/>
    <m/>
    <m/>
    <m/>
    <m/>
    <m/>
    <s v="Chi phí hợp lý"/>
  </r>
  <r>
    <d v="2023-04-30T00:00:00"/>
    <d v="2023-04-30T00:00:00"/>
    <s v="KC202304"/>
    <m/>
    <m/>
    <s v="Kết chuyển lãi lỗ đến ngày 30/04/2023"/>
    <s v="Kết chuyển chi phí sản xuất"/>
    <s v="154"/>
    <x v="5"/>
    <n v="188626838"/>
    <n v="0"/>
    <m/>
    <m/>
    <m/>
    <m/>
    <m/>
    <s v="Chi phí hợp lý"/>
  </r>
  <r>
    <d v="2023-04-30T00:00:00"/>
    <d v="2023-04-30T00:00:00"/>
    <s v="KC202304"/>
    <m/>
    <m/>
    <s v="Kết chuyển lãi lỗ đến ngày 30/04/2023"/>
    <s v="Kết chuyển chi phí sản xuất"/>
    <s v="154"/>
    <x v="7"/>
    <n v="54949264"/>
    <n v="0"/>
    <m/>
    <m/>
    <m/>
    <m/>
    <m/>
    <s v="Chi phí hợp lý"/>
  </r>
  <r>
    <d v="2023-04-30T00:00:00"/>
    <d v="2023-04-30T00:00:00"/>
    <s v="KC202304"/>
    <m/>
    <m/>
    <s v="Kết chuyển lãi lỗ đến ngày 30/04/2023"/>
    <s v="Kết chuyển chi phí sản xuất"/>
    <s v="154"/>
    <x v="8"/>
    <n v="17428510"/>
    <n v="0"/>
    <m/>
    <m/>
    <m/>
    <m/>
    <m/>
    <s v="Chi phí hợp lý"/>
  </r>
  <r>
    <d v="2023-04-30T00:00:00"/>
    <d v="2023-04-30T00:00:00"/>
    <s v="KC202304"/>
    <m/>
    <m/>
    <s v="Kết chuyển lãi lỗ đến ngày 30/04/2023"/>
    <s v="Kết chuyển chi phí sản xuất"/>
    <s v="154"/>
    <x v="9"/>
    <n v="1215072394"/>
    <n v="0"/>
    <m/>
    <m/>
    <m/>
    <m/>
    <m/>
    <s v="Chi phí hợp lý"/>
  </r>
  <r>
    <d v="2023-04-30T00:00:00"/>
    <d v="2023-04-30T00:00:00"/>
    <s v="KC202304"/>
    <m/>
    <m/>
    <s v="Kết chuyển lãi lỗ đến ngày 30/04/2023"/>
    <s v="Kết chuyển chi phí sản xuất"/>
    <s v="154"/>
    <x v="10"/>
    <n v="4363636"/>
    <n v="0"/>
    <m/>
    <m/>
    <m/>
    <m/>
    <m/>
    <s v="Chi phí hợp lý"/>
  </r>
  <r>
    <d v="2023-04-30T00:00:00"/>
    <d v="2023-04-30T00:00:00"/>
    <s v="KC202304"/>
    <m/>
    <m/>
    <s v="Kết chuyển lãi lỗ đến ngày 30/04/2023"/>
    <s v="Kết chuyển chi phí sản xuất"/>
    <s v="154"/>
    <x v="11"/>
    <n v="10260000"/>
    <n v="0"/>
    <m/>
    <m/>
    <m/>
    <m/>
    <m/>
    <s v="Chi phí hợp lý"/>
  </r>
  <r>
    <d v="2023-04-30T00:00:00"/>
    <d v="2023-04-30T00:00:00"/>
    <s v="KC202304"/>
    <m/>
    <m/>
    <s v="Kết chuyển lãi lỗ đến ngày 30/04/2023"/>
    <s v="Kết chuyển chi phí sản xuất"/>
    <s v="154"/>
    <x v="12"/>
    <n v="5511196"/>
    <n v="0"/>
    <m/>
    <m/>
    <m/>
    <m/>
    <m/>
    <s v="Chi phí hợp lý"/>
  </r>
  <r>
    <d v="2023-04-30T00:00:00"/>
    <d v="2023-04-30T00:00:00"/>
    <s v="KC202304"/>
    <m/>
    <m/>
    <s v="Kết chuyển lãi lỗ đến ngày 30/04/2023"/>
    <s v="Kết chuyển chi phí sản xuất"/>
    <s v="154"/>
    <x v="13"/>
    <n v="15357000"/>
    <n v="0"/>
    <m/>
    <m/>
    <m/>
    <m/>
    <m/>
    <s v="Chi phí hợp lý"/>
  </r>
  <r>
    <d v="2023-04-30T00:00:00"/>
    <d v="2023-04-30T00:00:00"/>
    <s v="KC202304"/>
    <m/>
    <m/>
    <s v="Kết chuyển lãi lỗ đến ngày 30/04/2023"/>
    <s v="Kết chuyển chi phí sản xuất"/>
    <s v="154"/>
    <x v="14"/>
    <n v="1743663"/>
    <n v="0"/>
    <m/>
    <m/>
    <m/>
    <m/>
    <m/>
    <s v="Chi phí hợp lý"/>
  </r>
  <r>
    <d v="2023-04-30T00:00:00"/>
    <d v="2023-04-30T00:00:00"/>
    <s v="KC202304"/>
    <m/>
    <m/>
    <s v="Kết chuyển lãi lỗ đến ngày 30/04/2023"/>
    <s v="Kết chuyển giá vốn hàng bán"/>
    <s v="154"/>
    <x v="15"/>
    <n v="0"/>
    <n v="1935169851"/>
    <m/>
    <m/>
    <m/>
    <m/>
    <m/>
    <s v="Chi phí hợp lý"/>
  </r>
  <r>
    <d v="2023-05-31T00:00:00"/>
    <d v="2023-05-31T00:00:00"/>
    <s v="KC202305"/>
    <m/>
    <m/>
    <s v="Kết chuyển lãi lỗ đến ngày 31/05/2023"/>
    <s v="Kết chuyển chi phí sản xuất"/>
    <s v="154"/>
    <x v="0"/>
    <n v="2113637"/>
    <n v="0"/>
    <m/>
    <m/>
    <m/>
    <m/>
    <m/>
    <s v="Chi phí hợp lý"/>
  </r>
  <r>
    <d v="2023-05-31T00:00:00"/>
    <d v="2023-05-31T00:00:00"/>
    <s v="KC202305"/>
    <m/>
    <m/>
    <s v="Kết chuyển lãi lỗ đến ngày 31/05/2023"/>
    <s v="Kết chuyển chi phí sản xuất"/>
    <s v="154"/>
    <x v="1"/>
    <n v="211729673"/>
    <n v="0"/>
    <m/>
    <m/>
    <m/>
    <m/>
    <m/>
    <s v="Chi phí hợp lý"/>
  </r>
  <r>
    <d v="2023-05-31T00:00:00"/>
    <d v="2023-05-31T00:00:00"/>
    <s v="KC202305"/>
    <m/>
    <m/>
    <s v="Kết chuyển lãi lỗ đến ngày 31/05/2023"/>
    <s v="Kết chuyển chi phí sản xuất"/>
    <s v="154"/>
    <x v="2"/>
    <n v="150077917"/>
    <n v="0"/>
    <m/>
    <m/>
    <m/>
    <m/>
    <m/>
    <s v="Chi phí hợp lý"/>
  </r>
  <r>
    <d v="2023-05-31T00:00:00"/>
    <d v="2023-05-31T00:00:00"/>
    <s v="KC202305"/>
    <m/>
    <m/>
    <s v="Kết chuyển lãi lỗ đến ngày 31/05/2023"/>
    <s v="Kết chuyển chi phí sản xuất"/>
    <s v="154"/>
    <x v="3"/>
    <n v="50105843"/>
    <n v="0"/>
    <m/>
    <m/>
    <m/>
    <m/>
    <m/>
    <s v="Chi phí hợp lý"/>
  </r>
  <r>
    <d v="2023-05-31T00:00:00"/>
    <d v="2023-05-31T00:00:00"/>
    <s v="KC202305"/>
    <m/>
    <m/>
    <s v="Kết chuyển lãi lỗ đến ngày 31/05/2023"/>
    <s v="Kết chuyển chi phí sản xuất"/>
    <s v="154"/>
    <x v="5"/>
    <n v="198043073"/>
    <n v="0"/>
    <m/>
    <m/>
    <m/>
    <m/>
    <m/>
    <s v="Chi phí hợp lý"/>
  </r>
  <r>
    <d v="2023-05-31T00:00:00"/>
    <d v="2023-05-31T00:00:00"/>
    <s v="KC202305"/>
    <m/>
    <m/>
    <s v="Kết chuyển lãi lỗ đến ngày 31/05/2023"/>
    <s v="Kết chuyển chi phí sản xuất"/>
    <s v="154"/>
    <x v="7"/>
    <n v="54949264"/>
    <n v="0"/>
    <m/>
    <m/>
    <m/>
    <m/>
    <m/>
    <s v="Chi phí hợp lý"/>
  </r>
  <r>
    <d v="2023-05-31T00:00:00"/>
    <d v="2023-05-31T00:00:00"/>
    <s v="KC202305"/>
    <m/>
    <m/>
    <s v="Kết chuyển lãi lỗ đến ngày 31/05/2023"/>
    <s v="Kết chuyển chi phí sản xuất"/>
    <s v="154"/>
    <x v="8"/>
    <n v="17428510"/>
    <n v="0"/>
    <m/>
    <m/>
    <m/>
    <m/>
    <m/>
    <s v="Chi phí hợp lý"/>
  </r>
  <r>
    <d v="2023-05-31T00:00:00"/>
    <d v="2023-05-31T00:00:00"/>
    <s v="KC202305"/>
    <m/>
    <m/>
    <s v="Kết chuyển lãi lỗ đến ngày 31/05/2023"/>
    <s v="Kết chuyển chi phí sản xuất"/>
    <s v="154"/>
    <x v="9"/>
    <n v="336783759"/>
    <n v="0"/>
    <m/>
    <m/>
    <m/>
    <m/>
    <m/>
    <s v="Chi phí hợp lý"/>
  </r>
  <r>
    <d v="2023-05-31T00:00:00"/>
    <d v="2023-05-31T00:00:00"/>
    <s v="KC202305"/>
    <m/>
    <m/>
    <s v="Kết chuyển lãi lỗ đến ngày 31/05/2023"/>
    <s v="Kết chuyển chi phí sản xuất"/>
    <s v="154"/>
    <x v="10"/>
    <n v="4363636"/>
    <n v="0"/>
    <m/>
    <m/>
    <m/>
    <m/>
    <m/>
    <s v="Chi phí hợp lý"/>
  </r>
  <r>
    <d v="2023-05-31T00:00:00"/>
    <d v="2023-05-31T00:00:00"/>
    <s v="KC202305"/>
    <m/>
    <m/>
    <s v="Kết chuyển lãi lỗ đến ngày 31/05/2023"/>
    <s v="Kết chuyển chi phí sản xuất"/>
    <s v="154"/>
    <x v="11"/>
    <n v="6797500"/>
    <n v="0"/>
    <m/>
    <m/>
    <m/>
    <m/>
    <m/>
    <s v="Chi phí hợp lý"/>
  </r>
  <r>
    <d v="2023-05-31T00:00:00"/>
    <d v="2023-05-31T00:00:00"/>
    <s v="KC202305"/>
    <m/>
    <m/>
    <s v="Kết chuyển lãi lỗ đến ngày 31/05/2023"/>
    <s v="Kết chuyển chi phí sản xuất"/>
    <s v="154"/>
    <x v="12"/>
    <n v="4276112"/>
    <n v="0"/>
    <m/>
    <m/>
    <m/>
    <m/>
    <m/>
    <s v="Chi phí hợp lý"/>
  </r>
  <r>
    <d v="2023-05-31T00:00:00"/>
    <d v="2023-05-31T00:00:00"/>
    <s v="KC202305"/>
    <m/>
    <m/>
    <s v="Kết chuyển lãi lỗ đến ngày 31/05/2023"/>
    <s v="Kết chuyển chi phí sản xuất"/>
    <s v="154"/>
    <x v="13"/>
    <n v="16242000"/>
    <n v="0"/>
    <m/>
    <m/>
    <m/>
    <m/>
    <m/>
    <s v="Chi phí hợp lý"/>
  </r>
  <r>
    <d v="2023-05-31T00:00:00"/>
    <d v="2023-05-31T00:00:00"/>
    <s v="KC202305"/>
    <m/>
    <m/>
    <s v="Kết chuyển lãi lỗ đến ngày 31/05/2023"/>
    <s v="Kết chuyển chi phí sản xuất"/>
    <s v="154"/>
    <x v="14"/>
    <n v="3359006"/>
    <n v="0"/>
    <m/>
    <m/>
    <m/>
    <m/>
    <m/>
    <s v="Chi phí hợp lý"/>
  </r>
  <r>
    <d v="2023-05-31T00:00:00"/>
    <d v="2023-05-31T00:00:00"/>
    <s v="KC202305"/>
    <m/>
    <m/>
    <s v="Kết chuyển lãi lỗ đến ngày 31/05/2023"/>
    <s v="Kết chuyển giá vốn hàng bán"/>
    <s v="154"/>
    <x v="15"/>
    <n v="0"/>
    <n v="1056269930"/>
    <m/>
    <m/>
    <m/>
    <m/>
    <m/>
    <s v="Chi phí hợp lý"/>
  </r>
  <r>
    <d v="2023-06-30T00:00:00"/>
    <d v="2023-06-30T00:00:00"/>
    <s v="KC202307"/>
    <m/>
    <m/>
    <s v="Kết chuyển lãi lỗ đến ngày 30/06/2023"/>
    <s v="Kết chuyển chi phí sản xuất"/>
    <s v="154"/>
    <x v="0"/>
    <n v="2113637"/>
    <n v="0"/>
    <m/>
    <m/>
    <m/>
    <m/>
    <m/>
    <s v="Chi phí hợp lý"/>
  </r>
  <r>
    <d v="2023-06-30T00:00:00"/>
    <d v="2023-06-30T00:00:00"/>
    <s v="KC202307"/>
    <m/>
    <m/>
    <s v="Kết chuyển lãi lỗ đến ngày 30/06/2023"/>
    <s v="Kết chuyển chi phí sản xuất"/>
    <s v="154"/>
    <x v="1"/>
    <n v="211729673"/>
    <n v="0"/>
    <m/>
    <m/>
    <m/>
    <m/>
    <m/>
    <s v="Chi phí hợp lý"/>
  </r>
  <r>
    <d v="2023-06-30T00:00:00"/>
    <d v="2023-06-30T00:00:00"/>
    <s v="KC202307"/>
    <m/>
    <m/>
    <s v="Kết chuyển lãi lỗ đến ngày 30/06/2023"/>
    <s v="Kết chuyển chi phí sản xuất"/>
    <s v="154"/>
    <x v="2"/>
    <n v="47218852"/>
    <n v="0"/>
    <m/>
    <m/>
    <m/>
    <m/>
    <m/>
    <s v="Chi phí hợp lý"/>
  </r>
  <r>
    <d v="2023-06-30T00:00:00"/>
    <d v="2023-06-30T00:00:00"/>
    <s v="KC202307"/>
    <m/>
    <m/>
    <s v="Kết chuyển lãi lỗ đến ngày 30/06/2023"/>
    <s v="Kết chuyển chi phí sản xuất"/>
    <s v="154"/>
    <x v="3"/>
    <n v="47784220"/>
    <n v="0"/>
    <m/>
    <m/>
    <m/>
    <m/>
    <m/>
    <s v="Chi phí hợp lý"/>
  </r>
  <r>
    <d v="2023-06-30T00:00:00"/>
    <d v="2023-06-30T00:00:00"/>
    <s v="KC202307"/>
    <m/>
    <m/>
    <s v="Kết chuyển lãi lỗ đến ngày 30/06/2023"/>
    <s v="Kết chuyển chi phí sản xuất"/>
    <s v="154"/>
    <x v="5"/>
    <n v="213972534"/>
    <n v="0"/>
    <m/>
    <m/>
    <m/>
    <m/>
    <m/>
    <s v="Chi phí hợp lý"/>
  </r>
  <r>
    <d v="2023-06-30T00:00:00"/>
    <d v="2023-06-30T00:00:00"/>
    <s v="KC202307"/>
    <m/>
    <m/>
    <s v="Kết chuyển lãi lỗ đến ngày 30/06/2023"/>
    <s v="Kết chuyển chi phí sản xuất"/>
    <s v="154"/>
    <x v="7"/>
    <n v="54949263"/>
    <n v="0"/>
    <m/>
    <m/>
    <m/>
    <m/>
    <m/>
    <s v="Chi phí hợp lý"/>
  </r>
  <r>
    <d v="2023-06-30T00:00:00"/>
    <d v="2023-06-30T00:00:00"/>
    <s v="KC202307"/>
    <m/>
    <m/>
    <s v="Kết chuyển lãi lỗ đến ngày 30/06/2023"/>
    <s v="Kết chuyển chi phí sản xuất"/>
    <s v="154"/>
    <x v="8"/>
    <n v="17428510"/>
    <n v="0"/>
    <m/>
    <m/>
    <m/>
    <m/>
    <m/>
    <s v="Chi phí hợp lý"/>
  </r>
  <r>
    <d v="2023-06-30T00:00:00"/>
    <d v="2023-06-30T00:00:00"/>
    <s v="KC202307"/>
    <m/>
    <m/>
    <s v="Kết chuyển lãi lỗ đến ngày 30/06/2023"/>
    <s v="Kết chuyển chi phí sản xuất"/>
    <s v="154"/>
    <x v="9"/>
    <n v="311607994"/>
    <n v="0"/>
    <m/>
    <m/>
    <m/>
    <m/>
    <m/>
    <s v="Chi phí hợp lý"/>
  </r>
  <r>
    <d v="2023-06-30T00:00:00"/>
    <d v="2023-06-30T00:00:00"/>
    <s v="KC202307"/>
    <m/>
    <m/>
    <s v="Kết chuyển lãi lỗ đến ngày 30/06/2023"/>
    <s v="Kết chuyển chi phí sản xuất"/>
    <s v="154"/>
    <x v="10"/>
    <n v="4363636"/>
    <n v="0"/>
    <m/>
    <m/>
    <m/>
    <m/>
    <m/>
    <s v="Chi phí hợp lý"/>
  </r>
  <r>
    <d v="2023-06-30T00:00:00"/>
    <d v="2023-06-30T00:00:00"/>
    <s v="KC202307"/>
    <m/>
    <m/>
    <s v="Kết chuyển lãi lỗ đến ngày 30/06/2023"/>
    <s v="Kết chuyển chi phí sản xuất"/>
    <s v="154"/>
    <x v="11"/>
    <n v="4505000"/>
    <n v="0"/>
    <m/>
    <m/>
    <m/>
    <m/>
    <m/>
    <s v="Chi phí hợp lý"/>
  </r>
  <r>
    <d v="2023-06-30T00:00:00"/>
    <d v="2023-06-30T00:00:00"/>
    <s v="KC202307"/>
    <m/>
    <m/>
    <s v="Kết chuyển lãi lỗ đến ngày 30/06/2023"/>
    <s v="Kết chuyển chi phí sản xuất"/>
    <s v="154"/>
    <x v="12"/>
    <n v="6297813"/>
    <n v="0"/>
    <m/>
    <m/>
    <m/>
    <m/>
    <m/>
    <s v="Chi phí hợp lý"/>
  </r>
  <r>
    <d v="2023-06-30T00:00:00"/>
    <d v="2023-06-30T00:00:00"/>
    <s v="KC202307"/>
    <m/>
    <m/>
    <s v="Kết chuyển lãi lỗ đến ngày 30/06/2023"/>
    <s v="Kết chuyển chi phí sản xuất"/>
    <s v="154"/>
    <x v="13"/>
    <n v="7773000"/>
    <n v="0"/>
    <m/>
    <m/>
    <m/>
    <m/>
    <m/>
    <s v="Chi phí hợp lý"/>
  </r>
  <r>
    <d v="2023-06-30T00:00:00"/>
    <d v="2023-06-30T00:00:00"/>
    <s v="KC202307"/>
    <m/>
    <m/>
    <s v="Kết chuyển lãi lỗ đến ngày 30/06/2023"/>
    <s v="Kết chuyển chi phí sản xuất"/>
    <s v="154"/>
    <x v="14"/>
    <n v="4126725"/>
    <n v="0"/>
    <m/>
    <m/>
    <m/>
    <m/>
    <m/>
    <s v="Chi phí hợp lý"/>
  </r>
  <r>
    <d v="2023-06-30T00:00:00"/>
    <d v="2023-06-30T00:00:00"/>
    <s v="KC202307"/>
    <m/>
    <m/>
    <s v="Kết chuyển lãi lỗ đến ngày 30/06/2023"/>
    <s v="Kết chuyển giá vốn hàng bán"/>
    <s v="154"/>
    <x v="15"/>
    <n v="0"/>
    <n v="933870857"/>
    <m/>
    <m/>
    <m/>
    <m/>
    <m/>
    <s v="Chi phí hợp lý"/>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d v="2024-01-31T00:00:00"/>
    <d v="2024-01-31T00:00:00"/>
    <s v="KC2024.01"/>
    <s v="Kết chuyển lãi lỗ đến ngày 31/01/2024"/>
    <s v="Kết chuyển doanh thu bán hàng và cung cấp dịch vụ"/>
    <s v="911"/>
    <x v="0"/>
    <n v="0"/>
    <n v="6498264255"/>
    <m/>
    <m/>
    <m/>
    <s v="Chi phí hợp lý"/>
    <n v="-6498264255"/>
  </r>
  <r>
    <d v="2024-01-31T00:00:00"/>
    <d v="2024-01-31T00:00:00"/>
    <s v="KC2024.01"/>
    <s v="Kết chuyển lãi lỗ đến ngày 31/01/2024"/>
    <s v="Kết chuyển doanh thu hoạt động tài chính"/>
    <s v="911"/>
    <x v="1"/>
    <n v="0"/>
    <n v="373193"/>
    <m/>
    <m/>
    <m/>
    <s v="Chi phí hợp lý"/>
    <n v="-373193"/>
  </r>
  <r>
    <d v="2024-01-31T00:00:00"/>
    <d v="2024-01-31T00:00:00"/>
    <s v="KC2024.01"/>
    <s v="Kết chuyển lãi lỗ đến ngày 31/01/2024"/>
    <s v="Kết chuyển giá vốn hàng bán"/>
    <s v="911"/>
    <x v="2"/>
    <n v="6358361554"/>
    <n v="0"/>
    <m/>
    <m/>
    <m/>
    <s v="Chi phí hợp lý"/>
    <n v="6358361554"/>
  </r>
  <r>
    <d v="2024-01-31T00:00:00"/>
    <d v="2024-01-31T00:00:00"/>
    <s v="KC2024.01"/>
    <s v="Kết chuyển lãi lỗ đến ngày 31/01/2024"/>
    <s v="Kết chuyển chi phí bán hàng"/>
    <s v="911"/>
    <x v="3"/>
    <n v="4125000"/>
    <n v="0"/>
    <m/>
    <m/>
    <m/>
    <s v="Chi phí hợp lý"/>
    <n v="4125000"/>
  </r>
  <r>
    <d v="2024-01-31T00:00:00"/>
    <d v="2024-01-31T00:00:00"/>
    <s v="KC2024.01"/>
    <s v="Kết chuyển lãi lỗ đến ngày 31/01/2024"/>
    <s v="Kết chuyển chi phí quản lý doanh nghiệp"/>
    <s v="911"/>
    <x v="4"/>
    <n v="18871369"/>
    <n v="0"/>
    <m/>
    <m/>
    <m/>
    <s v="Chi phí hợp lý"/>
    <n v="18871369"/>
  </r>
  <r>
    <d v="2024-01-31T00:00:00"/>
    <d v="2024-01-31T00:00:00"/>
    <s v="KC2024.01"/>
    <s v="Kết chuyển lãi lỗ đến ngày 31/01/2024"/>
    <s v="Kết chuyển chi phí quản lý doanh nghiệp"/>
    <s v="911"/>
    <x v="5"/>
    <n v="1435000"/>
    <n v="0"/>
    <m/>
    <m/>
    <m/>
    <s v="Chi phí hợp lý"/>
    <n v="1435000"/>
  </r>
  <r>
    <d v="2024-01-31T00:00:00"/>
    <d v="2024-01-31T00:00:00"/>
    <s v="KC2024.01"/>
    <s v="Kết chuyển lãi lỗ đến ngày 31/01/2024"/>
    <s v="Kết chuyển chi phí quản lý doanh nghiệp"/>
    <s v="911"/>
    <x v="6"/>
    <n v="3000000"/>
    <n v="0"/>
    <m/>
    <m/>
    <m/>
    <s v="Chi phí hợp lý"/>
    <n v="3000000"/>
  </r>
  <r>
    <d v="2024-01-31T00:00:00"/>
    <d v="2024-01-31T00:00:00"/>
    <s v="KC2024.01"/>
    <s v="Kết chuyển lãi lỗ đến ngày 31/01/2024"/>
    <s v="Kết chuyển chi phí quản lý doanh nghiệp"/>
    <s v="911"/>
    <x v="7"/>
    <n v="308000"/>
    <n v="0"/>
    <m/>
    <m/>
    <m/>
    <s v="Chi phí hợp lý"/>
    <n v="308000"/>
  </r>
  <r>
    <d v="2024-01-31T00:00:00"/>
    <d v="2024-01-31T00:00:00"/>
    <s v="KC2024.01"/>
    <s v="Kết chuyển lãi lỗ đến ngày 31/01/2024"/>
    <s v="Kết chuyển chi phí quản lý doanh nghiệp"/>
    <s v="911"/>
    <x v="8"/>
    <n v="13037261"/>
    <n v="0"/>
    <m/>
    <m/>
    <m/>
    <s v="Chi phí hợp lý"/>
    <n v="13037261"/>
  </r>
  <r>
    <d v="2024-01-31T00:00:00"/>
    <d v="2024-01-31T00:00:00"/>
    <s v="KC2024.01"/>
    <s v="Kết chuyển lãi lỗ đến ngày 31/01/2024"/>
    <s v="Kết chuyển chi phí quản lý doanh nghiệp"/>
    <s v="911"/>
    <x v="9"/>
    <n v="2721597"/>
    <n v="0"/>
    <m/>
    <m/>
    <m/>
    <s v="Chi phí hợp lý"/>
    <n v="2721597"/>
  </r>
  <r>
    <d v="2024-01-31T00:00:00"/>
    <d v="2024-01-31T00:00:00"/>
    <s v="KC2024.01"/>
    <s v="Kết chuyển lãi lỗ đến ngày 31/01/2024"/>
    <s v="Kết chuyển kết quả hoạt động kinh doanh trong kỳ"/>
    <s v="911"/>
    <x v="10"/>
    <n v="96777667"/>
    <n v="0"/>
    <m/>
    <m/>
    <m/>
    <s v="Chi phí hợp lý"/>
    <n v="96777667"/>
  </r>
  <r>
    <d v="2024-02-29T00:00:00"/>
    <d v="2024-02-29T00:00:00"/>
    <s v="KC2024.02"/>
    <s v="Kết chuyển lãi lỗ đến ngày 29/02/2024"/>
    <s v="Kết chuyển doanh thu bán hàng và cung cấp dịch vụ"/>
    <s v="911"/>
    <x v="0"/>
    <n v="0"/>
    <n v="4248545679"/>
    <m/>
    <m/>
    <m/>
    <s v="Chi phí hợp lý"/>
    <n v="-4248545679"/>
  </r>
  <r>
    <d v="2024-02-29T00:00:00"/>
    <d v="2024-02-29T00:00:00"/>
    <s v="KC2024.02"/>
    <s v="Kết chuyển lãi lỗ đến ngày 29/02/2024"/>
    <s v="Kết chuyển doanh thu hoạt động tài chính"/>
    <s v="911"/>
    <x v="1"/>
    <n v="0"/>
    <n v="11738859"/>
    <m/>
    <m/>
    <m/>
    <s v="Chi phí hợp lý"/>
    <n v="-11738859"/>
  </r>
  <r>
    <d v="2024-02-29T00:00:00"/>
    <d v="2024-02-29T00:00:00"/>
    <s v="KC2024.02"/>
    <s v="Kết chuyển lãi lỗ đến ngày 29/02/2024"/>
    <s v="Kết chuyển giá vốn hàng bán"/>
    <s v="911"/>
    <x v="2"/>
    <n v="4117504911"/>
    <n v="0"/>
    <m/>
    <m/>
    <m/>
    <s v="Chi phí hợp lý"/>
    <n v="4117504911"/>
  </r>
  <r>
    <d v="2024-02-29T00:00:00"/>
    <d v="2024-02-29T00:00:00"/>
    <s v="KC2024.02"/>
    <s v="Kết chuyển lãi lỗ đến ngày 29/02/2024"/>
    <s v="Kết chuyển chi phí bán hàng"/>
    <s v="911"/>
    <x v="3"/>
    <n v="4125000"/>
    <n v="0"/>
    <m/>
    <m/>
    <m/>
    <s v="Chi phí hợp lý"/>
    <n v="4125000"/>
  </r>
  <r>
    <d v="2024-02-29T00:00:00"/>
    <d v="2024-02-29T00:00:00"/>
    <s v="KC2024.02"/>
    <s v="Kết chuyển lãi lỗ đến ngày 29/02/2024"/>
    <s v="Kết chuyển chi phí quản lý doanh nghiệp"/>
    <s v="911"/>
    <x v="4"/>
    <n v="19333377"/>
    <n v="0"/>
    <m/>
    <m/>
    <m/>
    <s v="Chi phí hợp lý"/>
    <n v="19333377"/>
  </r>
  <r>
    <d v="2024-02-29T00:00:00"/>
    <d v="2024-02-29T00:00:00"/>
    <s v="KC2024.02"/>
    <s v="Kết chuyển lãi lỗ đến ngày 29/02/2024"/>
    <s v="Kết chuyển chi phí quản lý doanh nghiệp"/>
    <s v="911"/>
    <x v="5"/>
    <n v="1435000"/>
    <n v="0"/>
    <m/>
    <m/>
    <m/>
    <s v="Chi phí hợp lý"/>
    <n v="1435000"/>
  </r>
  <r>
    <d v="2024-02-29T00:00:00"/>
    <d v="2024-02-29T00:00:00"/>
    <s v="KC2024.02"/>
    <s v="Kết chuyển lãi lỗ đến ngày 29/02/2024"/>
    <s v="Kết chuyển chi phí quản lý doanh nghiệp"/>
    <s v="911"/>
    <x v="7"/>
    <n v="253000"/>
    <n v="0"/>
    <m/>
    <m/>
    <m/>
    <s v="Chi phí hợp lý"/>
    <n v="253000"/>
  </r>
  <r>
    <d v="2024-02-29T00:00:00"/>
    <d v="2024-02-29T00:00:00"/>
    <s v="KC2024.02"/>
    <s v="Kết chuyển lãi lỗ đến ngày 29/02/2024"/>
    <s v="Kết chuyển chi phí quản lý doanh nghiệp"/>
    <s v="911"/>
    <x v="11"/>
    <n v="5558800"/>
    <n v="0"/>
    <m/>
    <m/>
    <m/>
    <s v="Chi phí hợp lý"/>
    <n v="5558800"/>
  </r>
  <r>
    <d v="2024-02-29T00:00:00"/>
    <d v="2024-02-29T00:00:00"/>
    <s v="KC2024.02"/>
    <s v="Kết chuyển lãi lỗ đến ngày 29/02/2024"/>
    <s v="Kết chuyển chi phí quản lý doanh nghiệp"/>
    <s v="911"/>
    <x v="8"/>
    <n v="13037261"/>
    <n v="0"/>
    <m/>
    <m/>
    <m/>
    <s v="Chi phí hợp lý"/>
    <n v="13037261"/>
  </r>
  <r>
    <d v="2024-02-29T00:00:00"/>
    <d v="2024-02-29T00:00:00"/>
    <s v="KC2024.02"/>
    <s v="Kết chuyển lãi lỗ đến ngày 29/02/2024"/>
    <s v="Kết chuyển chi phí quản lý doanh nghiệp"/>
    <s v="911"/>
    <x v="9"/>
    <n v="2721597"/>
    <n v="0"/>
    <m/>
    <m/>
    <m/>
    <s v="Chi phí hợp lý"/>
    <n v="2721597"/>
  </r>
  <r>
    <d v="2024-02-29T00:00:00"/>
    <d v="2024-02-29T00:00:00"/>
    <s v="KC2024.02"/>
    <s v="Kết chuyển lãi lỗ đến ngày 29/02/2024"/>
    <s v="Kết chuyển kết quả hoạt động kinh doanh trong kỳ"/>
    <s v="911"/>
    <x v="10"/>
    <n v="96315592"/>
    <n v="0"/>
    <m/>
    <m/>
    <m/>
    <s v="Chi phí hợp lý"/>
    <n v="96315592"/>
  </r>
  <r>
    <d v="2024-03-31T00:00:00"/>
    <d v="2024-03-31T00:00:00"/>
    <s v="KC2024.03"/>
    <s v="Kết chuyển lãi lỗ đến ngày 31/03/2024"/>
    <s v="Kết chuyển doanh thu bán hàng và cung cấp dịch vụ"/>
    <s v="911"/>
    <x v="0"/>
    <n v="0"/>
    <n v="5235583738"/>
    <m/>
    <m/>
    <m/>
    <s v="Chi phí hợp lý"/>
    <n v="-5235583738"/>
  </r>
  <r>
    <d v="2024-03-31T00:00:00"/>
    <d v="2024-03-31T00:00:00"/>
    <s v="KC2024.03"/>
    <s v="Kết chuyển lãi lỗ đến ngày 31/03/2024"/>
    <s v="Kết chuyển doanh thu hoạt động tài chính"/>
    <s v="911"/>
    <x v="1"/>
    <n v="0"/>
    <n v="8346312"/>
    <m/>
    <m/>
    <m/>
    <s v="Chi phí hợp lý"/>
    <n v="-8346312"/>
  </r>
  <r>
    <d v="2024-03-31T00:00:00"/>
    <d v="2024-03-31T00:00:00"/>
    <s v="KC2024.03"/>
    <s v="Kết chuyển lãi lỗ đến ngày 31/03/2024"/>
    <s v="Kết chuyển giá vốn hàng bán"/>
    <s v="911"/>
    <x v="2"/>
    <n v="5102590632"/>
    <n v="0"/>
    <m/>
    <m/>
    <m/>
    <s v="Chi phí hợp lý"/>
    <n v="5102590632"/>
  </r>
  <r>
    <d v="2024-03-31T00:00:00"/>
    <d v="2024-03-31T00:00:00"/>
    <s v="KC2024.03"/>
    <s v="Kết chuyển lãi lỗ đến ngày 31/03/2024"/>
    <s v="Kết chuyển chi phí bán hàng"/>
    <s v="911"/>
    <x v="3"/>
    <n v="2145000"/>
    <n v="0"/>
    <m/>
    <m/>
    <m/>
    <s v="Chi phí hợp lý"/>
    <n v="2145000"/>
  </r>
  <r>
    <d v="2024-03-31T00:00:00"/>
    <d v="2024-03-31T00:00:00"/>
    <s v="KC2024.03"/>
    <s v="Kết chuyển lãi lỗ đến ngày 31/03/2024"/>
    <s v="Kết chuyển chi phí quản lý doanh nghiệp"/>
    <s v="911"/>
    <x v="4"/>
    <n v="18887131"/>
    <n v="0"/>
    <m/>
    <m/>
    <m/>
    <s v="Chi phí hợp lý"/>
    <n v="18887131"/>
  </r>
  <r>
    <d v="2024-03-31T00:00:00"/>
    <d v="2024-03-31T00:00:00"/>
    <s v="KC2024.03"/>
    <s v="Kết chuyển lãi lỗ đến ngày 31/03/2024"/>
    <s v="Kết chuyển chi phí quản lý doanh nghiệp"/>
    <s v="911"/>
    <x v="5"/>
    <n v="1435000"/>
    <n v="0"/>
    <m/>
    <m/>
    <m/>
    <s v="Chi phí hợp lý"/>
    <n v="1435000"/>
  </r>
  <r>
    <d v="2024-03-31T00:00:00"/>
    <d v="2024-03-31T00:00:00"/>
    <s v="KC2024.03"/>
    <s v="Kết chuyển lãi lỗ đến ngày 31/03/2024"/>
    <s v="Kết chuyển chi phí quản lý doanh nghiệp"/>
    <s v="911"/>
    <x v="7"/>
    <n v="583000"/>
    <n v="0"/>
    <m/>
    <m/>
    <m/>
    <s v="Chi phí hợp lý"/>
    <n v="583000"/>
  </r>
  <r>
    <d v="2024-03-31T00:00:00"/>
    <d v="2024-03-31T00:00:00"/>
    <s v="KC2024.03"/>
    <s v="Kết chuyển lãi lỗ đến ngày 31/03/2024"/>
    <s v="Kết chuyển chi phí quản lý doanh nghiệp"/>
    <s v="911"/>
    <x v="11"/>
    <n v="3120959"/>
    <n v="0"/>
    <m/>
    <m/>
    <m/>
    <s v="Chi phí hợp lý"/>
    <n v="3120959"/>
  </r>
  <r>
    <d v="2024-03-31T00:00:00"/>
    <d v="2024-03-31T00:00:00"/>
    <s v="KC2024.03"/>
    <s v="Kết chuyển lãi lỗ đến ngày 31/03/2024"/>
    <s v="Kết chuyển chi phí quản lý doanh nghiệp"/>
    <s v="911"/>
    <x v="8"/>
    <n v="13037261"/>
    <n v="0"/>
    <m/>
    <m/>
    <m/>
    <s v="Chi phí hợp lý"/>
    <n v="13037261"/>
  </r>
  <r>
    <d v="2024-03-31T00:00:00"/>
    <d v="2024-03-31T00:00:00"/>
    <s v="KC2024.03"/>
    <s v="Kết chuyển lãi lỗ đến ngày 31/03/2024"/>
    <s v="Kết chuyển chi phí quản lý doanh nghiệp"/>
    <s v="911"/>
    <x v="9"/>
    <n v="3864597"/>
    <n v="0"/>
    <m/>
    <m/>
    <m/>
    <s v="Chi phí hợp lý"/>
    <n v="3864597"/>
  </r>
  <r>
    <d v="2024-03-31T00:00:00"/>
    <d v="2024-03-31T00:00:00"/>
    <s v="KC2024.03"/>
    <s v="Kết chuyển lãi lỗ đến ngày 31/03/2024"/>
    <s v="Kết chuyển kết quả hoạt động kinh doanh trong kỳ"/>
    <s v="911"/>
    <x v="10"/>
    <n v="98266470"/>
    <n v="0"/>
    <m/>
    <m/>
    <m/>
    <s v="Chi phí hợp lý"/>
    <n v="98266470"/>
  </r>
  <r>
    <d v="2024-04-30T00:00:00"/>
    <d v="2024-04-30T00:00:00"/>
    <s v="KC2024.04"/>
    <s v="Kết chuyển lãi lỗ đến ngày 30/04/2024"/>
    <s v="Kết chuyển doanh thu bán hàng và cung cấp dịch vụ"/>
    <s v="911"/>
    <x v="0"/>
    <n v="0"/>
    <n v="5093577229"/>
    <m/>
    <m/>
    <m/>
    <s v="Chi phí hợp lý"/>
    <n v="-5093577229"/>
  </r>
  <r>
    <d v="2024-04-30T00:00:00"/>
    <d v="2024-04-30T00:00:00"/>
    <s v="KC2024.04"/>
    <s v="Kết chuyển lãi lỗ đến ngày 30/04/2024"/>
    <s v="Kết chuyển doanh thu hoạt động tài chính"/>
    <s v="911"/>
    <x v="1"/>
    <n v="0"/>
    <n v="12099570"/>
    <m/>
    <m/>
    <m/>
    <s v="Chi phí hợp lý"/>
    <n v="-12099570"/>
  </r>
  <r>
    <d v="2024-04-30T00:00:00"/>
    <d v="2024-04-30T00:00:00"/>
    <s v="KC2024.04"/>
    <s v="Kết chuyển lãi lỗ đến ngày 30/04/2024"/>
    <s v="Kết chuyển giá vốn hàng bán"/>
    <s v="911"/>
    <x v="2"/>
    <n v="4950761565"/>
    <n v="0"/>
    <m/>
    <m/>
    <m/>
    <s v="Chi phí hợp lý"/>
    <n v="4950761565"/>
  </r>
  <r>
    <d v="2024-04-30T00:00:00"/>
    <d v="2024-04-30T00:00:00"/>
    <s v="KC2024.04"/>
    <s v="Kết chuyển lãi lỗ đến ngày 30/04/2024"/>
    <s v="Kết chuyển chi phí bán hàng"/>
    <s v="911"/>
    <x v="3"/>
    <n v="2145000"/>
    <n v="0"/>
    <m/>
    <m/>
    <m/>
    <s v="Chi phí hợp lý"/>
    <n v="2145000"/>
  </r>
  <r>
    <d v="2024-04-30T00:00:00"/>
    <d v="2024-04-30T00:00:00"/>
    <s v="KC2024.04"/>
    <s v="Kết chuyển lãi lỗ đến ngày 30/04/2024"/>
    <s v="Kết chuyển chi phí quản lý doanh nghiệp"/>
    <s v="911"/>
    <x v="4"/>
    <n v="19338932"/>
    <n v="0"/>
    <m/>
    <m/>
    <m/>
    <s v="Chi phí hợp lý"/>
    <n v="19338932"/>
  </r>
  <r>
    <d v="2024-04-30T00:00:00"/>
    <d v="2024-04-30T00:00:00"/>
    <s v="KC2024.04"/>
    <s v="Kết chuyển lãi lỗ đến ngày 30/04/2024"/>
    <s v="Kết chuyển chi phí quản lý doanh nghiệp"/>
    <s v="911"/>
    <x v="5"/>
    <n v="1435000"/>
    <n v="0"/>
    <m/>
    <m/>
    <m/>
    <s v="Chi phí hợp lý"/>
    <n v="1435000"/>
  </r>
  <r>
    <d v="2024-04-30T00:00:00"/>
    <d v="2024-04-30T00:00:00"/>
    <s v="KC2024.04"/>
    <s v="Kết chuyển lãi lỗ đến ngày 30/04/2024"/>
    <s v="Kết chuyển chi phí quản lý doanh nghiệp"/>
    <s v="911"/>
    <x v="7"/>
    <n v="264000"/>
    <n v="0"/>
    <m/>
    <m/>
    <m/>
    <s v="Chi phí hợp lý"/>
    <n v="264000"/>
  </r>
  <r>
    <d v="2024-04-30T00:00:00"/>
    <d v="2024-04-30T00:00:00"/>
    <s v="KC2024.04"/>
    <s v="Kết chuyển lãi lỗ đến ngày 30/04/2024"/>
    <s v="Kết chuyển chi phí quản lý doanh nghiệp"/>
    <s v="911"/>
    <x v="11"/>
    <n v="4247384"/>
    <n v="0"/>
    <m/>
    <m/>
    <m/>
    <s v="Chi phí hợp lý"/>
    <n v="4247384"/>
  </r>
  <r>
    <d v="2024-04-30T00:00:00"/>
    <d v="2024-04-30T00:00:00"/>
    <s v="KC2024.04"/>
    <s v="Kết chuyển lãi lỗ đến ngày 30/04/2024"/>
    <s v="Kết chuyển chi phí quản lý doanh nghiệp"/>
    <s v="911"/>
    <x v="8"/>
    <n v="10644400"/>
    <n v="0"/>
    <m/>
    <m/>
    <m/>
    <s v="Chi phí hợp lý"/>
    <n v="10644400"/>
  </r>
  <r>
    <d v="2024-04-30T00:00:00"/>
    <d v="2024-04-30T00:00:00"/>
    <s v="KC2024.04"/>
    <s v="Kết chuyển lãi lỗ đến ngày 30/04/2024"/>
    <s v="Kết chuyển chi phí quản lý doanh nghiệp"/>
    <s v="911"/>
    <x v="9"/>
    <n v="1381597"/>
    <n v="0"/>
    <m/>
    <m/>
    <m/>
    <s v="Chi phí hợp lý"/>
    <n v="1381597"/>
  </r>
  <r>
    <d v="2024-04-30T00:00:00"/>
    <d v="2024-04-30T00:00:00"/>
    <s v="KC2024.04"/>
    <s v="Kết chuyển lãi lỗ đến ngày 30/04/2024"/>
    <s v="Kết chuyển kết quả hoạt động kinh doanh trong kỳ"/>
    <s v="911"/>
    <x v="10"/>
    <n v="115458921"/>
    <n v="0"/>
    <m/>
    <m/>
    <m/>
    <s v="Chi phí hợp lý"/>
    <n v="115458921"/>
  </r>
  <r>
    <d v="2024-05-31T00:00:00"/>
    <d v="2024-05-31T00:00:00"/>
    <s v="KC2024.05"/>
    <s v="Kết chuyển lãi lỗ đến ngày 31/05/2024"/>
    <s v="Kết chuyển doanh thu bán hàng và cung cấp dịch vụ"/>
    <s v="911"/>
    <x v="0"/>
    <n v="0"/>
    <n v="2164908706"/>
    <m/>
    <m/>
    <m/>
    <s v="Chi phí hợp lý"/>
    <n v="-2164908706"/>
  </r>
  <r>
    <d v="2024-05-31T00:00:00"/>
    <d v="2024-05-31T00:00:00"/>
    <s v="KC2024.05"/>
    <s v="Kết chuyển lãi lỗ đến ngày 31/05/2024"/>
    <s v="Kết chuyển doanh thu hoạt động tài chính"/>
    <s v="911"/>
    <x v="1"/>
    <n v="0"/>
    <n v="5586090"/>
    <m/>
    <m/>
    <m/>
    <s v="Chi phí hợp lý"/>
    <n v="-5586090"/>
  </r>
  <r>
    <d v="2024-05-31T00:00:00"/>
    <d v="2024-05-31T00:00:00"/>
    <s v="KC2024.05"/>
    <s v="Kết chuyển lãi lỗ đến ngày 31/05/2024"/>
    <s v="Kết chuyển giá vốn hàng bán"/>
    <s v="911"/>
    <x v="2"/>
    <n v="2107493311"/>
    <n v="0"/>
    <m/>
    <m/>
    <m/>
    <s v="Chi phí hợp lý"/>
    <n v="2107493311"/>
  </r>
  <r>
    <d v="2024-05-31T00:00:00"/>
    <d v="2024-05-31T00:00:00"/>
    <s v="KC2024.05"/>
    <s v="Kết chuyển lãi lỗ đến ngày 31/05/2024"/>
    <s v="Kết chuyển chi phí bán hàng"/>
    <s v="911"/>
    <x v="3"/>
    <n v="2145000"/>
    <n v="0"/>
    <m/>
    <m/>
    <m/>
    <s v="Chi phí hợp lý"/>
    <n v="2145000"/>
  </r>
  <r>
    <d v="2024-05-31T00:00:00"/>
    <d v="2024-05-31T00:00:00"/>
    <s v="KC2024.05"/>
    <s v="Kết chuyển lãi lỗ đến ngày 31/05/2024"/>
    <s v="Kết chuyển chi phí quản lý doanh nghiệp"/>
    <s v="911"/>
    <x v="4"/>
    <n v="18958333"/>
    <n v="0"/>
    <m/>
    <m/>
    <m/>
    <s v="Chi phí hợp lý"/>
    <n v="18958333"/>
  </r>
  <r>
    <d v="2024-05-31T00:00:00"/>
    <d v="2024-05-31T00:00:00"/>
    <s v="KC2024.05"/>
    <s v="Kết chuyển lãi lỗ đến ngày 31/05/2024"/>
    <s v="Kết chuyển chi phí quản lý doanh nghiệp"/>
    <s v="911"/>
    <x v="5"/>
    <n v="1435000"/>
    <n v="0"/>
    <m/>
    <m/>
    <m/>
    <s v="Chi phí hợp lý"/>
    <n v="1435000"/>
  </r>
  <r>
    <d v="2024-05-31T00:00:00"/>
    <d v="2024-05-31T00:00:00"/>
    <s v="KC2024.05"/>
    <s v="Kết chuyển lãi lỗ đến ngày 31/05/2024"/>
    <s v="Kết chuyển chi phí quản lý doanh nghiệp"/>
    <s v="911"/>
    <x v="7"/>
    <n v="154000"/>
    <n v="0"/>
    <m/>
    <m/>
    <m/>
    <s v="Chi phí hợp lý"/>
    <n v="154000"/>
  </r>
  <r>
    <d v="2024-05-31T00:00:00"/>
    <d v="2024-05-31T00:00:00"/>
    <s v="KC2024.05"/>
    <s v="Kết chuyển lãi lỗ đến ngày 31/05/2024"/>
    <s v="Kết chuyển chi phí quản lý doanh nghiệp"/>
    <s v="911"/>
    <x v="11"/>
    <n v="5983603"/>
    <n v="0"/>
    <m/>
    <m/>
    <m/>
    <s v="Chi phí hợp lý"/>
    <n v="5983603"/>
  </r>
  <r>
    <d v="2024-05-31T00:00:00"/>
    <d v="2024-05-31T00:00:00"/>
    <s v="KC2024.05"/>
    <s v="Kết chuyển lãi lỗ đến ngày 31/05/2024"/>
    <s v="Kết chuyển chi phí quản lý doanh nghiệp"/>
    <s v="911"/>
    <x v="8"/>
    <n v="10644400"/>
    <n v="0"/>
    <m/>
    <m/>
    <m/>
    <s v="Chi phí hợp lý"/>
    <n v="10644400"/>
  </r>
  <r>
    <d v="2024-05-31T00:00:00"/>
    <d v="2024-05-31T00:00:00"/>
    <s v="KC2024.05"/>
    <s v="Kết chuyển lãi lỗ đến ngày 31/05/2024"/>
    <s v="Kết chuyển chi phí quản lý doanh nghiệp"/>
    <s v="911"/>
    <x v="9"/>
    <n v="13377997"/>
    <n v="0"/>
    <m/>
    <m/>
    <m/>
    <s v="Chi phí hợp lý"/>
    <n v="13377997"/>
  </r>
  <r>
    <d v="2024-05-31T00:00:00"/>
    <d v="2024-05-31T00:00:00"/>
    <s v="KC2024.05"/>
    <s v="Kết chuyển lãi lỗ đến ngày 31/05/2024"/>
    <s v="Kết chuyển kết quả hoạt động kinh doanh trong kỳ"/>
    <s v="911"/>
    <x v="10"/>
    <n v="10303152"/>
    <n v="0"/>
    <m/>
    <m/>
    <m/>
    <s v="Chi phí hợp lý"/>
    <n v="10303152"/>
  </r>
  <r>
    <d v="2024-06-30T00:00:00"/>
    <d v="2024-06-30T00:00:00"/>
    <s v="KC2024.06"/>
    <s v="Kết chuyển lãi lỗ đến ngày 30/06/2024"/>
    <s v="Kết chuyển doanh thu bán hàng và cung cấp dịch vụ"/>
    <s v="911"/>
    <x v="0"/>
    <n v="0"/>
    <n v="3693965770"/>
    <m/>
    <m/>
    <m/>
    <s v="Chi phí hợp lý"/>
    <n v="-3693965770"/>
  </r>
  <r>
    <d v="2024-06-30T00:00:00"/>
    <d v="2024-06-30T00:00:00"/>
    <s v="KC2024.06"/>
    <s v="Kết chuyển lãi lỗ đến ngày 30/06/2024"/>
    <s v="Kết chuyển doanh thu hoạt động tài chính"/>
    <s v="911"/>
    <x v="1"/>
    <n v="0"/>
    <n v="1592296"/>
    <m/>
    <m/>
    <m/>
    <s v="Chi phí hợp lý"/>
    <n v="-1592296"/>
  </r>
  <r>
    <d v="2024-06-30T00:00:00"/>
    <d v="2024-06-30T00:00:00"/>
    <s v="KC2024.06"/>
    <s v="Kết chuyển lãi lỗ đến ngày 30/06/2024"/>
    <s v="Kết chuyển giá vốn hàng bán"/>
    <s v="911"/>
    <x v="2"/>
    <n v="3655228111"/>
    <n v="0"/>
    <m/>
    <m/>
    <m/>
    <s v="Chi phí hợp lý"/>
    <n v="3655228111"/>
  </r>
  <r>
    <d v="2024-06-30T00:00:00"/>
    <d v="2024-06-30T00:00:00"/>
    <s v="KC2024.06"/>
    <s v="Kết chuyển lãi lỗ đến ngày 30/06/2024"/>
    <s v="Kết chuyển chi phí bán hàng"/>
    <s v="911"/>
    <x v="3"/>
    <n v="2860000"/>
    <n v="0"/>
    <m/>
    <m/>
    <m/>
    <s v="Chi phí hợp lý"/>
    <n v="2860000"/>
  </r>
  <r>
    <d v="2024-06-30T00:00:00"/>
    <d v="2024-06-30T00:00:00"/>
    <s v="KC2024.06"/>
    <s v="Kết chuyển lãi lỗ đến ngày 30/06/2024"/>
    <s v="Kết chuyển chi phí quản lý doanh nghiệp"/>
    <s v="911"/>
    <x v="4"/>
    <n v="18836763"/>
    <n v="0"/>
    <m/>
    <m/>
    <m/>
    <s v="Chi phí hợp lý"/>
    <n v="18836763"/>
  </r>
  <r>
    <d v="2024-06-30T00:00:00"/>
    <d v="2024-06-30T00:00:00"/>
    <s v="KC2024.06"/>
    <s v="Kết chuyển lãi lỗ đến ngày 30/06/2024"/>
    <s v="Kết chuyển chi phí quản lý doanh nghiệp"/>
    <s v="911"/>
    <x v="5"/>
    <n v="1435000"/>
    <n v="0"/>
    <m/>
    <m/>
    <m/>
    <s v="Chi phí hợp lý"/>
    <n v="1435000"/>
  </r>
  <r>
    <d v="2024-06-30T00:00:00"/>
    <d v="2024-06-30T00:00:00"/>
    <s v="KC2024.06"/>
    <s v="Kết chuyển lãi lỗ đến ngày 30/06/2024"/>
    <s v="Kết chuyển chi phí quản lý doanh nghiệp"/>
    <s v="911"/>
    <x v="7"/>
    <n v="154055"/>
    <n v="0"/>
    <m/>
    <m/>
    <m/>
    <s v="Chi phí hợp lý"/>
    <n v="154055"/>
  </r>
  <r>
    <d v="2024-06-30T00:00:00"/>
    <d v="2024-06-30T00:00:00"/>
    <s v="KC2024.06"/>
    <s v="Kết chuyển lãi lỗ đến ngày 30/06/2024"/>
    <s v="Kết chuyển chi phí quản lý doanh nghiệp"/>
    <s v="911"/>
    <x v="11"/>
    <n v="9269715"/>
    <n v="0"/>
    <m/>
    <m/>
    <m/>
    <s v="Chi phí hợp lý"/>
    <n v="9269715"/>
  </r>
  <r>
    <d v="2024-06-30T00:00:00"/>
    <d v="2024-06-30T00:00:00"/>
    <s v="KC2024.06"/>
    <s v="Kết chuyển lãi lỗ đến ngày 30/06/2024"/>
    <s v="Kết chuyển chi phí quản lý doanh nghiệp"/>
    <s v="911"/>
    <x v="8"/>
    <n v="10644400"/>
    <n v="0"/>
    <m/>
    <m/>
    <m/>
    <s v="Chi phí hợp lý"/>
    <n v="10644400"/>
  </r>
  <r>
    <d v="2024-06-30T00:00:00"/>
    <d v="2024-06-30T00:00:00"/>
    <s v="KC2024.06"/>
    <s v="Kết chuyển lãi lỗ đến ngày 30/06/2024"/>
    <s v="Kết chuyển chi phí quản lý doanh nghiệp"/>
    <s v="911"/>
    <x v="9"/>
    <n v="1381609"/>
    <n v="0"/>
    <m/>
    <m/>
    <m/>
    <s v="Chi phí hợp lý"/>
    <n v="1381609"/>
  </r>
  <r>
    <d v="2024-06-30T00:00:00"/>
    <d v="2024-06-30T00:00:00"/>
    <s v="KC2024.06"/>
    <s v="Kết chuyển lãi lỗ đến ngày 30/06/2024"/>
    <s v="Kết chuyển chi phí khác phát sinh trong kỳ"/>
    <s v="911"/>
    <x v="12"/>
    <n v="651640"/>
    <n v="0"/>
    <m/>
    <m/>
    <m/>
    <s v="Chi phí hợp lý"/>
    <n v="651640"/>
  </r>
  <r>
    <d v="2024-06-30T00:00:00"/>
    <d v="2024-06-30T00:00:00"/>
    <s v="KC2024.06"/>
    <s v="Kết chuyển lãi lỗ đến ngày 30/06/2024"/>
    <s v="Kết chuyển kết quả hoạt động kinh doanh trong kỳ"/>
    <s v="911"/>
    <x v="10"/>
    <n v="0"/>
    <n v="4903227"/>
    <m/>
    <m/>
    <m/>
    <s v="Chi phí hợp lý"/>
    <n v="-4903227"/>
  </r>
  <r>
    <d v="2024-07-31T00:00:00"/>
    <d v="2024-07-31T00:00:00"/>
    <s v="KC2024.07"/>
    <s v="Kết chuyển lãi lỗ đến ngày 31/07/2024"/>
    <s v="Kết chuyển doanh thu bán hàng và cung cấp dịch vụ"/>
    <s v="911"/>
    <x v="0"/>
    <n v="0"/>
    <n v="1405313644"/>
    <m/>
    <m/>
    <m/>
    <s v="Chi phí hợp lý"/>
    <n v="-1405313644"/>
  </r>
  <r>
    <d v="2024-07-31T00:00:00"/>
    <d v="2024-07-31T00:00:00"/>
    <s v="KC2024.07"/>
    <s v="Kết chuyển lãi lỗ đến ngày 31/07/2024"/>
    <s v="Kết chuyển doanh thu hoạt động tài chính"/>
    <s v="911"/>
    <x v="1"/>
    <n v="0"/>
    <n v="7259294"/>
    <m/>
    <m/>
    <m/>
    <s v="Chi phí hợp lý"/>
    <n v="-7259294"/>
  </r>
  <r>
    <d v="2024-07-31T00:00:00"/>
    <d v="2024-07-31T00:00:00"/>
    <s v="KC2024.07"/>
    <s v="Kết chuyển lãi lỗ đến ngày 31/07/2024"/>
    <s v="Kết chuyển giá vốn hàng bán"/>
    <s v="911"/>
    <x v="2"/>
    <n v="1371169064"/>
    <n v="0"/>
    <m/>
    <m/>
    <m/>
    <s v="Chi phí hợp lý"/>
    <n v="1371169064"/>
  </r>
  <r>
    <d v="2024-07-31T00:00:00"/>
    <d v="2024-07-31T00:00:00"/>
    <s v="KC2024.07"/>
    <s v="Kết chuyển lãi lỗ đến ngày 31/07/2024"/>
    <s v="Kết chuyển chi phí bán hàng"/>
    <s v="911"/>
    <x v="3"/>
    <n v="2860000"/>
    <n v="0"/>
    <m/>
    <m/>
    <m/>
    <s v="Chi phí hợp lý"/>
    <n v="2860000"/>
  </r>
  <r>
    <d v="2024-07-31T00:00:00"/>
    <d v="2024-07-31T00:00:00"/>
    <s v="KC2024.07"/>
    <s v="Kết chuyển lãi lỗ đến ngày 31/07/2024"/>
    <s v="Kết chuyển chi phí quản lý doanh nghiệp"/>
    <s v="911"/>
    <x v="4"/>
    <n v="18912133"/>
    <n v="0"/>
    <m/>
    <m/>
    <m/>
    <s v="Chi phí hợp lý"/>
    <n v="18912133"/>
  </r>
  <r>
    <d v="2024-07-31T00:00:00"/>
    <d v="2024-07-31T00:00:00"/>
    <s v="KC2024.07"/>
    <s v="Kết chuyển lãi lỗ đến ngày 31/07/2024"/>
    <s v="Kết chuyển chi phí quản lý doanh nghiệp"/>
    <s v="911"/>
    <x v="5"/>
    <n v="1435000"/>
    <n v="0"/>
    <m/>
    <m/>
    <m/>
    <s v="Chi phí hợp lý"/>
    <n v="1435000"/>
  </r>
  <r>
    <d v="2024-07-31T00:00:00"/>
    <d v="2024-07-31T00:00:00"/>
    <s v="KC2024.07"/>
    <s v="Kết chuyển lãi lỗ đến ngày 31/07/2024"/>
    <s v="Kết chuyển chi phí quản lý doanh nghiệp"/>
    <s v="911"/>
    <x v="7"/>
    <n v="221857"/>
    <n v="0"/>
    <m/>
    <m/>
    <m/>
    <s v="Chi phí hợp lý"/>
    <n v="221857"/>
  </r>
  <r>
    <d v="2024-07-31T00:00:00"/>
    <d v="2024-07-31T00:00:00"/>
    <s v="KC2024.07"/>
    <s v="Kết chuyển lãi lỗ đến ngày 31/07/2024"/>
    <s v="Kết chuyển chi phí quản lý doanh nghiệp"/>
    <s v="911"/>
    <x v="11"/>
    <n v="10684098"/>
    <n v="0"/>
    <m/>
    <m/>
    <m/>
    <s v="Chi phí hợp lý"/>
    <n v="10684098"/>
  </r>
  <r>
    <d v="2024-07-31T00:00:00"/>
    <d v="2024-07-31T00:00:00"/>
    <s v="KC2024.07"/>
    <s v="Kết chuyển lãi lỗ đến ngày 31/07/2024"/>
    <s v="Kết chuyển chi phí quản lý doanh nghiệp"/>
    <s v="911"/>
    <x v="8"/>
    <n v="11627233"/>
    <n v="0"/>
    <m/>
    <m/>
    <m/>
    <s v="Chi phí hợp lý"/>
    <n v="11627233"/>
  </r>
  <r>
    <d v="2024-07-31T00:00:00"/>
    <d v="2024-07-31T00:00:00"/>
    <s v="KC2024.07"/>
    <s v="Kết chuyển lãi lỗ đến ngày 31/07/2024"/>
    <s v="Kết chuyển chi phí quản lý doanh nghiệp"/>
    <s v="911"/>
    <x v="9"/>
    <n v="943901"/>
    <n v="0"/>
    <m/>
    <m/>
    <m/>
    <s v="Chi phí hợp lý"/>
    <n v="943901"/>
  </r>
  <r>
    <d v="2024-07-31T00:00:00"/>
    <d v="2024-07-31T00:00:00"/>
    <s v="KC2024.07"/>
    <s v="Kết chuyển lãi lỗ đến ngày 31/07/2024"/>
    <s v="Kết chuyển kết quả hoạt động kinh doanh trong kỳ"/>
    <s v="911"/>
    <x v="10"/>
    <n v="0"/>
    <n v="5280348"/>
    <m/>
    <m/>
    <m/>
    <s v="Chi phí hợp lý"/>
    <n v="-5280348"/>
  </r>
  <r>
    <d v="2024-08-31T00:00:00"/>
    <d v="2024-08-31T00:00:00"/>
    <s v="KC2024.08"/>
    <s v="Kết chuyển lãi lỗ đến ngày 31/08/2024"/>
    <s v="Kết chuyển doanh thu bán hàng và cung cấp dịch vụ"/>
    <s v="911"/>
    <x v="0"/>
    <n v="0"/>
    <n v="1276677670"/>
    <m/>
    <m/>
    <m/>
    <s v="Chi phí hợp lý"/>
    <n v="-1276677670"/>
  </r>
  <r>
    <d v="2024-08-31T00:00:00"/>
    <d v="2024-08-31T00:00:00"/>
    <s v="KC2024.08"/>
    <s v="Kết chuyển lãi lỗ đến ngày 31/08/2024"/>
    <s v="Kết chuyển doanh thu hoạt động tài chính"/>
    <s v="911"/>
    <x v="1"/>
    <n v="0"/>
    <n v="7536444"/>
    <m/>
    <m/>
    <m/>
    <s v="Chi phí hợp lý"/>
    <n v="-7536444"/>
  </r>
  <r>
    <d v="2024-08-31T00:00:00"/>
    <d v="2024-08-31T00:00:00"/>
    <s v="KC2024.08"/>
    <s v="Kết chuyển lãi lỗ đến ngày 31/08/2024"/>
    <s v="Kết chuyển giá vốn hàng bán"/>
    <s v="911"/>
    <x v="2"/>
    <n v="1245988515"/>
    <n v="0"/>
    <m/>
    <m/>
    <m/>
    <s v="Chi phí hợp lý"/>
    <n v="1245988515"/>
  </r>
  <r>
    <d v="2024-08-31T00:00:00"/>
    <d v="2024-08-31T00:00:00"/>
    <s v="KC2024.08"/>
    <s v="Kết chuyển lãi lỗ đến ngày 31/08/2024"/>
    <s v="Kết chuyển chi phí bán hàng"/>
    <s v="911"/>
    <x v="3"/>
    <n v="2860000"/>
    <n v="0"/>
    <m/>
    <m/>
    <m/>
    <s v="Chi phí hợp lý"/>
    <n v="2860000"/>
  </r>
  <r>
    <d v="2024-08-31T00:00:00"/>
    <d v="2024-08-31T00:00:00"/>
    <s v="KC2024.08"/>
    <s v="Kết chuyển lãi lỗ đến ngày 31/08/2024"/>
    <s v="Kết chuyển chi phí quản lý doanh nghiệp"/>
    <s v="911"/>
    <x v="4"/>
    <n v="19479795"/>
    <n v="0"/>
    <m/>
    <m/>
    <m/>
    <s v="Chi phí hợp lý"/>
    <n v="19479795"/>
  </r>
  <r>
    <d v="2024-08-31T00:00:00"/>
    <d v="2024-08-31T00:00:00"/>
    <s v="KC2024.08"/>
    <s v="Kết chuyển lãi lỗ đến ngày 31/08/2024"/>
    <s v="Kết chuyển chi phí quản lý doanh nghiệp"/>
    <s v="911"/>
    <x v="5"/>
    <n v="1435000"/>
    <n v="0"/>
    <m/>
    <m/>
    <m/>
    <s v="Chi phí hợp lý"/>
    <n v="1435000"/>
  </r>
  <r>
    <d v="2024-08-31T00:00:00"/>
    <d v="2024-08-31T00:00:00"/>
    <s v="KC2024.08"/>
    <s v="Kết chuyển lãi lỗ đến ngày 31/08/2024"/>
    <s v="Kết chuyển chi phí quản lý doanh nghiệp"/>
    <s v="911"/>
    <x v="7"/>
    <n v="374002"/>
    <n v="0"/>
    <m/>
    <m/>
    <m/>
    <s v="Chi phí hợp lý"/>
    <n v="374002"/>
  </r>
  <r>
    <d v="2024-08-31T00:00:00"/>
    <d v="2024-08-31T00:00:00"/>
    <s v="KC2024.08"/>
    <s v="Kết chuyển lãi lỗ đến ngày 31/08/2024"/>
    <s v="Kết chuyển chi phí quản lý doanh nghiệp"/>
    <s v="911"/>
    <x v="11"/>
    <n v="11179555"/>
    <n v="0"/>
    <m/>
    <m/>
    <m/>
    <s v="Chi phí hợp lý"/>
    <n v="11179555"/>
  </r>
  <r>
    <d v="2024-08-31T00:00:00"/>
    <d v="2024-08-31T00:00:00"/>
    <s v="KC2024.08"/>
    <s v="Kết chuyển lãi lỗ đến ngày 31/08/2024"/>
    <s v="Kết chuyển chi phí quản lý doanh nghiệp"/>
    <s v="911"/>
    <x v="8"/>
    <n v="11627233"/>
    <n v="0"/>
    <m/>
    <m/>
    <m/>
    <s v="Chi phí hợp lý"/>
    <n v="11627233"/>
  </r>
  <r>
    <d v="2024-08-31T00:00:00"/>
    <d v="2024-08-31T00:00:00"/>
    <s v="KC2024.08"/>
    <s v="Kết chuyển lãi lỗ đến ngày 31/08/2024"/>
    <s v="Kết chuyển chi phí quản lý doanh nghiệp"/>
    <s v="911"/>
    <x v="9"/>
    <n v="35556"/>
    <n v="0"/>
    <m/>
    <m/>
    <m/>
    <s v="Chi phí hợp lý"/>
    <n v="35556"/>
  </r>
  <r>
    <d v="2024-08-31T00:00:00"/>
    <d v="2024-08-31T00:00:00"/>
    <s v="KC2024.08"/>
    <s v="Kết chuyển lãi lỗ đến ngày 31/08/2024"/>
    <s v="Kết chuyển kết quả hoạt động kinh doanh trong kỳ"/>
    <s v="911"/>
    <x v="10"/>
    <n v="0"/>
    <n v="8765542"/>
    <m/>
    <m/>
    <m/>
    <s v="Chi phí hợp lý"/>
    <n v="-8765542"/>
  </r>
  <r>
    <d v="2024-09-30T00:00:00"/>
    <d v="2024-09-30T00:00:00"/>
    <s v="KC2024.09"/>
    <s v="Kết chuyển lãi lỗ đến ngày 30/09/2024"/>
    <s v="Kết chuyển doanh thu bán hàng và cung cấp dịch vụ"/>
    <s v="911"/>
    <x v="0"/>
    <n v="0"/>
    <n v="1683857029"/>
    <m/>
    <m/>
    <m/>
    <s v="Chi phí hợp lý"/>
    <n v="-1683857029"/>
  </r>
  <r>
    <d v="2024-09-30T00:00:00"/>
    <d v="2024-09-30T00:00:00"/>
    <s v="KC2024.09"/>
    <s v="Kết chuyển lãi lỗ đến ngày 30/09/2024"/>
    <s v="Kết chuyển doanh thu hoạt động tài chính"/>
    <s v="911"/>
    <x v="1"/>
    <n v="0"/>
    <n v="10401449"/>
    <m/>
    <m/>
    <m/>
    <s v="Chi phí hợp lý"/>
    <n v="-10401449"/>
  </r>
  <r>
    <d v="2024-09-30T00:00:00"/>
    <d v="2024-09-30T00:00:00"/>
    <s v="KC2024.09"/>
    <s v="Kết chuyển lãi lỗ đến ngày 30/09/2024"/>
    <s v="Kết chuyển giá vốn hàng bán"/>
    <s v="911"/>
    <x v="2"/>
    <n v="1647343066"/>
    <n v="0"/>
    <m/>
    <m/>
    <m/>
    <s v="Chi phí hợp lý"/>
    <n v="1647343066"/>
  </r>
  <r>
    <d v="2024-09-30T00:00:00"/>
    <d v="2024-09-30T00:00:00"/>
    <s v="KC2024.09"/>
    <s v="Kết chuyển lãi lỗ đến ngày 30/09/2024"/>
    <s v="Kết chuyển chi phí bán hàng"/>
    <s v="911"/>
    <x v="3"/>
    <n v="2860000"/>
    <n v="0"/>
    <m/>
    <m/>
    <m/>
    <s v="Chi phí hợp lý"/>
    <n v="2860000"/>
  </r>
  <r>
    <d v="2024-09-30T00:00:00"/>
    <d v="2024-09-30T00:00:00"/>
    <s v="KC2024.09"/>
    <s v="Kết chuyển lãi lỗ đến ngày 30/09/2024"/>
    <s v="Kết chuyển chi phí quản lý doanh nghiệp"/>
    <s v="911"/>
    <x v="4"/>
    <n v="18957395"/>
    <n v="0"/>
    <m/>
    <m/>
    <m/>
    <s v="Chi phí hợp lý"/>
    <n v="18957395"/>
  </r>
  <r>
    <d v="2024-09-30T00:00:00"/>
    <d v="2024-09-30T00:00:00"/>
    <s v="KC2024.09"/>
    <s v="Kết chuyển lãi lỗ đến ngày 30/09/2024"/>
    <s v="Kết chuyển chi phí quản lý doanh nghiệp"/>
    <s v="911"/>
    <x v="5"/>
    <n v="1435000"/>
    <n v="0"/>
    <m/>
    <m/>
    <m/>
    <s v="Chi phí hợp lý"/>
    <n v="1435000"/>
  </r>
  <r>
    <d v="2024-09-30T00:00:00"/>
    <d v="2024-09-30T00:00:00"/>
    <s v="KC2024.09"/>
    <s v="Kết chuyển lãi lỗ đến ngày 30/09/2024"/>
    <s v="Kết chuyển chi phí quản lý doanh nghiệp"/>
    <s v="911"/>
    <x v="7"/>
    <n v="99110"/>
    <n v="0"/>
    <m/>
    <m/>
    <m/>
    <s v="Chi phí hợp lý"/>
    <n v="99110"/>
  </r>
  <r>
    <d v="2024-09-30T00:00:00"/>
    <d v="2024-09-30T00:00:00"/>
    <s v="KC2024.09"/>
    <s v="Kết chuyển lãi lỗ đến ngày 30/09/2024"/>
    <s v="Kết chuyển chi phí quản lý doanh nghiệp"/>
    <s v="911"/>
    <x v="11"/>
    <n v="10307211"/>
    <n v="0"/>
    <m/>
    <m/>
    <m/>
    <s v="Chi phí hợp lý"/>
    <n v="10307211"/>
  </r>
  <r>
    <d v="2024-09-30T00:00:00"/>
    <d v="2024-09-30T00:00:00"/>
    <s v="KC2024.09"/>
    <s v="Kết chuyển lãi lỗ đến ngày 30/09/2024"/>
    <s v="Kết chuyển chi phí quản lý doanh nghiệp"/>
    <s v="911"/>
    <x v="8"/>
    <n v="11627233"/>
    <n v="0"/>
    <m/>
    <m/>
    <m/>
    <s v="Chi phí hợp lý"/>
    <n v="11627233"/>
  </r>
  <r>
    <d v="2024-09-30T00:00:00"/>
    <d v="2024-09-30T00:00:00"/>
    <s v="KC2024.09"/>
    <s v="Kết chuyển lãi lỗ đến ngày 30/09/2024"/>
    <s v="Kết chuyển chi phí quản lý doanh nghiệp"/>
    <s v="911"/>
    <x v="9"/>
    <n v="35556"/>
    <n v="0"/>
    <m/>
    <m/>
    <m/>
    <s v="Chi phí hợp lý"/>
    <n v="35556"/>
  </r>
  <r>
    <d v="2024-09-30T00:00:00"/>
    <d v="2024-09-30T00:00:00"/>
    <s v="KC2024.09"/>
    <s v="Kết chuyển lãi lỗ đến ngày 30/09/2024"/>
    <s v="Kết chuyển kết quả hoạt động kinh doanh trong kỳ"/>
    <s v="911"/>
    <x v="10"/>
    <n v="1593907"/>
    <n v="0"/>
    <m/>
    <m/>
    <m/>
    <s v="Chi phí hợp lý"/>
    <n v="1593907"/>
  </r>
  <r>
    <d v="2024-10-31T00:00:00"/>
    <d v="2024-10-31T00:00:00"/>
    <s v="KC2024.10"/>
    <s v="Kết chuyển lãi lỗ đến ngày 31/10/2024"/>
    <s v="Kết chuyển doanh thu bán hàng và cung cấp dịch vụ"/>
    <s v="911"/>
    <x v="0"/>
    <n v="0"/>
    <n v="2752309498"/>
    <m/>
    <m/>
    <m/>
    <s v="Chi phí hợp lý"/>
    <n v="-2752309498"/>
  </r>
  <r>
    <d v="2024-10-31T00:00:00"/>
    <d v="2024-10-31T00:00:00"/>
    <s v="KC2024.10"/>
    <s v="Kết chuyển lãi lỗ đến ngày 31/10/2024"/>
    <s v="Kết chuyển doanh thu hoạt động tài chính"/>
    <s v="911"/>
    <x v="1"/>
    <n v="0"/>
    <n v="11103090"/>
    <m/>
    <m/>
    <m/>
    <s v="Chi phí hợp lý"/>
    <n v="-11103090"/>
  </r>
  <r>
    <d v="2024-10-31T00:00:00"/>
    <d v="2024-10-31T00:00:00"/>
    <s v="KC2024.10"/>
    <s v="Kết chuyển lãi lỗ đến ngày 31/10/2024"/>
    <s v="Kết chuyển giá vốn hàng bán"/>
    <s v="911"/>
    <x v="2"/>
    <n v="2699007000"/>
    <n v="0"/>
    <m/>
    <m/>
    <m/>
    <s v="Chi phí hợp lý"/>
    <n v="2699007000"/>
  </r>
  <r>
    <d v="2024-10-31T00:00:00"/>
    <d v="2024-10-31T00:00:00"/>
    <s v="KC2024.10"/>
    <s v="Kết chuyển lãi lỗ đến ngày 31/10/2024"/>
    <s v="Kết chuyển chi phí bán hàng"/>
    <s v="911"/>
    <x v="3"/>
    <n v="2860000"/>
    <n v="0"/>
    <m/>
    <m/>
    <m/>
    <s v="Chi phí hợp lý"/>
    <n v="2860000"/>
  </r>
  <r>
    <d v="2024-10-31T00:00:00"/>
    <d v="2024-10-31T00:00:00"/>
    <s v="KC2024.10"/>
    <s v="Kết chuyển lãi lỗ đến ngày 31/10/2024"/>
    <s v="Kết chuyển chi phí quản lý doanh nghiệp"/>
    <s v="911"/>
    <x v="4"/>
    <n v="18971150"/>
    <n v="0"/>
    <m/>
    <m/>
    <m/>
    <s v="Chi phí hợp lý"/>
    <n v="18971150"/>
  </r>
  <r>
    <d v="2024-10-31T00:00:00"/>
    <d v="2024-10-31T00:00:00"/>
    <s v="KC2024.10"/>
    <s v="Kết chuyển lãi lỗ đến ngày 31/10/2024"/>
    <s v="Kết chuyển chi phí quản lý doanh nghiệp"/>
    <s v="911"/>
    <x v="5"/>
    <n v="1435000"/>
    <n v="0"/>
    <m/>
    <m/>
    <m/>
    <s v="Chi phí hợp lý"/>
    <n v="1435000"/>
  </r>
  <r>
    <d v="2024-10-31T00:00:00"/>
    <d v="2024-10-31T00:00:00"/>
    <s v="KC2024.10"/>
    <s v="Kết chuyển lãi lỗ đến ngày 31/10/2024"/>
    <s v="Kết chuyển chi phí quản lý doanh nghiệp"/>
    <s v="911"/>
    <x v="7"/>
    <n v="99110"/>
    <n v="0"/>
    <m/>
    <m/>
    <m/>
    <s v="Chi phí hợp lý"/>
    <n v="99110"/>
  </r>
  <r>
    <d v="2024-10-31T00:00:00"/>
    <d v="2024-10-31T00:00:00"/>
    <s v="KC2024.10"/>
    <s v="Kết chuyển lãi lỗ đến ngày 31/10/2024"/>
    <s v="Kết chuyển chi phí quản lý doanh nghiệp"/>
    <s v="911"/>
    <x v="11"/>
    <n v="8054361"/>
    <n v="0"/>
    <m/>
    <m/>
    <m/>
    <s v="Chi phí hợp lý"/>
    <n v="8054361"/>
  </r>
  <r>
    <d v="2024-10-31T00:00:00"/>
    <d v="2024-10-31T00:00:00"/>
    <s v="KC2024.10"/>
    <s v="Kết chuyển lãi lỗ đến ngày 31/10/2024"/>
    <s v="Kết chuyển chi phí quản lý doanh nghiệp"/>
    <s v="911"/>
    <x v="8"/>
    <n v="11708840"/>
    <n v="0"/>
    <m/>
    <m/>
    <m/>
    <s v="Chi phí hợp lý"/>
    <n v="11708840"/>
  </r>
  <r>
    <d v="2024-10-31T00:00:00"/>
    <d v="2024-10-31T00:00:00"/>
    <s v="KC2024.10"/>
    <s v="Kết chuyển lãi lỗ đến ngày 31/10/2024"/>
    <s v="Kết chuyển chi phí quản lý doanh nghiệp"/>
    <s v="911"/>
    <x v="9"/>
    <n v="35556"/>
    <n v="0"/>
    <m/>
    <m/>
    <m/>
    <s v="Chi phí hợp lý"/>
    <n v="35556"/>
  </r>
  <r>
    <d v="2024-10-31T00:00:00"/>
    <d v="2024-10-31T00:00:00"/>
    <s v="KC2024.10"/>
    <s v="Kết chuyển lãi lỗ đến ngày 31/10/2024"/>
    <s v="Kết chuyển kết quả hoạt động kinh doanh trong kỳ"/>
    <s v="911"/>
    <x v="10"/>
    <n v="21241571"/>
    <n v="0"/>
    <m/>
    <m/>
    <m/>
    <s v="Chi phí hợp lý"/>
    <n v="21241571"/>
  </r>
  <r>
    <d v="2024-11-30T00:00:00"/>
    <d v="2024-11-30T00:00:00"/>
    <s v="KC2024.11"/>
    <s v="Kết chuyển lãi lỗ đến ngày 30/11/2024"/>
    <s v="Kết chuyển doanh thu bán hàng và cung cấp dịch vụ"/>
    <s v="911"/>
    <x v="0"/>
    <n v="0"/>
    <n v="5377853442"/>
    <m/>
    <m/>
    <m/>
    <s v="Chi phí hợp lý"/>
    <n v="-5377853442"/>
  </r>
  <r>
    <d v="2024-11-30T00:00:00"/>
    <d v="2024-11-30T00:00:00"/>
    <s v="KC2024.11"/>
    <s v="Kết chuyển lãi lỗ đến ngày 30/11/2024"/>
    <s v="Kết chuyển doanh thu hoạt động tài chính"/>
    <s v="911"/>
    <x v="1"/>
    <n v="0"/>
    <n v="10766265"/>
    <m/>
    <m/>
    <m/>
    <s v="Chi phí hợp lý"/>
    <n v="-10766265"/>
  </r>
  <r>
    <d v="2024-11-30T00:00:00"/>
    <d v="2024-11-30T00:00:00"/>
    <s v="KC2024.11"/>
    <s v="Kết chuyển lãi lỗ đến ngày 30/11/2024"/>
    <s v="Kết chuyển giá vốn hàng bán"/>
    <s v="911"/>
    <x v="2"/>
    <n v="5315693400"/>
    <n v="0"/>
    <m/>
    <m/>
    <m/>
    <s v="Chi phí hợp lý"/>
    <n v="5315693400"/>
  </r>
  <r>
    <d v="2024-11-30T00:00:00"/>
    <d v="2024-11-30T00:00:00"/>
    <s v="KC2024.11"/>
    <s v="Kết chuyển lãi lỗ đến ngày 30/11/2024"/>
    <s v="Kết chuyển chi phí bán hàng"/>
    <s v="911"/>
    <x v="3"/>
    <n v="2860000"/>
    <n v="0"/>
    <m/>
    <m/>
    <m/>
    <s v="Chi phí hợp lý"/>
    <n v="2860000"/>
  </r>
  <r>
    <d v="2024-11-30T00:00:00"/>
    <d v="2024-11-30T00:00:00"/>
    <s v="KC2024.11"/>
    <s v="Kết chuyển lãi lỗ đến ngày 30/11/2024"/>
    <s v="Kết chuyển chi phí quản lý doanh nghiệp"/>
    <s v="911"/>
    <x v="4"/>
    <n v="18964505"/>
    <n v="0"/>
    <m/>
    <m/>
    <m/>
    <s v="Chi phí hợp lý"/>
    <n v="18964505"/>
  </r>
  <r>
    <d v="2024-11-30T00:00:00"/>
    <d v="2024-11-30T00:00:00"/>
    <s v="KC2024.11"/>
    <s v="Kết chuyển lãi lỗ đến ngày 30/11/2024"/>
    <s v="Kết chuyển chi phí quản lý doanh nghiệp"/>
    <s v="911"/>
    <x v="5"/>
    <n v="1435000"/>
    <n v="0"/>
    <m/>
    <m/>
    <m/>
    <s v="Chi phí hợp lý"/>
    <n v="1435000"/>
  </r>
  <r>
    <d v="2024-11-30T00:00:00"/>
    <d v="2024-11-30T00:00:00"/>
    <s v="KC2024.11"/>
    <s v="Kết chuyển lãi lỗ đến ngày 30/11/2024"/>
    <s v="Kết chuyển chi phí quản lý doanh nghiệp"/>
    <s v="911"/>
    <x v="7"/>
    <n v="99000"/>
    <n v="0"/>
    <m/>
    <m/>
    <m/>
    <s v="Chi phí hợp lý"/>
    <n v="99000"/>
  </r>
  <r>
    <d v="2024-11-30T00:00:00"/>
    <d v="2024-11-30T00:00:00"/>
    <s v="KC2024.11"/>
    <s v="Kết chuyển lãi lỗ đến ngày 30/11/2024"/>
    <s v="Kết chuyển chi phí quản lý doanh nghiệp"/>
    <s v="911"/>
    <x v="11"/>
    <n v="7213815"/>
    <n v="0"/>
    <m/>
    <m/>
    <m/>
    <s v="Chi phí hợp lý"/>
    <n v="7213815"/>
  </r>
  <r>
    <d v="2024-11-30T00:00:00"/>
    <d v="2024-11-30T00:00:00"/>
    <s v="KC2024.11"/>
    <s v="Kết chuyển lãi lỗ đến ngày 30/11/2024"/>
    <s v="Kết chuyển chi phí quản lý doanh nghiệp"/>
    <s v="911"/>
    <x v="8"/>
    <n v="11708840"/>
    <n v="0"/>
    <m/>
    <m/>
    <m/>
    <s v="Chi phí hợp lý"/>
    <n v="11708840"/>
  </r>
  <r>
    <d v="2024-11-30T00:00:00"/>
    <d v="2024-11-30T00:00:00"/>
    <s v="KC2024.11"/>
    <s v="Kết chuyển lãi lỗ đến ngày 30/11/2024"/>
    <s v="Kết chuyển chi phí quản lý doanh nghiệp"/>
    <s v="911"/>
    <x v="9"/>
    <n v="35556"/>
    <n v="0"/>
    <m/>
    <m/>
    <m/>
    <s v="Chi phí hợp lý"/>
    <n v="35556"/>
  </r>
  <r>
    <d v="2024-11-30T00:00:00"/>
    <d v="2024-11-30T00:00:00"/>
    <s v="KC2024.11"/>
    <s v="Kết chuyển lãi lỗ đến ngày 30/11/2024"/>
    <s v="Kết chuyển kết quả hoạt động kinh doanh trong kỳ"/>
    <s v="911"/>
    <x v="10"/>
    <n v="30609591"/>
    <n v="0"/>
    <m/>
    <m/>
    <m/>
    <s v="Chi phí hợp lý"/>
    <n v="30609591"/>
  </r>
  <r>
    <d v="2024-12-31T00:00:00"/>
    <d v="2024-12-31T00:00:00"/>
    <s v="KC2024.12"/>
    <s v="Kết chuyển lãi lỗ đến ngày 31/12/2024"/>
    <s v="Kết chuyển doanh thu bán hàng và cung cấp dịch vụ"/>
    <s v="911"/>
    <x v="0"/>
    <n v="0"/>
    <n v="1171445287"/>
    <m/>
    <m/>
    <m/>
    <s v="Chi phí hợp lý"/>
    <n v="-1171445287"/>
  </r>
  <r>
    <d v="2024-12-31T00:00:00"/>
    <d v="2024-12-31T00:00:00"/>
    <s v="KC2024.12"/>
    <s v="Kết chuyển lãi lỗ đến ngày 31/12/2024"/>
    <s v="Kết chuyển doanh thu hoạt động tài chính"/>
    <s v="911"/>
    <x v="1"/>
    <n v="0"/>
    <n v="11107027"/>
    <m/>
    <m/>
    <m/>
    <s v="Chi phí hợp lý"/>
    <n v="-11107027"/>
  </r>
  <r>
    <d v="2024-12-31T00:00:00"/>
    <d v="2024-12-31T00:00:00"/>
    <s v="KC2024.12"/>
    <s v="Kết chuyển lãi lỗ đến ngày 31/12/2024"/>
    <s v="Kết chuyển giá vốn hàng bán"/>
    <s v="911"/>
    <x v="2"/>
    <n v="1149408818"/>
    <n v="0"/>
    <m/>
    <m/>
    <m/>
    <s v="Chi phí hợp lý"/>
    <n v="1149408818"/>
  </r>
  <r>
    <d v="2024-12-31T00:00:00"/>
    <d v="2024-12-31T00:00:00"/>
    <s v="KC2024.12"/>
    <s v="Kết chuyển lãi lỗ đến ngày 31/12/2024"/>
    <s v="Kết chuyển chi phí bán hàng"/>
    <s v="911"/>
    <x v="3"/>
    <n v="2860000"/>
    <n v="0"/>
    <m/>
    <m/>
    <m/>
    <s v="Chi phí hợp lý"/>
    <n v="2860000"/>
  </r>
  <r>
    <d v="2024-12-31T00:00:00"/>
    <d v="2024-12-31T00:00:00"/>
    <s v="KC2024.12"/>
    <s v="Kết chuyển lãi lỗ đến ngày 31/12/2024"/>
    <s v="Kết chuyển chi phí quản lý doanh nghiệp"/>
    <s v="911"/>
    <x v="4"/>
    <n v="37910443"/>
    <n v="0"/>
    <m/>
    <m/>
    <m/>
    <s v="Chi phí hợp lý"/>
    <n v="37910443"/>
  </r>
  <r>
    <d v="2024-12-31T00:00:00"/>
    <d v="2024-12-31T00:00:00"/>
    <s v="KC2024.12"/>
    <s v="Kết chuyển lãi lỗ đến ngày 31/12/2024"/>
    <s v="Kết chuyển chi phí quản lý doanh nghiệp"/>
    <s v="911"/>
    <x v="5"/>
    <n v="1435000"/>
    <n v="0"/>
    <m/>
    <m/>
    <m/>
    <s v="Chi phí hợp lý"/>
    <n v="1435000"/>
  </r>
  <r>
    <d v="2024-12-31T00:00:00"/>
    <d v="2024-12-31T00:00:00"/>
    <s v="KC2024.12"/>
    <s v="Kết chuyển lãi lỗ đến ngày 31/12/2024"/>
    <s v="Kết chuyển chi phí quản lý doanh nghiệp"/>
    <s v="911"/>
    <x v="7"/>
    <n v="99000"/>
    <n v="0"/>
    <m/>
    <m/>
    <m/>
    <s v="Chi phí hợp lý"/>
    <n v="99000"/>
  </r>
  <r>
    <d v="2024-12-31T00:00:00"/>
    <d v="2024-12-31T00:00:00"/>
    <s v="KC2024.12"/>
    <s v="Kết chuyển lãi lỗ đến ngày 31/12/2024"/>
    <s v="Kết chuyển chi phí quản lý doanh nghiệp"/>
    <s v="911"/>
    <x v="11"/>
    <n v="5254260"/>
    <n v="0"/>
    <m/>
    <m/>
    <m/>
    <s v="Chi phí hợp lý"/>
    <n v="5254260"/>
  </r>
  <r>
    <d v="2024-12-31T00:00:00"/>
    <d v="2024-12-31T00:00:00"/>
    <s v="KC2024.12"/>
    <s v="Kết chuyển lãi lỗ đến ngày 31/12/2024"/>
    <s v="Kết chuyển chi phí quản lý doanh nghiệp"/>
    <s v="911"/>
    <x v="8"/>
    <n v="11708840"/>
    <n v="0"/>
    <m/>
    <m/>
    <m/>
    <s v="Chi phí hợp lý"/>
    <n v="11708840"/>
  </r>
  <r>
    <d v="2024-12-31T00:00:00"/>
    <d v="2024-12-31T00:00:00"/>
    <s v="KC2024.12"/>
    <s v="Kết chuyển lãi lỗ đến ngày 31/12/2024"/>
    <s v="Kết chuyển chi phí quản lý doanh nghiệp"/>
    <s v="911"/>
    <x v="9"/>
    <n v="35556"/>
    <n v="0"/>
    <m/>
    <m/>
    <m/>
    <s v="Chi phí hợp lý"/>
    <n v="35556"/>
  </r>
  <r>
    <d v="2024-12-31T00:00:00"/>
    <d v="2024-12-31T00:00:00"/>
    <s v="KC2024.12"/>
    <s v="Kết chuyển lãi lỗ đến ngày 31/12/2024"/>
    <s v="Kết chuyển chi phí khác phát sinh trong kỳ"/>
    <s v="911"/>
    <x v="12"/>
    <n v="16717982"/>
    <n v="0"/>
    <m/>
    <m/>
    <m/>
    <s v="Chi phí hợp lý"/>
    <n v="16717982"/>
  </r>
  <r>
    <d v="2024-12-31T00:00:00"/>
    <d v="2024-12-31T00:00:00"/>
    <s v="KC2024.12"/>
    <s v="Kết chuyển lãi lỗ đến ngày 31/12/2024"/>
    <s v="Kết chuyển kết quả hoạt động kinh doanh trong kỳ"/>
    <s v="911"/>
    <x v="10"/>
    <n v="0"/>
    <n v="42877585"/>
    <m/>
    <m/>
    <m/>
    <s v="Chi phí hợp lý"/>
    <n v="-42877585"/>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d v="2024-01-31T00:00:00"/>
    <d v="2024-01-31T00:00:00"/>
    <s v="KC2024.01"/>
    <s v="Kết chuyển doanh thu hoạt động tài chính"/>
    <s v="911"/>
    <x v="0"/>
    <n v="0"/>
    <n v="1964"/>
    <m/>
    <m/>
    <s v="Chi phí hợp lý"/>
    <n v="-1964"/>
  </r>
  <r>
    <d v="2024-01-31T00:00:00"/>
    <d v="2024-01-31T00:00:00"/>
    <s v="KC2024.01"/>
    <s v="Kết chuyển chi phí quản lý doanh nghiệp"/>
    <s v="911"/>
    <x v="1"/>
    <n v="2000000"/>
    <n v="0"/>
    <m/>
    <m/>
    <s v="Chi phí hợp lý"/>
    <n v="2000000"/>
  </r>
  <r>
    <d v="2024-01-31T00:00:00"/>
    <d v="2024-01-31T00:00:00"/>
    <s v="KC2024.01"/>
    <s v="Kết chuyển kết quả hoạt động kinh doanh trong kỳ"/>
    <s v="911"/>
    <x v="2"/>
    <n v="0"/>
    <n v="1998036"/>
    <m/>
    <m/>
    <s v="Chi phí hợp lý"/>
    <n v="-1998036"/>
  </r>
  <r>
    <d v="2024-02-29T00:00:00"/>
    <d v="2024-02-29T00:00:00"/>
    <s v="KC2024.02"/>
    <s v="Kết chuyển doanh thu hoạt động tài chính"/>
    <s v="911"/>
    <x v="0"/>
    <n v="0"/>
    <n v="1094"/>
    <m/>
    <m/>
    <s v="Chi phí hợp lý"/>
    <n v="-1094"/>
  </r>
  <r>
    <d v="2024-02-29T00:00:00"/>
    <d v="2024-02-29T00:00:00"/>
    <s v="KC2024.02"/>
    <s v="Kết chuyển chi phí quản lý doanh nghiệp"/>
    <s v="911"/>
    <x v="3"/>
    <n v="55000"/>
    <n v="0"/>
    <m/>
    <m/>
    <s v="Chi phí hợp lý"/>
    <n v="55000"/>
  </r>
  <r>
    <d v="2024-02-29T00:00:00"/>
    <d v="2024-02-29T00:00:00"/>
    <s v="KC2024.02"/>
    <s v="Kết chuyển kết quả hoạt động kinh doanh trong kỳ"/>
    <s v="911"/>
    <x v="2"/>
    <n v="0"/>
    <n v="53906"/>
    <m/>
    <m/>
    <s v="Chi phí hợp lý"/>
    <n v="-53906"/>
  </r>
  <r>
    <d v="2024-03-31T00:00:00"/>
    <d v="2024-03-31T00:00:00"/>
    <s v="KC2024.03"/>
    <s v="Kết chuyển doanh thu hoạt động tài chính"/>
    <s v="911"/>
    <x v="0"/>
    <n v="0"/>
    <n v="1166"/>
    <m/>
    <m/>
    <s v="Chi phí hợp lý"/>
    <n v="-1166"/>
  </r>
  <r>
    <d v="2024-03-31T00:00:00"/>
    <d v="2024-03-31T00:00:00"/>
    <s v="KC2024.03"/>
    <s v="Kết chuyển kết quả hoạt động kinh doanh trong kỳ"/>
    <s v="911"/>
    <x v="2"/>
    <n v="1166"/>
    <n v="0"/>
    <m/>
    <m/>
    <s v="Chi phí hợp lý"/>
    <n v="1166"/>
  </r>
  <r>
    <d v="2024-04-30T00:00:00"/>
    <d v="2024-04-30T00:00:00"/>
    <s v="KC2024.04"/>
    <s v="Kết chuyển doanh thu hoạt động tài chính"/>
    <s v="911"/>
    <x v="0"/>
    <n v="0"/>
    <n v="1129"/>
    <m/>
    <m/>
    <s v="Chi phí hợp lý"/>
    <n v="-1129"/>
  </r>
  <r>
    <d v="2024-04-30T00:00:00"/>
    <d v="2024-04-30T00:00:00"/>
    <s v="KC2024.04"/>
    <s v="Kết chuyển kết quả hoạt động kinh doanh trong kỳ"/>
    <s v="911"/>
    <x v="2"/>
    <n v="1129"/>
    <n v="0"/>
    <m/>
    <m/>
    <s v="Chi phí hợp lý"/>
    <n v="1129"/>
  </r>
  <r>
    <d v="2024-05-31T00:00:00"/>
    <d v="2024-05-31T00:00:00"/>
    <s v="KC2024.05"/>
    <s v="Kết chuyển doanh thu hoạt động tài chính"/>
    <s v="911"/>
    <x v="0"/>
    <n v="0"/>
    <n v="1153"/>
    <m/>
    <m/>
    <s v="Chi phí hợp lý"/>
    <n v="-1153"/>
  </r>
  <r>
    <d v="2024-05-31T00:00:00"/>
    <d v="2024-05-31T00:00:00"/>
    <s v="KC2024.05"/>
    <s v="Kết chuyển chi phí quản lý doanh nghiệp"/>
    <s v="911"/>
    <x v="3"/>
    <n v="220000"/>
    <n v="0"/>
    <m/>
    <m/>
    <s v="Chi phí hợp lý"/>
    <n v="220000"/>
  </r>
  <r>
    <d v="2024-05-31T00:00:00"/>
    <d v="2024-05-31T00:00:00"/>
    <s v="KC2024.05"/>
    <s v="Kết chuyển kết quả hoạt động kinh doanh trong kỳ"/>
    <s v="911"/>
    <x v="2"/>
    <n v="0"/>
    <n v="218847"/>
    <m/>
    <m/>
    <s v="Chi phí hợp lý"/>
    <n v="-218847"/>
  </r>
  <r>
    <d v="2024-06-30T00:00:00"/>
    <d v="2024-06-30T00:00:00"/>
    <s v="KC2024.06"/>
    <s v="Kết chuyển doanh thu hoạt động tài chính"/>
    <s v="911"/>
    <x v="0"/>
    <n v="0"/>
    <n v="1099"/>
    <m/>
    <m/>
    <s v="Chi phí hợp lý"/>
    <n v="-1099"/>
  </r>
  <r>
    <d v="2024-06-30T00:00:00"/>
    <d v="2024-06-30T00:00:00"/>
    <s v="KC2024.06"/>
    <s v="Kết chuyển chi phí quản lý doanh nghiệp"/>
    <s v="911"/>
    <x v="3"/>
    <n v="220000"/>
    <n v="0"/>
    <m/>
    <m/>
    <s v="Chi phí hợp lý"/>
    <n v="220000"/>
  </r>
  <r>
    <d v="2024-06-30T00:00:00"/>
    <d v="2024-06-30T00:00:00"/>
    <s v="KC2024.06"/>
    <s v="Kết chuyển kết quả hoạt động kinh doanh trong kỳ"/>
    <s v="911"/>
    <x v="2"/>
    <n v="0"/>
    <n v="218901"/>
    <m/>
    <m/>
    <s v="Chi phí hợp lý"/>
    <n v="-218901"/>
  </r>
  <r>
    <d v="2024-07-31T00:00:00"/>
    <d v="2024-07-31T00:00:00"/>
    <s v="KC2024.07"/>
    <s v="Kết chuyển doanh thu hoạt động tài chính"/>
    <s v="911"/>
    <x v="0"/>
    <n v="0"/>
    <n v="1118"/>
    <m/>
    <m/>
    <m/>
    <n v="-1118"/>
  </r>
  <r>
    <d v="2024-07-31T00:00:00"/>
    <d v="2024-07-31T00:00:00"/>
    <s v="KC2024.07"/>
    <s v="Kết chuyển chi phí quản lý doanh nghiệp"/>
    <s v="911"/>
    <x v="3"/>
    <n v="220000"/>
    <n v="0"/>
    <m/>
    <m/>
    <m/>
    <n v="220000"/>
  </r>
  <r>
    <d v="2024-07-31T00:00:00"/>
    <d v="2024-07-31T00:00:00"/>
    <s v="KC2024.07"/>
    <s v="Kết chuyển kết quả hoạt động kinh doanh trong kỳ"/>
    <s v="911"/>
    <x v="2"/>
    <n v="0"/>
    <n v="218882"/>
    <m/>
    <m/>
    <m/>
    <n v="-218882"/>
  </r>
  <r>
    <d v="2024-08-31T00:00:00"/>
    <d v="2024-08-31T00:00:00"/>
    <s v="KC2024.08"/>
    <s v="Kết chuyển doanh thu hoạt động tài chính"/>
    <s v="911"/>
    <x v="0"/>
    <n v="0"/>
    <n v="1092"/>
    <m/>
    <m/>
    <m/>
    <n v="-1092"/>
  </r>
  <r>
    <d v="2024-08-31T00:00:00"/>
    <d v="2024-08-31T00:00:00"/>
    <s v="KC2024.08"/>
    <s v="Kết chuyển chi phí quản lý doanh nghiệp"/>
    <s v="911"/>
    <x v="3"/>
    <n v="275000"/>
    <n v="0"/>
    <m/>
    <m/>
    <m/>
    <n v="275000"/>
  </r>
  <r>
    <d v="2024-08-31T00:00:00"/>
    <d v="2024-08-31T00:00:00"/>
    <s v="KC2024.08"/>
    <s v="Kết chuyển kết quả hoạt động kinh doanh trong kỳ"/>
    <s v="911"/>
    <x v="2"/>
    <n v="0"/>
    <n v="273908"/>
    <m/>
    <m/>
    <m/>
    <n v="-273908"/>
  </r>
  <r>
    <d v="2024-09-30T00:00:00"/>
    <d v="2024-09-30T00:00:00"/>
    <s v="KC2024.09"/>
    <s v="Kết chuyển doanh thu hoạt động tài chính"/>
    <s v="911"/>
    <x v="0"/>
    <n v="0"/>
    <n v="1041"/>
    <m/>
    <m/>
    <m/>
    <n v="-1041"/>
  </r>
  <r>
    <d v="2024-09-30T00:00:00"/>
    <d v="2024-09-30T00:00:00"/>
    <s v="KC2024.09"/>
    <s v="Kết chuyển chi phí quản lý doanh nghiệp"/>
    <s v="911"/>
    <x v="3"/>
    <n v="220000"/>
    <n v="0"/>
    <m/>
    <m/>
    <m/>
    <n v="220000"/>
  </r>
  <r>
    <d v="2024-09-30T00:00:00"/>
    <d v="2024-09-30T00:00:00"/>
    <s v="KC2024.09"/>
    <s v="Kết chuyển kết quả hoạt động kinh doanh trong kỳ"/>
    <s v="911"/>
    <x v="2"/>
    <n v="0"/>
    <n v="218959"/>
    <m/>
    <m/>
    <m/>
    <n v="-218959"/>
  </r>
  <r>
    <d v="2024-10-31T00:00:00"/>
    <d v="2024-10-31T00:00:00"/>
    <s v="KC2024.10"/>
    <s v="Kết chuyển doanh thu hoạt động tài chính"/>
    <s v="911"/>
    <x v="0"/>
    <n v="0"/>
    <n v="1048"/>
    <m/>
    <m/>
    <m/>
    <n v="-1048"/>
  </r>
  <r>
    <d v="2024-10-31T00:00:00"/>
    <d v="2024-10-31T00:00:00"/>
    <s v="KC2024.10"/>
    <s v="Kết chuyển chi phí quản lý doanh nghiệp"/>
    <s v="911"/>
    <x v="3"/>
    <n v="440000"/>
    <n v="0"/>
    <m/>
    <m/>
    <m/>
    <n v="440000"/>
  </r>
  <r>
    <d v="2024-10-31T00:00:00"/>
    <d v="2024-10-31T00:00:00"/>
    <s v="KC2024.10"/>
    <s v="Kết chuyển kết quả hoạt động kinh doanh trong kỳ"/>
    <s v="911"/>
    <x v="2"/>
    <n v="0"/>
    <n v="438952"/>
    <m/>
    <m/>
    <m/>
    <n v="-438952"/>
  </r>
  <r>
    <d v="2024-11-30T00:00:00"/>
    <d v="2024-11-30T00:00:00"/>
    <s v="KC2024.11"/>
    <s v="Kết chuyển doanh thu hoạt động tài chính"/>
    <s v="911"/>
    <x v="0"/>
    <n v="0"/>
    <n v="986"/>
    <m/>
    <m/>
    <m/>
    <n v="-986"/>
  </r>
  <r>
    <d v="2024-11-30T00:00:00"/>
    <d v="2024-11-30T00:00:00"/>
    <s v="KC2024.11"/>
    <s v="Kết chuyển chi phí quản lý doanh nghiệp"/>
    <s v="911"/>
    <x v="3"/>
    <n v="220000"/>
    <n v="0"/>
    <m/>
    <m/>
    <m/>
    <n v="220000"/>
  </r>
  <r>
    <d v="2024-11-30T00:00:00"/>
    <d v="2024-11-30T00:00:00"/>
    <s v="KC2024.11"/>
    <s v="Kết chuyển kết quả hoạt động kinh doanh trong kỳ"/>
    <s v="911"/>
    <x v="2"/>
    <n v="0"/>
    <n v="219014"/>
    <m/>
    <m/>
    <m/>
    <n v="-219014"/>
  </r>
  <r>
    <d v="2024-12-31T00:00:00"/>
    <d v="2024-12-31T00:00:00"/>
    <s v="KC2024.12"/>
    <s v="Kết chuyển doanh thu hoạt động tài chính"/>
    <s v="911"/>
    <x v="0"/>
    <n v="0"/>
    <n v="999"/>
    <m/>
    <m/>
    <m/>
    <n v="-999"/>
  </r>
  <r>
    <d v="2024-12-31T00:00:00"/>
    <d v="2024-12-31T00:00:00"/>
    <s v="KC2024.12"/>
    <s v="Kết chuyển chi phí quản lý doanh nghiệp"/>
    <s v="911"/>
    <x v="3"/>
    <n v="220000"/>
    <n v="0"/>
    <m/>
    <m/>
    <m/>
    <n v="220000"/>
  </r>
  <r>
    <d v="2024-12-31T00:00:00"/>
    <d v="2024-12-31T00:00:00"/>
    <s v="KC2024.12"/>
    <s v="Kết chuyển kết quả hoạt động kinh doanh trong kỳ"/>
    <s v="911"/>
    <x v="2"/>
    <n v="0"/>
    <n v="219001"/>
    <m/>
    <m/>
    <m/>
    <n v="-219001"/>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
  <r>
    <d v="2024-01-31T00:00:00"/>
    <d v="2024-01-31T00:00:00"/>
    <s v="KC2024.01"/>
    <s v="Kết chuyển doanh thu hoạt động tài chính"/>
    <s v="911"/>
    <x v="0"/>
    <n v="0"/>
    <n v="6456821"/>
    <m/>
    <m/>
    <s v="Chi phí hợp lý"/>
    <n v="-6456821"/>
  </r>
  <r>
    <d v="2024-01-31T00:00:00"/>
    <d v="2024-01-31T00:00:00"/>
    <s v="KC2024.01"/>
    <s v="Kết chuyển chi phí quản lý doanh nghiệp"/>
    <s v="911"/>
    <x v="1"/>
    <n v="371875"/>
    <n v="0"/>
    <m/>
    <m/>
    <s v="Chi phí hợp lý"/>
    <n v="371875"/>
  </r>
  <r>
    <d v="2024-01-31T00:00:00"/>
    <d v="2024-01-31T00:00:00"/>
    <s v="KC2024.01"/>
    <s v="Kết chuyển chi phí quản lý doanh nghiệp"/>
    <s v="911"/>
    <x v="2"/>
    <n v="2000000"/>
    <n v="0"/>
    <m/>
    <m/>
    <s v="Chi phí hợp lý"/>
    <n v="2000000"/>
  </r>
  <r>
    <d v="2024-01-31T00:00:00"/>
    <d v="2024-01-31T00:00:00"/>
    <s v="KC2024.01"/>
    <s v="Kết chuyển chi phí quản lý doanh nghiệp"/>
    <s v="911"/>
    <x v="3"/>
    <n v="8000000"/>
    <n v="0"/>
    <m/>
    <m/>
    <s v="Chi phí hợp lý"/>
    <n v="8000000"/>
  </r>
  <r>
    <d v="2024-01-31T00:00:00"/>
    <d v="2024-01-31T00:00:00"/>
    <s v="KC2024.01"/>
    <s v="Kết chuyển kết quả hoạt động kinh doanh trong kỳ"/>
    <s v="911"/>
    <x v="4"/>
    <n v="0"/>
    <n v="3915054"/>
    <m/>
    <m/>
    <s v="Chi phí hợp lý"/>
    <n v="-3915054"/>
  </r>
  <r>
    <d v="2024-02-29T00:00:00"/>
    <d v="2024-02-29T00:00:00"/>
    <s v="KC2024.02"/>
    <s v="Kết chuyển doanh thu hoạt động tài chính"/>
    <s v="911"/>
    <x v="0"/>
    <n v="0"/>
    <n v="7538740"/>
    <m/>
    <m/>
    <s v="Chi phí hợp lý"/>
    <n v="-7538740"/>
  </r>
  <r>
    <d v="2024-02-29T00:00:00"/>
    <d v="2024-02-29T00:00:00"/>
    <s v="KC2024.02"/>
    <s v="Kết chuyển chi phí quản lý doanh nghiệp"/>
    <s v="911"/>
    <x v="1"/>
    <n v="371875"/>
    <n v="0"/>
    <m/>
    <m/>
    <s v="Chi phí hợp lý"/>
    <n v="371875"/>
  </r>
  <r>
    <d v="2024-02-29T00:00:00"/>
    <d v="2024-02-29T00:00:00"/>
    <s v="KC2024.02"/>
    <s v="Kết chuyển chi phí quản lý doanh nghiệp"/>
    <s v="911"/>
    <x v="5"/>
    <n v="55000"/>
    <n v="0"/>
    <m/>
    <m/>
    <s v="Chi phí hợp lý"/>
    <n v="55000"/>
  </r>
  <r>
    <d v="2024-02-29T00:00:00"/>
    <d v="2024-02-29T00:00:00"/>
    <s v="KC2024.02"/>
    <s v="Kết chuyển chi phí quản lý doanh nghiệp"/>
    <s v="911"/>
    <x v="3"/>
    <n v="8000000"/>
    <n v="0"/>
    <m/>
    <m/>
    <s v="Chi phí hợp lý"/>
    <n v="8000000"/>
  </r>
  <r>
    <d v="2024-02-29T00:00:00"/>
    <d v="2024-02-29T00:00:00"/>
    <s v="KC2024.02"/>
    <s v="Kết chuyển kết quả hoạt động kinh doanh trong kỳ"/>
    <s v="911"/>
    <x v="4"/>
    <n v="0"/>
    <n v="888135"/>
    <m/>
    <m/>
    <s v="Chi phí hợp lý"/>
    <n v="-888135"/>
  </r>
  <r>
    <d v="2024-03-31T00:00:00"/>
    <d v="2024-03-31T00:00:00"/>
    <s v="KC2024.03"/>
    <s v="Kết chuyển doanh thu bán hàng và cung cấp dịch vụ"/>
    <s v="911"/>
    <x v="6"/>
    <n v="0"/>
    <n v="7472"/>
    <m/>
    <m/>
    <s v="Chi phí hợp lý"/>
    <n v="-7472"/>
  </r>
  <r>
    <d v="2024-03-31T00:00:00"/>
    <d v="2024-03-31T00:00:00"/>
    <s v="KC2024.03"/>
    <s v="Kết chuyển doanh thu hoạt động tài chính"/>
    <s v="911"/>
    <x v="0"/>
    <n v="0"/>
    <n v="10067457"/>
    <m/>
    <m/>
    <s v="Chi phí hợp lý"/>
    <n v="-10067457"/>
  </r>
  <r>
    <d v="2024-03-31T00:00:00"/>
    <d v="2024-03-31T00:00:00"/>
    <s v="KC2024.03"/>
    <s v="Kết chuyển chi phí quản lý doanh nghiệp"/>
    <s v="911"/>
    <x v="1"/>
    <n v="371875"/>
    <n v="0"/>
    <m/>
    <m/>
    <s v="Chi phí hợp lý"/>
    <n v="371875"/>
  </r>
  <r>
    <d v="2024-03-31T00:00:00"/>
    <d v="2024-03-31T00:00:00"/>
    <s v="KC2024.03"/>
    <s v="Kết chuyển chi phí quản lý doanh nghiệp"/>
    <s v="911"/>
    <x v="3"/>
    <n v="8000000"/>
    <n v="0"/>
    <m/>
    <m/>
    <s v="Chi phí hợp lý"/>
    <n v="8000000"/>
  </r>
  <r>
    <d v="2024-03-31T00:00:00"/>
    <d v="2024-03-31T00:00:00"/>
    <s v="KC2024.03"/>
    <s v="Kết chuyển kết quả hoạt động kinh doanh trong kỳ"/>
    <s v="911"/>
    <x v="4"/>
    <n v="1703054"/>
    <n v="0"/>
    <m/>
    <m/>
    <s v="Chi phí hợp lý"/>
    <n v="1703054"/>
  </r>
  <r>
    <d v="2024-04-30T00:00:00"/>
    <d v="2024-04-30T00:00:00"/>
    <s v="KC2024.04"/>
    <s v="Kết chuyển doanh thu hoạt động tài chính"/>
    <s v="911"/>
    <x v="0"/>
    <n v="0"/>
    <n v="9262354"/>
    <m/>
    <m/>
    <s v="Chi phí hợp lý"/>
    <n v="-9262354"/>
  </r>
  <r>
    <d v="2024-04-30T00:00:00"/>
    <d v="2024-04-30T00:00:00"/>
    <s v="KC2024.04"/>
    <s v="Kết chuyển chi phí quản lý doanh nghiệp"/>
    <s v="911"/>
    <x v="1"/>
    <n v="371875"/>
    <n v="0"/>
    <m/>
    <m/>
    <s v="Chi phí hợp lý"/>
    <n v="371875"/>
  </r>
  <r>
    <d v="2024-04-30T00:00:00"/>
    <d v="2024-04-30T00:00:00"/>
    <s v="KC2024.04"/>
    <s v="Kết chuyển chi phí quản lý doanh nghiệp"/>
    <s v="911"/>
    <x v="3"/>
    <n v="8000000"/>
    <n v="0"/>
    <m/>
    <m/>
    <s v="Chi phí hợp lý"/>
    <n v="8000000"/>
  </r>
  <r>
    <d v="2024-04-30T00:00:00"/>
    <d v="2024-04-30T00:00:00"/>
    <s v="KC2024.04"/>
    <s v="Kết chuyển kết quả hoạt động kinh doanh trong kỳ"/>
    <s v="911"/>
    <x v="4"/>
    <n v="890479"/>
    <n v="0"/>
    <m/>
    <m/>
    <s v="Chi phí hợp lý"/>
    <n v="890479"/>
  </r>
  <r>
    <d v="2024-05-31T00:00:00"/>
    <d v="2024-05-31T00:00:00"/>
    <s v="KC2024.05"/>
    <s v="Kết chuyển doanh thu hoạt động tài chính"/>
    <s v="911"/>
    <x v="0"/>
    <n v="0"/>
    <n v="3970338"/>
    <m/>
    <m/>
    <s v="Chi phí hợp lý"/>
    <n v="-3970338"/>
  </r>
  <r>
    <d v="2024-05-31T00:00:00"/>
    <d v="2024-05-31T00:00:00"/>
    <s v="KC2024.05"/>
    <s v="Kết chuyển chi phí quản lý doanh nghiệp"/>
    <s v="911"/>
    <x v="1"/>
    <n v="371875"/>
    <n v="0"/>
    <m/>
    <m/>
    <s v="Chi phí hợp lý"/>
    <n v="371875"/>
  </r>
  <r>
    <d v="2024-05-31T00:00:00"/>
    <d v="2024-05-31T00:00:00"/>
    <s v="KC2024.05"/>
    <s v="Kết chuyển chi phí quản lý doanh nghiệp"/>
    <s v="911"/>
    <x v="3"/>
    <n v="8000000"/>
    <n v="0"/>
    <m/>
    <m/>
    <s v="Chi phí hợp lý"/>
    <n v="8000000"/>
  </r>
  <r>
    <d v="2024-05-31T00:00:00"/>
    <d v="2024-05-31T00:00:00"/>
    <s v="KC2024.05"/>
    <s v="Kết chuyển kết quả hoạt động kinh doanh trong kỳ"/>
    <s v="911"/>
    <x v="4"/>
    <n v="0"/>
    <n v="4401537"/>
    <m/>
    <m/>
    <s v="Chi phí hợp lý"/>
    <n v="-4401537"/>
  </r>
  <r>
    <d v="2024-06-30T00:00:00"/>
    <d v="2024-06-30T00:00:00"/>
    <s v="KC2024.06"/>
    <s v="Kết chuyển doanh thu hoạt động tài chính"/>
    <s v="911"/>
    <x v="0"/>
    <n v="0"/>
    <n v="10792514"/>
    <m/>
    <m/>
    <s v="Chi phí hợp lý"/>
    <n v="-10792514"/>
  </r>
  <r>
    <d v="2024-06-30T00:00:00"/>
    <d v="2024-06-30T00:00:00"/>
    <s v="KC2024.06"/>
    <s v="Kết chuyển chi phí quản lý doanh nghiệp"/>
    <s v="911"/>
    <x v="1"/>
    <n v="371875"/>
    <n v="0"/>
    <m/>
    <m/>
    <s v="Chi phí hợp lý"/>
    <n v="371875"/>
  </r>
  <r>
    <d v="2024-06-30T00:00:00"/>
    <d v="2024-06-30T00:00:00"/>
    <s v="KC2024.06"/>
    <s v="Kết chuyển chi phí quản lý doanh nghiệp"/>
    <s v="911"/>
    <x v="3"/>
    <n v="8000000"/>
    <n v="0"/>
    <m/>
    <m/>
    <s v="Chi phí hợp lý"/>
    <n v="8000000"/>
  </r>
  <r>
    <d v="2024-06-30T00:00:00"/>
    <d v="2024-06-30T00:00:00"/>
    <s v="KC2024.06"/>
    <s v="Kết chuyển kết quả hoạt động kinh doanh trong kỳ"/>
    <s v="911"/>
    <x v="4"/>
    <n v="2420639"/>
    <n v="0"/>
    <m/>
    <m/>
    <s v="Chi phí hợp lý"/>
    <n v="2420639"/>
  </r>
  <r>
    <d v="2024-07-31T00:00:00"/>
    <d v="2024-07-31T00:00:00"/>
    <s v="KC2024.07"/>
    <s v="Kết chuyển doanh thu bán hàng và cung cấp dịch vụ"/>
    <s v="911"/>
    <x v="6"/>
    <n v="0"/>
    <n v="24284"/>
    <m/>
    <m/>
    <s v="Chi phí hợp lý"/>
    <n v="-24284"/>
  </r>
  <r>
    <d v="2024-07-31T00:00:00"/>
    <d v="2024-07-31T00:00:00"/>
    <s v="KC2024.07"/>
    <s v="Kết chuyển doanh thu hoạt động tài chính"/>
    <s v="911"/>
    <x v="0"/>
    <n v="0"/>
    <n v="11317857"/>
    <m/>
    <m/>
    <s v="Chi phí hợp lý"/>
    <n v="-11317857"/>
  </r>
  <r>
    <d v="2024-07-31T00:00:00"/>
    <d v="2024-07-31T00:00:00"/>
    <s v="KC2024.07"/>
    <s v="Kết chuyển chi phí quản lý doanh nghiệp"/>
    <s v="911"/>
    <x v="1"/>
    <n v="371875"/>
    <n v="0"/>
    <m/>
    <m/>
    <s v="Chi phí hợp lý"/>
    <n v="371875"/>
  </r>
  <r>
    <d v="2024-07-31T00:00:00"/>
    <d v="2024-07-31T00:00:00"/>
    <s v="KC2024.07"/>
    <s v="Kết chuyển chi phí quản lý doanh nghiệp"/>
    <s v="911"/>
    <x v="3"/>
    <n v="8000000"/>
    <n v="0"/>
    <m/>
    <m/>
    <s v="Chi phí hợp lý"/>
    <n v="8000000"/>
  </r>
  <r>
    <d v="2024-07-31T00:00:00"/>
    <d v="2024-07-31T00:00:00"/>
    <s v="KC2024.07"/>
    <s v="Kết chuyển kết quả hoạt động kinh doanh trong kỳ"/>
    <s v="911"/>
    <x v="4"/>
    <n v="2970266"/>
    <n v="0"/>
    <m/>
    <m/>
    <s v="Chi phí hợp lý"/>
    <n v="2970266"/>
  </r>
  <r>
    <d v="2024-08-31T00:00:00"/>
    <d v="2024-08-31T00:00:00"/>
    <s v="KC2024.08"/>
    <s v="Kết chuyển doanh thu hoạt động tài chính"/>
    <s v="911"/>
    <x v="0"/>
    <n v="0"/>
    <n v="11666901"/>
    <m/>
    <m/>
    <s v="Chi phí hợp lý"/>
    <n v="-11666901"/>
  </r>
  <r>
    <d v="2024-08-31T00:00:00"/>
    <d v="2024-08-31T00:00:00"/>
    <s v="KC2024.08"/>
    <s v="Kết chuyển chi phí quản lý doanh nghiệp"/>
    <s v="911"/>
    <x v="1"/>
    <n v="371875"/>
    <n v="0"/>
    <m/>
    <m/>
    <s v="Chi phí hợp lý"/>
    <n v="371875"/>
  </r>
  <r>
    <d v="2024-08-31T00:00:00"/>
    <d v="2024-08-31T00:00:00"/>
    <s v="KC2024.08"/>
    <s v="Kết chuyển chi phí quản lý doanh nghiệp"/>
    <s v="911"/>
    <x v="5"/>
    <n v="55000"/>
    <n v="0"/>
    <m/>
    <m/>
    <s v="Chi phí hợp lý"/>
    <n v="55000"/>
  </r>
  <r>
    <d v="2024-08-31T00:00:00"/>
    <d v="2024-08-31T00:00:00"/>
    <s v="KC2024.08"/>
    <s v="Kết chuyển chi phí quản lý doanh nghiệp"/>
    <s v="911"/>
    <x v="3"/>
    <n v="8000000"/>
    <n v="0"/>
    <m/>
    <m/>
    <s v="Chi phí hợp lý"/>
    <n v="8000000"/>
  </r>
  <r>
    <d v="2024-08-31T00:00:00"/>
    <d v="2024-08-31T00:00:00"/>
    <s v="KC2024.08"/>
    <s v="Kết chuyển kết quả hoạt động kinh doanh trong kỳ"/>
    <s v="911"/>
    <x v="4"/>
    <n v="3240026"/>
    <n v="0"/>
    <m/>
    <m/>
    <s v="Chi phí hợp lý"/>
    <n v="3240026"/>
  </r>
  <r>
    <d v="2024-09-30T00:00:00"/>
    <d v="2024-09-30T00:00:00"/>
    <s v="KC2024.09"/>
    <s v="Kết chuyển doanh thu hoạt động tài chính"/>
    <s v="911"/>
    <x v="0"/>
    <n v="0"/>
    <n v="11317175"/>
    <m/>
    <m/>
    <s v="Chi phí hợp lý"/>
    <n v="-11317175"/>
  </r>
  <r>
    <d v="2024-09-30T00:00:00"/>
    <d v="2024-09-30T00:00:00"/>
    <s v="KC2024.09"/>
    <s v="Kết chuyển chi phí quản lý doanh nghiệp"/>
    <s v="911"/>
    <x v="1"/>
    <n v="371875"/>
    <n v="0"/>
    <m/>
    <m/>
    <s v="Chi phí hợp lý"/>
    <n v="371875"/>
  </r>
  <r>
    <d v="2024-09-30T00:00:00"/>
    <d v="2024-09-30T00:00:00"/>
    <s v="KC2024.09"/>
    <s v="Kết chuyển chi phí quản lý doanh nghiệp"/>
    <s v="911"/>
    <x v="3"/>
    <n v="8000000"/>
    <n v="0"/>
    <m/>
    <m/>
    <s v="Chi phí hợp lý"/>
    <n v="8000000"/>
  </r>
  <r>
    <d v="2024-09-30T00:00:00"/>
    <d v="2024-09-30T00:00:00"/>
    <s v="KC2024.09"/>
    <s v="Kết chuyển kết quả hoạt động kinh doanh trong kỳ"/>
    <s v="911"/>
    <x v="4"/>
    <n v="2945300"/>
    <n v="0"/>
    <m/>
    <m/>
    <s v="Chi phí hợp lý"/>
    <n v="2945300"/>
  </r>
  <r>
    <d v="2024-10-31T00:00:00"/>
    <d v="2024-10-31T00:00:00"/>
    <s v="KC2024.10"/>
    <s v="Kết chuyển doanh thu hoạt động tài chính"/>
    <s v="911"/>
    <x v="0"/>
    <n v="0"/>
    <n v="10959403"/>
    <m/>
    <m/>
    <s v="Chi phí hợp lý"/>
    <n v="-10959403"/>
  </r>
  <r>
    <d v="2024-10-31T00:00:00"/>
    <d v="2024-10-31T00:00:00"/>
    <s v="KC2024.10"/>
    <s v="Kết chuyển chi phí hoạt động tài chính"/>
    <s v="911"/>
    <x v="7"/>
    <n v="4858"/>
    <n v="0"/>
    <m/>
    <m/>
    <s v="Chi phí hợp lý"/>
    <n v="4858"/>
  </r>
  <r>
    <d v="2024-10-31T00:00:00"/>
    <d v="2024-10-31T00:00:00"/>
    <s v="KC2024.10"/>
    <s v="Kết chuyển chi phí quản lý doanh nghiệp"/>
    <s v="911"/>
    <x v="1"/>
    <n v="371875"/>
    <n v="0"/>
    <m/>
    <m/>
    <s v="Chi phí hợp lý"/>
    <n v="371875"/>
  </r>
  <r>
    <d v="2024-10-31T00:00:00"/>
    <d v="2024-10-31T00:00:00"/>
    <s v="KC2024.10"/>
    <s v="Kết chuyển chi phí quản lý doanh nghiệp"/>
    <s v="911"/>
    <x v="5"/>
    <n v="220000"/>
    <n v="0"/>
    <m/>
    <m/>
    <s v="Chi phí hợp lý"/>
    <n v="220000"/>
  </r>
  <r>
    <d v="2024-10-31T00:00:00"/>
    <d v="2024-10-31T00:00:00"/>
    <s v="KC2024.10"/>
    <s v="Kết chuyển chi phí quản lý doanh nghiệp"/>
    <s v="911"/>
    <x v="3"/>
    <n v="8000000"/>
    <n v="0"/>
    <m/>
    <m/>
    <s v="Chi phí hợp lý"/>
    <n v="8000000"/>
  </r>
  <r>
    <d v="2024-10-31T00:00:00"/>
    <d v="2024-10-31T00:00:00"/>
    <s v="KC2024.10"/>
    <s v="Kết chuyển kết quả hoạt động kinh doanh trong kỳ"/>
    <s v="911"/>
    <x v="4"/>
    <n v="2362670"/>
    <n v="0"/>
    <m/>
    <m/>
    <s v="Chi phí hợp lý"/>
    <n v="2362670"/>
  </r>
  <r>
    <d v="2024-11-30T00:00:00"/>
    <d v="2024-11-30T00:00:00"/>
    <s v="KC2024.11"/>
    <s v="Kết chuyển doanh thu bán hàng và cung cấp dịch vụ"/>
    <s v="911"/>
    <x v="6"/>
    <n v="0"/>
    <n v="22416"/>
    <m/>
    <m/>
    <s v="Chi phí hợp lý"/>
    <n v="-22416"/>
  </r>
  <r>
    <d v="2024-11-30T00:00:00"/>
    <d v="2024-11-30T00:00:00"/>
    <s v="KC2024.11"/>
    <s v="Kết chuyển doanh thu hoạt động tài chính"/>
    <s v="911"/>
    <x v="0"/>
    <n v="0"/>
    <n v="7030066"/>
    <m/>
    <m/>
    <s v="Chi phí hợp lý"/>
    <n v="-7030066"/>
  </r>
  <r>
    <d v="2024-11-30T00:00:00"/>
    <d v="2024-11-30T00:00:00"/>
    <s v="KC2024.11"/>
    <s v="Kết chuyển chi phí hoạt động tài chính"/>
    <s v="911"/>
    <x v="7"/>
    <n v="484"/>
    <n v="0"/>
    <m/>
    <m/>
    <s v="Chi phí hợp lý"/>
    <n v="484"/>
  </r>
  <r>
    <d v="2024-11-30T00:00:00"/>
    <d v="2024-11-30T00:00:00"/>
    <s v="KC2024.11"/>
    <s v="Kết chuyển chi phí quản lý doanh nghiệp"/>
    <s v="911"/>
    <x v="1"/>
    <n v="371875"/>
    <n v="0"/>
    <m/>
    <m/>
    <s v="Chi phí hợp lý"/>
    <n v="371875"/>
  </r>
  <r>
    <d v="2024-11-30T00:00:00"/>
    <d v="2024-11-30T00:00:00"/>
    <s v="KC2024.11"/>
    <s v="Kết chuyển chi phí quản lý doanh nghiệp"/>
    <s v="911"/>
    <x v="3"/>
    <n v="8000000"/>
    <n v="0"/>
    <m/>
    <m/>
    <s v="Chi phí hợp lý"/>
    <n v="8000000"/>
  </r>
  <r>
    <d v="2024-11-30T00:00:00"/>
    <d v="2024-11-30T00:00:00"/>
    <s v="KC2024.11"/>
    <s v="Kết chuyển kết quả hoạt động kinh doanh trong kỳ"/>
    <s v="911"/>
    <x v="4"/>
    <n v="0"/>
    <n v="1319877"/>
    <m/>
    <m/>
    <s v="Chi phí hợp lý"/>
    <n v="-1319877"/>
  </r>
  <r>
    <d v="2024-12-31T00:00:00"/>
    <d v="2024-12-31T00:00:00"/>
    <s v="KC2024.12"/>
    <s v="Kết chuyển doanh thu hoạt động tài chính"/>
    <s v="911"/>
    <x v="0"/>
    <n v="0"/>
    <n v="7298000"/>
    <m/>
    <m/>
    <s v="Chi phí hợp lý"/>
    <n v="-7298000"/>
  </r>
  <r>
    <d v="2024-12-31T00:00:00"/>
    <d v="2024-12-31T00:00:00"/>
    <s v="KC2024.12"/>
    <s v="Kết chuyển chi phí hoạt động tài chính"/>
    <s v="911"/>
    <x v="7"/>
    <n v="6458"/>
    <n v="0"/>
    <m/>
    <m/>
    <s v="Chi phí hợp lý"/>
    <n v="6458"/>
  </r>
  <r>
    <d v="2024-12-31T00:00:00"/>
    <d v="2024-12-31T00:00:00"/>
    <s v="KC2024.12"/>
    <s v="Kết chuyển chi phí quản lý doanh nghiệp"/>
    <s v="911"/>
    <x v="1"/>
    <n v="371875"/>
    <n v="0"/>
    <m/>
    <m/>
    <s v="Chi phí hợp lý"/>
    <n v="371875"/>
  </r>
  <r>
    <d v="2024-12-31T00:00:00"/>
    <d v="2024-12-31T00:00:00"/>
    <s v="KC2024.12"/>
    <s v="Kết chuyển chi phí quản lý doanh nghiệp"/>
    <s v="911"/>
    <x v="3"/>
    <n v="8000000"/>
    <n v="0"/>
    <m/>
    <m/>
    <s v="Chi phí hợp lý"/>
    <n v="8000000"/>
  </r>
  <r>
    <d v="2024-12-31T00:00:00"/>
    <d v="2024-12-31T00:00:00"/>
    <s v="KC2024.12"/>
    <s v="Kết chuyển chi phí quản lý doanh nghiệp"/>
    <s v="911"/>
    <x v="8"/>
    <n v="100000"/>
    <n v="0"/>
    <m/>
    <m/>
    <s v="Chi phí hợp lý"/>
    <n v="100000"/>
  </r>
  <r>
    <d v="2024-12-31T00:00:00"/>
    <d v="2024-12-31T00:00:00"/>
    <s v="KC2024.12"/>
    <s v="Kết chuyển kết quả hoạt động kinh doanh trong kỳ"/>
    <s v="911"/>
    <x v="4"/>
    <n v="0"/>
    <n v="1180333"/>
    <m/>
    <m/>
    <s v="Chi phí hợp lý"/>
    <n v="-1180333"/>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d v="2024-01-31T00:00:00"/>
    <s v="KC202401"/>
    <m/>
    <m/>
    <s v="Kết chuyển cuối kỳ 51101020306 --&gt; 91122"/>
    <s v="91122"/>
    <s v="51101020306"/>
    <n v="692224658"/>
    <n v="1"/>
    <n v="0"/>
    <m/>
    <s v="5"/>
    <x v="0"/>
    <n v="692224658"/>
  </r>
  <r>
    <d v="2024-01-31T00:00:00"/>
    <s v="KC202401"/>
    <m/>
    <m/>
    <s v="Kết chuyển cuối kỳ 51101030201 --&gt; 9111"/>
    <s v="9111"/>
    <s v="51101030201"/>
    <n v="210623288"/>
    <n v="1"/>
    <n v="0"/>
    <m/>
    <s v="5"/>
    <x v="1"/>
    <n v="210623288"/>
  </r>
  <r>
    <d v="2024-01-31T00:00:00"/>
    <s v="KC202401"/>
    <m/>
    <m/>
    <s v="Kết chuyển cuối kỳ 63311 --&gt; 9111"/>
    <s v="9111"/>
    <s v="63311"/>
    <n v="126291396"/>
    <n v="1"/>
    <n v="0"/>
    <m/>
    <s v="6"/>
    <x v="2"/>
    <n v="126291396"/>
  </r>
  <r>
    <d v="2024-01-31T00:00:00"/>
    <s v="KC202401"/>
    <m/>
    <m/>
    <s v="Kết chuyển cuối kỳ 63312 --&gt; 9111"/>
    <s v="9111"/>
    <s v="63312"/>
    <n v="70423672"/>
    <n v="1"/>
    <n v="0"/>
    <m/>
    <s v="6"/>
    <x v="3"/>
    <n v="70423672"/>
  </r>
  <r>
    <d v="2024-01-31T00:00:00"/>
    <s v="KC202401"/>
    <m/>
    <m/>
    <s v="Kết chuyển cuối kỳ 63313 --&gt; 9111"/>
    <s v="9111"/>
    <s v="63313"/>
    <n v="5833333"/>
    <n v="1"/>
    <n v="0"/>
    <m/>
    <s v="6"/>
    <x v="4"/>
    <n v="5833333"/>
  </r>
  <r>
    <d v="2024-01-31T00:00:00"/>
    <s v="KC202401"/>
    <m/>
    <m/>
    <s v="Kết chuyển cuối kỳ 6331711 --&gt; 9111"/>
    <s v="9111"/>
    <s v="6331711"/>
    <n v="1037900428"/>
    <n v="1"/>
    <n v="0"/>
    <m/>
    <s v="6"/>
    <x v="5"/>
    <n v="1037900428"/>
  </r>
  <r>
    <d v="2024-01-31T00:00:00"/>
    <s v="KC202401"/>
    <m/>
    <m/>
    <s v="Kết chuyển cuối kỳ 6331712 --&gt; 9111"/>
    <s v="9111"/>
    <s v="6331712"/>
    <n v="67306000"/>
    <n v="1"/>
    <n v="0"/>
    <m/>
    <s v="6"/>
    <x v="6"/>
    <n v="67306000"/>
  </r>
  <r>
    <d v="2024-01-31T00:00:00"/>
    <s v="KC202401"/>
    <m/>
    <m/>
    <s v="Kết chuyển cuối kỳ 633173 --&gt; 9111"/>
    <s v="9111"/>
    <s v="633173"/>
    <n v="431470746"/>
    <n v="1"/>
    <n v="0"/>
    <m/>
    <s v="6"/>
    <x v="7"/>
    <n v="431470746"/>
  </r>
  <r>
    <d v="2024-01-31T00:00:00"/>
    <s v="KC202401"/>
    <m/>
    <m/>
    <s v="Kết chuyển cuối kỳ 633174 --&gt; 9111"/>
    <s v="9111"/>
    <s v="633174"/>
    <n v="112194335"/>
    <n v="1"/>
    <n v="0"/>
    <m/>
    <s v="6"/>
    <x v="8"/>
    <n v="112194335"/>
  </r>
  <r>
    <d v="2024-01-31T00:00:00"/>
    <s v="KC202401"/>
    <m/>
    <m/>
    <s v="Kết chuyển cuối kỳ 633175 --&gt; 9111"/>
    <s v="9111"/>
    <s v="633175"/>
    <n v="254618265"/>
    <n v="1"/>
    <n v="0"/>
    <m/>
    <s v="6"/>
    <x v="9"/>
    <n v="254618265"/>
  </r>
  <r>
    <d v="2024-01-31T00:00:00"/>
    <s v="KC202401"/>
    <m/>
    <m/>
    <s v="Kết chuyển cuối kỳ 63341 --&gt; 9111"/>
    <s v="9111"/>
    <s v="63341"/>
    <n v="11354466"/>
    <n v="1"/>
    <n v="0"/>
    <m/>
    <s v="6"/>
    <x v="10"/>
    <n v="11354466"/>
  </r>
  <r>
    <d v="2024-01-31T00:00:00"/>
    <s v="KC202401"/>
    <m/>
    <m/>
    <s v="Kết chuyển cuối kỳ 63345 --&gt; 9111"/>
    <s v="9111"/>
    <s v="63345"/>
    <n v="3785206"/>
    <n v="1"/>
    <n v="0"/>
    <m/>
    <s v="6"/>
    <x v="11"/>
    <n v="3785206"/>
  </r>
  <r>
    <d v="2024-01-31T00:00:00"/>
    <s v="KC202401"/>
    <m/>
    <m/>
    <s v="Kết chuyển cuối kỳ 64111 --&gt; 9111"/>
    <s v="9111"/>
    <s v="64111"/>
    <n v="393278022"/>
    <n v="1"/>
    <n v="0"/>
    <m/>
    <s v="6"/>
    <x v="12"/>
    <n v="393278022"/>
  </r>
  <r>
    <d v="2024-01-31T00:00:00"/>
    <s v="KC202401"/>
    <m/>
    <m/>
    <s v="Kết chuyển cuối kỳ 64112 --&gt; 9111"/>
    <s v="9111"/>
    <s v="64112"/>
    <n v="35392000"/>
    <n v="1"/>
    <n v="0"/>
    <m/>
    <s v="6"/>
    <x v="13"/>
    <n v="35392000"/>
  </r>
  <r>
    <d v="2024-01-31T00:00:00"/>
    <s v="KC202401"/>
    <m/>
    <m/>
    <s v="Kết chuyển cuối kỳ 6414 --&gt; 9111"/>
    <s v="9111"/>
    <s v="6414"/>
    <n v="7223287"/>
    <n v="1"/>
    <n v="0"/>
    <m/>
    <s v="6"/>
    <x v="14"/>
    <n v="7223287"/>
  </r>
  <r>
    <d v="2024-01-31T00:00:00"/>
    <s v="KC202401"/>
    <m/>
    <m/>
    <s v="Kết chuyển cuối kỳ 641702 --&gt; 9111"/>
    <s v="9111"/>
    <s v="641702"/>
    <n v="1538387"/>
    <n v="1"/>
    <n v="0"/>
    <m/>
    <s v="6"/>
    <x v="15"/>
    <n v="1538387"/>
  </r>
  <r>
    <d v="2024-01-31T00:00:00"/>
    <s v="KC202401"/>
    <m/>
    <m/>
    <s v="Kết chuyển cuối kỳ 641704 --&gt; 9111"/>
    <s v="9111"/>
    <s v="641704"/>
    <n v="4178335"/>
    <n v="1"/>
    <n v="0"/>
    <m/>
    <s v="6"/>
    <x v="16"/>
    <n v="4178335"/>
  </r>
  <r>
    <d v="2024-01-31T00:00:00"/>
    <s v="KC202401"/>
    <m/>
    <m/>
    <s v="Kết chuyển cuối kỳ 641802 --&gt; 9111"/>
    <s v="9111"/>
    <s v="641802"/>
    <n v="12500000"/>
    <n v="1"/>
    <n v="0"/>
    <m/>
    <s v="6"/>
    <x v="17"/>
    <n v="12500000"/>
  </r>
  <r>
    <d v="2024-01-31T00:00:00"/>
    <s v="KC202401"/>
    <m/>
    <m/>
    <s v="Kết chuyển cuối kỳ 641809 --&gt; 9111"/>
    <s v="9111"/>
    <s v="641809"/>
    <n v="36300"/>
    <n v="1"/>
    <n v="0"/>
    <m/>
    <s v="6"/>
    <x v="18"/>
    <n v="36300"/>
  </r>
  <r>
    <d v="2024-01-31T00:00:00"/>
    <s v="KC202401"/>
    <m/>
    <m/>
    <s v="Kết chuyển cuối kỳ 64211 --&gt; 9111"/>
    <s v="9111"/>
    <s v="64211"/>
    <n v="1312125314"/>
    <n v="1"/>
    <n v="0"/>
    <m/>
    <s v="6"/>
    <x v="19"/>
    <n v="1312125314"/>
  </r>
  <r>
    <d v="2024-01-31T00:00:00"/>
    <s v="KC202401"/>
    <m/>
    <m/>
    <s v="Kết chuyển cuối kỳ 64212 --&gt; 9111"/>
    <s v="9111"/>
    <s v="64212"/>
    <n v="71205000"/>
    <n v="1"/>
    <n v="0"/>
    <m/>
    <s v="6"/>
    <x v="20"/>
    <n v="71205000"/>
  </r>
  <r>
    <d v="2024-01-31T00:00:00"/>
    <s v="KC202401"/>
    <m/>
    <m/>
    <s v="Kết chuyển cuối kỳ 6422 --&gt; 9111"/>
    <s v="9111"/>
    <s v="6422"/>
    <n v="25706593"/>
    <n v="1"/>
    <n v="0"/>
    <m/>
    <s v="6"/>
    <x v="21"/>
    <n v="25706593"/>
  </r>
  <r>
    <d v="2024-01-31T00:00:00"/>
    <s v="KC202401"/>
    <m/>
    <m/>
    <s v="Kết chuyển cuối kỳ 6423 --&gt; 9111"/>
    <s v="9111"/>
    <s v="6423"/>
    <n v="11619826"/>
    <n v="1"/>
    <n v="0"/>
    <m/>
    <s v="6"/>
    <x v="22"/>
    <n v="11619826"/>
  </r>
  <r>
    <d v="2024-01-31T00:00:00"/>
    <s v="KC202401"/>
    <m/>
    <m/>
    <s v="Kết chuyển cuối kỳ 6424 --&gt; 9111"/>
    <s v="9111"/>
    <s v="6424"/>
    <n v="92002440"/>
    <n v="1"/>
    <n v="0"/>
    <m/>
    <s v="6"/>
    <x v="23"/>
    <n v="92002440"/>
  </r>
  <r>
    <d v="2024-01-31T00:00:00"/>
    <s v="KC202401"/>
    <m/>
    <m/>
    <s v="Kết chuyển cuối kỳ 6425 --&gt; 9111"/>
    <s v="9111"/>
    <s v="6425"/>
    <n v="3000000"/>
    <n v="1"/>
    <n v="0"/>
    <m/>
    <s v="6"/>
    <x v="24"/>
    <n v="3000000"/>
  </r>
  <r>
    <d v="2024-01-31T00:00:00"/>
    <s v="KC202401"/>
    <m/>
    <m/>
    <s v="Kết chuyển cuối kỳ 642701 --&gt; 9111"/>
    <s v="9111"/>
    <s v="642701"/>
    <n v="356207662"/>
    <n v="1"/>
    <n v="0"/>
    <m/>
    <s v="6"/>
    <x v="25"/>
    <n v="356207662"/>
  </r>
  <r>
    <d v="2024-01-31T00:00:00"/>
    <s v="KC202401"/>
    <m/>
    <m/>
    <s v="Kết chuyển cuối kỳ 642702 --&gt; 9111"/>
    <s v="9111"/>
    <s v="642702"/>
    <n v="8105816"/>
    <n v="1"/>
    <n v="0"/>
    <m/>
    <s v="6"/>
    <x v="26"/>
    <n v="8105816"/>
  </r>
  <r>
    <d v="2024-01-31T00:00:00"/>
    <s v="KC202401"/>
    <m/>
    <m/>
    <s v="Kết chuyển cuối kỳ 642703 --&gt; 9111"/>
    <s v="9111"/>
    <s v="642703"/>
    <n v="4477135"/>
    <n v="1"/>
    <n v="0"/>
    <m/>
    <s v="6"/>
    <x v="27"/>
    <n v="4477135"/>
  </r>
  <r>
    <d v="2024-01-31T00:00:00"/>
    <s v="KC202401"/>
    <m/>
    <m/>
    <s v="Kết chuyển cuối kỳ 642704 --&gt; 9111"/>
    <s v="9111"/>
    <s v="642704"/>
    <n v="18330000"/>
    <n v="1"/>
    <n v="0"/>
    <m/>
    <s v="6"/>
    <x v="28"/>
    <n v="18330000"/>
  </r>
  <r>
    <d v="2024-01-31T00:00:00"/>
    <s v="KC202401"/>
    <m/>
    <m/>
    <s v="Kết chuyển cuối kỳ 642706 --&gt; 9111"/>
    <s v="9111"/>
    <s v="642706"/>
    <n v="31556000"/>
    <n v="1"/>
    <n v="0"/>
    <m/>
    <s v="6"/>
    <x v="29"/>
    <n v="31556000"/>
  </r>
  <r>
    <d v="2024-01-31T00:00:00"/>
    <s v="KC202401"/>
    <m/>
    <m/>
    <s v="Kết chuyển cuối kỳ 642707 --&gt; 9111"/>
    <s v="9111"/>
    <s v="642707"/>
    <n v="14887403"/>
    <n v="1"/>
    <n v="0"/>
    <m/>
    <s v="6"/>
    <x v="30"/>
    <n v="14887403"/>
  </r>
  <r>
    <d v="2024-01-31T00:00:00"/>
    <s v="KC202401"/>
    <m/>
    <m/>
    <s v="Kết chuyển cuối kỳ 642708 --&gt; 9111"/>
    <s v="9111"/>
    <s v="642708"/>
    <n v="36762682"/>
    <n v="1"/>
    <n v="0"/>
    <m/>
    <s v="6"/>
    <x v="31"/>
    <n v="36762682"/>
  </r>
  <r>
    <d v="2024-01-31T00:00:00"/>
    <s v="KC202401"/>
    <m/>
    <m/>
    <s v="Kết chuyển cuối kỳ 642709 --&gt; 9111"/>
    <s v="9111"/>
    <s v="642709"/>
    <n v="23479554"/>
    <n v="1"/>
    <n v="0"/>
    <m/>
    <s v="6"/>
    <x v="32"/>
    <n v="23479554"/>
  </r>
  <r>
    <d v="2024-01-31T00:00:00"/>
    <s v="KC202401"/>
    <m/>
    <m/>
    <s v="Kết chuyển cuối kỳ 642710 --&gt; 9111"/>
    <s v="9111"/>
    <s v="642710"/>
    <n v="412363"/>
    <n v="1"/>
    <n v="0"/>
    <m/>
    <s v="6"/>
    <x v="33"/>
    <n v="412363"/>
  </r>
  <r>
    <d v="2024-01-31T00:00:00"/>
    <s v="KC202401"/>
    <m/>
    <m/>
    <s v="Kết chuyển cuối kỳ 642711 --&gt; 9111"/>
    <s v="9111"/>
    <s v="642711"/>
    <n v="8939587"/>
    <n v="1"/>
    <n v="0"/>
    <m/>
    <s v="6"/>
    <x v="34"/>
    <n v="8939587"/>
  </r>
  <r>
    <d v="2024-01-31T00:00:00"/>
    <s v="KC202401"/>
    <m/>
    <m/>
    <s v="Kết chuyển cuối kỳ 642712 --&gt; 9111"/>
    <s v="9111"/>
    <s v="642712"/>
    <n v="1653900"/>
    <n v="1"/>
    <n v="0"/>
    <m/>
    <s v="6"/>
    <x v="35"/>
    <n v="1653900"/>
  </r>
  <r>
    <d v="2024-01-31T00:00:00"/>
    <s v="KC202401"/>
    <m/>
    <m/>
    <s v="Kết chuyển cuối kỳ 642799 --&gt; 9111"/>
    <s v="9111"/>
    <s v="642799"/>
    <n v="113587481"/>
    <n v="1"/>
    <n v="0"/>
    <m/>
    <s v="6"/>
    <x v="36"/>
    <n v="113587481"/>
  </r>
  <r>
    <d v="2024-02-29T00:00:00"/>
    <s v="KC202402"/>
    <m/>
    <m/>
    <s v="Kết chuyển cuối kỳ 51101030203 --&gt; 9111"/>
    <s v="9111"/>
    <s v="51101030203"/>
    <n v="1422205479"/>
    <n v="1"/>
    <n v="0"/>
    <m/>
    <s v="5"/>
    <x v="37"/>
    <n v="1422205479"/>
  </r>
  <r>
    <d v="2024-02-29T00:00:00"/>
    <s v="KC202402"/>
    <m/>
    <m/>
    <s v="Kết chuyển cuối kỳ 63311 --&gt; 9111"/>
    <s v="9111"/>
    <s v="63311"/>
    <n v="122535485"/>
    <n v="1"/>
    <n v="0"/>
    <m/>
    <s v="6"/>
    <x v="2"/>
    <n v="122535485"/>
  </r>
  <r>
    <d v="2024-02-29T00:00:00"/>
    <s v="KC202402"/>
    <m/>
    <m/>
    <s v="Kết chuyển cuối kỳ 63312 --&gt; 9111"/>
    <s v="9111"/>
    <s v="63312"/>
    <n v="35242999"/>
    <n v="1"/>
    <n v="0"/>
    <m/>
    <s v="6"/>
    <x v="3"/>
    <n v="35242999"/>
  </r>
  <r>
    <d v="2024-02-29T00:00:00"/>
    <s v="KC202402"/>
    <m/>
    <m/>
    <s v="Kết chuyển cuối kỳ 63313 --&gt; 9111"/>
    <s v="9111"/>
    <s v="63313"/>
    <n v="5833333"/>
    <n v="1"/>
    <n v="0"/>
    <m/>
    <s v="6"/>
    <x v="4"/>
    <n v="5833333"/>
  </r>
  <r>
    <d v="2024-02-29T00:00:00"/>
    <s v="KC202402"/>
    <m/>
    <m/>
    <s v="Kết chuyển cuối kỳ 63314 --&gt; 9111"/>
    <s v="9111"/>
    <s v="63314"/>
    <n v="2600000"/>
    <n v="1"/>
    <n v="0"/>
    <m/>
    <s v="6"/>
    <x v="38"/>
    <n v="2600000"/>
  </r>
  <r>
    <d v="2024-02-29T00:00:00"/>
    <s v="KC202402"/>
    <m/>
    <m/>
    <s v="Kết chuyển cuối kỳ 6331711 --&gt; 9111"/>
    <s v="9111"/>
    <s v="6331711"/>
    <n v="1025573236"/>
    <n v="1"/>
    <n v="0"/>
    <m/>
    <s v="6"/>
    <x v="5"/>
    <n v="1025573236"/>
  </r>
  <r>
    <d v="2024-02-29T00:00:00"/>
    <s v="KC202402"/>
    <m/>
    <m/>
    <s v="Kết chuyển cuối kỳ 6331712 --&gt; 9111"/>
    <s v="9111"/>
    <s v="6331712"/>
    <n v="65896000"/>
    <n v="1"/>
    <n v="0"/>
    <m/>
    <s v="6"/>
    <x v="6"/>
    <n v="65896000"/>
  </r>
  <r>
    <d v="2024-02-29T00:00:00"/>
    <s v="KC202402"/>
    <m/>
    <m/>
    <s v="Kết chuyển cuối kỳ 633173 --&gt; 9111"/>
    <s v="9111"/>
    <s v="633173"/>
    <n v="433567520"/>
    <n v="1"/>
    <n v="0"/>
    <m/>
    <s v="6"/>
    <x v="7"/>
    <n v="433567520"/>
  </r>
  <r>
    <d v="2024-02-29T00:00:00"/>
    <s v="KC202402"/>
    <m/>
    <m/>
    <s v="Kết chuyển cuối kỳ 633174 --&gt; 9111"/>
    <s v="9111"/>
    <s v="633174"/>
    <n v="112194335"/>
    <n v="1"/>
    <n v="0"/>
    <m/>
    <s v="6"/>
    <x v="8"/>
    <n v="112194335"/>
  </r>
  <r>
    <d v="2024-02-29T00:00:00"/>
    <s v="KC202402"/>
    <m/>
    <m/>
    <s v="Kết chuyển cuối kỳ 633175 --&gt; 9111"/>
    <s v="9111"/>
    <s v="633175"/>
    <n v="262951598"/>
    <n v="1"/>
    <n v="0"/>
    <m/>
    <s v="6"/>
    <x v="9"/>
    <n v="262951598"/>
  </r>
  <r>
    <d v="2024-02-29T00:00:00"/>
    <s v="KC202402"/>
    <m/>
    <m/>
    <s v="Kết chuyển cuối kỳ 63341 --&gt; 9111"/>
    <s v="9111"/>
    <s v="63341"/>
    <n v="10268867"/>
    <n v="1"/>
    <n v="0"/>
    <m/>
    <s v="6"/>
    <x v="10"/>
    <n v="10268867"/>
  </r>
  <r>
    <d v="2024-02-29T00:00:00"/>
    <s v="KC202402"/>
    <m/>
    <m/>
    <s v="Kết chuyển cuối kỳ 63345 --&gt; 9111"/>
    <s v="9111"/>
    <s v="63345"/>
    <n v="3428248"/>
    <n v="1"/>
    <n v="0"/>
    <m/>
    <s v="6"/>
    <x v="11"/>
    <n v="3428248"/>
  </r>
  <r>
    <d v="2024-02-29T00:00:00"/>
    <s v="KC202402"/>
    <m/>
    <m/>
    <s v="Kết chuyển cuối kỳ 64111 --&gt; 9111"/>
    <s v="9111"/>
    <s v="64111"/>
    <n v="407967307"/>
    <n v="1"/>
    <n v="0"/>
    <m/>
    <s v="6"/>
    <x v="12"/>
    <n v="407967307"/>
  </r>
  <r>
    <d v="2024-02-29T00:00:00"/>
    <s v="KC202402"/>
    <m/>
    <m/>
    <s v="Kết chuyển cuối kỳ 64112 --&gt; 9111"/>
    <s v="9111"/>
    <s v="64112"/>
    <n v="35392000"/>
    <n v="1"/>
    <n v="0"/>
    <m/>
    <s v="6"/>
    <x v="13"/>
    <n v="35392000"/>
  </r>
  <r>
    <d v="2024-02-29T00:00:00"/>
    <s v="KC202402"/>
    <m/>
    <m/>
    <s v="Kết chuyển cuối kỳ 64131 --&gt; 9111"/>
    <s v="9111"/>
    <s v="64131"/>
    <n v="26840000"/>
    <n v="1"/>
    <n v="0"/>
    <m/>
    <s v="6"/>
    <x v="39"/>
    <n v="26840000"/>
  </r>
  <r>
    <d v="2024-02-29T00:00:00"/>
    <s v="KC202402"/>
    <m/>
    <m/>
    <s v="Kết chuyển cuối kỳ 6414 --&gt; 9111"/>
    <s v="9111"/>
    <s v="6414"/>
    <n v="7223287"/>
    <n v="1"/>
    <n v="0"/>
    <m/>
    <s v="6"/>
    <x v="14"/>
    <n v="7223287"/>
  </r>
  <r>
    <d v="2024-02-29T00:00:00"/>
    <s v="KC202402"/>
    <m/>
    <m/>
    <s v="Kết chuyển cuối kỳ 641701 --&gt; 9111"/>
    <s v="9111"/>
    <s v="641701"/>
    <n v="5400000"/>
    <n v="1"/>
    <n v="0"/>
    <m/>
    <s v="6"/>
    <x v="40"/>
    <n v="5400000"/>
  </r>
  <r>
    <d v="2024-02-29T00:00:00"/>
    <s v="KC202402"/>
    <m/>
    <m/>
    <s v="Kết chuyển cuối kỳ 641702 --&gt; 9111"/>
    <s v="9111"/>
    <s v="641702"/>
    <n v="2299904"/>
    <n v="1"/>
    <n v="0"/>
    <m/>
    <s v="6"/>
    <x v="15"/>
    <n v="2299904"/>
  </r>
  <r>
    <d v="2024-02-29T00:00:00"/>
    <s v="KC202402"/>
    <m/>
    <m/>
    <s v="Kết chuyển cuối kỳ 641809 --&gt; 9111"/>
    <s v="9111"/>
    <s v="641809"/>
    <n v="12100"/>
    <n v="1"/>
    <n v="0"/>
    <m/>
    <s v="6"/>
    <x v="18"/>
    <n v="12100"/>
  </r>
  <r>
    <d v="2024-02-29T00:00:00"/>
    <s v="KC202402"/>
    <m/>
    <m/>
    <s v="Kết chuyển cuối kỳ 64211 --&gt; 9111"/>
    <s v="9111"/>
    <s v="64211"/>
    <n v="1429893934"/>
    <n v="1"/>
    <n v="0"/>
    <m/>
    <s v="6"/>
    <x v="19"/>
    <n v="1429893934"/>
  </r>
  <r>
    <d v="2024-02-29T00:00:00"/>
    <s v="KC202402"/>
    <m/>
    <m/>
    <s v="Kết chuyển cuối kỳ 64212 --&gt; 9111"/>
    <s v="9111"/>
    <s v="64212"/>
    <n v="63465000"/>
    <n v="1"/>
    <n v="0"/>
    <m/>
    <s v="6"/>
    <x v="20"/>
    <n v="63465000"/>
  </r>
  <r>
    <d v="2024-02-29T00:00:00"/>
    <s v="KC202402"/>
    <m/>
    <m/>
    <s v="Kết chuyển cuối kỳ 6422 --&gt; 9111"/>
    <s v="9111"/>
    <s v="6422"/>
    <n v="21142870"/>
    <n v="1"/>
    <n v="0"/>
    <m/>
    <s v="6"/>
    <x v="21"/>
    <n v="21142870"/>
  </r>
  <r>
    <d v="2024-02-29T00:00:00"/>
    <s v="KC202402"/>
    <m/>
    <m/>
    <s v="Kết chuyển cuối kỳ 6423 --&gt; 9111"/>
    <s v="9111"/>
    <s v="6423"/>
    <n v="7394940"/>
    <n v="1"/>
    <n v="0"/>
    <m/>
    <s v="6"/>
    <x v="22"/>
    <n v="7394940"/>
  </r>
  <r>
    <d v="2024-02-29T00:00:00"/>
    <s v="KC202402"/>
    <m/>
    <m/>
    <s v="Kết chuyển cuối kỳ 6424 --&gt; 9111"/>
    <s v="9111"/>
    <s v="6424"/>
    <n v="91450284"/>
    <n v="1"/>
    <n v="0"/>
    <m/>
    <s v="6"/>
    <x v="23"/>
    <n v="91450284"/>
  </r>
  <r>
    <d v="2024-02-29T00:00:00"/>
    <s v="KC202402"/>
    <m/>
    <m/>
    <s v="Kết chuyển cuối kỳ 642701 --&gt; 9111"/>
    <s v="9111"/>
    <s v="642701"/>
    <n v="356207662"/>
    <n v="1"/>
    <n v="0"/>
    <m/>
    <s v="6"/>
    <x v="25"/>
    <n v="356207662"/>
  </r>
  <r>
    <d v="2024-02-29T00:00:00"/>
    <s v="KC202402"/>
    <m/>
    <m/>
    <s v="Kết chuyển cuối kỳ 642702 --&gt; 9111"/>
    <s v="9111"/>
    <s v="642702"/>
    <n v="23332956"/>
    <n v="1"/>
    <n v="0"/>
    <m/>
    <s v="6"/>
    <x v="26"/>
    <n v="23332956"/>
  </r>
  <r>
    <d v="2024-02-29T00:00:00"/>
    <s v="KC202402"/>
    <m/>
    <m/>
    <s v="Kết chuyển cuối kỳ 642703 --&gt; 9111"/>
    <s v="9111"/>
    <s v="642703"/>
    <n v="529216"/>
    <n v="1"/>
    <n v="0"/>
    <m/>
    <s v="6"/>
    <x v="27"/>
    <n v="529216"/>
  </r>
  <r>
    <d v="2024-02-29T00:00:00"/>
    <s v="KC202402"/>
    <m/>
    <m/>
    <s v="Kết chuyển cuối kỳ 642704 --&gt; 9111"/>
    <s v="9111"/>
    <s v="642704"/>
    <n v="18163334"/>
    <n v="1"/>
    <n v="0"/>
    <m/>
    <s v="6"/>
    <x v="28"/>
    <n v="18163334"/>
  </r>
  <r>
    <d v="2024-02-29T00:00:00"/>
    <s v="KC202402"/>
    <m/>
    <m/>
    <s v="Kết chuyển cuối kỳ 642706 --&gt; 9111"/>
    <s v="9111"/>
    <s v="642706"/>
    <n v="41100491"/>
    <n v="1"/>
    <n v="0"/>
    <m/>
    <s v="6"/>
    <x v="29"/>
    <n v="41100491"/>
  </r>
  <r>
    <d v="2024-02-29T00:00:00"/>
    <s v="KC202402"/>
    <m/>
    <m/>
    <s v="Kết chuyển cuối kỳ 642707 --&gt; 9111"/>
    <s v="9111"/>
    <s v="642707"/>
    <n v="14675407"/>
    <n v="1"/>
    <n v="0"/>
    <m/>
    <s v="6"/>
    <x v="30"/>
    <n v="14675407"/>
  </r>
  <r>
    <d v="2024-02-29T00:00:00"/>
    <s v="KC202402"/>
    <m/>
    <m/>
    <s v="Kết chuyển cuối kỳ 642708 --&gt; 9111"/>
    <s v="9111"/>
    <s v="642708"/>
    <n v="83079382"/>
    <n v="1"/>
    <n v="0"/>
    <m/>
    <s v="6"/>
    <x v="31"/>
    <n v="83079382"/>
  </r>
  <r>
    <d v="2024-02-29T00:00:00"/>
    <s v="KC202402"/>
    <m/>
    <m/>
    <s v="Kết chuyển cuối kỳ 642709 --&gt; 9111"/>
    <s v="9111"/>
    <s v="642709"/>
    <n v="10663422"/>
    <n v="1"/>
    <n v="0"/>
    <m/>
    <s v="6"/>
    <x v="32"/>
    <n v="10663422"/>
  </r>
  <r>
    <d v="2024-02-29T00:00:00"/>
    <s v="KC202402"/>
    <m/>
    <m/>
    <s v="Kết chuyển cuối kỳ 642710 --&gt; 9111"/>
    <s v="9111"/>
    <s v="642710"/>
    <n v="196363"/>
    <n v="1"/>
    <n v="0"/>
    <m/>
    <s v="6"/>
    <x v="33"/>
    <n v="196363"/>
  </r>
  <r>
    <d v="2024-02-29T00:00:00"/>
    <s v="KC202402"/>
    <m/>
    <m/>
    <s v="Kết chuyển cuối kỳ 642711 --&gt; 9111"/>
    <s v="9111"/>
    <s v="642711"/>
    <n v="5562049"/>
    <n v="1"/>
    <n v="0"/>
    <m/>
    <s v="6"/>
    <x v="34"/>
    <n v="5562049"/>
  </r>
  <r>
    <d v="2024-02-29T00:00:00"/>
    <s v="KC202402"/>
    <m/>
    <m/>
    <s v="Kết chuyển cuối kỳ 642712 --&gt; 9111"/>
    <s v="9111"/>
    <s v="642712"/>
    <n v="442100"/>
    <n v="1"/>
    <n v="0"/>
    <m/>
    <s v="6"/>
    <x v="35"/>
    <n v="442100"/>
  </r>
  <r>
    <d v="2024-02-29T00:00:00"/>
    <s v="KC202402"/>
    <m/>
    <m/>
    <s v="Kết chuyển cuối kỳ 642799 --&gt; 9111"/>
    <s v="9111"/>
    <s v="642799"/>
    <n v="13197370"/>
    <n v="1"/>
    <n v="0"/>
    <m/>
    <s v="6"/>
    <x v="36"/>
    <n v="13197370"/>
  </r>
  <r>
    <d v="2024-02-29T00:00:00"/>
    <s v="KC202402"/>
    <m/>
    <m/>
    <s v="Kết chuyển cuối kỳ 6428 --&gt; 9111"/>
    <s v="9111"/>
    <s v="642899"/>
    <n v="25304107"/>
    <n v="1"/>
    <n v="0"/>
    <m/>
    <s v="6"/>
    <x v="41"/>
    <n v="25304107"/>
  </r>
  <r>
    <d v="2024-02-29T00:00:00"/>
    <s v="KC202402"/>
    <m/>
    <m/>
    <s v="Kết chuyển cuối kỳ 8114 --&gt; 9111"/>
    <s v="9111"/>
    <s v="8114"/>
    <n v="28350"/>
    <n v="1"/>
    <n v="0"/>
    <m/>
    <s v="8"/>
    <x v="42"/>
    <n v="28350"/>
  </r>
  <r>
    <d v="2024-03-31T00:00:00"/>
    <s v="KC202403"/>
    <m/>
    <m/>
    <s v="Kết chuyển cuối kỳ 51101030203 --&gt; 9111"/>
    <s v="9111"/>
    <s v="51101030203"/>
    <n v="338013699"/>
    <n v="1"/>
    <n v="0"/>
    <m/>
    <s v="5"/>
    <x v="37"/>
    <n v="338013699"/>
  </r>
  <r>
    <d v="2024-03-31T00:00:00"/>
    <s v="KC202403"/>
    <m/>
    <m/>
    <s v="Kết chuyển cuối kỳ 63311 --&gt; 9111"/>
    <s v="9111"/>
    <s v="63311"/>
    <n v="186045165"/>
    <n v="1"/>
    <n v="0"/>
    <m/>
    <s v="6"/>
    <x v="2"/>
    <n v="186045165"/>
  </r>
  <r>
    <d v="2024-03-31T00:00:00"/>
    <s v="KC202403"/>
    <m/>
    <m/>
    <s v="Kết chuyển cuối kỳ 63312 --&gt; 9111"/>
    <s v="9111"/>
    <s v="63312"/>
    <n v="41166667"/>
    <n v="1"/>
    <n v="0"/>
    <m/>
    <s v="6"/>
    <x v="3"/>
    <n v="41166667"/>
  </r>
  <r>
    <d v="2024-03-31T00:00:00"/>
    <s v="KC202403"/>
    <m/>
    <m/>
    <s v="Kết chuyển cuối kỳ 63313 --&gt; 9111"/>
    <s v="9111"/>
    <s v="63313"/>
    <n v="5833333"/>
    <n v="1"/>
    <n v="0"/>
    <m/>
    <s v="6"/>
    <x v="4"/>
    <n v="5833333"/>
  </r>
  <r>
    <d v="2024-03-31T00:00:00"/>
    <s v="KC202403"/>
    <m/>
    <m/>
    <s v="Kết chuyển cuối kỳ 6331711 --&gt; 9111"/>
    <s v="9111"/>
    <s v="6331711"/>
    <n v="1008443477"/>
    <n v="1"/>
    <n v="0"/>
    <m/>
    <s v="6"/>
    <x v="5"/>
    <n v="1008443477"/>
  </r>
  <r>
    <d v="2024-03-31T00:00:00"/>
    <s v="KC202403"/>
    <m/>
    <m/>
    <s v="Kết chuyển cuối kỳ 6331712 --&gt; 9111"/>
    <s v="9111"/>
    <s v="6331712"/>
    <n v="65896000"/>
    <n v="1"/>
    <n v="0"/>
    <m/>
    <s v="6"/>
    <x v="6"/>
    <n v="65896000"/>
  </r>
  <r>
    <d v="2024-03-31T00:00:00"/>
    <s v="KC202403"/>
    <m/>
    <m/>
    <s v="Kết chuyển cuối kỳ 633173 --&gt; 9111"/>
    <s v="9111"/>
    <s v="633173"/>
    <n v="338396454"/>
    <n v="1"/>
    <n v="0"/>
    <m/>
    <s v="6"/>
    <x v="7"/>
    <n v="338396454"/>
  </r>
  <r>
    <d v="2024-03-31T00:00:00"/>
    <s v="KC202403"/>
    <m/>
    <m/>
    <s v="Kết chuyển cuối kỳ 633174 --&gt; 9111"/>
    <s v="9111"/>
    <s v="633174"/>
    <n v="112522380"/>
    <n v="1"/>
    <n v="0"/>
    <m/>
    <s v="6"/>
    <x v="8"/>
    <n v="112522380"/>
  </r>
  <r>
    <d v="2024-03-31T00:00:00"/>
    <s v="KC202403"/>
    <m/>
    <m/>
    <s v="Kết chuyển cuối kỳ 633175 --&gt; 9111"/>
    <s v="9111"/>
    <s v="633175"/>
    <n v="272151598"/>
    <n v="1"/>
    <n v="0"/>
    <m/>
    <s v="6"/>
    <x v="9"/>
    <n v="272151598"/>
  </r>
  <r>
    <d v="2024-03-31T00:00:00"/>
    <s v="KC202403"/>
    <m/>
    <m/>
    <s v="Kết chuyển cuối kỳ 63341 --&gt; 9111"/>
    <s v="9111"/>
    <s v="63341"/>
    <n v="11854480"/>
    <n v="1"/>
    <n v="0"/>
    <m/>
    <s v="6"/>
    <x v="10"/>
    <n v="11854480"/>
  </r>
  <r>
    <d v="2024-03-31T00:00:00"/>
    <s v="KC202403"/>
    <m/>
    <m/>
    <s v="Kết chuyển cuối kỳ 63345 --&gt; 9111"/>
    <s v="9111"/>
    <s v="63345"/>
    <n v="4432299"/>
    <n v="1"/>
    <n v="0"/>
    <m/>
    <s v="6"/>
    <x v="11"/>
    <n v="4432299"/>
  </r>
  <r>
    <d v="2024-03-31T00:00:00"/>
    <s v="KC202403"/>
    <m/>
    <m/>
    <s v="Kết chuyển cuối kỳ 64111 --&gt; 9111"/>
    <s v="9111"/>
    <s v="64111"/>
    <n v="342382061"/>
    <n v="1"/>
    <n v="0"/>
    <m/>
    <s v="6"/>
    <x v="12"/>
    <n v="342382061"/>
  </r>
  <r>
    <d v="2024-03-31T00:00:00"/>
    <s v="KC202403"/>
    <m/>
    <m/>
    <s v="Kết chuyển cuối kỳ 64112 --&gt; 9111"/>
    <s v="9111"/>
    <s v="64112"/>
    <n v="32290000"/>
    <n v="1"/>
    <n v="0"/>
    <m/>
    <s v="6"/>
    <x v="13"/>
    <n v="32290000"/>
  </r>
  <r>
    <d v="2024-03-31T00:00:00"/>
    <s v="KC202403"/>
    <m/>
    <m/>
    <s v="Kết chuyển cuối kỳ 64131 --&gt; 9111"/>
    <s v="9111"/>
    <s v="64131"/>
    <n v="26840000"/>
    <n v="1"/>
    <n v="0"/>
    <m/>
    <s v="6"/>
    <x v="39"/>
    <n v="26840000"/>
  </r>
  <r>
    <d v="2024-03-31T00:00:00"/>
    <s v="KC202403"/>
    <m/>
    <m/>
    <s v="Kết chuyển cuối kỳ 6414 --&gt; 9111"/>
    <s v="9111"/>
    <s v="6414"/>
    <n v="7223287"/>
    <n v="1"/>
    <n v="0"/>
    <m/>
    <s v="6"/>
    <x v="14"/>
    <n v="7223287"/>
  </r>
  <r>
    <d v="2024-03-31T00:00:00"/>
    <s v="KC202403"/>
    <m/>
    <m/>
    <s v="Kết chuyển cuối kỳ 641702 --&gt; 9111"/>
    <s v="9111"/>
    <s v="641702"/>
    <n v="2208595"/>
    <n v="1"/>
    <n v="0"/>
    <m/>
    <s v="6"/>
    <x v="15"/>
    <n v="2208595"/>
  </r>
  <r>
    <d v="2024-03-31T00:00:00"/>
    <s v="KC202403"/>
    <m/>
    <m/>
    <s v="Kết chuyển cuối kỳ 641801 --&gt; 9111"/>
    <s v="9111"/>
    <s v="641801"/>
    <n v="500000"/>
    <n v="1"/>
    <n v="0"/>
    <m/>
    <s v="6"/>
    <x v="43"/>
    <n v="500000"/>
  </r>
  <r>
    <d v="2024-03-31T00:00:00"/>
    <s v="KC202403"/>
    <m/>
    <m/>
    <s v="Kết chuyển cuối kỳ 64211 --&gt; 9111"/>
    <s v="9111"/>
    <s v="64211"/>
    <n v="1321233523"/>
    <n v="1"/>
    <n v="0"/>
    <m/>
    <s v="6"/>
    <x v="19"/>
    <n v="1321233523"/>
  </r>
  <r>
    <d v="2024-03-31T00:00:00"/>
    <s v="KC202403"/>
    <m/>
    <m/>
    <s v="Kết chuyển cuối kỳ 64212 --&gt; 9111"/>
    <s v="9111"/>
    <s v="64212"/>
    <n v="63167000"/>
    <n v="1"/>
    <n v="0"/>
    <m/>
    <s v="6"/>
    <x v="20"/>
    <n v="63167000"/>
  </r>
  <r>
    <d v="2024-03-31T00:00:00"/>
    <s v="KC202403"/>
    <m/>
    <m/>
    <s v="Kết chuyển cuối kỳ 6422 --&gt; 9111"/>
    <s v="9111"/>
    <s v="6422"/>
    <n v="25685561"/>
    <n v="1"/>
    <n v="0"/>
    <m/>
    <s v="6"/>
    <x v="21"/>
    <n v="25685561"/>
  </r>
  <r>
    <d v="2024-03-31T00:00:00"/>
    <s v="KC202403"/>
    <m/>
    <m/>
    <s v="Kết chuyển cuối kỳ 6423 --&gt; 9111"/>
    <s v="9111"/>
    <s v="6423"/>
    <n v="5777439"/>
    <n v="1"/>
    <n v="0"/>
    <m/>
    <s v="6"/>
    <x v="22"/>
    <n v="5777439"/>
  </r>
  <r>
    <d v="2024-03-31T00:00:00"/>
    <s v="KC202403"/>
    <m/>
    <m/>
    <s v="Kết chuyển cuối kỳ 6424 --&gt; 9111"/>
    <s v="9111"/>
    <s v="6424"/>
    <n v="91450284"/>
    <n v="1"/>
    <n v="0"/>
    <m/>
    <s v="6"/>
    <x v="23"/>
    <n v="91450284"/>
  </r>
  <r>
    <d v="2024-03-31T00:00:00"/>
    <s v="KC202403"/>
    <m/>
    <m/>
    <s v="Kết chuyển cuối kỳ 642701 --&gt; 9111"/>
    <s v="9111"/>
    <s v="642701"/>
    <n v="356207661"/>
    <n v="1"/>
    <n v="0"/>
    <m/>
    <s v="6"/>
    <x v="25"/>
    <n v="356207661"/>
  </r>
  <r>
    <d v="2024-03-31T00:00:00"/>
    <s v="KC202403"/>
    <m/>
    <m/>
    <s v="Kết chuyển cuối kỳ 642702 --&gt; 9111"/>
    <s v="9111"/>
    <s v="642702"/>
    <n v="18562294"/>
    <n v="1"/>
    <n v="0"/>
    <m/>
    <s v="6"/>
    <x v="26"/>
    <n v="18562294"/>
  </r>
  <r>
    <d v="2024-03-31T00:00:00"/>
    <s v="KC202403"/>
    <m/>
    <m/>
    <s v="Kết chuyển cuối kỳ 642703 --&gt; 9111"/>
    <s v="9111"/>
    <s v="642703"/>
    <n v="2649008"/>
    <n v="1"/>
    <n v="0"/>
    <m/>
    <s v="6"/>
    <x v="27"/>
    <n v="2649008"/>
  </r>
  <r>
    <d v="2024-03-31T00:00:00"/>
    <s v="KC202403"/>
    <m/>
    <m/>
    <s v="Kết chuyển cuối kỳ 642704 --&gt; 9111"/>
    <s v="9111"/>
    <s v="642704"/>
    <n v="18096667"/>
    <n v="1"/>
    <n v="0"/>
    <m/>
    <s v="6"/>
    <x v="28"/>
    <n v="18096667"/>
  </r>
  <r>
    <d v="2024-03-31T00:00:00"/>
    <s v="KC202403"/>
    <m/>
    <m/>
    <s v="Kết chuyển cuối kỳ 642706 --&gt; 9111"/>
    <s v="9111"/>
    <s v="642706"/>
    <n v="15103030"/>
    <n v="1"/>
    <n v="0"/>
    <m/>
    <s v="6"/>
    <x v="29"/>
    <n v="15103030"/>
  </r>
  <r>
    <d v="2024-03-31T00:00:00"/>
    <s v="KC202403"/>
    <m/>
    <m/>
    <s v="Kết chuyển cuối kỳ 642707 --&gt; 9111"/>
    <s v="9111"/>
    <s v="642707"/>
    <n v="29949320"/>
    <n v="1"/>
    <n v="0"/>
    <m/>
    <s v="6"/>
    <x v="30"/>
    <n v="29949320"/>
  </r>
  <r>
    <d v="2024-03-31T00:00:00"/>
    <s v="KC202403"/>
    <m/>
    <m/>
    <s v="Kết chuyển cuối kỳ 642708 --&gt; 9111"/>
    <s v="9111"/>
    <s v="642708"/>
    <n v="36762682"/>
    <n v="1"/>
    <n v="0"/>
    <m/>
    <s v="6"/>
    <x v="31"/>
    <n v="36762682"/>
  </r>
  <r>
    <d v="2024-03-31T00:00:00"/>
    <s v="KC202403"/>
    <m/>
    <m/>
    <s v="Kết chuyển cuối kỳ 642709 --&gt; 9111"/>
    <s v="9111"/>
    <s v="642709"/>
    <n v="13800092"/>
    <n v="1"/>
    <n v="0"/>
    <m/>
    <s v="6"/>
    <x v="32"/>
    <n v="13800092"/>
  </r>
  <r>
    <d v="2024-03-31T00:00:00"/>
    <s v="KC202403"/>
    <m/>
    <m/>
    <s v="Kết chuyển cuối kỳ 642710 --&gt; 9111"/>
    <s v="9111"/>
    <s v="642710"/>
    <n v="1846363"/>
    <n v="1"/>
    <n v="0"/>
    <m/>
    <s v="6"/>
    <x v="33"/>
    <n v="1846363"/>
  </r>
  <r>
    <d v="2024-03-31T00:00:00"/>
    <s v="KC202403"/>
    <m/>
    <m/>
    <s v="Kết chuyển cuối kỳ 642711 --&gt; 9111"/>
    <s v="9111"/>
    <s v="642711"/>
    <n v="1461779"/>
    <n v="1"/>
    <n v="0"/>
    <m/>
    <s v="6"/>
    <x v="34"/>
    <n v="1461779"/>
  </r>
  <r>
    <d v="2024-03-31T00:00:00"/>
    <s v="KC202403"/>
    <m/>
    <m/>
    <s v="Kết chuyển cuối kỳ 642712 --&gt; 9111"/>
    <s v="9111"/>
    <s v="642712"/>
    <n v="397100"/>
    <n v="1"/>
    <n v="0"/>
    <m/>
    <s v="6"/>
    <x v="35"/>
    <n v="397100"/>
  </r>
  <r>
    <d v="2024-03-31T00:00:00"/>
    <s v="KC202403"/>
    <m/>
    <m/>
    <s v="Kết chuyển cuối kỳ 642799 --&gt; 9111"/>
    <s v="9111"/>
    <s v="642799"/>
    <n v="4781029"/>
    <n v="1"/>
    <n v="0"/>
    <m/>
    <s v="6"/>
    <x v="36"/>
    <n v="4781029"/>
  </r>
  <r>
    <d v="2024-03-31T00:00:00"/>
    <s v="KC202403"/>
    <m/>
    <m/>
    <s v="Kết chuyển cuối kỳ 6428 --&gt; 9111"/>
    <s v="9111"/>
    <s v="642899"/>
    <n v="66026724"/>
    <n v="1"/>
    <n v="0"/>
    <m/>
    <s v="6"/>
    <x v="41"/>
    <n v="66026724"/>
  </r>
  <r>
    <d v="2024-03-31T00:00:00"/>
    <s v="KC202404"/>
    <m/>
    <m/>
    <s v="Kết chuyển cuối kỳ 51101030203 --&gt; 9111"/>
    <s v="9111"/>
    <s v="51101030203"/>
    <n v="98630137"/>
    <n v="1"/>
    <n v="0"/>
    <m/>
    <s v="5"/>
    <x v="37"/>
    <n v="98630137"/>
  </r>
  <r>
    <d v="2024-03-31T00:00:00"/>
    <s v="KC202404"/>
    <m/>
    <m/>
    <s v="Kết chuyển cuối kỳ 63201010505 --&gt; 9111"/>
    <s v="9111"/>
    <s v="63201010505"/>
    <n v="18652505"/>
    <n v="1"/>
    <n v="0"/>
    <m/>
    <s v="6"/>
    <x v="44"/>
    <n v="18652505"/>
  </r>
  <r>
    <d v="2024-04-30T00:00:00"/>
    <s v="KC202404"/>
    <m/>
    <m/>
    <s v="Kết chuyển cuối kỳ 63201010301 --&gt; 9111"/>
    <s v="9111"/>
    <s v="63201010301"/>
    <n v="10070000"/>
    <n v="1"/>
    <n v="0"/>
    <m/>
    <s v="6"/>
    <x v="45"/>
    <n v="10070000"/>
  </r>
  <r>
    <d v="2024-04-30T00:00:00"/>
    <s v="KC202404"/>
    <m/>
    <m/>
    <s v="Kết chuyển cuối kỳ 63201020301 --&gt; 9111"/>
    <s v="9111"/>
    <s v="63201020301"/>
    <n v="5126160"/>
    <n v="1"/>
    <n v="0"/>
    <m/>
    <s v="6"/>
    <x v="46"/>
    <n v="5126160"/>
  </r>
  <r>
    <d v="2024-04-30T00:00:00"/>
    <s v="KC202404"/>
    <m/>
    <m/>
    <s v="Kết chuyển cuối kỳ 63208 --&gt; 9111"/>
    <s v="9111"/>
    <s v="63208"/>
    <n v="5125153"/>
    <n v="1"/>
    <n v="0"/>
    <m/>
    <s v="6"/>
    <x v="47"/>
    <n v="5125153"/>
  </r>
  <r>
    <d v="2024-04-30T00:00:00"/>
    <s v="KC202404"/>
    <m/>
    <m/>
    <s v="Kết chuyển cuối kỳ 6333312 --&gt; 9111"/>
    <s v="9111"/>
    <s v="6333312"/>
    <n v="1410000"/>
    <n v="1"/>
    <n v="0"/>
    <m/>
    <s v="6"/>
    <x v="48"/>
    <n v="1410000"/>
  </r>
  <r>
    <d v="2024-04-30T00:00:00"/>
    <s v="KC202404"/>
    <m/>
    <m/>
    <s v="Kết chuyển cuối kỳ 633174 --&gt; 9111"/>
    <s v="9111"/>
    <s v="633174"/>
    <n v="113492635"/>
    <n v="1"/>
    <n v="0"/>
    <m/>
    <s v="6"/>
    <x v="8"/>
    <n v="113492635"/>
  </r>
  <r>
    <d v="2024-04-30T00:00:00"/>
    <s v="KC202404"/>
    <m/>
    <m/>
    <s v="Kết chuyển cuối kỳ 63345 --&gt; 9111"/>
    <s v="9111"/>
    <s v="63345"/>
    <n v="4685354"/>
    <n v="1"/>
    <n v="0"/>
    <m/>
    <s v="6"/>
    <x v="11"/>
    <n v="4685354"/>
  </r>
  <r>
    <d v="2024-04-30T00:00:00"/>
    <s v="KC202404"/>
    <m/>
    <m/>
    <s v="Kết chuyển cuối kỳ 63341 --&gt; 9111"/>
    <s v="9111"/>
    <s v="63341"/>
    <n v="15384916"/>
    <n v="1"/>
    <n v="0"/>
    <m/>
    <s v="6"/>
    <x v="10"/>
    <n v="15384916"/>
  </r>
  <r>
    <d v="2024-04-30T00:00:00"/>
    <s v="KC202404"/>
    <m/>
    <m/>
    <s v="Kết chuyển cuối kỳ 6333311 --&gt; 9111"/>
    <s v="9111"/>
    <s v="6333311"/>
    <n v="13000000"/>
    <n v="1"/>
    <n v="0"/>
    <m/>
    <s v="6"/>
    <x v="49"/>
    <n v="13000000"/>
  </r>
  <r>
    <d v="2024-04-30T00:00:00"/>
    <s v="KC202404"/>
    <m/>
    <m/>
    <s v="Kết chuyển cuối kỳ 6331712 --&gt; 9111"/>
    <s v="9111"/>
    <s v="6331712"/>
    <n v="65486000"/>
    <n v="1"/>
    <n v="0"/>
    <m/>
    <s v="6"/>
    <x v="6"/>
    <n v="65486000"/>
  </r>
  <r>
    <d v="2024-04-30T00:00:00"/>
    <s v="KC202404"/>
    <m/>
    <m/>
    <s v="Kết chuyển cuối kỳ 633173 --&gt; 9111"/>
    <s v="9111"/>
    <s v="633173"/>
    <n v="449454578"/>
    <n v="1"/>
    <n v="0"/>
    <m/>
    <s v="6"/>
    <x v="7"/>
    <n v="449454578"/>
  </r>
  <r>
    <d v="2024-04-30T00:00:00"/>
    <s v="KC202404"/>
    <m/>
    <m/>
    <s v="Kết chuyển cuối kỳ 63311 --&gt; 9111"/>
    <s v="9111"/>
    <s v="63311"/>
    <n v="185766909"/>
    <n v="1"/>
    <n v="0"/>
    <m/>
    <s v="6"/>
    <x v="2"/>
    <n v="185766909"/>
  </r>
  <r>
    <d v="2024-04-30T00:00:00"/>
    <s v="KC202404"/>
    <m/>
    <m/>
    <s v="Kết chuyển cuối kỳ 63312 --&gt; 9111"/>
    <s v="9111"/>
    <s v="63312"/>
    <n v="38666667"/>
    <n v="1"/>
    <n v="0"/>
    <m/>
    <s v="6"/>
    <x v="3"/>
    <n v="38666667"/>
  </r>
  <r>
    <d v="2024-04-30T00:00:00"/>
    <s v="KC202404"/>
    <m/>
    <m/>
    <s v="Kết chuyển cuối kỳ 63313 --&gt; 9111"/>
    <s v="9111"/>
    <s v="63313"/>
    <n v="5833333"/>
    <n v="1"/>
    <n v="0"/>
    <m/>
    <s v="6"/>
    <x v="4"/>
    <n v="5833333"/>
  </r>
  <r>
    <d v="2024-04-30T00:00:00"/>
    <s v="KC202404"/>
    <m/>
    <m/>
    <s v="Kết chuyển cuối kỳ 633175 --&gt; 9111"/>
    <s v="9111"/>
    <s v="633175"/>
    <n v="395746337"/>
    <n v="1"/>
    <n v="0"/>
    <m/>
    <s v="6"/>
    <x v="9"/>
    <n v="395746337"/>
  </r>
  <r>
    <d v="2024-04-30T00:00:00"/>
    <s v="KC202404"/>
    <m/>
    <m/>
    <s v="Kết chuyển cuối kỳ 6331711 --&gt; 9111"/>
    <s v="9111"/>
    <s v="6331711"/>
    <n v="1257820585"/>
    <n v="1"/>
    <n v="0"/>
    <m/>
    <s v="6"/>
    <x v="5"/>
    <n v="1257820585"/>
  </r>
  <r>
    <d v="2024-04-30T00:00:00"/>
    <s v="KC202404"/>
    <m/>
    <m/>
    <s v="Kết chuyển cuối kỳ 6352 --&gt; 9111"/>
    <s v="9111"/>
    <s v="6352"/>
    <n v="72780822"/>
    <n v="1"/>
    <n v="0"/>
    <m/>
    <s v="6"/>
    <x v="50"/>
    <n v="72780822"/>
  </r>
  <r>
    <d v="2024-04-30T00:00:00"/>
    <s v="KC202404"/>
    <m/>
    <m/>
    <s v="Kết chuyển cuối kỳ 641703 --&gt; 9111"/>
    <s v="9111"/>
    <s v="641703"/>
    <n v="75848000"/>
    <n v="1"/>
    <n v="0"/>
    <m/>
    <s v="6"/>
    <x v="51"/>
    <n v="75848000"/>
  </r>
  <r>
    <d v="2024-04-30T00:00:00"/>
    <s v="KC202404"/>
    <m/>
    <m/>
    <s v="Kết chuyển cuối kỳ 641802 --&gt; 9111"/>
    <s v="9111"/>
    <s v="641802"/>
    <n v="10600000"/>
    <n v="1"/>
    <n v="0"/>
    <m/>
    <s v="6"/>
    <x v="17"/>
    <n v="10600000"/>
  </r>
  <r>
    <d v="2024-04-30T00:00:00"/>
    <s v="KC202404"/>
    <m/>
    <m/>
    <s v="Kết chuyển cuối kỳ 64112 --&gt; 9111"/>
    <s v="9111"/>
    <s v="64112"/>
    <n v="30470000"/>
    <n v="1"/>
    <n v="0"/>
    <m/>
    <s v="6"/>
    <x v="13"/>
    <n v="30470000"/>
  </r>
  <r>
    <d v="2024-04-30T00:00:00"/>
    <s v="KC202404"/>
    <m/>
    <m/>
    <s v="Kết chuyển cuối kỳ 64132 --&gt; 9111"/>
    <s v="9111"/>
    <s v="64132"/>
    <n v="1115917"/>
    <n v="1"/>
    <n v="0"/>
    <m/>
    <s v="6"/>
    <x v="52"/>
    <n v="1115917"/>
  </r>
  <r>
    <d v="2024-04-30T00:00:00"/>
    <s v="KC202404"/>
    <m/>
    <m/>
    <s v="Kết chuyển cuối kỳ 641702 --&gt; 9111"/>
    <s v="9111"/>
    <s v="641702"/>
    <n v="2855669"/>
    <n v="1"/>
    <n v="0"/>
    <m/>
    <s v="6"/>
    <x v="15"/>
    <n v="2855669"/>
  </r>
  <r>
    <d v="2024-04-30T00:00:00"/>
    <s v="KC202404"/>
    <m/>
    <m/>
    <s v="Kết chuyển cuối kỳ 641801 --&gt; 9111"/>
    <s v="9111"/>
    <s v="641801"/>
    <n v="1520000"/>
    <n v="1"/>
    <n v="0"/>
    <m/>
    <s v="6"/>
    <x v="43"/>
    <n v="1520000"/>
  </r>
  <r>
    <d v="2024-04-30T00:00:00"/>
    <s v="KC202404"/>
    <m/>
    <m/>
    <s v="Kết chuyển cuối kỳ 64131 --&gt; 9111"/>
    <s v="9111"/>
    <s v="64131"/>
    <n v="67324000"/>
    <n v="1"/>
    <n v="0"/>
    <m/>
    <s v="6"/>
    <x v="39"/>
    <n v="67324000"/>
  </r>
  <r>
    <d v="2024-04-30T00:00:00"/>
    <s v="KC202404"/>
    <m/>
    <m/>
    <s v="Kết chuyển cuối kỳ 64111 --&gt; 9111"/>
    <s v="9111"/>
    <s v="64111"/>
    <n v="393073579"/>
    <n v="1"/>
    <n v="0"/>
    <m/>
    <s v="6"/>
    <x v="12"/>
    <n v="393073579"/>
  </r>
  <r>
    <d v="2024-04-30T00:00:00"/>
    <s v="KC202404"/>
    <m/>
    <m/>
    <s v="Kết chuyển cuối kỳ 6414 --&gt; 9111"/>
    <s v="9111"/>
    <s v="6414"/>
    <n v="7223287"/>
    <n v="1"/>
    <n v="0"/>
    <m/>
    <s v="6"/>
    <x v="14"/>
    <n v="7223287"/>
  </r>
  <r>
    <d v="2024-04-30T00:00:00"/>
    <s v="KC202404"/>
    <m/>
    <m/>
    <s v="Kết chuyển cuối kỳ 641705 --&gt; 9111"/>
    <s v="9111"/>
    <s v="641705"/>
    <n v="16200000"/>
    <n v="1"/>
    <n v="0"/>
    <m/>
    <s v="6"/>
    <x v="53"/>
    <n v="16200000"/>
  </r>
  <r>
    <d v="2024-04-30T00:00:00"/>
    <s v="KC202404"/>
    <m/>
    <m/>
    <s v="Kết chuyển cuối kỳ 641809 --&gt; 9111"/>
    <s v="9111"/>
    <s v="641809"/>
    <n v="2100000"/>
    <n v="1"/>
    <n v="0"/>
    <m/>
    <s v="6"/>
    <x v="18"/>
    <n v="2100000"/>
  </r>
  <r>
    <d v="2024-04-30T00:00:00"/>
    <s v="KC202404"/>
    <m/>
    <m/>
    <s v="Kết chuyển cuối kỳ 64212 --&gt; 9111"/>
    <s v="9111"/>
    <s v="64212"/>
    <n v="69979000"/>
    <n v="1"/>
    <n v="0"/>
    <m/>
    <s v="6"/>
    <x v="20"/>
    <n v="69979000"/>
  </r>
  <r>
    <d v="2024-04-30T00:00:00"/>
    <s v="KC202404"/>
    <m/>
    <m/>
    <s v="Kết chuyển cuối kỳ 64211 --&gt; 9111"/>
    <s v="9111"/>
    <s v="64211"/>
    <n v="1281031427"/>
    <n v="1"/>
    <n v="0"/>
    <m/>
    <s v="6"/>
    <x v="19"/>
    <n v="1281031427"/>
  </r>
  <r>
    <d v="2024-04-30T00:00:00"/>
    <s v="KC202404"/>
    <m/>
    <m/>
    <s v="Kết chuyển cuối kỳ 642702 --&gt; 9111"/>
    <s v="9111"/>
    <s v="642702"/>
    <n v="39893508"/>
    <n v="1"/>
    <n v="0"/>
    <m/>
    <s v="6"/>
    <x v="26"/>
    <n v="39893508"/>
  </r>
  <r>
    <d v="2024-04-30T00:00:00"/>
    <s v="KC202404"/>
    <m/>
    <m/>
    <s v="Kết chuyển cuối kỳ 642707 --&gt; 9111"/>
    <s v="9111"/>
    <s v="642707"/>
    <n v="18907653"/>
    <n v="1"/>
    <n v="0"/>
    <m/>
    <s v="6"/>
    <x v="30"/>
    <n v="18907653"/>
  </r>
  <r>
    <d v="2024-04-30T00:00:00"/>
    <s v="KC202404"/>
    <m/>
    <m/>
    <s v="Kết chuyển cuối kỳ 642703 --&gt; 9111"/>
    <s v="9111"/>
    <s v="642703"/>
    <n v="5981075"/>
    <n v="1"/>
    <n v="0"/>
    <m/>
    <s v="6"/>
    <x v="27"/>
    <n v="5981075"/>
  </r>
  <r>
    <d v="2024-04-30T00:00:00"/>
    <s v="KC202404"/>
    <m/>
    <m/>
    <s v="Kết chuyển cuối kỳ 642712 --&gt; 9111"/>
    <s v="9111"/>
    <s v="642712"/>
    <n v="1952831"/>
    <n v="1"/>
    <n v="0"/>
    <m/>
    <s v="6"/>
    <x v="35"/>
    <n v="1952831"/>
  </r>
  <r>
    <d v="2024-04-30T00:00:00"/>
    <s v="KC202404"/>
    <m/>
    <m/>
    <s v="Kết chuyển cuối kỳ 642704 --&gt; 9111"/>
    <s v="9111"/>
    <s v="642704"/>
    <n v="17346667"/>
    <n v="1"/>
    <n v="0"/>
    <m/>
    <s v="6"/>
    <x v="28"/>
    <n v="17346667"/>
  </r>
  <r>
    <d v="2024-04-30T00:00:00"/>
    <s v="KC202404"/>
    <m/>
    <m/>
    <s v="Kết chuyển cuối kỳ 6423 --&gt; 9111"/>
    <s v="9111"/>
    <s v="6423"/>
    <n v="4931921"/>
    <n v="1"/>
    <n v="0"/>
    <m/>
    <s v="6"/>
    <x v="22"/>
    <n v="4931921"/>
  </r>
  <r>
    <d v="2024-04-30T00:00:00"/>
    <s v="KC202404"/>
    <m/>
    <m/>
    <s v="Kết chuyển cuối kỳ 6422 --&gt; 9111"/>
    <s v="9111"/>
    <s v="6422"/>
    <n v="17972730"/>
    <n v="1"/>
    <n v="0"/>
    <m/>
    <s v="6"/>
    <x v="21"/>
    <n v="17972730"/>
  </r>
  <r>
    <d v="2024-04-30T00:00:00"/>
    <s v="KC202404"/>
    <m/>
    <m/>
    <s v="Kết chuyển cuối kỳ 6424 --&gt; 9111"/>
    <s v="9111"/>
    <s v="6424"/>
    <n v="91450284"/>
    <n v="1"/>
    <n v="0"/>
    <m/>
    <s v="6"/>
    <x v="23"/>
    <n v="91450284"/>
  </r>
  <r>
    <d v="2024-04-30T00:00:00"/>
    <s v="KC202404"/>
    <m/>
    <m/>
    <s v="Kết chuyển cuối kỳ 642701 --&gt; 9111"/>
    <s v="9111"/>
    <s v="642701"/>
    <n v="364571384"/>
    <n v="1"/>
    <n v="0"/>
    <m/>
    <s v="6"/>
    <x v="25"/>
    <n v="364571384"/>
  </r>
  <r>
    <d v="2024-04-30T00:00:00"/>
    <s v="KC202404"/>
    <m/>
    <m/>
    <s v="Kết chuyển cuối kỳ 642710 --&gt; 9111"/>
    <s v="9111"/>
    <s v="642710"/>
    <n v="898363"/>
    <n v="1"/>
    <n v="0"/>
    <m/>
    <s v="6"/>
    <x v="33"/>
    <n v="898363"/>
  </r>
  <r>
    <d v="2024-04-30T00:00:00"/>
    <s v="KC202404"/>
    <m/>
    <m/>
    <s v="Kết chuyển cuối kỳ 642711 --&gt; 9111"/>
    <s v="9111"/>
    <s v="642711"/>
    <n v="8519477"/>
    <n v="1"/>
    <n v="0"/>
    <m/>
    <s v="6"/>
    <x v="34"/>
    <n v="8519477"/>
  </r>
  <r>
    <d v="2024-04-30T00:00:00"/>
    <s v="KC202404"/>
    <m/>
    <m/>
    <s v="Kết chuyển cuối kỳ 642799 --&gt; 9111"/>
    <s v="9111"/>
    <s v="642799"/>
    <n v="5151979"/>
    <n v="1"/>
    <n v="0"/>
    <m/>
    <s v="6"/>
    <x v="36"/>
    <n v="5151979"/>
  </r>
  <r>
    <d v="2024-04-30T00:00:00"/>
    <s v="KC202404"/>
    <m/>
    <m/>
    <s v="Kết chuyển cuối kỳ 642706 --&gt; 9111"/>
    <s v="9111"/>
    <s v="642706"/>
    <n v="9151000"/>
    <n v="1"/>
    <n v="0"/>
    <m/>
    <s v="6"/>
    <x v="29"/>
    <n v="9151000"/>
  </r>
  <r>
    <d v="2024-04-30T00:00:00"/>
    <s v="KC202404"/>
    <m/>
    <m/>
    <s v="Kết chuyển cuối kỳ 6425 --&gt; 9111"/>
    <s v="9111"/>
    <s v="6425"/>
    <n v="2000000"/>
    <n v="1"/>
    <n v="0"/>
    <m/>
    <s v="6"/>
    <x v="24"/>
    <n v="2000000"/>
  </r>
  <r>
    <d v="2024-04-30T00:00:00"/>
    <s v="KC202404"/>
    <m/>
    <m/>
    <s v="Kết chuyển cuối kỳ 642709 --&gt; 9111"/>
    <s v="9111"/>
    <s v="642709"/>
    <n v="7629120"/>
    <n v="1"/>
    <n v="0"/>
    <m/>
    <s v="6"/>
    <x v="32"/>
    <n v="7629120"/>
  </r>
  <r>
    <d v="2024-04-30T00:00:00"/>
    <s v="KC202404"/>
    <m/>
    <m/>
    <s v="Kết chuyển cuối kỳ 642708 --&gt; 9111"/>
    <s v="9111"/>
    <s v="642708"/>
    <n v="28206401"/>
    <n v="1"/>
    <n v="0"/>
    <m/>
    <s v="6"/>
    <x v="31"/>
    <n v="28206401"/>
  </r>
  <r>
    <d v="2024-04-30T00:00:00"/>
    <s v="KC202405"/>
    <m/>
    <m/>
    <s v="Kết chuyển cuối kỳ 63201020301 --&gt; 9111"/>
    <s v="9111"/>
    <s v="63201020301"/>
    <n v="5059450"/>
    <n v="1"/>
    <n v="0"/>
    <m/>
    <s v="6"/>
    <x v="46"/>
    <n v="5059450"/>
  </r>
  <r>
    <d v="2024-04-30T00:00:00"/>
    <s v="KC202405"/>
    <m/>
    <m/>
    <s v="Kết chuyển cuối kỳ 63208 --&gt; 9111"/>
    <s v="9111"/>
    <s v="63208"/>
    <n v="5059750"/>
    <n v="1"/>
    <n v="0"/>
    <m/>
    <s v="6"/>
    <x v="47"/>
    <n v="5059750"/>
  </r>
  <r>
    <d v="2024-04-30T00:00:00"/>
    <s v="KC202405"/>
    <m/>
    <m/>
    <s v="Kết chuyển cuối kỳ 63311 --&gt; 9111"/>
    <s v="9111"/>
    <s v="63311"/>
    <n v="188762001"/>
    <n v="1"/>
    <n v="0"/>
    <m/>
    <s v="6"/>
    <x v="2"/>
    <n v="188762001"/>
  </r>
  <r>
    <d v="2024-05-31T00:00:00"/>
    <s v="KC202405"/>
    <m/>
    <m/>
    <s v="Kết chuyển cuối kỳ 63312 --&gt; 9111"/>
    <s v="9111"/>
    <s v="63312"/>
    <n v="42833334"/>
    <n v="1"/>
    <n v="0"/>
    <m/>
    <s v="6"/>
    <x v="3"/>
    <n v="42833334"/>
  </r>
  <r>
    <d v="2024-05-31T00:00:00"/>
    <s v="KC202405"/>
    <m/>
    <m/>
    <s v="Kết chuyển cuối kỳ 63313 --&gt; 9111"/>
    <s v="9111"/>
    <s v="63313"/>
    <n v="12086236"/>
    <n v="1"/>
    <n v="0"/>
    <m/>
    <s v="6"/>
    <x v="4"/>
    <n v="12086236"/>
  </r>
  <r>
    <d v="2024-05-31T00:00:00"/>
    <s v="KC202405"/>
    <m/>
    <m/>
    <s v="Kết chuyển cuối kỳ 6331711 --&gt; 9111"/>
    <s v="9111"/>
    <s v="6331711"/>
    <n v="1236879039"/>
    <n v="1"/>
    <n v="0"/>
    <m/>
    <s v="6"/>
    <x v="5"/>
    <n v="1236879039"/>
  </r>
  <r>
    <d v="2024-05-31T00:00:00"/>
    <s v="KC202405"/>
    <m/>
    <m/>
    <s v="Kết chuyển cuối kỳ 6331712 --&gt; 9111"/>
    <s v="9111"/>
    <s v="6331712"/>
    <n v="63794000"/>
    <n v="1"/>
    <n v="0"/>
    <m/>
    <s v="6"/>
    <x v="6"/>
    <n v="63794000"/>
  </r>
  <r>
    <d v="2024-05-31T00:00:00"/>
    <s v="KC202405"/>
    <m/>
    <m/>
    <s v="Kết chuyển cuối kỳ 633173 --&gt; 9111"/>
    <s v="9111"/>
    <s v="633173"/>
    <n v="459395741"/>
    <n v="1"/>
    <n v="0"/>
    <m/>
    <s v="6"/>
    <x v="7"/>
    <n v="459395741"/>
  </r>
  <r>
    <d v="2024-05-31T00:00:00"/>
    <s v="KC202405"/>
    <m/>
    <m/>
    <s v="Kết chuyển cuối kỳ 633174 --&gt; 9111"/>
    <s v="9111"/>
    <s v="633174"/>
    <n v="113492635"/>
    <n v="1"/>
    <n v="0"/>
    <m/>
    <s v="6"/>
    <x v="8"/>
    <n v="113492635"/>
  </r>
  <r>
    <d v="2024-05-31T00:00:00"/>
    <s v="KC202405"/>
    <m/>
    <m/>
    <s v="Kết chuyển cuối kỳ 633175 --&gt; 9111"/>
    <s v="9111"/>
    <s v="633175"/>
    <n v="372646828"/>
    <n v="1"/>
    <n v="0"/>
    <m/>
    <s v="6"/>
    <x v="9"/>
    <n v="372646828"/>
  </r>
  <r>
    <d v="2024-05-31T00:00:00"/>
    <s v="KC202405"/>
    <m/>
    <m/>
    <s v="Kết chuyển cuối kỳ 6333311 --&gt; 9111"/>
    <s v="9111"/>
    <s v="6333311"/>
    <n v="12065355"/>
    <n v="1"/>
    <n v="0"/>
    <m/>
    <s v="6"/>
    <x v="49"/>
    <n v="12065355"/>
  </r>
  <r>
    <d v="2024-05-31T00:00:00"/>
    <s v="KC202405"/>
    <m/>
    <m/>
    <s v="Kết chuyển cuối kỳ 6333312 --&gt; 9111"/>
    <s v="9111"/>
    <s v="6333312"/>
    <n v="1410000"/>
    <n v="1"/>
    <n v="0"/>
    <m/>
    <s v="6"/>
    <x v="48"/>
    <n v="1410000"/>
  </r>
  <r>
    <d v="2024-05-31T00:00:00"/>
    <s v="KC202405"/>
    <m/>
    <m/>
    <s v="Kết chuyển cuối kỳ 63341 --&gt; 9111"/>
    <s v="9111"/>
    <s v="63341"/>
    <n v="16356731"/>
    <n v="1"/>
    <n v="0"/>
    <m/>
    <s v="6"/>
    <x v="10"/>
    <n v="16356731"/>
  </r>
  <r>
    <d v="2024-05-31T00:00:00"/>
    <s v="KC202405"/>
    <m/>
    <m/>
    <s v="Kết chuyển cuối kỳ 63345 --&gt; 9111"/>
    <s v="9111"/>
    <s v="63345"/>
    <n v="4397982"/>
    <n v="1"/>
    <n v="0"/>
    <m/>
    <s v="6"/>
    <x v="11"/>
    <n v="4397982"/>
  </r>
  <r>
    <d v="2024-05-31T00:00:00"/>
    <s v="KC202405"/>
    <m/>
    <m/>
    <s v="Kết chuyển cuối kỳ 6352 --&gt; 9111"/>
    <s v="9111"/>
    <s v="6352"/>
    <n v="135521958"/>
    <n v="1"/>
    <n v="0"/>
    <m/>
    <s v="6"/>
    <x v="50"/>
    <n v="135521958"/>
  </r>
  <r>
    <d v="2024-05-31T00:00:00"/>
    <s v="KC202405"/>
    <m/>
    <m/>
    <s v="Kết chuyển cuối kỳ 64111 --&gt; 9111"/>
    <s v="9111"/>
    <s v="64111"/>
    <n v="417206829"/>
    <n v="1"/>
    <n v="0"/>
    <m/>
    <s v="6"/>
    <x v="12"/>
    <n v="417206829"/>
  </r>
  <r>
    <d v="2024-05-31T00:00:00"/>
    <s v="KC202405"/>
    <m/>
    <m/>
    <s v="Kết chuyển cuối kỳ 64112 --&gt; 9111"/>
    <s v="9111"/>
    <s v="64112"/>
    <n v="31880000"/>
    <n v="1"/>
    <n v="0"/>
    <m/>
    <s v="6"/>
    <x v="13"/>
    <n v="31880000"/>
  </r>
  <r>
    <d v="2024-05-31T00:00:00"/>
    <s v="KC202405"/>
    <m/>
    <m/>
    <s v="Kết chuyển cuối kỳ 64131 --&gt; 9111"/>
    <s v="9111"/>
    <s v="64131"/>
    <n v="26840000"/>
    <n v="1"/>
    <n v="0"/>
    <m/>
    <s v="6"/>
    <x v="39"/>
    <n v="26840000"/>
  </r>
  <r>
    <d v="2024-05-31T00:00:00"/>
    <s v="KC202405"/>
    <m/>
    <m/>
    <s v="Kết chuyển cuối kỳ 64132 --&gt; 9111"/>
    <s v="9111"/>
    <s v="64132"/>
    <n v="1594167"/>
    <n v="1"/>
    <n v="0"/>
    <m/>
    <s v="6"/>
    <x v="52"/>
    <n v="1594167"/>
  </r>
  <r>
    <d v="2024-05-31T00:00:00"/>
    <s v="KC202405"/>
    <m/>
    <m/>
    <s v="Kết chuyển cuối kỳ 6414 --&gt; 9111"/>
    <s v="9111"/>
    <s v="6414"/>
    <n v="7223287"/>
    <n v="1"/>
    <n v="0"/>
    <m/>
    <s v="6"/>
    <x v="14"/>
    <n v="7223287"/>
  </r>
  <r>
    <d v="2024-05-31T00:00:00"/>
    <s v="KC202405"/>
    <m/>
    <m/>
    <s v="Kết chuyển cuối kỳ 641702 --&gt; 9111"/>
    <s v="9111"/>
    <s v="641702"/>
    <n v="4990600"/>
    <n v="1"/>
    <n v="0"/>
    <m/>
    <s v="6"/>
    <x v="15"/>
    <n v="4990600"/>
  </r>
  <r>
    <d v="2024-05-31T00:00:00"/>
    <s v="KC202405"/>
    <m/>
    <m/>
    <s v="Kết chuyển cuối kỳ 641703 --&gt; 9111"/>
    <s v="9111"/>
    <s v="641703"/>
    <n v="73226666"/>
    <n v="1"/>
    <n v="0"/>
    <m/>
    <s v="6"/>
    <x v="51"/>
    <n v="73226666"/>
  </r>
  <r>
    <d v="2024-05-31T00:00:00"/>
    <s v="KC202405"/>
    <m/>
    <m/>
    <s v="Kết chuyển cuối kỳ 641704 --&gt; 9111"/>
    <s v="9111"/>
    <s v="641704"/>
    <n v="4552000"/>
    <n v="1"/>
    <n v="0"/>
    <m/>
    <s v="6"/>
    <x v="16"/>
    <n v="4552000"/>
  </r>
  <r>
    <d v="2024-05-31T00:00:00"/>
    <s v="KC202405"/>
    <m/>
    <m/>
    <s v="Kết chuyển cuối kỳ 641706 --&gt; 9111"/>
    <s v="9111"/>
    <s v="641706"/>
    <n v="4920000"/>
    <n v="1"/>
    <n v="0"/>
    <m/>
    <s v="6"/>
    <x v="54"/>
    <n v="4920000"/>
  </r>
  <r>
    <d v="2024-05-31T00:00:00"/>
    <s v="KC202405"/>
    <m/>
    <m/>
    <s v="Kết chuyển cuối kỳ 641801 --&gt; 9111"/>
    <s v="9111"/>
    <s v="641801"/>
    <n v="4100000"/>
    <n v="1"/>
    <n v="0"/>
    <m/>
    <s v="6"/>
    <x v="43"/>
    <n v="4100000"/>
  </r>
  <r>
    <d v="2024-05-31T00:00:00"/>
    <s v="KC202405"/>
    <m/>
    <m/>
    <s v="Kết chuyển cuối kỳ 641802 --&gt; 9111"/>
    <s v="9111"/>
    <s v="641802"/>
    <n v="22399788"/>
    <n v="1"/>
    <n v="0"/>
    <m/>
    <s v="6"/>
    <x v="17"/>
    <n v="22399788"/>
  </r>
  <r>
    <d v="2024-05-31T00:00:00"/>
    <s v="KC202405"/>
    <m/>
    <m/>
    <s v="Kết chuyển cuối kỳ 64211 --&gt; 9111"/>
    <s v="9111"/>
    <s v="64211"/>
    <n v="1307942928"/>
    <n v="1"/>
    <n v="0"/>
    <m/>
    <s v="6"/>
    <x v="19"/>
    <n v="1307942928"/>
  </r>
  <r>
    <d v="2024-05-31T00:00:00"/>
    <s v="KC202405"/>
    <m/>
    <m/>
    <s v="Kết chuyển cuối kỳ 64212 --&gt; 9111"/>
    <s v="9111"/>
    <s v="64212"/>
    <n v="67949000"/>
    <n v="1"/>
    <n v="0"/>
    <m/>
    <s v="6"/>
    <x v="20"/>
    <n v="67949000"/>
  </r>
  <r>
    <d v="2024-05-31T00:00:00"/>
    <s v="KC202405"/>
    <m/>
    <m/>
    <s v="Kết chuyển cuối kỳ 6422 --&gt; 9111"/>
    <s v="9111"/>
    <s v="6422"/>
    <n v="19702695"/>
    <n v="1"/>
    <n v="0"/>
    <m/>
    <s v="6"/>
    <x v="21"/>
    <n v="19702695"/>
  </r>
  <r>
    <d v="2024-05-31T00:00:00"/>
    <s v="KC202405"/>
    <m/>
    <m/>
    <s v="Kết chuyển cuối kỳ 6423 --&gt; 9111"/>
    <s v="9111"/>
    <s v="6423"/>
    <n v="4798772"/>
    <n v="1"/>
    <n v="0"/>
    <m/>
    <s v="6"/>
    <x v="22"/>
    <n v="4798772"/>
  </r>
  <r>
    <d v="2024-05-31T00:00:00"/>
    <s v="KC202405"/>
    <m/>
    <m/>
    <s v="Kết chuyển cuối kỳ 6424 --&gt; 9111"/>
    <s v="9111"/>
    <s v="6424"/>
    <n v="91450284"/>
    <n v="1"/>
    <n v="0"/>
    <m/>
    <s v="6"/>
    <x v="23"/>
    <n v="91450284"/>
  </r>
  <r>
    <d v="2024-05-31T00:00:00"/>
    <s v="KC202405"/>
    <m/>
    <m/>
    <s v="Kết chuyển cuối kỳ 6425 --&gt; 9111"/>
    <s v="9111"/>
    <s v="6425"/>
    <n v="19192469"/>
    <n v="1"/>
    <n v="0"/>
    <m/>
    <s v="6"/>
    <x v="24"/>
    <n v="19192469"/>
  </r>
  <r>
    <d v="2024-05-31T00:00:00"/>
    <s v="KC202405"/>
    <m/>
    <m/>
    <s v="Kết chuyển cuối kỳ 642701 --&gt; 9111"/>
    <s v="9111"/>
    <s v="642701"/>
    <n v="368773223"/>
    <n v="1"/>
    <n v="0"/>
    <m/>
    <s v="6"/>
    <x v="25"/>
    <n v="368773223"/>
  </r>
  <r>
    <d v="2024-05-31T00:00:00"/>
    <s v="KC202405"/>
    <m/>
    <m/>
    <s v="Kết chuyển cuối kỳ 642702 --&gt; 9111"/>
    <s v="9111"/>
    <s v="642702"/>
    <n v="21712145"/>
    <n v="1"/>
    <n v="0"/>
    <m/>
    <s v="6"/>
    <x v="26"/>
    <n v="21712145"/>
  </r>
  <r>
    <d v="2024-05-31T00:00:00"/>
    <s v="KC202405"/>
    <m/>
    <m/>
    <s v="Kết chuyển cuối kỳ 642703 --&gt; 9111"/>
    <s v="9111"/>
    <s v="642703"/>
    <n v="5043452"/>
    <n v="1"/>
    <n v="0"/>
    <m/>
    <s v="6"/>
    <x v="27"/>
    <n v="5043452"/>
  </r>
  <r>
    <d v="2024-05-31T00:00:00"/>
    <s v="KC202405"/>
    <m/>
    <m/>
    <s v="Kết chuyển cuối kỳ 642704 --&gt; 9111"/>
    <s v="9111"/>
    <s v="642704"/>
    <n v="17196667"/>
    <n v="1"/>
    <n v="0"/>
    <m/>
    <s v="6"/>
    <x v="28"/>
    <n v="17196667"/>
  </r>
  <r>
    <d v="2024-05-31T00:00:00"/>
    <s v="KC202405"/>
    <m/>
    <m/>
    <s v="Kết chuyển cuối kỳ 642706 --&gt; 9111"/>
    <s v="9111"/>
    <s v="642706"/>
    <n v="52600550"/>
    <n v="1"/>
    <n v="0"/>
    <m/>
    <s v="6"/>
    <x v="29"/>
    <n v="52600550"/>
  </r>
  <r>
    <d v="2024-05-31T00:00:00"/>
    <s v="KC202405"/>
    <m/>
    <m/>
    <s v="Kết chuyển cuối kỳ 642707 --&gt; 9111"/>
    <s v="9111"/>
    <s v="642707"/>
    <n v="49886443"/>
    <n v="1"/>
    <n v="0"/>
    <m/>
    <s v="6"/>
    <x v="30"/>
    <n v="49886443"/>
  </r>
  <r>
    <d v="2024-05-31T00:00:00"/>
    <s v="KC202405"/>
    <m/>
    <m/>
    <s v="Kết chuyển cuối kỳ 642708 --&gt; 9111"/>
    <s v="9111"/>
    <s v="642708"/>
    <n v="77720112"/>
    <n v="1"/>
    <n v="0"/>
    <m/>
    <s v="6"/>
    <x v="31"/>
    <n v="77720112"/>
  </r>
  <r>
    <d v="2024-05-31T00:00:00"/>
    <s v="KC202405"/>
    <m/>
    <m/>
    <s v="Kết chuyển cuối kỳ 642709 --&gt; 9111"/>
    <s v="9111"/>
    <s v="642709"/>
    <n v="7183274"/>
    <n v="1"/>
    <n v="0"/>
    <m/>
    <s v="6"/>
    <x v="32"/>
    <n v="7183274"/>
  </r>
  <r>
    <d v="2024-05-31T00:00:00"/>
    <s v="KC202405"/>
    <m/>
    <m/>
    <s v="Kết chuyển cuối kỳ 642710 --&gt; 9111"/>
    <s v="9111"/>
    <s v="642710"/>
    <n v="605363"/>
    <n v="1"/>
    <n v="0"/>
    <m/>
    <s v="6"/>
    <x v="33"/>
    <n v="605363"/>
  </r>
  <r>
    <d v="2024-05-31T00:00:00"/>
    <s v="KC202405"/>
    <m/>
    <m/>
    <s v="Kết chuyển cuối kỳ 642711 --&gt; 9111"/>
    <s v="9111"/>
    <s v="642711"/>
    <n v="8141116"/>
    <n v="1"/>
    <n v="0"/>
    <m/>
    <s v="6"/>
    <x v="34"/>
    <n v="8141116"/>
  </r>
  <r>
    <d v="2024-05-31T00:00:00"/>
    <s v="KC202405"/>
    <m/>
    <m/>
    <s v="Kết chuyển cuối kỳ 642712 --&gt; 9111"/>
    <s v="9111"/>
    <s v="642712"/>
    <n v="1772100"/>
    <n v="1"/>
    <n v="0"/>
    <m/>
    <s v="6"/>
    <x v="35"/>
    <n v="1772100"/>
  </r>
  <r>
    <d v="2024-05-31T00:00:00"/>
    <s v="KC202405"/>
    <m/>
    <m/>
    <s v="Kết chuyển cuối kỳ 642799 --&gt; 9111"/>
    <s v="9111"/>
    <s v="642799"/>
    <n v="7703939"/>
    <n v="1"/>
    <n v="0"/>
    <m/>
    <s v="6"/>
    <x v="36"/>
    <n v="7703939"/>
  </r>
  <r>
    <d v="2024-05-31T00:00:00"/>
    <s v="KC202405"/>
    <m/>
    <m/>
    <s v="Kết chuyển cuối kỳ 6428 --&gt; 9111"/>
    <s v="9111"/>
    <s v="642899"/>
    <n v="4477248"/>
    <n v="1"/>
    <n v="0"/>
    <m/>
    <s v="6"/>
    <x v="41"/>
    <n v="4477248"/>
  </r>
  <r>
    <d v="2024-05-31T00:00:00"/>
    <s v="KC202406"/>
    <m/>
    <m/>
    <s v="Kết chuyển cuối kỳ 63201020301 --&gt; 9111"/>
    <s v="9111"/>
    <s v="63201020301"/>
    <n v="5213100"/>
    <n v="1"/>
    <n v="0"/>
    <m/>
    <s v="6"/>
    <x v="46"/>
    <n v="5213100"/>
  </r>
  <r>
    <d v="2024-05-31T00:00:00"/>
    <s v="KC202406"/>
    <m/>
    <m/>
    <s v="Kết chuyển cuối kỳ 63201030306 --&gt; 91122"/>
    <s v="91122"/>
    <s v="63201030306"/>
    <n v="384657534"/>
    <n v="1"/>
    <n v="0"/>
    <m/>
    <s v="6"/>
    <x v="55"/>
    <n v="384657534"/>
  </r>
  <r>
    <d v="2024-05-31T00:00:00"/>
    <s v="KC202406"/>
    <m/>
    <m/>
    <s v="Kết chuyển cuối kỳ 63201030301 --&gt; 91122"/>
    <s v="91122"/>
    <s v="63201030301"/>
    <n v="27253425"/>
    <n v="1"/>
    <n v="0"/>
    <m/>
    <s v="6"/>
    <x v="56"/>
    <n v="27253425"/>
  </r>
  <r>
    <d v="2024-06-30T00:00:00"/>
    <s v="KC202406"/>
    <m/>
    <m/>
    <s v="Kết chuyển cuối kỳ 6322105 --&gt; 9111"/>
    <s v="9111"/>
    <s v="6322105"/>
    <n v="3300000"/>
    <n v="1"/>
    <n v="0"/>
    <m/>
    <s v="6"/>
    <x v="57"/>
    <n v="3300000"/>
  </r>
  <r>
    <d v="2024-06-30T00:00:00"/>
    <s v="KC202406"/>
    <m/>
    <m/>
    <s v="Kết chuyển cuối kỳ 633174 --&gt; 9111"/>
    <s v="9111"/>
    <s v="633174"/>
    <n v="113492635"/>
    <n v="1"/>
    <n v="0"/>
    <m/>
    <s v="6"/>
    <x v="8"/>
    <n v="113492635"/>
  </r>
  <r>
    <d v="2024-06-30T00:00:00"/>
    <s v="KC202406"/>
    <m/>
    <m/>
    <s v="Kết chuyển cuối kỳ 63345 --&gt; 9111"/>
    <s v="9111"/>
    <s v="63345"/>
    <n v="3866676"/>
    <n v="1"/>
    <n v="0"/>
    <m/>
    <s v="6"/>
    <x v="11"/>
    <n v="3866676"/>
  </r>
  <r>
    <d v="2024-06-30T00:00:00"/>
    <s v="KC202406"/>
    <m/>
    <m/>
    <s v="Kết chuyển cuối kỳ 6331712 --&gt; 9111"/>
    <s v="9111"/>
    <s v="6331712"/>
    <n v="61574000"/>
    <n v="1"/>
    <n v="0"/>
    <m/>
    <s v="6"/>
    <x v="6"/>
    <n v="61574000"/>
  </r>
  <r>
    <d v="2024-06-30T00:00:00"/>
    <s v="KC202406"/>
    <m/>
    <m/>
    <s v="Kết chuyển cuối kỳ 6331711 --&gt; 9111"/>
    <s v="9111"/>
    <s v="6331711"/>
    <n v="1259048685"/>
    <n v="1"/>
    <n v="0"/>
    <m/>
    <s v="6"/>
    <x v="5"/>
    <n v="1259048685"/>
  </r>
  <r>
    <d v="2024-06-30T00:00:00"/>
    <s v="KC202406"/>
    <m/>
    <m/>
    <s v="Kết chuyển cuối kỳ 63312 --&gt; 9111"/>
    <s v="9111"/>
    <s v="63312"/>
    <n v="42833334"/>
    <n v="1"/>
    <n v="0"/>
    <m/>
    <s v="6"/>
    <x v="3"/>
    <n v="42833334"/>
  </r>
  <r>
    <d v="2024-06-30T00:00:00"/>
    <s v="KC202406"/>
    <m/>
    <m/>
    <s v="Kết chuyển cuối kỳ 63313 --&gt; 9111"/>
    <s v="9111"/>
    <s v="63313"/>
    <n v="17948333"/>
    <n v="1"/>
    <n v="0"/>
    <m/>
    <s v="6"/>
    <x v="4"/>
    <n v="17948333"/>
  </r>
  <r>
    <d v="2024-06-30T00:00:00"/>
    <s v="KC202406"/>
    <m/>
    <m/>
    <s v="Kết chuyển cuối kỳ 6333312 --&gt; 9111"/>
    <s v="9111"/>
    <s v="6333312"/>
    <n v="1410000"/>
    <n v="1"/>
    <n v="0"/>
    <m/>
    <s v="6"/>
    <x v="48"/>
    <n v="1410000"/>
  </r>
  <r>
    <d v="2024-06-30T00:00:00"/>
    <s v="KC202406"/>
    <m/>
    <m/>
    <s v="Kết chuyển cuối kỳ 633175 --&gt; 9111"/>
    <s v="9111"/>
    <s v="633175"/>
    <n v="307916126"/>
    <n v="1"/>
    <n v="0"/>
    <m/>
    <s v="6"/>
    <x v="9"/>
    <n v="307916126"/>
  </r>
  <r>
    <d v="2024-06-30T00:00:00"/>
    <s v="KC202406"/>
    <m/>
    <m/>
    <s v="Kết chuyển cuối kỳ 633173 --&gt; 9111"/>
    <s v="9111"/>
    <s v="633173"/>
    <n v="433681594"/>
    <n v="1"/>
    <n v="0"/>
    <m/>
    <s v="6"/>
    <x v="7"/>
    <n v="433681594"/>
  </r>
  <r>
    <d v="2024-06-30T00:00:00"/>
    <s v="KC202406"/>
    <m/>
    <m/>
    <s v="Kết chuyển cuối kỳ 63311 --&gt; 9111"/>
    <s v="9111"/>
    <s v="63311"/>
    <n v="182555223"/>
    <n v="1"/>
    <n v="0"/>
    <m/>
    <s v="6"/>
    <x v="2"/>
    <n v="182555223"/>
  </r>
  <r>
    <d v="2024-06-30T00:00:00"/>
    <s v="KC202406"/>
    <m/>
    <m/>
    <s v="Kết chuyển cuối kỳ 63341 --&gt; 9111"/>
    <s v="9111"/>
    <s v="63341"/>
    <n v="16626803"/>
    <n v="1"/>
    <n v="0"/>
    <m/>
    <s v="6"/>
    <x v="10"/>
    <n v="16626803"/>
  </r>
  <r>
    <d v="2024-06-30T00:00:00"/>
    <s v="KC202406"/>
    <m/>
    <m/>
    <s v="Kết chuyển cuối kỳ 6333311 --&gt; 9111"/>
    <s v="9111"/>
    <s v="6333311"/>
    <n v="11743333"/>
    <n v="1"/>
    <n v="0"/>
    <m/>
    <s v="6"/>
    <x v="49"/>
    <n v="11743333"/>
  </r>
  <r>
    <d v="2024-06-30T00:00:00"/>
    <s v="KC202406"/>
    <m/>
    <m/>
    <s v="Kết chuyển cuối kỳ 6352 --&gt; 9111"/>
    <s v="9111"/>
    <s v="6352"/>
    <n v="242775480"/>
    <n v="1"/>
    <n v="0"/>
    <m/>
    <s v="6"/>
    <x v="50"/>
    <n v="242775480"/>
  </r>
  <r>
    <d v="2024-06-30T00:00:00"/>
    <s v="KC202406"/>
    <m/>
    <m/>
    <s v="Kết chuyển cuối kỳ 642801 --&gt; 9111"/>
    <s v="9111"/>
    <s v="642801"/>
    <n v="13647875"/>
    <n v="1"/>
    <n v="0"/>
    <m/>
    <s v="6"/>
    <x v="58"/>
    <n v="13647875"/>
  </r>
  <r>
    <d v="2024-06-30T00:00:00"/>
    <s v="KC202406"/>
    <m/>
    <m/>
    <s v="Kết chuyển cuối kỳ 642803 --&gt; 9111"/>
    <s v="9111"/>
    <s v="642803"/>
    <n v="58955600"/>
    <n v="1"/>
    <n v="0"/>
    <m/>
    <s v="6"/>
    <x v="59"/>
    <n v="58955600"/>
  </r>
  <r>
    <d v="2024-06-30T00:00:00"/>
    <s v="KC202406"/>
    <m/>
    <m/>
    <s v="Kết chuyển cuối kỳ 6424 --&gt; 9111"/>
    <s v="9111"/>
    <s v="6424"/>
    <n v="134790006"/>
    <n v="1"/>
    <n v="0"/>
    <m/>
    <s v="6"/>
    <x v="23"/>
    <n v="134790006"/>
  </r>
  <r>
    <d v="2024-06-30T00:00:00"/>
    <s v="KC202406"/>
    <m/>
    <m/>
    <s v="Kết chuyển cuối kỳ 642707 --&gt; 9111"/>
    <s v="9111"/>
    <s v="642707"/>
    <n v="54681905"/>
    <n v="1"/>
    <n v="0"/>
    <m/>
    <s v="6"/>
    <x v="30"/>
    <n v="54681905"/>
  </r>
  <r>
    <d v="2024-06-30T00:00:00"/>
    <s v="KC202406"/>
    <m/>
    <m/>
    <s v="Kết chuyển cuối kỳ 642716 --&gt; 9111"/>
    <s v="9111"/>
    <s v="642716"/>
    <n v="30891935"/>
    <n v="1"/>
    <n v="0"/>
    <m/>
    <s v="6"/>
    <x v="60"/>
    <n v="30891935"/>
  </r>
  <r>
    <d v="2024-06-30T00:00:00"/>
    <s v="KC202406"/>
    <m/>
    <m/>
    <s v="Kết chuyển cuối kỳ 6422 --&gt; 9111"/>
    <s v="9111"/>
    <s v="6422"/>
    <n v="13507100"/>
    <n v="1"/>
    <n v="0"/>
    <m/>
    <s v="6"/>
    <x v="21"/>
    <n v="13507100"/>
  </r>
  <r>
    <d v="2024-06-30T00:00:00"/>
    <s v="KC202406"/>
    <m/>
    <m/>
    <s v="Kết chuyển cuối kỳ 642706 --&gt; 9111"/>
    <s v="9111"/>
    <s v="642706"/>
    <n v="136971600"/>
    <n v="1"/>
    <n v="0"/>
    <m/>
    <s v="6"/>
    <x v="29"/>
    <n v="136971600"/>
  </r>
  <r>
    <d v="2024-06-30T00:00:00"/>
    <s v="KC202406"/>
    <m/>
    <m/>
    <s v="Kết chuyển cuối kỳ 642802 --&gt; 9111"/>
    <s v="9111"/>
    <s v="642802"/>
    <n v="45499969"/>
    <n v="1"/>
    <n v="0"/>
    <m/>
    <s v="6"/>
    <x v="61"/>
    <n v="45499969"/>
  </r>
  <r>
    <d v="2024-06-30T00:00:00"/>
    <s v="KC202406"/>
    <m/>
    <m/>
    <s v="Kết chuyển cuối kỳ 642899 --&gt; 9111"/>
    <s v="9111"/>
    <s v="642899"/>
    <n v="33311836"/>
    <n v="1"/>
    <n v="0"/>
    <m/>
    <s v="6"/>
    <x v="41"/>
    <n v="33311836"/>
  </r>
  <r>
    <d v="2024-06-30T00:00:00"/>
    <s v="KC202406"/>
    <m/>
    <m/>
    <s v="Kết chuyển cuối kỳ 64212 --&gt; 9111"/>
    <s v="9111"/>
    <s v="64212"/>
    <n v="259331000"/>
    <n v="1"/>
    <n v="0"/>
    <m/>
    <s v="6"/>
    <x v="20"/>
    <n v="259331000"/>
  </r>
  <r>
    <d v="2024-06-30T00:00:00"/>
    <s v="KC202406"/>
    <m/>
    <m/>
    <s v="Kết chuyển cuối kỳ 642799 --&gt; 9111"/>
    <s v="9111"/>
    <s v="642799"/>
    <n v="5586875"/>
    <n v="1"/>
    <n v="0"/>
    <m/>
    <s v="6"/>
    <x v="36"/>
    <n v="5586875"/>
  </r>
  <r>
    <d v="2024-06-30T00:00:00"/>
    <s v="KC202406"/>
    <m/>
    <m/>
    <s v="Kết chuyển cuối kỳ 642710 --&gt; 9111"/>
    <s v="9111"/>
    <s v="642710"/>
    <n v="1470363"/>
    <n v="1"/>
    <n v="0"/>
    <m/>
    <s v="6"/>
    <x v="33"/>
    <n v="1470363"/>
  </r>
  <r>
    <d v="2024-06-30T00:00:00"/>
    <s v="KC202406"/>
    <m/>
    <m/>
    <s v="Kết chuyển cuối kỳ 642701 --&gt; 9111"/>
    <s v="9111"/>
    <s v="642701"/>
    <n v="368773222"/>
    <n v="1"/>
    <n v="0"/>
    <m/>
    <s v="6"/>
    <x v="25"/>
    <n v="368773222"/>
  </r>
  <r>
    <d v="2024-06-30T00:00:00"/>
    <s v="KC202406"/>
    <m/>
    <m/>
    <s v="Kết chuyển cuối kỳ 642805 --&gt; 9111"/>
    <s v="9111"/>
    <s v="642805"/>
    <n v="6948400"/>
    <n v="1"/>
    <n v="0"/>
    <m/>
    <s v="6"/>
    <x v="62"/>
    <n v="6948400"/>
  </r>
  <r>
    <d v="2024-06-30T00:00:00"/>
    <s v="KC202406"/>
    <m/>
    <m/>
    <s v="Kết chuyển cuối kỳ 642711 --&gt; 9111"/>
    <s v="9111"/>
    <s v="642711"/>
    <n v="11947643"/>
    <n v="1"/>
    <n v="0"/>
    <m/>
    <s v="6"/>
    <x v="34"/>
    <n v="11947643"/>
  </r>
  <r>
    <d v="2024-06-30T00:00:00"/>
    <s v="KC202406"/>
    <m/>
    <m/>
    <s v="Kết chuyển cuối kỳ 642717 --&gt; 9111"/>
    <s v="9111"/>
    <s v="642717"/>
    <n v="16200000"/>
    <n v="1"/>
    <n v="0"/>
    <m/>
    <s v="6"/>
    <x v="63"/>
    <n v="16200000"/>
  </r>
  <r>
    <d v="2024-06-30T00:00:00"/>
    <s v="KC202406"/>
    <m/>
    <m/>
    <s v="Kết chuyển cuối kỳ 642713 --&gt; 9111"/>
    <s v="9111"/>
    <s v="642713"/>
    <n v="5400000"/>
    <n v="1"/>
    <n v="0"/>
    <m/>
    <s v="6"/>
    <x v="64"/>
    <n v="5400000"/>
  </r>
  <r>
    <d v="2024-06-30T00:00:00"/>
    <s v="KC202406"/>
    <m/>
    <m/>
    <s v="Kết chuyển cuối kỳ 642704 --&gt; 9111"/>
    <s v="9111"/>
    <s v="642704"/>
    <n v="17196667"/>
    <n v="1"/>
    <n v="0"/>
    <m/>
    <s v="6"/>
    <x v="28"/>
    <n v="17196667"/>
  </r>
  <r>
    <d v="2024-06-30T00:00:00"/>
    <s v="KC202406"/>
    <m/>
    <m/>
    <s v="Kết chuyển cuối kỳ 6423 --&gt; 9111"/>
    <s v="9111"/>
    <s v="6423"/>
    <n v="199608662"/>
    <n v="1"/>
    <n v="0"/>
    <m/>
    <s v="6"/>
    <x v="22"/>
    <n v="199608662"/>
  </r>
  <r>
    <d v="2024-06-30T00:00:00"/>
    <s v="KC202406"/>
    <m/>
    <m/>
    <s v="Kết chuyển cuối kỳ 642715 --&gt; 9111"/>
    <s v="9111"/>
    <s v="642715"/>
    <n v="186474666"/>
    <n v="1"/>
    <n v="0"/>
    <m/>
    <s v="6"/>
    <x v="65"/>
    <n v="186474666"/>
  </r>
  <r>
    <d v="2024-06-30T00:00:00"/>
    <s v="KC202406"/>
    <m/>
    <m/>
    <s v="Kết chuyển cuối kỳ 642708 --&gt; 9111"/>
    <s v="9111"/>
    <s v="642708"/>
    <n v="32720112"/>
    <n v="1"/>
    <n v="0"/>
    <m/>
    <s v="6"/>
    <x v="31"/>
    <n v="32720112"/>
  </r>
  <r>
    <d v="2024-06-30T00:00:00"/>
    <s v="KC202406"/>
    <m/>
    <m/>
    <s v="Kết chuyển cuối kỳ 642714 --&gt; 9111"/>
    <s v="9111"/>
    <s v="642714"/>
    <n v="24831616"/>
    <n v="1"/>
    <n v="0"/>
    <m/>
    <s v="6"/>
    <x v="66"/>
    <n v="24831616"/>
  </r>
  <r>
    <d v="2024-06-30T00:00:00"/>
    <s v="KC202406"/>
    <m/>
    <m/>
    <s v="Kết chuyển cuối kỳ 642702 --&gt; 9111"/>
    <s v="9111"/>
    <s v="642702"/>
    <n v="25074764"/>
    <n v="1"/>
    <n v="0"/>
    <m/>
    <s v="6"/>
    <x v="26"/>
    <n v="25074764"/>
  </r>
  <r>
    <d v="2024-06-30T00:00:00"/>
    <s v="KC202406"/>
    <m/>
    <m/>
    <s v="Kết chuyển cuối kỳ 642703 --&gt; 9111"/>
    <s v="9111"/>
    <s v="642703"/>
    <n v="5285859"/>
    <n v="1"/>
    <n v="0"/>
    <m/>
    <s v="6"/>
    <x v="27"/>
    <n v="5285859"/>
  </r>
  <r>
    <d v="2024-06-30T00:00:00"/>
    <s v="KC202406"/>
    <m/>
    <m/>
    <s v="Kết chuyển cuối kỳ 642712 --&gt; 9111"/>
    <s v="9111"/>
    <s v="642712"/>
    <n v="1302100"/>
    <n v="1"/>
    <n v="0"/>
    <m/>
    <s v="6"/>
    <x v="35"/>
    <n v="1302100"/>
  </r>
  <r>
    <d v="2024-06-30T00:00:00"/>
    <s v="KC202406"/>
    <m/>
    <m/>
    <s v="Kết chuyển cuối kỳ 642718 --&gt; 9111"/>
    <s v="9111"/>
    <s v="642718"/>
    <n v="8860000"/>
    <n v="1"/>
    <n v="0"/>
    <m/>
    <s v="6"/>
    <x v="67"/>
    <n v="8860000"/>
  </r>
  <r>
    <d v="2024-06-30T00:00:00"/>
    <s v="KC202406"/>
    <m/>
    <m/>
    <s v="Kết chuyển cuối kỳ 642804 --&gt; 9111"/>
    <s v="9111"/>
    <s v="642804"/>
    <n v="117702500"/>
    <n v="1"/>
    <n v="0"/>
    <m/>
    <s v="6"/>
    <x v="68"/>
    <n v="117702500"/>
  </r>
  <r>
    <d v="2024-06-30T00:00:00"/>
    <s v="KC202406"/>
    <m/>
    <m/>
    <s v="Kết chuyển cuối kỳ 64211 --&gt; 9111"/>
    <s v="9111"/>
    <s v="64211"/>
    <n v="3573368414"/>
    <n v="1"/>
    <n v="0"/>
    <m/>
    <s v="6"/>
    <x v="19"/>
    <n v="3573368414"/>
  </r>
  <r>
    <d v="2024-06-30T00:00:00"/>
    <s v="KC202406"/>
    <m/>
    <m/>
    <s v="Kết chuyển cuối kỳ 642709 --&gt; 9111"/>
    <s v="9111"/>
    <s v="642709"/>
    <n v="5969700"/>
    <n v="1"/>
    <n v="0"/>
    <m/>
    <s v="6"/>
    <x v="32"/>
    <n v="5969700"/>
  </r>
  <r>
    <m/>
    <s v="KC202401"/>
    <m/>
    <m/>
    <s v="Kết chuyển cuối kỳ 51101010306 --&gt; 9111"/>
    <s v="51101010306"/>
    <s v="9111"/>
    <n v="329850000"/>
    <m/>
    <m/>
    <m/>
    <s v="5"/>
    <x v="69"/>
    <n v="-329850000"/>
  </r>
  <r>
    <m/>
    <s v="KC202401"/>
    <m/>
    <m/>
    <s v="Kết chuyển cuối kỳ 51101030202 --&gt; 9111"/>
    <s v="51101030202"/>
    <s v="9111"/>
    <n v="533561643"/>
    <m/>
    <m/>
    <m/>
    <s v="5"/>
    <x v="70"/>
    <n v="-533561643"/>
  </r>
  <r>
    <m/>
    <s v="KC202401"/>
    <m/>
    <m/>
    <s v="Kết chuyển cuối kỳ 51101030203 --&gt; 9111"/>
    <s v="51101030203"/>
    <s v="9111"/>
    <n v="572013698"/>
    <m/>
    <m/>
    <m/>
    <s v="5"/>
    <x v="37"/>
    <n v="-572013698"/>
  </r>
  <r>
    <m/>
    <s v="KC202401"/>
    <m/>
    <m/>
    <s v="Kết chuyển cuối kỳ 511030101 --&gt; 9111"/>
    <s v="511030101"/>
    <s v="9111"/>
    <n v="675517000"/>
    <m/>
    <m/>
    <m/>
    <s v="5"/>
    <x v="71"/>
    <n v="-675517000"/>
  </r>
  <r>
    <m/>
    <s v="KC202401"/>
    <m/>
    <m/>
    <s v="Kết chuyển cuối kỳ 511030201 --&gt; 9111"/>
    <s v="511030201"/>
    <s v="9111"/>
    <n v="83080326"/>
    <m/>
    <m/>
    <m/>
    <s v="5"/>
    <x v="72"/>
    <n v="-83080326"/>
  </r>
  <r>
    <m/>
    <s v="KC202401"/>
    <m/>
    <m/>
    <s v="Kết chuyển cuối kỳ 5110501 --&gt; 9111"/>
    <s v="5110501"/>
    <s v="9111"/>
    <n v="416504230"/>
    <m/>
    <m/>
    <m/>
    <s v="5"/>
    <x v="73"/>
    <n v="-416504230"/>
  </r>
  <r>
    <m/>
    <s v="KC202401"/>
    <m/>
    <m/>
    <s v="Kết chuyển cuối kỳ 5110508 --&gt; 9111"/>
    <s v="5110508"/>
    <s v="9111"/>
    <n v="7531854"/>
    <m/>
    <m/>
    <m/>
    <s v="5"/>
    <x v="74"/>
    <n v="-7531854"/>
  </r>
  <r>
    <m/>
    <s v="KC202401"/>
    <m/>
    <m/>
    <s v="Kết chuyển cuối kỳ 5110801 --&gt; 9111"/>
    <s v="5110801"/>
    <s v="9111"/>
    <n v="11300762"/>
    <m/>
    <m/>
    <m/>
    <s v="5"/>
    <x v="75"/>
    <n v="-11300762"/>
  </r>
  <r>
    <m/>
    <s v="KC202401"/>
    <m/>
    <m/>
    <s v="Kết chuyển cuối kỳ 5110802 --&gt; 9111"/>
    <s v="5110802"/>
    <s v="9111"/>
    <n v="3936879"/>
    <m/>
    <m/>
    <m/>
    <s v="5"/>
    <x v="76"/>
    <n v="-3936879"/>
  </r>
  <r>
    <m/>
    <s v="KC202401"/>
    <m/>
    <m/>
    <s v="Kết chuyển cuối kỳ 51118 --&gt; 9111"/>
    <s v="51118"/>
    <s v="9111"/>
    <n v="5921822"/>
    <m/>
    <m/>
    <m/>
    <s v="5"/>
    <x v="77"/>
    <n v="-5921822"/>
  </r>
  <r>
    <m/>
    <s v="KC202401"/>
    <m/>
    <m/>
    <s v="Kết chuyển cuối kỳ 5152 --&gt; 9111"/>
    <s v="5152"/>
    <s v="9111"/>
    <n v="6416649"/>
    <m/>
    <m/>
    <m/>
    <s v="5"/>
    <x v="78"/>
    <n v="-6416649"/>
  </r>
  <r>
    <m/>
    <s v="KC202401"/>
    <m/>
    <m/>
    <s v="Kết chuyển cuối kỳ 7114 --&gt; 9111"/>
    <s v="7114"/>
    <s v="9111"/>
    <n v="2"/>
    <m/>
    <m/>
    <m/>
    <s v="7"/>
    <x v="79"/>
    <n v="-2"/>
  </r>
  <r>
    <m/>
    <s v="KC202401"/>
    <m/>
    <m/>
    <s v="Kết chuyển cuối kỳ 9111 --&gt; 42112"/>
    <s v="42112"/>
    <s v="9111"/>
    <n v="2274371357"/>
    <m/>
    <m/>
    <m/>
    <s v="4"/>
    <x v="80"/>
    <n v="-2274371357"/>
  </r>
  <r>
    <m/>
    <s v="KC202401"/>
    <m/>
    <m/>
    <s v="Kết chuyển cuối kỳ 91122 --&gt; 42122"/>
    <s v="42122"/>
    <s v="91122"/>
    <n v="692224658"/>
    <m/>
    <m/>
    <m/>
    <s v="4"/>
    <x v="81"/>
    <n v="-692224658"/>
  </r>
  <r>
    <m/>
    <s v="KC202402"/>
    <m/>
    <m/>
    <s v="Kết chuyển cuối kỳ 51101010505 --&gt; 9111"/>
    <s v="51101010505"/>
    <s v="9111"/>
    <n v="2530684930"/>
    <m/>
    <m/>
    <m/>
    <s v="5"/>
    <x v="82"/>
    <n v="-2530684930"/>
  </r>
  <r>
    <m/>
    <s v="KC202402"/>
    <m/>
    <m/>
    <s v="Kết chuyển cuối kỳ 51101030202 --&gt; 9111"/>
    <s v="51101030202"/>
    <s v="9111"/>
    <n v="893835616"/>
    <m/>
    <m/>
    <m/>
    <s v="5"/>
    <x v="70"/>
    <n v="-893835616"/>
  </r>
  <r>
    <m/>
    <s v="KC202402"/>
    <m/>
    <m/>
    <s v="Kết chuyển cuối kỳ 511030101 --&gt; 9111"/>
    <s v="511030101"/>
    <s v="9111"/>
    <n v="590464030"/>
    <m/>
    <m/>
    <m/>
    <s v="5"/>
    <x v="71"/>
    <n v="-590464030"/>
  </r>
  <r>
    <m/>
    <s v="KC202402"/>
    <m/>
    <m/>
    <s v="Kết chuyển cuối kỳ 511030201 --&gt; 9111"/>
    <s v="511030201"/>
    <s v="9111"/>
    <n v="94422990"/>
    <m/>
    <m/>
    <m/>
    <s v="5"/>
    <x v="72"/>
    <n v="-94422990"/>
  </r>
  <r>
    <m/>
    <s v="KC202402"/>
    <m/>
    <m/>
    <s v="Kết chuyển cuối kỳ 5110501 --&gt; 9111"/>
    <s v="5110501"/>
    <s v="9111"/>
    <n v="441971628"/>
    <m/>
    <m/>
    <m/>
    <s v="5"/>
    <x v="73"/>
    <n v="-441971628"/>
  </r>
  <r>
    <m/>
    <s v="KC202402"/>
    <m/>
    <m/>
    <s v="Kết chuyển cuối kỳ 5110508 --&gt; 9111"/>
    <s v="5110508"/>
    <s v="9111"/>
    <n v="55219430"/>
    <m/>
    <m/>
    <m/>
    <s v="5"/>
    <x v="74"/>
    <n v="-55219430"/>
  </r>
  <r>
    <m/>
    <s v="KC202402"/>
    <m/>
    <m/>
    <s v="Kết chuyển cuối kỳ 5110701 --&gt; 9111"/>
    <s v="5110701"/>
    <s v="9111"/>
    <n v="6138000"/>
    <m/>
    <m/>
    <m/>
    <s v="5"/>
    <x v="83"/>
    <n v="-6138000"/>
  </r>
  <r>
    <m/>
    <s v="KC202402"/>
    <m/>
    <m/>
    <s v="Kết chuyển cuối kỳ 5110801 --&gt; 9111"/>
    <s v="5110801"/>
    <s v="9111"/>
    <n v="10340573"/>
    <m/>
    <m/>
    <m/>
    <s v="5"/>
    <x v="75"/>
    <n v="-10340573"/>
  </r>
  <r>
    <m/>
    <s v="KC202402"/>
    <m/>
    <m/>
    <s v="Kết chuyển cuối kỳ 5110802 --&gt; 9111"/>
    <s v="5110802"/>
    <s v="9111"/>
    <n v="3180401"/>
    <m/>
    <m/>
    <m/>
    <s v="5"/>
    <x v="76"/>
    <n v="-3180401"/>
  </r>
  <r>
    <m/>
    <s v="KC202402"/>
    <m/>
    <m/>
    <s v="Kết chuyển cuối kỳ 5152 --&gt; 9111"/>
    <s v="5152"/>
    <s v="9111"/>
    <n v="2523426"/>
    <m/>
    <m/>
    <m/>
    <s v="5"/>
    <x v="78"/>
    <n v="-2523426"/>
  </r>
  <r>
    <m/>
    <s v="KC202402"/>
    <m/>
    <m/>
    <s v="Kết chuyển cuối kỳ 7114 --&gt; 9111"/>
    <s v="7114"/>
    <s v="9111"/>
    <n v="223"/>
    <m/>
    <m/>
    <m/>
    <s v="7"/>
    <x v="79"/>
    <n v="-223"/>
  </r>
  <r>
    <m/>
    <s v="KC202402"/>
    <m/>
    <m/>
    <s v="Kết chuyển cuối kỳ 9111 --&gt; 42112"/>
    <s v="42112"/>
    <s v="9111"/>
    <n v="1564479688"/>
    <m/>
    <m/>
    <m/>
    <s v="4"/>
    <x v="80"/>
    <n v="-1564479688"/>
  </r>
  <r>
    <m/>
    <s v="KC202403"/>
    <m/>
    <m/>
    <s v="Kết chuyển cuối kỳ 51101010505 --&gt; 9111"/>
    <s v="51101010505"/>
    <s v="9111"/>
    <n v="770200000"/>
    <m/>
    <m/>
    <m/>
    <s v="5"/>
    <x v="82"/>
    <n v="-770200000"/>
  </r>
  <r>
    <m/>
    <s v="KC202403"/>
    <m/>
    <m/>
    <s v="Kết chuyển cuối kỳ 51101030202 --&gt; 9111"/>
    <s v="51101030202"/>
    <s v="9111"/>
    <n v="955479452"/>
    <m/>
    <m/>
    <m/>
    <s v="5"/>
    <x v="70"/>
    <n v="-955479452"/>
  </r>
  <r>
    <m/>
    <s v="KC202403"/>
    <m/>
    <m/>
    <s v="Kết chuyển cuối kỳ 511030101 --&gt; 9111"/>
    <s v="511030101"/>
    <s v="9111"/>
    <n v="889037508"/>
    <m/>
    <m/>
    <m/>
    <s v="5"/>
    <x v="71"/>
    <n v="-889037508"/>
  </r>
  <r>
    <m/>
    <s v="KC202403"/>
    <m/>
    <m/>
    <s v="Kết chuyển cuối kỳ 511030201 --&gt; 9111"/>
    <s v="511030201"/>
    <s v="9111"/>
    <n v="148965352"/>
    <m/>
    <m/>
    <m/>
    <s v="5"/>
    <x v="72"/>
    <n v="-148965352"/>
  </r>
  <r>
    <m/>
    <s v="KC202403"/>
    <m/>
    <m/>
    <s v="Kết chuyển cuối kỳ 5110501 --&gt; 9111"/>
    <s v="5110501"/>
    <s v="9111"/>
    <n v="646741732"/>
    <m/>
    <m/>
    <m/>
    <s v="5"/>
    <x v="73"/>
    <n v="-646741732"/>
  </r>
  <r>
    <m/>
    <s v="KC202403"/>
    <m/>
    <m/>
    <s v="Kết chuyển cuối kỳ 5110508 --&gt; 9111"/>
    <s v="5110508"/>
    <s v="9111"/>
    <n v="60650174"/>
    <m/>
    <m/>
    <m/>
    <s v="5"/>
    <x v="74"/>
    <n v="-60650174"/>
  </r>
  <r>
    <m/>
    <s v="KC202403"/>
    <m/>
    <m/>
    <s v="Kết chuyển cuối kỳ 5110701 --&gt; 9111"/>
    <s v="5110701"/>
    <s v="9111"/>
    <n v="11088000"/>
    <m/>
    <m/>
    <m/>
    <s v="5"/>
    <x v="83"/>
    <n v="-11088000"/>
  </r>
  <r>
    <m/>
    <s v="KC202403"/>
    <m/>
    <m/>
    <s v="Kết chuyển cuối kỳ 5110801 --&gt; 9111"/>
    <s v="5110801"/>
    <s v="9111"/>
    <n v="8827902"/>
    <m/>
    <m/>
    <m/>
    <s v="5"/>
    <x v="75"/>
    <n v="-8827902"/>
  </r>
  <r>
    <m/>
    <s v="KC202403"/>
    <m/>
    <m/>
    <s v="Kết chuyển cuối kỳ 5110802 --&gt; 9111"/>
    <s v="5110802"/>
    <s v="9111"/>
    <n v="4899203"/>
    <m/>
    <m/>
    <m/>
    <s v="5"/>
    <x v="76"/>
    <n v="-4899203"/>
  </r>
  <r>
    <m/>
    <s v="KC202403"/>
    <m/>
    <m/>
    <s v="Kết chuyển cuối kỳ 5152 --&gt; 9111"/>
    <s v="5152"/>
    <s v="9111"/>
    <n v="1311735"/>
    <m/>
    <m/>
    <m/>
    <s v="5"/>
    <x v="78"/>
    <n v="-1311735"/>
  </r>
  <r>
    <m/>
    <s v="KC202403"/>
    <m/>
    <m/>
    <s v="Kết chuyển cuối kỳ 9111 --&gt; 42112"/>
    <s v="42112"/>
    <s v="9111"/>
    <n v="1371955993"/>
    <m/>
    <m/>
    <m/>
    <s v="4"/>
    <x v="80"/>
    <n v="-1371955993"/>
  </r>
  <r>
    <m/>
    <s v="KC202404"/>
    <m/>
    <m/>
    <s v="Kết chuyển cuối kỳ 51101010306 --&gt; 9111"/>
    <s v="51101010306"/>
    <s v="9111"/>
    <n v="209000000"/>
    <m/>
    <m/>
    <m/>
    <s v="5"/>
    <x v="69"/>
    <n v="-209000000"/>
  </r>
  <r>
    <m/>
    <s v="KC202404"/>
    <m/>
    <m/>
    <s v="Kết chuyển cuối kỳ 51101010505 --&gt; 9111"/>
    <s v="51101010505"/>
    <s v="9111"/>
    <n v="135616440"/>
    <m/>
    <m/>
    <m/>
    <s v="5"/>
    <x v="82"/>
    <n v="-135616440"/>
  </r>
  <r>
    <m/>
    <s v="KC202404"/>
    <m/>
    <m/>
    <s v="Kết chuyển cuối kỳ 51101030202 --&gt; 9111"/>
    <s v="51101030202"/>
    <s v="9111"/>
    <n v="924657535"/>
    <m/>
    <m/>
    <m/>
    <s v="5"/>
    <x v="70"/>
    <n v="-924657535"/>
  </r>
  <r>
    <m/>
    <s v="KC202404"/>
    <m/>
    <m/>
    <s v="Kết chuyển cuối kỳ 5110208 --&gt; 9111"/>
    <s v="5110208"/>
    <s v="9111"/>
    <n v="91824658"/>
    <m/>
    <m/>
    <m/>
    <s v="5"/>
    <x v="84"/>
    <n v="-91824658"/>
  </r>
  <r>
    <m/>
    <s v="KC202404"/>
    <m/>
    <m/>
    <s v="Kết chuyển cuối kỳ 511030201 --&gt; 9111"/>
    <s v="511030201"/>
    <s v="9111"/>
    <n v="125441598"/>
    <m/>
    <m/>
    <m/>
    <s v="5"/>
    <x v="72"/>
    <n v="-125441598"/>
  </r>
  <r>
    <m/>
    <s v="KC202404"/>
    <m/>
    <m/>
    <s v="Kết chuyển cuối kỳ 511030101 --&gt; 9111"/>
    <s v="511030101"/>
    <s v="9111"/>
    <n v="932188568"/>
    <m/>
    <m/>
    <m/>
    <s v="5"/>
    <x v="71"/>
    <n v="-932188568"/>
  </r>
  <r>
    <m/>
    <s v="KC202404"/>
    <m/>
    <m/>
    <s v="Kết chuyển cuối kỳ 5110508 --&gt; 9111"/>
    <s v="5110508"/>
    <s v="9111"/>
    <n v="35750249"/>
    <m/>
    <m/>
    <m/>
    <s v="5"/>
    <x v="74"/>
    <n v="-35750249"/>
  </r>
  <r>
    <m/>
    <s v="KC202404"/>
    <m/>
    <m/>
    <s v="Kết chuyển cuối kỳ 5110501 --&gt; 9111"/>
    <s v="5110501"/>
    <s v="9111"/>
    <n v="573069330"/>
    <m/>
    <m/>
    <m/>
    <s v="5"/>
    <x v="73"/>
    <n v="-573069330"/>
  </r>
  <r>
    <m/>
    <s v="KC202404"/>
    <m/>
    <m/>
    <s v="Kết chuyển cuối kỳ 5110701 --&gt; 9111"/>
    <s v="5110701"/>
    <s v="9111"/>
    <n v="13761000"/>
    <m/>
    <m/>
    <m/>
    <s v="5"/>
    <x v="83"/>
    <n v="-13761000"/>
  </r>
  <r>
    <m/>
    <s v="KC202404"/>
    <m/>
    <m/>
    <s v="Kết chuyển cuối kỳ 5110801 --&gt; 9111"/>
    <s v="5110801"/>
    <s v="9111"/>
    <n v="15330708"/>
    <m/>
    <m/>
    <m/>
    <s v="5"/>
    <x v="75"/>
    <n v="-15330708"/>
  </r>
  <r>
    <m/>
    <s v="KC202404"/>
    <m/>
    <m/>
    <s v="Kết chuyển cuối kỳ 5110802 --&gt; 9111"/>
    <s v="5110802"/>
    <s v="9111"/>
    <n v="4762395"/>
    <m/>
    <m/>
    <m/>
    <s v="5"/>
    <x v="76"/>
    <n v="-4762395"/>
  </r>
  <r>
    <m/>
    <s v="KC202404"/>
    <m/>
    <m/>
    <s v="Kết chuyển cuối kỳ 5152 --&gt; 9111"/>
    <s v="5152"/>
    <s v="9111"/>
    <n v="2945989"/>
    <m/>
    <m/>
    <m/>
    <s v="5"/>
    <x v="78"/>
    <n v="-2945989"/>
  </r>
  <r>
    <m/>
    <s v="KC202404"/>
    <m/>
    <m/>
    <s v="Kết chuyển cuối kỳ 6428 --&gt; 9111"/>
    <s v="642899"/>
    <s v="9111"/>
    <n v="20766667"/>
    <m/>
    <m/>
    <m/>
    <s v="6"/>
    <x v="41"/>
    <n v="-20766667"/>
  </r>
  <r>
    <m/>
    <s v="KC202404"/>
    <m/>
    <m/>
    <s v="Kết chuyển cuối kỳ 9111 --&gt; 42112"/>
    <s v="42112"/>
    <s v="9111"/>
    <n v="2255922226"/>
    <m/>
    <m/>
    <m/>
    <s v="4"/>
    <x v="80"/>
    <n v="-2255922226"/>
  </r>
  <r>
    <m/>
    <s v="KC202405"/>
    <m/>
    <m/>
    <s v="Kết chuyển cuối kỳ 51101010301 --&gt; 9111"/>
    <s v="51101010301"/>
    <s v="9111"/>
    <n v="3000000"/>
    <m/>
    <m/>
    <m/>
    <s v="5"/>
    <x v="85"/>
    <n v="-3000000"/>
  </r>
  <r>
    <m/>
    <s v="KC202405"/>
    <m/>
    <m/>
    <s v="Kết chuyển cuối kỳ 51101010306 --&gt; 9111"/>
    <s v="51101010306"/>
    <s v="9111"/>
    <n v="1778610000"/>
    <m/>
    <m/>
    <m/>
    <s v="5"/>
    <x v="69"/>
    <n v="-1778610000"/>
  </r>
  <r>
    <m/>
    <s v="KC202405"/>
    <m/>
    <m/>
    <s v="Kết chuyển cuối kỳ 51101030201 --&gt; 9111"/>
    <s v="51101030201"/>
    <s v="9111"/>
    <n v="61019179"/>
    <m/>
    <m/>
    <m/>
    <s v="5"/>
    <x v="1"/>
    <n v="-61019179"/>
  </r>
  <r>
    <m/>
    <s v="KC202405"/>
    <m/>
    <m/>
    <s v="Kết chuyển cuối kỳ 51101030202 --&gt; 9111"/>
    <s v="51101030202"/>
    <s v="9111"/>
    <n v="987150685"/>
    <m/>
    <m/>
    <m/>
    <s v="5"/>
    <x v="70"/>
    <n v="-987150685"/>
  </r>
  <r>
    <m/>
    <s v="KC202405"/>
    <m/>
    <m/>
    <s v="Kết chuyển cuối kỳ 5110208 --&gt; 9111"/>
    <s v="5110208"/>
    <s v="9111"/>
    <n v="96515069"/>
    <m/>
    <m/>
    <m/>
    <s v="5"/>
    <x v="84"/>
    <n v="-96515069"/>
  </r>
  <r>
    <m/>
    <s v="KC202405"/>
    <m/>
    <m/>
    <s v="Kết chuyển cuối kỳ 511030101 --&gt; 9111"/>
    <s v="511030101"/>
    <s v="9111"/>
    <n v="871215231"/>
    <m/>
    <m/>
    <m/>
    <s v="5"/>
    <x v="71"/>
    <n v="-871215231"/>
  </r>
  <r>
    <m/>
    <s v="KC202405"/>
    <m/>
    <m/>
    <s v="Kết chuyển cuối kỳ 511030201 --&gt; 9111"/>
    <s v="511030201"/>
    <s v="9111"/>
    <n v="123998769"/>
    <m/>
    <m/>
    <m/>
    <s v="5"/>
    <x v="72"/>
    <n v="-123998769"/>
  </r>
  <r>
    <m/>
    <s v="KC202405"/>
    <m/>
    <m/>
    <s v="Kết chuyển cuối kỳ 5110501 --&gt; 9111"/>
    <s v="5110501"/>
    <s v="9111"/>
    <n v="723480208"/>
    <m/>
    <m/>
    <m/>
    <s v="5"/>
    <x v="73"/>
    <n v="-723480208"/>
  </r>
  <r>
    <m/>
    <s v="KC202405"/>
    <m/>
    <m/>
    <s v="Kết chuyển cuối kỳ 5110508 --&gt; 9111"/>
    <s v="5110508"/>
    <s v="9111"/>
    <n v="41631063"/>
    <m/>
    <m/>
    <m/>
    <s v="5"/>
    <x v="74"/>
    <n v="-41631063"/>
  </r>
  <r>
    <m/>
    <s v="KC202405"/>
    <m/>
    <m/>
    <s v="Kết chuyển cuối kỳ 5110701 --&gt; 9111"/>
    <s v="5110701"/>
    <s v="9111"/>
    <n v="22869000"/>
    <m/>
    <m/>
    <m/>
    <s v="5"/>
    <x v="83"/>
    <n v="-22869000"/>
  </r>
  <r>
    <m/>
    <s v="KC202405"/>
    <m/>
    <m/>
    <s v="Kết chuyển cuối kỳ 5110801 --&gt; 9111"/>
    <s v="5110801"/>
    <s v="9111"/>
    <n v="19214762"/>
    <m/>
    <m/>
    <m/>
    <s v="5"/>
    <x v="75"/>
    <n v="-19214762"/>
  </r>
  <r>
    <m/>
    <s v="KC202405"/>
    <m/>
    <m/>
    <s v="Kết chuyển cuối kỳ 5110802 --&gt; 9111"/>
    <s v="5110802"/>
    <s v="9111"/>
    <n v="4724613"/>
    <m/>
    <m/>
    <m/>
    <s v="5"/>
    <x v="76"/>
    <n v="-4724613"/>
  </r>
  <r>
    <m/>
    <s v="KC202405"/>
    <m/>
    <m/>
    <s v="Kết chuyển cuối kỳ 5152 --&gt; 9111"/>
    <s v="5152"/>
    <s v="9111"/>
    <n v="3742022"/>
    <m/>
    <m/>
    <m/>
    <s v="5"/>
    <x v="78"/>
    <n v="-3742022"/>
  </r>
  <r>
    <m/>
    <s v="KC202405"/>
    <m/>
    <m/>
    <s v="Kết chuyển cuối kỳ 9111 --&gt; 42112"/>
    <s v="42112"/>
    <s v="9111"/>
    <n v="665375556"/>
    <m/>
    <m/>
    <m/>
    <s v="4"/>
    <x v="80"/>
    <n v="-665375556"/>
  </r>
  <r>
    <m/>
    <s v="KC202406"/>
    <m/>
    <m/>
    <s v="Kết chuyển cuối kỳ 51101030202 --&gt; 9111"/>
    <s v="51101030202"/>
    <s v="9111"/>
    <n v="1162191782"/>
    <m/>
    <m/>
    <m/>
    <s v="5"/>
    <x v="70"/>
    <n v="-1162191782"/>
  </r>
  <r>
    <m/>
    <s v="KC202406"/>
    <m/>
    <m/>
    <s v="Kết chuyển cuối kỳ 51101030201 --&gt; 9111"/>
    <s v="51101030201"/>
    <s v="9111"/>
    <n v="77369863"/>
    <m/>
    <m/>
    <m/>
    <s v="5"/>
    <x v="1"/>
    <n v="-77369863"/>
  </r>
  <r>
    <m/>
    <s v="KC202406"/>
    <m/>
    <m/>
    <s v="Kết chuyển cuối kỳ 5110208 --&gt; 9111"/>
    <s v="5110208"/>
    <s v="9111"/>
    <n v="72102453"/>
    <m/>
    <m/>
    <m/>
    <s v="5"/>
    <x v="84"/>
    <n v="-72102453"/>
  </r>
  <r>
    <m/>
    <s v="KC202406"/>
    <m/>
    <m/>
    <s v="Kết chuyển cuối kỳ 511030201 --&gt; 9111"/>
    <s v="511030201"/>
    <s v="9111"/>
    <n v="131338033"/>
    <m/>
    <m/>
    <m/>
    <s v="5"/>
    <x v="72"/>
    <n v="-131338033"/>
  </r>
  <r>
    <m/>
    <s v="KC202406"/>
    <m/>
    <m/>
    <s v="Kết chuyển cuối kỳ 511030101 --&gt; 9111"/>
    <s v="511030101"/>
    <s v="9111"/>
    <n v="1049494617"/>
    <m/>
    <m/>
    <m/>
    <s v="5"/>
    <x v="71"/>
    <n v="-1049494617"/>
  </r>
  <r>
    <m/>
    <s v="KC202406"/>
    <m/>
    <m/>
    <s v="Kết chuyển cuối kỳ 5110501 --&gt; 9111"/>
    <s v="5110501"/>
    <s v="9111"/>
    <n v="666856062"/>
    <m/>
    <m/>
    <m/>
    <s v="5"/>
    <x v="73"/>
    <n v="-666856062"/>
  </r>
  <r>
    <m/>
    <s v="KC202406"/>
    <m/>
    <m/>
    <s v="Kết chuyển cuối kỳ 5110508 --&gt; 9111"/>
    <s v="5110508"/>
    <s v="9111"/>
    <n v="71362628"/>
    <m/>
    <m/>
    <m/>
    <s v="5"/>
    <x v="74"/>
    <n v="-71362628"/>
  </r>
  <r>
    <m/>
    <s v="KC202406"/>
    <m/>
    <m/>
    <s v="Kết chuyển cuối kỳ 5110701 --&gt; 9111"/>
    <s v="5110701"/>
    <s v="9111"/>
    <n v="20493000"/>
    <m/>
    <m/>
    <m/>
    <s v="5"/>
    <x v="83"/>
    <n v="-20493000"/>
  </r>
  <r>
    <m/>
    <s v="KC202406"/>
    <m/>
    <m/>
    <s v="Kết chuyển cuối kỳ 5110802 --&gt; 9111"/>
    <s v="5110802"/>
    <s v="9111"/>
    <n v="3894498"/>
    <m/>
    <m/>
    <m/>
    <s v="5"/>
    <x v="76"/>
    <n v="-3894498"/>
  </r>
  <r>
    <m/>
    <s v="KC202406"/>
    <m/>
    <m/>
    <s v="Kết chuyển cuối kỳ 5110801 --&gt; 9111"/>
    <s v="5110801"/>
    <s v="9111"/>
    <n v="16442359"/>
    <m/>
    <m/>
    <m/>
    <s v="5"/>
    <x v="75"/>
    <n v="-16442359"/>
  </r>
  <r>
    <m/>
    <s v="KC202406"/>
    <m/>
    <m/>
    <s v="Kết chuyển cuối kỳ 5152 --&gt; 9111"/>
    <s v="5152"/>
    <s v="9111"/>
    <n v="3732242"/>
    <m/>
    <m/>
    <m/>
    <s v="5"/>
    <x v="78"/>
    <n v="-3732242"/>
  </r>
  <r>
    <m/>
    <s v="KC202406"/>
    <m/>
    <m/>
    <s v="Kết chuyển cuối kỳ 64112 --&gt; 9111"/>
    <s v="64112"/>
    <s v="9111"/>
    <n v="165424000"/>
    <m/>
    <m/>
    <m/>
    <s v="6"/>
    <x v="13"/>
    <n v="-165424000"/>
  </r>
  <r>
    <m/>
    <s v="KC202406"/>
    <m/>
    <m/>
    <s v="Kết chuyển cuối kỳ 641801 --&gt; 9111"/>
    <s v="641801"/>
    <s v="9111"/>
    <n v="6120000"/>
    <m/>
    <m/>
    <m/>
    <s v="6"/>
    <x v="43"/>
    <n v="-6120000"/>
  </r>
  <r>
    <m/>
    <s v="KC202406"/>
    <m/>
    <m/>
    <s v="Kết chuyển cuối kỳ 641703 --&gt; 9111"/>
    <s v="641703"/>
    <s v="9111"/>
    <n v="149074666"/>
    <m/>
    <m/>
    <m/>
    <s v="6"/>
    <x v="51"/>
    <n v="-149074666"/>
  </r>
  <r>
    <m/>
    <s v="KC202406"/>
    <m/>
    <m/>
    <s v="Kết chuyển cuối kỳ 641705 --&gt; 9111"/>
    <s v="641705"/>
    <s v="9111"/>
    <n v="16200000"/>
    <m/>
    <m/>
    <m/>
    <s v="6"/>
    <x v="53"/>
    <n v="-16200000"/>
  </r>
  <r>
    <m/>
    <s v="KC202406"/>
    <m/>
    <m/>
    <s v="Kết chuyển cuối kỳ 64132 --&gt; 9111"/>
    <s v="64132"/>
    <s v="9111"/>
    <n v="2710084"/>
    <m/>
    <m/>
    <m/>
    <s v="6"/>
    <x v="52"/>
    <n v="-2710084"/>
  </r>
  <r>
    <m/>
    <s v="KC202406"/>
    <m/>
    <m/>
    <s v="Kết chuyển cuối kỳ 6414 --&gt; 9111"/>
    <s v="6414"/>
    <s v="9111"/>
    <n v="36116435"/>
    <m/>
    <m/>
    <m/>
    <s v="6"/>
    <x v="14"/>
    <n v="-36116435"/>
  </r>
  <r>
    <m/>
    <s v="KC202406"/>
    <m/>
    <m/>
    <s v="Kết chuyển cuối kỳ 641802 --&gt; 9111"/>
    <s v="641802"/>
    <s v="9111"/>
    <n v="45499788"/>
    <m/>
    <m/>
    <m/>
    <s v="6"/>
    <x v="17"/>
    <n v="-45499788"/>
  </r>
  <r>
    <m/>
    <s v="KC202406"/>
    <m/>
    <m/>
    <s v="Kết chuyển cuối kỳ 64131 --&gt; 9111"/>
    <s v="64131"/>
    <s v="9111"/>
    <n v="147844000"/>
    <m/>
    <m/>
    <m/>
    <s v="6"/>
    <x v="39"/>
    <n v="-147844000"/>
  </r>
  <r>
    <m/>
    <s v="KC202406"/>
    <m/>
    <m/>
    <s v="Kết chuyển cuối kỳ 64111 --&gt; 9111"/>
    <s v="64111"/>
    <s v="9111"/>
    <n v="1953907798"/>
    <m/>
    <m/>
    <m/>
    <s v="6"/>
    <x v="12"/>
    <n v="-1953907798"/>
  </r>
  <r>
    <m/>
    <s v="KC202406"/>
    <m/>
    <m/>
    <s v="Kết chuyển cuối kỳ 641702 --&gt; 9111"/>
    <s v="641702"/>
    <s v="9111"/>
    <n v="13893155"/>
    <m/>
    <m/>
    <m/>
    <s v="6"/>
    <x v="15"/>
    <n v="-13893155"/>
  </r>
  <r>
    <m/>
    <s v="KC202406"/>
    <m/>
    <m/>
    <s v="Kết chuyển cuối kỳ 641704 --&gt; 9111"/>
    <s v="641704"/>
    <s v="9111"/>
    <n v="8730335"/>
    <m/>
    <m/>
    <m/>
    <s v="6"/>
    <x v="16"/>
    <n v="-8730335"/>
  </r>
  <r>
    <m/>
    <s v="KC202406"/>
    <m/>
    <m/>
    <s v="Kết chuyển cuối kỳ 641701 --&gt; 9111"/>
    <s v="641701"/>
    <s v="9111"/>
    <n v="5400000"/>
    <m/>
    <m/>
    <m/>
    <s v="6"/>
    <x v="40"/>
    <n v="-5400000"/>
  </r>
  <r>
    <m/>
    <s v="KC202406"/>
    <m/>
    <m/>
    <s v="Kết chuyển cuối kỳ 641706 --&gt; 9111"/>
    <s v="641706"/>
    <s v="9111"/>
    <n v="4920000"/>
    <m/>
    <m/>
    <m/>
    <s v="6"/>
    <x v="54"/>
    <n v="-4920000"/>
  </r>
  <r>
    <m/>
    <s v="KC202406"/>
    <m/>
    <m/>
    <s v="Kết chuyển cuối kỳ 641809 --&gt; 9111"/>
    <s v="641809"/>
    <s v="9111"/>
    <n v="2148400"/>
    <m/>
    <m/>
    <m/>
    <s v="6"/>
    <x v="18"/>
    <n v="-2148400"/>
  </r>
  <r>
    <m/>
    <s v="KC202406"/>
    <m/>
    <m/>
    <s v="Kết chuyển cuối kỳ 9111 --&gt; 42112"/>
    <s v="42112"/>
    <s v="9111"/>
    <n v="2267029513"/>
    <m/>
    <m/>
    <m/>
    <s v="4"/>
    <x v="80"/>
    <n v="-2267029513"/>
  </r>
  <r>
    <m/>
    <s v="KC202406"/>
    <m/>
    <m/>
    <s v="Kết chuyển cuối kỳ 91122 --&gt; 42122"/>
    <s v="42122"/>
    <s v="91122"/>
    <n v="411910959"/>
    <m/>
    <m/>
    <m/>
    <s v="4"/>
    <x v="81"/>
    <n v="-411910959"/>
  </r>
  <r>
    <m/>
    <s v="KC202407"/>
    <m/>
    <m/>
    <s v="Kết chuyển cuối kỳ 51101030201 --&gt; 9111"/>
    <s v="9111"/>
    <s v="51101030201"/>
    <n v="16020165"/>
    <m/>
    <m/>
    <m/>
    <s v="5"/>
    <x v="1"/>
    <n v="16020165"/>
  </r>
  <r>
    <m/>
    <s v="KC202407"/>
    <m/>
    <m/>
    <s v="Kết chuyển cuối kỳ 63201010301 --&gt; 9111"/>
    <s v="9111"/>
    <s v="63201010301"/>
    <n v="31610000"/>
    <m/>
    <m/>
    <m/>
    <s v="6"/>
    <x v="45"/>
    <n v="31610000"/>
  </r>
  <r>
    <m/>
    <s v="KC202407"/>
    <m/>
    <m/>
    <s v="Kết chuyển cuối kỳ 63208 --&gt; 9111"/>
    <s v="9111"/>
    <s v="63208"/>
    <n v="15423613"/>
    <m/>
    <m/>
    <m/>
    <s v="6"/>
    <x v="47"/>
    <n v="15423613"/>
  </r>
  <r>
    <m/>
    <s v="KC202407"/>
    <m/>
    <m/>
    <s v="Kết chuyển cuối kỳ 63311 --&gt; 9111"/>
    <s v="9111"/>
    <s v="63311"/>
    <n v="161996417"/>
    <m/>
    <m/>
    <m/>
    <s v="6"/>
    <x v="2"/>
    <n v="161996417"/>
  </r>
  <r>
    <m/>
    <s v="KC202407"/>
    <m/>
    <m/>
    <s v="Kết chuyển cuối kỳ 63312 --&gt; 9111"/>
    <s v="9111"/>
    <s v="63312"/>
    <n v="42833334"/>
    <m/>
    <m/>
    <m/>
    <s v="6"/>
    <x v="3"/>
    <n v="42833334"/>
  </r>
  <r>
    <m/>
    <s v="KC202407"/>
    <m/>
    <m/>
    <s v="Kết chuyển cuối kỳ 63313 --&gt; 9111"/>
    <s v="9111"/>
    <s v="63313"/>
    <n v="17948333"/>
    <m/>
    <m/>
    <m/>
    <s v="6"/>
    <x v="4"/>
    <n v="17948333"/>
  </r>
  <r>
    <m/>
    <s v="KC202407"/>
    <m/>
    <m/>
    <s v="Kết chuyển cuối kỳ 6331711 --&gt; 9111"/>
    <s v="9111"/>
    <s v="6331711"/>
    <n v="801793957"/>
    <m/>
    <m/>
    <m/>
    <s v="6"/>
    <x v="5"/>
    <n v="801793957"/>
  </r>
  <r>
    <m/>
    <s v="KC202407"/>
    <m/>
    <m/>
    <s v="Kết chuyển cuối kỳ 6331712 --&gt; 9111"/>
    <s v="9111"/>
    <s v="6331712"/>
    <n v="63794000"/>
    <m/>
    <m/>
    <m/>
    <s v="6"/>
    <x v="6"/>
    <n v="63794000"/>
  </r>
  <r>
    <m/>
    <s v="KC202407"/>
    <m/>
    <m/>
    <s v="Kết chuyển cuối kỳ 633173 --&gt; 9111"/>
    <s v="9111"/>
    <s v="633173"/>
    <n v="433681594"/>
    <m/>
    <m/>
    <m/>
    <s v="6"/>
    <x v="7"/>
    <n v="433681594"/>
  </r>
  <r>
    <m/>
    <s v="KC202407"/>
    <m/>
    <m/>
    <s v="Kết chuyển cuối kỳ 633174 --&gt; 9111"/>
    <s v="9111"/>
    <s v="633174"/>
    <n v="113492635"/>
    <m/>
    <m/>
    <m/>
    <s v="6"/>
    <x v="8"/>
    <n v="113492635"/>
  </r>
  <r>
    <m/>
    <s v="KC202407"/>
    <m/>
    <m/>
    <s v="Kết chuyển cuối kỳ 633175 --&gt; 9111"/>
    <s v="9111"/>
    <s v="633175"/>
    <n v="275508268"/>
    <m/>
    <m/>
    <m/>
    <s v="6"/>
    <x v="9"/>
    <n v="275508268"/>
  </r>
  <r>
    <m/>
    <s v="KC202407"/>
    <m/>
    <m/>
    <s v="Kết chuyển cuối kỳ 6333311 --&gt; 9111"/>
    <s v="9111"/>
    <s v="6333311"/>
    <n v="12000000"/>
    <m/>
    <m/>
    <m/>
    <s v="6"/>
    <x v="49"/>
    <n v="12000000"/>
  </r>
  <r>
    <m/>
    <s v="KC202407"/>
    <m/>
    <m/>
    <s v="Kết chuyển cuối kỳ 6333312 --&gt; 9111"/>
    <s v="9111"/>
    <s v="6333312"/>
    <n v="1410000"/>
    <m/>
    <m/>
    <m/>
    <s v="6"/>
    <x v="48"/>
    <n v="1410000"/>
  </r>
  <r>
    <m/>
    <s v="KC202407"/>
    <m/>
    <m/>
    <s v="Kết chuyển cuối kỳ 63341 --&gt; 9111"/>
    <s v="9111"/>
    <s v="63341"/>
    <n v="17989727"/>
    <m/>
    <m/>
    <m/>
    <s v="6"/>
    <x v="10"/>
    <n v="17989727"/>
  </r>
  <r>
    <m/>
    <s v="KC202407"/>
    <m/>
    <m/>
    <s v="Kết chuyển cuối kỳ 63345 --&gt; 9111"/>
    <s v="9111"/>
    <s v="63345"/>
    <n v="4185455"/>
    <m/>
    <m/>
    <m/>
    <s v="6"/>
    <x v="11"/>
    <n v="4185455"/>
  </r>
  <r>
    <m/>
    <s v="KC202407"/>
    <m/>
    <m/>
    <s v="Kết chuyển cuối kỳ 6352 --&gt; 9111"/>
    <s v="9111"/>
    <s v="6352"/>
    <n v="313296397"/>
    <m/>
    <m/>
    <m/>
    <s v="6"/>
    <x v="50"/>
    <n v="313296397"/>
  </r>
  <r>
    <m/>
    <s v="KC202407"/>
    <m/>
    <m/>
    <s v="Kết chuyển cuối kỳ 64211 --&gt; 9111"/>
    <s v="9111"/>
    <s v="64211"/>
    <n v="1601920991"/>
    <m/>
    <m/>
    <m/>
    <s v="6"/>
    <x v="19"/>
    <n v="1601920991"/>
  </r>
  <r>
    <m/>
    <s v="KC202407"/>
    <m/>
    <m/>
    <s v="Kết chuyển cuối kỳ 64212 --&gt; 9111"/>
    <s v="9111"/>
    <s v="64212"/>
    <n v="91651000"/>
    <m/>
    <m/>
    <m/>
    <s v="6"/>
    <x v="20"/>
    <n v="91651000"/>
  </r>
  <r>
    <m/>
    <s v="KC202407"/>
    <m/>
    <m/>
    <s v="Kết chuyển cuối kỳ 6422 --&gt; 9111"/>
    <s v="9111"/>
    <s v="6422"/>
    <n v="21398153"/>
    <m/>
    <m/>
    <m/>
    <s v="6"/>
    <x v="21"/>
    <n v="21398153"/>
  </r>
  <r>
    <m/>
    <s v="KC202407"/>
    <m/>
    <m/>
    <s v="Kết chuyển cuối kỳ 6423 --&gt; 9111"/>
    <s v="9111"/>
    <s v="6423"/>
    <n v="14855256"/>
    <m/>
    <m/>
    <m/>
    <s v="6"/>
    <x v="22"/>
    <n v="14855256"/>
  </r>
  <r>
    <m/>
    <s v="KC202407"/>
    <m/>
    <m/>
    <s v="Kết chuyển cuối kỳ 6424 --&gt; 9111"/>
    <s v="9111"/>
    <s v="6424"/>
    <n v="97352368"/>
    <m/>
    <m/>
    <m/>
    <s v="6"/>
    <x v="23"/>
    <n v="97352368"/>
  </r>
  <r>
    <m/>
    <s v="KC202407"/>
    <m/>
    <m/>
    <s v="Kết chuyển cuối kỳ 642701 --&gt; 9111"/>
    <s v="9111"/>
    <s v="642701"/>
    <n v="383757892"/>
    <m/>
    <m/>
    <m/>
    <s v="6"/>
    <x v="25"/>
    <n v="383757892"/>
  </r>
  <r>
    <m/>
    <s v="KC202407"/>
    <m/>
    <m/>
    <s v="Kết chuyển cuối kỳ 642702 --&gt; 9111"/>
    <s v="9111"/>
    <s v="642702"/>
    <n v="47172475"/>
    <m/>
    <m/>
    <m/>
    <s v="6"/>
    <x v="26"/>
    <n v="47172475"/>
  </r>
  <r>
    <m/>
    <s v="KC202407"/>
    <m/>
    <m/>
    <s v="Kết chuyển cuối kỳ 642703 --&gt; 9111"/>
    <s v="9111"/>
    <s v="642703"/>
    <n v="3528033"/>
    <m/>
    <m/>
    <m/>
    <s v="6"/>
    <x v="27"/>
    <n v="3528033"/>
  </r>
  <r>
    <m/>
    <s v="KC202407"/>
    <m/>
    <m/>
    <s v="Kết chuyển cuối kỳ 642704 --&gt; 9111"/>
    <s v="9111"/>
    <s v="642704"/>
    <n v="11646667"/>
    <m/>
    <m/>
    <m/>
    <s v="6"/>
    <x v="28"/>
    <n v="11646667"/>
  </r>
  <r>
    <m/>
    <s v="KC202407"/>
    <m/>
    <m/>
    <s v="Kết chuyển cuối kỳ 642706 --&gt; 9111"/>
    <s v="9111"/>
    <s v="642706"/>
    <n v="61528179"/>
    <m/>
    <m/>
    <m/>
    <s v="6"/>
    <x v="29"/>
    <n v="61528179"/>
  </r>
  <r>
    <m/>
    <s v="KC202407"/>
    <m/>
    <m/>
    <s v="Kết chuyển cuối kỳ 642707 --&gt; 9111"/>
    <s v="9111"/>
    <s v="642707"/>
    <n v="305781875"/>
    <m/>
    <m/>
    <m/>
    <s v="6"/>
    <x v="30"/>
    <n v="305781875"/>
  </r>
  <r>
    <m/>
    <s v="KC202407"/>
    <m/>
    <m/>
    <s v="Kết chuyển cuối kỳ 642708 --&gt; 9111"/>
    <s v="9111"/>
    <s v="642708"/>
    <n v="32720112"/>
    <m/>
    <m/>
    <m/>
    <s v="6"/>
    <x v="31"/>
    <n v="32720112"/>
  </r>
  <r>
    <m/>
    <s v="KC202407"/>
    <m/>
    <m/>
    <s v="Kết chuyển cuối kỳ 642709 --&gt; 9111"/>
    <s v="9111"/>
    <s v="642709"/>
    <n v="4131364"/>
    <m/>
    <m/>
    <m/>
    <s v="6"/>
    <x v="32"/>
    <n v="4131364"/>
  </r>
  <r>
    <m/>
    <s v="KC202407"/>
    <m/>
    <m/>
    <s v="Kết chuyển cuối kỳ 642710 --&gt; 9111"/>
    <s v="9111"/>
    <s v="642710"/>
    <n v="316363"/>
    <m/>
    <m/>
    <m/>
    <s v="6"/>
    <x v="33"/>
    <n v="316363"/>
  </r>
  <r>
    <m/>
    <s v="KC202407"/>
    <m/>
    <m/>
    <s v="Kết chuyển cuối kỳ 642711 --&gt; 9111"/>
    <s v="9111"/>
    <s v="642711"/>
    <n v="19660175"/>
    <m/>
    <m/>
    <m/>
    <s v="6"/>
    <x v="34"/>
    <n v="19660175"/>
  </r>
  <r>
    <m/>
    <s v="KC202407"/>
    <m/>
    <m/>
    <s v="Kết chuyển cuối kỳ 642712 --&gt; 9111"/>
    <s v="9111"/>
    <s v="642712"/>
    <n v="3928100"/>
    <m/>
    <m/>
    <m/>
    <s v="6"/>
    <x v="35"/>
    <n v="3928100"/>
  </r>
  <r>
    <m/>
    <s v="KC202407"/>
    <m/>
    <m/>
    <s v="Kết chuyển cuối kỳ 642713 --&gt; 9111"/>
    <s v="9111"/>
    <s v="642713"/>
    <n v="17400000"/>
    <m/>
    <m/>
    <m/>
    <s v="6"/>
    <x v="64"/>
    <n v="17400000"/>
  </r>
  <r>
    <m/>
    <s v="KC202407"/>
    <m/>
    <m/>
    <s v="Kết chuyển cuối kỳ 642714 --&gt; 9111"/>
    <s v="9111"/>
    <s v="642714"/>
    <n v="34460429"/>
    <m/>
    <m/>
    <m/>
    <s v="6"/>
    <x v="66"/>
    <n v="34460429"/>
  </r>
  <r>
    <m/>
    <s v="KC202407"/>
    <m/>
    <m/>
    <s v="Kết chuyển cuối kỳ 642715 --&gt; 9111"/>
    <s v="9111"/>
    <s v="642715"/>
    <n v="102140509"/>
    <m/>
    <m/>
    <m/>
    <s v="6"/>
    <x v="65"/>
    <n v="102140509"/>
  </r>
  <r>
    <m/>
    <s v="KC202407"/>
    <m/>
    <m/>
    <s v="Kết chuyển cuối kỳ 642716 --&gt; 9111"/>
    <s v="9111"/>
    <s v="642716"/>
    <n v="93960000"/>
    <m/>
    <m/>
    <m/>
    <s v="6"/>
    <x v="60"/>
    <n v="93960000"/>
  </r>
  <r>
    <m/>
    <s v="KC202407"/>
    <m/>
    <m/>
    <s v="Kết chuyển cuối kỳ 642717 --&gt; 9111"/>
    <s v="9111"/>
    <s v="642717"/>
    <n v="45748800"/>
    <m/>
    <m/>
    <m/>
    <s v="6"/>
    <x v="63"/>
    <n v="45748800"/>
  </r>
  <r>
    <m/>
    <s v="KC202407"/>
    <m/>
    <m/>
    <s v="Kết chuyển cuối kỳ 642718 --&gt; 9111"/>
    <s v="9111"/>
    <s v="642718"/>
    <n v="7968886"/>
    <m/>
    <m/>
    <m/>
    <s v="6"/>
    <x v="67"/>
    <n v="7968886"/>
  </r>
  <r>
    <m/>
    <s v="KC202407"/>
    <m/>
    <m/>
    <s v="Kết chuyển cuối kỳ 642799 --&gt; 9111"/>
    <s v="9111"/>
    <s v="642799"/>
    <n v="6794266"/>
    <m/>
    <m/>
    <m/>
    <s v="6"/>
    <x v="36"/>
    <n v="6794266"/>
  </r>
  <r>
    <m/>
    <s v="KC202407"/>
    <m/>
    <m/>
    <s v="Kết chuyển cuối kỳ 642801 --&gt; 9111"/>
    <s v="9111"/>
    <s v="642801"/>
    <n v="1210000"/>
    <m/>
    <m/>
    <m/>
    <s v="6"/>
    <x v="58"/>
    <n v="1210000"/>
  </r>
  <r>
    <m/>
    <s v="KC202407"/>
    <m/>
    <m/>
    <s v="Kết chuyển cuối kỳ 642804 --&gt; 9111"/>
    <s v="9111"/>
    <s v="642804"/>
    <n v="4035934"/>
    <m/>
    <m/>
    <m/>
    <s v="6"/>
    <x v="68"/>
    <n v="4035934"/>
  </r>
  <r>
    <m/>
    <s v="KC202407"/>
    <m/>
    <m/>
    <s v="Kết chuyển cuối kỳ 642805 --&gt; 9111"/>
    <s v="9111"/>
    <s v="642805"/>
    <n v="4998"/>
    <m/>
    <m/>
    <m/>
    <s v="6"/>
    <x v="62"/>
    <n v="4998"/>
  </r>
  <r>
    <m/>
    <s v="KC202407"/>
    <m/>
    <m/>
    <s v="Kết chuyển cuối kỳ 642899 --&gt; 9111"/>
    <s v="9111"/>
    <s v="642899"/>
    <n v="44781538"/>
    <m/>
    <m/>
    <m/>
    <s v="6"/>
    <x v="41"/>
    <n v="44781538"/>
  </r>
  <r>
    <m/>
    <s v="KC202407"/>
    <m/>
    <m/>
    <s v="Kết chuyển cuối kỳ 91122 --&gt; 42122"/>
    <s v="91122"/>
    <s v="42122"/>
    <n v="411910959"/>
    <m/>
    <m/>
    <m/>
    <s v="4"/>
    <x v="81"/>
    <n v="411910959"/>
  </r>
  <r>
    <m/>
    <s v="KC202407"/>
    <m/>
    <m/>
    <s v="Kết chuyển cuối kỳ 51101010306 --&gt; 9111"/>
    <s v="51101010306"/>
    <s v="9111"/>
    <n v="264511123"/>
    <m/>
    <m/>
    <m/>
    <s v="5"/>
    <x v="69"/>
    <n v="-264511123"/>
  </r>
  <r>
    <m/>
    <s v="KC202407"/>
    <m/>
    <m/>
    <s v="Kết chuyển cuối kỳ 51101030202 --&gt; 9111"/>
    <s v="51101030202"/>
    <s v="9111"/>
    <n v="1200931507"/>
    <m/>
    <m/>
    <m/>
    <s v="5"/>
    <x v="70"/>
    <n v="-1200931507"/>
  </r>
  <r>
    <m/>
    <s v="KC202407"/>
    <m/>
    <m/>
    <s v="Kết chuyển cuối kỳ 51101030203 --&gt; 9111"/>
    <s v="51101030203"/>
    <s v="9111"/>
    <n v="57534247"/>
    <m/>
    <m/>
    <m/>
    <s v="5"/>
    <x v="37"/>
    <n v="-57534247"/>
  </r>
  <r>
    <m/>
    <s v="KC202407"/>
    <m/>
    <m/>
    <s v="Kết chuyển cuối kỳ 5110208 --&gt; 9111"/>
    <s v="5110208"/>
    <s v="9111"/>
    <n v="107087601"/>
    <m/>
    <m/>
    <m/>
    <s v="5"/>
    <x v="84"/>
    <n v="-107087601"/>
  </r>
  <r>
    <m/>
    <s v="KC202407"/>
    <m/>
    <m/>
    <s v="Kết chuyển cuối kỳ 511030101 --&gt; 9111"/>
    <s v="511030101"/>
    <s v="9111"/>
    <n v="1230919723"/>
    <m/>
    <m/>
    <m/>
    <s v="5"/>
    <x v="71"/>
    <n v="-1230919723"/>
  </r>
  <r>
    <m/>
    <s v="KC202407"/>
    <m/>
    <m/>
    <s v="Kết chuyển cuối kỳ 511030201 --&gt; 9111"/>
    <s v="511030201"/>
    <s v="9111"/>
    <n v="111780832"/>
    <m/>
    <m/>
    <m/>
    <s v="5"/>
    <x v="72"/>
    <n v="-111780832"/>
  </r>
  <r>
    <m/>
    <s v="KC202407"/>
    <m/>
    <m/>
    <s v="Kết chuyển cuối kỳ 5110501 --&gt; 9111"/>
    <s v="5110501"/>
    <s v="9111"/>
    <n v="607941501"/>
    <m/>
    <m/>
    <m/>
    <s v="5"/>
    <x v="73"/>
    <n v="-607941501"/>
  </r>
  <r>
    <m/>
    <s v="KC202407"/>
    <m/>
    <m/>
    <s v="Kết chuyển cuối kỳ 5110508 --&gt; 9111"/>
    <s v="5110508"/>
    <s v="9111"/>
    <n v="93860449"/>
    <m/>
    <m/>
    <m/>
    <s v="5"/>
    <x v="74"/>
    <n v="-93860449"/>
  </r>
  <r>
    <m/>
    <s v="KC202407"/>
    <m/>
    <m/>
    <s v="Kết chuyển cuối kỳ 5110701 --&gt; 9111"/>
    <s v="5110701"/>
    <s v="9111"/>
    <n v="17622000"/>
    <m/>
    <m/>
    <m/>
    <s v="5"/>
    <x v="83"/>
    <n v="-17622000"/>
  </r>
  <r>
    <m/>
    <s v="KC202407"/>
    <m/>
    <m/>
    <s v="Kết chuyển cuối kỳ 5110801 --&gt; 9111"/>
    <s v="5110801"/>
    <s v="9111"/>
    <n v="17763134"/>
    <m/>
    <m/>
    <m/>
    <s v="5"/>
    <x v="75"/>
    <n v="-17763134"/>
  </r>
  <r>
    <m/>
    <s v="KC202407"/>
    <m/>
    <m/>
    <s v="Kết chuyển cuối kỳ 5110802 --&gt; 9111"/>
    <s v="5110802"/>
    <s v="9111"/>
    <n v="3902921"/>
    <m/>
    <m/>
    <m/>
    <s v="5"/>
    <x v="76"/>
    <n v="-3902921"/>
  </r>
  <r>
    <m/>
    <s v="KC202407"/>
    <m/>
    <m/>
    <s v="Kết chuyển cuối kỳ 5152 --&gt; 9111"/>
    <s v="5152"/>
    <s v="9111"/>
    <n v="3266908"/>
    <m/>
    <m/>
    <m/>
    <s v="5"/>
    <x v="78"/>
    <n v="-3266908"/>
  </r>
  <r>
    <m/>
    <s v="KC202407"/>
    <m/>
    <m/>
    <s v="Kết chuyển cuối kỳ 63201030301 --&gt; 91122"/>
    <s v="63201030301"/>
    <s v="91122"/>
    <n v="27253425"/>
    <m/>
    <m/>
    <m/>
    <s v="6"/>
    <x v="56"/>
    <n v="-27253425"/>
  </r>
  <r>
    <m/>
    <s v="KC202407"/>
    <m/>
    <m/>
    <s v="Kết chuyển cuối kỳ 63201030306 --&gt; 91122"/>
    <s v="63201030306"/>
    <s v="91122"/>
    <n v="384657534"/>
    <m/>
    <m/>
    <m/>
    <s v="6"/>
    <x v="55"/>
    <n v="-384657534"/>
  </r>
  <r>
    <m/>
    <s v="KC202407"/>
    <m/>
    <m/>
    <s v="Kết chuyển cuối kỳ 7114 --&gt; 9111"/>
    <s v="7114"/>
    <s v="9111"/>
    <n v="2360000"/>
    <m/>
    <m/>
    <m/>
    <s v="7"/>
    <x v="79"/>
    <n v="-2360000"/>
  </r>
  <r>
    <m/>
    <s v="KC202407"/>
    <m/>
    <m/>
    <s v="Kết chuyển cuối kỳ 9111 --&gt; 42112"/>
    <s v="42112"/>
    <s v="9111"/>
    <n v="1663356312"/>
    <m/>
    <m/>
    <m/>
    <s v="4"/>
    <x v="80"/>
    <n v="-1663356312"/>
  </r>
  <r>
    <m/>
    <s v="KC202408"/>
    <m/>
    <m/>
    <s v="Kết chuyển cuối kỳ 63201010406 --&gt; 9111"/>
    <s v="9111"/>
    <s v="63201010406"/>
    <n v="446354110"/>
    <m/>
    <m/>
    <m/>
    <s v="6"/>
    <x v="86"/>
    <n v="446354110"/>
  </r>
  <r>
    <m/>
    <s v="KC202408"/>
    <m/>
    <m/>
    <s v="Kết chuyển cuối kỳ 63311 --&gt; 9111"/>
    <s v="9111"/>
    <s v="63311"/>
    <n v="153234970"/>
    <m/>
    <m/>
    <m/>
    <s v="6"/>
    <x v="2"/>
    <n v="153234970"/>
  </r>
  <r>
    <m/>
    <s v="KC202408"/>
    <m/>
    <m/>
    <s v="Kết chuyển cuối kỳ 63312 --&gt; 9111"/>
    <s v="9111"/>
    <s v="63312"/>
    <n v="42833334"/>
    <m/>
    <m/>
    <m/>
    <s v="6"/>
    <x v="3"/>
    <n v="42833334"/>
  </r>
  <r>
    <m/>
    <s v="KC202408"/>
    <m/>
    <m/>
    <s v="Kết chuyển cuối kỳ 63313 --&gt; 9111"/>
    <s v="9111"/>
    <s v="63313"/>
    <n v="17948333"/>
    <m/>
    <m/>
    <m/>
    <s v="6"/>
    <x v="4"/>
    <n v="17948333"/>
  </r>
  <r>
    <m/>
    <s v="KC202408"/>
    <m/>
    <m/>
    <s v="Kết chuyển cuối kỳ 6331711 --&gt; 9111"/>
    <s v="9111"/>
    <s v="6331711"/>
    <n v="1032987858"/>
    <m/>
    <m/>
    <m/>
    <s v="6"/>
    <x v="5"/>
    <n v="1032987858"/>
  </r>
  <r>
    <m/>
    <s v="KC202408"/>
    <m/>
    <m/>
    <s v="Kết chuyển cuối kỳ 6331712 --&gt; 9111"/>
    <s v="9111"/>
    <s v="6331712"/>
    <n v="65204000"/>
    <m/>
    <m/>
    <m/>
    <s v="6"/>
    <x v="6"/>
    <n v="65204000"/>
  </r>
  <r>
    <m/>
    <s v="KC202408"/>
    <m/>
    <m/>
    <s v="Kết chuyển cuối kỳ 633173 --&gt; 9111"/>
    <s v="9111"/>
    <s v="633173"/>
    <n v="433681594"/>
    <m/>
    <m/>
    <m/>
    <s v="6"/>
    <x v="7"/>
    <n v="433681594"/>
  </r>
  <r>
    <m/>
    <s v="KC202408"/>
    <m/>
    <m/>
    <s v="Kết chuyển cuối kỳ 633174 --&gt; 9111"/>
    <s v="9111"/>
    <s v="633174"/>
    <n v="113492635"/>
    <m/>
    <m/>
    <m/>
    <s v="6"/>
    <x v="8"/>
    <n v="113492635"/>
  </r>
  <r>
    <m/>
    <s v="KC202408"/>
    <m/>
    <m/>
    <s v="Kết chuyển cuối kỳ 633175 --&gt; 9111"/>
    <s v="9111"/>
    <s v="633175"/>
    <n v="267174933"/>
    <m/>
    <m/>
    <m/>
    <s v="6"/>
    <x v="9"/>
    <n v="267174933"/>
  </r>
  <r>
    <m/>
    <s v="KC202408"/>
    <m/>
    <m/>
    <s v="Kết chuyển cuối kỳ 6333311 --&gt; 9111"/>
    <s v="9111"/>
    <s v="6333311"/>
    <n v="12488297"/>
    <m/>
    <m/>
    <m/>
    <s v="6"/>
    <x v="49"/>
    <n v="12488297"/>
  </r>
  <r>
    <m/>
    <s v="KC202408"/>
    <m/>
    <m/>
    <s v="Kết chuyển cuối kỳ 6333312 --&gt; 9111"/>
    <s v="9111"/>
    <s v="6333312"/>
    <n v="1410000"/>
    <m/>
    <m/>
    <m/>
    <s v="6"/>
    <x v="48"/>
    <n v="1410000"/>
  </r>
  <r>
    <m/>
    <s v="KC202408"/>
    <m/>
    <m/>
    <s v="Kết chuyển cuối kỳ 63341 --&gt; 9111"/>
    <s v="9111"/>
    <s v="63341"/>
    <n v="18270287"/>
    <m/>
    <m/>
    <m/>
    <s v="6"/>
    <x v="10"/>
    <n v="18270287"/>
  </r>
  <r>
    <m/>
    <s v="KC202408"/>
    <m/>
    <m/>
    <s v="Kết chuyển cuối kỳ 63345 --&gt; 9111"/>
    <s v="9111"/>
    <s v="63345"/>
    <n v="3575018"/>
    <m/>
    <m/>
    <m/>
    <s v="6"/>
    <x v="11"/>
    <n v="3575018"/>
  </r>
  <r>
    <m/>
    <s v="KC202408"/>
    <m/>
    <m/>
    <s v="Kết chuyển cuối kỳ 6352 --&gt; 9111"/>
    <s v="9111"/>
    <s v="6352"/>
    <n v="277046576"/>
    <m/>
    <m/>
    <m/>
    <s v="6"/>
    <x v="50"/>
    <n v="277046576"/>
  </r>
  <r>
    <m/>
    <s v="KC202408"/>
    <m/>
    <m/>
    <s v="Kết chuyển cuối kỳ 64211 --&gt; 9111"/>
    <s v="9111"/>
    <s v="64211"/>
    <n v="1494255247"/>
    <m/>
    <m/>
    <m/>
    <s v="6"/>
    <x v="19"/>
    <n v="1494255247"/>
  </r>
  <r>
    <m/>
    <s v="KC202408"/>
    <m/>
    <m/>
    <s v="Kết chuyển cuối kỳ 64212 --&gt; 9111"/>
    <s v="9111"/>
    <s v="64212"/>
    <n v="91651000"/>
    <m/>
    <m/>
    <m/>
    <s v="6"/>
    <x v="20"/>
    <n v="91651000"/>
  </r>
  <r>
    <m/>
    <s v="KC202408"/>
    <m/>
    <m/>
    <s v="Kết chuyển cuối kỳ 6422 --&gt; 9111"/>
    <s v="9111"/>
    <s v="6422"/>
    <n v="39250142"/>
    <m/>
    <m/>
    <m/>
    <s v="6"/>
    <x v="21"/>
    <n v="39250142"/>
  </r>
  <r>
    <m/>
    <s v="KC202408"/>
    <m/>
    <m/>
    <s v="Kết chuyển cuối kỳ 6423 --&gt; 9111"/>
    <s v="9111"/>
    <s v="6423"/>
    <n v="63967256"/>
    <m/>
    <m/>
    <m/>
    <s v="6"/>
    <x v="22"/>
    <n v="63967256"/>
  </r>
  <r>
    <m/>
    <s v="KC202408"/>
    <m/>
    <m/>
    <s v="Kết chuyển cuối kỳ 6424 --&gt; 9111"/>
    <s v="9111"/>
    <s v="6424"/>
    <n v="96113737"/>
    <m/>
    <m/>
    <m/>
    <s v="6"/>
    <x v="23"/>
    <n v="96113737"/>
  </r>
  <r>
    <m/>
    <s v="KC202408"/>
    <m/>
    <m/>
    <s v="Kết chuyển cuối kỳ 6425 --&gt; 9111"/>
    <s v="9111"/>
    <s v="6425"/>
    <n v="7000"/>
    <m/>
    <m/>
    <m/>
    <s v="6"/>
    <x v="24"/>
    <n v="7000"/>
  </r>
  <r>
    <m/>
    <s v="KC202408"/>
    <m/>
    <m/>
    <s v="Kết chuyển cuối kỳ 642701 --&gt; 9111"/>
    <s v="9111"/>
    <s v="642701"/>
    <n v="379556053"/>
    <m/>
    <m/>
    <m/>
    <s v="6"/>
    <x v="25"/>
    <n v="379556053"/>
  </r>
  <r>
    <m/>
    <s v="KC202408"/>
    <m/>
    <m/>
    <s v="Kết chuyển cuối kỳ 642702 --&gt; 9111"/>
    <s v="9111"/>
    <s v="642702"/>
    <n v="32457094"/>
    <m/>
    <m/>
    <m/>
    <s v="6"/>
    <x v="26"/>
    <n v="32457094"/>
  </r>
  <r>
    <m/>
    <s v="KC202408"/>
    <m/>
    <m/>
    <s v="Kết chuyển cuối kỳ 642703 --&gt; 9111"/>
    <s v="9111"/>
    <s v="642703"/>
    <n v="4283332"/>
    <m/>
    <m/>
    <m/>
    <s v="6"/>
    <x v="27"/>
    <n v="4283332"/>
  </r>
  <r>
    <m/>
    <s v="KC202408"/>
    <m/>
    <m/>
    <s v="Kết chuyển cuối kỳ 642704 --&gt; 9111"/>
    <s v="9111"/>
    <s v="642704"/>
    <n v="16746667"/>
    <m/>
    <m/>
    <m/>
    <s v="6"/>
    <x v="28"/>
    <n v="16746667"/>
  </r>
  <r>
    <m/>
    <s v="KC202408"/>
    <m/>
    <m/>
    <s v="Kết chuyển cuối kỳ 642706 --&gt; 9111"/>
    <s v="9111"/>
    <s v="642706"/>
    <n v="37744473"/>
    <m/>
    <m/>
    <m/>
    <s v="6"/>
    <x v="29"/>
    <n v="37744473"/>
  </r>
  <r>
    <m/>
    <s v="KC202408"/>
    <m/>
    <m/>
    <s v="Kết chuyển cuối kỳ 642707 --&gt; 9111"/>
    <s v="9111"/>
    <s v="642707"/>
    <n v="43886651"/>
    <m/>
    <m/>
    <m/>
    <s v="6"/>
    <x v="30"/>
    <n v="43886651"/>
  </r>
  <r>
    <m/>
    <s v="KC202408"/>
    <m/>
    <m/>
    <s v="Kết chuyển cuối kỳ 642708 --&gt; 9111"/>
    <s v="9111"/>
    <s v="642708"/>
    <n v="83423858"/>
    <m/>
    <m/>
    <m/>
    <s v="6"/>
    <x v="31"/>
    <n v="83423858"/>
  </r>
  <r>
    <m/>
    <s v="KC202408"/>
    <m/>
    <m/>
    <s v="Kết chuyển cuối kỳ 642709 --&gt; 9111"/>
    <s v="9111"/>
    <s v="642709"/>
    <n v="6604762"/>
    <m/>
    <m/>
    <m/>
    <s v="6"/>
    <x v="32"/>
    <n v="6604762"/>
  </r>
  <r>
    <m/>
    <s v="KC202408"/>
    <m/>
    <m/>
    <s v="Kết chuyển cuối kỳ 642711 --&gt; 9111"/>
    <s v="9111"/>
    <s v="642711"/>
    <n v="11742875"/>
    <m/>
    <m/>
    <m/>
    <s v="6"/>
    <x v="34"/>
    <n v="11742875"/>
  </r>
  <r>
    <m/>
    <s v="KC202408"/>
    <m/>
    <m/>
    <s v="Kết chuyển cuối kỳ 642712 --&gt; 9111"/>
    <s v="9111"/>
    <s v="642712"/>
    <n v="562100"/>
    <m/>
    <m/>
    <m/>
    <s v="6"/>
    <x v="35"/>
    <n v="562100"/>
  </r>
  <r>
    <m/>
    <s v="KC202408"/>
    <m/>
    <m/>
    <s v="Kết chuyển cuối kỳ 642713 --&gt; 9111"/>
    <s v="9111"/>
    <s v="642713"/>
    <n v="173064600"/>
    <m/>
    <m/>
    <m/>
    <s v="6"/>
    <x v="64"/>
    <n v="173064600"/>
  </r>
  <r>
    <m/>
    <s v="KC202408"/>
    <m/>
    <m/>
    <s v="Kết chuyển cuối kỳ 642714 --&gt; 9111"/>
    <s v="9111"/>
    <s v="642714"/>
    <n v="6804249"/>
    <m/>
    <m/>
    <m/>
    <s v="6"/>
    <x v="66"/>
    <n v="6804249"/>
  </r>
  <r>
    <m/>
    <s v="KC202408"/>
    <m/>
    <m/>
    <s v="Kết chuyển cuối kỳ 642715 --&gt; 9111"/>
    <s v="9111"/>
    <s v="642715"/>
    <n v="54000000"/>
    <m/>
    <m/>
    <m/>
    <s v="6"/>
    <x v="65"/>
    <n v="54000000"/>
  </r>
  <r>
    <m/>
    <s v="KC202408"/>
    <m/>
    <m/>
    <s v="Kết chuyển cuối kỳ 642718 --&gt; 9111"/>
    <s v="9111"/>
    <s v="642718"/>
    <n v="10226664"/>
    <m/>
    <m/>
    <m/>
    <s v="6"/>
    <x v="67"/>
    <n v="10226664"/>
  </r>
  <r>
    <m/>
    <s v="KC202408"/>
    <m/>
    <m/>
    <s v="Kết chuyển cuối kỳ 642799 --&gt; 9111"/>
    <s v="9111"/>
    <s v="642799"/>
    <n v="8113393"/>
    <m/>
    <m/>
    <m/>
    <s v="6"/>
    <x v="36"/>
    <n v="8113393"/>
  </r>
  <r>
    <m/>
    <s v="KC202408"/>
    <m/>
    <m/>
    <s v="Kết chuyển cuối kỳ 642802 --&gt; 9111"/>
    <s v="9111"/>
    <s v="642802"/>
    <n v="2000000"/>
    <m/>
    <m/>
    <m/>
    <s v="6"/>
    <x v="61"/>
    <n v="2000000"/>
  </r>
  <r>
    <m/>
    <s v="KC202408"/>
    <m/>
    <m/>
    <s v="Kết chuyển cuối kỳ 642803 --&gt; 9111"/>
    <s v="9111"/>
    <s v="642803"/>
    <n v="7882222"/>
    <m/>
    <m/>
    <m/>
    <s v="6"/>
    <x v="59"/>
    <n v="7882222"/>
  </r>
  <r>
    <m/>
    <s v="KC202408"/>
    <m/>
    <m/>
    <s v="Kết chuyển cuối kỳ 642804 --&gt; 9111"/>
    <s v="9111"/>
    <s v="642804"/>
    <n v="6530132"/>
    <m/>
    <m/>
    <m/>
    <s v="6"/>
    <x v="68"/>
    <n v="6530132"/>
  </r>
  <r>
    <m/>
    <s v="KC202408"/>
    <m/>
    <m/>
    <s v="Kết chuyển cuối kỳ 642805 --&gt; 9111"/>
    <s v="9111"/>
    <s v="642805"/>
    <n v="7905600"/>
    <m/>
    <m/>
    <m/>
    <s v="6"/>
    <x v="62"/>
    <n v="7905600"/>
  </r>
  <r>
    <m/>
    <s v="KC202408"/>
    <m/>
    <m/>
    <s v="Kết chuyển cuối kỳ 642899 --&gt; 9111"/>
    <s v="9111"/>
    <s v="642899"/>
    <n v="46844046"/>
    <m/>
    <m/>
    <m/>
    <s v="6"/>
    <x v="41"/>
    <n v="46844046"/>
  </r>
  <r>
    <m/>
    <s v="KC202408"/>
    <m/>
    <m/>
    <s v="Kết chuyển cuối kỳ 51101030201 --&gt; 9111"/>
    <s v="51101030201"/>
    <s v="9111"/>
    <n v="87156164"/>
    <m/>
    <m/>
    <m/>
    <s v="5"/>
    <x v="1"/>
    <n v="-87156164"/>
  </r>
  <r>
    <m/>
    <s v="KC202408"/>
    <m/>
    <m/>
    <s v="Kết chuyển cuối kỳ 51101030202 --&gt; 9111"/>
    <s v="51101030202"/>
    <s v="9111"/>
    <n v="933123289"/>
    <m/>
    <m/>
    <m/>
    <s v="5"/>
    <x v="70"/>
    <n v="-933123289"/>
  </r>
  <r>
    <m/>
    <s v="KC202408"/>
    <m/>
    <m/>
    <s v="Kết chuyển cuối kỳ 51101030203 --&gt; 9111"/>
    <s v="51101030203"/>
    <s v="9111"/>
    <n v="297260274"/>
    <m/>
    <m/>
    <m/>
    <s v="5"/>
    <x v="37"/>
    <n v="-297260274"/>
  </r>
  <r>
    <m/>
    <s v="KC202408"/>
    <m/>
    <m/>
    <s v="Kết chuyển cuối kỳ 5110208 --&gt; 9111"/>
    <s v="5110208"/>
    <s v="9111"/>
    <n v="53917808"/>
    <m/>
    <m/>
    <m/>
    <s v="5"/>
    <x v="84"/>
    <n v="-53917808"/>
  </r>
  <r>
    <m/>
    <s v="KC202408"/>
    <m/>
    <m/>
    <s v="Kết chuyển cuối kỳ 511030101 --&gt; 9111"/>
    <s v="511030101"/>
    <s v="9111"/>
    <n v="1252843324"/>
    <m/>
    <m/>
    <m/>
    <s v="5"/>
    <x v="71"/>
    <n v="-1252843324"/>
  </r>
  <r>
    <m/>
    <s v="KC202408"/>
    <m/>
    <m/>
    <s v="Kết chuyển cuối kỳ 511030201 --&gt; 9111"/>
    <s v="511030201"/>
    <s v="9111"/>
    <n v="106816987"/>
    <m/>
    <m/>
    <m/>
    <s v="5"/>
    <x v="72"/>
    <n v="-106816987"/>
  </r>
  <r>
    <m/>
    <s v="KC202408"/>
    <m/>
    <m/>
    <s v="Kết chuyển cuối kỳ 5110501 --&gt; 9111"/>
    <s v="5110501"/>
    <s v="9111"/>
    <n v="625659687"/>
    <m/>
    <m/>
    <m/>
    <s v="5"/>
    <x v="73"/>
    <n v="-625659687"/>
  </r>
  <r>
    <m/>
    <s v="KC202408"/>
    <m/>
    <m/>
    <s v="Kết chuyển cuối kỳ 5110508 --&gt; 9111"/>
    <s v="5110508"/>
    <s v="9111"/>
    <n v="72926549"/>
    <m/>
    <m/>
    <m/>
    <s v="5"/>
    <x v="74"/>
    <n v="-72926549"/>
  </r>
  <r>
    <m/>
    <s v="KC202408"/>
    <m/>
    <m/>
    <s v="Kết chuyển cuối kỳ 5110701 --&gt; 9111"/>
    <s v="5110701"/>
    <s v="9111"/>
    <n v="11385000"/>
    <m/>
    <m/>
    <m/>
    <s v="5"/>
    <x v="83"/>
    <n v="-11385000"/>
  </r>
  <r>
    <m/>
    <s v="KC202408"/>
    <m/>
    <m/>
    <s v="Kết chuyển cuối kỳ 5110801 --&gt; 9111"/>
    <s v="5110801"/>
    <s v="9111"/>
    <n v="17888520"/>
    <m/>
    <m/>
    <m/>
    <s v="5"/>
    <x v="75"/>
    <n v="-17888520"/>
  </r>
  <r>
    <m/>
    <s v="KC202408"/>
    <m/>
    <m/>
    <s v="Kết chuyển cuối kỳ 5110802 --&gt; 9111"/>
    <s v="5110802"/>
    <s v="9111"/>
    <n v="3376637"/>
    <m/>
    <m/>
    <m/>
    <s v="5"/>
    <x v="76"/>
    <n v="-3376637"/>
  </r>
  <r>
    <m/>
    <s v="KC202408"/>
    <m/>
    <m/>
    <s v="Kết chuyển cuối kỳ 5152 --&gt; 9111"/>
    <s v="5152"/>
    <s v="9111"/>
    <n v="1121302"/>
    <m/>
    <m/>
    <m/>
    <s v="5"/>
    <x v="78"/>
    <n v="-1121302"/>
  </r>
  <r>
    <m/>
    <s v="KC202408"/>
    <m/>
    <m/>
    <s v="Kết chuyển cuối kỳ 9111 --&gt; 42112"/>
    <s v="42112"/>
    <s v="9111"/>
    <n v="2147849557"/>
    <m/>
    <m/>
    <m/>
    <s v="4"/>
    <x v="80"/>
    <n v="-2147849557"/>
  </r>
  <r>
    <m/>
    <s v="KC202409"/>
    <m/>
    <m/>
    <s v="Kết chuyển cuối kỳ 51101030201 --&gt; 9111"/>
    <s v="9111"/>
    <s v="51101030201"/>
    <n v="59210959"/>
    <m/>
    <m/>
    <m/>
    <s v="5"/>
    <x v="1"/>
    <n v="59210959"/>
  </r>
  <r>
    <m/>
    <s v="KC202409"/>
    <m/>
    <m/>
    <s v="Kết chuyển cuối kỳ 63208 --&gt; 9111"/>
    <s v="9111"/>
    <s v="63208"/>
    <n v="5883650"/>
    <m/>
    <m/>
    <m/>
    <s v="6"/>
    <x v="47"/>
    <n v="5883650"/>
  </r>
  <r>
    <m/>
    <s v="KC202409"/>
    <m/>
    <m/>
    <s v="Kết chuyển cuối kỳ 63311 --&gt; 9111"/>
    <s v="9111"/>
    <s v="63311"/>
    <n v="121172528"/>
    <m/>
    <m/>
    <m/>
    <s v="6"/>
    <x v="2"/>
    <n v="121172528"/>
  </r>
  <r>
    <m/>
    <s v="KC202409"/>
    <m/>
    <m/>
    <s v="Kết chuyển cuối kỳ 63312 --&gt; 9111"/>
    <s v="9111"/>
    <s v="63312"/>
    <n v="42833334"/>
    <m/>
    <m/>
    <m/>
    <s v="6"/>
    <x v="3"/>
    <n v="42833334"/>
  </r>
  <r>
    <m/>
    <s v="KC202409"/>
    <m/>
    <m/>
    <s v="Kết chuyển cuối kỳ 63313 --&gt; 9111"/>
    <s v="9111"/>
    <s v="63313"/>
    <n v="17948333"/>
    <m/>
    <m/>
    <m/>
    <s v="6"/>
    <x v="4"/>
    <n v="17948333"/>
  </r>
  <r>
    <m/>
    <s v="KC202409"/>
    <m/>
    <m/>
    <s v="Kết chuyển cuối kỳ 6331711 --&gt; 9111"/>
    <s v="9111"/>
    <s v="6331711"/>
    <n v="983184678"/>
    <m/>
    <m/>
    <m/>
    <s v="6"/>
    <x v="5"/>
    <n v="983184678"/>
  </r>
  <r>
    <m/>
    <s v="KC202409"/>
    <m/>
    <m/>
    <s v="Kết chuyển cuối kỳ 6331712 --&gt; 9111"/>
    <s v="9111"/>
    <s v="6331712"/>
    <n v="65204000"/>
    <m/>
    <m/>
    <m/>
    <s v="6"/>
    <x v="6"/>
    <n v="65204000"/>
  </r>
  <r>
    <m/>
    <s v="KC202409"/>
    <m/>
    <m/>
    <s v="Kết chuyển cuối kỳ 633173 --&gt; 9111"/>
    <s v="9111"/>
    <s v="633173"/>
    <n v="448930719"/>
    <m/>
    <m/>
    <m/>
    <s v="6"/>
    <x v="7"/>
    <n v="448930719"/>
  </r>
  <r>
    <m/>
    <s v="KC202409"/>
    <m/>
    <m/>
    <s v="Kết chuyển cuối kỳ 633174 --&gt; 9111"/>
    <s v="9111"/>
    <s v="633174"/>
    <n v="113492635"/>
    <m/>
    <m/>
    <m/>
    <s v="6"/>
    <x v="8"/>
    <n v="113492635"/>
  </r>
  <r>
    <m/>
    <s v="KC202409"/>
    <m/>
    <m/>
    <s v="Kết chuyển cuối kỳ 633175 --&gt; 9111"/>
    <s v="9111"/>
    <s v="633175"/>
    <n v="611061599"/>
    <m/>
    <m/>
    <m/>
    <s v="6"/>
    <x v="9"/>
    <n v="611061599"/>
  </r>
  <r>
    <m/>
    <s v="KC202409"/>
    <m/>
    <m/>
    <s v="Kết chuyển cuối kỳ 6333311 --&gt; 9111"/>
    <s v="9111"/>
    <s v="6333311"/>
    <n v="12000000"/>
    <m/>
    <m/>
    <m/>
    <s v="6"/>
    <x v="49"/>
    <n v="12000000"/>
  </r>
  <r>
    <m/>
    <s v="KC202409"/>
    <m/>
    <m/>
    <s v="Kết chuyển cuối kỳ 6333312 --&gt; 9111"/>
    <s v="9111"/>
    <s v="6333312"/>
    <n v="1410000"/>
    <m/>
    <m/>
    <m/>
    <s v="6"/>
    <x v="48"/>
    <n v="1410000"/>
  </r>
  <r>
    <m/>
    <s v="KC202409"/>
    <m/>
    <m/>
    <s v="Kết chuyển cuối kỳ 63341 --&gt; 9111"/>
    <s v="9111"/>
    <s v="63341"/>
    <n v="17979605"/>
    <m/>
    <m/>
    <m/>
    <s v="6"/>
    <x v="10"/>
    <n v="17979605"/>
  </r>
  <r>
    <m/>
    <s v="KC202409"/>
    <m/>
    <m/>
    <s v="Kết chuyển cuối kỳ 63345 --&gt; 9111"/>
    <s v="9111"/>
    <s v="63345"/>
    <n v="2759729"/>
    <m/>
    <m/>
    <m/>
    <s v="6"/>
    <x v="11"/>
    <n v="2759729"/>
  </r>
  <r>
    <m/>
    <s v="KC202409"/>
    <m/>
    <m/>
    <s v="Kết chuyển cuối kỳ 6352 --&gt; 9111"/>
    <s v="9111"/>
    <s v="6352"/>
    <n v="206367803"/>
    <m/>
    <m/>
    <m/>
    <s v="6"/>
    <x v="50"/>
    <n v="206367803"/>
  </r>
  <r>
    <m/>
    <s v="KC202409"/>
    <m/>
    <m/>
    <s v="Kết chuyển cuối kỳ 64211 --&gt; 9111"/>
    <s v="9111"/>
    <s v="64211"/>
    <n v="1407426832"/>
    <m/>
    <m/>
    <m/>
    <s v="6"/>
    <x v="19"/>
    <n v="1407426832"/>
  </r>
  <r>
    <m/>
    <s v="KC202409"/>
    <m/>
    <m/>
    <s v="Kết chuyển cuối kỳ 64212 --&gt; 9111"/>
    <s v="9111"/>
    <s v="64212"/>
    <n v="90335000"/>
    <m/>
    <m/>
    <m/>
    <s v="6"/>
    <x v="20"/>
    <n v="90335000"/>
  </r>
  <r>
    <m/>
    <s v="KC202409"/>
    <m/>
    <m/>
    <s v="Kết chuyển cuối kỳ 6422 --&gt; 9111"/>
    <s v="9111"/>
    <s v="6422"/>
    <n v="8492676"/>
    <m/>
    <m/>
    <m/>
    <s v="6"/>
    <x v="21"/>
    <n v="8492676"/>
  </r>
  <r>
    <m/>
    <s v="KC202409"/>
    <m/>
    <m/>
    <s v="Kết chuyển cuối kỳ 6423 --&gt; 9111"/>
    <s v="9111"/>
    <s v="6423"/>
    <n v="50072334"/>
    <m/>
    <m/>
    <m/>
    <s v="6"/>
    <x v="22"/>
    <n v="50072334"/>
  </r>
  <r>
    <m/>
    <s v="KC202409"/>
    <m/>
    <m/>
    <s v="Kết chuyển cuối kỳ 6424 --&gt; 9111"/>
    <s v="9111"/>
    <s v="6424"/>
    <n v="95613745"/>
    <m/>
    <m/>
    <m/>
    <s v="6"/>
    <x v="23"/>
    <n v="95613745"/>
  </r>
  <r>
    <m/>
    <s v="KC202409"/>
    <m/>
    <m/>
    <s v="Kết chuyển cuối kỳ 642701 --&gt; 9111"/>
    <s v="9111"/>
    <s v="642701"/>
    <n v="375354214"/>
    <m/>
    <m/>
    <m/>
    <s v="6"/>
    <x v="25"/>
    <n v="375354214"/>
  </r>
  <r>
    <m/>
    <s v="KC202409"/>
    <m/>
    <m/>
    <s v="Kết chuyển cuối kỳ 642702 --&gt; 9111"/>
    <s v="9111"/>
    <s v="642702"/>
    <n v="21771249"/>
    <m/>
    <m/>
    <m/>
    <s v="6"/>
    <x v="26"/>
    <n v="21771249"/>
  </r>
  <r>
    <m/>
    <s v="KC202409"/>
    <m/>
    <m/>
    <s v="Kết chuyển cuối kỳ 642703 --&gt; 9111"/>
    <s v="9111"/>
    <s v="642703"/>
    <n v="7163992"/>
    <m/>
    <m/>
    <m/>
    <s v="6"/>
    <x v="27"/>
    <n v="7163992"/>
  </r>
  <r>
    <m/>
    <s v="KC202409"/>
    <m/>
    <m/>
    <s v="Kết chuyển cuối kỳ 642704 --&gt; 9111"/>
    <s v="9111"/>
    <s v="642704"/>
    <n v="21546667"/>
    <m/>
    <m/>
    <m/>
    <s v="6"/>
    <x v="28"/>
    <n v="21546667"/>
  </r>
  <r>
    <m/>
    <s v="KC202409"/>
    <m/>
    <m/>
    <s v="Kết chuyển cuối kỳ 642706 --&gt; 9111"/>
    <s v="9111"/>
    <s v="642706"/>
    <n v="19922900"/>
    <m/>
    <m/>
    <m/>
    <s v="6"/>
    <x v="29"/>
    <n v="19922900"/>
  </r>
  <r>
    <m/>
    <s v="KC202409"/>
    <m/>
    <m/>
    <s v="Kết chuyển cuối kỳ 642707 --&gt; 9111"/>
    <s v="9111"/>
    <s v="642707"/>
    <n v="109107571"/>
    <m/>
    <m/>
    <m/>
    <s v="6"/>
    <x v="30"/>
    <n v="109107571"/>
  </r>
  <r>
    <m/>
    <s v="KC202409"/>
    <m/>
    <m/>
    <s v="Kết chuyển cuối kỳ 642708 --&gt; 9111"/>
    <s v="9111"/>
    <s v="642708"/>
    <n v="47744923"/>
    <m/>
    <m/>
    <m/>
    <s v="6"/>
    <x v="31"/>
    <n v="47744923"/>
  </r>
  <r>
    <m/>
    <s v="KC202409"/>
    <m/>
    <m/>
    <s v="Kết chuyển cuối kỳ 642709 --&gt; 9111"/>
    <s v="9111"/>
    <s v="642709"/>
    <n v="1775655"/>
    <m/>
    <m/>
    <m/>
    <s v="6"/>
    <x v="32"/>
    <n v="1775655"/>
  </r>
  <r>
    <m/>
    <s v="KC202409"/>
    <m/>
    <m/>
    <s v="Kết chuyển cuối kỳ 642710 --&gt; 9111"/>
    <s v="9111"/>
    <s v="642710"/>
    <n v="196363"/>
    <m/>
    <m/>
    <m/>
    <s v="6"/>
    <x v="33"/>
    <n v="196363"/>
  </r>
  <r>
    <m/>
    <s v="KC202409"/>
    <m/>
    <m/>
    <s v="Kết chuyển cuối kỳ 642711 --&gt; 9111"/>
    <s v="9111"/>
    <s v="642711"/>
    <n v="6978364"/>
    <m/>
    <m/>
    <m/>
    <s v="6"/>
    <x v="34"/>
    <n v="6978364"/>
  </r>
  <r>
    <m/>
    <s v="KC202409"/>
    <m/>
    <m/>
    <s v="Kết chuyển cuối kỳ 642712 --&gt; 9111"/>
    <s v="9111"/>
    <s v="642712"/>
    <n v="387200"/>
    <m/>
    <m/>
    <m/>
    <s v="6"/>
    <x v="35"/>
    <n v="387200"/>
  </r>
  <r>
    <m/>
    <s v="KC202409"/>
    <m/>
    <m/>
    <s v="Kết chuyển cuối kỳ 642714 --&gt; 9111"/>
    <s v="9111"/>
    <s v="642714"/>
    <n v="14305669"/>
    <m/>
    <m/>
    <m/>
    <s v="6"/>
    <x v="66"/>
    <n v="14305669"/>
  </r>
  <r>
    <m/>
    <s v="KC202409"/>
    <m/>
    <m/>
    <s v="Kết chuyển cuối kỳ 642715 --&gt; 9111"/>
    <s v="9111"/>
    <s v="642715"/>
    <n v="30244909"/>
    <m/>
    <m/>
    <m/>
    <s v="6"/>
    <x v="65"/>
    <n v="30244909"/>
  </r>
  <r>
    <m/>
    <s v="KC202409"/>
    <m/>
    <m/>
    <s v="Kết chuyển cuối kỳ 642718 --&gt; 9111"/>
    <s v="9111"/>
    <s v="642718"/>
    <n v="8711108"/>
    <m/>
    <m/>
    <m/>
    <s v="6"/>
    <x v="67"/>
    <n v="8711108"/>
  </r>
  <r>
    <m/>
    <s v="KC202409"/>
    <m/>
    <m/>
    <s v="Kết chuyển cuối kỳ 642799 --&gt; 9111"/>
    <s v="9111"/>
    <s v="642799"/>
    <n v="12246280"/>
    <m/>
    <m/>
    <m/>
    <s v="6"/>
    <x v="36"/>
    <n v="12246280"/>
  </r>
  <r>
    <m/>
    <s v="KC202409"/>
    <m/>
    <m/>
    <s v="Kết chuyển cuối kỳ 642802 --&gt; 9111"/>
    <s v="9111"/>
    <s v="642802"/>
    <n v="5000000"/>
    <m/>
    <m/>
    <m/>
    <s v="6"/>
    <x v="61"/>
    <n v="5000000"/>
  </r>
  <r>
    <m/>
    <s v="KC202409"/>
    <m/>
    <m/>
    <s v="Kết chuyển cuối kỳ 642804 --&gt; 9111"/>
    <s v="9111"/>
    <s v="642804"/>
    <n v="84044436"/>
    <m/>
    <m/>
    <m/>
    <s v="6"/>
    <x v="68"/>
    <n v="84044436"/>
  </r>
  <r>
    <m/>
    <s v="KC202409"/>
    <m/>
    <m/>
    <s v="Kết chuyển cuối kỳ 642805 --&gt; 9111"/>
    <s v="9111"/>
    <s v="642805"/>
    <n v="6300000"/>
    <m/>
    <m/>
    <m/>
    <s v="6"/>
    <x v="62"/>
    <n v="6300000"/>
  </r>
  <r>
    <m/>
    <s v="KC202409"/>
    <m/>
    <m/>
    <s v="Kết chuyển cuối kỳ 642899 --&gt; 9111"/>
    <s v="9111"/>
    <s v="642899"/>
    <n v="2037510"/>
    <m/>
    <m/>
    <m/>
    <s v="6"/>
    <x v="41"/>
    <n v="2037510"/>
  </r>
  <r>
    <m/>
    <s v="KC202409"/>
    <m/>
    <m/>
    <s v="Kết chuyển cuối kỳ 51101010306 --&gt; 9111"/>
    <s v="51101010306"/>
    <s v="9111"/>
    <n v="642600000"/>
    <m/>
    <m/>
    <m/>
    <s v="5"/>
    <x v="69"/>
    <n v="-642600000"/>
  </r>
  <r>
    <m/>
    <s v="KC202409"/>
    <m/>
    <m/>
    <s v="Kết chuyển cuối kỳ 51101010505 --&gt; 9111"/>
    <s v="51101010505"/>
    <s v="9111"/>
    <n v="537808220"/>
    <m/>
    <m/>
    <m/>
    <s v="5"/>
    <x v="82"/>
    <n v="-537808220"/>
  </r>
  <r>
    <m/>
    <s v="KC202409"/>
    <m/>
    <m/>
    <s v="Kết chuyển cuối kỳ 51101030202 --&gt; 9111"/>
    <s v="51101030202"/>
    <s v="9111"/>
    <n v="689589042"/>
    <m/>
    <m/>
    <m/>
    <s v="5"/>
    <x v="70"/>
    <n v="-689589042"/>
  </r>
  <r>
    <m/>
    <s v="KC202409"/>
    <m/>
    <m/>
    <s v="Kết chuyển cuối kỳ 51101030203 --&gt; 9111"/>
    <s v="51101030203"/>
    <s v="9111"/>
    <n v="30684931"/>
    <m/>
    <m/>
    <m/>
    <s v="5"/>
    <x v="37"/>
    <n v="-30684931"/>
  </r>
  <r>
    <m/>
    <s v="KC202409"/>
    <m/>
    <m/>
    <s v="Kết chuyển cuối kỳ 5110208 --&gt; 9111"/>
    <s v="5110208"/>
    <s v="9111"/>
    <n v="50547945"/>
    <m/>
    <m/>
    <m/>
    <s v="5"/>
    <x v="84"/>
    <n v="-50547945"/>
  </r>
  <r>
    <m/>
    <s v="KC202409"/>
    <m/>
    <m/>
    <s v="Kết chuyển cuối kỳ 511030101 --&gt; 9111"/>
    <s v="511030101"/>
    <s v="9111"/>
    <n v="1039902541"/>
    <m/>
    <m/>
    <m/>
    <s v="5"/>
    <x v="71"/>
    <n v="-1039902541"/>
  </r>
  <r>
    <m/>
    <s v="KC202409"/>
    <m/>
    <m/>
    <s v="Kết chuyển cuối kỳ 511030201 --&gt; 9111"/>
    <s v="511030201"/>
    <s v="9111"/>
    <n v="83166466"/>
    <m/>
    <m/>
    <m/>
    <s v="5"/>
    <x v="72"/>
    <n v="-83166466"/>
  </r>
  <r>
    <m/>
    <s v="KC202409"/>
    <m/>
    <m/>
    <s v="Kết chuyển cuối kỳ 5110501 --&gt; 9111"/>
    <s v="5110501"/>
    <s v="9111"/>
    <n v="503892075"/>
    <m/>
    <m/>
    <m/>
    <s v="5"/>
    <x v="73"/>
    <n v="-503892075"/>
  </r>
  <r>
    <m/>
    <s v="KC202409"/>
    <m/>
    <m/>
    <s v="Kết chuyển cuối kỳ 5110508 --&gt; 9111"/>
    <s v="5110508"/>
    <s v="9111"/>
    <n v="58480456"/>
    <m/>
    <m/>
    <m/>
    <s v="5"/>
    <x v="74"/>
    <n v="-58480456"/>
  </r>
  <r>
    <m/>
    <s v="KC202409"/>
    <m/>
    <m/>
    <s v="Kết chuyển cuối kỳ 5110701 --&gt; 9111"/>
    <s v="5110701"/>
    <s v="9111"/>
    <n v="6633000"/>
    <m/>
    <m/>
    <m/>
    <s v="5"/>
    <x v="83"/>
    <n v="-6633000"/>
  </r>
  <r>
    <m/>
    <s v="KC202409"/>
    <m/>
    <m/>
    <s v="Kết chuyển cuối kỳ 5110801 --&gt; 9111"/>
    <s v="5110801"/>
    <s v="9111"/>
    <n v="17340319"/>
    <m/>
    <m/>
    <m/>
    <s v="5"/>
    <x v="75"/>
    <n v="-17340319"/>
  </r>
  <r>
    <m/>
    <s v="KC202409"/>
    <m/>
    <m/>
    <s v="Kết chuyển cuối kỳ 5110802 --&gt; 9111"/>
    <s v="5110802"/>
    <s v="9111"/>
    <n v="2739814"/>
    <m/>
    <m/>
    <m/>
    <s v="5"/>
    <x v="76"/>
    <n v="-2739814"/>
  </r>
  <r>
    <m/>
    <s v="KC202409"/>
    <m/>
    <m/>
    <s v="Kết chuyển cuối kỳ 5152 --&gt; 9111"/>
    <s v="5152"/>
    <s v="9111"/>
    <n v="735827"/>
    <m/>
    <m/>
    <m/>
    <s v="5"/>
    <x v="78"/>
    <n v="-735827"/>
  </r>
  <r>
    <m/>
    <s v="KC202409"/>
    <m/>
    <m/>
    <s v="Kết chuyển cuối kỳ 9111 --&gt; 42112"/>
    <s v="42112"/>
    <s v="9111"/>
    <n v="1472098533"/>
    <m/>
    <m/>
    <m/>
    <s v="4"/>
    <x v="80"/>
    <n v="-1472098533"/>
  </r>
  <r>
    <m/>
    <s v="KC202410"/>
    <m/>
    <m/>
    <s v="Kết chuyển cuối kỳ 63208 --&gt; 9111"/>
    <s v="9111"/>
    <s v="63208"/>
    <n v="5883950"/>
    <m/>
    <m/>
    <m/>
    <s v="6"/>
    <x v="47"/>
    <n v="5883950"/>
  </r>
  <r>
    <m/>
    <s v="KC202410"/>
    <m/>
    <m/>
    <s v="Kết chuyển cuối kỳ 63311 --&gt; 9111"/>
    <s v="9111"/>
    <s v="63311"/>
    <n v="139028294"/>
    <m/>
    <m/>
    <m/>
    <s v="6"/>
    <x v="2"/>
    <n v="139028294"/>
  </r>
  <r>
    <m/>
    <s v="KC202410"/>
    <m/>
    <m/>
    <s v="Kết chuyển cuối kỳ 63312 --&gt; 9111"/>
    <s v="9111"/>
    <s v="63312"/>
    <n v="42833334"/>
    <m/>
    <m/>
    <m/>
    <s v="6"/>
    <x v="3"/>
    <n v="42833334"/>
  </r>
  <r>
    <m/>
    <s v="KC202410"/>
    <m/>
    <m/>
    <s v="Kết chuyển cuối kỳ 63313 --&gt; 9111"/>
    <s v="9111"/>
    <s v="63313"/>
    <n v="17948333"/>
    <m/>
    <m/>
    <m/>
    <s v="6"/>
    <x v="4"/>
    <n v="17948333"/>
  </r>
  <r>
    <m/>
    <s v="KC202410"/>
    <m/>
    <m/>
    <s v="Kết chuyển cuối kỳ 6331711 --&gt; 9111"/>
    <s v="9111"/>
    <s v="6331711"/>
    <n v="891351788"/>
    <m/>
    <m/>
    <m/>
    <s v="6"/>
    <x v="5"/>
    <n v="891351788"/>
  </r>
  <r>
    <m/>
    <s v="KC202410"/>
    <m/>
    <m/>
    <s v="Kết chuyển cuối kỳ 6331712 --&gt; 9111"/>
    <s v="9111"/>
    <s v="6331712"/>
    <n v="52794000"/>
    <m/>
    <m/>
    <m/>
    <s v="6"/>
    <x v="6"/>
    <n v="52794000"/>
  </r>
  <r>
    <m/>
    <s v="KC202410"/>
    <m/>
    <m/>
    <s v="Kết chuyển cuối kỳ 633173 --&gt; 9111"/>
    <s v="9111"/>
    <s v="633173"/>
    <n v="436870761"/>
    <m/>
    <m/>
    <m/>
    <s v="6"/>
    <x v="7"/>
    <n v="436870761"/>
  </r>
  <r>
    <m/>
    <s v="KC202410"/>
    <m/>
    <m/>
    <s v="Kết chuyển cuối kỳ 633174 --&gt; 9111"/>
    <s v="9111"/>
    <s v="633174"/>
    <n v="113492635"/>
    <m/>
    <m/>
    <m/>
    <s v="6"/>
    <x v="8"/>
    <n v="113492635"/>
  </r>
  <r>
    <m/>
    <s v="KC202410"/>
    <m/>
    <m/>
    <s v="Kết chuyển cuối kỳ 633175 --&gt; 9111"/>
    <s v="9111"/>
    <s v="633175"/>
    <n v="979707284"/>
    <m/>
    <m/>
    <m/>
    <s v="6"/>
    <x v="9"/>
    <n v="979707284"/>
  </r>
  <r>
    <m/>
    <s v="KC202410"/>
    <m/>
    <m/>
    <s v="Kết chuyển cuối kỳ 6333311 --&gt; 9111"/>
    <s v="9111"/>
    <s v="6333311"/>
    <n v="12300000"/>
    <m/>
    <m/>
    <m/>
    <s v="6"/>
    <x v="49"/>
    <n v="12300000"/>
  </r>
  <r>
    <m/>
    <s v="KC202410"/>
    <m/>
    <m/>
    <s v="Kết chuyển cuối kỳ 6333312 --&gt; 9111"/>
    <s v="9111"/>
    <s v="6333312"/>
    <n v="1410000"/>
    <m/>
    <m/>
    <m/>
    <s v="6"/>
    <x v="48"/>
    <n v="1410000"/>
  </r>
  <r>
    <m/>
    <s v="KC202410"/>
    <m/>
    <m/>
    <s v="Kết chuyển cuối kỳ 63341 --&gt; 9111"/>
    <s v="9111"/>
    <s v="63341"/>
    <n v="19394036"/>
    <m/>
    <m/>
    <m/>
    <s v="6"/>
    <x v="10"/>
    <n v="19394036"/>
  </r>
  <r>
    <m/>
    <s v="KC202410"/>
    <m/>
    <m/>
    <s v="Kết chuyển cuối kỳ 63345 --&gt; 9111"/>
    <s v="9111"/>
    <s v="63345"/>
    <n v="3791469"/>
    <m/>
    <m/>
    <m/>
    <s v="6"/>
    <x v="11"/>
    <n v="3791469"/>
  </r>
  <r>
    <m/>
    <s v="KC202410"/>
    <m/>
    <m/>
    <s v="Kết chuyển cuối kỳ 6352 --&gt; 9111"/>
    <s v="9111"/>
    <s v="6352"/>
    <n v="182115068"/>
    <m/>
    <m/>
    <m/>
    <s v="6"/>
    <x v="50"/>
    <n v="182115068"/>
  </r>
  <r>
    <m/>
    <s v="KC202410"/>
    <m/>
    <m/>
    <s v="Kết chuyển cuối kỳ 64211 --&gt; 9111"/>
    <s v="9111"/>
    <s v="64211"/>
    <n v="1441321212"/>
    <m/>
    <m/>
    <m/>
    <s v="6"/>
    <x v="19"/>
    <n v="1441321212"/>
  </r>
  <r>
    <m/>
    <s v="KC202410"/>
    <m/>
    <m/>
    <s v="Kết chuyển cuối kỳ 64212 --&gt; 9111"/>
    <s v="9111"/>
    <s v="64212"/>
    <n v="91043000"/>
    <m/>
    <m/>
    <m/>
    <s v="6"/>
    <x v="20"/>
    <n v="91043000"/>
  </r>
  <r>
    <m/>
    <s v="KC202410"/>
    <m/>
    <m/>
    <s v="Kết chuyển cuối kỳ 6422 --&gt; 9111"/>
    <s v="9111"/>
    <s v="6422"/>
    <n v="33878275"/>
    <m/>
    <m/>
    <m/>
    <s v="6"/>
    <x v="21"/>
    <n v="33878275"/>
  </r>
  <r>
    <m/>
    <s v="KC202410"/>
    <m/>
    <m/>
    <s v="Kết chuyển cuối kỳ 6423 --&gt; 9111"/>
    <s v="9111"/>
    <s v="6423"/>
    <n v="23232333"/>
    <m/>
    <m/>
    <m/>
    <s v="6"/>
    <x v="22"/>
    <n v="23232333"/>
  </r>
  <r>
    <m/>
    <s v="KC202410"/>
    <m/>
    <m/>
    <s v="Kết chuyển cuối kỳ 6424 --&gt; 9111"/>
    <s v="9111"/>
    <s v="6424"/>
    <n v="93393998"/>
    <m/>
    <m/>
    <m/>
    <s v="6"/>
    <x v="23"/>
    <n v="93393998"/>
  </r>
  <r>
    <m/>
    <s v="KC202410"/>
    <m/>
    <m/>
    <s v="Kết chuyển cuối kỳ 642701 --&gt; 9111"/>
    <s v="9111"/>
    <s v="642701"/>
    <n v="384486980"/>
    <m/>
    <m/>
    <m/>
    <s v="6"/>
    <x v="25"/>
    <n v="384486980"/>
  </r>
  <r>
    <m/>
    <s v="KC202410"/>
    <m/>
    <m/>
    <s v="Kết chuyển cuối kỳ 642702 --&gt; 9111"/>
    <s v="9111"/>
    <s v="642702"/>
    <n v="46913587"/>
    <m/>
    <m/>
    <m/>
    <s v="6"/>
    <x v="26"/>
    <n v="46913587"/>
  </r>
  <r>
    <m/>
    <s v="KC202410"/>
    <m/>
    <m/>
    <s v="Kết chuyển cuối kỳ 642703 --&gt; 9111"/>
    <s v="9111"/>
    <s v="642703"/>
    <n v="6793619"/>
    <m/>
    <m/>
    <m/>
    <s v="6"/>
    <x v="27"/>
    <n v="6793619"/>
  </r>
  <r>
    <m/>
    <s v="KC202410"/>
    <m/>
    <m/>
    <s v="Kết chuyển cuối kỳ 642704 --&gt; 9111"/>
    <s v="9111"/>
    <s v="642704"/>
    <n v="16596667"/>
    <m/>
    <m/>
    <m/>
    <s v="6"/>
    <x v="28"/>
    <n v="16596667"/>
  </r>
  <r>
    <m/>
    <s v="KC202410"/>
    <m/>
    <m/>
    <s v="Kết chuyển cuối kỳ 642706 --&gt; 9111"/>
    <s v="9111"/>
    <s v="642706"/>
    <n v="23159094"/>
    <m/>
    <m/>
    <m/>
    <s v="6"/>
    <x v="29"/>
    <n v="23159094"/>
  </r>
  <r>
    <m/>
    <s v="KC202410"/>
    <m/>
    <m/>
    <s v="Kết chuyển cuối kỳ 642707 --&gt; 9111"/>
    <s v="9111"/>
    <s v="642707"/>
    <n v="36436882"/>
    <m/>
    <m/>
    <m/>
    <s v="6"/>
    <x v="30"/>
    <n v="36436882"/>
  </r>
  <r>
    <m/>
    <s v="KC202410"/>
    <m/>
    <m/>
    <s v="Kết chuyển cuối kỳ 642708 --&gt; 9111"/>
    <s v="9111"/>
    <s v="642708"/>
    <n v="68578256"/>
    <m/>
    <m/>
    <m/>
    <s v="6"/>
    <x v="31"/>
    <n v="68578256"/>
  </r>
  <r>
    <m/>
    <s v="KC202410"/>
    <m/>
    <m/>
    <s v="Kết chuyển cuối kỳ 642709 --&gt; 9111"/>
    <s v="9111"/>
    <s v="642709"/>
    <n v="5944383"/>
    <m/>
    <m/>
    <m/>
    <s v="6"/>
    <x v="32"/>
    <n v="5944383"/>
  </r>
  <r>
    <m/>
    <s v="KC202410"/>
    <m/>
    <m/>
    <s v="Kết chuyển cuối kỳ 642710 --&gt; 9111"/>
    <s v="9111"/>
    <s v="642710"/>
    <n v="466363"/>
    <m/>
    <m/>
    <m/>
    <s v="6"/>
    <x v="33"/>
    <n v="466363"/>
  </r>
  <r>
    <m/>
    <s v="KC202410"/>
    <m/>
    <m/>
    <s v="Kết chuyển cuối kỳ 642711 --&gt; 9111"/>
    <s v="9111"/>
    <s v="642711"/>
    <n v="5002010"/>
    <m/>
    <m/>
    <m/>
    <s v="6"/>
    <x v="34"/>
    <n v="5002010"/>
  </r>
  <r>
    <m/>
    <s v="KC202410"/>
    <m/>
    <m/>
    <s v="Kết chuyển cuối kỳ 642712 --&gt; 9111"/>
    <s v="9111"/>
    <s v="642712"/>
    <n v="4276511"/>
    <m/>
    <m/>
    <m/>
    <s v="6"/>
    <x v="35"/>
    <n v="4276511"/>
  </r>
  <r>
    <m/>
    <s v="KC202410"/>
    <m/>
    <m/>
    <s v="Kết chuyển cuối kỳ 642713 --&gt; 9111"/>
    <s v="9111"/>
    <s v="642713"/>
    <n v="244390500"/>
    <m/>
    <m/>
    <m/>
    <s v="6"/>
    <x v="64"/>
    <n v="244390500"/>
  </r>
  <r>
    <m/>
    <s v="KC202410"/>
    <m/>
    <m/>
    <s v="Kết chuyển cuối kỳ 642714 --&gt; 9111"/>
    <s v="9111"/>
    <s v="642714"/>
    <n v="56125931"/>
    <m/>
    <m/>
    <m/>
    <s v="6"/>
    <x v="66"/>
    <n v="56125931"/>
  </r>
  <r>
    <m/>
    <s v="KC202410"/>
    <m/>
    <m/>
    <s v="Kết chuyển cuối kỳ 642715 --&gt; 9111"/>
    <s v="9111"/>
    <s v="642715"/>
    <n v="58400000"/>
    <m/>
    <m/>
    <m/>
    <s v="6"/>
    <x v="65"/>
    <n v="58400000"/>
  </r>
  <r>
    <m/>
    <s v="KC202410"/>
    <m/>
    <m/>
    <s v="Kết chuyển cuối kỳ 642717 --&gt; 9111"/>
    <s v="9111"/>
    <s v="642717"/>
    <n v="16200000"/>
    <m/>
    <m/>
    <m/>
    <s v="6"/>
    <x v="63"/>
    <n v="16200000"/>
  </r>
  <r>
    <m/>
    <s v="KC202410"/>
    <m/>
    <m/>
    <s v="Kết chuyển cuối kỳ 642718 --&gt; 9111"/>
    <s v="9111"/>
    <s v="642718"/>
    <n v="8919996"/>
    <m/>
    <m/>
    <m/>
    <s v="6"/>
    <x v="67"/>
    <n v="8919996"/>
  </r>
  <r>
    <m/>
    <s v="KC202410"/>
    <m/>
    <m/>
    <s v="Kết chuyển cuối kỳ 642799 --&gt; 9111"/>
    <s v="9111"/>
    <s v="642799"/>
    <n v="9001115"/>
    <m/>
    <m/>
    <m/>
    <s v="6"/>
    <x v="36"/>
    <n v="9001115"/>
  </r>
  <r>
    <m/>
    <s v="KC202410"/>
    <m/>
    <m/>
    <s v="Kết chuyển cuối kỳ 642804 --&gt; 9111"/>
    <s v="9111"/>
    <s v="642804"/>
    <n v="1216823"/>
    <m/>
    <m/>
    <m/>
    <s v="6"/>
    <x v="68"/>
    <n v="1216823"/>
  </r>
  <r>
    <m/>
    <s v="KC202410"/>
    <m/>
    <m/>
    <s v="Kết chuyển cuối kỳ 642805 --&gt; 9111"/>
    <s v="9111"/>
    <s v="642805"/>
    <n v="13365600"/>
    <m/>
    <m/>
    <m/>
    <s v="6"/>
    <x v="62"/>
    <n v="13365600"/>
  </r>
  <r>
    <m/>
    <s v="KC202410"/>
    <m/>
    <m/>
    <s v="Kết chuyển cuối kỳ 642899 --&gt; 9111"/>
    <s v="9111"/>
    <s v="642899"/>
    <n v="31069982"/>
    <m/>
    <m/>
    <m/>
    <s v="6"/>
    <x v="41"/>
    <n v="31069982"/>
  </r>
  <r>
    <m/>
    <s v="KC202410"/>
    <m/>
    <m/>
    <s v="Kết chuyển cuối kỳ 51101010301 --&gt; 9111"/>
    <s v="51101010301"/>
    <s v="9111"/>
    <n v="3000000"/>
    <m/>
    <m/>
    <m/>
    <s v="5"/>
    <x v="85"/>
    <n v="-3000000"/>
  </r>
  <r>
    <m/>
    <s v="KC202410"/>
    <m/>
    <m/>
    <s v="Kết chuyển cuối kỳ 51101030201 --&gt; 9111"/>
    <s v="51101030201"/>
    <s v="9111"/>
    <n v="65901502"/>
    <m/>
    <m/>
    <m/>
    <s v="5"/>
    <x v="1"/>
    <n v="-65901502"/>
  </r>
  <r>
    <m/>
    <s v="KC202410"/>
    <m/>
    <m/>
    <s v="Kết chuyển cuối kỳ 51101030202 --&gt; 9111"/>
    <s v="51101030202"/>
    <s v="9111"/>
    <n v="712575343"/>
    <m/>
    <m/>
    <m/>
    <s v="5"/>
    <x v="70"/>
    <n v="-712575343"/>
  </r>
  <r>
    <m/>
    <s v="KC202410"/>
    <m/>
    <m/>
    <s v="Kết chuyển cuối kỳ 51101030203 --&gt; 9111"/>
    <s v="51101030203"/>
    <s v="9111"/>
    <n v="178356164"/>
    <m/>
    <m/>
    <m/>
    <s v="5"/>
    <x v="37"/>
    <n v="-178356164"/>
  </r>
  <r>
    <m/>
    <s v="KC202410"/>
    <m/>
    <m/>
    <s v="Kết chuyển cuối kỳ 511030101 --&gt; 9111"/>
    <s v="511030101"/>
    <s v="9111"/>
    <n v="1248744998"/>
    <m/>
    <m/>
    <m/>
    <s v="5"/>
    <x v="71"/>
    <n v="-1248744998"/>
  </r>
  <r>
    <m/>
    <s v="KC202410"/>
    <m/>
    <m/>
    <s v="Kết chuyển cuối kỳ 511030201 --&gt; 9111"/>
    <s v="511030201"/>
    <s v="9111"/>
    <n v="96808667"/>
    <m/>
    <m/>
    <m/>
    <s v="5"/>
    <x v="72"/>
    <n v="-96808667"/>
  </r>
  <r>
    <m/>
    <s v="KC202410"/>
    <m/>
    <m/>
    <s v="Kết chuyển cuối kỳ 5110501 --&gt; 9111"/>
    <s v="5110501"/>
    <s v="9111"/>
    <n v="564862905"/>
    <m/>
    <m/>
    <m/>
    <s v="5"/>
    <x v="73"/>
    <n v="-564862905"/>
  </r>
  <r>
    <m/>
    <s v="KC202410"/>
    <m/>
    <m/>
    <s v="Kết chuyển cuối kỳ 5110508 --&gt; 9111"/>
    <s v="5110508"/>
    <s v="9111"/>
    <n v="91518348"/>
    <m/>
    <m/>
    <m/>
    <s v="5"/>
    <x v="74"/>
    <n v="-91518348"/>
  </r>
  <r>
    <m/>
    <s v="KC202410"/>
    <m/>
    <m/>
    <s v="Kết chuyển cuối kỳ 5110701 --&gt; 9111"/>
    <s v="5110701"/>
    <s v="9111"/>
    <n v="7623000"/>
    <m/>
    <m/>
    <m/>
    <s v="5"/>
    <x v="83"/>
    <n v="-7623000"/>
  </r>
  <r>
    <m/>
    <s v="KC202410"/>
    <m/>
    <m/>
    <s v="Kết chuyển cuối kỳ 5110801 --&gt; 9111"/>
    <s v="5110801"/>
    <s v="9111"/>
    <n v="18615627"/>
    <m/>
    <m/>
    <m/>
    <s v="5"/>
    <x v="75"/>
    <n v="-18615627"/>
  </r>
  <r>
    <m/>
    <s v="KC202410"/>
    <m/>
    <m/>
    <s v="Kết chuyển cuối kỳ 5110802 --&gt; 9111"/>
    <s v="5110802"/>
    <s v="9111"/>
    <n v="3701070"/>
    <m/>
    <m/>
    <m/>
    <s v="5"/>
    <x v="76"/>
    <n v="-3701070"/>
  </r>
  <r>
    <m/>
    <s v="KC202410"/>
    <m/>
    <m/>
    <s v="Kết chuyển cuối kỳ 5152 --&gt; 9111"/>
    <s v="5152"/>
    <s v="9111"/>
    <n v="2571192"/>
    <m/>
    <m/>
    <m/>
    <s v="5"/>
    <x v="78"/>
    <n v="-2571192"/>
  </r>
  <r>
    <m/>
    <s v="KC202410"/>
    <m/>
    <m/>
    <s v="Kết chuyển cuối kỳ 9111 --&gt; 42112"/>
    <s v="42112"/>
    <s v="9111"/>
    <n v="2624855253"/>
    <m/>
    <m/>
    <m/>
    <s v="4"/>
    <x v="80"/>
    <n v="-2624855253"/>
  </r>
  <r>
    <m/>
    <s v="KC202411"/>
    <m/>
    <m/>
    <s v="Kết chuyển cuối kỳ 51101030203 --&gt; 9111"/>
    <s v="9111"/>
    <s v="51101030203"/>
    <n v="563835616"/>
    <m/>
    <m/>
    <m/>
    <s v="5"/>
    <x v="37"/>
    <n v="563835616"/>
  </r>
  <r>
    <m/>
    <s v="KC202411"/>
    <m/>
    <m/>
    <s v="Kết chuyển cuối kỳ 63311 --&gt; 9111"/>
    <s v="9111"/>
    <s v="63311"/>
    <n v="111782320"/>
    <m/>
    <m/>
    <m/>
    <s v="6"/>
    <x v="2"/>
    <n v="111782320"/>
  </r>
  <r>
    <m/>
    <s v="KC202411"/>
    <m/>
    <m/>
    <s v="Kết chuyển cuối kỳ 63312 --&gt; 9111"/>
    <s v="9111"/>
    <s v="63312"/>
    <n v="42833334"/>
    <m/>
    <m/>
    <m/>
    <s v="6"/>
    <x v="3"/>
    <n v="42833334"/>
  </r>
  <r>
    <m/>
    <s v="KC202411"/>
    <m/>
    <m/>
    <s v="Kết chuyển cuối kỳ 63313 --&gt; 9111"/>
    <s v="9111"/>
    <s v="63313"/>
    <n v="11695430"/>
    <m/>
    <m/>
    <m/>
    <s v="6"/>
    <x v="4"/>
    <n v="11695430"/>
  </r>
  <r>
    <m/>
    <s v="KC202411"/>
    <m/>
    <m/>
    <s v="Kết chuyển cuối kỳ 6331711 --&gt; 9111"/>
    <s v="9111"/>
    <s v="6331711"/>
    <n v="810489729"/>
    <m/>
    <m/>
    <m/>
    <s v="6"/>
    <x v="5"/>
    <n v="810489729"/>
  </r>
  <r>
    <m/>
    <s v="KC202411"/>
    <m/>
    <m/>
    <s v="Kết chuyển cuối kỳ 6331712 --&gt; 9111"/>
    <s v="9111"/>
    <s v="6331712"/>
    <n v="49974000"/>
    <m/>
    <m/>
    <m/>
    <s v="6"/>
    <x v="6"/>
    <n v="49974000"/>
  </r>
  <r>
    <m/>
    <s v="KC202411"/>
    <m/>
    <m/>
    <s v="Kết chuyển cuối kỳ 633173 --&gt; 9111"/>
    <s v="9111"/>
    <s v="633173"/>
    <n v="433976794"/>
    <m/>
    <m/>
    <m/>
    <s v="6"/>
    <x v="7"/>
    <n v="433976794"/>
  </r>
  <r>
    <m/>
    <s v="KC202411"/>
    <m/>
    <m/>
    <s v="Kết chuyển cuối kỳ 633174 --&gt; 9111"/>
    <s v="9111"/>
    <s v="633174"/>
    <n v="113492635"/>
    <m/>
    <m/>
    <m/>
    <s v="6"/>
    <x v="8"/>
    <n v="113492635"/>
  </r>
  <r>
    <m/>
    <s v="KC202411"/>
    <m/>
    <m/>
    <s v="Kết chuyển cuối kỳ 633175 --&gt; 9111"/>
    <s v="9111"/>
    <s v="633175"/>
    <n v="447724205"/>
    <m/>
    <m/>
    <m/>
    <s v="6"/>
    <x v="9"/>
    <n v="447724205"/>
  </r>
  <r>
    <m/>
    <s v="KC202411"/>
    <m/>
    <m/>
    <s v="Kết chuyển cuối kỳ 6333311 --&gt; 9111"/>
    <s v="9111"/>
    <s v="6333311"/>
    <n v="12000000"/>
    <m/>
    <m/>
    <m/>
    <s v="6"/>
    <x v="49"/>
    <n v="12000000"/>
  </r>
  <r>
    <m/>
    <s v="KC202411"/>
    <m/>
    <m/>
    <s v="Kết chuyển cuối kỳ 6333312 --&gt; 9111"/>
    <s v="9111"/>
    <s v="6333312"/>
    <n v="1410000"/>
    <m/>
    <m/>
    <m/>
    <s v="6"/>
    <x v="48"/>
    <n v="1410000"/>
  </r>
  <r>
    <m/>
    <s v="KC202411"/>
    <m/>
    <m/>
    <s v="Kết chuyển cuối kỳ 63341 --&gt; 9111"/>
    <s v="9111"/>
    <s v="63341"/>
    <n v="18988403"/>
    <m/>
    <m/>
    <m/>
    <s v="6"/>
    <x v="10"/>
    <n v="18988403"/>
  </r>
  <r>
    <m/>
    <s v="KC202411"/>
    <m/>
    <m/>
    <s v="Kết chuyển cuối kỳ 633448 --&gt; 9111"/>
    <s v="9111"/>
    <s v="633448"/>
    <n v="280500"/>
    <m/>
    <m/>
    <m/>
    <s v="6"/>
    <x v="87"/>
    <n v="280500"/>
  </r>
  <r>
    <m/>
    <s v="KC202411"/>
    <m/>
    <m/>
    <s v="Kết chuyển cuối kỳ 63345 --&gt; 9111"/>
    <s v="9111"/>
    <s v="63345"/>
    <n v="2941719"/>
    <m/>
    <m/>
    <m/>
    <s v="6"/>
    <x v="11"/>
    <n v="2941719"/>
  </r>
  <r>
    <m/>
    <s v="KC202411"/>
    <m/>
    <m/>
    <s v="Kết chuyển cuối kỳ 6352 --&gt; 9111"/>
    <s v="9111"/>
    <s v="6352"/>
    <n v="173178082"/>
    <m/>
    <m/>
    <m/>
    <s v="6"/>
    <x v="50"/>
    <n v="173178082"/>
  </r>
  <r>
    <m/>
    <s v="KC202411"/>
    <m/>
    <m/>
    <s v="Kết chuyển cuối kỳ 64211 --&gt; 9111"/>
    <s v="9111"/>
    <s v="64211"/>
    <n v="1292870220"/>
    <m/>
    <m/>
    <m/>
    <s v="6"/>
    <x v="19"/>
    <n v="1292870220"/>
  </r>
  <r>
    <m/>
    <s v="KC202411"/>
    <m/>
    <m/>
    <s v="Kết chuyển cuối kỳ 64212 --&gt; 9111"/>
    <s v="9111"/>
    <s v="64212"/>
    <n v="83415000"/>
    <m/>
    <m/>
    <m/>
    <s v="6"/>
    <x v="20"/>
    <n v="83415000"/>
  </r>
  <r>
    <m/>
    <s v="KC202411"/>
    <m/>
    <m/>
    <s v="Kết chuyển cuối kỳ 6422 --&gt; 9111"/>
    <s v="9111"/>
    <s v="6422"/>
    <n v="6583277"/>
    <m/>
    <m/>
    <m/>
    <s v="6"/>
    <x v="21"/>
    <n v="6583277"/>
  </r>
  <r>
    <m/>
    <s v="KC202411"/>
    <m/>
    <m/>
    <s v="Kết chuyển cuối kỳ 6423 --&gt; 9111"/>
    <s v="9111"/>
    <s v="6423"/>
    <n v="103556817"/>
    <m/>
    <m/>
    <m/>
    <s v="6"/>
    <x v="22"/>
    <n v="103556817"/>
  </r>
  <r>
    <m/>
    <s v="KC202411"/>
    <m/>
    <m/>
    <s v="Kết chuyển cuối kỳ 6424 --&gt; 9111"/>
    <s v="9111"/>
    <s v="6424"/>
    <n v="88761832"/>
    <m/>
    <m/>
    <m/>
    <s v="6"/>
    <x v="23"/>
    <n v="88761832"/>
  </r>
  <r>
    <m/>
    <s v="KC202411"/>
    <m/>
    <m/>
    <s v="Kết chuyển cuối kỳ 642701 --&gt; 9111"/>
    <s v="9111"/>
    <s v="642701"/>
    <n v="380285141"/>
    <m/>
    <m/>
    <m/>
    <s v="6"/>
    <x v="25"/>
    <n v="380285141"/>
  </r>
  <r>
    <m/>
    <s v="KC202411"/>
    <m/>
    <m/>
    <s v="Kết chuyển cuối kỳ 642702 --&gt; 9111"/>
    <s v="9111"/>
    <s v="642702"/>
    <n v="20883207"/>
    <m/>
    <m/>
    <m/>
    <s v="6"/>
    <x v="26"/>
    <n v="20883207"/>
  </r>
  <r>
    <m/>
    <s v="KC202411"/>
    <m/>
    <m/>
    <s v="Kết chuyển cuối kỳ 642703 --&gt; 9111"/>
    <s v="9111"/>
    <s v="642703"/>
    <n v="2868277"/>
    <m/>
    <m/>
    <m/>
    <s v="6"/>
    <x v="27"/>
    <n v="2868277"/>
  </r>
  <r>
    <m/>
    <s v="KC202411"/>
    <m/>
    <m/>
    <s v="Kết chuyển cuối kỳ 642704 --&gt; 9111"/>
    <s v="9111"/>
    <s v="642704"/>
    <n v="14196667"/>
    <m/>
    <m/>
    <m/>
    <s v="6"/>
    <x v="28"/>
    <n v="14196667"/>
  </r>
  <r>
    <m/>
    <s v="KC202411"/>
    <m/>
    <m/>
    <s v="Kết chuyển cuối kỳ 642706 --&gt; 9111"/>
    <s v="9111"/>
    <s v="642706"/>
    <n v="52904500"/>
    <m/>
    <m/>
    <m/>
    <s v="6"/>
    <x v="29"/>
    <n v="52904500"/>
  </r>
  <r>
    <m/>
    <s v="KC202411"/>
    <m/>
    <m/>
    <s v="Kết chuyển cuối kỳ 642707 --&gt; 9111"/>
    <s v="9111"/>
    <s v="642707"/>
    <n v="63735771"/>
    <m/>
    <m/>
    <m/>
    <s v="6"/>
    <x v="30"/>
    <n v="63735771"/>
  </r>
  <r>
    <m/>
    <s v="KC202411"/>
    <m/>
    <m/>
    <s v="Kết chuyển cuối kỳ 642708 --&gt; 9111"/>
    <s v="9111"/>
    <s v="642708"/>
    <n v="68578256"/>
    <m/>
    <m/>
    <m/>
    <s v="6"/>
    <x v="31"/>
    <n v="68578256"/>
  </r>
  <r>
    <m/>
    <s v="KC202411"/>
    <m/>
    <m/>
    <s v="Kết chuyển cuối kỳ 642709 --&gt; 9111"/>
    <s v="9111"/>
    <s v="642709"/>
    <n v="8040200"/>
    <m/>
    <m/>
    <m/>
    <s v="6"/>
    <x v="32"/>
    <n v="8040200"/>
  </r>
  <r>
    <m/>
    <s v="KC202411"/>
    <m/>
    <m/>
    <s v="Kết chuyển cuối kỳ 642710 --&gt; 9111"/>
    <s v="9111"/>
    <s v="642710"/>
    <n v="512726"/>
    <m/>
    <m/>
    <m/>
    <s v="6"/>
    <x v="33"/>
    <n v="512726"/>
  </r>
  <r>
    <m/>
    <s v="KC202411"/>
    <m/>
    <m/>
    <s v="Kết chuyển cuối kỳ 642711 --&gt; 9111"/>
    <s v="9111"/>
    <s v="642711"/>
    <n v="7096606"/>
    <m/>
    <m/>
    <m/>
    <s v="6"/>
    <x v="34"/>
    <n v="7096606"/>
  </r>
  <r>
    <m/>
    <s v="KC202411"/>
    <m/>
    <m/>
    <s v="Kết chuyển cuối kỳ 642712 --&gt; 9111"/>
    <s v="9111"/>
    <s v="642712"/>
    <n v="1443200"/>
    <m/>
    <m/>
    <m/>
    <s v="6"/>
    <x v="35"/>
    <n v="1443200"/>
  </r>
  <r>
    <m/>
    <s v="KC202411"/>
    <m/>
    <m/>
    <s v="Kết chuyển cuối kỳ 642713 --&gt; 9111"/>
    <s v="9111"/>
    <s v="642713"/>
    <n v="244390500"/>
    <m/>
    <m/>
    <m/>
    <s v="6"/>
    <x v="64"/>
    <n v="244390500"/>
  </r>
  <r>
    <m/>
    <s v="KC202411"/>
    <m/>
    <m/>
    <s v="Kết chuyển cuối kỳ 642714 --&gt; 9111"/>
    <s v="9111"/>
    <s v="642714"/>
    <n v="11101241"/>
    <m/>
    <m/>
    <m/>
    <s v="6"/>
    <x v="66"/>
    <n v="11101241"/>
  </r>
  <r>
    <m/>
    <s v="KC202411"/>
    <m/>
    <m/>
    <s v="Kết chuyển cuối kỳ 642718 --&gt; 9111"/>
    <s v="9111"/>
    <s v="642718"/>
    <n v="5560000"/>
    <m/>
    <m/>
    <m/>
    <s v="6"/>
    <x v="67"/>
    <n v="5560000"/>
  </r>
  <r>
    <m/>
    <s v="KC202411"/>
    <m/>
    <m/>
    <s v="Kết chuyển cuối kỳ 642799 --&gt; 9111"/>
    <s v="9111"/>
    <s v="642799"/>
    <n v="22607785"/>
    <m/>
    <m/>
    <m/>
    <s v="6"/>
    <x v="36"/>
    <n v="22607785"/>
  </r>
  <r>
    <m/>
    <s v="KC202411"/>
    <m/>
    <m/>
    <s v="Kết chuyển cuối kỳ 642802 --&gt; 9111"/>
    <s v="9111"/>
    <s v="642802"/>
    <n v="4275330"/>
    <m/>
    <m/>
    <m/>
    <s v="6"/>
    <x v="61"/>
    <n v="4275330"/>
  </r>
  <r>
    <m/>
    <s v="KC202411"/>
    <m/>
    <m/>
    <s v="Kết chuyển cuối kỳ 642804 --&gt; 9111"/>
    <s v="9111"/>
    <s v="642804"/>
    <n v="2315162"/>
    <m/>
    <m/>
    <m/>
    <s v="6"/>
    <x v="68"/>
    <n v="2315162"/>
  </r>
  <r>
    <m/>
    <s v="KC202411"/>
    <m/>
    <m/>
    <s v="Kết chuyển cuối kỳ 642899 --&gt; 9111"/>
    <s v="9111"/>
    <s v="642899"/>
    <n v="5300000"/>
    <m/>
    <m/>
    <m/>
    <s v="6"/>
    <x v="41"/>
    <n v="5300000"/>
  </r>
  <r>
    <m/>
    <s v="KC202411"/>
    <m/>
    <m/>
    <s v="Kết chuyển cuối kỳ 8114 --&gt; 9111"/>
    <s v="9111"/>
    <s v="8114"/>
    <n v="553"/>
    <m/>
    <m/>
    <m/>
    <s v="8"/>
    <x v="42"/>
    <n v="553"/>
  </r>
  <r>
    <m/>
    <s v="KC202411"/>
    <m/>
    <m/>
    <s v="Kết chuyển cuối kỳ 51101010305 --&gt; 9111"/>
    <s v="51101010305"/>
    <s v="9111"/>
    <n v="177581"/>
    <m/>
    <m/>
    <m/>
    <s v="5"/>
    <x v="88"/>
    <n v="-177581"/>
  </r>
  <r>
    <m/>
    <s v="KC202411"/>
    <m/>
    <m/>
    <s v="Kết chuyển cuối kỳ 51101010505 --&gt; 9111"/>
    <s v="51101010505"/>
    <s v="9111"/>
    <n v="784109580"/>
    <m/>
    <m/>
    <m/>
    <s v="5"/>
    <x v="82"/>
    <n v="-784109580"/>
  </r>
  <r>
    <m/>
    <s v="KC202411"/>
    <m/>
    <m/>
    <s v="Kết chuyển cuối kỳ 51101030201 --&gt; 9111"/>
    <s v="51101030201"/>
    <s v="9111"/>
    <n v="199065356"/>
    <m/>
    <m/>
    <m/>
    <s v="5"/>
    <x v="1"/>
    <n v="-199065356"/>
  </r>
  <r>
    <m/>
    <s v="KC202411"/>
    <m/>
    <m/>
    <s v="Kết chuyển cuối kỳ 51101030202 --&gt; 9111"/>
    <s v="51101030202"/>
    <s v="9111"/>
    <n v="689589042"/>
    <m/>
    <m/>
    <m/>
    <s v="5"/>
    <x v="70"/>
    <n v="-689589042"/>
  </r>
  <r>
    <m/>
    <s v="KC202411"/>
    <m/>
    <m/>
    <s v="Kết chuyển cuối kỳ 5110208 --&gt; 9111"/>
    <s v="5110208"/>
    <s v="9111"/>
    <n v="665754"/>
    <m/>
    <m/>
    <m/>
    <s v="5"/>
    <x v="84"/>
    <n v="-665754"/>
  </r>
  <r>
    <m/>
    <s v="KC202411"/>
    <m/>
    <m/>
    <s v="Kết chuyển cuối kỳ 511030101 --&gt; 9111"/>
    <s v="511030101"/>
    <s v="9111"/>
    <n v="1225768964"/>
    <m/>
    <m/>
    <m/>
    <s v="5"/>
    <x v="71"/>
    <n v="-1225768964"/>
  </r>
  <r>
    <m/>
    <s v="KC202411"/>
    <m/>
    <m/>
    <s v="Kết chuyển cuối kỳ 511030201 --&gt; 9111"/>
    <s v="511030201"/>
    <s v="9111"/>
    <n v="92170440"/>
    <m/>
    <m/>
    <m/>
    <s v="5"/>
    <x v="72"/>
    <n v="-92170440"/>
  </r>
  <r>
    <m/>
    <s v="KC202411"/>
    <m/>
    <m/>
    <s v="Kết chuyển cuối kỳ 5110501 --&gt; 9111"/>
    <s v="5110501"/>
    <s v="9111"/>
    <n v="434372400"/>
    <m/>
    <m/>
    <m/>
    <s v="5"/>
    <x v="73"/>
    <n v="-434372400"/>
  </r>
  <r>
    <m/>
    <s v="KC202411"/>
    <m/>
    <m/>
    <s v="Kết chuyển cuối kỳ 5110508 --&gt; 9111"/>
    <s v="5110508"/>
    <s v="9111"/>
    <n v="76382218"/>
    <m/>
    <m/>
    <m/>
    <s v="5"/>
    <x v="74"/>
    <n v="-76382218"/>
  </r>
  <r>
    <m/>
    <s v="KC202411"/>
    <m/>
    <m/>
    <s v="Kết chuyển cuối kỳ 5110701 --&gt; 9111"/>
    <s v="5110701"/>
    <s v="9111"/>
    <n v="6534000"/>
    <m/>
    <m/>
    <m/>
    <s v="5"/>
    <x v="83"/>
    <n v="-6534000"/>
  </r>
  <r>
    <m/>
    <s v="KC202411"/>
    <m/>
    <m/>
    <s v="Kết chuyển cuối kỳ 5110801 --&gt; 9111"/>
    <s v="5110801"/>
    <s v="9111"/>
    <n v="18073927"/>
    <m/>
    <m/>
    <m/>
    <s v="5"/>
    <x v="75"/>
    <n v="-18073927"/>
  </r>
  <r>
    <m/>
    <s v="KC202411"/>
    <m/>
    <m/>
    <s v="Kết chuyển cuối kỳ 5110802 --&gt; 9111"/>
    <s v="5110802"/>
    <s v="9111"/>
    <n v="2969855"/>
    <m/>
    <m/>
    <m/>
    <s v="5"/>
    <x v="76"/>
    <n v="-2969855"/>
  </r>
  <r>
    <m/>
    <s v="KC202411"/>
    <m/>
    <m/>
    <s v="Kết chuyển cuối kỳ 5152 --&gt; 9111"/>
    <s v="5152"/>
    <s v="9111"/>
    <n v="2104482"/>
    <m/>
    <m/>
    <m/>
    <s v="5"/>
    <x v="78"/>
    <n v="-2104482"/>
  </r>
  <r>
    <m/>
    <s v="KC202411"/>
    <m/>
    <m/>
    <s v="Kết chuyển cuối kỳ 7114 --&gt; 9111"/>
    <s v="7114"/>
    <s v="9111"/>
    <n v="88341"/>
    <m/>
    <m/>
    <m/>
    <s v="7"/>
    <x v="79"/>
    <n v="-88341"/>
  </r>
  <r>
    <m/>
    <s v="KC202411"/>
    <m/>
    <m/>
    <s v="Kết chuyển cuối kỳ 9111 --&gt; 42112"/>
    <s v="42112"/>
    <s v="9111"/>
    <n v="1753813095"/>
    <m/>
    <m/>
    <m/>
    <s v="4"/>
    <x v="80"/>
    <n v="-1753813095"/>
  </r>
  <r>
    <m/>
    <s v="KC202412"/>
    <m/>
    <m/>
    <s v="Kết chuyển cuối kỳ 51101030202 --&gt; 9111"/>
    <s v="9111"/>
    <s v="51101030202"/>
    <n v="1638109591"/>
    <m/>
    <m/>
    <m/>
    <s v="5"/>
    <x v="70"/>
    <n v="1638109591"/>
  </r>
  <r>
    <m/>
    <s v="KC202412"/>
    <m/>
    <m/>
    <s v="Kết chuyển cuối kỳ 63201030305 --&gt; 91122"/>
    <s v="91122"/>
    <s v="63201030305"/>
    <n v="204359627"/>
    <m/>
    <m/>
    <m/>
    <s v="6"/>
    <x v="89"/>
    <n v="204359627"/>
  </r>
  <r>
    <m/>
    <s v="KC202412"/>
    <m/>
    <m/>
    <s v="Kết chuyển cuối kỳ 63208 --&gt; 9111"/>
    <s v="9111"/>
    <s v="63208"/>
    <n v="5077512"/>
    <m/>
    <m/>
    <m/>
    <s v="6"/>
    <x v="47"/>
    <n v="5077512"/>
  </r>
  <r>
    <m/>
    <s v="KC202412"/>
    <m/>
    <m/>
    <s v="Kết chuyển cuối kỳ 63311 --&gt; 9111"/>
    <s v="9111"/>
    <s v="63311"/>
    <n v="193602456"/>
    <m/>
    <m/>
    <m/>
    <s v="6"/>
    <x v="2"/>
    <n v="193602456"/>
  </r>
  <r>
    <m/>
    <s v="KC202412"/>
    <m/>
    <m/>
    <s v="Kết chuyển cuối kỳ 63312 --&gt; 9111"/>
    <s v="9111"/>
    <s v="63312"/>
    <n v="42833330"/>
    <m/>
    <m/>
    <m/>
    <s v="6"/>
    <x v="3"/>
    <n v="42833330"/>
  </r>
  <r>
    <m/>
    <s v="KC202412"/>
    <m/>
    <m/>
    <s v="Kết chuyển cuối kỳ 63313 --&gt; 9111"/>
    <s v="9111"/>
    <s v="63313"/>
    <n v="5833337"/>
    <m/>
    <m/>
    <m/>
    <s v="6"/>
    <x v="4"/>
    <n v="5833337"/>
  </r>
  <r>
    <m/>
    <s v="KC202412"/>
    <m/>
    <m/>
    <s v="Kết chuyển cuối kỳ 6331711 --&gt; 9111"/>
    <s v="9111"/>
    <s v="6331711"/>
    <n v="439175161"/>
    <m/>
    <m/>
    <m/>
    <s v="6"/>
    <x v="5"/>
    <n v="439175161"/>
  </r>
  <r>
    <m/>
    <s v="KC202412"/>
    <m/>
    <m/>
    <s v="Kết chuyển cuối kỳ 6331712 --&gt; 9111"/>
    <s v="9111"/>
    <s v="6331712"/>
    <n v="52794000"/>
    <m/>
    <m/>
    <m/>
    <s v="6"/>
    <x v="6"/>
    <n v="52794000"/>
  </r>
  <r>
    <m/>
    <s v="KC202412"/>
    <m/>
    <m/>
    <s v="Kết chuyển cuối kỳ 633173 --&gt; 9111"/>
    <s v="9111"/>
    <s v="633173"/>
    <n v="439308573"/>
    <m/>
    <m/>
    <m/>
    <s v="6"/>
    <x v="7"/>
    <n v="439308573"/>
  </r>
  <r>
    <m/>
    <s v="KC202412"/>
    <m/>
    <m/>
    <s v="Kết chuyển cuối kỳ 633174 --&gt; 9111"/>
    <s v="9111"/>
    <s v="633174"/>
    <n v="113492635"/>
    <m/>
    <m/>
    <m/>
    <s v="6"/>
    <x v="8"/>
    <n v="113492635"/>
  </r>
  <r>
    <m/>
    <s v="KC202412"/>
    <m/>
    <m/>
    <s v="Kết chuyển cuối kỳ 633175 --&gt; 9111"/>
    <s v="9111"/>
    <s v="633175"/>
    <n v="618560221"/>
    <m/>
    <m/>
    <m/>
    <s v="6"/>
    <x v="9"/>
    <n v="618560221"/>
  </r>
  <r>
    <m/>
    <s v="KC202412"/>
    <m/>
    <m/>
    <s v="Kết chuyển cuối kỳ 633178 --&gt; 9111"/>
    <s v="9111"/>
    <s v="633178"/>
    <n v="8872727273"/>
    <m/>
    <m/>
    <m/>
    <s v="6"/>
    <x v="90"/>
    <n v="8872727273"/>
  </r>
  <r>
    <m/>
    <s v="KC202412"/>
    <m/>
    <m/>
    <s v="Kết chuyển cuối kỳ 6333311 --&gt; 9111"/>
    <s v="9111"/>
    <s v="6333311"/>
    <n v="23496630"/>
    <m/>
    <m/>
    <m/>
    <s v="6"/>
    <x v="49"/>
    <n v="23496630"/>
  </r>
  <r>
    <m/>
    <s v="KC202412"/>
    <m/>
    <m/>
    <s v="Kết chuyển cuối kỳ 6333312 --&gt; 9111"/>
    <s v="9111"/>
    <s v="6333312"/>
    <n v="1410000"/>
    <m/>
    <m/>
    <m/>
    <s v="6"/>
    <x v="48"/>
    <n v="1410000"/>
  </r>
  <r>
    <m/>
    <s v="KC202412"/>
    <m/>
    <m/>
    <s v="Kết chuyển cuối kỳ 63341 --&gt; 9111"/>
    <s v="9111"/>
    <s v="63341"/>
    <n v="19393488"/>
    <m/>
    <m/>
    <m/>
    <s v="6"/>
    <x v="10"/>
    <n v="19393488"/>
  </r>
  <r>
    <m/>
    <s v="KC202412"/>
    <m/>
    <m/>
    <s v="Kết chuyển cuối kỳ 63345 --&gt; 9111"/>
    <s v="9111"/>
    <s v="63345"/>
    <n v="4513842"/>
    <m/>
    <m/>
    <m/>
    <s v="6"/>
    <x v="11"/>
    <n v="4513842"/>
  </r>
  <r>
    <m/>
    <s v="KC202412"/>
    <m/>
    <m/>
    <s v="Kết chuyển cuối kỳ 6352 --&gt; 9111"/>
    <s v="9111"/>
    <s v="6352"/>
    <n v="115452055"/>
    <m/>
    <m/>
    <m/>
    <s v="6"/>
    <x v="50"/>
    <n v="115452055"/>
  </r>
  <r>
    <m/>
    <s v="KC202412"/>
    <m/>
    <m/>
    <s v="Kết chuyển cuối kỳ 64211 --&gt; 9111"/>
    <s v="9111"/>
    <s v="64211"/>
    <n v="1477249056"/>
    <m/>
    <m/>
    <m/>
    <s v="6"/>
    <x v="19"/>
    <n v="1477249056"/>
  </r>
  <r>
    <m/>
    <s v="KC202412"/>
    <m/>
    <m/>
    <s v="Kết chuyển cuối kỳ 64212 --&gt; 9111"/>
    <s v="9111"/>
    <s v="64212"/>
    <n v="83123000"/>
    <m/>
    <m/>
    <m/>
    <s v="6"/>
    <x v="20"/>
    <n v="83123000"/>
  </r>
  <r>
    <m/>
    <s v="KC202412"/>
    <m/>
    <m/>
    <s v="Kết chuyển cuối kỳ 6422 --&gt; 9111"/>
    <s v="9111"/>
    <s v="6422"/>
    <n v="42982283"/>
    <m/>
    <m/>
    <m/>
    <s v="6"/>
    <x v="21"/>
    <n v="42982283"/>
  </r>
  <r>
    <m/>
    <s v="KC202412"/>
    <m/>
    <m/>
    <s v="Kết chuyển cuối kỳ 6423 --&gt; 9111"/>
    <s v="9111"/>
    <s v="6423"/>
    <n v="25851432"/>
    <m/>
    <m/>
    <m/>
    <s v="6"/>
    <x v="22"/>
    <n v="25851432"/>
  </r>
  <r>
    <m/>
    <s v="KC202412"/>
    <m/>
    <m/>
    <s v="Kết chuyển cuối kỳ 6424 --&gt; 9111"/>
    <s v="9111"/>
    <s v="6424"/>
    <n v="88761832"/>
    <m/>
    <m/>
    <m/>
    <s v="6"/>
    <x v="23"/>
    <n v="88761832"/>
  </r>
  <r>
    <m/>
    <s v="KC202412"/>
    <m/>
    <m/>
    <s v="Kết chuyển cuối kỳ 642701 --&gt; 9111"/>
    <s v="9111"/>
    <s v="642701"/>
    <n v="380285141"/>
    <m/>
    <m/>
    <m/>
    <s v="6"/>
    <x v="25"/>
    <n v="380285141"/>
  </r>
  <r>
    <m/>
    <s v="KC202412"/>
    <m/>
    <m/>
    <s v="Kết chuyển cuối kỳ 642702 --&gt; 9111"/>
    <s v="9111"/>
    <s v="642702"/>
    <n v="51871594"/>
    <m/>
    <m/>
    <m/>
    <s v="6"/>
    <x v="26"/>
    <n v="51871594"/>
  </r>
  <r>
    <m/>
    <s v="KC202412"/>
    <m/>
    <m/>
    <s v="Kết chuyển cuối kỳ 642703 --&gt; 9111"/>
    <s v="9111"/>
    <s v="642703"/>
    <n v="15204791"/>
    <m/>
    <m/>
    <m/>
    <s v="6"/>
    <x v="27"/>
    <n v="15204791"/>
  </r>
  <r>
    <m/>
    <s v="KC202412"/>
    <m/>
    <m/>
    <s v="Kết chuyển cuối kỳ 642704 --&gt; 9111"/>
    <s v="9111"/>
    <s v="642704"/>
    <n v="15546667"/>
    <m/>
    <m/>
    <m/>
    <s v="6"/>
    <x v="28"/>
    <n v="15546667"/>
  </r>
  <r>
    <m/>
    <s v="KC202412"/>
    <m/>
    <m/>
    <s v="Kết chuyển cuối kỳ 642706 --&gt; 9111"/>
    <s v="9111"/>
    <s v="642706"/>
    <n v="23023871"/>
    <m/>
    <m/>
    <m/>
    <s v="6"/>
    <x v="29"/>
    <n v="23023871"/>
  </r>
  <r>
    <m/>
    <s v="KC202412"/>
    <m/>
    <m/>
    <s v="Kết chuyển cuối kỳ 642707 --&gt; 9111"/>
    <s v="9111"/>
    <s v="642707"/>
    <n v="27323771"/>
    <m/>
    <m/>
    <m/>
    <s v="6"/>
    <x v="30"/>
    <n v="27323771"/>
  </r>
  <r>
    <m/>
    <s v="KC202412"/>
    <m/>
    <m/>
    <s v="Kết chuyển cuối kỳ 642708 --&gt; 9111"/>
    <s v="9111"/>
    <s v="642708"/>
    <n v="68578256"/>
    <m/>
    <m/>
    <m/>
    <s v="6"/>
    <x v="31"/>
    <n v="68578256"/>
  </r>
  <r>
    <m/>
    <s v="KC202412"/>
    <m/>
    <m/>
    <s v="Kết chuyển cuối kỳ 642709 --&gt; 9111"/>
    <s v="9111"/>
    <s v="642709"/>
    <n v="4459511"/>
    <m/>
    <m/>
    <m/>
    <s v="6"/>
    <x v="32"/>
    <n v="4459511"/>
  </r>
  <r>
    <m/>
    <s v="KC202412"/>
    <m/>
    <m/>
    <s v="Kết chuyển cuối kỳ 642710 --&gt; 9111"/>
    <s v="9111"/>
    <s v="642710"/>
    <n v="455563"/>
    <m/>
    <m/>
    <m/>
    <s v="6"/>
    <x v="33"/>
    <n v="455563"/>
  </r>
  <r>
    <m/>
    <s v="KC202412"/>
    <m/>
    <m/>
    <s v="Kết chuyển cuối kỳ 642711 --&gt; 9111"/>
    <s v="9111"/>
    <s v="642711"/>
    <n v="11868228"/>
    <m/>
    <m/>
    <m/>
    <s v="6"/>
    <x v="34"/>
    <n v="11868228"/>
  </r>
  <r>
    <m/>
    <s v="KC202412"/>
    <m/>
    <m/>
    <s v="Kết chuyển cuối kỳ 642712 --&gt; 9111"/>
    <s v="9111"/>
    <s v="642712"/>
    <n v="4607460"/>
    <m/>
    <m/>
    <m/>
    <s v="6"/>
    <x v="35"/>
    <n v="4607460"/>
  </r>
  <r>
    <m/>
    <s v="KC202412"/>
    <m/>
    <m/>
    <s v="Kết chuyển cuối kỳ 642713 --&gt; 9111"/>
    <s v="9111"/>
    <s v="642713"/>
    <n v="245230500"/>
    <m/>
    <m/>
    <m/>
    <s v="6"/>
    <x v="64"/>
    <n v="245230500"/>
  </r>
  <r>
    <m/>
    <s v="KC202412"/>
    <m/>
    <m/>
    <s v="Kết chuyển cuối kỳ 642714 --&gt; 9111"/>
    <s v="9111"/>
    <s v="642714"/>
    <n v="60610387"/>
    <m/>
    <m/>
    <m/>
    <s v="6"/>
    <x v="66"/>
    <n v="60610387"/>
  </r>
  <r>
    <m/>
    <s v="KC202412"/>
    <m/>
    <m/>
    <s v="Kết chuyển cuối kỳ 642717 --&gt; 9111"/>
    <s v="9111"/>
    <s v="642717"/>
    <n v="38361600"/>
    <m/>
    <m/>
    <m/>
    <s v="6"/>
    <x v="63"/>
    <n v="38361600"/>
  </r>
  <r>
    <m/>
    <s v="KC202412"/>
    <m/>
    <m/>
    <s v="Kết chuyển cuối kỳ 642718 --&gt; 9111"/>
    <s v="9111"/>
    <s v="642718"/>
    <n v="10440000"/>
    <m/>
    <m/>
    <m/>
    <s v="6"/>
    <x v="67"/>
    <n v="10440000"/>
  </r>
  <r>
    <m/>
    <s v="KC202412"/>
    <m/>
    <m/>
    <s v="Kết chuyển cuối kỳ 642799 --&gt; 9111"/>
    <s v="9111"/>
    <s v="642799"/>
    <n v="162489239"/>
    <m/>
    <m/>
    <m/>
    <s v="6"/>
    <x v="36"/>
    <n v="162489239"/>
  </r>
  <r>
    <m/>
    <s v="KC202412"/>
    <m/>
    <m/>
    <s v="Kết chuyển cuối kỳ 642802 --&gt; 9111"/>
    <s v="9111"/>
    <s v="642802"/>
    <n v="7000020"/>
    <m/>
    <m/>
    <m/>
    <s v="6"/>
    <x v="61"/>
    <n v="7000020"/>
  </r>
  <r>
    <m/>
    <s v="KC202412"/>
    <m/>
    <m/>
    <s v="Kết chuyển cuối kỳ 642804 --&gt; 9111"/>
    <s v="9111"/>
    <s v="642804"/>
    <n v="3727432"/>
    <m/>
    <m/>
    <m/>
    <s v="6"/>
    <x v="68"/>
    <n v="3727432"/>
  </r>
  <r>
    <m/>
    <s v="KC202412"/>
    <m/>
    <m/>
    <s v="Kết chuyển cuối kỳ 642805 --&gt; 9111"/>
    <s v="9111"/>
    <s v="642805"/>
    <n v="6081389"/>
    <m/>
    <m/>
    <m/>
    <s v="6"/>
    <x v="62"/>
    <n v="6081389"/>
  </r>
  <r>
    <m/>
    <s v="KC202412"/>
    <m/>
    <m/>
    <s v="Kết chuyển cuối kỳ 642899 --&gt; 9111"/>
    <s v="9111"/>
    <s v="642899"/>
    <n v="16350000"/>
    <m/>
    <m/>
    <m/>
    <s v="6"/>
    <x v="41"/>
    <n v="16350000"/>
  </r>
  <r>
    <m/>
    <s v="KC202412"/>
    <m/>
    <m/>
    <s v="Kết chuyển cuối kỳ 8114 --&gt; 9111"/>
    <s v="9111"/>
    <s v="8114"/>
    <n v="401329660"/>
    <m/>
    <m/>
    <m/>
    <s v="8"/>
    <x v="42"/>
    <n v="401329660"/>
  </r>
  <r>
    <m/>
    <s v="KC202412"/>
    <m/>
    <m/>
    <s v="Kết chuyển cuối kỳ 91122 --&gt; 42122"/>
    <s v="91122"/>
    <s v="42122"/>
    <n v="16554985"/>
    <m/>
    <m/>
    <m/>
    <s v="4"/>
    <x v="81"/>
    <n v="16554985"/>
  </r>
  <r>
    <m/>
    <s v="KC202412"/>
    <m/>
    <m/>
    <s v="Kết chuyển cuối kỳ 51101010305 --&gt; 9111"/>
    <s v="51101010305"/>
    <s v="9111"/>
    <n v="55640414"/>
    <m/>
    <m/>
    <m/>
    <s v="5"/>
    <x v="88"/>
    <n v="-55640414"/>
  </r>
  <r>
    <m/>
    <s v="KC202412"/>
    <m/>
    <m/>
    <s v="Kết chuyển cuối kỳ 51101010406 --&gt; 9111"/>
    <s v="51101010406"/>
    <s v="9111"/>
    <n v="2224088000"/>
    <m/>
    <m/>
    <m/>
    <s v="5"/>
    <x v="91"/>
    <n v="-2224088000"/>
  </r>
  <r>
    <m/>
    <s v="KC202412"/>
    <m/>
    <m/>
    <s v="Kết chuyển cuối kỳ 51101020104 --&gt; 91122"/>
    <s v="51101020104"/>
    <s v="91122"/>
    <n v="55744000"/>
    <m/>
    <m/>
    <m/>
    <s v="5"/>
    <x v="92"/>
    <n v="-55744000"/>
  </r>
  <r>
    <m/>
    <s v="KC202412"/>
    <m/>
    <m/>
    <s v="Kết chuyển cuối kỳ 51101020301 --&gt; 91122"/>
    <s v="51101020301"/>
    <s v="91122"/>
    <n v="153026771"/>
    <m/>
    <m/>
    <m/>
    <s v="5"/>
    <x v="93"/>
    <n v="-153026771"/>
  </r>
  <r>
    <m/>
    <s v="KC202412"/>
    <m/>
    <m/>
    <s v="Kết chuyển cuối kỳ 51101020305 --&gt; 91122"/>
    <s v="51101020305"/>
    <s v="91122"/>
    <n v="12143841"/>
    <m/>
    <m/>
    <m/>
    <s v="5"/>
    <x v="94"/>
    <n v="-12143841"/>
  </r>
  <r>
    <m/>
    <s v="KC202412"/>
    <m/>
    <m/>
    <s v="Kết chuyển cuối kỳ 51101030201 --&gt; 9111"/>
    <s v="51101030201"/>
    <s v="9111"/>
    <n v="382993942"/>
    <m/>
    <m/>
    <m/>
    <s v="5"/>
    <x v="1"/>
    <n v="-382993942"/>
  </r>
  <r>
    <m/>
    <s v="KC202412"/>
    <m/>
    <m/>
    <s v="Kết chuyển cuối kỳ 51101030203 --&gt; 9111"/>
    <s v="51101030203"/>
    <s v="9111"/>
    <n v="5753424"/>
    <m/>
    <m/>
    <m/>
    <s v="5"/>
    <x v="37"/>
    <n v="-5753424"/>
  </r>
  <r>
    <m/>
    <s v="KC202412"/>
    <m/>
    <m/>
    <s v="Kết chuyển cuối kỳ 51102010101 --&gt; 9111"/>
    <s v="51102010101"/>
    <s v="9111"/>
    <n v="8580822"/>
    <m/>
    <m/>
    <m/>
    <s v="5"/>
    <x v="95"/>
    <n v="-8580822"/>
  </r>
  <r>
    <m/>
    <s v="KC202412"/>
    <m/>
    <m/>
    <s v="Kết chuyển cuối kỳ 5110208 --&gt; 9111"/>
    <s v="5110208"/>
    <s v="9111"/>
    <n v="13109625"/>
    <m/>
    <m/>
    <m/>
    <s v="5"/>
    <x v="84"/>
    <n v="-13109625"/>
  </r>
  <r>
    <m/>
    <s v="KC202412"/>
    <m/>
    <m/>
    <s v="Kết chuyển cuối kỳ 511030101 --&gt; 9111"/>
    <s v="511030101"/>
    <s v="9111"/>
    <n v="1129103352"/>
    <m/>
    <m/>
    <m/>
    <s v="5"/>
    <x v="71"/>
    <n v="-1129103352"/>
  </r>
  <r>
    <m/>
    <s v="KC202412"/>
    <m/>
    <m/>
    <s v="Kết chuyển cuối kỳ 511030201 --&gt; 9111"/>
    <s v="511030201"/>
    <s v="9111"/>
    <n v="151740116"/>
    <m/>
    <m/>
    <m/>
    <s v="5"/>
    <x v="72"/>
    <n v="-151740116"/>
  </r>
  <r>
    <m/>
    <s v="KC202412"/>
    <m/>
    <m/>
    <s v="Kết chuyển cuối kỳ 5110501 --&gt; 9111"/>
    <s v="5110501"/>
    <s v="9111"/>
    <n v="624641415"/>
    <m/>
    <m/>
    <m/>
    <s v="5"/>
    <x v="73"/>
    <n v="-624641415"/>
  </r>
  <r>
    <m/>
    <s v="KC202412"/>
    <m/>
    <m/>
    <s v="Kết chuyển cuối kỳ 5110508 --&gt; 9111"/>
    <s v="5110508"/>
    <s v="9111"/>
    <n v="83415152"/>
    <m/>
    <m/>
    <m/>
    <s v="5"/>
    <x v="74"/>
    <n v="-83415152"/>
  </r>
  <r>
    <m/>
    <s v="KC202412"/>
    <m/>
    <m/>
    <s v="Kết chuyển cuối kỳ 5110701 --&gt; 9111"/>
    <s v="5110701"/>
    <s v="9111"/>
    <n v="4653000"/>
    <m/>
    <m/>
    <m/>
    <s v="5"/>
    <x v="83"/>
    <n v="-4653000"/>
  </r>
  <r>
    <m/>
    <s v="KC202412"/>
    <m/>
    <m/>
    <s v="Kết chuyển cuối kỳ 5110801 --&gt; 9111"/>
    <s v="5110801"/>
    <s v="9111"/>
    <n v="18370962"/>
    <m/>
    <m/>
    <m/>
    <s v="5"/>
    <x v="75"/>
    <n v="-18370962"/>
  </r>
  <r>
    <m/>
    <s v="KC202412"/>
    <m/>
    <m/>
    <s v="Kết chuyển cuối kỳ 5110802 --&gt; 9111"/>
    <s v="5110802"/>
    <s v="9111"/>
    <n v="4165366"/>
    <m/>
    <m/>
    <m/>
    <s v="5"/>
    <x v="76"/>
    <n v="-4165366"/>
  </r>
  <r>
    <m/>
    <s v="KC202412"/>
    <m/>
    <m/>
    <s v="Kết chuyển cuối kỳ 51118 --&gt; 9111"/>
    <s v="51118"/>
    <s v="9111"/>
    <n v="9881818182"/>
    <m/>
    <m/>
    <m/>
    <s v="5"/>
    <x v="77"/>
    <n v="-9881818182"/>
  </r>
  <r>
    <m/>
    <s v="KC202412"/>
    <m/>
    <m/>
    <s v="Kết chuyển cuối kỳ 5152 --&gt; 9111"/>
    <s v="5152"/>
    <s v="9111"/>
    <n v="2805642"/>
    <m/>
    <m/>
    <m/>
    <s v="5"/>
    <x v="78"/>
    <n v="-2805642"/>
  </r>
  <r>
    <m/>
    <s v="KC202412"/>
    <m/>
    <m/>
    <s v="Kết chuyển cuối kỳ 7114 --&gt; 9111"/>
    <s v="7114"/>
    <s v="9111"/>
    <n v="439830289"/>
    <m/>
    <m/>
    <m/>
    <s v="7"/>
    <x v="79"/>
    <n v="-439830289"/>
  </r>
  <r>
    <m/>
    <s v="KC202412"/>
    <m/>
    <m/>
    <s v="Kết chuyển cuối kỳ 9111 --&gt; 42112"/>
    <s v="42112"/>
    <s v="9111"/>
    <n v="827883084"/>
    <m/>
    <m/>
    <m/>
    <s v="4"/>
    <x v="80"/>
    <n v="-827883084"/>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
  <r>
    <s v="TNHH Finhay"/>
    <s v="31/12/2024"/>
    <m/>
    <s v="Thưởng Tết dương 2025"/>
    <x v="0"/>
    <x v="0"/>
    <n v="500000"/>
    <m/>
    <m/>
    <x v="0"/>
  </r>
  <r>
    <s v="TNHH Finhay"/>
    <s v="19/12/2024"/>
    <m/>
    <s v="TT/FHTNHH/0407 - Thanh toán Phí Công bố nội dung đăng ký doanh nghiệp theo HĐ 0323639 ngày 02/12/2024"/>
    <x v="1"/>
    <x v="1"/>
    <n v="100000"/>
    <s v="0105797456"/>
    <s v="TCB stk 19135705470018"/>
    <x v="0"/>
  </r>
  <r>
    <s v="CTCP Finhay"/>
    <s v="31/12/2024"/>
    <m/>
    <s v="Ghi nhận Chi phí phần thuế hoá đơn Search Ads tháng 02.2024"/>
    <x v="2"/>
    <x v="2"/>
    <n v="1118790"/>
    <s v="IE9700053D"/>
    <m/>
    <x v="1"/>
  </r>
  <r>
    <s v="CTCP Finhay"/>
    <s v="31/12/2024"/>
    <m/>
    <s v="Ghi nhận Chi phí phần thuế hoá đơn Search Ads tháng 03.2024"/>
    <x v="2"/>
    <x v="2"/>
    <n v="1616258"/>
    <s v="IE9700053D"/>
    <m/>
    <x v="1"/>
  </r>
  <r>
    <s v="CTCP Finhay"/>
    <s v="31/12/2024"/>
    <m/>
    <s v="Ghi nhận Chi phí phần thuế hoá đơn Search Ads tháng 04.2024"/>
    <x v="2"/>
    <x v="2"/>
    <n v="1630768"/>
    <s v="IE9700053D"/>
    <m/>
    <x v="1"/>
  </r>
  <r>
    <s v="CTCP Finhay"/>
    <s v="31/12/2024"/>
    <m/>
    <s v="Ghi nhận Chi phí phần thuế hoá đơn Google Gsuit tháng 02.2024"/>
    <x v="3"/>
    <x v="2"/>
    <n v="2273338"/>
    <s v="0775-6205-5386"/>
    <m/>
    <x v="1"/>
  </r>
  <r>
    <s v="CTCP Finhay"/>
    <s v="31/12/2024"/>
    <m/>
    <s v="Ghi nhận Chi phí phần thuế hoá đơn Google Gsuit tháng 03.2024"/>
    <x v="3"/>
    <x v="2"/>
    <n v="2273220"/>
    <s v="0775-6205-5386"/>
    <m/>
    <x v="1"/>
  </r>
  <r>
    <s v="CTCP Finhay"/>
    <s v="31/12/2024"/>
    <m/>
    <s v="Ghi nhận Chi phí phần thuế hoá đơn Google Gsuit tháng 04.2024"/>
    <x v="3"/>
    <x v="2"/>
    <n v="2221241"/>
    <s v="0775-6205-5386"/>
    <m/>
    <x v="1"/>
  </r>
  <r>
    <s v="CTCP Finhay"/>
    <s v="31/12/2024"/>
    <m/>
    <s v="Ghi nhận Chi phí phần thuế hoá đơn Google Ads tháng 04.2024"/>
    <x v="2"/>
    <x v="2"/>
    <n v="2315405"/>
    <s v="DVQC"/>
    <m/>
    <x v="1"/>
  </r>
  <r>
    <s v="CTCP Finhay"/>
    <s v="31/12/2024"/>
    <m/>
    <s v="Ghi nhận Chi phí phần thuế hoá đơn Google Ads tháng 06.2024"/>
    <x v="2"/>
    <x v="2"/>
    <n v="1763649"/>
    <s v="DVQC"/>
    <m/>
    <x v="1"/>
  </r>
  <r>
    <s v="CTCP Finhay"/>
    <s v="31/12/2024"/>
    <m/>
    <s v="Ghi nhận thêm phần phí dịch vụ vệ sinh văn phòng HCM trước thuế tháng 12/2023"/>
    <x v="4"/>
    <x v="3"/>
    <n v="350000"/>
    <s v="HTMT_HCM"/>
    <s v="HTMT_HCM"/>
    <x v="0"/>
  </r>
  <r>
    <s v="CTCP Finhay"/>
    <s v="31/12/2024"/>
    <m/>
    <s v="Phân bổ thuế GTGT doanh thu không chịu thuế tháng 9.2024"/>
    <x v="5"/>
    <x v="2"/>
    <n v="23119"/>
    <m/>
    <m/>
    <x v="2"/>
  </r>
  <r>
    <s v="CTCP Finhay"/>
    <s v="31/12/2024"/>
    <m/>
    <s v="Phân bổ thuế GTGT doanh thu không chịu thuế tháng 9.2024"/>
    <x v="6"/>
    <x v="2"/>
    <n v="140072"/>
    <m/>
    <m/>
    <x v="2"/>
  </r>
  <r>
    <s v="CTCP Finhay"/>
    <s v="31/12/2024"/>
    <m/>
    <s v="Phân bổ thuế GTGT doanh thu không chịu thuế tháng 9.2024"/>
    <x v="7"/>
    <x v="2"/>
    <n v="9486"/>
    <m/>
    <m/>
    <x v="2"/>
  </r>
  <r>
    <s v="CTCP Finhay"/>
    <s v="31/12/2024"/>
    <m/>
    <s v="Phân bổ thuế GTGT doanh thu không chịu thuế tháng 9.2024"/>
    <x v="8"/>
    <x v="2"/>
    <n v="121"/>
    <m/>
    <m/>
    <x v="2"/>
  </r>
  <r>
    <s v="CTCP Finhay"/>
    <s v="31/12/2024"/>
    <m/>
    <s v="Phân bổ thuế GTGT doanh thu không chịu thuế tháng 9.2024"/>
    <x v="9"/>
    <x v="2"/>
    <n v="310"/>
    <m/>
    <m/>
    <x v="2"/>
  </r>
  <r>
    <s v="CTCP Finhay"/>
    <s v="31/12/2024"/>
    <m/>
    <s v="Phân bổ thuế GTGT doanh thu không chịu thuế tháng 9.2024"/>
    <x v="10"/>
    <x v="2"/>
    <n v="4088"/>
    <m/>
    <m/>
    <x v="2"/>
  </r>
  <r>
    <s v="CTCP Finhay"/>
    <s v="31/12/2024"/>
    <m/>
    <s v="Phân bổ thuế GTGT doanh thu không chịu thuế tháng 9.2024"/>
    <x v="11"/>
    <x v="2"/>
    <n v="4070"/>
    <m/>
    <m/>
    <x v="2"/>
  </r>
  <r>
    <s v="CTCP Finhay"/>
    <s v="31/12/2024"/>
    <m/>
    <s v="Phân bổ thuế GTGT doanh thu không chịu thuế tháng 9.2024"/>
    <x v="12"/>
    <x v="2"/>
    <n v="20625"/>
    <m/>
    <m/>
    <x v="2"/>
  </r>
  <r>
    <s v="CTCP Finhay"/>
    <s v="31/12/2024"/>
    <m/>
    <s v="Phân bổ thuế GTGT doanh thu không chịu thuế tháng 9.2024"/>
    <x v="13"/>
    <x v="2"/>
    <n v="460"/>
    <m/>
    <m/>
    <x v="2"/>
  </r>
  <r>
    <s v="CTCP Finhay"/>
    <s v="31/12/2024"/>
    <m/>
    <s v="Phân bổ thuế GTGT doanh thu không chịu thuế tháng 9.2024"/>
    <x v="14"/>
    <x v="2"/>
    <n v="464280"/>
    <m/>
    <m/>
    <x v="2"/>
  </r>
  <r>
    <s v="CTCP Finhay"/>
    <s v="31/12/2024"/>
    <m/>
    <s v="Phân bổ thuế GTGT doanh thu không chịu thuế tháng 9.2024"/>
    <x v="15"/>
    <x v="2"/>
    <n v="2767"/>
    <m/>
    <m/>
    <x v="2"/>
  </r>
  <r>
    <s v="CTCP Finhay"/>
    <s v="31/12/2024"/>
    <m/>
    <s v="Phân bổ thuế GTGT doanh thu không chịu thuế tháng 11.2024"/>
    <x v="6"/>
    <x v="2"/>
    <n v="39005"/>
    <m/>
    <m/>
    <x v="2"/>
  </r>
  <r>
    <s v="CTCP Finhay"/>
    <s v="31/12/2024"/>
    <m/>
    <s v="Phân bổ thuế GTGT doanh thu không chịu thuế tháng 11.2024"/>
    <x v="16"/>
    <x v="2"/>
    <n v="376749"/>
    <m/>
    <m/>
    <x v="2"/>
  </r>
  <r>
    <s v="CTCP Finhay"/>
    <s v="31/12/2024"/>
    <m/>
    <s v="Phân bổ thuế GTGT doanh thu không chịu thuế tháng 11.2024"/>
    <x v="11"/>
    <x v="2"/>
    <n v="7032"/>
    <m/>
    <m/>
    <x v="2"/>
  </r>
  <r>
    <s v="CTCP Finhay"/>
    <s v="31/12/2024"/>
    <m/>
    <s v="Phân bổ thuế GTGT doanh thu không chịu thuế tháng 11.2024"/>
    <x v="8"/>
    <x v="2"/>
    <n v="469"/>
    <m/>
    <m/>
    <x v="2"/>
  </r>
  <r>
    <s v="CTCP Finhay"/>
    <s v="31/12/2024"/>
    <m/>
    <s v="Phân bổ thuế GTGT doanh thu không chịu thuế tháng 11.2024"/>
    <x v="12"/>
    <x v="2"/>
    <n v="65083"/>
    <m/>
    <m/>
    <x v="2"/>
  </r>
  <r>
    <s v="CTCP Finhay"/>
    <s v="31/12/2024"/>
    <m/>
    <s v="Phân bổ thuế GTGT doanh thu không chịu thuế tháng 11.2024"/>
    <x v="15"/>
    <x v="2"/>
    <n v="41624"/>
    <m/>
    <m/>
    <x v="2"/>
  </r>
  <r>
    <s v="CTCP Finhay"/>
    <s v="31/12/2024"/>
    <m/>
    <s v="Phân bổ thuế GTGT doanh thu không chịu thuế tháng 11.2024"/>
    <x v="10"/>
    <x v="2"/>
    <n v="15584"/>
    <m/>
    <m/>
    <x v="2"/>
  </r>
  <r>
    <s v="CTCP Finhay"/>
    <s v="31/12/2024"/>
    <m/>
    <s v="Phân bổ thuế GTGT doanh thu không chịu thuế tháng 11.2024"/>
    <x v="9"/>
    <x v="2"/>
    <n v="1429"/>
    <m/>
    <m/>
    <x v="2"/>
  </r>
  <r>
    <s v="CTCP Finhay"/>
    <s v="31/12/2024"/>
    <m/>
    <s v="Phân bổ thuế GTGT doanh thu không chịu thuế tháng 11.2024"/>
    <x v="10"/>
    <x v="2"/>
    <n v="459935"/>
    <m/>
    <m/>
    <x v="2"/>
  </r>
  <r>
    <s v="CTCP Finhay"/>
    <s v="31/12/2024"/>
    <m/>
    <s v="Phân bổ thuế GTGT doanh thu không chịu thuế tháng 11.2024"/>
    <x v="17"/>
    <x v="2"/>
    <n v="123772"/>
    <m/>
    <m/>
    <x v="2"/>
  </r>
  <r>
    <s v="CTCP Finhay"/>
    <s v="31/12/2024"/>
    <m/>
    <s v="Phân bổ thuế GTGT doanh thu không chịu thuế tháng 11.2024"/>
    <x v="18"/>
    <x v="2"/>
    <n v="26945"/>
    <m/>
    <m/>
    <x v="2"/>
  </r>
  <r>
    <s v="CTCP Finhay"/>
    <s v="31/12/2024"/>
    <m/>
    <s v="Phân bổ thuế GTGT doanh thu không chịu thuế tháng 11.2024"/>
    <x v="19"/>
    <x v="2"/>
    <n v="7411"/>
    <m/>
    <m/>
    <x v="2"/>
  </r>
  <r>
    <s v="CTCP Finhay"/>
    <s v="31/12/2024"/>
    <m/>
    <s v="Phân bổ thuế GTGT doanh thu không chịu thuế tháng 11.2024"/>
    <x v="5"/>
    <x v="2"/>
    <n v="56233"/>
    <m/>
    <m/>
    <x v="2"/>
  </r>
  <r>
    <s v="CTCP Finhay"/>
    <s v="31/12/2024"/>
    <m/>
    <s v="Phân bổ thuế GTGT doanh thu không chịu thuế tháng 11.2024"/>
    <x v="20"/>
    <x v="2"/>
    <n v="27075"/>
    <m/>
    <m/>
    <x v="2"/>
  </r>
  <r>
    <s v="CTCP Finhay"/>
    <s v="31/12/2024"/>
    <m/>
    <s v="Phân bổ thuế GTGT doanh thu không chịu thuế tháng 11.2024"/>
    <x v="13"/>
    <x v="2"/>
    <n v="22238"/>
    <m/>
    <m/>
    <x v="2"/>
  </r>
  <r>
    <s v="CTCP Finhay"/>
    <s v="31/12/2024"/>
    <m/>
    <s v="Phân bổ thuế GTGT doanh thu không chịu thuế tháng 11.2024"/>
    <x v="21"/>
    <x v="2"/>
    <n v="24904"/>
    <m/>
    <m/>
    <x v="2"/>
  </r>
  <r>
    <s v="CTCP Finhay"/>
    <s v="31/12/2024"/>
    <m/>
    <s v="Phân bổ thuế GTGT doanh thu không chịu thuế tháng 11.2024"/>
    <x v="2"/>
    <x v="2"/>
    <n v="2965"/>
    <m/>
    <m/>
    <x v="2"/>
  </r>
  <r>
    <s v="CTCP Finhay"/>
    <s v="31/12/2024"/>
    <m/>
    <s v="Phân bổ thuế GTGT doanh thu không chịu thuế tháng 12.2024"/>
    <x v="6"/>
    <x v="2"/>
    <n v="35818"/>
    <m/>
    <m/>
    <x v="2"/>
  </r>
  <r>
    <s v="CTCP Finhay"/>
    <s v="31/12/2024"/>
    <m/>
    <s v="Phân bổ thuế GTGT doanh thu không chịu thuế tháng 12.2024"/>
    <x v="8"/>
    <x v="2"/>
    <n v="37"/>
    <m/>
    <m/>
    <x v="2"/>
  </r>
  <r>
    <s v="CTCP Finhay"/>
    <s v="31/12/2024"/>
    <m/>
    <s v="Phân bổ thuế GTGT doanh thu không chịu thuế tháng 12.2024"/>
    <x v="11"/>
    <x v="2"/>
    <n v="548"/>
    <m/>
    <m/>
    <x v="2"/>
  </r>
  <r>
    <s v="CTCP Finhay"/>
    <s v="31/12/2024"/>
    <m/>
    <s v="Phân bổ thuế GTGT doanh thu không chịu thuế tháng 12.2024"/>
    <x v="10"/>
    <x v="2"/>
    <n v="225"/>
    <m/>
    <m/>
    <x v="2"/>
  </r>
  <r>
    <s v="CTCP Finhay"/>
    <s v="31/12/2024"/>
    <m/>
    <s v="Phân bổ thuế GTGT doanh thu không chịu thuế tháng 12.2024"/>
    <x v="12"/>
    <x v="2"/>
    <n v="6039"/>
    <m/>
    <m/>
    <x v="2"/>
  </r>
  <r>
    <s v="CTCP Finhay"/>
    <s v="31/12/2024"/>
    <m/>
    <s v="Phân bổ thuế GTGT doanh thu không chịu thuế tháng 12.2024"/>
    <x v="5"/>
    <x v="2"/>
    <n v="8035"/>
    <m/>
    <m/>
    <x v="2"/>
  </r>
  <r>
    <s v="CTCP Finhay"/>
    <s v="31/12/2024"/>
    <m/>
    <s v="Phân bổ thuế GTGT doanh thu không chịu thuế tháng 12.2024"/>
    <x v="7"/>
    <x v="2"/>
    <n v="223"/>
    <m/>
    <m/>
    <x v="2"/>
  </r>
  <r>
    <s v="CTCP Finhay"/>
    <s v="31/12/2024"/>
    <m/>
    <s v="Phân bổ thuế GTGT doanh thu không chịu thuế tháng 12.2024"/>
    <x v="20"/>
    <x v="2"/>
    <n v="977"/>
    <m/>
    <m/>
    <x v="2"/>
  </r>
  <r>
    <s v="CTCP Finhay"/>
    <s v="31/12/2024"/>
    <m/>
    <s v="Phân bổ thuế GTGT doanh thu không chịu thuế tháng 10.2024"/>
    <x v="6"/>
    <x v="2"/>
    <n v="44992"/>
    <m/>
    <m/>
    <x v="2"/>
  </r>
  <r>
    <s v="CTCP Finhay"/>
    <s v="31/12/2024"/>
    <m/>
    <s v="Phân bổ thuế GTGT doanh thu không chịu thuế tháng 10.2024"/>
    <x v="22"/>
    <x v="2"/>
    <n v="30122"/>
    <m/>
    <m/>
    <x v="2"/>
  </r>
  <r>
    <s v="CTCP Finhay"/>
    <s v="31/12/2024"/>
    <m/>
    <s v="Phân bổ thuế GTGT doanh thu không chịu thuế tháng 10.2024"/>
    <x v="23"/>
    <x v="2"/>
    <n v="30122"/>
    <m/>
    <m/>
    <x v="2"/>
  </r>
  <r>
    <s v="CTCP Finhay"/>
    <s v="31/12/2024"/>
    <m/>
    <s v="Phân bổ thuế GTGT doanh thu không chịu thuế tháng 10.2024"/>
    <x v="24"/>
    <x v="2"/>
    <n v="10356"/>
    <m/>
    <m/>
    <x v="2"/>
  </r>
  <r>
    <s v="CTCP Finhay"/>
    <s v="31/12/2024"/>
    <m/>
    <s v="Phân bổ thuế GTGT doanh thu không chịu thuế tháng 10.2024"/>
    <x v="11"/>
    <x v="2"/>
    <n v="1020"/>
    <m/>
    <m/>
    <x v="2"/>
  </r>
  <r>
    <s v="CTCP Finhay"/>
    <s v="31/12/2024"/>
    <m/>
    <s v="Phân bổ thuế GTGT doanh thu không chịu thuế tháng 10.2024"/>
    <x v="12"/>
    <x v="2"/>
    <n v="8005"/>
    <m/>
    <m/>
    <x v="2"/>
  </r>
  <r>
    <s v="CTCP Finhay"/>
    <s v="31/12/2024"/>
    <m/>
    <s v="Phí giao dịch tháng 12.2024 của Hợp đồng kỳ hạn, Hợp đồng quyền chọn theo HD 926 ngày 31/12/2024"/>
    <x v="25"/>
    <x v="4"/>
    <n v="300000"/>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EA83C9-A509-4845-8BD9-B9B86937DD54}" name="PivotTable1" cacheId="48"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W4:Y84" firstHeaderRow="0" firstDataRow="1" firstDataCol="1"/>
  <pivotFields count="12">
    <pivotField numFmtId="14" showAll="0"/>
    <pivotField numFmtId="14" showAll="0"/>
    <pivotField showAll="0"/>
    <pivotField showAll="0"/>
    <pivotField showAll="0"/>
    <pivotField showAll="0"/>
    <pivotField showAll="0"/>
    <pivotField showAll="0"/>
    <pivotField axis="axisRow" showAll="0">
      <items count="80">
        <item x="65"/>
        <item x="0"/>
        <item x="1"/>
        <item x="2"/>
        <item x="3"/>
        <item x="4"/>
        <item x="5"/>
        <item x="6"/>
        <item x="7"/>
        <item x="8"/>
        <item x="9"/>
        <item x="10"/>
        <item x="11"/>
        <item x="12"/>
        <item x="13"/>
        <item x="14"/>
        <item x="15"/>
        <item x="16"/>
        <item x="17"/>
        <item x="18"/>
        <item x="19"/>
        <item x="20"/>
        <item x="77"/>
        <item x="66"/>
        <item x="21"/>
        <item x="22"/>
        <item x="67"/>
        <item x="23"/>
        <item x="24"/>
        <item x="25"/>
        <item x="26"/>
        <item x="27"/>
        <item x="28"/>
        <item x="29"/>
        <item x="30"/>
        <item x="31"/>
        <item x="32"/>
        <item x="71"/>
        <item x="33"/>
        <item x="68"/>
        <item x="34"/>
        <item x="35"/>
        <item x="36"/>
        <item x="37"/>
        <item x="38"/>
        <item x="39"/>
        <item x="40"/>
        <item x="41"/>
        <item x="42"/>
        <item x="43"/>
        <item x="69"/>
        <item x="44"/>
        <item x="45"/>
        <item x="76"/>
        <item x="46"/>
        <item x="47"/>
        <item x="48"/>
        <item x="49"/>
        <item x="70"/>
        <item x="51"/>
        <item x="52"/>
        <item x="78"/>
        <item x="53"/>
        <item x="54"/>
        <item x="55"/>
        <item x="56"/>
        <item x="57"/>
        <item x="58"/>
        <item x="72"/>
        <item x="59"/>
        <item x="60"/>
        <item x="61"/>
        <item x="75"/>
        <item x="62"/>
        <item x="63"/>
        <item x="64"/>
        <item x="50"/>
        <item x="73"/>
        <item x="74"/>
        <item t="default"/>
      </items>
    </pivotField>
    <pivotField showAll="0"/>
    <pivotField dataField="1" numFmtId="38" showAll="0"/>
    <pivotField dataField="1" numFmtId="38" showAll="0"/>
  </pivotFields>
  <rowFields count="1">
    <field x="8"/>
  </rowFields>
  <rowItems count="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t="grand">
      <x/>
    </i>
  </rowItems>
  <colFields count="1">
    <field x="-2"/>
  </colFields>
  <colItems count="2">
    <i>
      <x/>
    </i>
    <i i="1">
      <x v="1"/>
    </i>
  </colItems>
  <dataFields count="2">
    <dataField name="Sum of Phát sinh Nợ" fld="10" baseField="0" baseItem="0"/>
    <dataField name="Sum of Phát sinh Có" fld="11" baseField="0" baseItem="0"/>
  </dataFields>
  <formats count="2">
    <format dxfId="189">
      <pivotArea outline="0" collapsedLevelsAreSubtotals="1" fieldPosition="0"/>
    </format>
    <format dxfId="18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576C70-B1A7-429F-A76A-F853A1DEC1FD}" name="PivotTable2" cacheId="49"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V7:X24" firstHeaderRow="0" firstDataRow="1" firstDataCol="1"/>
  <pivotFields count="17">
    <pivotField numFmtId="14" showAll="0"/>
    <pivotField numFmtId="14" showAll="0"/>
    <pivotField showAll="0"/>
    <pivotField showAll="0"/>
    <pivotField showAll="0"/>
    <pivotField showAll="0"/>
    <pivotField showAll="0"/>
    <pivotField showAll="0"/>
    <pivotField axis="axisRow" showAll="0">
      <items count="17">
        <item x="0"/>
        <item x="1"/>
        <item x="2"/>
        <item x="3"/>
        <item x="4"/>
        <item x="5"/>
        <item x="6"/>
        <item x="7"/>
        <item x="8"/>
        <item x="9"/>
        <item x="10"/>
        <item x="11"/>
        <item x="12"/>
        <item x="13"/>
        <item x="14"/>
        <item x="15"/>
        <item t="default"/>
      </items>
    </pivotField>
    <pivotField dataField="1" numFmtId="38" showAll="0"/>
    <pivotField dataField="1" numFmtId="38" showAll="0"/>
    <pivotField showAll="0"/>
    <pivotField showAll="0"/>
    <pivotField showAll="0"/>
    <pivotField showAll="0"/>
    <pivotField showAll="0"/>
    <pivotField showAll="0"/>
  </pivotFields>
  <rowFields count="1">
    <field x="8"/>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Sum of Phát sinh Nợ" fld="9" baseField="0" baseItem="0"/>
    <dataField name="Sum of Phát sinh Có" fld="10" baseField="0" baseItem="0"/>
  </dataFields>
  <formats count="1">
    <format dxfId="1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273CA2-6ACF-40C5-BAA3-7CA7F740E151}" name="PivotTable4"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5:R10" firstHeaderRow="1" firstDataRow="1" firstDataCol="1"/>
  <pivotFields count="12">
    <pivotField numFmtId="14" showAll="0"/>
    <pivotField numFmtId="14" showAll="0"/>
    <pivotField showAll="0"/>
    <pivotField showAll="0"/>
    <pivotField showAll="0"/>
    <pivotField axis="axisRow" showAll="0">
      <items count="7">
        <item x="2"/>
        <item x="1"/>
        <item m="1" x="4"/>
        <item m="1" x="5"/>
        <item x="0"/>
        <item x="3"/>
        <item t="default"/>
      </items>
    </pivotField>
    <pivotField numFmtId="172" showAll="0"/>
    <pivotField numFmtId="172" showAll="0"/>
    <pivotField showAll="0"/>
    <pivotField showAll="0"/>
    <pivotField showAll="0"/>
    <pivotField dataField="1" numFmtId="172" showAll="0"/>
  </pivotFields>
  <rowFields count="1">
    <field x="5"/>
  </rowFields>
  <rowItems count="5">
    <i>
      <x/>
    </i>
    <i>
      <x v="1"/>
    </i>
    <i>
      <x v="4"/>
    </i>
    <i>
      <x v="5"/>
    </i>
    <i t="grand">
      <x/>
    </i>
  </rowItems>
  <colItems count="1">
    <i/>
  </colItems>
  <dataFields count="1">
    <dataField name="Sum of Dr-Cr" fld="11" baseField="0" baseItem="0" numFmtId="172"/>
  </dataFields>
  <formats count="1">
    <format dxfId="18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51DE5A-A8E2-40DB-82EE-3D500CFE3444}" name="PivotTable1"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5:O15" firstHeaderRow="1" firstDataRow="1" firstDataCol="1"/>
  <pivotFields count="12">
    <pivotField numFmtId="14" showAll="0"/>
    <pivotField numFmtId="14" showAll="0"/>
    <pivotField showAll="0"/>
    <pivotField showAll="0"/>
    <pivotField showAll="0"/>
    <pivotField axis="axisRow" showAll="0">
      <items count="10">
        <item x="4"/>
        <item x="6"/>
        <item x="1"/>
        <item x="2"/>
        <item x="5"/>
        <item x="3"/>
        <item x="7"/>
        <item x="0"/>
        <item x="8"/>
        <item t="default"/>
      </items>
    </pivotField>
    <pivotField showAll="0"/>
    <pivotField showAll="0"/>
    <pivotField showAll="0"/>
    <pivotField showAll="0"/>
    <pivotField showAll="0"/>
    <pivotField dataField="1" numFmtId="172" showAll="0"/>
  </pivotFields>
  <rowFields count="1">
    <field x="5"/>
  </rowFields>
  <rowItems count="10">
    <i>
      <x/>
    </i>
    <i>
      <x v="1"/>
    </i>
    <i>
      <x v="2"/>
    </i>
    <i>
      <x v="3"/>
    </i>
    <i>
      <x v="4"/>
    </i>
    <i>
      <x v="5"/>
    </i>
    <i>
      <x v="6"/>
    </i>
    <i>
      <x v="7"/>
    </i>
    <i>
      <x v="8"/>
    </i>
    <i t="grand">
      <x/>
    </i>
  </rowItems>
  <colItems count="1">
    <i/>
  </colItems>
  <dataFields count="1">
    <dataField name="Sum of Dr-Cr" fld="11" baseField="0" baseItem="0"/>
  </dataFields>
  <formats count="1">
    <format dxfId="185">
      <pivotArea collapsedLevelsAreSubtotals="1"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A8BB30-38DF-49E4-8F2B-D7ED84D57C11}" name="PivotTable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S21" firstHeaderRow="1" firstDataRow="1" firstDataCol="1"/>
  <pivotFields count="14">
    <pivotField numFmtId="14" showAll="0"/>
    <pivotField numFmtId="14" showAll="0"/>
    <pivotField showAll="0"/>
    <pivotField showAll="0"/>
    <pivotField showAll="0"/>
    <pivotField showAll="0"/>
    <pivotField axis="axisRow" showAll="0">
      <items count="23">
        <item x="10"/>
        <item x="0"/>
        <item x="1"/>
        <item x="2"/>
        <item m="1" x="20"/>
        <item m="1" x="14"/>
        <item m="1" x="15"/>
        <item x="3"/>
        <item x="4"/>
        <item x="5"/>
        <item m="1" x="21"/>
        <item m="1" x="16"/>
        <item x="6"/>
        <item x="7"/>
        <item x="11"/>
        <item x="8"/>
        <item x="9"/>
        <item m="1" x="17"/>
        <item m="1" x="18"/>
        <item m="1" x="19"/>
        <item x="12"/>
        <item x="13"/>
        <item t="default"/>
      </items>
    </pivotField>
    <pivotField numFmtId="172" showAll="0"/>
    <pivotField numFmtId="172" showAll="0"/>
    <pivotField showAll="0"/>
    <pivotField showAll="0"/>
    <pivotField showAll="0"/>
    <pivotField showAll="0"/>
    <pivotField dataField="1" numFmtId="172" showAll="0"/>
  </pivotFields>
  <rowFields count="1">
    <field x="6"/>
  </rowFields>
  <rowItems count="15">
    <i>
      <x/>
    </i>
    <i>
      <x v="1"/>
    </i>
    <i>
      <x v="2"/>
    </i>
    <i>
      <x v="3"/>
    </i>
    <i>
      <x v="7"/>
    </i>
    <i>
      <x v="8"/>
    </i>
    <i>
      <x v="9"/>
    </i>
    <i>
      <x v="12"/>
    </i>
    <i>
      <x v="13"/>
    </i>
    <i>
      <x v="14"/>
    </i>
    <i>
      <x v="15"/>
    </i>
    <i>
      <x v="16"/>
    </i>
    <i>
      <x v="20"/>
    </i>
    <i>
      <x v="21"/>
    </i>
    <i t="grand">
      <x/>
    </i>
  </rowItems>
  <colItems count="1">
    <i/>
  </colItems>
  <dataFields count="1">
    <dataField name="Sum of Dr-Cr" fld="13" baseField="0" baseItem="0"/>
  </dataFields>
  <formats count="1">
    <format dxfId="184">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399EBC-41AF-4283-840F-F6FA049F2465}" name="PivotTable2"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7:Y17" firstHeaderRow="1" firstDataRow="1" firstDataCol="1" rowPageCount="1" colPageCount="1"/>
  <pivotFields count="20">
    <pivotField numFmtId="14" showAll="0"/>
    <pivotField numFmtId="14" showAll="0"/>
    <pivotField showAll="0"/>
    <pivotField showAll="0"/>
    <pivotField showAll="0"/>
    <pivotField showAll="0"/>
    <pivotField showAll="0"/>
    <pivotField axis="axisRow" showAll="0">
      <items count="81">
        <item x="62"/>
        <item x="0"/>
        <item x="1"/>
        <item x="2"/>
        <item x="3"/>
        <item x="4"/>
        <item x="5"/>
        <item x="6"/>
        <item x="7"/>
        <item x="8"/>
        <item x="9"/>
        <item x="10"/>
        <item x="11"/>
        <item x="12"/>
        <item x="13"/>
        <item x="17"/>
        <item x="14"/>
        <item x="15"/>
        <item x="16"/>
        <item x="63"/>
        <item x="79"/>
        <item x="18"/>
        <item x="24"/>
        <item x="19"/>
        <item x="20"/>
        <item x="73"/>
        <item x="21"/>
        <item x="64"/>
        <item x="22"/>
        <item x="23"/>
        <item x="74"/>
        <item x="25"/>
        <item x="71"/>
        <item x="75"/>
        <item x="26"/>
        <item x="27"/>
        <item x="28"/>
        <item x="29"/>
        <item x="30"/>
        <item x="31"/>
        <item x="76"/>
        <item x="65"/>
        <item x="32"/>
        <item x="33"/>
        <item x="72"/>
        <item x="34"/>
        <item x="35"/>
        <item x="77"/>
        <item x="36"/>
        <item x="37"/>
        <item x="38"/>
        <item x="39"/>
        <item x="40"/>
        <item x="41"/>
        <item x="42"/>
        <item x="43"/>
        <item x="44"/>
        <item x="45"/>
        <item x="46"/>
        <item x="69"/>
        <item x="47"/>
        <item x="48"/>
        <item x="49"/>
        <item x="50"/>
        <item x="66"/>
        <item x="51"/>
        <item x="78"/>
        <item x="52"/>
        <item x="53"/>
        <item x="67"/>
        <item x="54"/>
        <item x="55"/>
        <item x="56"/>
        <item x="57"/>
        <item x="58"/>
        <item x="59"/>
        <item x="68"/>
        <item x="60"/>
        <item x="70"/>
        <item x="61"/>
        <item t="default"/>
      </items>
    </pivotField>
    <pivotField axis="axisPage" showAll="0">
      <items count="10">
        <item x="7"/>
        <item x="0"/>
        <item x="1"/>
        <item x="2"/>
        <item x="3"/>
        <item x="4"/>
        <item x="5"/>
        <item x="8"/>
        <item x="6"/>
        <item t="default"/>
      </items>
    </pivotField>
    <pivotField numFmtId="38" showAll="0"/>
    <pivotField numFmtId="38" showAll="0"/>
    <pivotField showAll="0"/>
    <pivotField showAll="0"/>
    <pivotField showAll="0"/>
    <pivotField showAll="0"/>
    <pivotField showAll="0"/>
    <pivotField showAll="0"/>
    <pivotField showAll="0"/>
    <pivotField showAll="0"/>
    <pivotField dataField="1" numFmtId="38" showAll="0"/>
  </pivotFields>
  <rowFields count="1">
    <field x="7"/>
  </rowFields>
  <rowItems count="10">
    <i>
      <x v="22"/>
    </i>
    <i>
      <x v="23"/>
    </i>
    <i>
      <x v="24"/>
    </i>
    <i>
      <x v="25"/>
    </i>
    <i>
      <x v="26"/>
    </i>
    <i>
      <x v="27"/>
    </i>
    <i>
      <x v="28"/>
    </i>
    <i>
      <x v="29"/>
    </i>
    <i>
      <x v="30"/>
    </i>
    <i t="grand">
      <x/>
    </i>
  </rowItems>
  <colItems count="1">
    <i/>
  </colItems>
  <pageFields count="1">
    <pageField fld="8" item="4" hier="-1"/>
  </pageFields>
  <dataFields count="1">
    <dataField name="Sum of Dr-Cr" fld="19" baseField="0" baseItem="0" numFmtId="172"/>
  </dataFields>
  <formats count="1">
    <format dxfId="1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C93EB8-962A-4833-A862-3B8950C9C227}" name="PivotTable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8:T105" firstHeaderRow="1" firstDataRow="1" firstDataCol="1"/>
  <pivotFields count="14">
    <pivotField numFmtId="176" showAll="0"/>
    <pivotField showAll="0"/>
    <pivotField showAll="0"/>
    <pivotField showAll="0"/>
    <pivotField showAll="0"/>
    <pivotField showAll="0"/>
    <pivotField showAll="0"/>
    <pivotField numFmtId="172" showAll="0"/>
    <pivotField numFmtId="4" showAll="0"/>
    <pivotField numFmtId="4" showAll="0"/>
    <pivotField showAll="0"/>
    <pivotField showAll="0"/>
    <pivotField axis="axisRow"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2"/>
        <item x="43"/>
        <item x="45"/>
        <item x="44"/>
        <item x="46"/>
        <item x="47"/>
        <item x="49"/>
        <item x="48"/>
        <item x="52"/>
        <item x="51"/>
        <item x="53"/>
        <item x="54"/>
        <item x="57"/>
        <item x="69"/>
        <item x="70"/>
        <item x="71"/>
        <item x="72"/>
        <item x="73"/>
        <item x="74"/>
        <item x="75"/>
        <item x="76"/>
        <item x="77"/>
        <item x="78"/>
        <item x="79"/>
        <item x="80"/>
        <item x="81"/>
        <item x="82"/>
        <item x="83"/>
        <item x="84"/>
        <item x="85"/>
        <item x="0"/>
        <item x="41"/>
        <item x="50"/>
        <item x="55"/>
        <item x="56"/>
        <item x="58"/>
        <item x="59"/>
        <item x="60"/>
        <item x="61"/>
        <item x="62"/>
        <item x="63"/>
        <item x="64"/>
        <item x="65"/>
        <item x="66"/>
        <item x="67"/>
        <item x="68"/>
        <item m="1" x="96"/>
        <item m="1" x="97"/>
        <item x="88"/>
        <item x="91"/>
        <item x="92"/>
        <item x="93"/>
        <item x="94"/>
        <item x="95"/>
        <item x="86"/>
        <item x="87"/>
        <item x="89"/>
        <item x="90"/>
        <item t="default"/>
      </items>
    </pivotField>
    <pivotField dataField="1" numFmtId="172" showAll="0"/>
  </pivotFields>
  <rowFields count="1">
    <field x="12"/>
  </rowFields>
  <rowItems count="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8"/>
    </i>
    <i>
      <x v="89"/>
    </i>
    <i>
      <x v="90"/>
    </i>
    <i>
      <x v="91"/>
    </i>
    <i>
      <x v="92"/>
    </i>
    <i>
      <x v="93"/>
    </i>
    <i>
      <x v="94"/>
    </i>
    <i>
      <x v="95"/>
    </i>
    <i>
      <x v="96"/>
    </i>
    <i>
      <x v="97"/>
    </i>
    <i t="grand">
      <x/>
    </i>
  </rowItems>
  <colItems count="1">
    <i/>
  </colItems>
  <dataFields count="1">
    <dataField name="Sum of 14" fld="13" baseField="0" baseItem="0" numFmtId="172"/>
  </dataFields>
  <formats count="1">
    <format dxfId="1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4488DE-BB5A-4534-947D-489667C87F27}" name="PivotTable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P28" firstHeaderRow="1" firstDataRow="1" firstDataCol="1" rowPageCount="1" colPageCount="1"/>
  <pivotFields count="10">
    <pivotField showAll="0"/>
    <pivotField showAll="0"/>
    <pivotField showAll="0"/>
    <pivotField showAll="0"/>
    <pivotField axis="axisRow" showAll="0">
      <items count="29">
        <item x="4"/>
        <item x="16"/>
        <item x="24"/>
        <item m="1" x="27"/>
        <item x="2"/>
        <item x="8"/>
        <item x="25"/>
        <item x="0"/>
        <item x="19"/>
        <item x="3"/>
        <item x="10"/>
        <item x="18"/>
        <item x="20"/>
        <item x="13"/>
        <item x="21"/>
        <item x="17"/>
        <item x="14"/>
        <item x="12"/>
        <item x="11"/>
        <item x="6"/>
        <item m="1" x="26"/>
        <item x="22"/>
        <item x="9"/>
        <item x="1"/>
        <item x="5"/>
        <item x="15"/>
        <item x="7"/>
        <item x="23"/>
        <item t="default"/>
      </items>
    </pivotField>
    <pivotField axis="axisRow" showAll="0">
      <items count="6">
        <item x="4"/>
        <item x="1"/>
        <item x="2"/>
        <item x="0"/>
        <item x="3"/>
        <item t="default"/>
      </items>
    </pivotField>
    <pivotField dataField="1" numFmtId="3" showAll="0"/>
    <pivotField showAll="0"/>
    <pivotField showAll="0"/>
    <pivotField axis="axisPage" showAll="0">
      <items count="4">
        <item x="1"/>
        <item x="0"/>
        <item x="2"/>
        <item t="default"/>
      </items>
    </pivotField>
  </pivotFields>
  <rowFields count="2">
    <field x="5"/>
    <field x="4"/>
  </rowFields>
  <rowItems count="25">
    <i>
      <x/>
    </i>
    <i r="1">
      <x v="6"/>
    </i>
    <i>
      <x v="2"/>
    </i>
    <i r="1">
      <x v="1"/>
    </i>
    <i r="1">
      <x v="2"/>
    </i>
    <i r="1">
      <x v="4"/>
    </i>
    <i r="1">
      <x v="5"/>
    </i>
    <i r="1">
      <x v="8"/>
    </i>
    <i r="1">
      <x v="10"/>
    </i>
    <i r="1">
      <x v="11"/>
    </i>
    <i r="1">
      <x v="12"/>
    </i>
    <i r="1">
      <x v="13"/>
    </i>
    <i r="1">
      <x v="14"/>
    </i>
    <i r="1">
      <x v="15"/>
    </i>
    <i r="1">
      <x v="16"/>
    </i>
    <i r="1">
      <x v="17"/>
    </i>
    <i r="1">
      <x v="18"/>
    </i>
    <i r="1">
      <x v="19"/>
    </i>
    <i r="1">
      <x v="21"/>
    </i>
    <i r="1">
      <x v="22"/>
    </i>
    <i r="1">
      <x v="24"/>
    </i>
    <i r="1">
      <x v="25"/>
    </i>
    <i r="1">
      <x v="26"/>
    </i>
    <i r="1">
      <x v="27"/>
    </i>
    <i t="grand">
      <x/>
    </i>
  </rowItems>
  <colItems count="1">
    <i/>
  </colItems>
  <pageFields count="1">
    <pageField fld="9" item="2" hier="-1"/>
  </pageFields>
  <dataFields count="1">
    <dataField name="Sum of Số tiền" fld="6"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397E0C-EA75-4C2F-94B4-F09269883402}" name="PivotTable1" cacheId="4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R4:T32" firstHeaderRow="0" firstDataRow="1" firstDataCol="1"/>
  <pivotFields count="14">
    <pivotField numFmtId="14" showAll="0"/>
    <pivotField numFmtId="14" showAll="0"/>
    <pivotField showAll="0"/>
    <pivotField showAll="0"/>
    <pivotField showAll="0"/>
    <pivotField showAll="0"/>
    <pivotField axis="axisRow" showAll="0">
      <items count="29">
        <item x="20"/>
        <item x="0"/>
        <item x="1"/>
        <item m="1" x="27"/>
        <item x="3"/>
        <item x="21"/>
        <item x="4"/>
        <item x="5"/>
        <item x="22"/>
        <item x="6"/>
        <item x="25"/>
        <item x="7"/>
        <item x="8"/>
        <item x="9"/>
        <item x="10"/>
        <item x="23"/>
        <item x="11"/>
        <item x="12"/>
        <item x="13"/>
        <item x="14"/>
        <item x="15"/>
        <item x="16"/>
        <item x="17"/>
        <item x="26"/>
        <item x="18"/>
        <item x="24"/>
        <item x="19"/>
        <item x="2"/>
        <item t="default"/>
      </items>
    </pivotField>
    <pivotField showAll="0"/>
    <pivotField dataField="1" numFmtId="38" showAll="0"/>
    <pivotField dataField="1" numFmtId="38" showAll="0"/>
    <pivotField showAll="0"/>
    <pivotField showAll="0"/>
    <pivotField showAll="0"/>
    <pivotField showAll="0"/>
  </pivotFields>
  <rowFields count="1">
    <field x="6"/>
  </rowFields>
  <rowItems count="28">
    <i>
      <x/>
    </i>
    <i>
      <x v="1"/>
    </i>
    <i>
      <x v="2"/>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
    <i>
      <x/>
    </i>
    <i i="1">
      <x v="1"/>
    </i>
  </colItems>
  <dataFields count="2">
    <dataField name="Sum of Phát sinh Nợ" fld="8" baseField="0" baseItem="0"/>
    <dataField name="Sum of Phát sinh Có" fld="9" baseField="0" baseItem="0"/>
  </dataFields>
  <formats count="1">
    <format dxfId="1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3B5017-D123-4421-9609-963952010CEA}" name="PivotTable1"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Q5:S9" firstHeaderRow="0" firstDataRow="1" firstDataCol="1" rowPageCount="1" colPageCount="1"/>
  <pivotFields count="10">
    <pivotField numFmtId="14" showAll="0"/>
    <pivotField numFmtId="14" showAll="0"/>
    <pivotField showAll="0"/>
    <pivotField showAll="0"/>
    <pivotField showAll="0"/>
    <pivotField axis="axisPage" showAll="0">
      <items count="5">
        <item x="2"/>
        <item x="1"/>
        <item x="3"/>
        <item x="0"/>
        <item t="default"/>
      </items>
    </pivotField>
    <pivotField axis="axisRow" showAll="0">
      <items count="5">
        <item x="1"/>
        <item x="0"/>
        <item x="2"/>
        <item x="3"/>
        <item t="default"/>
      </items>
    </pivotField>
    <pivotField showAll="0"/>
    <pivotField dataField="1" numFmtId="38" showAll="0"/>
    <pivotField dataField="1" numFmtId="38" showAll="0"/>
  </pivotFields>
  <rowFields count="1">
    <field x="6"/>
  </rowFields>
  <rowItems count="4">
    <i>
      <x/>
    </i>
    <i>
      <x v="1"/>
    </i>
    <i>
      <x v="2"/>
    </i>
    <i t="grand">
      <x/>
    </i>
  </rowItems>
  <colFields count="1">
    <field x="-2"/>
  </colFields>
  <colItems count="2">
    <i>
      <x/>
    </i>
    <i i="1">
      <x v="1"/>
    </i>
  </colItems>
  <pageFields count="1">
    <pageField fld="5" item="3" hier="-1"/>
  </pageFields>
  <dataFields count="2">
    <dataField name="Sum of Phát sinh Nợ" fld="8" baseField="0" baseItem="0"/>
    <dataField name="Sum of Phát sinh Có" fld="9" baseField="0" baseItem="0"/>
  </dataFields>
  <formats count="1">
    <format dxfId="1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E53216-9CC0-4C05-AF59-117A665A2873}" name="PivotTable2" cacheId="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Q3:S10" firstHeaderRow="0" firstDataRow="1" firstDataCol="1"/>
  <pivotFields count="14">
    <pivotField numFmtId="14" showAll="0"/>
    <pivotField numFmtId="14" showAll="0"/>
    <pivotField showAll="0"/>
    <pivotField showAll="0"/>
    <pivotField showAll="0"/>
    <pivotField showAll="0"/>
    <pivotField axis="axisRow" showAll="0">
      <items count="7">
        <item x="4"/>
        <item x="0"/>
        <item x="1"/>
        <item x="2"/>
        <item x="3"/>
        <item x="5"/>
        <item t="default"/>
      </items>
    </pivotField>
    <pivotField showAll="0"/>
    <pivotField dataField="1" numFmtId="38" showAll="0"/>
    <pivotField dataField="1" numFmtId="38" showAll="0"/>
    <pivotField showAll="0"/>
    <pivotField showAll="0"/>
    <pivotField showAll="0"/>
    <pivotField numFmtId="38" showAll="0"/>
  </pivotFields>
  <rowFields count="1">
    <field x="6"/>
  </rowFields>
  <rowItems count="7">
    <i>
      <x/>
    </i>
    <i>
      <x v="1"/>
    </i>
    <i>
      <x v="2"/>
    </i>
    <i>
      <x v="3"/>
    </i>
    <i>
      <x v="4"/>
    </i>
    <i>
      <x v="5"/>
    </i>
    <i t="grand">
      <x/>
    </i>
  </rowItems>
  <colFields count="1">
    <field x="-2"/>
  </colFields>
  <colItems count="2">
    <i>
      <x/>
    </i>
    <i i="1">
      <x v="1"/>
    </i>
  </colItems>
  <dataFields count="2">
    <dataField name="Sum of Phát sinh Nợ" fld="8" baseField="0" baseItem="0"/>
    <dataField name="Sum of Phát sinh Có" fld="9" baseField="0" baseItem="0"/>
  </dataFields>
  <formats count="1">
    <format dxfId="1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F9D481-02CB-4206-A7BA-F883A3D64ECE}" name="PivotTable3"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20:N47" firstHeaderRow="1" firstDataRow="1" firstDataCol="1" rowPageCount="1" colPageCount="1"/>
  <pivotFields count="9">
    <pivotField numFmtId="14" showAll="0"/>
    <pivotField showAll="0"/>
    <pivotField showAll="0"/>
    <pivotField showAll="0"/>
    <pivotField axis="axisPage" showAll="0">
      <items count="11">
        <item x="8"/>
        <item x="1"/>
        <item x="9"/>
        <item x="6"/>
        <item x="7"/>
        <item x="2"/>
        <item x="3"/>
        <item x="5"/>
        <item x="4"/>
        <item x="0"/>
        <item t="default"/>
      </items>
    </pivotField>
    <pivotField axis="axisRow" showAll="0">
      <items count="28">
        <item x="0"/>
        <item x="23"/>
        <item x="24"/>
        <item x="1"/>
        <item x="5"/>
        <item x="6"/>
        <item x="25"/>
        <item x="7"/>
        <item x="8"/>
        <item x="9"/>
        <item x="10"/>
        <item x="19"/>
        <item x="20"/>
        <item x="11"/>
        <item x="12"/>
        <item x="13"/>
        <item x="21"/>
        <item x="22"/>
        <item x="15"/>
        <item x="2"/>
        <item x="17"/>
        <item x="3"/>
        <item x="4"/>
        <item x="18"/>
        <item x="14"/>
        <item x="16"/>
        <item x="26"/>
        <item t="default"/>
      </items>
    </pivotField>
    <pivotField dataField="1" showAll="0"/>
    <pivotField showAll="0"/>
    <pivotField showAll="0"/>
  </pivotFields>
  <rowFields count="1">
    <field x="5"/>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pageFields count="1">
    <pageField fld="4" item="9" hier="-1"/>
  </pageFields>
  <dataFields count="1">
    <dataField name="Sum of Phát sinh" fld="6" baseField="0" baseItem="0" numFmtId="172"/>
  </dataFields>
  <formats count="1">
    <format dxfId="1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456C2B-9574-4779-8CF7-66163B97A54F}" name="PivotTable2"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4:N14" firstHeaderRow="1" firstDataRow="1" firstDataCol="1" rowPageCount="1" colPageCount="1"/>
  <pivotFields count="9">
    <pivotField numFmtId="14" showAll="0"/>
    <pivotField showAll="0"/>
    <pivotField showAll="0"/>
    <pivotField showAll="0"/>
    <pivotField axis="axisRow" showAll="0">
      <items count="11">
        <item x="8"/>
        <item x="1"/>
        <item x="9"/>
        <item x="6"/>
        <item x="7"/>
        <item x="2"/>
        <item x="3"/>
        <item x="5"/>
        <item x="4"/>
        <item x="0"/>
        <item t="default"/>
      </items>
    </pivotField>
    <pivotField axis="axisPage" showAll="0">
      <items count="28">
        <item x="0"/>
        <item x="23"/>
        <item x="24"/>
        <item x="1"/>
        <item x="5"/>
        <item x="6"/>
        <item x="25"/>
        <item x="7"/>
        <item x="8"/>
        <item x="9"/>
        <item x="10"/>
        <item x="19"/>
        <item x="20"/>
        <item x="11"/>
        <item x="12"/>
        <item x="13"/>
        <item x="21"/>
        <item x="22"/>
        <item x="15"/>
        <item x="2"/>
        <item x="17"/>
        <item x="3"/>
        <item x="4"/>
        <item x="18"/>
        <item x="14"/>
        <item x="16"/>
        <item x="26"/>
        <item t="default"/>
      </items>
    </pivotField>
    <pivotField dataField="1" showAll="0"/>
    <pivotField showAll="0"/>
    <pivotField showAll="0"/>
  </pivotFields>
  <rowFields count="1">
    <field x="4"/>
  </rowFields>
  <rowItems count="10">
    <i>
      <x/>
    </i>
    <i>
      <x v="1"/>
    </i>
    <i>
      <x v="2"/>
    </i>
    <i>
      <x v="3"/>
    </i>
    <i>
      <x v="4"/>
    </i>
    <i>
      <x v="5"/>
    </i>
    <i>
      <x v="6"/>
    </i>
    <i>
      <x v="7"/>
    </i>
    <i>
      <x v="8"/>
    </i>
    <i t="grand">
      <x/>
    </i>
  </rowItems>
  <colItems count="1">
    <i/>
  </colItems>
  <pageFields count="1">
    <pageField fld="5" item="26" hier="-1"/>
  </pageFields>
  <dataFields count="1">
    <dataField name="Sum of Phát sinh" fld="6" baseField="0" baseItem="0" numFmtId="172"/>
  </dataFields>
  <formats count="1">
    <format dxfId="1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A21" dT="2025-04-02T10:28:47.49" personId="{2BB7FB93-7E60-49BE-BF2D-1A847FD5E432}" id="{74F7D1FE-128D-48D9-8E0D-8AC4516108E9}" done="1">
    <text>VNSC có thêm bút chi phí thuế TNDN hoãn lại -&gt; Tổng tài sản 339.734.388.099</text>
  </threadedComment>
  <threadedComment ref="AA21" dT="2025-04-14T03:10:28.10" personId="{180807D2-E43E-4C64-AF60-D60D3BF4DE6D}" id="{9CC48669-9856-4858-8612-45C1C18EE723}" parentId="{74F7D1FE-128D-48D9-8E0D-8AC4516108E9}">
    <text>Updated VNSC</text>
  </threadedComment>
</ThreadedComments>
</file>

<file path=xl/threadedComments/threadedComment2.xml><?xml version="1.0" encoding="utf-8"?>
<ThreadedComments xmlns="http://schemas.microsoft.com/office/spreadsheetml/2018/threadedcomments" xmlns:x="http://schemas.openxmlformats.org/spreadsheetml/2006/main">
  <threadedComment ref="AX26" dT="2025-04-02T10:21:46.62" personId="{2BB7FB93-7E60-49BE-BF2D-1A847FD5E432}" id="{141C24AA-2323-4F84-8D21-3B66403B74AC}" done="1">
    <text>revert sai tk 1211 và 1212</text>
  </threadedComment>
  <threadedComment ref="AX26" dT="2025-04-10T03:42:14.89" personId="{180807D2-E43E-4C64-AF60-D60D3BF4DE6D}" id="{DF43788B-4669-4BEF-B39F-9BAAFFFE1E0F}" parentId="{141C24AA-2323-4F84-8D21-3B66403B74AC}">
    <text>Revised</text>
  </threadedComment>
  <threadedComment ref="B31" dT="2025-05-06T03:38:46.42" personId="{2BB7FB93-7E60-49BE-BF2D-1A847FD5E432}" id="{E50313CA-FD17-48BA-9322-F50D82D24810}">
    <text>Phân loại vào tiền và các khoản tương đương tiền 112</text>
  </threadedComment>
  <threadedComment ref="AX46" dT="2025-04-08T04:34:44.81" personId="{2BB7FB93-7E60-49BE-BF2D-1A847FD5E432}" id="{AD22F58E-7B0E-45F5-8BA7-5EA81B321104}" done="1">
    <text>Số đúng: 1.199.509.281</text>
  </threadedComment>
  <threadedComment ref="AX46" dT="2025-04-14T04:06:04.40" personId="{180807D2-E43E-4C64-AF60-D60D3BF4DE6D}" id="{C564A0DE-B1EA-43EF-83C4-1B06BB04B443}" parentId="{AD22F58E-7B0E-45F5-8BA7-5EA81B321104}">
    <text>Đã bổ sung bút toán 13A ở dưới.
Nguyên tắc của bút toán này là revert hết số dư của Dự thu Trái phiếu &amp; Dự thu CCTG trên 1321 ra.
Năm ngoái đã vợt 1 tỷ 796 ---&gt; vào 4211.
Năm nay vợt thêm 242 triệu
Kết quả là dư trên 1321 chỉ còn lãi dự thu Margin của VNSC. (1 tỷ  186). 1 tỷ 199 vẫn bao gồm 12 triệu dự thu CCTG nhé.</text>
  </threadedComment>
  <threadedComment ref="AX46" dT="2025-04-16T07:32:13.14" personId="{2BB7FB93-7E60-49BE-BF2D-1A847FD5E432}" id="{3B12D319-6752-4AA6-88E2-1D13B3F97B0C}" parentId="{AD22F58E-7B0E-45F5-8BA7-5EA81B321104}">
    <text>Số đúng là 1,186,654,488 + 7,101,369 (Lãi hợp đồng tiền gửi ở TCB)</text>
  </threadedComment>
  <threadedComment ref="AX46" dT="2025-04-17T02:27:03.10" personId="{180807D2-E43E-4C64-AF60-D60D3BF4DE6D}" id="{4E473CF4-1CD9-41DA-95F8-207B9EB915B7}" parentId="{AD22F58E-7B0E-45F5-8BA7-5EA81B321104}">
    <text>1 tỷ 186 + 7 triệu 101 = 1 tỷ 193 nhé. Revised</text>
  </threadedComment>
  <threadedComment ref="AX90" dT="2025-04-08T04:38:33.61" personId="{2BB7FB93-7E60-49BE-BF2D-1A847FD5E432}" id="{E1FADF39-8EA8-4758-AAFA-323CC1278BCB}" done="1">
    <text>Sao lại có số dư đầu tư vào công ty con trên Consol ạ</text>
  </threadedComment>
  <threadedComment ref="AX90" dT="2025-04-10T08:12:20.07" personId="{180807D2-E43E-4C64-AF60-D60D3BF4DE6D}" id="{A11D684F-65FD-44C8-8665-53C6B4C57120}" parentId="{E1FADF39-8EA8-4758-AAFA-323CC1278BCB}">
    <text>REvised</text>
  </threadedComment>
  <threadedComment ref="AH102" dT="2025-04-02T10:28:40.63" personId="{2BB7FB93-7E60-49BE-BF2D-1A847FD5E432}" id="{41C07465-7D68-4813-AA39-DE2E7F12C13D}" done="1">
    <text>VNSC có thêm bút chi phí thuế TNDN hoãn lại -&gt; Tổng tài sản 339.734.388.099</text>
  </threadedComment>
  <threadedComment ref="AH102" dT="2025-04-10T09:41:46.07" personId="{180807D2-E43E-4C64-AF60-D60D3BF4DE6D}" id="{97219293-5359-4B0D-AB61-D0B8BB33788F}" parentId="{41C07465-7D68-4813-AA39-DE2E7F12C13D}">
    <text>Revised</text>
  </threadedComment>
  <threadedComment ref="AX175" dT="2025-04-18T04:36:02.40" personId="{2BB7FB93-7E60-49BE-BF2D-1A847FD5E432}" id="{F883E145-F63C-461A-B88D-07E91BB89639}">
    <text>Lệch 5đ so vs báo cáo 2023</text>
  </threadedComment>
</ThreadedComments>
</file>

<file path=xl/threadedComments/threadedComment3.xml><?xml version="1.0" encoding="utf-8"?>
<ThreadedComments xmlns="http://schemas.microsoft.com/office/spreadsheetml/2018/threadedcomments" xmlns:x="http://schemas.openxmlformats.org/spreadsheetml/2006/main">
  <threadedComment ref="H62" dT="2025-04-02T10:23:55.56" personId="{2BB7FB93-7E60-49BE-BF2D-1A847FD5E432}" id="{9ADB6036-22C3-41B1-8F78-B72A6E27BF61}" done="1">
    <text>revert trên số dư ko cần rebook vì sổ VNSC đã revert</text>
  </threadedComment>
  <threadedComment ref="H62" dT="2025-04-06T13:58:48.46" personId="{2BB7FB93-7E60-49BE-BF2D-1A847FD5E432}" id="{C4DEFE13-DF75-4B4A-9095-FDC1DDA52D6C}" parentId="{9ADB6036-22C3-41B1-8F78-B72A6E27BF61}">
    <text>Số dư 1321 trên LS = Lãi hợp đồng tiền gửi + Lãi phải thu vay Margin</text>
  </threadedComment>
  <threadedComment ref="H62" dT="2025-04-14T04:04:34.93" personId="{180807D2-E43E-4C64-AF60-D60D3BF4DE6D}" id="{021B14B0-2CAA-4A9E-8BC8-3457D6A45080}" parentId="{9ADB6036-22C3-41B1-8F78-B72A6E27BF61}">
    <text>Đã bổ sung bút toán 13A ở dưới.
Nguyên tắc của bút toán này là revert hết số dư của Dự thu Trái phiếu &amp; Dự thu CCTG trên 1321 ra.
Năm ngoái đã vợt 1 tỷ 796 ---&gt; vào 4211.
Năm nay vợt thêm 242 triệu
Kết quả là dư trên 1321 chỉ còn lãi dự thu Margin của VNSC. (1 tỷ  186</text>
  </threadedComment>
  <threadedComment ref="H62" dT="2025-04-17T02:30:49.48" personId="{180807D2-E43E-4C64-AF60-D60D3BF4DE6D}" id="{CFEFF2AB-9A4C-4624-B7E2-F74F4ABE9328}" parentId="{9ADB6036-22C3-41B1-8F78-B72A6E27BF61}">
    <text>Đã thêm 7 triệu thu lãi tiền gửi tại TCB.</text>
  </threadedComment>
  <threadedComment ref="K180" dT="2025-04-08T09:43:58.47" personId="{2BB7FB93-7E60-49BE-BF2D-1A847FD5E432}" id="{51DEB765-29C1-4F68-8400-C607D9F7EE7D}" done="1">
    <text>Số đúng: 541.757.342đ</text>
  </threadedComment>
  <threadedComment ref="K180" dT="2025-04-10T10:04:24.23" personId="{180807D2-E43E-4C64-AF60-D60D3BF4DE6D}" id="{876AB833-9EA0-4158-BFE5-2A0F042BFD07}" parentId="{51DEB765-29C1-4F68-8400-C607D9F7EE7D}">
    <text>Cái này lấy theo số báo cáo của VNSC đi. Ref to Note 33.1 Nghiệp vụ với bên liên quan</text>
  </threadedComment>
  <threadedComment ref="K180" dT="2025-04-16T08:01:36.22" personId="{2BB7FB93-7E60-49BE-BF2D-1A847FD5E432}" id="{2A3CC597-93AB-4753-9F7C-5E5A9AA63B0E}" parentId="{51DEB765-29C1-4F68-8400-C607D9F7EE7D}">
    <text>Anh ơi, vụ này lấy theo số đúng đi ạ :(((</text>
  </threadedComment>
  <threadedComment ref="K180" dT="2025-04-17T02:11:36.70" personId="{180807D2-E43E-4C64-AF60-D60D3BF4DE6D}" id="{D08A8232-5273-4EC0-BDB7-0045737D0069}" parentId="{51DEB765-29C1-4F68-8400-C607D9F7EE7D}">
    <text>Revised. Lấy số 541.757.342</text>
  </threadedComment>
  <threadedComment ref="K188" dT="2025-04-08T06:36:41.45" personId="{2BB7FB93-7E60-49BE-BF2D-1A847FD5E432}" id="{36C8297E-B4E5-4F78-A895-47A55EB26AF9}" done="1">
    <text>Số đúng: 19.756.505đ</text>
  </threadedComment>
  <threadedComment ref="K188" dT="2025-04-10T10:04:31.45" personId="{180807D2-E43E-4C64-AF60-D60D3BF4DE6D}" id="{4321CBA1-B62D-47FC-A8DF-B9B79E6765A1}" parentId="{36C8297E-B4E5-4F78-A895-47A55EB26AF9}">
    <text>Cái này lấy theo số báo cáo của VNSC đi. Ref to Note 33.1 Nghiệp vụ với bên liên quan</text>
  </threadedComment>
  <threadedComment ref="K188" dT="2025-04-16T08:01:45.98" personId="{2BB7FB93-7E60-49BE-BF2D-1A847FD5E432}" id="{9FDEF004-9D97-49A9-AC3B-D5A5A8678AEC}" parentId="{36C8297E-B4E5-4F78-A895-47A55EB26AF9}">
    <text>Anh ơi, vụ này lấy theo số đúng đi ạ :(((</text>
  </threadedComment>
  <threadedComment ref="K188" dT="2025-04-17T02:11:58.35" personId="{180807D2-E43E-4C64-AF60-D60D3BF4DE6D}" id="{CEF33257-F32D-40CD-8619-45A3696181BD}" parentId="{36C8297E-B4E5-4F78-A895-47A55EB26AF9}">
    <text>Revised. Lấy số 19.756.505</text>
  </threadedComment>
  <threadedComment ref="F191" dT="2025-05-05T07:05:03.74" personId="{2BB7FB93-7E60-49BE-BF2D-1A847FD5E432}" id="{BFB850C6-14F9-44DD-935F-9347BAD466FF}">
    <text>bút này thừa, trùng trong số bút toán 12</text>
  </threadedComment>
  <threadedComment ref="F191" dT="2025-05-12T07:56:19.34" personId="{180807D2-E43E-4C64-AF60-D60D3BF4DE6D}" id="{A065AA6A-0878-4264-8EF6-DAF48CDCDE1B}" parentId="{BFB850C6-14F9-44DD-935F-9347BAD466FF}">
    <text>Bỏ posted với bút này là ko lên leadsheet nữa.</text>
  </threadedComment>
  <threadedComment ref="F213" dT="2025-05-05T02:33:09.71" personId="{2BB7FB93-7E60-49BE-BF2D-1A847FD5E432}" id="{3921D0D2-8E06-4BEF-A912-1C155C6C84AD}">
    <text>1218</text>
  </threadedComment>
  <threadedComment ref="F213" dT="2025-05-12T08:09:36.58" personId="{180807D2-E43E-4C64-AF60-D60D3BF4DE6D}" id="{F184CBEB-1116-4878-A395-A448C16F22A6}" parentId="{3921D0D2-8E06-4BEF-A912-1C155C6C84AD}">
    <text>Revised 1218</text>
  </threadedComment>
  <threadedComment ref="E220" dT="2025-04-02T10:04:23.01" personId="{2BB7FB93-7E60-49BE-BF2D-1A847FD5E432}" id="{A8DD71DF-6CF6-4882-9DD1-914DF98FCD3A}" done="1">
    <text>Cr</text>
  </threadedComment>
  <threadedComment ref="E220" dT="2025-04-14T03:11:43.97" personId="{180807D2-E43E-4C64-AF60-D60D3BF4DE6D}" id="{CC184A96-2545-421B-BBDE-628766EBC25B}" parentId="{A8DD71DF-6CF6-4882-9DD1-914DF98FCD3A}">
    <text>Revised</text>
  </threadedComment>
</ThreadedComments>
</file>

<file path=xl/threadedComments/threadedComment4.xml><?xml version="1.0" encoding="utf-8"?>
<ThreadedComments xmlns="http://schemas.microsoft.com/office/spreadsheetml/2018/threadedcomments" xmlns:x="http://schemas.openxmlformats.org/spreadsheetml/2006/main">
  <threadedComment ref="B7" dT="2025-03-13T04:00:01.62" personId="{2BB7FB93-7E60-49BE-BF2D-1A847FD5E432}" id="{02CB031A-BB21-4D28-B6C6-A992B51585CE}" done="1">
    <text>Lấy lại danh sách bút toán điều chỉnh của VNSC</text>
  </threadedComment>
  <threadedComment ref="B7" dT="2025-03-19T08:19:12.64" personId="{180807D2-E43E-4C64-AF60-D60D3BF4DE6D}" id="{9DFB73DB-3340-4532-A57F-5779F05A9505}" parentId="{02CB031A-BB21-4D28-B6C6-A992B51585CE}">
    <text>Done</text>
  </threadedComment>
</ThreadedComments>
</file>

<file path=xl/threadedComments/threadedComment5.xml><?xml version="1.0" encoding="utf-8"?>
<ThreadedComments xmlns="http://schemas.microsoft.com/office/spreadsheetml/2018/threadedcomments" xmlns:x="http://schemas.openxmlformats.org/spreadsheetml/2006/main">
  <threadedComment ref="H719" dT="2025-04-16T08:17:59.42" personId="{2BB7FB93-7E60-49BE-BF2D-1A847FD5E432}" id="{E441209F-FA9B-4573-B8C7-807258A03181}" done="1">
    <text>Cuối năm vẫn còn 380k phải thu</text>
  </threadedComment>
  <threadedComment ref="H719" dT="2025-04-17T02:28:19.13" personId="{180807D2-E43E-4C64-AF60-D60D3BF4DE6D}" id="{3E5FED5F-999E-46DC-94B1-0DC903EC91F9}" parentId="{E441209F-FA9B-4573-B8C7-807258A03181}">
    <text>Revised</text>
  </threadedComment>
  <threadedComment ref="J720" dT="2025-04-16T08:19:03.04" personId="{2BB7FB93-7E60-49BE-BF2D-1A847FD5E432}" id="{55052B6D-CEF7-4F28-9D7F-7FCB7E0221F6}" done="1">
    <text>Phí lưu ký 34.106đ</text>
  </threadedComment>
  <threadedComment ref="J720" dT="2025-04-17T02:28:28.49" personId="{180807D2-E43E-4C64-AF60-D60D3BF4DE6D}" id="{4C6E7C28-9B12-4AAD-8832-EC36C2BCEEDD}" parentId="{55052B6D-CEF7-4F28-9D7F-7FCB7E0221F6}">
    <text>Revised</text>
  </threadedComment>
  <threadedComment ref="H722" dT="2025-04-16T08:16:17.94" personId="{2BB7FB93-7E60-49BE-BF2D-1A847FD5E432}" id="{C4C97360-83E9-447A-88AC-D71AD4BE6D81}" done="1">
    <text>4.923.970.017 Phí quản lý danh mục trên thư xác nhận của TVAM</text>
  </threadedComment>
  <threadedComment ref="H722" dT="2025-04-17T02:28:36.77" personId="{180807D2-E43E-4C64-AF60-D60D3BF4DE6D}" id="{37521967-7DCF-487A-9DE5-25259894DBF2}" parentId="{C4C97360-83E9-447A-88AC-D71AD4BE6D81}">
    <text>Revised</text>
  </threadedComment>
  <threadedComment ref="H723" dT="2025-04-16T08:15:13.07" personId="{2BB7FB93-7E60-49BE-BF2D-1A847FD5E432}" id="{9BAAD8CB-9C83-4ACB-B1EB-BB3C9E97B8FC}" done="1">
    <text>723.632.306đ phần bán chờ về trên thư xác nhận của TVAM</text>
  </threadedComment>
  <threadedComment ref="H723" dT="2025-04-17T02:28:46.08" personId="{180807D2-E43E-4C64-AF60-D60D3BF4DE6D}" id="{5BB5E65D-E55D-41DF-9B94-B4E236BB60A8}" parentId="{9BAAD8CB-9C83-4ACB-B1EB-BB3C9E97B8FC}">
    <text>Revised</text>
  </threadedComment>
  <threadedComment ref="J724" dT="2025-04-16T08:20:11.83" personId="{2BB7FB93-7E60-49BE-BF2D-1A847FD5E432}" id="{A9004F50-4222-4105-BF20-DB3C0D2FA0B6}" done="1">
    <text>6277.13 đối ứng 331.01 Thiên Việt: 5.478.358.624</text>
  </threadedComment>
  <threadedComment ref="J724" dT="2025-04-17T02:28:57.95" personId="{180807D2-E43E-4C64-AF60-D60D3BF4DE6D}" id="{81918AD7-0974-4C9A-8FE1-C414C05E8E0B}" parentId="{A9004F50-4222-4105-BF20-DB3C0D2FA0B6}">
    <text>Revised</text>
  </threadedComment>
  <threadedComment ref="J725" dT="2025-04-16T08:22:14.37" personId="{2BB7FB93-7E60-49BE-BF2D-1A847FD5E432}" id="{EBF5D875-2360-428D-A944-14CAB1D10D07}" done="1">
    <text>6277.03 Phí lưu ký: 417.280.341</text>
  </threadedComment>
  <threadedComment ref="J725" dT="2025-04-17T02:29:06.53" personId="{180807D2-E43E-4C64-AF60-D60D3BF4DE6D}" id="{45644A38-B7C7-49F4-A17D-48926644A043}" parentId="{EBF5D875-2360-428D-A944-14CAB1D10D07}">
    <text>Revised</text>
  </threadedComment>
  <threadedComment ref="J726" dT="2025-04-16T08:23:14.92" personId="{2BB7FB93-7E60-49BE-BF2D-1A847FD5E432}" id="{FB938893-6966-432B-8609-04D9D9CC1E58}" done="1">
    <text>6278/811: 22.297.509</text>
  </threadedComment>
  <threadedComment ref="J726" dT="2025-04-17T02:29:15.99" personId="{180807D2-E43E-4C64-AF60-D60D3BF4DE6D}" id="{5B7D8F82-492B-4002-B6CD-FED66C4BBACA}" parentId="{FB938893-6966-432B-8609-04D9D9CC1E58}">
    <text>Revised</text>
  </threadedComment>
  <threadedComment ref="J728" dT="2025-04-16T08:21:20.68" personId="{2BB7FB93-7E60-49BE-BF2D-1A847FD5E432}" id="{1B100281-9EE5-4888-89A0-2B40C55DE46C}" done="1">
    <text>6277.01: 293.245.222</text>
  </threadedComment>
  <threadedComment ref="J728" dT="2025-04-17T02:29:23.94" personId="{180807D2-E43E-4C64-AF60-D60D3BF4DE6D}" id="{0F077C46-E7D3-414E-8D0E-9DD08C5D0B19}" parentId="{1B100281-9EE5-4888-89A0-2B40C55DE46C}">
    <text>Revised</text>
  </threadedComment>
  <threadedComment ref="H755" dT="2025-04-16T08:28:05.32" personId="{2BB7FB93-7E60-49BE-BF2D-1A847FD5E432}" id="{32E216E2-0049-431D-828B-288143C2A99A}" done="1">
    <text>15.691.677 Phải trả khác Nghiêm Xuân Huy</text>
  </threadedComment>
  <threadedComment ref="H755" dT="2025-04-17T02:29:33.90" personId="{180807D2-E43E-4C64-AF60-D60D3BF4DE6D}" id="{791CD039-656F-4BFA-B309-D94B815B1E2D}" parentId="{32E216E2-0049-431D-828B-288143C2A99A}">
    <text>Revised</text>
  </threadedComment>
  <threadedComment ref="K764" dT="2025-04-16T08:32:51.83" personId="{2BB7FB93-7E60-49BE-BF2D-1A847FD5E432}" id="{B23398D8-75D0-4255-A2BA-ADFBBD34D938}" done="1">
    <text>Số theo single đã phát hành đây em nhé</text>
  </threadedComment>
  <threadedComment ref="K764" dT="2025-04-17T02:29:54.12" personId="{180807D2-E43E-4C64-AF60-D60D3BF4DE6D}" id="{1C4257DF-79CA-44E7-8818-58B8036969B7}" parentId="{B23398D8-75D0-4255-A2BA-ADFBBD34D938}">
    <text>Revised</text>
  </threadedComment>
</ThreadedComments>
</file>

<file path=xl/threadedComments/threadedComment6.xml><?xml version="1.0" encoding="utf-8"?>
<ThreadedComments xmlns="http://schemas.microsoft.com/office/spreadsheetml/2018/threadedcomments" xmlns:x="http://schemas.openxmlformats.org/spreadsheetml/2006/main">
  <threadedComment ref="G57" dT="2025-03-24T14:14:38.24" personId="{2BB7FB93-7E60-49BE-BF2D-1A847FD5E432}" id="{C060F322-7E70-4F5B-AF65-F67FD243F354}" done="1">
    <text> 40,864,322,043 </text>
  </threadedComment>
  <threadedComment ref="G57" dT="2025-03-25T02:26:00.82" personId="{180807D2-E43E-4C64-AF60-D60D3BF4DE6D}" id="{6732F193-84E8-4E8A-A24A-0E218232BDCE}" parentId="{C060F322-7E70-4F5B-AF65-F67FD243F354}">
    <text>Revised. Số supposed to be</text>
  </threadedComment>
  <threadedComment ref="F59" dT="2025-03-30T16:19:22.84" personId="{2BB7FB93-7E60-49BE-BF2D-1A847FD5E432}" id="{502068C4-8130-4CEE-AE32-96DB48552FDE}" done="1">
    <text>Note này sửa lại theo số em đưa anh ơi</text>
  </threadedComment>
</ThreadedComment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7.bin"/><Relationship Id="rId1" Type="http://schemas.openxmlformats.org/officeDocument/2006/relationships/hyperlink" Target="https://www.vnsc.vn/wp-content/uploads/2024/08/Bao-cao-tai-chinh-nam-nien-2024-1.pdf" TargetMode="Externa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3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4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49.xml.rels><?xml version="1.0" encoding="UTF-8" standalone="yes"?>
<Relationships xmlns="http://schemas.openxmlformats.org/package/2006/relationships"><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E9C92-872E-467F-9918-5BE392FD912C}">
  <sheetPr codeName="Sheet9"/>
  <dimension ref="A1:I238"/>
  <sheetViews>
    <sheetView workbookViewId="0">
      <selection activeCell="B13" sqref="B12:B13"/>
    </sheetView>
  </sheetViews>
  <sheetFormatPr defaultColWidth="9.140625" defaultRowHeight="12.75"/>
  <cols>
    <col min="1" max="1" width="17.140625" style="2" bestFit="1" customWidth="1"/>
    <col min="2" max="2" width="46.140625" style="2" customWidth="1"/>
    <col min="3" max="4" width="12" style="2" bestFit="1" customWidth="1"/>
    <col min="5" max="6" width="12.85546875" style="2" bestFit="1" customWidth="1"/>
    <col min="7" max="8" width="12" style="2" bestFit="1" customWidth="1"/>
    <col min="9" max="9" width="16.42578125" style="2" bestFit="1" customWidth="1"/>
    <col min="10" max="16384" width="9.140625" style="2"/>
  </cols>
  <sheetData>
    <row r="1" spans="1:9">
      <c r="A1" s="1" t="s">
        <v>0</v>
      </c>
      <c r="B1" s="850" t="s">
        <v>1</v>
      </c>
      <c r="C1" s="850"/>
      <c r="D1" s="850"/>
      <c r="E1" s="850"/>
      <c r="F1" s="850"/>
      <c r="G1" s="850"/>
      <c r="H1" s="850"/>
      <c r="I1" s="850"/>
    </row>
    <row r="2" spans="1:9">
      <c r="A2" s="1" t="s">
        <v>2</v>
      </c>
      <c r="B2" s="852">
        <v>45291</v>
      </c>
      <c r="C2" s="850"/>
      <c r="D2" s="850"/>
      <c r="E2" s="850"/>
      <c r="F2" s="850"/>
      <c r="G2" s="850"/>
      <c r="H2" s="850"/>
      <c r="I2" s="850"/>
    </row>
    <row r="3" spans="1:9">
      <c r="A3" s="3" t="s">
        <v>3</v>
      </c>
      <c r="B3" s="850"/>
      <c r="C3" s="850"/>
      <c r="D3" s="850"/>
      <c r="E3" s="850"/>
      <c r="F3" s="850"/>
      <c r="G3" s="850"/>
      <c r="H3" s="850"/>
      <c r="I3" s="850"/>
    </row>
    <row r="5" spans="1:9" ht="14.25">
      <c r="A5" s="87" t="s">
        <v>4</v>
      </c>
      <c r="B5" s="87" t="s">
        <v>5</v>
      </c>
      <c r="C5" s="88" t="s">
        <v>6</v>
      </c>
      <c r="D5" s="89"/>
      <c r="E5" s="88" t="s">
        <v>7</v>
      </c>
      <c r="F5" s="90"/>
      <c r="G5" s="88" t="s">
        <v>8</v>
      </c>
      <c r="H5" s="89"/>
      <c r="I5" s="850"/>
    </row>
    <row r="6" spans="1:9" ht="14.25">
      <c r="A6" s="727" t="s">
        <v>9</v>
      </c>
      <c r="B6" s="727" t="s">
        <v>10</v>
      </c>
      <c r="C6" s="86" t="s">
        <v>11</v>
      </c>
      <c r="D6" s="79" t="s">
        <v>12</v>
      </c>
      <c r="E6" s="79" t="s">
        <v>11</v>
      </c>
      <c r="F6" s="86" t="s">
        <v>12</v>
      </c>
      <c r="G6" s="86" t="s">
        <v>11</v>
      </c>
      <c r="H6" s="79" t="s">
        <v>12</v>
      </c>
      <c r="I6" s="850"/>
    </row>
    <row r="7" spans="1:9" ht="13.5">
      <c r="A7" s="80" t="s">
        <v>13</v>
      </c>
      <c r="B7" s="81" t="s">
        <v>14</v>
      </c>
      <c r="C7" s="746">
        <v>0</v>
      </c>
      <c r="D7" s="82">
        <v>0</v>
      </c>
      <c r="E7" s="82">
        <v>24800000</v>
      </c>
      <c r="F7" s="746">
        <v>19800000</v>
      </c>
      <c r="G7" s="746">
        <v>5000000</v>
      </c>
      <c r="H7" s="82">
        <v>0</v>
      </c>
      <c r="I7" s="853">
        <f>G7-H7</f>
        <v>5000000</v>
      </c>
    </row>
    <row r="8" spans="1:9" ht="13.5">
      <c r="A8" s="83" t="s">
        <v>15</v>
      </c>
      <c r="B8" s="84" t="s">
        <v>16</v>
      </c>
      <c r="C8" s="747">
        <v>0</v>
      </c>
      <c r="D8" s="85">
        <v>0</v>
      </c>
      <c r="E8" s="85">
        <v>24800000</v>
      </c>
      <c r="F8" s="747">
        <v>19800000</v>
      </c>
      <c r="G8" s="747">
        <v>5000000</v>
      </c>
      <c r="H8" s="85">
        <v>0</v>
      </c>
      <c r="I8" s="853">
        <f t="shared" ref="I8:I71" si="0">G8-H8</f>
        <v>5000000</v>
      </c>
    </row>
    <row r="9" spans="1:9" ht="13.5">
      <c r="A9" s="80" t="s">
        <v>17</v>
      </c>
      <c r="B9" s="81" t="s">
        <v>18</v>
      </c>
      <c r="C9" s="746">
        <v>69904419876</v>
      </c>
      <c r="D9" s="82">
        <v>0</v>
      </c>
      <c r="E9" s="82">
        <v>19553098086881</v>
      </c>
      <c r="F9" s="746">
        <v>19567060734436</v>
      </c>
      <c r="G9" s="746">
        <v>55941772321</v>
      </c>
      <c r="H9" s="82">
        <v>0</v>
      </c>
      <c r="I9" s="853">
        <f t="shared" si="0"/>
        <v>55941772321</v>
      </c>
    </row>
    <row r="10" spans="1:9" ht="13.5">
      <c r="A10" s="83" t="s">
        <v>19</v>
      </c>
      <c r="B10" s="84" t="s">
        <v>16</v>
      </c>
      <c r="C10" s="747">
        <v>69904419876</v>
      </c>
      <c r="D10" s="85">
        <v>0</v>
      </c>
      <c r="E10" s="85">
        <v>19553098086881</v>
      </c>
      <c r="F10" s="747">
        <v>19567060734436</v>
      </c>
      <c r="G10" s="747">
        <v>55941772321</v>
      </c>
      <c r="H10" s="85">
        <v>0</v>
      </c>
      <c r="I10" s="853">
        <f t="shared" si="0"/>
        <v>55941772321</v>
      </c>
    </row>
    <row r="11" spans="1:9" ht="13.5">
      <c r="A11" s="80" t="s">
        <v>20</v>
      </c>
      <c r="B11" s="81" t="s">
        <v>21</v>
      </c>
      <c r="C11" s="746">
        <v>910316112</v>
      </c>
      <c r="D11" s="82">
        <v>0</v>
      </c>
      <c r="E11" s="82">
        <v>23513721853</v>
      </c>
      <c r="F11" s="746">
        <v>21260085287</v>
      </c>
      <c r="G11" s="746">
        <v>3163952678</v>
      </c>
      <c r="H11" s="82">
        <v>0</v>
      </c>
      <c r="I11" s="853">
        <f t="shared" si="0"/>
        <v>3163952678</v>
      </c>
    </row>
    <row r="12" spans="1:9" ht="13.5">
      <c r="A12" s="80" t="s">
        <v>22</v>
      </c>
      <c r="B12" s="81" t="s">
        <v>16</v>
      </c>
      <c r="C12" s="746">
        <v>910316112</v>
      </c>
      <c r="D12" s="82">
        <v>0</v>
      </c>
      <c r="E12" s="82">
        <v>23513721853</v>
      </c>
      <c r="F12" s="746">
        <v>21260085287</v>
      </c>
      <c r="G12" s="746">
        <v>3163952678</v>
      </c>
      <c r="H12" s="82">
        <v>0</v>
      </c>
      <c r="I12" s="853">
        <f t="shared" si="0"/>
        <v>3163952678</v>
      </c>
    </row>
    <row r="13" spans="1:9" ht="25.5">
      <c r="A13" s="83" t="s">
        <v>23</v>
      </c>
      <c r="B13" s="84" t="s">
        <v>24</v>
      </c>
      <c r="C13" s="747">
        <v>910316112</v>
      </c>
      <c r="D13" s="85">
        <v>0</v>
      </c>
      <c r="E13" s="85">
        <v>23513721853</v>
      </c>
      <c r="F13" s="747">
        <v>21260085287</v>
      </c>
      <c r="G13" s="747">
        <v>3163952678</v>
      </c>
      <c r="H13" s="85">
        <v>0</v>
      </c>
      <c r="I13" s="853">
        <f t="shared" si="0"/>
        <v>3163952678</v>
      </c>
    </row>
    <row r="14" spans="1:9" ht="13.5">
      <c r="A14" s="80" t="s">
        <v>25</v>
      </c>
      <c r="B14" s="81" t="s">
        <v>26</v>
      </c>
      <c r="C14" s="746">
        <v>1764583522080</v>
      </c>
      <c r="D14" s="82">
        <v>0</v>
      </c>
      <c r="E14" s="82">
        <v>1638846374229</v>
      </c>
      <c r="F14" s="746">
        <v>2151783829536</v>
      </c>
      <c r="G14" s="746">
        <v>1251646066773</v>
      </c>
      <c r="H14" s="82">
        <v>0</v>
      </c>
      <c r="I14" s="853">
        <f t="shared" si="0"/>
        <v>1251646066773</v>
      </c>
    </row>
    <row r="15" spans="1:9" ht="13.5">
      <c r="A15" s="83" t="s">
        <v>27</v>
      </c>
      <c r="B15" s="84" t="s">
        <v>28</v>
      </c>
      <c r="C15" s="747">
        <v>210682565387</v>
      </c>
      <c r="D15" s="85">
        <v>0</v>
      </c>
      <c r="E15" s="85">
        <v>374118906235</v>
      </c>
      <c r="F15" s="747">
        <v>517589548582</v>
      </c>
      <c r="G15" s="747">
        <v>67211923040</v>
      </c>
      <c r="H15" s="85">
        <v>0</v>
      </c>
      <c r="I15" s="853">
        <f t="shared" si="0"/>
        <v>67211923040</v>
      </c>
    </row>
    <row r="16" spans="1:9" ht="13.5">
      <c r="A16" s="83" t="s">
        <v>29</v>
      </c>
      <c r="B16" s="84" t="s">
        <v>30</v>
      </c>
      <c r="C16" s="747">
        <v>978031182812</v>
      </c>
      <c r="D16" s="85">
        <v>0</v>
      </c>
      <c r="E16" s="85">
        <v>394645660222</v>
      </c>
      <c r="F16" s="747">
        <v>1007336660172</v>
      </c>
      <c r="G16" s="747">
        <v>365340182862</v>
      </c>
      <c r="H16" s="85">
        <v>0</v>
      </c>
      <c r="I16" s="853">
        <f t="shared" si="0"/>
        <v>365340182862</v>
      </c>
    </row>
    <row r="17" spans="1:9" ht="13.5">
      <c r="A17" s="83" t="s">
        <v>31</v>
      </c>
      <c r="B17" s="84" t="s">
        <v>32</v>
      </c>
      <c r="C17" s="747">
        <v>575869773881</v>
      </c>
      <c r="D17" s="85">
        <v>0</v>
      </c>
      <c r="E17" s="85">
        <v>870081807772</v>
      </c>
      <c r="F17" s="747">
        <v>626857620782</v>
      </c>
      <c r="G17" s="747">
        <v>819093960871</v>
      </c>
      <c r="H17" s="85">
        <v>0</v>
      </c>
      <c r="I17" s="853">
        <f t="shared" si="0"/>
        <v>819093960871</v>
      </c>
    </row>
    <row r="18" spans="1:9" ht="13.5">
      <c r="A18" s="80" t="s">
        <v>33</v>
      </c>
      <c r="B18" s="81" t="s">
        <v>34</v>
      </c>
      <c r="C18" s="746">
        <v>222130273973</v>
      </c>
      <c r="D18" s="82">
        <v>0</v>
      </c>
      <c r="E18" s="82">
        <v>3752280163897</v>
      </c>
      <c r="F18" s="746">
        <v>3567344664910</v>
      </c>
      <c r="G18" s="746">
        <v>407065772960</v>
      </c>
      <c r="H18" s="82">
        <v>0</v>
      </c>
      <c r="I18" s="853">
        <f t="shared" si="0"/>
        <v>407065772960</v>
      </c>
    </row>
    <row r="19" spans="1:9" ht="13.5">
      <c r="A19" s="80" t="s">
        <v>35</v>
      </c>
      <c r="B19" s="81" t="s">
        <v>36</v>
      </c>
      <c r="C19" s="746">
        <v>222130273973</v>
      </c>
      <c r="D19" s="82">
        <v>0</v>
      </c>
      <c r="E19" s="82">
        <v>3752180163897</v>
      </c>
      <c r="F19" s="746">
        <v>3567244664910</v>
      </c>
      <c r="G19" s="746">
        <v>407065772960</v>
      </c>
      <c r="H19" s="82">
        <v>0</v>
      </c>
      <c r="I19" s="853">
        <f t="shared" si="0"/>
        <v>407065772960</v>
      </c>
    </row>
    <row r="20" spans="1:9" ht="13.5">
      <c r="A20" s="83" t="s">
        <v>37</v>
      </c>
      <c r="B20" s="84" t="s">
        <v>38</v>
      </c>
      <c r="C20" s="747">
        <v>140130273973</v>
      </c>
      <c r="D20" s="85">
        <v>0</v>
      </c>
      <c r="E20" s="85">
        <v>590166802607</v>
      </c>
      <c r="F20" s="747">
        <v>730297076580</v>
      </c>
      <c r="G20" s="747">
        <v>0</v>
      </c>
      <c r="H20" s="85">
        <v>0</v>
      </c>
      <c r="I20" s="853">
        <f t="shared" si="0"/>
        <v>0</v>
      </c>
    </row>
    <row r="21" spans="1:9" ht="13.5">
      <c r="A21" s="83" t="s">
        <v>39</v>
      </c>
      <c r="B21" s="84" t="s">
        <v>40</v>
      </c>
      <c r="C21" s="747">
        <v>82000000000</v>
      </c>
      <c r="D21" s="85">
        <v>0</v>
      </c>
      <c r="E21" s="85">
        <v>964801905586</v>
      </c>
      <c r="F21" s="747">
        <v>654746132626</v>
      </c>
      <c r="G21" s="747">
        <v>392055772960</v>
      </c>
      <c r="H21" s="85">
        <v>0</v>
      </c>
      <c r="I21" s="853">
        <f t="shared" si="0"/>
        <v>392055772960</v>
      </c>
    </row>
    <row r="22" spans="1:9" ht="13.5">
      <c r="A22" s="83" t="s">
        <v>41</v>
      </c>
      <c r="B22" s="84" t="s">
        <v>42</v>
      </c>
      <c r="C22" s="747">
        <v>0</v>
      </c>
      <c r="D22" s="85">
        <v>0</v>
      </c>
      <c r="E22" s="85">
        <v>15699000000</v>
      </c>
      <c r="F22" s="747">
        <v>15699000000</v>
      </c>
      <c r="G22" s="747">
        <v>0</v>
      </c>
      <c r="H22" s="85">
        <v>0</v>
      </c>
      <c r="I22" s="853">
        <f t="shared" si="0"/>
        <v>0</v>
      </c>
    </row>
    <row r="23" spans="1:9" ht="13.5">
      <c r="A23" s="83" t="s">
        <v>43</v>
      </c>
      <c r="B23" s="84" t="s">
        <v>44</v>
      </c>
      <c r="C23" s="747">
        <v>0</v>
      </c>
      <c r="D23" s="85">
        <v>0</v>
      </c>
      <c r="E23" s="85">
        <v>2181512455704</v>
      </c>
      <c r="F23" s="747">
        <v>2166502455704</v>
      </c>
      <c r="G23" s="747">
        <v>15010000000</v>
      </c>
      <c r="H23" s="85">
        <v>0</v>
      </c>
      <c r="I23" s="853">
        <f t="shared" si="0"/>
        <v>15010000000</v>
      </c>
    </row>
    <row r="24" spans="1:9" ht="13.5">
      <c r="A24" s="83" t="s">
        <v>45</v>
      </c>
      <c r="B24" s="84" t="s">
        <v>46</v>
      </c>
      <c r="C24" s="747">
        <v>0</v>
      </c>
      <c r="D24" s="85">
        <v>0</v>
      </c>
      <c r="E24" s="85">
        <v>100000000</v>
      </c>
      <c r="F24" s="747">
        <v>100000000</v>
      </c>
      <c r="G24" s="747">
        <v>0</v>
      </c>
      <c r="H24" s="85">
        <v>0</v>
      </c>
      <c r="I24" s="853">
        <f t="shared" si="0"/>
        <v>0</v>
      </c>
    </row>
    <row r="25" spans="1:9" ht="13.5">
      <c r="A25" s="80" t="s">
        <v>47</v>
      </c>
      <c r="B25" s="81" t="s">
        <v>48</v>
      </c>
      <c r="C25" s="746">
        <v>253095171</v>
      </c>
      <c r="D25" s="82">
        <v>0</v>
      </c>
      <c r="E25" s="82">
        <v>42480226871</v>
      </c>
      <c r="F25" s="746">
        <v>42676343994</v>
      </c>
      <c r="G25" s="746">
        <v>56978048</v>
      </c>
      <c r="H25" s="82">
        <v>0</v>
      </c>
      <c r="I25" s="853">
        <f t="shared" si="0"/>
        <v>56978048</v>
      </c>
    </row>
    <row r="26" spans="1:9" ht="13.5">
      <c r="A26" s="80" t="s">
        <v>49</v>
      </c>
      <c r="B26" s="81" t="s">
        <v>50</v>
      </c>
      <c r="C26" s="746">
        <v>4573448884</v>
      </c>
      <c r="D26" s="82">
        <v>0</v>
      </c>
      <c r="E26" s="82">
        <v>1412995773</v>
      </c>
      <c r="F26" s="746">
        <v>456159339</v>
      </c>
      <c r="G26" s="746">
        <v>5530285318</v>
      </c>
      <c r="H26" s="82">
        <v>0</v>
      </c>
      <c r="I26" s="853">
        <f t="shared" si="0"/>
        <v>5530285318</v>
      </c>
    </row>
    <row r="27" spans="1:9" ht="13.5">
      <c r="A27" s="83" t="s">
        <v>51</v>
      </c>
      <c r="B27" s="84" t="s">
        <v>52</v>
      </c>
      <c r="C27" s="747">
        <v>4573448884</v>
      </c>
      <c r="D27" s="85">
        <v>0</v>
      </c>
      <c r="E27" s="85">
        <v>1388101255</v>
      </c>
      <c r="F27" s="747">
        <v>456159339</v>
      </c>
      <c r="G27" s="747">
        <v>5505390800</v>
      </c>
      <c r="H27" s="85">
        <v>0</v>
      </c>
      <c r="I27" s="853">
        <f t="shared" si="0"/>
        <v>5505390800</v>
      </c>
    </row>
    <row r="28" spans="1:9" ht="13.5">
      <c r="A28" s="83" t="s">
        <v>53</v>
      </c>
      <c r="B28" s="84" t="s">
        <v>54</v>
      </c>
      <c r="C28" s="747">
        <v>0</v>
      </c>
      <c r="D28" s="85">
        <v>0</v>
      </c>
      <c r="E28" s="85">
        <v>24894518</v>
      </c>
      <c r="F28" s="747">
        <v>0</v>
      </c>
      <c r="G28" s="747">
        <v>24894518</v>
      </c>
      <c r="H28" s="85">
        <v>0</v>
      </c>
      <c r="I28" s="853">
        <f t="shared" si="0"/>
        <v>24894518</v>
      </c>
    </row>
    <row r="29" spans="1:9" ht="13.5">
      <c r="A29" s="80" t="s">
        <v>55</v>
      </c>
      <c r="B29" s="81" t="s">
        <v>56</v>
      </c>
      <c r="C29" s="746">
        <v>0</v>
      </c>
      <c r="D29" s="82">
        <v>80175026333</v>
      </c>
      <c r="E29" s="82">
        <v>2691871341759</v>
      </c>
      <c r="F29" s="746">
        <v>2574690872092</v>
      </c>
      <c r="G29" s="746">
        <v>37005443334</v>
      </c>
      <c r="H29" s="82">
        <v>0</v>
      </c>
      <c r="I29" s="853">
        <f t="shared" si="0"/>
        <v>37005443334</v>
      </c>
    </row>
    <row r="30" spans="1:9" ht="13.5">
      <c r="A30" s="80" t="s">
        <v>57</v>
      </c>
      <c r="B30" s="81" t="s">
        <v>56</v>
      </c>
      <c r="C30" s="746">
        <v>0</v>
      </c>
      <c r="D30" s="82">
        <v>80175026333</v>
      </c>
      <c r="E30" s="82">
        <v>2691871341759</v>
      </c>
      <c r="F30" s="746">
        <v>2574690872092</v>
      </c>
      <c r="G30" s="746">
        <v>37005443334</v>
      </c>
      <c r="H30" s="82">
        <v>0</v>
      </c>
      <c r="I30" s="853">
        <f t="shared" si="0"/>
        <v>37005443334</v>
      </c>
    </row>
    <row r="31" spans="1:9" ht="13.5">
      <c r="A31" s="83" t="s">
        <v>58</v>
      </c>
      <c r="B31" s="84" t="s">
        <v>59</v>
      </c>
      <c r="C31" s="747">
        <v>810259395</v>
      </c>
      <c r="D31" s="85">
        <v>0</v>
      </c>
      <c r="E31" s="85">
        <v>219959012021</v>
      </c>
      <c r="F31" s="747">
        <v>197468555490</v>
      </c>
      <c r="G31" s="747">
        <v>23300715926</v>
      </c>
      <c r="H31" s="85">
        <v>0</v>
      </c>
      <c r="I31" s="853">
        <f t="shared" si="0"/>
        <v>23300715926</v>
      </c>
    </row>
    <row r="32" spans="1:9" ht="13.5">
      <c r="A32" s="83" t="s">
        <v>60</v>
      </c>
      <c r="B32" s="84" t="s">
        <v>61</v>
      </c>
      <c r="C32" s="747">
        <v>308899000</v>
      </c>
      <c r="D32" s="85">
        <v>0</v>
      </c>
      <c r="E32" s="85">
        <v>1967421200</v>
      </c>
      <c r="F32" s="747">
        <v>2198339100</v>
      </c>
      <c r="G32" s="747">
        <v>77981100</v>
      </c>
      <c r="H32" s="85">
        <v>0</v>
      </c>
      <c r="I32" s="853">
        <f t="shared" si="0"/>
        <v>77981100</v>
      </c>
    </row>
    <row r="33" spans="1:9" ht="13.5">
      <c r="A33" s="83" t="s">
        <v>62</v>
      </c>
      <c r="B33" s="84" t="s">
        <v>63</v>
      </c>
      <c r="C33" s="747">
        <v>4604882167</v>
      </c>
      <c r="D33" s="85">
        <v>0</v>
      </c>
      <c r="E33" s="85">
        <v>61860654646</v>
      </c>
      <c r="F33" s="747">
        <v>59287404008</v>
      </c>
      <c r="G33" s="747">
        <v>7178132805</v>
      </c>
      <c r="H33" s="85">
        <v>0</v>
      </c>
      <c r="I33" s="853">
        <f t="shared" si="0"/>
        <v>7178132805</v>
      </c>
    </row>
    <row r="34" spans="1:9" ht="13.5">
      <c r="A34" s="83" t="s">
        <v>64</v>
      </c>
      <c r="B34" s="84" t="s">
        <v>63</v>
      </c>
      <c r="C34" s="747">
        <v>0</v>
      </c>
      <c r="D34" s="85">
        <v>94781317916</v>
      </c>
      <c r="E34" s="85">
        <v>128824125339</v>
      </c>
      <c r="F34" s="747">
        <v>40976054563</v>
      </c>
      <c r="G34" s="747">
        <v>0</v>
      </c>
      <c r="H34" s="85">
        <v>6933247140</v>
      </c>
      <c r="I34" s="853">
        <f t="shared" si="0"/>
        <v>-6933247140</v>
      </c>
    </row>
    <row r="35" spans="1:9" ht="13.5">
      <c r="A35" s="83" t="s">
        <v>65</v>
      </c>
      <c r="B35" s="84" t="s">
        <v>66</v>
      </c>
      <c r="C35" s="747">
        <v>2919671</v>
      </c>
      <c r="D35" s="85">
        <v>0</v>
      </c>
      <c r="E35" s="85">
        <v>779418082402</v>
      </c>
      <c r="F35" s="747">
        <v>779418082401</v>
      </c>
      <c r="G35" s="747">
        <v>2919672</v>
      </c>
      <c r="H35" s="85">
        <v>0</v>
      </c>
      <c r="I35" s="853">
        <f t="shared" si="0"/>
        <v>2919672</v>
      </c>
    </row>
    <row r="36" spans="1:9" ht="13.5">
      <c r="A36" s="83" t="s">
        <v>67</v>
      </c>
      <c r="B36" s="84" t="s">
        <v>68</v>
      </c>
      <c r="C36" s="747">
        <v>8879331350</v>
      </c>
      <c r="D36" s="85">
        <v>0</v>
      </c>
      <c r="E36" s="85">
        <v>1499842046151</v>
      </c>
      <c r="F36" s="747">
        <v>1495342436530</v>
      </c>
      <c r="G36" s="747">
        <v>13378940971</v>
      </c>
      <c r="H36" s="85">
        <v>0</v>
      </c>
      <c r="I36" s="853">
        <f t="shared" si="0"/>
        <v>13378940971</v>
      </c>
    </row>
    <row r="37" spans="1:9" ht="13.5">
      <c r="A37" s="80" t="s">
        <v>69</v>
      </c>
      <c r="B37" s="81" t="s">
        <v>70</v>
      </c>
      <c r="C37" s="746">
        <v>201849148</v>
      </c>
      <c r="D37" s="82">
        <v>0</v>
      </c>
      <c r="E37" s="82">
        <v>5072761246</v>
      </c>
      <c r="F37" s="746">
        <v>5131155187</v>
      </c>
      <c r="G37" s="746">
        <v>143455207</v>
      </c>
      <c r="H37" s="82">
        <v>0</v>
      </c>
      <c r="I37" s="853">
        <f t="shared" si="0"/>
        <v>143455207</v>
      </c>
    </row>
    <row r="38" spans="1:9" ht="13.5">
      <c r="A38" s="80" t="s">
        <v>71</v>
      </c>
      <c r="B38" s="81" t="s">
        <v>72</v>
      </c>
      <c r="C38" s="746">
        <v>0</v>
      </c>
      <c r="D38" s="82">
        <v>0</v>
      </c>
      <c r="E38" s="82">
        <v>15181606682</v>
      </c>
      <c r="F38" s="746">
        <v>15181606682</v>
      </c>
      <c r="G38" s="746">
        <v>0</v>
      </c>
      <c r="H38" s="82">
        <v>0</v>
      </c>
      <c r="I38" s="853">
        <f t="shared" si="0"/>
        <v>0</v>
      </c>
    </row>
    <row r="39" spans="1:9" ht="13.5">
      <c r="A39" s="80" t="s">
        <v>73</v>
      </c>
      <c r="B39" s="81" t="s">
        <v>74</v>
      </c>
      <c r="C39" s="746">
        <v>0</v>
      </c>
      <c r="D39" s="82">
        <v>0</v>
      </c>
      <c r="E39" s="82">
        <v>3000000000</v>
      </c>
      <c r="F39" s="746">
        <v>0</v>
      </c>
      <c r="G39" s="746">
        <v>3000000000</v>
      </c>
      <c r="H39" s="82">
        <v>0</v>
      </c>
      <c r="I39" s="853">
        <f t="shared" si="0"/>
        <v>3000000000</v>
      </c>
    </row>
    <row r="40" spans="1:9" ht="13.5">
      <c r="A40" s="83" t="s">
        <v>75</v>
      </c>
      <c r="B40" s="84" t="s">
        <v>76</v>
      </c>
      <c r="C40" s="747">
        <v>0</v>
      </c>
      <c r="D40" s="85">
        <v>0</v>
      </c>
      <c r="E40" s="85">
        <v>3000000000</v>
      </c>
      <c r="F40" s="747">
        <v>0</v>
      </c>
      <c r="G40" s="747">
        <v>3000000000</v>
      </c>
      <c r="H40" s="85">
        <v>0</v>
      </c>
      <c r="I40" s="853">
        <f t="shared" si="0"/>
        <v>3000000000</v>
      </c>
    </row>
    <row r="41" spans="1:9" ht="13.5">
      <c r="A41" s="80" t="s">
        <v>77</v>
      </c>
      <c r="B41" s="81" t="s">
        <v>78</v>
      </c>
      <c r="C41" s="746">
        <v>2073155867</v>
      </c>
      <c r="D41" s="82">
        <v>0</v>
      </c>
      <c r="E41" s="82">
        <v>248945182</v>
      </c>
      <c r="F41" s="746">
        <v>0</v>
      </c>
      <c r="G41" s="746">
        <v>2322101049</v>
      </c>
      <c r="H41" s="82">
        <v>0</v>
      </c>
      <c r="I41" s="853">
        <f t="shared" si="0"/>
        <v>2322101049</v>
      </c>
    </row>
    <row r="42" spans="1:9" ht="13.5">
      <c r="A42" s="83" t="s">
        <v>79</v>
      </c>
      <c r="B42" s="84" t="s">
        <v>80</v>
      </c>
      <c r="C42" s="747">
        <v>896615867</v>
      </c>
      <c r="D42" s="85">
        <v>0</v>
      </c>
      <c r="E42" s="85">
        <v>170781182</v>
      </c>
      <c r="F42" s="747">
        <v>0</v>
      </c>
      <c r="G42" s="747">
        <v>1067397049</v>
      </c>
      <c r="H42" s="85">
        <v>0</v>
      </c>
      <c r="I42" s="853">
        <f t="shared" si="0"/>
        <v>1067397049</v>
      </c>
    </row>
    <row r="43" spans="1:9" ht="13.5">
      <c r="A43" s="83" t="s">
        <v>81</v>
      </c>
      <c r="B43" s="84" t="s">
        <v>82</v>
      </c>
      <c r="C43" s="747">
        <v>1051112727</v>
      </c>
      <c r="D43" s="85">
        <v>0</v>
      </c>
      <c r="E43" s="85">
        <v>0</v>
      </c>
      <c r="F43" s="747">
        <v>0</v>
      </c>
      <c r="G43" s="747">
        <v>1051112727</v>
      </c>
      <c r="H43" s="85">
        <v>0</v>
      </c>
      <c r="I43" s="853">
        <f t="shared" si="0"/>
        <v>1051112727</v>
      </c>
    </row>
    <row r="44" spans="1:9" ht="13.5">
      <c r="A44" s="83" t="s">
        <v>83</v>
      </c>
      <c r="B44" s="84" t="s">
        <v>84</v>
      </c>
      <c r="C44" s="747">
        <v>125427273</v>
      </c>
      <c r="D44" s="85">
        <v>0</v>
      </c>
      <c r="E44" s="85">
        <v>78164000</v>
      </c>
      <c r="F44" s="747">
        <v>0</v>
      </c>
      <c r="G44" s="747">
        <v>203591273</v>
      </c>
      <c r="H44" s="85">
        <v>0</v>
      </c>
      <c r="I44" s="853">
        <f t="shared" si="0"/>
        <v>203591273</v>
      </c>
    </row>
    <row r="45" spans="1:9" ht="13.5">
      <c r="A45" s="80" t="s">
        <v>85</v>
      </c>
      <c r="B45" s="81" t="s">
        <v>86</v>
      </c>
      <c r="C45" s="746">
        <v>20162843255</v>
      </c>
      <c r="D45" s="82">
        <v>0</v>
      </c>
      <c r="E45" s="82">
        <v>24514970648</v>
      </c>
      <c r="F45" s="746">
        <v>0</v>
      </c>
      <c r="G45" s="746">
        <v>44677813903</v>
      </c>
      <c r="H45" s="82">
        <v>0</v>
      </c>
      <c r="I45" s="853">
        <f t="shared" si="0"/>
        <v>44677813903</v>
      </c>
    </row>
    <row r="46" spans="1:9" ht="13.5">
      <c r="A46" s="83" t="s">
        <v>87</v>
      </c>
      <c r="B46" s="84" t="s">
        <v>88</v>
      </c>
      <c r="C46" s="747">
        <v>20162843255</v>
      </c>
      <c r="D46" s="85">
        <v>0</v>
      </c>
      <c r="E46" s="85">
        <v>24514970648</v>
      </c>
      <c r="F46" s="747">
        <v>0</v>
      </c>
      <c r="G46" s="747">
        <v>44677813903</v>
      </c>
      <c r="H46" s="85">
        <v>0</v>
      </c>
      <c r="I46" s="853">
        <f t="shared" si="0"/>
        <v>44677813903</v>
      </c>
    </row>
    <row r="47" spans="1:9" ht="13.5">
      <c r="A47" s="80" t="s">
        <v>89</v>
      </c>
      <c r="B47" s="81" t="s">
        <v>90</v>
      </c>
      <c r="C47" s="746">
        <v>0</v>
      </c>
      <c r="D47" s="82">
        <v>2016328459</v>
      </c>
      <c r="E47" s="82">
        <v>0</v>
      </c>
      <c r="F47" s="746">
        <v>2753615720</v>
      </c>
      <c r="G47" s="746">
        <v>0</v>
      </c>
      <c r="H47" s="82">
        <v>4769944179</v>
      </c>
      <c r="I47" s="853">
        <f t="shared" si="0"/>
        <v>-4769944179</v>
      </c>
    </row>
    <row r="48" spans="1:9" ht="13.5">
      <c r="A48" s="83" t="s">
        <v>91</v>
      </c>
      <c r="B48" s="84" t="s">
        <v>92</v>
      </c>
      <c r="C48" s="747">
        <v>0</v>
      </c>
      <c r="D48" s="85">
        <v>403643233</v>
      </c>
      <c r="E48" s="85">
        <v>0</v>
      </c>
      <c r="F48" s="747">
        <v>490064366</v>
      </c>
      <c r="G48" s="747">
        <v>0</v>
      </c>
      <c r="H48" s="85">
        <v>893707599</v>
      </c>
      <c r="I48" s="853">
        <f t="shared" si="0"/>
        <v>-893707599</v>
      </c>
    </row>
    <row r="49" spans="1:9" ht="13.5">
      <c r="A49" s="83" t="s">
        <v>93</v>
      </c>
      <c r="B49" s="84" t="s">
        <v>94</v>
      </c>
      <c r="C49" s="747">
        <v>0</v>
      </c>
      <c r="D49" s="85">
        <v>1612685226</v>
      </c>
      <c r="E49" s="85">
        <v>0</v>
      </c>
      <c r="F49" s="747">
        <v>2263551354</v>
      </c>
      <c r="G49" s="747">
        <v>0</v>
      </c>
      <c r="H49" s="85">
        <v>3876236580</v>
      </c>
      <c r="I49" s="853">
        <f t="shared" si="0"/>
        <v>-3876236580</v>
      </c>
    </row>
    <row r="50" spans="1:9" ht="13.5">
      <c r="A50" s="80" t="s">
        <v>95</v>
      </c>
      <c r="B50" s="81" t="s">
        <v>96</v>
      </c>
      <c r="C50" s="746">
        <v>440011000000</v>
      </c>
      <c r="D50" s="82">
        <v>0</v>
      </c>
      <c r="E50" s="82">
        <v>0</v>
      </c>
      <c r="F50" s="746">
        <v>0</v>
      </c>
      <c r="G50" s="746">
        <v>440011000000</v>
      </c>
      <c r="H50" s="82">
        <v>0</v>
      </c>
      <c r="I50" s="853">
        <f t="shared" si="0"/>
        <v>440011000000</v>
      </c>
    </row>
    <row r="51" spans="1:9" ht="13.5">
      <c r="A51" s="80" t="s">
        <v>97</v>
      </c>
      <c r="B51" s="81" t="s">
        <v>98</v>
      </c>
      <c r="C51" s="746">
        <v>0</v>
      </c>
      <c r="D51" s="82">
        <v>0</v>
      </c>
      <c r="E51" s="82">
        <v>266008576207</v>
      </c>
      <c r="F51" s="746">
        <v>83613644700</v>
      </c>
      <c r="G51" s="746">
        <v>182394931507</v>
      </c>
      <c r="H51" s="82">
        <v>0</v>
      </c>
      <c r="I51" s="853">
        <f t="shared" si="0"/>
        <v>182394931507</v>
      </c>
    </row>
    <row r="52" spans="1:9" ht="13.5">
      <c r="A52" s="83" t="s">
        <v>99</v>
      </c>
      <c r="B52" s="84" t="s">
        <v>98</v>
      </c>
      <c r="C52" s="747">
        <v>0</v>
      </c>
      <c r="D52" s="85">
        <v>0</v>
      </c>
      <c r="E52" s="85">
        <v>266008576207</v>
      </c>
      <c r="F52" s="747">
        <v>83613644700</v>
      </c>
      <c r="G52" s="747">
        <v>182394931507</v>
      </c>
      <c r="H52" s="85">
        <v>0</v>
      </c>
      <c r="I52" s="853">
        <f t="shared" si="0"/>
        <v>182394931507</v>
      </c>
    </row>
    <row r="53" spans="1:9" ht="13.5">
      <c r="A53" s="80" t="s">
        <v>100</v>
      </c>
      <c r="B53" s="81" t="s">
        <v>101</v>
      </c>
      <c r="C53" s="746">
        <v>0</v>
      </c>
      <c r="D53" s="82">
        <v>8882467014</v>
      </c>
      <c r="E53" s="82">
        <v>0</v>
      </c>
      <c r="F53" s="746">
        <v>250273924616</v>
      </c>
      <c r="G53" s="746">
        <v>0</v>
      </c>
      <c r="H53" s="82">
        <v>259156391630</v>
      </c>
      <c r="I53" s="853">
        <f t="shared" si="0"/>
        <v>-259156391630</v>
      </c>
    </row>
    <row r="54" spans="1:9" ht="13.5">
      <c r="A54" s="83" t="s">
        <v>102</v>
      </c>
      <c r="B54" s="84" t="s">
        <v>103</v>
      </c>
      <c r="C54" s="747">
        <v>0</v>
      </c>
      <c r="D54" s="85">
        <v>34113193</v>
      </c>
      <c r="E54" s="85">
        <v>0</v>
      </c>
      <c r="F54" s="747">
        <v>393000273</v>
      </c>
      <c r="G54" s="747">
        <v>0</v>
      </c>
      <c r="H54" s="85">
        <v>427113466</v>
      </c>
      <c r="I54" s="853">
        <f t="shared" si="0"/>
        <v>-427113466</v>
      </c>
    </row>
    <row r="55" spans="1:9" ht="13.5">
      <c r="A55" s="83" t="s">
        <v>104</v>
      </c>
      <c r="B55" s="84" t="s">
        <v>105</v>
      </c>
      <c r="C55" s="747">
        <v>0</v>
      </c>
      <c r="D55" s="85">
        <v>8848353821</v>
      </c>
      <c r="E55" s="85">
        <v>0</v>
      </c>
      <c r="F55" s="747">
        <v>249880924343</v>
      </c>
      <c r="G55" s="747">
        <v>0</v>
      </c>
      <c r="H55" s="85">
        <v>258729278164</v>
      </c>
      <c r="I55" s="853">
        <f t="shared" si="0"/>
        <v>-258729278164</v>
      </c>
    </row>
    <row r="56" spans="1:9" ht="13.5">
      <c r="A56" s="80" t="s">
        <v>106</v>
      </c>
      <c r="B56" s="81" t="s">
        <v>107</v>
      </c>
      <c r="C56" s="746">
        <v>7039671296</v>
      </c>
      <c r="D56" s="82"/>
      <c r="E56" s="82">
        <v>40952493938</v>
      </c>
      <c r="F56" s="746">
        <v>42641503296</v>
      </c>
      <c r="G56" s="746">
        <v>5350661938</v>
      </c>
      <c r="H56" s="82">
        <v>0</v>
      </c>
      <c r="I56" s="853">
        <f t="shared" si="0"/>
        <v>5350661938</v>
      </c>
    </row>
    <row r="57" spans="1:9" ht="13.5">
      <c r="A57" s="83" t="s">
        <v>108</v>
      </c>
      <c r="B57" s="84" t="s">
        <v>109</v>
      </c>
      <c r="C57" s="747">
        <v>7039671296</v>
      </c>
      <c r="D57" s="85"/>
      <c r="E57" s="85">
        <v>19637523290</v>
      </c>
      <c r="F57" s="747">
        <v>21326532648</v>
      </c>
      <c r="G57" s="747">
        <v>5350661938</v>
      </c>
      <c r="H57" s="85">
        <v>0</v>
      </c>
      <c r="I57" s="853">
        <f t="shared" si="0"/>
        <v>5350661938</v>
      </c>
    </row>
    <row r="58" spans="1:9" ht="13.5">
      <c r="A58" s="83" t="s">
        <v>110</v>
      </c>
      <c r="B58" s="84" t="s">
        <v>111</v>
      </c>
      <c r="C58" s="747">
        <v>0</v>
      </c>
      <c r="D58" s="85">
        <v>0</v>
      </c>
      <c r="E58" s="85">
        <v>21314970648</v>
      </c>
      <c r="F58" s="747">
        <v>21314970648</v>
      </c>
      <c r="G58" s="747">
        <v>0</v>
      </c>
      <c r="H58" s="85">
        <v>0</v>
      </c>
      <c r="I58" s="853">
        <f t="shared" si="0"/>
        <v>0</v>
      </c>
    </row>
    <row r="59" spans="1:9" ht="13.5">
      <c r="A59" s="80" t="s">
        <v>112</v>
      </c>
      <c r="B59" s="81" t="s">
        <v>113</v>
      </c>
      <c r="C59" s="746">
        <v>4752750357</v>
      </c>
      <c r="D59" s="82">
        <v>0</v>
      </c>
      <c r="E59" s="82">
        <v>4858509374</v>
      </c>
      <c r="F59" s="746">
        <v>7446668236</v>
      </c>
      <c r="G59" s="746">
        <v>2164591495</v>
      </c>
      <c r="H59" s="82">
        <v>0</v>
      </c>
      <c r="I59" s="853">
        <f t="shared" si="0"/>
        <v>2164591495</v>
      </c>
    </row>
    <row r="60" spans="1:9" ht="13.5">
      <c r="A60" s="841" t="s">
        <v>114</v>
      </c>
      <c r="B60" s="84" t="s">
        <v>115</v>
      </c>
      <c r="C60" s="747">
        <v>1541497077</v>
      </c>
      <c r="D60" s="85">
        <v>0</v>
      </c>
      <c r="E60" s="85">
        <v>741600773</v>
      </c>
      <c r="F60" s="747">
        <v>1829821438</v>
      </c>
      <c r="G60" s="747">
        <v>453276412</v>
      </c>
      <c r="H60" s="85">
        <v>0</v>
      </c>
      <c r="I60" s="853">
        <f t="shared" si="0"/>
        <v>453276412</v>
      </c>
    </row>
    <row r="61" spans="1:9" ht="13.5">
      <c r="A61" s="80" t="s">
        <v>116</v>
      </c>
      <c r="B61" s="81" t="s">
        <v>113</v>
      </c>
      <c r="C61" s="746">
        <v>3211253280</v>
      </c>
      <c r="D61" s="82">
        <v>0</v>
      </c>
      <c r="E61" s="82">
        <v>4116908601</v>
      </c>
      <c r="F61" s="746">
        <v>5616846798</v>
      </c>
      <c r="G61" s="746">
        <v>1711315083</v>
      </c>
      <c r="H61" s="82">
        <v>0</v>
      </c>
      <c r="I61" s="853">
        <f t="shared" si="0"/>
        <v>1711315083</v>
      </c>
    </row>
    <row r="62" spans="1:9" ht="13.5">
      <c r="A62" s="83" t="s">
        <v>117</v>
      </c>
      <c r="B62" s="84" t="s">
        <v>118</v>
      </c>
      <c r="C62" s="747">
        <v>1343629385</v>
      </c>
      <c r="D62" s="85">
        <v>0</v>
      </c>
      <c r="E62" s="85">
        <v>3208388112</v>
      </c>
      <c r="F62" s="747">
        <v>4308495646</v>
      </c>
      <c r="G62" s="747">
        <v>243521851</v>
      </c>
      <c r="H62" s="85">
        <v>0</v>
      </c>
      <c r="I62" s="853">
        <f t="shared" si="0"/>
        <v>243521851</v>
      </c>
    </row>
    <row r="63" spans="1:9" ht="13.5">
      <c r="A63" s="83" t="s">
        <v>119</v>
      </c>
      <c r="B63" s="84" t="s">
        <v>120</v>
      </c>
      <c r="C63" s="747">
        <v>1867623895</v>
      </c>
      <c r="D63" s="85">
        <v>0</v>
      </c>
      <c r="E63" s="85">
        <v>908520489</v>
      </c>
      <c r="F63" s="747">
        <v>1308351152</v>
      </c>
      <c r="G63" s="747">
        <v>1467793232</v>
      </c>
      <c r="H63" s="85">
        <v>0</v>
      </c>
      <c r="I63" s="853">
        <f t="shared" si="0"/>
        <v>1467793232</v>
      </c>
    </row>
    <row r="64" spans="1:9" ht="13.5">
      <c r="A64" s="80" t="s">
        <v>121</v>
      </c>
      <c r="B64" s="81" t="s">
        <v>122</v>
      </c>
      <c r="C64" s="746">
        <v>11011124783</v>
      </c>
      <c r="D64" s="82">
        <v>0</v>
      </c>
      <c r="E64" s="82">
        <v>617110000</v>
      </c>
      <c r="F64" s="746">
        <v>10148950000</v>
      </c>
      <c r="G64" s="746">
        <v>1479284783</v>
      </c>
      <c r="H64" s="82">
        <v>0</v>
      </c>
      <c r="I64" s="853">
        <f t="shared" si="0"/>
        <v>1479284783</v>
      </c>
    </row>
    <row r="65" spans="1:9" ht="13.5">
      <c r="A65" s="80" t="s">
        <v>123</v>
      </c>
      <c r="B65" s="81" t="s">
        <v>124</v>
      </c>
      <c r="C65" s="746">
        <v>0</v>
      </c>
      <c r="D65" s="82">
        <v>15581886160</v>
      </c>
      <c r="E65" s="82">
        <v>40009540996</v>
      </c>
      <c r="F65" s="746">
        <v>34555563852</v>
      </c>
      <c r="G65" s="746">
        <v>0</v>
      </c>
      <c r="H65" s="82">
        <v>10127909016</v>
      </c>
      <c r="I65" s="853">
        <f t="shared" si="0"/>
        <v>-10127909016</v>
      </c>
    </row>
    <row r="66" spans="1:9" ht="13.5">
      <c r="A66" s="83" t="s">
        <v>125</v>
      </c>
      <c r="B66" s="84" t="s">
        <v>124</v>
      </c>
      <c r="C66" s="747">
        <v>0</v>
      </c>
      <c r="D66" s="85">
        <v>17311974104</v>
      </c>
      <c r="E66" s="85">
        <v>38097076131</v>
      </c>
      <c r="F66" s="747">
        <v>30940190808</v>
      </c>
      <c r="G66" s="747">
        <v>0</v>
      </c>
      <c r="H66" s="85">
        <v>10155088781</v>
      </c>
      <c r="I66" s="853">
        <f t="shared" si="0"/>
        <v>-10155088781</v>
      </c>
    </row>
    <row r="67" spans="1:9" ht="13.5">
      <c r="A67" s="83" t="s">
        <v>126</v>
      </c>
      <c r="B67" s="84" t="s">
        <v>127</v>
      </c>
      <c r="C67" s="747">
        <v>1730087944</v>
      </c>
      <c r="D67" s="85">
        <v>0</v>
      </c>
      <c r="E67" s="85">
        <v>1912464865</v>
      </c>
      <c r="F67" s="747">
        <v>3615373044</v>
      </c>
      <c r="G67" s="747">
        <v>27179765</v>
      </c>
      <c r="H67" s="85">
        <v>0</v>
      </c>
      <c r="I67" s="853">
        <f t="shared" si="0"/>
        <v>27179765</v>
      </c>
    </row>
    <row r="68" spans="1:9" ht="13.5">
      <c r="A68" s="80" t="s">
        <v>128</v>
      </c>
      <c r="B68" s="81" t="s">
        <v>129</v>
      </c>
      <c r="C68" s="746">
        <v>0</v>
      </c>
      <c r="D68" s="82">
        <v>2406941133</v>
      </c>
      <c r="E68" s="82">
        <v>10133752023</v>
      </c>
      <c r="F68" s="746">
        <v>10595098572</v>
      </c>
      <c r="G68" s="746">
        <v>0</v>
      </c>
      <c r="H68" s="82">
        <v>2868287682</v>
      </c>
      <c r="I68" s="853">
        <f t="shared" si="0"/>
        <v>-2868287682</v>
      </c>
    </row>
    <row r="69" spans="1:9" ht="13.5">
      <c r="A69" s="80" t="s">
        <v>130</v>
      </c>
      <c r="B69" s="81" t="s">
        <v>131</v>
      </c>
      <c r="C69" s="746">
        <v>0</v>
      </c>
      <c r="D69" s="82">
        <v>0</v>
      </c>
      <c r="E69" s="82">
        <v>456159339</v>
      </c>
      <c r="F69" s="746">
        <v>731420373</v>
      </c>
      <c r="G69" s="746">
        <v>0</v>
      </c>
      <c r="H69" s="82">
        <v>275261034</v>
      </c>
      <c r="I69" s="853">
        <f t="shared" si="0"/>
        <v>-275261034</v>
      </c>
    </row>
    <row r="70" spans="1:9" ht="13.5">
      <c r="A70" s="83" t="s">
        <v>132</v>
      </c>
      <c r="B70" s="84" t="s">
        <v>133</v>
      </c>
      <c r="C70" s="747">
        <v>0</v>
      </c>
      <c r="D70" s="85">
        <v>0</v>
      </c>
      <c r="E70" s="85">
        <v>456159339</v>
      </c>
      <c r="F70" s="747">
        <v>731420373</v>
      </c>
      <c r="G70" s="747">
        <v>0</v>
      </c>
      <c r="H70" s="85">
        <v>275261034</v>
      </c>
      <c r="I70" s="853">
        <f t="shared" si="0"/>
        <v>-275261034</v>
      </c>
    </row>
    <row r="71" spans="1:9" ht="13.5">
      <c r="A71" s="80" t="s">
        <v>134</v>
      </c>
      <c r="B71" s="81" t="s">
        <v>135</v>
      </c>
      <c r="C71" s="746">
        <v>0</v>
      </c>
      <c r="D71" s="82">
        <v>2387812035</v>
      </c>
      <c r="E71" s="82">
        <v>9452030113</v>
      </c>
      <c r="F71" s="746">
        <v>9595764423</v>
      </c>
      <c r="G71" s="746">
        <v>0</v>
      </c>
      <c r="H71" s="82">
        <v>2531546345</v>
      </c>
      <c r="I71" s="853">
        <f t="shared" si="0"/>
        <v>-2531546345</v>
      </c>
    </row>
    <row r="72" spans="1:9" ht="13.5">
      <c r="A72" s="83" t="s">
        <v>136</v>
      </c>
      <c r="B72" s="84" t="s">
        <v>137</v>
      </c>
      <c r="C72" s="747">
        <v>0</v>
      </c>
      <c r="D72" s="85">
        <v>669802273</v>
      </c>
      <c r="E72" s="85">
        <v>2536018951</v>
      </c>
      <c r="F72" s="747">
        <v>3040225679</v>
      </c>
      <c r="G72" s="747">
        <v>0</v>
      </c>
      <c r="H72" s="85">
        <v>1174009001</v>
      </c>
      <c r="I72" s="853">
        <f t="shared" ref="I72:I135" si="1">G72-H72</f>
        <v>-1174009001</v>
      </c>
    </row>
    <row r="73" spans="1:9" ht="13.5">
      <c r="A73" s="83" t="s">
        <v>138</v>
      </c>
      <c r="B73" s="84" t="s">
        <v>139</v>
      </c>
      <c r="C73" s="747">
        <v>0</v>
      </c>
      <c r="D73" s="85">
        <v>79303331</v>
      </c>
      <c r="E73" s="85">
        <v>307335550</v>
      </c>
      <c r="F73" s="747">
        <v>294257370</v>
      </c>
      <c r="G73" s="747">
        <v>0</v>
      </c>
      <c r="H73" s="85">
        <v>66225151</v>
      </c>
      <c r="I73" s="853">
        <f t="shared" si="1"/>
        <v>-66225151</v>
      </c>
    </row>
    <row r="74" spans="1:9" ht="13.5">
      <c r="A74" s="83" t="s">
        <v>140</v>
      </c>
      <c r="B74" s="84" t="s">
        <v>141</v>
      </c>
      <c r="C74" s="747">
        <v>0</v>
      </c>
      <c r="D74" s="85">
        <v>1638706431</v>
      </c>
      <c r="E74" s="85">
        <v>6608675612</v>
      </c>
      <c r="F74" s="747">
        <v>6261281374</v>
      </c>
      <c r="G74" s="747">
        <v>0</v>
      </c>
      <c r="H74" s="85">
        <v>1291312193</v>
      </c>
      <c r="I74" s="853">
        <f t="shared" si="1"/>
        <v>-1291312193</v>
      </c>
    </row>
    <row r="75" spans="1:9" ht="13.5">
      <c r="A75" s="80" t="s">
        <v>142</v>
      </c>
      <c r="B75" s="81" t="s">
        <v>143</v>
      </c>
      <c r="C75" s="746">
        <v>0</v>
      </c>
      <c r="D75" s="82">
        <v>19129098</v>
      </c>
      <c r="E75" s="82">
        <v>220562571</v>
      </c>
      <c r="F75" s="746">
        <v>262913776</v>
      </c>
      <c r="G75" s="746">
        <v>0</v>
      </c>
      <c r="H75" s="82">
        <v>61480303</v>
      </c>
      <c r="I75" s="853">
        <f t="shared" si="1"/>
        <v>-61480303</v>
      </c>
    </row>
    <row r="76" spans="1:9" ht="13.5">
      <c r="A76" s="83" t="s">
        <v>144</v>
      </c>
      <c r="B76" s="84" t="s">
        <v>145</v>
      </c>
      <c r="C76" s="747">
        <v>0</v>
      </c>
      <c r="D76" s="85">
        <v>19129098</v>
      </c>
      <c r="E76" s="85">
        <v>220562571</v>
      </c>
      <c r="F76" s="747">
        <v>262913776</v>
      </c>
      <c r="G76" s="747">
        <v>0</v>
      </c>
      <c r="H76" s="85">
        <v>61480303</v>
      </c>
      <c r="I76" s="853">
        <f t="shared" si="1"/>
        <v>-61480303</v>
      </c>
    </row>
    <row r="77" spans="1:9" ht="13.5">
      <c r="A77" s="83" t="s">
        <v>146</v>
      </c>
      <c r="B77" s="84" t="s">
        <v>147</v>
      </c>
      <c r="C77" s="747">
        <v>0</v>
      </c>
      <c r="D77" s="85">
        <v>0</v>
      </c>
      <c r="E77" s="85">
        <v>5000000</v>
      </c>
      <c r="F77" s="747">
        <v>5000000</v>
      </c>
      <c r="G77" s="747">
        <v>0</v>
      </c>
      <c r="H77" s="85">
        <v>0</v>
      </c>
      <c r="I77" s="853">
        <f t="shared" si="1"/>
        <v>0</v>
      </c>
    </row>
    <row r="78" spans="1:9" ht="13.5">
      <c r="A78" s="80" t="s">
        <v>148</v>
      </c>
      <c r="B78" s="81" t="s">
        <v>149</v>
      </c>
      <c r="C78" s="746">
        <v>0</v>
      </c>
      <c r="D78" s="82">
        <v>5367987437</v>
      </c>
      <c r="E78" s="82">
        <v>41018341128</v>
      </c>
      <c r="F78" s="746">
        <v>39988187286</v>
      </c>
      <c r="G78" s="746">
        <v>0</v>
      </c>
      <c r="H78" s="82">
        <v>4337833595</v>
      </c>
      <c r="I78" s="853">
        <f t="shared" si="1"/>
        <v>-4337833595</v>
      </c>
    </row>
    <row r="79" spans="1:9" ht="13.5">
      <c r="A79" s="83" t="s">
        <v>150</v>
      </c>
      <c r="B79" s="84" t="s">
        <v>151</v>
      </c>
      <c r="C79" s="747">
        <v>0</v>
      </c>
      <c r="D79" s="85">
        <v>5367987437</v>
      </c>
      <c r="E79" s="85">
        <v>38013505175</v>
      </c>
      <c r="F79" s="747">
        <v>36983351333</v>
      </c>
      <c r="G79" s="747">
        <v>0</v>
      </c>
      <c r="H79" s="85">
        <v>4337833595</v>
      </c>
      <c r="I79" s="853">
        <f t="shared" si="1"/>
        <v>-4337833595</v>
      </c>
    </row>
    <row r="80" spans="1:9" ht="13.5">
      <c r="A80" s="83" t="s">
        <v>152</v>
      </c>
      <c r="B80" s="84" t="s">
        <v>153</v>
      </c>
      <c r="C80" s="747">
        <v>0</v>
      </c>
      <c r="D80" s="85">
        <v>0</v>
      </c>
      <c r="E80" s="85">
        <v>3004835953</v>
      </c>
      <c r="F80" s="747">
        <v>3004835953</v>
      </c>
      <c r="G80" s="747">
        <v>0</v>
      </c>
      <c r="H80" s="85">
        <v>0</v>
      </c>
      <c r="I80" s="853">
        <f t="shared" si="1"/>
        <v>0</v>
      </c>
    </row>
    <row r="81" spans="1:9" ht="13.5">
      <c r="A81" s="80" t="s">
        <v>154</v>
      </c>
      <c r="B81" s="81" t="s">
        <v>155</v>
      </c>
      <c r="C81" s="746">
        <v>0</v>
      </c>
      <c r="D81" s="82">
        <v>903571664</v>
      </c>
      <c r="E81" s="82">
        <v>6390849508</v>
      </c>
      <c r="F81" s="746">
        <v>6619309213</v>
      </c>
      <c r="G81" s="746">
        <v>0</v>
      </c>
      <c r="H81" s="82">
        <v>1132031369</v>
      </c>
      <c r="I81" s="853">
        <f t="shared" si="1"/>
        <v>-1132031369</v>
      </c>
    </row>
    <row r="82" spans="1:9" ht="13.5">
      <c r="A82" s="80" t="s">
        <v>156</v>
      </c>
      <c r="B82" s="81" t="s">
        <v>157</v>
      </c>
      <c r="C82" s="746">
        <v>0</v>
      </c>
      <c r="D82" s="82">
        <v>1990399484831</v>
      </c>
      <c r="E82" s="82">
        <v>20494971841499</v>
      </c>
      <c r="F82" s="746">
        <v>20580021743466</v>
      </c>
      <c r="G82" s="746">
        <v>0</v>
      </c>
      <c r="H82" s="82">
        <v>2075449386798</v>
      </c>
      <c r="I82" s="853">
        <f t="shared" si="1"/>
        <v>-2075449386798</v>
      </c>
    </row>
    <row r="83" spans="1:9" ht="13.5">
      <c r="A83" s="83" t="s">
        <v>158</v>
      </c>
      <c r="B83" s="84" t="s">
        <v>159</v>
      </c>
      <c r="C83" s="747">
        <v>0</v>
      </c>
      <c r="D83" s="85">
        <v>70359000</v>
      </c>
      <c r="E83" s="85">
        <v>315339000</v>
      </c>
      <c r="F83" s="747">
        <v>262512000</v>
      </c>
      <c r="G83" s="747">
        <v>0</v>
      </c>
      <c r="H83" s="85">
        <v>17532000</v>
      </c>
      <c r="I83" s="853">
        <f t="shared" si="1"/>
        <v>-17532000</v>
      </c>
    </row>
    <row r="84" spans="1:9" ht="13.5">
      <c r="A84" s="83" t="s">
        <v>160</v>
      </c>
      <c r="B84" s="84" t="s">
        <v>161</v>
      </c>
      <c r="C84" s="747">
        <v>0</v>
      </c>
      <c r="D84" s="85">
        <v>0</v>
      </c>
      <c r="E84" s="85">
        <v>2339440000</v>
      </c>
      <c r="F84" s="747">
        <v>2341378000</v>
      </c>
      <c r="G84" s="747">
        <v>0</v>
      </c>
      <c r="H84" s="85">
        <v>1938000</v>
      </c>
      <c r="I84" s="853">
        <f t="shared" si="1"/>
        <v>-1938000</v>
      </c>
    </row>
    <row r="85" spans="1:9" ht="13.5">
      <c r="A85" s="83" t="s">
        <v>162</v>
      </c>
      <c r="B85" s="84" t="s">
        <v>163</v>
      </c>
      <c r="C85" s="747">
        <v>0</v>
      </c>
      <c r="D85" s="85">
        <v>0</v>
      </c>
      <c r="E85" s="85">
        <v>410103000</v>
      </c>
      <c r="F85" s="747">
        <v>410445000</v>
      </c>
      <c r="G85" s="747">
        <v>0</v>
      </c>
      <c r="H85" s="85">
        <v>342000</v>
      </c>
      <c r="I85" s="853">
        <f t="shared" si="1"/>
        <v>-342000</v>
      </c>
    </row>
    <row r="86" spans="1:9" ht="13.5">
      <c r="A86" s="83" t="s">
        <v>164</v>
      </c>
      <c r="B86" s="84" t="s">
        <v>165</v>
      </c>
      <c r="C86" s="747">
        <v>0</v>
      </c>
      <c r="D86" s="85">
        <v>0</v>
      </c>
      <c r="E86" s="85">
        <v>180400000</v>
      </c>
      <c r="F86" s="747">
        <v>180552000</v>
      </c>
      <c r="G86" s="747">
        <v>0</v>
      </c>
      <c r="H86" s="85">
        <v>152000</v>
      </c>
      <c r="I86" s="853">
        <f t="shared" si="1"/>
        <v>-152000</v>
      </c>
    </row>
    <row r="87" spans="1:9" ht="13.5">
      <c r="A87" s="83" t="s">
        <v>166</v>
      </c>
      <c r="B87" s="84" t="s">
        <v>167</v>
      </c>
      <c r="C87" s="747">
        <v>0</v>
      </c>
      <c r="D87" s="85">
        <v>0</v>
      </c>
      <c r="E87" s="85">
        <v>2796671234</v>
      </c>
      <c r="F87" s="747">
        <v>36924671234</v>
      </c>
      <c r="G87" s="747">
        <v>0</v>
      </c>
      <c r="H87" s="85">
        <v>34128000000</v>
      </c>
      <c r="I87" s="853">
        <f t="shared" si="1"/>
        <v>-34128000000</v>
      </c>
    </row>
    <row r="88" spans="1:9" ht="13.5">
      <c r="A88" s="80" t="s">
        <v>168</v>
      </c>
      <c r="B88" s="81" t="s">
        <v>157</v>
      </c>
      <c r="C88" s="746">
        <v>0</v>
      </c>
      <c r="D88" s="82">
        <v>1990329125831</v>
      </c>
      <c r="E88" s="82">
        <v>20488929888265</v>
      </c>
      <c r="F88" s="746">
        <v>20539902185232</v>
      </c>
      <c r="G88" s="746">
        <v>0</v>
      </c>
      <c r="H88" s="82">
        <v>2041301422798</v>
      </c>
      <c r="I88" s="853">
        <f t="shared" si="1"/>
        <v>-2041301422798</v>
      </c>
    </row>
    <row r="89" spans="1:9" ht="13.5">
      <c r="A89" s="83" t="s">
        <v>169</v>
      </c>
      <c r="B89" s="84" t="s">
        <v>170</v>
      </c>
      <c r="C89" s="747">
        <v>0</v>
      </c>
      <c r="D89" s="85">
        <v>1020915500</v>
      </c>
      <c r="E89" s="85">
        <v>302202603360</v>
      </c>
      <c r="F89" s="747">
        <v>301274680101</v>
      </c>
      <c r="G89" s="747">
        <v>0</v>
      </c>
      <c r="H89" s="85">
        <v>92992241</v>
      </c>
      <c r="I89" s="853">
        <f t="shared" si="1"/>
        <v>-92992241</v>
      </c>
    </row>
    <row r="90" spans="1:9" ht="25.5">
      <c r="A90" s="83" t="s">
        <v>171</v>
      </c>
      <c r="B90" s="84" t="s">
        <v>172</v>
      </c>
      <c r="C90" s="747">
        <v>0</v>
      </c>
      <c r="D90" s="85">
        <v>12094044359</v>
      </c>
      <c r="E90" s="85">
        <v>695849860030</v>
      </c>
      <c r="F90" s="747">
        <v>687080407256</v>
      </c>
      <c r="G90" s="747">
        <v>0</v>
      </c>
      <c r="H90" s="85">
        <v>3324591585</v>
      </c>
      <c r="I90" s="853">
        <f t="shared" si="1"/>
        <v>-3324591585</v>
      </c>
    </row>
    <row r="91" spans="1:9" ht="13.5">
      <c r="A91" s="83" t="s">
        <v>173</v>
      </c>
      <c r="B91" s="84" t="s">
        <v>174</v>
      </c>
      <c r="C91" s="747">
        <v>0</v>
      </c>
      <c r="D91" s="85">
        <v>353054741815</v>
      </c>
      <c r="E91" s="85">
        <v>174609914904</v>
      </c>
      <c r="F91" s="747">
        <v>134394327304</v>
      </c>
      <c r="G91" s="747">
        <v>0</v>
      </c>
      <c r="H91" s="85">
        <v>312839154215</v>
      </c>
      <c r="I91" s="853">
        <f t="shared" si="1"/>
        <v>-312839154215</v>
      </c>
    </row>
    <row r="92" spans="1:9" ht="13.5">
      <c r="A92" s="83" t="s">
        <v>175</v>
      </c>
      <c r="B92" s="84" t="s">
        <v>176</v>
      </c>
      <c r="C92" s="747">
        <v>0</v>
      </c>
      <c r="D92" s="85">
        <v>16490261663</v>
      </c>
      <c r="E92" s="85">
        <v>11409145513687</v>
      </c>
      <c r="F92" s="747">
        <v>11418504132814</v>
      </c>
      <c r="G92" s="747">
        <v>0</v>
      </c>
      <c r="H92" s="85">
        <v>25848880790</v>
      </c>
      <c r="I92" s="853">
        <f t="shared" si="1"/>
        <v>-25848880790</v>
      </c>
    </row>
    <row r="93" spans="1:9" ht="13.5">
      <c r="A93" s="83" t="s">
        <v>177</v>
      </c>
      <c r="B93" s="84" t="s">
        <v>178</v>
      </c>
      <c r="C93" s="747">
        <v>0</v>
      </c>
      <c r="D93" s="85">
        <v>178129302651</v>
      </c>
      <c r="E93" s="85">
        <v>504968492703</v>
      </c>
      <c r="F93" s="747">
        <v>389502937924</v>
      </c>
      <c r="G93" s="747">
        <v>0</v>
      </c>
      <c r="H93" s="85">
        <v>62663747872</v>
      </c>
      <c r="I93" s="853">
        <f t="shared" si="1"/>
        <v>-62663747872</v>
      </c>
    </row>
    <row r="94" spans="1:9" ht="13.5">
      <c r="A94" s="83" t="s">
        <v>179</v>
      </c>
      <c r="B94" s="84" t="s">
        <v>180</v>
      </c>
      <c r="C94" s="747">
        <v>0</v>
      </c>
      <c r="D94" s="85">
        <v>270846206</v>
      </c>
      <c r="E94" s="85">
        <v>4219428125</v>
      </c>
      <c r="F94" s="747">
        <v>4003735700</v>
      </c>
      <c r="G94" s="747">
        <v>0</v>
      </c>
      <c r="H94" s="85">
        <v>55153781</v>
      </c>
      <c r="I94" s="853">
        <f t="shared" si="1"/>
        <v>-55153781</v>
      </c>
    </row>
    <row r="95" spans="1:9" ht="13.5">
      <c r="A95" s="83" t="s">
        <v>181</v>
      </c>
      <c r="B95" s="84" t="s">
        <v>182</v>
      </c>
      <c r="C95" s="747">
        <v>0</v>
      </c>
      <c r="D95" s="85">
        <v>1239739</v>
      </c>
      <c r="E95" s="85">
        <v>0</v>
      </c>
      <c r="F95" s="747">
        <v>0</v>
      </c>
      <c r="G95" s="747">
        <v>0</v>
      </c>
      <c r="H95" s="85">
        <v>1239739</v>
      </c>
      <c r="I95" s="853">
        <f t="shared" si="1"/>
        <v>-1239739</v>
      </c>
    </row>
    <row r="96" spans="1:9" ht="13.5">
      <c r="A96" s="83" t="s">
        <v>183</v>
      </c>
      <c r="B96" s="84" t="s">
        <v>184</v>
      </c>
      <c r="C96" s="747">
        <v>225684117</v>
      </c>
      <c r="D96" s="85">
        <v>0</v>
      </c>
      <c r="E96" s="85">
        <v>48446009400</v>
      </c>
      <c r="F96" s="747">
        <v>45996808400</v>
      </c>
      <c r="G96" s="747">
        <v>2674885117</v>
      </c>
      <c r="H96" s="85">
        <v>0</v>
      </c>
      <c r="I96" s="853">
        <f t="shared" si="1"/>
        <v>2674885117</v>
      </c>
    </row>
    <row r="97" spans="1:9" ht="13.5">
      <c r="A97" s="83" t="s">
        <v>185</v>
      </c>
      <c r="B97" s="84" t="s">
        <v>186</v>
      </c>
      <c r="C97" s="747">
        <v>0</v>
      </c>
      <c r="D97" s="85">
        <v>116328826</v>
      </c>
      <c r="E97" s="85">
        <v>7535675</v>
      </c>
      <c r="F97" s="747">
        <v>0</v>
      </c>
      <c r="G97" s="747">
        <v>0</v>
      </c>
      <c r="H97" s="85">
        <v>108793151</v>
      </c>
      <c r="I97" s="853">
        <f t="shared" si="1"/>
        <v>-108793151</v>
      </c>
    </row>
    <row r="98" spans="1:9" ht="13.5">
      <c r="A98" s="83" t="s">
        <v>187</v>
      </c>
      <c r="B98" s="84" t="s">
        <v>188</v>
      </c>
      <c r="C98" s="747">
        <v>0</v>
      </c>
      <c r="D98" s="85">
        <v>1206519</v>
      </c>
      <c r="E98" s="85">
        <v>19612310</v>
      </c>
      <c r="F98" s="747">
        <v>20526794</v>
      </c>
      <c r="G98" s="747">
        <v>0</v>
      </c>
      <c r="H98" s="85">
        <v>2121003</v>
      </c>
      <c r="I98" s="853">
        <f t="shared" si="1"/>
        <v>-2121003</v>
      </c>
    </row>
    <row r="99" spans="1:9" ht="13.5">
      <c r="A99" s="83" t="s">
        <v>189</v>
      </c>
      <c r="B99" s="84" t="s">
        <v>190</v>
      </c>
      <c r="C99" s="747">
        <v>0</v>
      </c>
      <c r="D99" s="85">
        <v>0</v>
      </c>
      <c r="E99" s="85">
        <v>42873881761</v>
      </c>
      <c r="F99" s="747">
        <v>57384977745</v>
      </c>
      <c r="G99" s="747">
        <v>0</v>
      </c>
      <c r="H99" s="85">
        <v>14511095984</v>
      </c>
      <c r="I99" s="853">
        <f t="shared" si="1"/>
        <v>-14511095984</v>
      </c>
    </row>
    <row r="100" spans="1:9" ht="13.5">
      <c r="A100" s="83" t="s">
        <v>191</v>
      </c>
      <c r="B100" s="84" t="s">
        <v>192</v>
      </c>
      <c r="C100" s="747">
        <v>0</v>
      </c>
      <c r="D100" s="85">
        <v>5646075129</v>
      </c>
      <c r="E100" s="85">
        <v>112819490791</v>
      </c>
      <c r="F100" s="747">
        <v>120605752055</v>
      </c>
      <c r="G100" s="747">
        <v>0</v>
      </c>
      <c r="H100" s="85">
        <v>13432336393</v>
      </c>
      <c r="I100" s="853">
        <f t="shared" si="1"/>
        <v>-13432336393</v>
      </c>
    </row>
    <row r="101" spans="1:9" ht="13.5">
      <c r="A101" s="83" t="s">
        <v>193</v>
      </c>
      <c r="B101" s="84" t="s">
        <v>194</v>
      </c>
      <c r="C101" s="747">
        <v>0</v>
      </c>
      <c r="D101" s="85">
        <v>0</v>
      </c>
      <c r="E101" s="85">
        <v>40283762559</v>
      </c>
      <c r="F101" s="747">
        <v>104915422985</v>
      </c>
      <c r="G101" s="747">
        <v>0</v>
      </c>
      <c r="H101" s="85">
        <v>64631660426</v>
      </c>
      <c r="I101" s="853">
        <f t="shared" si="1"/>
        <v>-64631660426</v>
      </c>
    </row>
    <row r="102" spans="1:9" ht="13.5">
      <c r="A102" s="83" t="s">
        <v>195</v>
      </c>
      <c r="B102" s="84" t="s">
        <v>196</v>
      </c>
      <c r="C102" s="747">
        <v>0</v>
      </c>
      <c r="D102" s="85">
        <v>580524104827</v>
      </c>
      <c r="E102" s="85">
        <v>731000052880</v>
      </c>
      <c r="F102" s="747">
        <v>150513643452</v>
      </c>
      <c r="G102" s="747">
        <v>0</v>
      </c>
      <c r="H102" s="85">
        <v>37695399</v>
      </c>
      <c r="I102" s="853">
        <f t="shared" si="1"/>
        <v>-37695399</v>
      </c>
    </row>
    <row r="103" spans="1:9" ht="13.5">
      <c r="A103" s="83" t="s">
        <v>197</v>
      </c>
      <c r="B103" s="84" t="s">
        <v>198</v>
      </c>
      <c r="C103" s="747">
        <v>0</v>
      </c>
      <c r="D103" s="85">
        <v>843205742714</v>
      </c>
      <c r="E103" s="85">
        <v>6422483730080</v>
      </c>
      <c r="F103" s="747">
        <v>7125704832702</v>
      </c>
      <c r="G103" s="747">
        <v>0</v>
      </c>
      <c r="H103" s="85">
        <v>1546426845336</v>
      </c>
      <c r="I103" s="853">
        <f t="shared" si="1"/>
        <v>-1546426845336</v>
      </c>
    </row>
    <row r="104" spans="1:9" ht="13.5">
      <c r="A104" s="80" t="s">
        <v>199</v>
      </c>
      <c r="B104" s="81" t="s">
        <v>200</v>
      </c>
      <c r="C104" s="746">
        <v>0</v>
      </c>
      <c r="D104" s="82">
        <v>0</v>
      </c>
      <c r="E104" s="82">
        <v>18700000000</v>
      </c>
      <c r="F104" s="746">
        <v>18700000000</v>
      </c>
      <c r="G104" s="746">
        <v>0</v>
      </c>
      <c r="H104" s="82">
        <v>0</v>
      </c>
      <c r="I104" s="853">
        <f t="shared" si="1"/>
        <v>0</v>
      </c>
    </row>
    <row r="105" spans="1:9" ht="13.5">
      <c r="A105" s="83" t="s">
        <v>201</v>
      </c>
      <c r="B105" s="84" t="s">
        <v>202</v>
      </c>
      <c r="C105" s="747">
        <v>0</v>
      </c>
      <c r="D105" s="85">
        <v>0</v>
      </c>
      <c r="E105" s="85">
        <v>18700000000</v>
      </c>
      <c r="F105" s="747">
        <v>18700000000</v>
      </c>
      <c r="G105" s="747">
        <v>0</v>
      </c>
      <c r="H105" s="85">
        <v>0</v>
      </c>
      <c r="I105" s="853">
        <f t="shared" si="1"/>
        <v>0</v>
      </c>
    </row>
    <row r="106" spans="1:9" ht="13.5">
      <c r="A106" s="80" t="s">
        <v>203</v>
      </c>
      <c r="B106" s="81" t="s">
        <v>204</v>
      </c>
      <c r="C106" s="746">
        <v>0</v>
      </c>
      <c r="D106" s="82">
        <v>648835498868</v>
      </c>
      <c r="E106" s="82">
        <v>0</v>
      </c>
      <c r="F106" s="746">
        <v>1116420000</v>
      </c>
      <c r="G106" s="746">
        <v>0</v>
      </c>
      <c r="H106" s="82">
        <v>649951918868</v>
      </c>
      <c r="I106" s="853">
        <f t="shared" si="1"/>
        <v>-649951918868</v>
      </c>
    </row>
    <row r="107" spans="1:9" ht="13.5">
      <c r="A107" s="80" t="s">
        <v>205</v>
      </c>
      <c r="B107" s="81" t="s">
        <v>206</v>
      </c>
      <c r="C107" s="746">
        <v>0</v>
      </c>
      <c r="D107" s="82">
        <v>133524690000</v>
      </c>
      <c r="E107" s="82">
        <v>0</v>
      </c>
      <c r="F107" s="746">
        <v>1116420000</v>
      </c>
      <c r="G107" s="746">
        <v>0</v>
      </c>
      <c r="H107" s="82">
        <v>134641110000</v>
      </c>
      <c r="I107" s="853">
        <f t="shared" si="1"/>
        <v>-134641110000</v>
      </c>
    </row>
    <row r="108" spans="1:9" ht="13.5">
      <c r="A108" s="83" t="s">
        <v>207</v>
      </c>
      <c r="B108" s="84" t="s">
        <v>208</v>
      </c>
      <c r="C108" s="747">
        <v>0</v>
      </c>
      <c r="D108" s="85">
        <v>101000010000</v>
      </c>
      <c r="E108" s="85">
        <v>0</v>
      </c>
      <c r="F108" s="747">
        <v>1116420000</v>
      </c>
      <c r="G108" s="747">
        <v>0</v>
      </c>
      <c r="H108" s="85">
        <v>102116430000</v>
      </c>
      <c r="I108" s="853">
        <f t="shared" si="1"/>
        <v>-102116430000</v>
      </c>
    </row>
    <row r="109" spans="1:9" ht="13.5">
      <c r="A109" s="83" t="s">
        <v>209</v>
      </c>
      <c r="B109" s="84" t="s">
        <v>210</v>
      </c>
      <c r="C109" s="747">
        <v>0</v>
      </c>
      <c r="D109" s="85">
        <v>32524680000</v>
      </c>
      <c r="E109" s="85">
        <v>0</v>
      </c>
      <c r="F109" s="747">
        <v>0</v>
      </c>
      <c r="G109" s="747">
        <v>0</v>
      </c>
      <c r="H109" s="85">
        <v>32524680000</v>
      </c>
      <c r="I109" s="853">
        <f t="shared" si="1"/>
        <v>-32524680000</v>
      </c>
    </row>
    <row r="110" spans="1:9" ht="13.5">
      <c r="A110" s="83" t="s">
        <v>211</v>
      </c>
      <c r="B110" s="84" t="s">
        <v>212</v>
      </c>
      <c r="C110" s="747">
        <v>0</v>
      </c>
      <c r="D110" s="85">
        <v>515310808868</v>
      </c>
      <c r="E110" s="85">
        <v>0</v>
      </c>
      <c r="F110" s="747">
        <v>0</v>
      </c>
      <c r="G110" s="747">
        <v>0</v>
      </c>
      <c r="H110" s="85">
        <v>515310808868</v>
      </c>
      <c r="I110" s="853">
        <f t="shared" si="1"/>
        <v>-515310808868</v>
      </c>
    </row>
    <row r="111" spans="1:9" ht="13.5">
      <c r="A111" s="80" t="s">
        <v>213</v>
      </c>
      <c r="B111" s="81" t="s">
        <v>214</v>
      </c>
      <c r="C111" s="746">
        <v>206961721096</v>
      </c>
      <c r="D111" s="82">
        <v>0</v>
      </c>
      <c r="E111" s="82">
        <v>491560546191</v>
      </c>
      <c r="F111" s="746">
        <v>132687675465</v>
      </c>
      <c r="G111" s="746">
        <v>565834591822</v>
      </c>
      <c r="H111" s="82">
        <v>0</v>
      </c>
      <c r="I111" s="853">
        <f t="shared" si="1"/>
        <v>565834591822</v>
      </c>
    </row>
    <row r="112" spans="1:9" ht="13.5">
      <c r="A112" s="83" t="s">
        <v>215</v>
      </c>
      <c r="B112" s="84" t="s">
        <v>216</v>
      </c>
      <c r="C112" s="747">
        <v>89117725984</v>
      </c>
      <c r="D112" s="85">
        <v>0</v>
      </c>
      <c r="E112" s="85">
        <v>117843995112</v>
      </c>
      <c r="F112" s="747">
        <v>0</v>
      </c>
      <c r="G112" s="747">
        <v>206961721096</v>
      </c>
      <c r="H112" s="85">
        <v>0</v>
      </c>
      <c r="I112" s="853">
        <f t="shared" si="1"/>
        <v>206961721096</v>
      </c>
    </row>
    <row r="113" spans="1:9" ht="13.5">
      <c r="A113" s="83" t="s">
        <v>217</v>
      </c>
      <c r="B113" s="84" t="s">
        <v>218</v>
      </c>
      <c r="C113" s="747">
        <v>117843995112</v>
      </c>
      <c r="D113" s="85">
        <v>0</v>
      </c>
      <c r="E113" s="85">
        <v>373716551079</v>
      </c>
      <c r="F113" s="747">
        <v>132687675465</v>
      </c>
      <c r="G113" s="747">
        <v>358872870726</v>
      </c>
      <c r="H113" s="85">
        <v>0</v>
      </c>
      <c r="I113" s="853">
        <f t="shared" si="1"/>
        <v>358872870726</v>
      </c>
    </row>
    <row r="114" spans="1:9" ht="13.5">
      <c r="A114" s="83"/>
      <c r="B114" s="84"/>
      <c r="C114" s="747"/>
      <c r="D114" s="85"/>
      <c r="E114" s="85"/>
      <c r="F114" s="747"/>
      <c r="G114" s="747"/>
      <c r="H114" s="85"/>
      <c r="I114" s="853">
        <f t="shared" si="1"/>
        <v>0</v>
      </c>
    </row>
    <row r="115" spans="1:9" ht="13.5">
      <c r="A115" s="80" t="s">
        <v>219</v>
      </c>
      <c r="B115" s="81" t="s">
        <v>220</v>
      </c>
      <c r="C115" s="746">
        <v>0</v>
      </c>
      <c r="D115" s="82">
        <v>0</v>
      </c>
      <c r="E115" s="82">
        <v>7675439424</v>
      </c>
      <c r="F115" s="746">
        <v>7675439424</v>
      </c>
      <c r="G115" s="746">
        <v>0</v>
      </c>
      <c r="H115" s="82">
        <v>0</v>
      </c>
      <c r="I115" s="853">
        <f t="shared" si="1"/>
        <v>0</v>
      </c>
    </row>
    <row r="116" spans="1:9" ht="13.5">
      <c r="A116" s="80" t="s">
        <v>221</v>
      </c>
      <c r="B116" s="81" t="s">
        <v>222</v>
      </c>
      <c r="C116" s="746">
        <v>0</v>
      </c>
      <c r="D116" s="82">
        <v>0</v>
      </c>
      <c r="E116" s="82">
        <v>7674639424</v>
      </c>
      <c r="F116" s="746">
        <v>7674639424</v>
      </c>
      <c r="G116" s="746">
        <v>0</v>
      </c>
      <c r="H116" s="82">
        <v>0</v>
      </c>
      <c r="I116" s="853">
        <f t="shared" si="1"/>
        <v>0</v>
      </c>
    </row>
    <row r="117" spans="1:9" ht="13.5">
      <c r="A117" s="83" t="s">
        <v>223</v>
      </c>
      <c r="B117" s="84" t="s">
        <v>224</v>
      </c>
      <c r="C117" s="747">
        <v>0</v>
      </c>
      <c r="D117" s="85">
        <v>0</v>
      </c>
      <c r="E117" s="85">
        <v>88497596</v>
      </c>
      <c r="F117" s="747">
        <v>88497596</v>
      </c>
      <c r="G117" s="747">
        <v>0</v>
      </c>
      <c r="H117" s="85">
        <v>0</v>
      </c>
      <c r="I117" s="853">
        <f t="shared" si="1"/>
        <v>0</v>
      </c>
    </row>
    <row r="118" spans="1:9" ht="13.5">
      <c r="A118" s="83" t="s">
        <v>225</v>
      </c>
      <c r="B118" s="84" t="s">
        <v>226</v>
      </c>
      <c r="C118" s="747">
        <v>0</v>
      </c>
      <c r="D118" s="85">
        <v>0</v>
      </c>
      <c r="E118" s="85">
        <v>86751000</v>
      </c>
      <c r="F118" s="747">
        <v>86751000</v>
      </c>
      <c r="G118" s="747">
        <v>0</v>
      </c>
      <c r="H118" s="85">
        <v>0</v>
      </c>
      <c r="I118" s="853">
        <f t="shared" si="1"/>
        <v>0</v>
      </c>
    </row>
    <row r="119" spans="1:9" ht="13.5">
      <c r="A119" s="83" t="s">
        <v>227</v>
      </c>
      <c r="B119" s="84" t="s">
        <v>228</v>
      </c>
      <c r="C119" s="747">
        <v>0</v>
      </c>
      <c r="D119" s="85">
        <v>0</v>
      </c>
      <c r="E119" s="85">
        <v>277056000</v>
      </c>
      <c r="F119" s="747">
        <v>277056000</v>
      </c>
      <c r="G119" s="747">
        <v>0</v>
      </c>
      <c r="H119" s="85">
        <v>0</v>
      </c>
      <c r="I119" s="853">
        <f t="shared" si="1"/>
        <v>0</v>
      </c>
    </row>
    <row r="120" spans="1:9" ht="13.5">
      <c r="A120" s="83" t="s">
        <v>229</v>
      </c>
      <c r="B120" s="84" t="s">
        <v>230</v>
      </c>
      <c r="C120" s="747">
        <v>0</v>
      </c>
      <c r="D120" s="85">
        <v>0</v>
      </c>
      <c r="E120" s="85">
        <v>1542894807</v>
      </c>
      <c r="F120" s="747">
        <v>1542894807</v>
      </c>
      <c r="G120" s="747">
        <v>0</v>
      </c>
      <c r="H120" s="85">
        <v>0</v>
      </c>
      <c r="I120" s="853">
        <f t="shared" si="1"/>
        <v>0</v>
      </c>
    </row>
    <row r="121" spans="1:9" ht="13.5">
      <c r="A121" s="83" t="s">
        <v>231</v>
      </c>
      <c r="B121" s="84" t="s">
        <v>232</v>
      </c>
      <c r="C121" s="747">
        <v>0</v>
      </c>
      <c r="D121" s="85">
        <v>0</v>
      </c>
      <c r="E121" s="85">
        <v>3869919155</v>
      </c>
      <c r="F121" s="747">
        <v>3869919155</v>
      </c>
      <c r="G121" s="747">
        <v>0</v>
      </c>
      <c r="H121" s="85">
        <v>0</v>
      </c>
      <c r="I121" s="853">
        <f t="shared" si="1"/>
        <v>0</v>
      </c>
    </row>
    <row r="122" spans="1:9" ht="13.5">
      <c r="A122" s="83" t="s">
        <v>233</v>
      </c>
      <c r="B122" s="84" t="s">
        <v>234</v>
      </c>
      <c r="C122" s="747">
        <v>0</v>
      </c>
      <c r="D122" s="85">
        <v>0</v>
      </c>
      <c r="E122" s="85">
        <v>14017000</v>
      </c>
      <c r="F122" s="747">
        <v>14017000</v>
      </c>
      <c r="G122" s="747">
        <v>0</v>
      </c>
      <c r="H122" s="85">
        <v>0</v>
      </c>
      <c r="I122" s="853">
        <f t="shared" si="1"/>
        <v>0</v>
      </c>
    </row>
    <row r="123" spans="1:9" ht="25.5">
      <c r="A123" s="83" t="s">
        <v>235</v>
      </c>
      <c r="B123" s="84" t="s">
        <v>236</v>
      </c>
      <c r="C123" s="747">
        <v>0</v>
      </c>
      <c r="D123" s="85">
        <v>0</v>
      </c>
      <c r="E123" s="85">
        <v>245854407</v>
      </c>
      <c r="F123" s="747">
        <v>245854407</v>
      </c>
      <c r="G123" s="747">
        <v>0</v>
      </c>
      <c r="H123" s="85">
        <v>0</v>
      </c>
      <c r="I123" s="853">
        <f t="shared" si="1"/>
        <v>0</v>
      </c>
    </row>
    <row r="124" spans="1:9" ht="13.5">
      <c r="A124" s="83" t="s">
        <v>237</v>
      </c>
      <c r="B124" s="84" t="s">
        <v>238</v>
      </c>
      <c r="C124" s="747">
        <v>0</v>
      </c>
      <c r="D124" s="85">
        <v>0</v>
      </c>
      <c r="E124" s="85">
        <v>1928576</v>
      </c>
      <c r="F124" s="747">
        <v>1928576</v>
      </c>
      <c r="G124" s="747">
        <v>0</v>
      </c>
      <c r="H124" s="85">
        <v>0</v>
      </c>
      <c r="I124" s="853">
        <f t="shared" si="1"/>
        <v>0</v>
      </c>
    </row>
    <row r="125" spans="1:9" ht="13.5">
      <c r="A125" s="83" t="s">
        <v>239</v>
      </c>
      <c r="B125" s="84" t="s">
        <v>240</v>
      </c>
      <c r="C125" s="747">
        <v>0</v>
      </c>
      <c r="D125" s="85">
        <v>0</v>
      </c>
      <c r="E125" s="85">
        <v>5998805</v>
      </c>
      <c r="F125" s="747">
        <v>5998805</v>
      </c>
      <c r="G125" s="747">
        <v>0</v>
      </c>
      <c r="H125" s="85">
        <v>0</v>
      </c>
      <c r="I125" s="853">
        <f t="shared" si="1"/>
        <v>0</v>
      </c>
    </row>
    <row r="126" spans="1:9" ht="13.5">
      <c r="A126" s="83" t="s">
        <v>241</v>
      </c>
      <c r="B126" s="84" t="s">
        <v>242</v>
      </c>
      <c r="C126" s="747">
        <v>0</v>
      </c>
      <c r="D126" s="85">
        <v>0</v>
      </c>
      <c r="E126" s="85">
        <v>641722078</v>
      </c>
      <c r="F126" s="747">
        <v>641722078</v>
      </c>
      <c r="G126" s="747">
        <v>0</v>
      </c>
      <c r="H126" s="85">
        <v>0</v>
      </c>
      <c r="I126" s="853">
        <f t="shared" si="1"/>
        <v>0</v>
      </c>
    </row>
    <row r="127" spans="1:9" ht="13.5">
      <c r="A127" s="83" t="s">
        <v>243</v>
      </c>
      <c r="B127" s="84" t="s">
        <v>244</v>
      </c>
      <c r="C127" s="747">
        <v>0</v>
      </c>
      <c r="D127" s="85">
        <v>0</v>
      </c>
      <c r="E127" s="85">
        <v>900000000</v>
      </c>
      <c r="F127" s="747">
        <v>900000000</v>
      </c>
      <c r="G127" s="747">
        <v>0</v>
      </c>
      <c r="H127" s="85">
        <v>0</v>
      </c>
      <c r="I127" s="853">
        <f t="shared" si="1"/>
        <v>0</v>
      </c>
    </row>
    <row r="128" spans="1:9" ht="13.5">
      <c r="A128" s="83" t="s">
        <v>245</v>
      </c>
      <c r="B128" s="84" t="s">
        <v>246</v>
      </c>
      <c r="C128" s="747">
        <v>0</v>
      </c>
      <c r="D128" s="85">
        <v>0</v>
      </c>
      <c r="E128" s="85">
        <v>800000</v>
      </c>
      <c r="F128" s="747">
        <v>800000</v>
      </c>
      <c r="G128" s="747">
        <v>0</v>
      </c>
      <c r="H128" s="85">
        <v>0</v>
      </c>
      <c r="I128" s="853">
        <f t="shared" si="1"/>
        <v>0</v>
      </c>
    </row>
    <row r="129" spans="1:9" ht="13.5">
      <c r="A129" s="80" t="s">
        <v>247</v>
      </c>
      <c r="B129" s="81" t="s">
        <v>248</v>
      </c>
      <c r="C129" s="746">
        <v>0</v>
      </c>
      <c r="D129" s="82">
        <v>0</v>
      </c>
      <c r="E129" s="82">
        <v>341781983662</v>
      </c>
      <c r="F129" s="746">
        <v>341781983662</v>
      </c>
      <c r="G129" s="746">
        <v>0</v>
      </c>
      <c r="H129" s="82">
        <v>0</v>
      </c>
      <c r="I129" s="853">
        <f t="shared" si="1"/>
        <v>0</v>
      </c>
    </row>
    <row r="130" spans="1:9" ht="13.5">
      <c r="A130" s="83" t="s">
        <v>249</v>
      </c>
      <c r="B130" s="84" t="s">
        <v>250</v>
      </c>
      <c r="C130" s="747">
        <v>0</v>
      </c>
      <c r="D130" s="85">
        <v>0</v>
      </c>
      <c r="E130" s="85">
        <v>74176173620</v>
      </c>
      <c r="F130" s="747">
        <v>74176173620</v>
      </c>
      <c r="G130" s="747">
        <v>0</v>
      </c>
      <c r="H130" s="85">
        <v>0</v>
      </c>
      <c r="I130" s="853">
        <f t="shared" si="1"/>
        <v>0</v>
      </c>
    </row>
    <row r="131" spans="1:9" ht="13.5">
      <c r="A131" s="83" t="s">
        <v>251</v>
      </c>
      <c r="B131" s="84" t="s">
        <v>252</v>
      </c>
      <c r="C131" s="747">
        <v>0</v>
      </c>
      <c r="D131" s="85">
        <v>0</v>
      </c>
      <c r="E131" s="85">
        <v>171104574786</v>
      </c>
      <c r="F131" s="747">
        <v>171104574786</v>
      </c>
      <c r="G131" s="747">
        <v>0</v>
      </c>
      <c r="H131" s="85">
        <v>0</v>
      </c>
      <c r="I131" s="853">
        <f t="shared" si="1"/>
        <v>0</v>
      </c>
    </row>
    <row r="132" spans="1:9" ht="13.5">
      <c r="A132" s="80" t="s">
        <v>253</v>
      </c>
      <c r="B132" s="81" t="s">
        <v>254</v>
      </c>
      <c r="C132" s="746">
        <v>0</v>
      </c>
      <c r="D132" s="82">
        <v>0</v>
      </c>
      <c r="E132" s="82">
        <v>96466410914</v>
      </c>
      <c r="F132" s="746">
        <v>96466410914</v>
      </c>
      <c r="G132" s="746">
        <v>0</v>
      </c>
      <c r="H132" s="82">
        <v>0</v>
      </c>
      <c r="I132" s="853">
        <f t="shared" si="1"/>
        <v>0</v>
      </c>
    </row>
    <row r="133" spans="1:9" ht="13.5">
      <c r="A133" s="83" t="s">
        <v>255</v>
      </c>
      <c r="B133" s="84" t="s">
        <v>256</v>
      </c>
      <c r="C133" s="747">
        <v>0</v>
      </c>
      <c r="D133" s="85">
        <v>0</v>
      </c>
      <c r="E133" s="85">
        <v>10251886523</v>
      </c>
      <c r="F133" s="747">
        <v>10251886523</v>
      </c>
      <c r="G133" s="747">
        <v>0</v>
      </c>
      <c r="H133" s="85">
        <v>0</v>
      </c>
      <c r="I133" s="853">
        <f t="shared" si="1"/>
        <v>0</v>
      </c>
    </row>
    <row r="134" spans="1:9" ht="13.5">
      <c r="A134" s="83" t="s">
        <v>257</v>
      </c>
      <c r="B134" s="84" t="s">
        <v>258</v>
      </c>
      <c r="C134" s="747">
        <v>0</v>
      </c>
      <c r="D134" s="85">
        <v>0</v>
      </c>
      <c r="E134" s="85">
        <v>54161334552</v>
      </c>
      <c r="F134" s="747">
        <v>54161334552</v>
      </c>
      <c r="G134" s="747">
        <v>0</v>
      </c>
      <c r="H134" s="85">
        <v>0</v>
      </c>
      <c r="I134" s="853">
        <f t="shared" si="1"/>
        <v>0</v>
      </c>
    </row>
    <row r="135" spans="1:9" ht="13.5">
      <c r="A135" s="83" t="s">
        <v>259</v>
      </c>
      <c r="B135" s="84" t="s">
        <v>260</v>
      </c>
      <c r="C135" s="747">
        <v>0</v>
      </c>
      <c r="D135" s="85">
        <v>0</v>
      </c>
      <c r="E135" s="85">
        <v>32053189839</v>
      </c>
      <c r="F135" s="747">
        <v>32053189839</v>
      </c>
      <c r="G135" s="747">
        <v>0</v>
      </c>
      <c r="H135" s="85">
        <v>0</v>
      </c>
      <c r="I135" s="853">
        <f t="shared" si="1"/>
        <v>0</v>
      </c>
    </row>
    <row r="136" spans="1:9" ht="13.5">
      <c r="A136" s="83" t="s">
        <v>261</v>
      </c>
      <c r="B136" s="84" t="s">
        <v>262</v>
      </c>
      <c r="C136" s="747">
        <v>0</v>
      </c>
      <c r="D136" s="85">
        <v>0</v>
      </c>
      <c r="E136" s="85">
        <v>131507</v>
      </c>
      <c r="F136" s="747">
        <v>131507</v>
      </c>
      <c r="G136" s="747">
        <v>0</v>
      </c>
      <c r="H136" s="85">
        <v>0</v>
      </c>
      <c r="I136" s="853">
        <f t="shared" ref="I136:I199" si="2">G136-H136</f>
        <v>0</v>
      </c>
    </row>
    <row r="137" spans="1:9" ht="13.5">
      <c r="A137" s="83" t="s">
        <v>263</v>
      </c>
      <c r="B137" s="84" t="s">
        <v>264</v>
      </c>
      <c r="C137" s="747">
        <v>0</v>
      </c>
      <c r="D137" s="85">
        <v>0</v>
      </c>
      <c r="E137" s="85">
        <v>34692835</v>
      </c>
      <c r="F137" s="747">
        <v>34692835</v>
      </c>
      <c r="G137" s="747">
        <v>0</v>
      </c>
      <c r="H137" s="85">
        <v>0</v>
      </c>
      <c r="I137" s="853">
        <f t="shared" si="2"/>
        <v>0</v>
      </c>
    </row>
    <row r="138" spans="1:9" ht="13.5">
      <c r="A138" s="80" t="s">
        <v>265</v>
      </c>
      <c r="B138" s="81" t="s">
        <v>266</v>
      </c>
      <c r="C138" s="746">
        <v>0</v>
      </c>
      <c r="D138" s="82">
        <v>0</v>
      </c>
      <c r="E138" s="82">
        <v>16492779425</v>
      </c>
      <c r="F138" s="746">
        <v>16492779425</v>
      </c>
      <c r="G138" s="746">
        <v>0</v>
      </c>
      <c r="H138" s="82">
        <v>0</v>
      </c>
      <c r="I138" s="853">
        <f t="shared" si="2"/>
        <v>0</v>
      </c>
    </row>
    <row r="139" spans="1:9" ht="13.5">
      <c r="A139" s="83" t="s">
        <v>267</v>
      </c>
      <c r="B139" s="84" t="s">
        <v>268</v>
      </c>
      <c r="C139" s="747">
        <v>0</v>
      </c>
      <c r="D139" s="85">
        <v>0</v>
      </c>
      <c r="E139" s="85">
        <v>26863644</v>
      </c>
      <c r="F139" s="747">
        <v>26863644</v>
      </c>
      <c r="G139" s="747">
        <v>0</v>
      </c>
      <c r="H139" s="85">
        <v>0</v>
      </c>
      <c r="I139" s="853">
        <f t="shared" si="2"/>
        <v>0</v>
      </c>
    </row>
    <row r="140" spans="1:9" ht="13.5">
      <c r="A140" s="83" t="s">
        <v>269</v>
      </c>
      <c r="B140" s="84" t="s">
        <v>270</v>
      </c>
      <c r="C140" s="747">
        <v>0</v>
      </c>
      <c r="D140" s="85">
        <v>0</v>
      </c>
      <c r="E140" s="85">
        <v>2263551354</v>
      </c>
      <c r="F140" s="747">
        <v>2263551354</v>
      </c>
      <c r="G140" s="747">
        <v>0</v>
      </c>
      <c r="H140" s="85">
        <v>0</v>
      </c>
      <c r="I140" s="853">
        <f t="shared" si="2"/>
        <v>0</v>
      </c>
    </row>
    <row r="141" spans="1:9" ht="13.5">
      <c r="A141" s="80" t="s">
        <v>271</v>
      </c>
      <c r="B141" s="81" t="s">
        <v>272</v>
      </c>
      <c r="C141" s="746">
        <v>0</v>
      </c>
      <c r="D141" s="82">
        <v>0</v>
      </c>
      <c r="E141" s="82">
        <v>14166260385</v>
      </c>
      <c r="F141" s="746">
        <v>14166260385</v>
      </c>
      <c r="G141" s="746">
        <v>0</v>
      </c>
      <c r="H141" s="82">
        <v>0</v>
      </c>
      <c r="I141" s="853">
        <f t="shared" si="2"/>
        <v>0</v>
      </c>
    </row>
    <row r="142" spans="1:9" ht="13.5">
      <c r="A142" s="83" t="s">
        <v>273</v>
      </c>
      <c r="B142" s="84" t="s">
        <v>274</v>
      </c>
      <c r="C142" s="747">
        <v>0</v>
      </c>
      <c r="D142" s="85">
        <v>0</v>
      </c>
      <c r="E142" s="85">
        <v>1276508886</v>
      </c>
      <c r="F142" s="747">
        <v>1276508886</v>
      </c>
      <c r="G142" s="747">
        <v>0</v>
      </c>
      <c r="H142" s="85">
        <v>0</v>
      </c>
      <c r="I142" s="853">
        <f t="shared" si="2"/>
        <v>0</v>
      </c>
    </row>
    <row r="143" spans="1:9" ht="13.5">
      <c r="A143" s="83" t="s">
        <v>275</v>
      </c>
      <c r="B143" s="84" t="s">
        <v>276</v>
      </c>
      <c r="C143" s="747">
        <v>0</v>
      </c>
      <c r="D143" s="85">
        <v>0</v>
      </c>
      <c r="E143" s="85">
        <v>7426118</v>
      </c>
      <c r="F143" s="747">
        <v>7426118</v>
      </c>
      <c r="G143" s="747">
        <v>0</v>
      </c>
      <c r="H143" s="85">
        <v>0</v>
      </c>
      <c r="I143" s="853">
        <f t="shared" si="2"/>
        <v>0</v>
      </c>
    </row>
    <row r="144" spans="1:9" ht="13.5">
      <c r="A144" s="83" t="s">
        <v>277</v>
      </c>
      <c r="B144" s="84" t="s">
        <v>278</v>
      </c>
      <c r="C144" s="747">
        <v>0</v>
      </c>
      <c r="D144" s="85">
        <v>0</v>
      </c>
      <c r="E144" s="85">
        <v>605765000</v>
      </c>
      <c r="F144" s="747">
        <v>605765000</v>
      </c>
      <c r="G144" s="747">
        <v>0</v>
      </c>
      <c r="H144" s="85">
        <v>0</v>
      </c>
      <c r="I144" s="853">
        <f t="shared" si="2"/>
        <v>0</v>
      </c>
    </row>
    <row r="145" spans="1:9" ht="13.5">
      <c r="A145" s="83" t="s">
        <v>279</v>
      </c>
      <c r="B145" s="84" t="s">
        <v>280</v>
      </c>
      <c r="C145" s="747">
        <v>0</v>
      </c>
      <c r="D145" s="85">
        <v>0</v>
      </c>
      <c r="E145" s="85">
        <v>5785000</v>
      </c>
      <c r="F145" s="747">
        <v>5785000</v>
      </c>
      <c r="G145" s="747">
        <v>0</v>
      </c>
      <c r="H145" s="85">
        <v>0</v>
      </c>
      <c r="I145" s="853">
        <f t="shared" si="2"/>
        <v>0</v>
      </c>
    </row>
    <row r="146" spans="1:9" ht="13.5">
      <c r="A146" s="83" t="s">
        <v>281</v>
      </c>
      <c r="B146" s="84" t="s">
        <v>282</v>
      </c>
      <c r="C146" s="747">
        <v>0</v>
      </c>
      <c r="D146" s="85">
        <v>0</v>
      </c>
      <c r="E146" s="85">
        <v>15618081</v>
      </c>
      <c r="F146" s="747">
        <v>15618081</v>
      </c>
      <c r="G146" s="747">
        <v>0</v>
      </c>
      <c r="H146" s="85">
        <v>0</v>
      </c>
      <c r="I146" s="853">
        <f t="shared" si="2"/>
        <v>0</v>
      </c>
    </row>
    <row r="147" spans="1:9" ht="13.5">
      <c r="A147" s="83" t="s">
        <v>283</v>
      </c>
      <c r="B147" s="84" t="s">
        <v>284</v>
      </c>
      <c r="C147" s="747">
        <v>0</v>
      </c>
      <c r="D147" s="85">
        <v>0</v>
      </c>
      <c r="E147" s="85">
        <v>3418119998</v>
      </c>
      <c r="F147" s="747">
        <v>3418119998</v>
      </c>
      <c r="G147" s="747">
        <v>0</v>
      </c>
      <c r="H147" s="85">
        <v>0</v>
      </c>
      <c r="I147" s="853">
        <f t="shared" si="2"/>
        <v>0</v>
      </c>
    </row>
    <row r="148" spans="1:9" ht="13.5">
      <c r="A148" s="83" t="s">
        <v>285</v>
      </c>
      <c r="B148" s="84" t="s">
        <v>286</v>
      </c>
      <c r="C148" s="747">
        <v>0</v>
      </c>
      <c r="D148" s="85">
        <v>0</v>
      </c>
      <c r="E148" s="85">
        <v>3974400</v>
      </c>
      <c r="F148" s="747">
        <v>3974400</v>
      </c>
      <c r="G148" s="747">
        <v>0</v>
      </c>
      <c r="H148" s="85">
        <v>0</v>
      </c>
      <c r="I148" s="853">
        <f t="shared" si="2"/>
        <v>0</v>
      </c>
    </row>
    <row r="149" spans="1:9" ht="13.5">
      <c r="A149" s="83" t="s">
        <v>287</v>
      </c>
      <c r="B149" s="84" t="s">
        <v>288</v>
      </c>
      <c r="C149" s="747">
        <v>0</v>
      </c>
      <c r="D149" s="85">
        <v>0</v>
      </c>
      <c r="E149" s="85">
        <v>708184330</v>
      </c>
      <c r="F149" s="747">
        <v>708184330</v>
      </c>
      <c r="G149" s="747">
        <v>0</v>
      </c>
      <c r="H149" s="85">
        <v>0</v>
      </c>
      <c r="I149" s="853">
        <f t="shared" si="2"/>
        <v>0</v>
      </c>
    </row>
    <row r="150" spans="1:9" ht="13.5">
      <c r="A150" s="83" t="s">
        <v>289</v>
      </c>
      <c r="B150" s="84" t="s">
        <v>290</v>
      </c>
      <c r="C150" s="747">
        <v>0</v>
      </c>
      <c r="D150" s="85">
        <v>0</v>
      </c>
      <c r="E150" s="85">
        <v>206275232</v>
      </c>
      <c r="F150" s="747">
        <v>206275232</v>
      </c>
      <c r="G150" s="747">
        <v>0</v>
      </c>
      <c r="H150" s="85">
        <v>0</v>
      </c>
      <c r="I150" s="853">
        <f t="shared" si="2"/>
        <v>0</v>
      </c>
    </row>
    <row r="151" spans="1:9" ht="13.5">
      <c r="A151" s="83" t="s">
        <v>291</v>
      </c>
      <c r="B151" s="84" t="s">
        <v>292</v>
      </c>
      <c r="C151" s="747">
        <v>0</v>
      </c>
      <c r="D151" s="85">
        <v>0</v>
      </c>
      <c r="E151" s="85">
        <v>7359466823</v>
      </c>
      <c r="F151" s="747">
        <v>7359466823</v>
      </c>
      <c r="G151" s="747">
        <v>0</v>
      </c>
      <c r="H151" s="85">
        <v>0</v>
      </c>
      <c r="I151" s="853">
        <f t="shared" si="2"/>
        <v>0</v>
      </c>
    </row>
    <row r="152" spans="1:9" ht="13.5">
      <c r="A152" s="83" t="s">
        <v>293</v>
      </c>
      <c r="B152" s="84" t="s">
        <v>294</v>
      </c>
      <c r="C152" s="747">
        <v>0</v>
      </c>
      <c r="D152" s="85">
        <v>0</v>
      </c>
      <c r="E152" s="85">
        <v>91636356</v>
      </c>
      <c r="F152" s="747">
        <v>91636356</v>
      </c>
      <c r="G152" s="747">
        <v>0</v>
      </c>
      <c r="H152" s="85">
        <v>0</v>
      </c>
      <c r="I152" s="853">
        <f t="shared" si="2"/>
        <v>0</v>
      </c>
    </row>
    <row r="153" spans="1:9" ht="13.5">
      <c r="A153" s="83" t="s">
        <v>295</v>
      </c>
      <c r="B153" s="84" t="s">
        <v>296</v>
      </c>
      <c r="C153" s="747">
        <v>0</v>
      </c>
      <c r="D153" s="85">
        <v>0</v>
      </c>
      <c r="E153" s="85">
        <v>145607500</v>
      </c>
      <c r="F153" s="747">
        <v>145607500</v>
      </c>
      <c r="G153" s="747">
        <v>0</v>
      </c>
      <c r="H153" s="85">
        <v>0</v>
      </c>
      <c r="I153" s="853">
        <f t="shared" si="2"/>
        <v>0</v>
      </c>
    </row>
    <row r="154" spans="1:9" ht="13.5">
      <c r="A154" s="83" t="s">
        <v>297</v>
      </c>
      <c r="B154" s="84" t="s">
        <v>298</v>
      </c>
      <c r="C154" s="747">
        <v>0</v>
      </c>
      <c r="D154" s="85">
        <v>0</v>
      </c>
      <c r="E154" s="85">
        <v>83958161</v>
      </c>
      <c r="F154" s="747">
        <v>83958161</v>
      </c>
      <c r="G154" s="747">
        <v>0</v>
      </c>
      <c r="H154" s="85">
        <v>0</v>
      </c>
      <c r="I154" s="853">
        <f t="shared" si="2"/>
        <v>0</v>
      </c>
    </row>
    <row r="155" spans="1:9" ht="13.5">
      <c r="A155" s="83" t="s">
        <v>299</v>
      </c>
      <c r="B155" s="84" t="s">
        <v>300</v>
      </c>
      <c r="C155" s="747">
        <v>0</v>
      </c>
      <c r="D155" s="85">
        <v>0</v>
      </c>
      <c r="E155" s="85">
        <v>237934500</v>
      </c>
      <c r="F155" s="747">
        <v>237934500</v>
      </c>
      <c r="G155" s="747">
        <v>0</v>
      </c>
      <c r="H155" s="85">
        <v>0</v>
      </c>
      <c r="I155" s="853">
        <f t="shared" si="2"/>
        <v>0</v>
      </c>
    </row>
    <row r="156" spans="1:9" ht="13.5">
      <c r="A156" s="83" t="s">
        <v>301</v>
      </c>
      <c r="B156" s="84" t="s">
        <v>302</v>
      </c>
      <c r="C156" s="747">
        <v>0</v>
      </c>
      <c r="D156" s="85">
        <v>0</v>
      </c>
      <c r="E156" s="85">
        <v>36104042</v>
      </c>
      <c r="F156" s="747">
        <v>36104042</v>
      </c>
      <c r="G156" s="747">
        <v>0</v>
      </c>
      <c r="H156" s="85">
        <v>0</v>
      </c>
      <c r="I156" s="853">
        <f t="shared" si="2"/>
        <v>0</v>
      </c>
    </row>
    <row r="157" spans="1:9" ht="13.5">
      <c r="A157" s="80" t="s">
        <v>303</v>
      </c>
      <c r="B157" s="81" t="s">
        <v>304</v>
      </c>
      <c r="C157" s="746">
        <v>0</v>
      </c>
      <c r="D157" s="82">
        <v>0</v>
      </c>
      <c r="E157" s="82">
        <v>15178017047</v>
      </c>
      <c r="F157" s="746">
        <v>15178017047</v>
      </c>
      <c r="G157" s="746">
        <v>0</v>
      </c>
      <c r="H157" s="82">
        <v>0</v>
      </c>
      <c r="I157" s="853">
        <f t="shared" si="2"/>
        <v>0</v>
      </c>
    </row>
    <row r="158" spans="1:9" ht="13.5">
      <c r="A158" s="80" t="s">
        <v>305</v>
      </c>
      <c r="B158" s="81" t="s">
        <v>306</v>
      </c>
      <c r="C158" s="746">
        <v>0</v>
      </c>
      <c r="D158" s="82">
        <v>0</v>
      </c>
      <c r="E158" s="82">
        <v>806421294004</v>
      </c>
      <c r="F158" s="746">
        <v>806421294004</v>
      </c>
      <c r="G158" s="746">
        <v>0</v>
      </c>
      <c r="H158" s="82">
        <v>0</v>
      </c>
      <c r="I158" s="853">
        <f t="shared" si="2"/>
        <v>0</v>
      </c>
    </row>
    <row r="159" spans="1:9" ht="13.5">
      <c r="A159" s="83" t="s">
        <v>307</v>
      </c>
      <c r="B159" s="84" t="s">
        <v>308</v>
      </c>
      <c r="C159" s="747">
        <v>0</v>
      </c>
      <c r="D159" s="85">
        <v>0</v>
      </c>
      <c r="E159" s="85">
        <v>109793045368</v>
      </c>
      <c r="F159" s="747">
        <v>109793045368</v>
      </c>
      <c r="G159" s="747">
        <v>0</v>
      </c>
      <c r="H159" s="85">
        <v>0</v>
      </c>
      <c r="I159" s="853">
        <f t="shared" si="2"/>
        <v>0</v>
      </c>
    </row>
    <row r="160" spans="1:9" ht="13.5">
      <c r="A160" s="83" t="s">
        <v>309</v>
      </c>
      <c r="B160" s="84" t="s">
        <v>310</v>
      </c>
      <c r="C160" s="747">
        <v>0</v>
      </c>
      <c r="D160" s="85">
        <v>0</v>
      </c>
      <c r="E160" s="85">
        <v>399565973508</v>
      </c>
      <c r="F160" s="747">
        <v>399565973508</v>
      </c>
      <c r="G160" s="747">
        <v>0</v>
      </c>
      <c r="H160" s="85">
        <v>0</v>
      </c>
      <c r="I160" s="853">
        <f t="shared" si="2"/>
        <v>0</v>
      </c>
    </row>
    <row r="161" spans="1:9" ht="13.5">
      <c r="A161" s="80" t="s">
        <v>311</v>
      </c>
      <c r="B161" s="81" t="s">
        <v>312</v>
      </c>
      <c r="C161" s="746">
        <v>0</v>
      </c>
      <c r="D161" s="82">
        <v>0</v>
      </c>
      <c r="E161" s="82">
        <v>45890054655</v>
      </c>
      <c r="F161" s="746">
        <v>45890054655</v>
      </c>
      <c r="G161" s="746">
        <v>0</v>
      </c>
      <c r="H161" s="82">
        <v>0</v>
      </c>
      <c r="I161" s="853">
        <f t="shared" si="2"/>
        <v>0</v>
      </c>
    </row>
    <row r="162" spans="1:9" ht="13.5">
      <c r="A162" s="83" t="s">
        <v>313</v>
      </c>
      <c r="B162" s="84" t="s">
        <v>314</v>
      </c>
      <c r="C162" s="747">
        <v>0</v>
      </c>
      <c r="D162" s="85">
        <v>0</v>
      </c>
      <c r="E162" s="85">
        <v>19211840065</v>
      </c>
      <c r="F162" s="747">
        <v>19211840065</v>
      </c>
      <c r="G162" s="747">
        <v>0</v>
      </c>
      <c r="H162" s="85">
        <v>0</v>
      </c>
      <c r="I162" s="853">
        <f t="shared" si="2"/>
        <v>0</v>
      </c>
    </row>
    <row r="163" spans="1:9" ht="13.5">
      <c r="A163" s="83" t="s">
        <v>315</v>
      </c>
      <c r="B163" s="84" t="s">
        <v>316</v>
      </c>
      <c r="C163" s="747">
        <v>0</v>
      </c>
      <c r="D163" s="85">
        <v>0</v>
      </c>
      <c r="E163" s="85">
        <v>4073810401</v>
      </c>
      <c r="F163" s="747">
        <v>4073810401</v>
      </c>
      <c r="G163" s="747">
        <v>0</v>
      </c>
      <c r="H163" s="85">
        <v>0</v>
      </c>
      <c r="I163" s="853">
        <f t="shared" si="2"/>
        <v>0</v>
      </c>
    </row>
    <row r="164" spans="1:9" ht="13.5">
      <c r="A164" s="83" t="s">
        <v>317</v>
      </c>
      <c r="B164" s="84" t="s">
        <v>318</v>
      </c>
      <c r="C164" s="747">
        <v>0</v>
      </c>
      <c r="D164" s="85">
        <v>0</v>
      </c>
      <c r="E164" s="85">
        <v>22604404189</v>
      </c>
      <c r="F164" s="747">
        <v>22604404189</v>
      </c>
      <c r="G164" s="747">
        <v>0</v>
      </c>
      <c r="H164" s="85">
        <v>0</v>
      </c>
      <c r="I164" s="853">
        <f t="shared" si="2"/>
        <v>0</v>
      </c>
    </row>
    <row r="165" spans="1:9" ht="13.5">
      <c r="A165" s="83" t="s">
        <v>319</v>
      </c>
      <c r="B165" s="84" t="s">
        <v>320</v>
      </c>
      <c r="C165" s="747">
        <v>0</v>
      </c>
      <c r="D165" s="85">
        <v>0</v>
      </c>
      <c r="E165" s="85">
        <v>393000273</v>
      </c>
      <c r="F165" s="747">
        <v>393000273</v>
      </c>
      <c r="G165" s="747">
        <v>0</v>
      </c>
      <c r="H165" s="85">
        <v>0</v>
      </c>
      <c r="I165" s="853">
        <f t="shared" si="2"/>
        <v>0</v>
      </c>
    </row>
    <row r="166" spans="1:9" ht="25.5">
      <c r="A166" s="83" t="s">
        <v>321</v>
      </c>
      <c r="B166" s="84" t="s">
        <v>322</v>
      </c>
      <c r="C166" s="747">
        <v>0</v>
      </c>
      <c r="D166" s="85">
        <v>0</v>
      </c>
      <c r="E166" s="85">
        <v>249880924343</v>
      </c>
      <c r="F166" s="747">
        <v>249880924343</v>
      </c>
      <c r="G166" s="747">
        <v>0</v>
      </c>
      <c r="H166" s="85">
        <v>0</v>
      </c>
      <c r="I166" s="853">
        <f t="shared" si="2"/>
        <v>0</v>
      </c>
    </row>
    <row r="167" spans="1:9" ht="13.5">
      <c r="A167" s="80" t="s">
        <v>323</v>
      </c>
      <c r="B167" s="81" t="s">
        <v>324</v>
      </c>
      <c r="C167" s="746">
        <v>0</v>
      </c>
      <c r="D167" s="82">
        <v>0</v>
      </c>
      <c r="E167" s="82">
        <v>895069154</v>
      </c>
      <c r="F167" s="746">
        <v>895069154</v>
      </c>
      <c r="G167" s="746">
        <v>0</v>
      </c>
      <c r="H167" s="82">
        <v>0</v>
      </c>
      <c r="I167" s="853">
        <f t="shared" si="2"/>
        <v>0</v>
      </c>
    </row>
    <row r="168" spans="1:9" ht="13.5">
      <c r="A168" s="83" t="s">
        <v>325</v>
      </c>
      <c r="B168" s="84" t="s">
        <v>326</v>
      </c>
      <c r="C168" s="747">
        <v>0</v>
      </c>
      <c r="D168" s="85">
        <v>0</v>
      </c>
      <c r="E168" s="85">
        <v>92794519</v>
      </c>
      <c r="F168" s="747">
        <v>92794519</v>
      </c>
      <c r="G168" s="747">
        <v>0</v>
      </c>
      <c r="H168" s="85">
        <v>0</v>
      </c>
      <c r="I168" s="853">
        <f t="shared" si="2"/>
        <v>0</v>
      </c>
    </row>
    <row r="169" spans="1:9" ht="13.5">
      <c r="A169" s="83" t="s">
        <v>327</v>
      </c>
      <c r="B169" s="84" t="s">
        <v>328</v>
      </c>
      <c r="C169" s="747">
        <v>0</v>
      </c>
      <c r="D169" s="85">
        <v>0</v>
      </c>
      <c r="E169" s="85">
        <v>288872341</v>
      </c>
      <c r="F169" s="747">
        <v>288872341</v>
      </c>
      <c r="G169" s="747">
        <v>0</v>
      </c>
      <c r="H169" s="85">
        <v>0</v>
      </c>
      <c r="I169" s="853">
        <f t="shared" si="2"/>
        <v>0</v>
      </c>
    </row>
    <row r="170" spans="1:9" ht="13.5">
      <c r="A170" s="83" t="s">
        <v>329</v>
      </c>
      <c r="B170" s="84" t="s">
        <v>330</v>
      </c>
      <c r="C170" s="747">
        <v>0</v>
      </c>
      <c r="D170" s="85">
        <v>0</v>
      </c>
      <c r="E170" s="85">
        <v>513402294</v>
      </c>
      <c r="F170" s="747">
        <v>513402294</v>
      </c>
      <c r="G170" s="747">
        <v>0</v>
      </c>
      <c r="H170" s="85">
        <v>0</v>
      </c>
      <c r="I170" s="853">
        <f t="shared" si="2"/>
        <v>0</v>
      </c>
    </row>
    <row r="171" spans="1:9" ht="13.5">
      <c r="A171" s="83" t="s">
        <v>331</v>
      </c>
      <c r="B171" s="84" t="s">
        <v>332</v>
      </c>
      <c r="C171" s="747">
        <v>0</v>
      </c>
      <c r="D171" s="85">
        <v>0</v>
      </c>
      <c r="E171" s="85">
        <v>3226703</v>
      </c>
      <c r="F171" s="747">
        <v>3226703</v>
      </c>
      <c r="G171" s="747">
        <v>0</v>
      </c>
      <c r="H171" s="85">
        <v>0</v>
      </c>
      <c r="I171" s="853">
        <f t="shared" si="2"/>
        <v>0</v>
      </c>
    </row>
    <row r="172" spans="1:9" ht="13.5">
      <c r="A172" s="80" t="s">
        <v>333</v>
      </c>
      <c r="B172" s="81" t="s">
        <v>334</v>
      </c>
      <c r="C172" s="746">
        <v>0</v>
      </c>
      <c r="D172" s="82">
        <v>0</v>
      </c>
      <c r="E172" s="82">
        <v>17854299301</v>
      </c>
      <c r="F172" s="746">
        <v>17854299301</v>
      </c>
      <c r="G172" s="746">
        <v>0</v>
      </c>
      <c r="H172" s="82">
        <v>0</v>
      </c>
      <c r="I172" s="853">
        <f t="shared" si="2"/>
        <v>0</v>
      </c>
    </row>
    <row r="173" spans="1:9" ht="13.5">
      <c r="A173" s="80" t="s">
        <v>335</v>
      </c>
      <c r="B173" s="81" t="s">
        <v>336</v>
      </c>
      <c r="C173" s="746">
        <v>0</v>
      </c>
      <c r="D173" s="82">
        <v>0</v>
      </c>
      <c r="E173" s="82">
        <v>5937814508</v>
      </c>
      <c r="F173" s="746">
        <v>5937814508</v>
      </c>
      <c r="G173" s="746">
        <v>0</v>
      </c>
      <c r="H173" s="82">
        <v>0</v>
      </c>
      <c r="I173" s="853">
        <f t="shared" si="2"/>
        <v>0</v>
      </c>
    </row>
    <row r="174" spans="1:9" ht="13.5">
      <c r="A174" s="83" t="s">
        <v>337</v>
      </c>
      <c r="B174" s="84" t="s">
        <v>338</v>
      </c>
      <c r="C174" s="747">
        <v>0</v>
      </c>
      <c r="D174" s="85">
        <v>0</v>
      </c>
      <c r="E174" s="85">
        <v>5496846099</v>
      </c>
      <c r="F174" s="747">
        <v>5496846099</v>
      </c>
      <c r="G174" s="747">
        <v>0</v>
      </c>
      <c r="H174" s="85">
        <v>0</v>
      </c>
      <c r="I174" s="853">
        <f t="shared" si="2"/>
        <v>0</v>
      </c>
    </row>
    <row r="175" spans="1:9" ht="13.5">
      <c r="A175" s="83" t="s">
        <v>339</v>
      </c>
      <c r="B175" s="84" t="s">
        <v>340</v>
      </c>
      <c r="C175" s="747">
        <v>0</v>
      </c>
      <c r="D175" s="85">
        <v>0</v>
      </c>
      <c r="E175" s="85">
        <v>412452500</v>
      </c>
      <c r="F175" s="747">
        <v>412452500</v>
      </c>
      <c r="G175" s="747">
        <v>0</v>
      </c>
      <c r="H175" s="85">
        <v>0</v>
      </c>
      <c r="I175" s="853">
        <f t="shared" si="2"/>
        <v>0</v>
      </c>
    </row>
    <row r="176" spans="1:9" ht="13.5">
      <c r="A176" s="83" t="s">
        <v>341</v>
      </c>
      <c r="B176" s="84" t="s">
        <v>342</v>
      </c>
      <c r="C176" s="747">
        <v>0</v>
      </c>
      <c r="D176" s="85">
        <v>0</v>
      </c>
      <c r="E176" s="85">
        <v>28515909</v>
      </c>
      <c r="F176" s="747">
        <v>28515909</v>
      </c>
      <c r="G176" s="747">
        <v>0</v>
      </c>
      <c r="H176" s="85">
        <v>0</v>
      </c>
      <c r="I176" s="853">
        <f t="shared" si="2"/>
        <v>0</v>
      </c>
    </row>
    <row r="177" spans="1:9" ht="13.5">
      <c r="A177" s="83" t="s">
        <v>343</v>
      </c>
      <c r="B177" s="84" t="s">
        <v>344</v>
      </c>
      <c r="C177" s="747">
        <v>0</v>
      </c>
      <c r="D177" s="85">
        <v>0</v>
      </c>
      <c r="E177" s="85">
        <v>97373229</v>
      </c>
      <c r="F177" s="747">
        <v>97373229</v>
      </c>
      <c r="G177" s="747">
        <v>0</v>
      </c>
      <c r="H177" s="85">
        <v>0</v>
      </c>
      <c r="I177" s="853">
        <f t="shared" si="2"/>
        <v>0</v>
      </c>
    </row>
    <row r="178" spans="1:9" ht="13.5">
      <c r="A178" s="83" t="s">
        <v>345</v>
      </c>
      <c r="B178" s="84" t="s">
        <v>270</v>
      </c>
      <c r="C178" s="747">
        <v>0</v>
      </c>
      <c r="D178" s="85">
        <v>0</v>
      </c>
      <c r="E178" s="85">
        <v>46445004</v>
      </c>
      <c r="F178" s="747">
        <v>46445004</v>
      </c>
      <c r="G178" s="747">
        <v>0</v>
      </c>
      <c r="H178" s="85">
        <v>0</v>
      </c>
      <c r="I178" s="853">
        <f t="shared" si="2"/>
        <v>0</v>
      </c>
    </row>
    <row r="179" spans="1:9" ht="13.5">
      <c r="A179" s="80" t="s">
        <v>346</v>
      </c>
      <c r="B179" s="81" t="s">
        <v>272</v>
      </c>
      <c r="C179" s="746">
        <v>0</v>
      </c>
      <c r="D179" s="82">
        <v>0</v>
      </c>
      <c r="E179" s="82">
        <v>9377439017</v>
      </c>
      <c r="F179" s="746">
        <v>9377439017</v>
      </c>
      <c r="G179" s="746">
        <v>0</v>
      </c>
      <c r="H179" s="82">
        <v>0</v>
      </c>
      <c r="I179" s="853">
        <f t="shared" si="2"/>
        <v>0</v>
      </c>
    </row>
    <row r="180" spans="1:9" ht="13.5">
      <c r="A180" s="83" t="s">
        <v>347</v>
      </c>
      <c r="B180" s="84" t="s">
        <v>288</v>
      </c>
      <c r="C180" s="747">
        <v>0</v>
      </c>
      <c r="D180" s="85">
        <v>0</v>
      </c>
      <c r="E180" s="85">
        <v>1122242818</v>
      </c>
      <c r="F180" s="747">
        <v>1122242818</v>
      </c>
      <c r="G180" s="747">
        <v>0</v>
      </c>
      <c r="H180" s="85">
        <v>0</v>
      </c>
      <c r="I180" s="853">
        <f t="shared" si="2"/>
        <v>0</v>
      </c>
    </row>
    <row r="181" spans="1:9" ht="13.5">
      <c r="A181" s="83" t="s">
        <v>348</v>
      </c>
      <c r="B181" s="84" t="s">
        <v>349</v>
      </c>
      <c r="C181" s="747">
        <v>0</v>
      </c>
      <c r="D181" s="85">
        <v>0</v>
      </c>
      <c r="E181" s="85">
        <v>4475242422</v>
      </c>
      <c r="F181" s="747">
        <v>4475242422</v>
      </c>
      <c r="G181" s="747">
        <v>0</v>
      </c>
      <c r="H181" s="85">
        <v>0</v>
      </c>
      <c r="I181" s="853">
        <f t="shared" si="2"/>
        <v>0</v>
      </c>
    </row>
    <row r="182" spans="1:9" ht="13.5">
      <c r="A182" s="83" t="s">
        <v>350</v>
      </c>
      <c r="B182" s="84" t="s">
        <v>351</v>
      </c>
      <c r="C182" s="747">
        <v>0</v>
      </c>
      <c r="D182" s="85">
        <v>0</v>
      </c>
      <c r="E182" s="85">
        <v>2885051458</v>
      </c>
      <c r="F182" s="747">
        <v>2885051458</v>
      </c>
      <c r="G182" s="747">
        <v>0</v>
      </c>
      <c r="H182" s="85">
        <v>0</v>
      </c>
      <c r="I182" s="853">
        <f t="shared" si="2"/>
        <v>0</v>
      </c>
    </row>
    <row r="183" spans="1:9" ht="13.5">
      <c r="A183" s="83" t="s">
        <v>352</v>
      </c>
      <c r="B183" s="84" t="s">
        <v>353</v>
      </c>
      <c r="C183" s="747">
        <v>0</v>
      </c>
      <c r="D183" s="85">
        <v>0</v>
      </c>
      <c r="E183" s="85">
        <v>7200000</v>
      </c>
      <c r="F183" s="747">
        <v>7200000</v>
      </c>
      <c r="G183" s="747">
        <v>0</v>
      </c>
      <c r="H183" s="85">
        <v>0</v>
      </c>
      <c r="I183" s="853">
        <f t="shared" si="2"/>
        <v>0</v>
      </c>
    </row>
    <row r="184" spans="1:9" ht="13.5">
      <c r="A184" s="83" t="s">
        <v>354</v>
      </c>
      <c r="B184" s="84" t="s">
        <v>355</v>
      </c>
      <c r="C184" s="747">
        <v>0</v>
      </c>
      <c r="D184" s="85">
        <v>0</v>
      </c>
      <c r="E184" s="85">
        <v>54082469</v>
      </c>
      <c r="F184" s="747">
        <v>54082469</v>
      </c>
      <c r="G184" s="747">
        <v>0</v>
      </c>
      <c r="H184" s="85">
        <v>0</v>
      </c>
      <c r="I184" s="853">
        <f t="shared" si="2"/>
        <v>0</v>
      </c>
    </row>
    <row r="185" spans="1:9" ht="13.5">
      <c r="A185" s="83" t="s">
        <v>356</v>
      </c>
      <c r="B185" s="84" t="s">
        <v>280</v>
      </c>
      <c r="C185" s="747">
        <v>0</v>
      </c>
      <c r="D185" s="85">
        <v>0</v>
      </c>
      <c r="E185" s="85">
        <v>581002</v>
      </c>
      <c r="F185" s="747">
        <v>581002</v>
      </c>
      <c r="G185" s="747">
        <v>0</v>
      </c>
      <c r="H185" s="85">
        <v>0</v>
      </c>
      <c r="I185" s="853">
        <f t="shared" si="2"/>
        <v>0</v>
      </c>
    </row>
    <row r="186" spans="1:9" ht="13.5">
      <c r="A186" s="83" t="s">
        <v>357</v>
      </c>
      <c r="B186" s="84" t="s">
        <v>358</v>
      </c>
      <c r="C186" s="747">
        <v>0</v>
      </c>
      <c r="D186" s="85">
        <v>0</v>
      </c>
      <c r="E186" s="85">
        <v>102405715</v>
      </c>
      <c r="F186" s="747">
        <v>102405715</v>
      </c>
      <c r="G186" s="747">
        <v>0</v>
      </c>
      <c r="H186" s="85">
        <v>0</v>
      </c>
      <c r="I186" s="853">
        <f t="shared" si="2"/>
        <v>0</v>
      </c>
    </row>
    <row r="187" spans="1:9" ht="13.5">
      <c r="A187" s="83" t="s">
        <v>359</v>
      </c>
      <c r="B187" s="84" t="s">
        <v>360</v>
      </c>
      <c r="C187" s="747">
        <v>0</v>
      </c>
      <c r="D187" s="85">
        <v>0</v>
      </c>
      <c r="E187" s="85">
        <v>10850000</v>
      </c>
      <c r="F187" s="747">
        <v>10850000</v>
      </c>
      <c r="G187" s="747">
        <v>0</v>
      </c>
      <c r="H187" s="85">
        <v>0</v>
      </c>
      <c r="I187" s="853">
        <f t="shared" si="2"/>
        <v>0</v>
      </c>
    </row>
    <row r="188" spans="1:9" ht="13.5">
      <c r="A188" s="83" t="s">
        <v>361</v>
      </c>
      <c r="B188" s="84" t="s">
        <v>362</v>
      </c>
      <c r="C188" s="747">
        <v>0</v>
      </c>
      <c r="D188" s="85">
        <v>0</v>
      </c>
      <c r="E188" s="85">
        <v>529671189</v>
      </c>
      <c r="F188" s="747">
        <v>529671189</v>
      </c>
      <c r="G188" s="747">
        <v>0</v>
      </c>
      <c r="H188" s="85">
        <v>0</v>
      </c>
      <c r="I188" s="853">
        <f t="shared" si="2"/>
        <v>0</v>
      </c>
    </row>
    <row r="189" spans="1:9" ht="13.5">
      <c r="A189" s="83" t="s">
        <v>363</v>
      </c>
      <c r="B189" s="84" t="s">
        <v>364</v>
      </c>
      <c r="C189" s="747">
        <v>0</v>
      </c>
      <c r="D189" s="85">
        <v>0</v>
      </c>
      <c r="E189" s="85">
        <v>178425860</v>
      </c>
      <c r="F189" s="747">
        <v>178425860</v>
      </c>
      <c r="G189" s="747">
        <v>0</v>
      </c>
      <c r="H189" s="85">
        <v>0</v>
      </c>
      <c r="I189" s="853">
        <f t="shared" si="2"/>
        <v>0</v>
      </c>
    </row>
    <row r="190" spans="1:9" ht="13.5">
      <c r="A190" s="83" t="s">
        <v>365</v>
      </c>
      <c r="B190" s="84" t="s">
        <v>366</v>
      </c>
      <c r="C190" s="747">
        <v>0</v>
      </c>
      <c r="D190" s="85">
        <v>0</v>
      </c>
      <c r="E190" s="85">
        <v>5090908</v>
      </c>
      <c r="F190" s="747">
        <v>5090908</v>
      </c>
      <c r="G190" s="747">
        <v>0</v>
      </c>
      <c r="H190" s="85">
        <v>0</v>
      </c>
      <c r="I190" s="853">
        <f t="shared" si="2"/>
        <v>0</v>
      </c>
    </row>
    <row r="191" spans="1:9" ht="13.5">
      <c r="A191" s="83" t="s">
        <v>367</v>
      </c>
      <c r="B191" s="84" t="s">
        <v>368</v>
      </c>
      <c r="C191" s="747">
        <v>0</v>
      </c>
      <c r="D191" s="85">
        <v>0</v>
      </c>
      <c r="E191" s="85">
        <v>6595176</v>
      </c>
      <c r="F191" s="747">
        <v>6595176</v>
      </c>
      <c r="G191" s="747">
        <v>0</v>
      </c>
      <c r="H191" s="85">
        <v>0</v>
      </c>
      <c r="I191" s="853">
        <f t="shared" si="2"/>
        <v>0</v>
      </c>
    </row>
    <row r="192" spans="1:9" ht="13.5">
      <c r="A192" s="80" t="s">
        <v>369</v>
      </c>
      <c r="B192" s="81" t="s">
        <v>302</v>
      </c>
      <c r="C192" s="746">
        <v>0</v>
      </c>
      <c r="D192" s="82">
        <v>0</v>
      </c>
      <c r="E192" s="82">
        <v>2395227543</v>
      </c>
      <c r="F192" s="746">
        <v>2395227543</v>
      </c>
      <c r="G192" s="746">
        <v>0</v>
      </c>
      <c r="H192" s="82">
        <v>0</v>
      </c>
      <c r="I192" s="853">
        <f t="shared" si="2"/>
        <v>0</v>
      </c>
    </row>
    <row r="193" spans="1:9" ht="13.5">
      <c r="A193" s="83" t="s">
        <v>370</v>
      </c>
      <c r="B193" s="84" t="s">
        <v>371</v>
      </c>
      <c r="C193" s="747">
        <v>0</v>
      </c>
      <c r="D193" s="85">
        <v>0</v>
      </c>
      <c r="E193" s="85">
        <v>2249378323</v>
      </c>
      <c r="F193" s="747">
        <v>2249378323</v>
      </c>
      <c r="G193" s="747">
        <v>0</v>
      </c>
      <c r="H193" s="85">
        <v>0</v>
      </c>
      <c r="I193" s="853">
        <f t="shared" si="2"/>
        <v>0</v>
      </c>
    </row>
    <row r="194" spans="1:9" ht="13.5">
      <c r="A194" s="83" t="s">
        <v>372</v>
      </c>
      <c r="B194" s="84" t="s">
        <v>373</v>
      </c>
      <c r="C194" s="747">
        <v>0</v>
      </c>
      <c r="D194" s="85">
        <v>0</v>
      </c>
      <c r="E194" s="85">
        <v>145849220</v>
      </c>
      <c r="F194" s="747">
        <v>145849220</v>
      </c>
      <c r="G194" s="747">
        <v>0</v>
      </c>
      <c r="H194" s="85">
        <v>0</v>
      </c>
      <c r="I194" s="853">
        <f t="shared" si="2"/>
        <v>0</v>
      </c>
    </row>
    <row r="195" spans="1:9" ht="13.5">
      <c r="A195" s="80" t="s">
        <v>374</v>
      </c>
      <c r="B195" s="81" t="s">
        <v>375</v>
      </c>
      <c r="C195" s="746">
        <v>0</v>
      </c>
      <c r="D195" s="82">
        <v>0</v>
      </c>
      <c r="E195" s="82">
        <v>32427233228</v>
      </c>
      <c r="F195" s="746">
        <v>32427233228</v>
      </c>
      <c r="G195" s="746">
        <v>0</v>
      </c>
      <c r="H195" s="82">
        <v>0</v>
      </c>
      <c r="I195" s="853">
        <f t="shared" si="2"/>
        <v>0</v>
      </c>
    </row>
    <row r="196" spans="1:9" ht="13.5">
      <c r="A196" s="80" t="s">
        <v>376</v>
      </c>
      <c r="B196" s="81" t="s">
        <v>377</v>
      </c>
      <c r="C196" s="746">
        <v>0</v>
      </c>
      <c r="D196" s="82">
        <v>0</v>
      </c>
      <c r="E196" s="82">
        <v>15322156140</v>
      </c>
      <c r="F196" s="746">
        <v>15322156140</v>
      </c>
      <c r="G196" s="746">
        <v>0</v>
      </c>
      <c r="H196" s="82">
        <v>0</v>
      </c>
      <c r="I196" s="853">
        <f t="shared" si="2"/>
        <v>0</v>
      </c>
    </row>
    <row r="197" spans="1:9" ht="13.5">
      <c r="A197" s="83" t="s">
        <v>378</v>
      </c>
      <c r="B197" s="84" t="s">
        <v>338</v>
      </c>
      <c r="C197" s="747">
        <v>0</v>
      </c>
      <c r="D197" s="85">
        <v>0</v>
      </c>
      <c r="E197" s="85">
        <v>12759747561</v>
      </c>
      <c r="F197" s="747">
        <v>12759747561</v>
      </c>
      <c r="G197" s="747">
        <v>0</v>
      </c>
      <c r="H197" s="85">
        <v>0</v>
      </c>
      <c r="I197" s="853">
        <f t="shared" si="2"/>
        <v>0</v>
      </c>
    </row>
    <row r="198" spans="1:9" ht="13.5">
      <c r="A198" s="83" t="s">
        <v>379</v>
      </c>
      <c r="B198" s="84" t="s">
        <v>340</v>
      </c>
      <c r="C198" s="747">
        <v>0</v>
      </c>
      <c r="D198" s="85">
        <v>0</v>
      </c>
      <c r="E198" s="85">
        <v>927851273</v>
      </c>
      <c r="F198" s="747">
        <v>927851273</v>
      </c>
      <c r="G198" s="747">
        <v>0</v>
      </c>
      <c r="H198" s="85">
        <v>0</v>
      </c>
      <c r="I198" s="853">
        <f t="shared" si="2"/>
        <v>0</v>
      </c>
    </row>
    <row r="199" spans="1:9" ht="13.5">
      <c r="A199" s="83" t="s">
        <v>380</v>
      </c>
      <c r="B199" s="84" t="s">
        <v>342</v>
      </c>
      <c r="C199" s="747">
        <v>0</v>
      </c>
      <c r="D199" s="85">
        <v>0</v>
      </c>
      <c r="E199" s="85">
        <v>1634557306</v>
      </c>
      <c r="F199" s="747">
        <v>1634557306</v>
      </c>
      <c r="G199" s="747">
        <v>0</v>
      </c>
      <c r="H199" s="85">
        <v>0</v>
      </c>
      <c r="I199" s="853">
        <f t="shared" si="2"/>
        <v>0</v>
      </c>
    </row>
    <row r="200" spans="1:9" ht="13.5">
      <c r="A200" s="83" t="s">
        <v>381</v>
      </c>
      <c r="B200" s="84" t="s">
        <v>382</v>
      </c>
      <c r="C200" s="747">
        <v>0</v>
      </c>
      <c r="D200" s="85">
        <v>0</v>
      </c>
      <c r="E200" s="85">
        <v>1781625079</v>
      </c>
      <c r="F200" s="747">
        <v>1781625079</v>
      </c>
      <c r="G200" s="747">
        <v>0</v>
      </c>
      <c r="H200" s="85">
        <v>0</v>
      </c>
      <c r="I200" s="853">
        <f t="shared" ref="I200:I238" si="3">G200-H200</f>
        <v>0</v>
      </c>
    </row>
    <row r="201" spans="1:9" ht="13.5">
      <c r="A201" s="83" t="s">
        <v>383</v>
      </c>
      <c r="B201" s="84" t="s">
        <v>270</v>
      </c>
      <c r="C201" s="747">
        <v>0</v>
      </c>
      <c r="D201" s="85">
        <v>0</v>
      </c>
      <c r="E201" s="85">
        <v>443619362</v>
      </c>
      <c r="F201" s="747">
        <v>443619362</v>
      </c>
      <c r="G201" s="747">
        <v>0</v>
      </c>
      <c r="H201" s="85">
        <v>0</v>
      </c>
      <c r="I201" s="853">
        <f t="shared" si="3"/>
        <v>0</v>
      </c>
    </row>
    <row r="202" spans="1:9" ht="13.5">
      <c r="A202" s="83" t="s">
        <v>384</v>
      </c>
      <c r="B202" s="84" t="s">
        <v>385</v>
      </c>
      <c r="C202" s="747">
        <v>0</v>
      </c>
      <c r="D202" s="85">
        <v>0</v>
      </c>
      <c r="E202" s="85">
        <v>5000000</v>
      </c>
      <c r="F202" s="747">
        <v>5000000</v>
      </c>
      <c r="G202" s="747">
        <v>0</v>
      </c>
      <c r="H202" s="85">
        <v>0</v>
      </c>
      <c r="I202" s="853">
        <f t="shared" si="3"/>
        <v>0</v>
      </c>
    </row>
    <row r="203" spans="1:9" ht="13.5">
      <c r="A203" s="80" t="s">
        <v>386</v>
      </c>
      <c r="B203" s="81" t="s">
        <v>272</v>
      </c>
      <c r="C203" s="746">
        <v>0</v>
      </c>
      <c r="D203" s="82">
        <v>0</v>
      </c>
      <c r="E203" s="82">
        <v>14251320567</v>
      </c>
      <c r="F203" s="746">
        <v>14251320567</v>
      </c>
      <c r="G203" s="746">
        <v>0</v>
      </c>
      <c r="H203" s="82">
        <v>0</v>
      </c>
      <c r="I203" s="853">
        <f t="shared" si="3"/>
        <v>0</v>
      </c>
    </row>
    <row r="204" spans="1:9" ht="13.5">
      <c r="A204" s="83" t="s">
        <v>387</v>
      </c>
      <c r="B204" s="84" t="s">
        <v>388</v>
      </c>
      <c r="C204" s="747">
        <v>0</v>
      </c>
      <c r="D204" s="85">
        <v>0</v>
      </c>
      <c r="E204" s="85">
        <v>2959211546</v>
      </c>
      <c r="F204" s="747">
        <v>2959211546</v>
      </c>
      <c r="G204" s="747">
        <v>0</v>
      </c>
      <c r="H204" s="85">
        <v>0</v>
      </c>
      <c r="I204" s="853">
        <f t="shared" si="3"/>
        <v>0</v>
      </c>
    </row>
    <row r="205" spans="1:9" ht="13.5">
      <c r="A205" s="83" t="s">
        <v>389</v>
      </c>
      <c r="B205" s="84" t="s">
        <v>390</v>
      </c>
      <c r="C205" s="747">
        <v>0</v>
      </c>
      <c r="D205" s="85">
        <v>0</v>
      </c>
      <c r="E205" s="85">
        <v>165848437</v>
      </c>
      <c r="F205" s="747">
        <v>165848437</v>
      </c>
      <c r="G205" s="747">
        <v>0</v>
      </c>
      <c r="H205" s="85">
        <v>0</v>
      </c>
      <c r="I205" s="853">
        <f t="shared" si="3"/>
        <v>0</v>
      </c>
    </row>
    <row r="206" spans="1:9" ht="13.5">
      <c r="A206" s="83" t="s">
        <v>391</v>
      </c>
      <c r="B206" s="84" t="s">
        <v>392</v>
      </c>
      <c r="C206" s="747">
        <v>0</v>
      </c>
      <c r="D206" s="85">
        <v>0</v>
      </c>
      <c r="E206" s="85">
        <v>63670472</v>
      </c>
      <c r="F206" s="747">
        <v>63670472</v>
      </c>
      <c r="G206" s="747">
        <v>0</v>
      </c>
      <c r="H206" s="85">
        <v>0</v>
      </c>
      <c r="I206" s="853">
        <f t="shared" si="3"/>
        <v>0</v>
      </c>
    </row>
    <row r="207" spans="1:9" ht="13.5">
      <c r="A207" s="83" t="s">
        <v>393</v>
      </c>
      <c r="B207" s="84" t="s">
        <v>394</v>
      </c>
      <c r="C207" s="747">
        <v>0</v>
      </c>
      <c r="D207" s="85">
        <v>0</v>
      </c>
      <c r="E207" s="85">
        <v>90046749</v>
      </c>
      <c r="F207" s="747">
        <v>90046749</v>
      </c>
      <c r="G207" s="747">
        <v>0</v>
      </c>
      <c r="H207" s="85">
        <v>0</v>
      </c>
      <c r="I207" s="853">
        <f t="shared" si="3"/>
        <v>0</v>
      </c>
    </row>
    <row r="208" spans="1:9" ht="13.5">
      <c r="A208" s="83" t="s">
        <v>395</v>
      </c>
      <c r="B208" s="84" t="s">
        <v>396</v>
      </c>
      <c r="C208" s="747">
        <v>0</v>
      </c>
      <c r="D208" s="85">
        <v>0</v>
      </c>
      <c r="E208" s="85">
        <v>351584382</v>
      </c>
      <c r="F208" s="747">
        <v>351584382</v>
      </c>
      <c r="G208" s="747">
        <v>0</v>
      </c>
      <c r="H208" s="85">
        <v>0</v>
      </c>
      <c r="I208" s="853">
        <f t="shared" si="3"/>
        <v>0</v>
      </c>
    </row>
    <row r="209" spans="1:9" ht="13.5">
      <c r="A209" s="83" t="s">
        <v>397</v>
      </c>
      <c r="B209" s="84" t="s">
        <v>366</v>
      </c>
      <c r="C209" s="747">
        <v>0</v>
      </c>
      <c r="D209" s="85">
        <v>0</v>
      </c>
      <c r="E209" s="85">
        <v>409873817</v>
      </c>
      <c r="F209" s="747">
        <v>409873817</v>
      </c>
      <c r="G209" s="747">
        <v>0</v>
      </c>
      <c r="H209" s="85">
        <v>0</v>
      </c>
      <c r="I209" s="853">
        <f t="shared" si="3"/>
        <v>0</v>
      </c>
    </row>
    <row r="210" spans="1:9" ht="13.5">
      <c r="A210" s="83" t="s">
        <v>398</v>
      </c>
      <c r="B210" s="84" t="s">
        <v>399</v>
      </c>
      <c r="C210" s="747">
        <v>0</v>
      </c>
      <c r="D210" s="85">
        <v>0</v>
      </c>
      <c r="E210" s="85">
        <v>184149695</v>
      </c>
      <c r="F210" s="747">
        <v>184149695</v>
      </c>
      <c r="G210" s="747">
        <v>0</v>
      </c>
      <c r="H210" s="85">
        <v>0</v>
      </c>
      <c r="I210" s="853">
        <f t="shared" si="3"/>
        <v>0</v>
      </c>
    </row>
    <row r="211" spans="1:9" ht="13.5">
      <c r="A211" s="83" t="s">
        <v>400</v>
      </c>
      <c r="B211" s="84" t="s">
        <v>368</v>
      </c>
      <c r="C211" s="747">
        <v>0</v>
      </c>
      <c r="D211" s="85">
        <v>0</v>
      </c>
      <c r="E211" s="85">
        <v>12419639</v>
      </c>
      <c r="F211" s="747">
        <v>12419639</v>
      </c>
      <c r="G211" s="747">
        <v>0</v>
      </c>
      <c r="H211" s="85">
        <v>0</v>
      </c>
      <c r="I211" s="853">
        <f t="shared" si="3"/>
        <v>0</v>
      </c>
    </row>
    <row r="212" spans="1:9" ht="13.5">
      <c r="A212" s="83" t="s">
        <v>401</v>
      </c>
      <c r="B212" s="84" t="s">
        <v>402</v>
      </c>
      <c r="C212" s="747">
        <v>0</v>
      </c>
      <c r="D212" s="85">
        <v>0</v>
      </c>
      <c r="E212" s="85">
        <v>333267704</v>
      </c>
      <c r="F212" s="747">
        <v>333267704</v>
      </c>
      <c r="G212" s="747">
        <v>0</v>
      </c>
      <c r="H212" s="85">
        <v>0</v>
      </c>
      <c r="I212" s="853">
        <f t="shared" si="3"/>
        <v>0</v>
      </c>
    </row>
    <row r="213" spans="1:9" ht="13.5">
      <c r="A213" s="83" t="s">
        <v>403</v>
      </c>
      <c r="B213" s="84" t="s">
        <v>404</v>
      </c>
      <c r="C213" s="747">
        <v>0</v>
      </c>
      <c r="D213" s="85">
        <v>0</v>
      </c>
      <c r="E213" s="85">
        <v>51000000</v>
      </c>
      <c r="F213" s="747">
        <v>51000000</v>
      </c>
      <c r="G213" s="747">
        <v>0</v>
      </c>
      <c r="H213" s="85">
        <v>0</v>
      </c>
      <c r="I213" s="853">
        <f t="shared" si="3"/>
        <v>0</v>
      </c>
    </row>
    <row r="214" spans="1:9" ht="13.5">
      <c r="A214" s="83" t="s">
        <v>405</v>
      </c>
      <c r="B214" s="84" t="s">
        <v>406</v>
      </c>
      <c r="C214" s="747">
        <v>0</v>
      </c>
      <c r="D214" s="85">
        <v>0</v>
      </c>
      <c r="E214" s="85">
        <v>228000000</v>
      </c>
      <c r="F214" s="747">
        <v>228000000</v>
      </c>
      <c r="G214" s="747">
        <v>0</v>
      </c>
      <c r="H214" s="85">
        <v>0</v>
      </c>
      <c r="I214" s="853">
        <f t="shared" si="3"/>
        <v>0</v>
      </c>
    </row>
    <row r="215" spans="1:9" ht="13.5">
      <c r="A215" s="83" t="s">
        <v>407</v>
      </c>
      <c r="B215" s="84" t="s">
        <v>408</v>
      </c>
      <c r="C215" s="747">
        <v>0</v>
      </c>
      <c r="D215" s="85">
        <v>0</v>
      </c>
      <c r="E215" s="85">
        <v>1079181813</v>
      </c>
      <c r="F215" s="747">
        <v>1079181813</v>
      </c>
      <c r="G215" s="747">
        <v>0</v>
      </c>
      <c r="H215" s="85">
        <v>0</v>
      </c>
      <c r="I215" s="853">
        <f t="shared" si="3"/>
        <v>0</v>
      </c>
    </row>
    <row r="216" spans="1:9" ht="13.5">
      <c r="A216" s="83" t="s">
        <v>409</v>
      </c>
      <c r="B216" s="84" t="s">
        <v>410</v>
      </c>
      <c r="C216" s="747">
        <v>0</v>
      </c>
      <c r="D216" s="85">
        <v>0</v>
      </c>
      <c r="E216" s="85">
        <v>3000000</v>
      </c>
      <c r="F216" s="747">
        <v>3000000</v>
      </c>
      <c r="G216" s="747">
        <v>0</v>
      </c>
      <c r="H216" s="85">
        <v>0</v>
      </c>
      <c r="I216" s="853">
        <f t="shared" si="3"/>
        <v>0</v>
      </c>
    </row>
    <row r="217" spans="1:9" ht="13.5">
      <c r="A217" s="83" t="s">
        <v>411</v>
      </c>
      <c r="B217" s="84" t="s">
        <v>412</v>
      </c>
      <c r="C217" s="747">
        <v>0</v>
      </c>
      <c r="D217" s="85">
        <v>0</v>
      </c>
      <c r="E217" s="85">
        <v>28848100</v>
      </c>
      <c r="F217" s="747">
        <v>28848100</v>
      </c>
      <c r="G217" s="747">
        <v>0</v>
      </c>
      <c r="H217" s="85">
        <v>0</v>
      </c>
      <c r="I217" s="853">
        <f t="shared" si="3"/>
        <v>0</v>
      </c>
    </row>
    <row r="218" spans="1:9" ht="13.5">
      <c r="A218" s="83" t="s">
        <v>413</v>
      </c>
      <c r="B218" s="84" t="s">
        <v>414</v>
      </c>
      <c r="C218" s="747">
        <v>0</v>
      </c>
      <c r="D218" s="85">
        <v>0</v>
      </c>
      <c r="E218" s="85">
        <v>502741887</v>
      </c>
      <c r="F218" s="747">
        <v>502741887</v>
      </c>
      <c r="G218" s="747">
        <v>0</v>
      </c>
      <c r="H218" s="85">
        <v>0</v>
      </c>
      <c r="I218" s="853">
        <f t="shared" si="3"/>
        <v>0</v>
      </c>
    </row>
    <row r="219" spans="1:9" ht="13.5">
      <c r="A219" s="83" t="s">
        <v>415</v>
      </c>
      <c r="B219" s="84" t="s">
        <v>416</v>
      </c>
      <c r="C219" s="747">
        <v>0</v>
      </c>
      <c r="D219" s="85">
        <v>0</v>
      </c>
      <c r="E219" s="85">
        <v>86626862</v>
      </c>
      <c r="F219" s="747">
        <v>86626862</v>
      </c>
      <c r="G219" s="747">
        <v>0</v>
      </c>
      <c r="H219" s="85">
        <v>0</v>
      </c>
      <c r="I219" s="853">
        <f t="shared" si="3"/>
        <v>0</v>
      </c>
    </row>
    <row r="220" spans="1:9" ht="13.5">
      <c r="A220" s="83" t="s">
        <v>417</v>
      </c>
      <c r="B220" s="84" t="s">
        <v>418</v>
      </c>
      <c r="C220" s="747">
        <v>0</v>
      </c>
      <c r="D220" s="85">
        <v>0</v>
      </c>
      <c r="E220" s="85">
        <v>14394000</v>
      </c>
      <c r="F220" s="747">
        <v>14394000</v>
      </c>
      <c r="G220" s="747">
        <v>0</v>
      </c>
      <c r="H220" s="85">
        <v>0</v>
      </c>
      <c r="I220" s="853">
        <f t="shared" si="3"/>
        <v>0</v>
      </c>
    </row>
    <row r="221" spans="1:9" ht="13.5">
      <c r="A221" s="83" t="s">
        <v>419</v>
      </c>
      <c r="B221" s="84" t="s">
        <v>420</v>
      </c>
      <c r="C221" s="747">
        <v>0</v>
      </c>
      <c r="D221" s="85">
        <v>0</v>
      </c>
      <c r="E221" s="85">
        <v>171744442</v>
      </c>
      <c r="F221" s="747">
        <v>171744442</v>
      </c>
      <c r="G221" s="747">
        <v>0</v>
      </c>
      <c r="H221" s="85">
        <v>0</v>
      </c>
      <c r="I221" s="853">
        <f t="shared" si="3"/>
        <v>0</v>
      </c>
    </row>
    <row r="222" spans="1:9" ht="13.5">
      <c r="A222" s="83" t="s">
        <v>421</v>
      </c>
      <c r="B222" s="84" t="s">
        <v>364</v>
      </c>
      <c r="C222" s="747">
        <v>0</v>
      </c>
      <c r="D222" s="85">
        <v>0</v>
      </c>
      <c r="E222" s="85">
        <v>412086442</v>
      </c>
      <c r="F222" s="747">
        <v>412086442</v>
      </c>
      <c r="G222" s="747">
        <v>0</v>
      </c>
      <c r="H222" s="85">
        <v>0</v>
      </c>
      <c r="I222" s="853">
        <f t="shared" si="3"/>
        <v>0</v>
      </c>
    </row>
    <row r="223" spans="1:9" ht="13.5">
      <c r="A223" s="83" t="s">
        <v>422</v>
      </c>
      <c r="B223" s="84" t="s">
        <v>423</v>
      </c>
      <c r="C223" s="747">
        <v>0</v>
      </c>
      <c r="D223" s="85">
        <v>0</v>
      </c>
      <c r="E223" s="85">
        <v>216260515</v>
      </c>
      <c r="F223" s="747">
        <v>216260515</v>
      </c>
      <c r="G223" s="747">
        <v>0</v>
      </c>
      <c r="H223" s="85">
        <v>0</v>
      </c>
      <c r="I223" s="853">
        <f t="shared" si="3"/>
        <v>0</v>
      </c>
    </row>
    <row r="224" spans="1:9" ht="13.5">
      <c r="A224" s="83" t="s">
        <v>424</v>
      </c>
      <c r="B224" s="84" t="s">
        <v>288</v>
      </c>
      <c r="C224" s="747">
        <v>0</v>
      </c>
      <c r="D224" s="85">
        <v>0</v>
      </c>
      <c r="E224" s="85">
        <v>1562735672</v>
      </c>
      <c r="F224" s="747">
        <v>1562735672</v>
      </c>
      <c r="G224" s="747">
        <v>0</v>
      </c>
      <c r="H224" s="85">
        <v>0</v>
      </c>
      <c r="I224" s="853">
        <f t="shared" si="3"/>
        <v>0</v>
      </c>
    </row>
    <row r="225" spans="1:9" ht="13.5">
      <c r="A225" s="83" t="s">
        <v>425</v>
      </c>
      <c r="B225" s="84" t="s">
        <v>426</v>
      </c>
      <c r="C225" s="747">
        <v>0</v>
      </c>
      <c r="D225" s="85">
        <v>0</v>
      </c>
      <c r="E225" s="85">
        <v>280428553</v>
      </c>
      <c r="F225" s="747">
        <v>280428553</v>
      </c>
      <c r="G225" s="747">
        <v>0</v>
      </c>
      <c r="H225" s="85">
        <v>0</v>
      </c>
      <c r="I225" s="853">
        <f t="shared" si="3"/>
        <v>0</v>
      </c>
    </row>
    <row r="226" spans="1:9" ht="13.5">
      <c r="A226" s="83" t="s">
        <v>427</v>
      </c>
      <c r="B226" s="84" t="s">
        <v>428</v>
      </c>
      <c r="C226" s="747">
        <v>0</v>
      </c>
      <c r="D226" s="85">
        <v>0</v>
      </c>
      <c r="E226" s="85">
        <v>352566446</v>
      </c>
      <c r="F226" s="747">
        <v>352566446</v>
      </c>
      <c r="G226" s="747">
        <v>0</v>
      </c>
      <c r="H226" s="85">
        <v>0</v>
      </c>
      <c r="I226" s="853">
        <f t="shared" si="3"/>
        <v>0</v>
      </c>
    </row>
    <row r="227" spans="1:9" ht="13.5">
      <c r="A227" s="83" t="s">
        <v>429</v>
      </c>
      <c r="B227" s="84" t="s">
        <v>430</v>
      </c>
      <c r="C227" s="747">
        <v>0</v>
      </c>
      <c r="D227" s="85">
        <v>0</v>
      </c>
      <c r="E227" s="85">
        <v>51997500</v>
      </c>
      <c r="F227" s="747">
        <v>51997500</v>
      </c>
      <c r="G227" s="747">
        <v>0</v>
      </c>
      <c r="H227" s="85">
        <v>0</v>
      </c>
      <c r="I227" s="853">
        <f t="shared" si="3"/>
        <v>0</v>
      </c>
    </row>
    <row r="228" spans="1:9" ht="13.5">
      <c r="A228" s="83" t="s">
        <v>431</v>
      </c>
      <c r="B228" s="84" t="s">
        <v>355</v>
      </c>
      <c r="C228" s="747">
        <v>0</v>
      </c>
      <c r="D228" s="85">
        <v>0</v>
      </c>
      <c r="E228" s="85">
        <v>18216192</v>
      </c>
      <c r="F228" s="747">
        <v>18216192</v>
      </c>
      <c r="G228" s="747">
        <v>0</v>
      </c>
      <c r="H228" s="85">
        <v>0</v>
      </c>
      <c r="I228" s="853">
        <f t="shared" si="3"/>
        <v>0</v>
      </c>
    </row>
    <row r="229" spans="1:9" ht="13.5">
      <c r="A229" s="83" t="s">
        <v>432</v>
      </c>
      <c r="B229" s="84" t="s">
        <v>433</v>
      </c>
      <c r="C229" s="747">
        <v>0</v>
      </c>
      <c r="D229" s="85">
        <v>0</v>
      </c>
      <c r="E229" s="85">
        <v>4621419702</v>
      </c>
      <c r="F229" s="747">
        <v>4621419702</v>
      </c>
      <c r="G229" s="747">
        <v>0</v>
      </c>
      <c r="H229" s="85">
        <v>0</v>
      </c>
      <c r="I229" s="853">
        <f t="shared" si="3"/>
        <v>0</v>
      </c>
    </row>
    <row r="230" spans="1:9" ht="13.5">
      <c r="A230" s="80" t="s">
        <v>434</v>
      </c>
      <c r="B230" s="81" t="s">
        <v>302</v>
      </c>
      <c r="C230" s="746">
        <v>0</v>
      </c>
      <c r="D230" s="82">
        <v>0</v>
      </c>
      <c r="E230" s="82">
        <v>607726580</v>
      </c>
      <c r="F230" s="746">
        <v>607726580</v>
      </c>
      <c r="G230" s="746">
        <v>0</v>
      </c>
      <c r="H230" s="82">
        <v>0</v>
      </c>
      <c r="I230" s="853">
        <f t="shared" si="3"/>
        <v>0</v>
      </c>
    </row>
    <row r="231" spans="1:9" ht="13.5">
      <c r="A231" s="83" t="s">
        <v>435</v>
      </c>
      <c r="B231" s="84" t="s">
        <v>436</v>
      </c>
      <c r="C231" s="747">
        <v>0</v>
      </c>
      <c r="D231" s="85">
        <v>0</v>
      </c>
      <c r="E231" s="85">
        <v>490566115</v>
      </c>
      <c r="F231" s="747">
        <v>490566115</v>
      </c>
      <c r="G231" s="747">
        <v>0</v>
      </c>
      <c r="H231" s="85">
        <v>0</v>
      </c>
      <c r="I231" s="853">
        <f t="shared" si="3"/>
        <v>0</v>
      </c>
    </row>
    <row r="232" spans="1:9" ht="13.5">
      <c r="A232" s="83" t="s">
        <v>437</v>
      </c>
      <c r="B232" s="84" t="s">
        <v>302</v>
      </c>
      <c r="C232" s="747">
        <v>0</v>
      </c>
      <c r="D232" s="85">
        <v>0</v>
      </c>
      <c r="E232" s="85">
        <v>98040665</v>
      </c>
      <c r="F232" s="747">
        <v>98040665</v>
      </c>
      <c r="G232" s="747">
        <v>0</v>
      </c>
      <c r="H232" s="85">
        <v>0</v>
      </c>
      <c r="I232" s="853">
        <f t="shared" si="3"/>
        <v>0</v>
      </c>
    </row>
    <row r="233" spans="1:9" ht="13.5">
      <c r="A233" s="83" t="s">
        <v>438</v>
      </c>
      <c r="B233" s="84" t="s">
        <v>439</v>
      </c>
      <c r="C233" s="747">
        <v>0</v>
      </c>
      <c r="D233" s="85">
        <v>0</v>
      </c>
      <c r="E233" s="85">
        <v>19119800</v>
      </c>
      <c r="F233" s="747">
        <v>19119800</v>
      </c>
      <c r="G233" s="747">
        <v>0</v>
      </c>
      <c r="H233" s="85">
        <v>0</v>
      </c>
      <c r="I233" s="853">
        <f t="shared" si="3"/>
        <v>0</v>
      </c>
    </row>
    <row r="234" spans="1:9" ht="25.5">
      <c r="A234" s="83" t="s">
        <v>440</v>
      </c>
      <c r="B234" s="84" t="s">
        <v>441</v>
      </c>
      <c r="C234" s="747">
        <v>0</v>
      </c>
      <c r="D234" s="85">
        <v>0</v>
      </c>
      <c r="E234" s="85">
        <v>15785500</v>
      </c>
      <c r="F234" s="747">
        <v>15785500</v>
      </c>
      <c r="G234" s="747">
        <v>0</v>
      </c>
      <c r="H234" s="85">
        <v>0</v>
      </c>
      <c r="I234" s="853">
        <f t="shared" si="3"/>
        <v>0</v>
      </c>
    </row>
    <row r="235" spans="1:9" ht="13.5">
      <c r="A235" s="80" t="s">
        <v>442</v>
      </c>
      <c r="B235" s="81" t="s">
        <v>443</v>
      </c>
      <c r="C235" s="746">
        <v>0</v>
      </c>
      <c r="D235" s="82">
        <v>0</v>
      </c>
      <c r="E235" s="82">
        <v>177814186338</v>
      </c>
      <c r="F235" s="746">
        <v>177814186338</v>
      </c>
      <c r="G235" s="746">
        <v>0</v>
      </c>
      <c r="H235" s="82">
        <v>0</v>
      </c>
      <c r="I235" s="853">
        <f t="shared" si="3"/>
        <v>0</v>
      </c>
    </row>
    <row r="236" spans="1:9" ht="13.5">
      <c r="A236" s="80" t="s">
        <v>444</v>
      </c>
      <c r="B236" s="81" t="s">
        <v>445</v>
      </c>
      <c r="C236" s="746">
        <v>0</v>
      </c>
      <c r="D236" s="82">
        <v>0</v>
      </c>
      <c r="E236" s="82">
        <v>242840167386</v>
      </c>
      <c r="F236" s="746">
        <v>242840167386</v>
      </c>
      <c r="G236" s="746">
        <v>0</v>
      </c>
      <c r="H236" s="82">
        <v>0</v>
      </c>
      <c r="I236" s="853">
        <f t="shared" si="3"/>
        <v>0</v>
      </c>
    </row>
    <row r="237" spans="1:9" ht="13.5">
      <c r="A237" s="80" t="s">
        <v>446</v>
      </c>
      <c r="B237" s="81" t="s">
        <v>447</v>
      </c>
      <c r="C237" s="746">
        <v>0</v>
      </c>
      <c r="D237" s="82">
        <v>0</v>
      </c>
      <c r="E237" s="82">
        <v>590872200834</v>
      </c>
      <c r="F237" s="746">
        <v>590872200834</v>
      </c>
      <c r="G237" s="746">
        <v>0</v>
      </c>
      <c r="H237" s="82">
        <v>0</v>
      </c>
      <c r="I237" s="853">
        <f t="shared" si="3"/>
        <v>0</v>
      </c>
    </row>
    <row r="238" spans="1:9" ht="14.25">
      <c r="A238" s="728" t="s">
        <v>448</v>
      </c>
      <c r="B238" s="729"/>
      <c r="C238" s="746">
        <v>2754569191898</v>
      </c>
      <c r="D238" s="82">
        <v>2754569191899</v>
      </c>
      <c r="E238" s="82">
        <v>51416125156534</v>
      </c>
      <c r="F238" s="746">
        <v>51416125156534</v>
      </c>
      <c r="G238" s="746">
        <v>3007793703136</v>
      </c>
      <c r="H238" s="82">
        <v>3007793703137</v>
      </c>
      <c r="I238" s="853">
        <f t="shared" si="3"/>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0B27C-127B-4145-9951-71BDF417A9A5}">
  <sheetPr codeName="Sheet30"/>
  <dimension ref="A1:Z867"/>
  <sheetViews>
    <sheetView workbookViewId="0">
      <selection activeCell="Y22" sqref="Y22"/>
    </sheetView>
  </sheetViews>
  <sheetFormatPr defaultColWidth="9.140625" defaultRowHeight="15"/>
  <cols>
    <col min="1" max="5" width="9.140625" style="8"/>
    <col min="6" max="6" width="30" style="8" customWidth="1"/>
    <col min="7" max="7" width="23.140625" style="8" customWidth="1"/>
    <col min="8" max="8" width="7.85546875" style="8" bestFit="1" customWidth="1"/>
    <col min="9" max="9" width="8.5703125" style="8" bestFit="1" customWidth="1"/>
    <col min="10" max="10" width="8.5703125" style="8" customWidth="1"/>
    <col min="11" max="12" width="13.140625" style="8" bestFit="1" customWidth="1"/>
    <col min="13" max="14" width="10.140625" style="8" customWidth="1"/>
    <col min="15" max="15" width="13.42578125" style="8" customWidth="1"/>
    <col min="16" max="17" width="11.140625" style="8" customWidth="1"/>
    <col min="18" max="18" width="13.140625" style="8" customWidth="1"/>
    <col min="19" max="22" width="9.140625" style="8"/>
    <col min="23" max="23" width="13.140625" style="8" bestFit="1" customWidth="1"/>
    <col min="24" max="24" width="20.85546875" style="9" bestFit="1" customWidth="1"/>
    <col min="25" max="25" width="20.140625" style="9" bestFit="1" customWidth="1"/>
    <col min="26" max="26" width="19.140625" style="8" bestFit="1" customWidth="1"/>
    <col min="27" max="16384" width="9.140625" style="8"/>
  </cols>
  <sheetData>
    <row r="1" spans="1:26">
      <c r="A1" s="854"/>
      <c r="B1" s="854"/>
      <c r="C1" s="854"/>
      <c r="D1" s="854"/>
      <c r="E1" s="854"/>
      <c r="F1" s="854"/>
      <c r="G1" s="854"/>
      <c r="H1" s="854"/>
      <c r="I1" s="854"/>
      <c r="J1" s="854"/>
      <c r="K1" s="854"/>
      <c r="L1" s="854"/>
      <c r="M1" s="854"/>
    </row>
    <row r="2" spans="1:26" ht="15" customHeight="1">
      <c r="A2" s="5" t="s">
        <v>449</v>
      </c>
      <c r="B2" s="5" t="s">
        <v>450</v>
      </c>
      <c r="C2" s="6" t="s">
        <v>451</v>
      </c>
      <c r="D2" s="5" t="s">
        <v>452</v>
      </c>
      <c r="E2" s="6" t="s">
        <v>453</v>
      </c>
      <c r="F2" s="6" t="s">
        <v>454</v>
      </c>
      <c r="G2" s="6" t="s">
        <v>455</v>
      </c>
      <c r="H2" s="6" t="s">
        <v>456</v>
      </c>
      <c r="I2" s="6" t="s">
        <v>457</v>
      </c>
      <c r="J2" s="6" t="s">
        <v>458</v>
      </c>
      <c r="K2" s="7" t="s">
        <v>459</v>
      </c>
      <c r="L2" s="7" t="s">
        <v>460</v>
      </c>
      <c r="M2" s="6" t="s">
        <v>461</v>
      </c>
      <c r="N2" s="6" t="s">
        <v>462</v>
      </c>
      <c r="O2" s="6" t="s">
        <v>463</v>
      </c>
      <c r="P2" s="6" t="s">
        <v>464</v>
      </c>
      <c r="Q2" s="6" t="s">
        <v>465</v>
      </c>
      <c r="R2" s="6" t="s">
        <v>466</v>
      </c>
    </row>
    <row r="3" spans="1:26">
      <c r="A3" s="748">
        <v>44957</v>
      </c>
      <c r="B3" s="748">
        <v>44957</v>
      </c>
      <c r="C3" s="749" t="s">
        <v>467</v>
      </c>
      <c r="D3" s="10"/>
      <c r="E3" s="11"/>
      <c r="F3" s="11"/>
      <c r="G3" s="749" t="s">
        <v>468</v>
      </c>
      <c r="H3" s="749" t="s">
        <v>446</v>
      </c>
      <c r="I3" s="749" t="s">
        <v>223</v>
      </c>
      <c r="J3" s="11"/>
      <c r="K3" s="750">
        <v>0</v>
      </c>
      <c r="L3" s="750">
        <v>22630952</v>
      </c>
      <c r="M3" s="11"/>
      <c r="N3" s="11"/>
      <c r="O3" s="11"/>
      <c r="P3" s="11"/>
      <c r="Q3" s="11"/>
      <c r="R3" s="11"/>
    </row>
    <row r="4" spans="1:26">
      <c r="A4" s="748">
        <v>44957</v>
      </c>
      <c r="B4" s="748">
        <v>44957</v>
      </c>
      <c r="C4" s="749" t="s">
        <v>467</v>
      </c>
      <c r="D4" s="10"/>
      <c r="E4" s="11"/>
      <c r="F4" s="11"/>
      <c r="G4" s="749" t="s">
        <v>468</v>
      </c>
      <c r="H4" s="749" t="s">
        <v>446</v>
      </c>
      <c r="I4" s="749" t="s">
        <v>225</v>
      </c>
      <c r="J4" s="11"/>
      <c r="K4" s="750">
        <v>0</v>
      </c>
      <c r="L4" s="750">
        <v>11223000</v>
      </c>
      <c r="M4" s="11"/>
      <c r="N4" s="11"/>
      <c r="O4" s="11"/>
      <c r="P4" s="11"/>
      <c r="Q4" s="11"/>
      <c r="R4" s="11"/>
      <c r="W4" s="256" t="s">
        <v>469</v>
      </c>
      <c r="X4" s="258" t="s">
        <v>470</v>
      </c>
      <c r="Y4" s="258" t="s">
        <v>471</v>
      </c>
    </row>
    <row r="5" spans="1:26">
      <c r="A5" s="748">
        <v>44957</v>
      </c>
      <c r="B5" s="748">
        <v>44957</v>
      </c>
      <c r="C5" s="749" t="s">
        <v>467</v>
      </c>
      <c r="D5" s="10"/>
      <c r="E5" s="11"/>
      <c r="F5" s="11"/>
      <c r="G5" s="749" t="s">
        <v>468</v>
      </c>
      <c r="H5" s="749" t="s">
        <v>446</v>
      </c>
      <c r="I5" s="749" t="s">
        <v>227</v>
      </c>
      <c r="J5" s="11"/>
      <c r="K5" s="750">
        <v>0</v>
      </c>
      <c r="L5" s="750">
        <v>34146000</v>
      </c>
      <c r="M5" s="11"/>
      <c r="N5" s="11"/>
      <c r="O5" s="11"/>
      <c r="P5" s="11"/>
      <c r="Q5" s="11"/>
      <c r="R5" s="11"/>
      <c r="W5" s="257" t="s">
        <v>217</v>
      </c>
      <c r="X5" s="258">
        <v>11160180523</v>
      </c>
      <c r="Y5" s="258">
        <v>11186231698</v>
      </c>
      <c r="Z5" s="855"/>
    </row>
    <row r="6" spans="1:26">
      <c r="A6" s="748">
        <v>44957</v>
      </c>
      <c r="B6" s="748">
        <v>44957</v>
      </c>
      <c r="C6" s="749" t="s">
        <v>467</v>
      </c>
      <c r="D6" s="10"/>
      <c r="E6" s="11"/>
      <c r="F6" s="11"/>
      <c r="G6" s="749" t="s">
        <v>468</v>
      </c>
      <c r="H6" s="749" t="s">
        <v>446</v>
      </c>
      <c r="I6" s="749" t="s">
        <v>229</v>
      </c>
      <c r="J6" s="11"/>
      <c r="K6" s="750">
        <v>0</v>
      </c>
      <c r="L6" s="750">
        <v>200534940</v>
      </c>
      <c r="M6" s="11"/>
      <c r="N6" s="11"/>
      <c r="O6" s="11"/>
      <c r="P6" s="11"/>
      <c r="Q6" s="11"/>
      <c r="R6" s="11"/>
      <c r="W6" s="257" t="s">
        <v>223</v>
      </c>
      <c r="X6" s="258">
        <v>0</v>
      </c>
      <c r="Y6" s="258">
        <v>79893446</v>
      </c>
      <c r="Z6" s="9">
        <f>GETPIVOTDATA("Sum of Phát sinh Nợ",$W$4,"TK đối ứng",W6)-GETPIVOTDATA("Sum of Phát sinh Có",$W$4,"TK đối ứng",W6)</f>
        <v>-79893446</v>
      </c>
    </row>
    <row r="7" spans="1:26">
      <c r="A7" s="748">
        <v>44957</v>
      </c>
      <c r="B7" s="748">
        <v>44957</v>
      </c>
      <c r="C7" s="749" t="s">
        <v>467</v>
      </c>
      <c r="D7" s="10"/>
      <c r="E7" s="11"/>
      <c r="F7" s="11"/>
      <c r="G7" s="749" t="s">
        <v>468</v>
      </c>
      <c r="H7" s="749" t="s">
        <v>446</v>
      </c>
      <c r="I7" s="749" t="s">
        <v>231</v>
      </c>
      <c r="J7" s="11"/>
      <c r="K7" s="750">
        <v>0</v>
      </c>
      <c r="L7" s="750">
        <v>323782406</v>
      </c>
      <c r="M7" s="11"/>
      <c r="N7" s="11"/>
      <c r="O7" s="11"/>
      <c r="P7" s="11"/>
      <c r="Q7" s="11"/>
      <c r="R7" s="11"/>
      <c r="W7" s="257" t="s">
        <v>225</v>
      </c>
      <c r="X7" s="258">
        <v>0</v>
      </c>
      <c r="Y7" s="258">
        <v>60453000</v>
      </c>
      <c r="Z7" s="9">
        <f t="shared" ref="Z7:Z70" si="0">GETPIVOTDATA("Sum of Phát sinh Nợ",$W$4,"TK đối ứng",W7)-GETPIVOTDATA("Sum of Phát sinh Có",$W$4,"TK đối ứng",W7)</f>
        <v>-60453000</v>
      </c>
    </row>
    <row r="8" spans="1:26">
      <c r="A8" s="748">
        <v>44957</v>
      </c>
      <c r="B8" s="748">
        <v>44957</v>
      </c>
      <c r="C8" s="749" t="s">
        <v>467</v>
      </c>
      <c r="D8" s="10"/>
      <c r="E8" s="11"/>
      <c r="F8" s="11"/>
      <c r="G8" s="749" t="s">
        <v>468</v>
      </c>
      <c r="H8" s="749" t="s">
        <v>446</v>
      </c>
      <c r="I8" s="749" t="s">
        <v>233</v>
      </c>
      <c r="J8" s="11"/>
      <c r="K8" s="750">
        <v>0</v>
      </c>
      <c r="L8" s="750">
        <v>2576000</v>
      </c>
      <c r="M8" s="11"/>
      <c r="N8" s="11"/>
      <c r="O8" s="11"/>
      <c r="P8" s="11"/>
      <c r="Q8" s="11"/>
      <c r="R8" s="11"/>
      <c r="W8" s="257" t="s">
        <v>227</v>
      </c>
      <c r="X8" s="258">
        <v>0</v>
      </c>
      <c r="Y8" s="258">
        <v>192384000</v>
      </c>
      <c r="Z8" s="9">
        <f t="shared" si="0"/>
        <v>-192384000</v>
      </c>
    </row>
    <row r="9" spans="1:26">
      <c r="A9" s="748">
        <v>44957</v>
      </c>
      <c r="B9" s="748">
        <v>44957</v>
      </c>
      <c r="C9" s="749" t="s">
        <v>467</v>
      </c>
      <c r="D9" s="10"/>
      <c r="E9" s="11"/>
      <c r="F9" s="11"/>
      <c r="G9" s="749" t="s">
        <v>468</v>
      </c>
      <c r="H9" s="749" t="s">
        <v>446</v>
      </c>
      <c r="I9" s="749" t="s">
        <v>235</v>
      </c>
      <c r="J9" s="11"/>
      <c r="K9" s="750">
        <v>0</v>
      </c>
      <c r="L9" s="750">
        <v>35104294</v>
      </c>
      <c r="M9" s="11"/>
      <c r="N9" s="11"/>
      <c r="O9" s="11"/>
      <c r="P9" s="11"/>
      <c r="Q9" s="11"/>
      <c r="R9" s="11"/>
      <c r="W9" s="257" t="s">
        <v>229</v>
      </c>
      <c r="X9" s="258">
        <v>0</v>
      </c>
      <c r="Y9" s="258">
        <v>966641059</v>
      </c>
      <c r="Z9" s="9">
        <f t="shared" si="0"/>
        <v>-966641059</v>
      </c>
    </row>
    <row r="10" spans="1:26">
      <c r="A10" s="748">
        <v>44957</v>
      </c>
      <c r="B10" s="748">
        <v>44957</v>
      </c>
      <c r="C10" s="749" t="s">
        <v>467</v>
      </c>
      <c r="D10" s="10"/>
      <c r="E10" s="11"/>
      <c r="F10" s="11"/>
      <c r="G10" s="749" t="s">
        <v>468</v>
      </c>
      <c r="H10" s="749" t="s">
        <v>446</v>
      </c>
      <c r="I10" s="749" t="s">
        <v>237</v>
      </c>
      <c r="J10" s="11"/>
      <c r="K10" s="750">
        <v>0</v>
      </c>
      <c r="L10" s="750">
        <v>288947</v>
      </c>
      <c r="M10" s="11"/>
      <c r="N10" s="11"/>
      <c r="O10" s="11"/>
      <c r="P10" s="11"/>
      <c r="Q10" s="11"/>
      <c r="R10" s="11"/>
      <c r="W10" s="257" t="s">
        <v>231</v>
      </c>
      <c r="X10" s="258">
        <v>0</v>
      </c>
      <c r="Y10" s="258">
        <v>2142925958</v>
      </c>
      <c r="Z10" s="9">
        <f t="shared" si="0"/>
        <v>-2142925958</v>
      </c>
    </row>
    <row r="11" spans="1:26">
      <c r="A11" s="748">
        <v>44957</v>
      </c>
      <c r="B11" s="748">
        <v>44957</v>
      </c>
      <c r="C11" s="749" t="s">
        <v>467</v>
      </c>
      <c r="D11" s="10"/>
      <c r="E11" s="11"/>
      <c r="F11" s="11"/>
      <c r="G11" s="749" t="s">
        <v>468</v>
      </c>
      <c r="H11" s="749" t="s">
        <v>446</v>
      </c>
      <c r="I11" s="749" t="s">
        <v>239</v>
      </c>
      <c r="J11" s="11"/>
      <c r="K11" s="750">
        <v>0</v>
      </c>
      <c r="L11" s="750">
        <v>1353240</v>
      </c>
      <c r="M11" s="11"/>
      <c r="N11" s="11"/>
      <c r="O11" s="11"/>
      <c r="P11" s="11"/>
      <c r="Q11" s="11"/>
      <c r="R11" s="11"/>
      <c r="W11" s="257" t="s">
        <v>233</v>
      </c>
      <c r="X11" s="258">
        <v>0</v>
      </c>
      <c r="Y11" s="258">
        <v>9392000</v>
      </c>
      <c r="Z11" s="9">
        <f t="shared" si="0"/>
        <v>-9392000</v>
      </c>
    </row>
    <row r="12" spans="1:26">
      <c r="A12" s="748">
        <v>44957</v>
      </c>
      <c r="B12" s="748">
        <v>44957</v>
      </c>
      <c r="C12" s="749" t="s">
        <v>467</v>
      </c>
      <c r="D12" s="10"/>
      <c r="E12" s="11"/>
      <c r="F12" s="11"/>
      <c r="G12" s="749" t="s">
        <v>468</v>
      </c>
      <c r="H12" s="749" t="s">
        <v>446</v>
      </c>
      <c r="I12" s="749" t="s">
        <v>241</v>
      </c>
      <c r="J12" s="11"/>
      <c r="K12" s="750">
        <v>0</v>
      </c>
      <c r="L12" s="750">
        <v>105856134</v>
      </c>
      <c r="M12" s="11"/>
      <c r="N12" s="11"/>
      <c r="O12" s="11"/>
      <c r="P12" s="11"/>
      <c r="Q12" s="11"/>
      <c r="R12" s="11"/>
      <c r="W12" s="257" t="s">
        <v>235</v>
      </c>
      <c r="X12" s="258">
        <v>0</v>
      </c>
      <c r="Y12" s="258">
        <v>150572282</v>
      </c>
      <c r="Z12" s="9">
        <f t="shared" si="0"/>
        <v>-150572282</v>
      </c>
    </row>
    <row r="13" spans="1:26">
      <c r="A13" s="748">
        <v>44957</v>
      </c>
      <c r="B13" s="748">
        <v>44957</v>
      </c>
      <c r="C13" s="749" t="s">
        <v>467</v>
      </c>
      <c r="D13" s="10"/>
      <c r="E13" s="11"/>
      <c r="F13" s="11"/>
      <c r="G13" s="749" t="s">
        <v>472</v>
      </c>
      <c r="H13" s="749" t="s">
        <v>446</v>
      </c>
      <c r="I13" s="749" t="s">
        <v>249</v>
      </c>
      <c r="J13" s="11"/>
      <c r="K13" s="750">
        <v>0</v>
      </c>
      <c r="L13" s="750">
        <v>9509812077</v>
      </c>
      <c r="M13" s="11"/>
      <c r="N13" s="11"/>
      <c r="O13" s="11"/>
      <c r="P13" s="11"/>
      <c r="Q13" s="11"/>
      <c r="R13" s="11"/>
      <c r="W13" s="257" t="s">
        <v>237</v>
      </c>
      <c r="X13" s="258">
        <v>0</v>
      </c>
      <c r="Y13" s="258">
        <v>1137293</v>
      </c>
      <c r="Z13" s="9">
        <f t="shared" si="0"/>
        <v>-1137293</v>
      </c>
    </row>
    <row r="14" spans="1:26">
      <c r="A14" s="748">
        <v>44957</v>
      </c>
      <c r="B14" s="748">
        <v>44957</v>
      </c>
      <c r="C14" s="749" t="s">
        <v>467</v>
      </c>
      <c r="D14" s="10"/>
      <c r="E14" s="11"/>
      <c r="F14" s="11"/>
      <c r="G14" s="749" t="s">
        <v>472</v>
      </c>
      <c r="H14" s="749" t="s">
        <v>446</v>
      </c>
      <c r="I14" s="749" t="s">
        <v>251</v>
      </c>
      <c r="J14" s="11"/>
      <c r="K14" s="750">
        <v>0</v>
      </c>
      <c r="L14" s="750">
        <v>1732681223</v>
      </c>
      <c r="M14" s="11"/>
      <c r="N14" s="11"/>
      <c r="O14" s="11"/>
      <c r="P14" s="11"/>
      <c r="Q14" s="11"/>
      <c r="R14" s="11"/>
      <c r="W14" s="257" t="s">
        <v>239</v>
      </c>
      <c r="X14" s="258">
        <v>0</v>
      </c>
      <c r="Y14" s="258">
        <v>4225475</v>
      </c>
      <c r="Z14" s="9">
        <f t="shared" si="0"/>
        <v>-4225475</v>
      </c>
    </row>
    <row r="15" spans="1:26">
      <c r="A15" s="748">
        <v>44957</v>
      </c>
      <c r="B15" s="748">
        <v>44957</v>
      </c>
      <c r="C15" s="749" t="s">
        <v>467</v>
      </c>
      <c r="D15" s="10"/>
      <c r="E15" s="11"/>
      <c r="F15" s="11"/>
      <c r="G15" s="749" t="s">
        <v>472</v>
      </c>
      <c r="H15" s="749" t="s">
        <v>446</v>
      </c>
      <c r="I15" s="749" t="s">
        <v>255</v>
      </c>
      <c r="J15" s="11"/>
      <c r="K15" s="750">
        <v>0</v>
      </c>
      <c r="L15" s="750">
        <v>289077220</v>
      </c>
      <c r="M15" s="11"/>
      <c r="N15" s="11"/>
      <c r="O15" s="11"/>
      <c r="P15" s="11"/>
      <c r="Q15" s="11"/>
      <c r="R15" s="11"/>
      <c r="W15" s="257" t="s">
        <v>241</v>
      </c>
      <c r="X15" s="258">
        <v>0</v>
      </c>
      <c r="Y15" s="258">
        <v>587215542</v>
      </c>
      <c r="Z15" s="9">
        <f t="shared" si="0"/>
        <v>-587215542</v>
      </c>
    </row>
    <row r="16" spans="1:26">
      <c r="A16" s="748">
        <v>44957</v>
      </c>
      <c r="B16" s="748">
        <v>44957</v>
      </c>
      <c r="C16" s="749" t="s">
        <v>467</v>
      </c>
      <c r="D16" s="10"/>
      <c r="E16" s="11"/>
      <c r="F16" s="11"/>
      <c r="G16" s="749" t="s">
        <v>472</v>
      </c>
      <c r="H16" s="749" t="s">
        <v>446</v>
      </c>
      <c r="I16" s="749" t="s">
        <v>257</v>
      </c>
      <c r="J16" s="11"/>
      <c r="K16" s="750">
        <v>0</v>
      </c>
      <c r="L16" s="750">
        <v>990993140</v>
      </c>
      <c r="M16" s="11"/>
      <c r="N16" s="11"/>
      <c r="O16" s="11"/>
      <c r="P16" s="11"/>
      <c r="Q16" s="11"/>
      <c r="R16" s="11"/>
      <c r="W16" s="257" t="s">
        <v>249</v>
      </c>
      <c r="X16" s="258">
        <v>0</v>
      </c>
      <c r="Y16" s="258">
        <v>59065474815</v>
      </c>
      <c r="Z16" s="9">
        <f t="shared" si="0"/>
        <v>-59065474815</v>
      </c>
    </row>
    <row r="17" spans="1:26">
      <c r="A17" s="748">
        <v>44957</v>
      </c>
      <c r="B17" s="748">
        <v>44957</v>
      </c>
      <c r="C17" s="749" t="s">
        <v>467</v>
      </c>
      <c r="D17" s="10"/>
      <c r="E17" s="11"/>
      <c r="F17" s="11"/>
      <c r="G17" s="749" t="s">
        <v>472</v>
      </c>
      <c r="H17" s="749" t="s">
        <v>446</v>
      </c>
      <c r="I17" s="749" t="s">
        <v>259</v>
      </c>
      <c r="J17" s="11"/>
      <c r="K17" s="750">
        <v>0</v>
      </c>
      <c r="L17" s="750">
        <v>2968767162</v>
      </c>
      <c r="M17" s="11"/>
      <c r="N17" s="11"/>
      <c r="O17" s="11"/>
      <c r="P17" s="11"/>
      <c r="Q17" s="11"/>
      <c r="R17" s="11"/>
      <c r="W17" s="257" t="s">
        <v>251</v>
      </c>
      <c r="X17" s="258">
        <v>301942979</v>
      </c>
      <c r="Y17" s="258">
        <v>17130116960</v>
      </c>
      <c r="Z17" s="9">
        <f t="shared" si="0"/>
        <v>-16828173981</v>
      </c>
    </row>
    <row r="18" spans="1:26">
      <c r="A18" s="748">
        <v>44957</v>
      </c>
      <c r="B18" s="748">
        <v>44957</v>
      </c>
      <c r="C18" s="749" t="s">
        <v>467</v>
      </c>
      <c r="D18" s="10"/>
      <c r="E18" s="11"/>
      <c r="F18" s="11"/>
      <c r="G18" s="749" t="s">
        <v>472</v>
      </c>
      <c r="H18" s="749" t="s">
        <v>446</v>
      </c>
      <c r="I18" s="749" t="s">
        <v>263</v>
      </c>
      <c r="J18" s="11"/>
      <c r="K18" s="750">
        <v>0</v>
      </c>
      <c r="L18" s="750">
        <v>714115</v>
      </c>
      <c r="M18" s="11"/>
      <c r="N18" s="11"/>
      <c r="O18" s="11"/>
      <c r="P18" s="11"/>
      <c r="Q18" s="11"/>
      <c r="R18" s="11"/>
      <c r="W18" s="257" t="s">
        <v>255</v>
      </c>
      <c r="X18" s="258">
        <v>0</v>
      </c>
      <c r="Y18" s="258">
        <v>2694366529</v>
      </c>
      <c r="Z18" s="9">
        <f t="shared" si="0"/>
        <v>-2694366529</v>
      </c>
    </row>
    <row r="19" spans="1:26">
      <c r="A19" s="748">
        <v>44957</v>
      </c>
      <c r="B19" s="748">
        <v>44957</v>
      </c>
      <c r="C19" s="749" t="s">
        <v>467</v>
      </c>
      <c r="D19" s="10"/>
      <c r="E19" s="11"/>
      <c r="F19" s="11"/>
      <c r="G19" s="749" t="s">
        <v>473</v>
      </c>
      <c r="H19" s="749" t="s">
        <v>446</v>
      </c>
      <c r="I19" s="749" t="s">
        <v>303</v>
      </c>
      <c r="J19" s="11"/>
      <c r="K19" s="750">
        <v>1839980401</v>
      </c>
      <c r="L19" s="750">
        <v>0</v>
      </c>
      <c r="M19" s="11"/>
      <c r="N19" s="11"/>
      <c r="O19" s="11"/>
      <c r="P19" s="11"/>
      <c r="Q19" s="11"/>
      <c r="R19" s="11"/>
      <c r="W19" s="257" t="s">
        <v>257</v>
      </c>
      <c r="X19" s="258">
        <v>0</v>
      </c>
      <c r="Y19" s="258">
        <v>20934548908</v>
      </c>
      <c r="Z19" s="9">
        <f t="shared" si="0"/>
        <v>-20934548908</v>
      </c>
    </row>
    <row r="20" spans="1:26">
      <c r="A20" s="748">
        <v>44957</v>
      </c>
      <c r="B20" s="748">
        <v>44957</v>
      </c>
      <c r="C20" s="749" t="s">
        <v>467</v>
      </c>
      <c r="D20" s="10"/>
      <c r="E20" s="11"/>
      <c r="F20" s="11"/>
      <c r="G20" s="749" t="s">
        <v>474</v>
      </c>
      <c r="H20" s="749" t="s">
        <v>446</v>
      </c>
      <c r="I20" s="749" t="s">
        <v>307</v>
      </c>
      <c r="J20" s="11"/>
      <c r="K20" s="750">
        <v>7517726915</v>
      </c>
      <c r="L20" s="750">
        <v>0</v>
      </c>
      <c r="M20" s="11"/>
      <c r="N20" s="11"/>
      <c r="O20" s="11"/>
      <c r="P20" s="11"/>
      <c r="Q20" s="11"/>
      <c r="R20" s="11"/>
      <c r="W20" s="257" t="s">
        <v>259</v>
      </c>
      <c r="X20" s="258">
        <v>0</v>
      </c>
      <c r="Y20" s="258">
        <v>21953846298</v>
      </c>
      <c r="Z20" s="9">
        <f t="shared" si="0"/>
        <v>-21953846298</v>
      </c>
    </row>
    <row r="21" spans="1:26">
      <c r="A21" s="748">
        <v>44957</v>
      </c>
      <c r="B21" s="748">
        <v>44957</v>
      </c>
      <c r="C21" s="749" t="s">
        <v>467</v>
      </c>
      <c r="D21" s="10"/>
      <c r="E21" s="11"/>
      <c r="F21" s="11"/>
      <c r="G21" s="749" t="s">
        <v>474</v>
      </c>
      <c r="H21" s="749" t="s">
        <v>446</v>
      </c>
      <c r="I21" s="749" t="s">
        <v>309</v>
      </c>
      <c r="J21" s="11"/>
      <c r="K21" s="750">
        <v>1944360786</v>
      </c>
      <c r="L21" s="750">
        <v>0</v>
      </c>
      <c r="M21" s="11"/>
      <c r="N21" s="11"/>
      <c r="O21" s="11"/>
      <c r="P21" s="11"/>
      <c r="Q21" s="11"/>
      <c r="R21" s="11"/>
      <c r="W21" s="257" t="s">
        <v>263</v>
      </c>
      <c r="X21" s="258">
        <v>0</v>
      </c>
      <c r="Y21" s="258">
        <v>6558959</v>
      </c>
      <c r="Z21" s="9">
        <f t="shared" si="0"/>
        <v>-6558959</v>
      </c>
    </row>
    <row r="22" spans="1:26">
      <c r="A22" s="748">
        <v>44957</v>
      </c>
      <c r="B22" s="748">
        <v>44957</v>
      </c>
      <c r="C22" s="749" t="s">
        <v>467</v>
      </c>
      <c r="D22" s="10"/>
      <c r="E22" s="11"/>
      <c r="F22" s="11"/>
      <c r="G22" s="749" t="s">
        <v>474</v>
      </c>
      <c r="H22" s="749" t="s">
        <v>446</v>
      </c>
      <c r="I22" s="749" t="s">
        <v>313</v>
      </c>
      <c r="J22" s="11"/>
      <c r="K22" s="750">
        <v>2208904842</v>
      </c>
      <c r="L22" s="750">
        <v>0</v>
      </c>
      <c r="M22" s="11"/>
      <c r="N22" s="11"/>
      <c r="O22" s="11"/>
      <c r="P22" s="11"/>
      <c r="Q22" s="11"/>
      <c r="R22" s="11"/>
      <c r="W22" s="257" t="s">
        <v>303</v>
      </c>
      <c r="X22" s="258">
        <v>9604833831</v>
      </c>
      <c r="Y22" s="258">
        <v>0</v>
      </c>
      <c r="Z22" s="9">
        <f t="shared" si="0"/>
        <v>9604833831</v>
      </c>
    </row>
    <row r="23" spans="1:26">
      <c r="A23" s="748">
        <v>44957</v>
      </c>
      <c r="B23" s="748">
        <v>44957</v>
      </c>
      <c r="C23" s="749" t="s">
        <v>467</v>
      </c>
      <c r="D23" s="10"/>
      <c r="E23" s="11"/>
      <c r="F23" s="11"/>
      <c r="G23" s="749" t="s">
        <v>474</v>
      </c>
      <c r="H23" s="749" t="s">
        <v>446</v>
      </c>
      <c r="I23" s="749" t="s">
        <v>317</v>
      </c>
      <c r="J23" s="11"/>
      <c r="K23" s="750">
        <v>4403922271</v>
      </c>
      <c r="L23" s="750">
        <v>0</v>
      </c>
      <c r="M23" s="11"/>
      <c r="N23" s="11"/>
      <c r="O23" s="11"/>
      <c r="P23" s="11"/>
      <c r="Q23" s="11"/>
      <c r="R23" s="11"/>
      <c r="W23" s="257" t="s">
        <v>307</v>
      </c>
      <c r="X23" s="258">
        <v>58661929454</v>
      </c>
      <c r="Y23" s="258">
        <v>0</v>
      </c>
      <c r="Z23" s="9">
        <f t="shared" si="0"/>
        <v>58661929454</v>
      </c>
    </row>
    <row r="24" spans="1:26">
      <c r="A24" s="748">
        <v>44957</v>
      </c>
      <c r="B24" s="748">
        <v>44957</v>
      </c>
      <c r="C24" s="749" t="s">
        <v>467</v>
      </c>
      <c r="D24" s="10"/>
      <c r="E24" s="11"/>
      <c r="F24" s="11"/>
      <c r="G24" s="749" t="s">
        <v>475</v>
      </c>
      <c r="H24" s="749" t="s">
        <v>446</v>
      </c>
      <c r="I24" s="749" t="s">
        <v>337</v>
      </c>
      <c r="J24" s="11"/>
      <c r="K24" s="750">
        <v>615319891</v>
      </c>
      <c r="L24" s="750">
        <v>0</v>
      </c>
      <c r="M24" s="11"/>
      <c r="N24" s="11"/>
      <c r="O24" s="11"/>
      <c r="P24" s="11"/>
      <c r="Q24" s="11"/>
      <c r="R24" s="11"/>
      <c r="W24" s="257" t="s">
        <v>309</v>
      </c>
      <c r="X24" s="258">
        <v>8109239060</v>
      </c>
      <c r="Y24" s="258">
        <v>6110510502</v>
      </c>
      <c r="Z24" s="9">
        <f t="shared" si="0"/>
        <v>1998728558</v>
      </c>
    </row>
    <row r="25" spans="1:26">
      <c r="A25" s="748">
        <v>44957</v>
      </c>
      <c r="B25" s="748">
        <v>44957</v>
      </c>
      <c r="C25" s="749" t="s">
        <v>467</v>
      </c>
      <c r="D25" s="10"/>
      <c r="E25" s="11"/>
      <c r="F25" s="11"/>
      <c r="G25" s="749" t="s">
        <v>475</v>
      </c>
      <c r="H25" s="749" t="s">
        <v>446</v>
      </c>
      <c r="I25" s="749" t="s">
        <v>339</v>
      </c>
      <c r="J25" s="11"/>
      <c r="K25" s="750">
        <v>55272000</v>
      </c>
      <c r="L25" s="750">
        <v>0</v>
      </c>
      <c r="M25" s="11"/>
      <c r="N25" s="11"/>
      <c r="O25" s="11"/>
      <c r="P25" s="11"/>
      <c r="Q25" s="11"/>
      <c r="R25" s="11"/>
      <c r="W25" s="257" t="s">
        <v>313</v>
      </c>
      <c r="X25" s="258">
        <v>14164772703</v>
      </c>
      <c r="Y25" s="258">
        <v>0</v>
      </c>
      <c r="Z25" s="9">
        <f t="shared" si="0"/>
        <v>14164772703</v>
      </c>
    </row>
    <row r="26" spans="1:26">
      <c r="A26" s="748">
        <v>44957</v>
      </c>
      <c r="B26" s="748">
        <v>44957</v>
      </c>
      <c r="C26" s="749" t="s">
        <v>467</v>
      </c>
      <c r="D26" s="10"/>
      <c r="E26" s="11"/>
      <c r="F26" s="11"/>
      <c r="G26" s="749" t="s">
        <v>475</v>
      </c>
      <c r="H26" s="749" t="s">
        <v>446</v>
      </c>
      <c r="I26" s="749" t="s">
        <v>343</v>
      </c>
      <c r="J26" s="11"/>
      <c r="K26" s="750">
        <v>10667372</v>
      </c>
      <c r="L26" s="750">
        <v>0</v>
      </c>
      <c r="M26" s="11"/>
      <c r="N26" s="11"/>
      <c r="O26" s="11"/>
      <c r="P26" s="11"/>
      <c r="Q26" s="11"/>
      <c r="R26" s="11"/>
      <c r="W26" s="257" t="s">
        <v>317</v>
      </c>
      <c r="X26" s="258">
        <v>19759556837</v>
      </c>
      <c r="Y26" s="258">
        <v>0</v>
      </c>
      <c r="Z26" s="9">
        <f t="shared" si="0"/>
        <v>19759556837</v>
      </c>
    </row>
    <row r="27" spans="1:26">
      <c r="A27" s="748">
        <v>44957</v>
      </c>
      <c r="B27" s="748">
        <v>44957</v>
      </c>
      <c r="C27" s="749" t="s">
        <v>467</v>
      </c>
      <c r="D27" s="10"/>
      <c r="E27" s="11"/>
      <c r="F27" s="11"/>
      <c r="G27" s="749" t="s">
        <v>475</v>
      </c>
      <c r="H27" s="749" t="s">
        <v>446</v>
      </c>
      <c r="I27" s="749" t="s">
        <v>345</v>
      </c>
      <c r="J27" s="11"/>
      <c r="K27" s="750">
        <v>3870417</v>
      </c>
      <c r="L27" s="750">
        <v>0</v>
      </c>
      <c r="M27" s="11"/>
      <c r="N27" s="11"/>
      <c r="O27" s="11"/>
      <c r="P27" s="11"/>
      <c r="Q27" s="11"/>
      <c r="R27" s="11"/>
      <c r="W27" s="257" t="s">
        <v>323</v>
      </c>
      <c r="X27" s="258">
        <v>7643835</v>
      </c>
      <c r="Y27" s="258">
        <v>0</v>
      </c>
      <c r="Z27" s="9">
        <f t="shared" si="0"/>
        <v>7643835</v>
      </c>
    </row>
    <row r="28" spans="1:26">
      <c r="A28" s="748">
        <v>44957</v>
      </c>
      <c r="B28" s="748">
        <v>44957</v>
      </c>
      <c r="C28" s="749" t="s">
        <v>467</v>
      </c>
      <c r="D28" s="10"/>
      <c r="E28" s="11"/>
      <c r="F28" s="11"/>
      <c r="G28" s="749" t="s">
        <v>475</v>
      </c>
      <c r="H28" s="749" t="s">
        <v>446</v>
      </c>
      <c r="I28" s="749" t="s">
        <v>347</v>
      </c>
      <c r="J28" s="11"/>
      <c r="K28" s="750">
        <v>97586332</v>
      </c>
      <c r="L28" s="750">
        <v>0</v>
      </c>
      <c r="M28" s="11"/>
      <c r="N28" s="11"/>
      <c r="O28" s="11"/>
      <c r="P28" s="11"/>
      <c r="Q28" s="11"/>
      <c r="R28" s="11"/>
      <c r="W28" s="257" t="s">
        <v>331</v>
      </c>
      <c r="X28" s="258">
        <v>1655321</v>
      </c>
      <c r="Y28" s="258">
        <v>0</v>
      </c>
      <c r="Z28" s="9">
        <f t="shared" si="0"/>
        <v>1655321</v>
      </c>
    </row>
    <row r="29" spans="1:26">
      <c r="A29" s="748">
        <v>44957</v>
      </c>
      <c r="B29" s="748">
        <v>44957</v>
      </c>
      <c r="C29" s="749" t="s">
        <v>467</v>
      </c>
      <c r="D29" s="10"/>
      <c r="E29" s="11"/>
      <c r="F29" s="11"/>
      <c r="G29" s="749" t="s">
        <v>475</v>
      </c>
      <c r="H29" s="749" t="s">
        <v>446</v>
      </c>
      <c r="I29" s="749" t="s">
        <v>348</v>
      </c>
      <c r="J29" s="11"/>
      <c r="K29" s="750">
        <v>290649959</v>
      </c>
      <c r="L29" s="750">
        <v>0</v>
      </c>
      <c r="M29" s="11"/>
      <c r="N29" s="11"/>
      <c r="O29" s="11"/>
      <c r="P29" s="11"/>
      <c r="Q29" s="11"/>
      <c r="R29" s="11"/>
      <c r="W29" s="257" t="s">
        <v>337</v>
      </c>
      <c r="X29" s="258">
        <v>2803437245</v>
      </c>
      <c r="Y29" s="258">
        <v>0</v>
      </c>
      <c r="Z29" s="9">
        <f t="shared" si="0"/>
        <v>2803437245</v>
      </c>
    </row>
    <row r="30" spans="1:26">
      <c r="A30" s="748">
        <v>44957</v>
      </c>
      <c r="B30" s="748">
        <v>44957</v>
      </c>
      <c r="C30" s="749" t="s">
        <v>467</v>
      </c>
      <c r="D30" s="10"/>
      <c r="E30" s="11"/>
      <c r="F30" s="11"/>
      <c r="G30" s="749" t="s">
        <v>475</v>
      </c>
      <c r="H30" s="749" t="s">
        <v>446</v>
      </c>
      <c r="I30" s="749" t="s">
        <v>350</v>
      </c>
      <c r="J30" s="11"/>
      <c r="K30" s="750">
        <v>13029723</v>
      </c>
      <c r="L30" s="750">
        <v>0</v>
      </c>
      <c r="M30" s="11"/>
      <c r="N30" s="11"/>
      <c r="O30" s="11"/>
      <c r="P30" s="11"/>
      <c r="Q30" s="11"/>
      <c r="R30" s="11"/>
      <c r="W30" s="257" t="s">
        <v>339</v>
      </c>
      <c r="X30" s="258">
        <v>168444500</v>
      </c>
      <c r="Y30" s="258">
        <v>9306000</v>
      </c>
      <c r="Z30" s="9">
        <f t="shared" si="0"/>
        <v>159138500</v>
      </c>
    </row>
    <row r="31" spans="1:26">
      <c r="A31" s="748">
        <v>44957</v>
      </c>
      <c r="B31" s="748">
        <v>44957</v>
      </c>
      <c r="C31" s="749" t="s">
        <v>467</v>
      </c>
      <c r="D31" s="10"/>
      <c r="E31" s="11"/>
      <c r="F31" s="11"/>
      <c r="G31" s="749" t="s">
        <v>475</v>
      </c>
      <c r="H31" s="749" t="s">
        <v>446</v>
      </c>
      <c r="I31" s="749" t="s">
        <v>354</v>
      </c>
      <c r="J31" s="11"/>
      <c r="K31" s="750">
        <v>5696511</v>
      </c>
      <c r="L31" s="750">
        <v>0</v>
      </c>
      <c r="M31" s="11"/>
      <c r="N31" s="11"/>
      <c r="O31" s="11"/>
      <c r="P31" s="11"/>
      <c r="Q31" s="11"/>
      <c r="R31" s="11"/>
      <c r="W31" s="257" t="s">
        <v>341</v>
      </c>
      <c r="X31" s="258">
        <v>15015909</v>
      </c>
      <c r="Y31" s="258">
        <v>0</v>
      </c>
      <c r="Z31" s="9">
        <f t="shared" si="0"/>
        <v>15015909</v>
      </c>
    </row>
    <row r="32" spans="1:26">
      <c r="A32" s="748">
        <v>44957</v>
      </c>
      <c r="B32" s="748">
        <v>44957</v>
      </c>
      <c r="C32" s="749" t="s">
        <v>467</v>
      </c>
      <c r="D32" s="10"/>
      <c r="E32" s="11"/>
      <c r="F32" s="11"/>
      <c r="G32" s="749" t="s">
        <v>475</v>
      </c>
      <c r="H32" s="749" t="s">
        <v>446</v>
      </c>
      <c r="I32" s="749" t="s">
        <v>356</v>
      </c>
      <c r="J32" s="11"/>
      <c r="K32" s="750">
        <v>96833</v>
      </c>
      <c r="L32" s="750">
        <v>0</v>
      </c>
      <c r="M32" s="11"/>
      <c r="N32" s="11"/>
      <c r="O32" s="11"/>
      <c r="P32" s="11"/>
      <c r="Q32" s="11"/>
      <c r="R32" s="11"/>
      <c r="W32" s="257" t="s">
        <v>343</v>
      </c>
      <c r="X32" s="258">
        <v>54622552</v>
      </c>
      <c r="Y32" s="258">
        <v>0</v>
      </c>
      <c r="Z32" s="9">
        <f t="shared" si="0"/>
        <v>54622552</v>
      </c>
    </row>
    <row r="33" spans="1:26">
      <c r="A33" s="748">
        <v>44957</v>
      </c>
      <c r="B33" s="748">
        <v>44957</v>
      </c>
      <c r="C33" s="749" t="s">
        <v>467</v>
      </c>
      <c r="D33" s="10"/>
      <c r="E33" s="11"/>
      <c r="F33" s="11"/>
      <c r="G33" s="749" t="s">
        <v>475</v>
      </c>
      <c r="H33" s="749" t="s">
        <v>446</v>
      </c>
      <c r="I33" s="749" t="s">
        <v>357</v>
      </c>
      <c r="J33" s="11"/>
      <c r="K33" s="750">
        <v>10222500</v>
      </c>
      <c r="L33" s="750">
        <v>0</v>
      </c>
      <c r="M33" s="11"/>
      <c r="N33" s="11"/>
      <c r="O33" s="11"/>
      <c r="P33" s="11"/>
      <c r="Q33" s="11"/>
      <c r="R33" s="11"/>
      <c r="W33" s="257" t="s">
        <v>345</v>
      </c>
      <c r="X33" s="258">
        <v>23222502</v>
      </c>
      <c r="Y33" s="258">
        <v>0</v>
      </c>
      <c r="Z33" s="9">
        <f t="shared" si="0"/>
        <v>23222502</v>
      </c>
    </row>
    <row r="34" spans="1:26">
      <c r="A34" s="748">
        <v>44957</v>
      </c>
      <c r="B34" s="748">
        <v>44957</v>
      </c>
      <c r="C34" s="749" t="s">
        <v>467</v>
      </c>
      <c r="D34" s="10"/>
      <c r="E34" s="11"/>
      <c r="F34" s="11"/>
      <c r="G34" s="749" t="s">
        <v>475</v>
      </c>
      <c r="H34" s="749" t="s">
        <v>446</v>
      </c>
      <c r="I34" s="749" t="s">
        <v>361</v>
      </c>
      <c r="J34" s="11"/>
      <c r="K34" s="750">
        <v>44683921</v>
      </c>
      <c r="L34" s="750">
        <v>0</v>
      </c>
      <c r="M34" s="11"/>
      <c r="N34" s="11"/>
      <c r="O34" s="11"/>
      <c r="P34" s="11"/>
      <c r="Q34" s="11"/>
      <c r="R34" s="11"/>
      <c r="W34" s="257" t="s">
        <v>347</v>
      </c>
      <c r="X34" s="258">
        <v>585517992</v>
      </c>
      <c r="Y34" s="258">
        <v>0</v>
      </c>
      <c r="Z34" s="9">
        <f t="shared" si="0"/>
        <v>585517992</v>
      </c>
    </row>
    <row r="35" spans="1:26">
      <c r="A35" s="748">
        <v>44957</v>
      </c>
      <c r="B35" s="748">
        <v>44957</v>
      </c>
      <c r="C35" s="749" t="s">
        <v>467</v>
      </c>
      <c r="D35" s="10"/>
      <c r="E35" s="11"/>
      <c r="F35" s="11"/>
      <c r="G35" s="749" t="s">
        <v>475</v>
      </c>
      <c r="H35" s="749" t="s">
        <v>446</v>
      </c>
      <c r="I35" s="749" t="s">
        <v>363</v>
      </c>
      <c r="J35" s="11"/>
      <c r="K35" s="750">
        <v>9306112</v>
      </c>
      <c r="L35" s="750">
        <v>0</v>
      </c>
      <c r="M35" s="11"/>
      <c r="N35" s="11"/>
      <c r="O35" s="11"/>
      <c r="P35" s="11"/>
      <c r="Q35" s="11"/>
      <c r="R35" s="11"/>
      <c r="W35" s="257" t="s">
        <v>348</v>
      </c>
      <c r="X35" s="258">
        <v>1105170987</v>
      </c>
      <c r="Y35" s="258">
        <v>0</v>
      </c>
      <c r="Z35" s="9">
        <f t="shared" si="0"/>
        <v>1105170987</v>
      </c>
    </row>
    <row r="36" spans="1:26">
      <c r="A36" s="748">
        <v>44957</v>
      </c>
      <c r="B36" s="748">
        <v>44957</v>
      </c>
      <c r="C36" s="749" t="s">
        <v>467</v>
      </c>
      <c r="D36" s="10"/>
      <c r="E36" s="11"/>
      <c r="F36" s="11"/>
      <c r="G36" s="749" t="s">
        <v>475</v>
      </c>
      <c r="H36" s="749" t="s">
        <v>446</v>
      </c>
      <c r="I36" s="749" t="s">
        <v>370</v>
      </c>
      <c r="J36" s="11"/>
      <c r="K36" s="750">
        <v>471976609</v>
      </c>
      <c r="L36" s="750">
        <v>0</v>
      </c>
      <c r="M36" s="11"/>
      <c r="N36" s="11"/>
      <c r="O36" s="11"/>
      <c r="P36" s="11"/>
      <c r="Q36" s="11"/>
      <c r="R36" s="11"/>
      <c r="W36" s="257" t="s">
        <v>350</v>
      </c>
      <c r="X36" s="258">
        <v>970861308</v>
      </c>
      <c r="Y36" s="258">
        <v>2929867</v>
      </c>
      <c r="Z36" s="9">
        <f t="shared" si="0"/>
        <v>967931441</v>
      </c>
    </row>
    <row r="37" spans="1:26">
      <c r="A37" s="748">
        <v>44957</v>
      </c>
      <c r="B37" s="748">
        <v>44957</v>
      </c>
      <c r="C37" s="749" t="s">
        <v>467</v>
      </c>
      <c r="D37" s="10"/>
      <c r="E37" s="11"/>
      <c r="F37" s="11"/>
      <c r="G37" s="749" t="s">
        <v>476</v>
      </c>
      <c r="H37" s="749" t="s">
        <v>446</v>
      </c>
      <c r="I37" s="749" t="s">
        <v>378</v>
      </c>
      <c r="J37" s="11"/>
      <c r="K37" s="750">
        <v>967371379</v>
      </c>
      <c r="L37" s="750">
        <v>0</v>
      </c>
      <c r="M37" s="11"/>
      <c r="N37" s="11"/>
      <c r="O37" s="11"/>
      <c r="P37" s="11"/>
      <c r="Q37" s="11"/>
      <c r="R37" s="11"/>
      <c r="W37" s="257" t="s">
        <v>354</v>
      </c>
      <c r="X37" s="258">
        <v>29962523</v>
      </c>
      <c r="Y37" s="258">
        <v>0</v>
      </c>
      <c r="Z37" s="9">
        <f t="shared" si="0"/>
        <v>29962523</v>
      </c>
    </row>
    <row r="38" spans="1:26">
      <c r="A38" s="748">
        <v>44957</v>
      </c>
      <c r="B38" s="748">
        <v>44957</v>
      </c>
      <c r="C38" s="749" t="s">
        <v>467</v>
      </c>
      <c r="D38" s="10"/>
      <c r="E38" s="11"/>
      <c r="F38" s="11"/>
      <c r="G38" s="749" t="s">
        <v>476</v>
      </c>
      <c r="H38" s="749" t="s">
        <v>446</v>
      </c>
      <c r="I38" s="749" t="s">
        <v>379</v>
      </c>
      <c r="J38" s="11"/>
      <c r="K38" s="750">
        <v>72638000</v>
      </c>
      <c r="L38" s="750">
        <v>0</v>
      </c>
      <c r="M38" s="11"/>
      <c r="N38" s="11"/>
      <c r="O38" s="11"/>
      <c r="P38" s="11"/>
      <c r="Q38" s="11"/>
      <c r="R38" s="11"/>
      <c r="W38" s="257" t="s">
        <v>356</v>
      </c>
      <c r="X38" s="258">
        <v>581002</v>
      </c>
      <c r="Y38" s="258">
        <v>0</v>
      </c>
      <c r="Z38" s="9">
        <f t="shared" si="0"/>
        <v>581002</v>
      </c>
    </row>
    <row r="39" spans="1:26">
      <c r="A39" s="748">
        <v>44957</v>
      </c>
      <c r="B39" s="748">
        <v>44957</v>
      </c>
      <c r="C39" s="749" t="s">
        <v>467</v>
      </c>
      <c r="D39" s="10"/>
      <c r="E39" s="11"/>
      <c r="F39" s="11"/>
      <c r="G39" s="749" t="s">
        <v>476</v>
      </c>
      <c r="H39" s="749" t="s">
        <v>446</v>
      </c>
      <c r="I39" s="749" t="s">
        <v>380</v>
      </c>
      <c r="J39" s="11"/>
      <c r="K39" s="750">
        <v>349928248</v>
      </c>
      <c r="L39" s="750">
        <v>0</v>
      </c>
      <c r="M39" s="11"/>
      <c r="N39" s="11"/>
      <c r="O39" s="11"/>
      <c r="P39" s="11"/>
      <c r="Q39" s="11"/>
      <c r="R39" s="11"/>
      <c r="W39" s="257" t="s">
        <v>357</v>
      </c>
      <c r="X39" s="258">
        <v>61335000</v>
      </c>
      <c r="Y39" s="258">
        <v>0</v>
      </c>
      <c r="Z39" s="9">
        <f t="shared" si="0"/>
        <v>61335000</v>
      </c>
    </row>
    <row r="40" spans="1:26">
      <c r="A40" s="748">
        <v>44957</v>
      </c>
      <c r="B40" s="748">
        <v>44957</v>
      </c>
      <c r="C40" s="749" t="s">
        <v>467</v>
      </c>
      <c r="D40" s="10"/>
      <c r="E40" s="11"/>
      <c r="F40" s="11"/>
      <c r="G40" s="749" t="s">
        <v>476</v>
      </c>
      <c r="H40" s="749" t="s">
        <v>446</v>
      </c>
      <c r="I40" s="749" t="s">
        <v>381</v>
      </c>
      <c r="J40" s="11"/>
      <c r="K40" s="750">
        <v>182101121</v>
      </c>
      <c r="L40" s="750">
        <v>0</v>
      </c>
      <c r="M40" s="11"/>
      <c r="N40" s="11"/>
      <c r="O40" s="11"/>
      <c r="P40" s="11"/>
      <c r="Q40" s="11"/>
      <c r="R40" s="11"/>
      <c r="W40" s="257" t="s">
        <v>361</v>
      </c>
      <c r="X40" s="258">
        <v>268103526</v>
      </c>
      <c r="Y40" s="258">
        <v>0</v>
      </c>
      <c r="Z40" s="9">
        <f t="shared" si="0"/>
        <v>268103526</v>
      </c>
    </row>
    <row r="41" spans="1:26">
      <c r="A41" s="748">
        <v>44957</v>
      </c>
      <c r="B41" s="748">
        <v>44957</v>
      </c>
      <c r="C41" s="749" t="s">
        <v>467</v>
      </c>
      <c r="D41" s="10"/>
      <c r="E41" s="11"/>
      <c r="F41" s="11"/>
      <c r="G41" s="749" t="s">
        <v>476</v>
      </c>
      <c r="H41" s="749" t="s">
        <v>446</v>
      </c>
      <c r="I41" s="749" t="s">
        <v>383</v>
      </c>
      <c r="J41" s="11"/>
      <c r="K41" s="750">
        <v>32639206</v>
      </c>
      <c r="L41" s="750">
        <v>0</v>
      </c>
      <c r="M41" s="11"/>
      <c r="N41" s="11"/>
      <c r="O41" s="11"/>
      <c r="P41" s="11"/>
      <c r="Q41" s="11"/>
      <c r="R41" s="11"/>
      <c r="W41" s="257" t="s">
        <v>363</v>
      </c>
      <c r="X41" s="258">
        <v>117101502</v>
      </c>
      <c r="Y41" s="258">
        <v>0</v>
      </c>
      <c r="Z41" s="9">
        <f t="shared" si="0"/>
        <v>117101502</v>
      </c>
    </row>
    <row r="42" spans="1:26">
      <c r="A42" s="748">
        <v>44957</v>
      </c>
      <c r="B42" s="748">
        <v>44957</v>
      </c>
      <c r="C42" s="749" t="s">
        <v>467</v>
      </c>
      <c r="D42" s="10"/>
      <c r="E42" s="11"/>
      <c r="F42" s="11"/>
      <c r="G42" s="749" t="s">
        <v>476</v>
      </c>
      <c r="H42" s="749" t="s">
        <v>446</v>
      </c>
      <c r="I42" s="749" t="s">
        <v>384</v>
      </c>
      <c r="J42" s="11"/>
      <c r="K42" s="750">
        <v>5000000</v>
      </c>
      <c r="L42" s="750">
        <v>0</v>
      </c>
      <c r="M42" s="11"/>
      <c r="N42" s="11"/>
      <c r="O42" s="11"/>
      <c r="P42" s="11"/>
      <c r="Q42" s="11"/>
      <c r="R42" s="11"/>
      <c r="W42" s="257" t="s">
        <v>365</v>
      </c>
      <c r="X42" s="258">
        <v>5090908</v>
      </c>
      <c r="Y42" s="258">
        <v>0</v>
      </c>
      <c r="Z42" s="9">
        <f t="shared" si="0"/>
        <v>5090908</v>
      </c>
    </row>
    <row r="43" spans="1:26">
      <c r="A43" s="748">
        <v>44957</v>
      </c>
      <c r="B43" s="748">
        <v>44957</v>
      </c>
      <c r="C43" s="749" t="s">
        <v>467</v>
      </c>
      <c r="D43" s="10"/>
      <c r="E43" s="11"/>
      <c r="F43" s="11"/>
      <c r="G43" s="749" t="s">
        <v>476</v>
      </c>
      <c r="H43" s="749" t="s">
        <v>446</v>
      </c>
      <c r="I43" s="749" t="s">
        <v>387</v>
      </c>
      <c r="J43" s="11"/>
      <c r="K43" s="750">
        <v>151881411</v>
      </c>
      <c r="L43" s="750">
        <v>0</v>
      </c>
      <c r="M43" s="11"/>
      <c r="N43" s="11"/>
      <c r="O43" s="11"/>
      <c r="P43" s="11"/>
      <c r="Q43" s="11"/>
      <c r="R43" s="11"/>
      <c r="W43" s="257" t="s">
        <v>370</v>
      </c>
      <c r="X43" s="258">
        <v>1508525030</v>
      </c>
      <c r="Y43" s="258">
        <v>0</v>
      </c>
      <c r="Z43" s="9">
        <f t="shared" si="0"/>
        <v>1508525030</v>
      </c>
    </row>
    <row r="44" spans="1:26">
      <c r="A44" s="748">
        <v>44957</v>
      </c>
      <c r="B44" s="748">
        <v>44957</v>
      </c>
      <c r="C44" s="749" t="s">
        <v>467</v>
      </c>
      <c r="D44" s="10"/>
      <c r="E44" s="11"/>
      <c r="F44" s="11"/>
      <c r="G44" s="749" t="s">
        <v>476</v>
      </c>
      <c r="H44" s="749" t="s">
        <v>446</v>
      </c>
      <c r="I44" s="749" t="s">
        <v>389</v>
      </c>
      <c r="J44" s="11"/>
      <c r="K44" s="750">
        <v>16187200</v>
      </c>
      <c r="L44" s="750">
        <v>0</v>
      </c>
      <c r="M44" s="11"/>
      <c r="N44" s="11"/>
      <c r="O44" s="11"/>
      <c r="P44" s="11"/>
      <c r="Q44" s="11"/>
      <c r="R44" s="11"/>
      <c r="W44" s="257" t="s">
        <v>372</v>
      </c>
      <c r="X44" s="258">
        <v>38705900</v>
      </c>
      <c r="Y44" s="258">
        <v>0</v>
      </c>
      <c r="Z44" s="9">
        <f t="shared" si="0"/>
        <v>38705900</v>
      </c>
    </row>
    <row r="45" spans="1:26">
      <c r="A45" s="748">
        <v>44957</v>
      </c>
      <c r="B45" s="748">
        <v>44957</v>
      </c>
      <c r="C45" s="749" t="s">
        <v>467</v>
      </c>
      <c r="D45" s="10"/>
      <c r="E45" s="11"/>
      <c r="F45" s="11"/>
      <c r="G45" s="749" t="s">
        <v>476</v>
      </c>
      <c r="H45" s="749" t="s">
        <v>446</v>
      </c>
      <c r="I45" s="749" t="s">
        <v>391</v>
      </c>
      <c r="J45" s="11"/>
      <c r="K45" s="750">
        <v>1775201</v>
      </c>
      <c r="L45" s="750">
        <v>0</v>
      </c>
      <c r="M45" s="11"/>
      <c r="N45" s="11"/>
      <c r="O45" s="11"/>
      <c r="P45" s="11"/>
      <c r="Q45" s="11"/>
      <c r="R45" s="11"/>
      <c r="W45" s="257" t="s">
        <v>378</v>
      </c>
      <c r="X45" s="258">
        <v>5893403252</v>
      </c>
      <c r="Y45" s="258">
        <v>0</v>
      </c>
      <c r="Z45" s="9">
        <f t="shared" si="0"/>
        <v>5893403252</v>
      </c>
    </row>
    <row r="46" spans="1:26">
      <c r="A46" s="748">
        <v>44957</v>
      </c>
      <c r="B46" s="748">
        <v>44957</v>
      </c>
      <c r="C46" s="749" t="s">
        <v>467</v>
      </c>
      <c r="D46" s="10"/>
      <c r="E46" s="11"/>
      <c r="F46" s="11"/>
      <c r="G46" s="749" t="s">
        <v>476</v>
      </c>
      <c r="H46" s="749" t="s">
        <v>446</v>
      </c>
      <c r="I46" s="749" t="s">
        <v>393</v>
      </c>
      <c r="J46" s="11"/>
      <c r="K46" s="750">
        <v>4826997</v>
      </c>
      <c r="L46" s="750">
        <v>0</v>
      </c>
      <c r="M46" s="11"/>
      <c r="N46" s="11"/>
      <c r="O46" s="11"/>
      <c r="P46" s="11"/>
      <c r="Q46" s="11"/>
      <c r="R46" s="11"/>
      <c r="W46" s="257" t="s">
        <v>379</v>
      </c>
      <c r="X46" s="258">
        <v>285973273</v>
      </c>
      <c r="Y46" s="258">
        <v>9024000</v>
      </c>
      <c r="Z46" s="9">
        <f t="shared" si="0"/>
        <v>276949273</v>
      </c>
    </row>
    <row r="47" spans="1:26">
      <c r="A47" s="748">
        <v>44957</v>
      </c>
      <c r="B47" s="748">
        <v>44957</v>
      </c>
      <c r="C47" s="749" t="s">
        <v>467</v>
      </c>
      <c r="D47" s="10"/>
      <c r="E47" s="11"/>
      <c r="F47" s="11"/>
      <c r="G47" s="749" t="s">
        <v>476</v>
      </c>
      <c r="H47" s="749" t="s">
        <v>446</v>
      </c>
      <c r="I47" s="749" t="s">
        <v>397</v>
      </c>
      <c r="J47" s="11"/>
      <c r="K47" s="750">
        <v>68112557</v>
      </c>
      <c r="L47" s="750">
        <v>0</v>
      </c>
      <c r="M47" s="11"/>
      <c r="N47" s="11"/>
      <c r="O47" s="11"/>
      <c r="P47" s="11"/>
      <c r="Q47" s="11"/>
      <c r="R47" s="11"/>
      <c r="W47" s="257" t="s">
        <v>380</v>
      </c>
      <c r="X47" s="258">
        <v>1241971976</v>
      </c>
      <c r="Y47" s="258">
        <v>0</v>
      </c>
      <c r="Z47" s="9">
        <f t="shared" si="0"/>
        <v>1241971976</v>
      </c>
    </row>
    <row r="48" spans="1:26">
      <c r="A48" s="748">
        <v>44957</v>
      </c>
      <c r="B48" s="748">
        <v>44957</v>
      </c>
      <c r="C48" s="749" t="s">
        <v>467</v>
      </c>
      <c r="D48" s="10"/>
      <c r="E48" s="11"/>
      <c r="F48" s="11"/>
      <c r="G48" s="749" t="s">
        <v>476</v>
      </c>
      <c r="H48" s="749" t="s">
        <v>446</v>
      </c>
      <c r="I48" s="749" t="s">
        <v>398</v>
      </c>
      <c r="J48" s="11"/>
      <c r="K48" s="750">
        <v>64683510</v>
      </c>
      <c r="L48" s="750">
        <v>0</v>
      </c>
      <c r="M48" s="11"/>
      <c r="N48" s="11"/>
      <c r="O48" s="11"/>
      <c r="P48" s="11"/>
      <c r="Q48" s="11"/>
      <c r="R48" s="11"/>
      <c r="W48" s="257" t="s">
        <v>381</v>
      </c>
      <c r="X48" s="258">
        <v>1046475481</v>
      </c>
      <c r="Y48" s="258">
        <v>0</v>
      </c>
      <c r="Z48" s="9">
        <f t="shared" si="0"/>
        <v>1046475481</v>
      </c>
    </row>
    <row r="49" spans="1:26">
      <c r="A49" s="748">
        <v>44957</v>
      </c>
      <c r="B49" s="748">
        <v>44957</v>
      </c>
      <c r="C49" s="749" t="s">
        <v>467</v>
      </c>
      <c r="D49" s="10"/>
      <c r="E49" s="11"/>
      <c r="F49" s="11"/>
      <c r="G49" s="749" t="s">
        <v>476</v>
      </c>
      <c r="H49" s="749" t="s">
        <v>446</v>
      </c>
      <c r="I49" s="749" t="s">
        <v>401</v>
      </c>
      <c r="J49" s="11"/>
      <c r="K49" s="750">
        <v>31760957</v>
      </c>
      <c r="L49" s="750">
        <v>0</v>
      </c>
      <c r="M49" s="11"/>
      <c r="N49" s="11"/>
      <c r="O49" s="11"/>
      <c r="P49" s="11"/>
      <c r="Q49" s="11"/>
      <c r="R49" s="11"/>
      <c r="W49" s="257" t="s">
        <v>383</v>
      </c>
      <c r="X49" s="258">
        <v>195835236</v>
      </c>
      <c r="Y49" s="258">
        <v>0</v>
      </c>
      <c r="Z49" s="9">
        <f t="shared" si="0"/>
        <v>195835236</v>
      </c>
    </row>
    <row r="50" spans="1:26">
      <c r="A50" s="748">
        <v>44957</v>
      </c>
      <c r="B50" s="748">
        <v>44957</v>
      </c>
      <c r="C50" s="749" t="s">
        <v>467</v>
      </c>
      <c r="D50" s="10"/>
      <c r="E50" s="11"/>
      <c r="F50" s="11"/>
      <c r="G50" s="749" t="s">
        <v>476</v>
      </c>
      <c r="H50" s="749" t="s">
        <v>446</v>
      </c>
      <c r="I50" s="749" t="s">
        <v>403</v>
      </c>
      <c r="J50" s="11"/>
      <c r="K50" s="750">
        <v>3000000</v>
      </c>
      <c r="L50" s="750">
        <v>0</v>
      </c>
      <c r="M50" s="11"/>
      <c r="N50" s="11"/>
      <c r="O50" s="11"/>
      <c r="P50" s="11"/>
      <c r="Q50" s="11"/>
      <c r="R50" s="11"/>
      <c r="W50" s="257" t="s">
        <v>384</v>
      </c>
      <c r="X50" s="258">
        <v>5000000</v>
      </c>
      <c r="Y50" s="258">
        <v>0</v>
      </c>
      <c r="Z50" s="9">
        <f t="shared" si="0"/>
        <v>5000000</v>
      </c>
    </row>
    <row r="51" spans="1:26">
      <c r="A51" s="748">
        <v>44957</v>
      </c>
      <c r="B51" s="748">
        <v>44957</v>
      </c>
      <c r="C51" s="749" t="s">
        <v>467</v>
      </c>
      <c r="D51" s="10"/>
      <c r="E51" s="11"/>
      <c r="F51" s="11"/>
      <c r="G51" s="749" t="s">
        <v>476</v>
      </c>
      <c r="H51" s="749" t="s">
        <v>446</v>
      </c>
      <c r="I51" s="749" t="s">
        <v>405</v>
      </c>
      <c r="J51" s="11"/>
      <c r="K51" s="750">
        <v>12000000</v>
      </c>
      <c r="L51" s="750">
        <v>0</v>
      </c>
      <c r="M51" s="11"/>
      <c r="N51" s="11"/>
      <c r="O51" s="11"/>
      <c r="P51" s="11"/>
      <c r="Q51" s="11"/>
      <c r="R51" s="11"/>
      <c r="W51" s="257" t="s">
        <v>387</v>
      </c>
      <c r="X51" s="258">
        <v>910490528</v>
      </c>
      <c r="Y51" s="258">
        <v>0</v>
      </c>
      <c r="Z51" s="9">
        <f t="shared" si="0"/>
        <v>910490528</v>
      </c>
    </row>
    <row r="52" spans="1:26">
      <c r="A52" s="748">
        <v>44957</v>
      </c>
      <c r="B52" s="748">
        <v>44957</v>
      </c>
      <c r="C52" s="749" t="s">
        <v>467</v>
      </c>
      <c r="D52" s="10"/>
      <c r="E52" s="11"/>
      <c r="F52" s="11"/>
      <c r="G52" s="749" t="s">
        <v>476</v>
      </c>
      <c r="H52" s="749" t="s">
        <v>446</v>
      </c>
      <c r="I52" s="749" t="s">
        <v>407</v>
      </c>
      <c r="J52" s="11"/>
      <c r="K52" s="750">
        <v>51075758</v>
      </c>
      <c r="L52" s="750">
        <v>0</v>
      </c>
      <c r="M52" s="11"/>
      <c r="N52" s="11"/>
      <c r="O52" s="11"/>
      <c r="P52" s="11"/>
      <c r="Q52" s="11"/>
      <c r="R52" s="11"/>
      <c r="W52" s="257" t="s">
        <v>389</v>
      </c>
      <c r="X52" s="258">
        <v>68247650</v>
      </c>
      <c r="Y52" s="258">
        <v>0</v>
      </c>
      <c r="Z52" s="9">
        <f t="shared" si="0"/>
        <v>68247650</v>
      </c>
    </row>
    <row r="53" spans="1:26">
      <c r="A53" s="748">
        <v>44957</v>
      </c>
      <c r="B53" s="748">
        <v>44957</v>
      </c>
      <c r="C53" s="749" t="s">
        <v>467</v>
      </c>
      <c r="D53" s="10"/>
      <c r="E53" s="11"/>
      <c r="F53" s="11"/>
      <c r="G53" s="749" t="s">
        <v>476</v>
      </c>
      <c r="H53" s="749" t="s">
        <v>446</v>
      </c>
      <c r="I53" s="749" t="s">
        <v>409</v>
      </c>
      <c r="J53" s="11"/>
      <c r="K53" s="750">
        <v>3000000</v>
      </c>
      <c r="L53" s="750">
        <v>0</v>
      </c>
      <c r="M53" s="11"/>
      <c r="N53" s="11"/>
      <c r="O53" s="11"/>
      <c r="P53" s="11"/>
      <c r="Q53" s="11"/>
      <c r="R53" s="11"/>
      <c r="W53" s="257" t="s">
        <v>391</v>
      </c>
      <c r="X53" s="258">
        <v>35019231</v>
      </c>
      <c r="Y53" s="258">
        <v>0</v>
      </c>
      <c r="Z53" s="9">
        <f t="shared" si="0"/>
        <v>35019231</v>
      </c>
    </row>
    <row r="54" spans="1:26">
      <c r="A54" s="748">
        <v>44957</v>
      </c>
      <c r="B54" s="748">
        <v>44957</v>
      </c>
      <c r="C54" s="749" t="s">
        <v>467</v>
      </c>
      <c r="D54" s="10"/>
      <c r="E54" s="11"/>
      <c r="F54" s="11"/>
      <c r="G54" s="749" t="s">
        <v>476</v>
      </c>
      <c r="H54" s="749" t="s">
        <v>446</v>
      </c>
      <c r="I54" s="749" t="s">
        <v>413</v>
      </c>
      <c r="J54" s="11"/>
      <c r="K54" s="750">
        <v>3127913</v>
      </c>
      <c r="L54" s="750">
        <v>0</v>
      </c>
      <c r="M54" s="11"/>
      <c r="N54" s="11"/>
      <c r="O54" s="11"/>
      <c r="P54" s="11"/>
      <c r="Q54" s="11"/>
      <c r="R54" s="11"/>
      <c r="W54" s="257" t="s">
        <v>393</v>
      </c>
      <c r="X54" s="258">
        <v>30802290</v>
      </c>
      <c r="Y54" s="258">
        <v>0</v>
      </c>
      <c r="Z54" s="9">
        <f t="shared" si="0"/>
        <v>30802290</v>
      </c>
    </row>
    <row r="55" spans="1:26">
      <c r="A55" s="748">
        <v>44957</v>
      </c>
      <c r="B55" s="748">
        <v>44957</v>
      </c>
      <c r="C55" s="749" t="s">
        <v>467</v>
      </c>
      <c r="D55" s="10"/>
      <c r="E55" s="11"/>
      <c r="F55" s="11"/>
      <c r="G55" s="749" t="s">
        <v>476</v>
      </c>
      <c r="H55" s="749" t="s">
        <v>446</v>
      </c>
      <c r="I55" s="749" t="s">
        <v>415</v>
      </c>
      <c r="J55" s="11"/>
      <c r="K55" s="750">
        <v>12281818</v>
      </c>
      <c r="L55" s="750">
        <v>0</v>
      </c>
      <c r="M55" s="11"/>
      <c r="N55" s="11"/>
      <c r="O55" s="11"/>
      <c r="P55" s="11"/>
      <c r="Q55" s="11"/>
      <c r="R55" s="11"/>
      <c r="W55" s="257" t="s">
        <v>395</v>
      </c>
      <c r="X55" s="258">
        <v>148698681</v>
      </c>
      <c r="Y55" s="258">
        <v>0</v>
      </c>
      <c r="Z55" s="9">
        <f t="shared" si="0"/>
        <v>148698681</v>
      </c>
    </row>
    <row r="56" spans="1:26">
      <c r="A56" s="748">
        <v>44957</v>
      </c>
      <c r="B56" s="748">
        <v>44957</v>
      </c>
      <c r="C56" s="749" t="s">
        <v>467</v>
      </c>
      <c r="D56" s="10"/>
      <c r="E56" s="11"/>
      <c r="F56" s="11"/>
      <c r="G56" s="749" t="s">
        <v>476</v>
      </c>
      <c r="H56" s="749" t="s">
        <v>446</v>
      </c>
      <c r="I56" s="749" t="s">
        <v>419</v>
      </c>
      <c r="J56" s="11"/>
      <c r="K56" s="750">
        <v>10344442</v>
      </c>
      <c r="L56" s="750">
        <v>0</v>
      </c>
      <c r="M56" s="11"/>
      <c r="N56" s="11"/>
      <c r="O56" s="11"/>
      <c r="P56" s="11"/>
      <c r="Q56" s="11"/>
      <c r="R56" s="11"/>
      <c r="W56" s="257" t="s">
        <v>397</v>
      </c>
      <c r="X56" s="258">
        <v>210128157</v>
      </c>
      <c r="Y56" s="258">
        <v>0</v>
      </c>
      <c r="Z56" s="9">
        <f t="shared" si="0"/>
        <v>210128157</v>
      </c>
    </row>
    <row r="57" spans="1:26">
      <c r="A57" s="748">
        <v>44957</v>
      </c>
      <c r="B57" s="748">
        <v>44957</v>
      </c>
      <c r="C57" s="749" t="s">
        <v>467</v>
      </c>
      <c r="D57" s="10"/>
      <c r="E57" s="11"/>
      <c r="F57" s="11"/>
      <c r="G57" s="749" t="s">
        <v>476</v>
      </c>
      <c r="H57" s="749" t="s">
        <v>446</v>
      </c>
      <c r="I57" s="749" t="s">
        <v>421</v>
      </c>
      <c r="J57" s="11"/>
      <c r="K57" s="750">
        <v>16305726</v>
      </c>
      <c r="L57" s="750">
        <v>0</v>
      </c>
      <c r="M57" s="11"/>
      <c r="N57" s="11"/>
      <c r="O57" s="11"/>
      <c r="P57" s="11"/>
      <c r="Q57" s="11"/>
      <c r="R57" s="11"/>
      <c r="W57" s="257" t="s">
        <v>398</v>
      </c>
      <c r="X57" s="258">
        <v>122121428</v>
      </c>
      <c r="Y57" s="258">
        <v>0</v>
      </c>
      <c r="Z57" s="9">
        <f t="shared" si="0"/>
        <v>122121428</v>
      </c>
    </row>
    <row r="58" spans="1:26">
      <c r="A58" s="748">
        <v>44957</v>
      </c>
      <c r="B58" s="748">
        <v>44957</v>
      </c>
      <c r="C58" s="749" t="s">
        <v>467</v>
      </c>
      <c r="D58" s="10"/>
      <c r="E58" s="11"/>
      <c r="F58" s="11"/>
      <c r="G58" s="749" t="s">
        <v>476</v>
      </c>
      <c r="H58" s="749" t="s">
        <v>446</v>
      </c>
      <c r="I58" s="749" t="s">
        <v>422</v>
      </c>
      <c r="J58" s="11"/>
      <c r="K58" s="750">
        <v>55761862</v>
      </c>
      <c r="L58" s="750">
        <v>0</v>
      </c>
      <c r="M58" s="11"/>
      <c r="N58" s="11"/>
      <c r="O58" s="11"/>
      <c r="P58" s="11"/>
      <c r="Q58" s="11"/>
      <c r="R58" s="11"/>
      <c r="W58" s="257" t="s">
        <v>400</v>
      </c>
      <c r="X58" s="258">
        <v>4336363</v>
      </c>
      <c r="Y58" s="258">
        <v>0</v>
      </c>
      <c r="Z58" s="9">
        <f t="shared" si="0"/>
        <v>4336363</v>
      </c>
    </row>
    <row r="59" spans="1:26">
      <c r="A59" s="748">
        <v>44957</v>
      </c>
      <c r="B59" s="748">
        <v>44957</v>
      </c>
      <c r="C59" s="749" t="s">
        <v>467</v>
      </c>
      <c r="D59" s="10"/>
      <c r="E59" s="11"/>
      <c r="F59" s="11"/>
      <c r="G59" s="749" t="s">
        <v>476</v>
      </c>
      <c r="H59" s="749" t="s">
        <v>446</v>
      </c>
      <c r="I59" s="749" t="s">
        <v>424</v>
      </c>
      <c r="J59" s="11"/>
      <c r="K59" s="750">
        <v>126748352</v>
      </c>
      <c r="L59" s="750">
        <v>0</v>
      </c>
      <c r="M59" s="11"/>
      <c r="N59" s="11"/>
      <c r="O59" s="11"/>
      <c r="P59" s="11"/>
      <c r="Q59" s="11"/>
      <c r="R59" s="11"/>
      <c r="W59" s="257" t="s">
        <v>401</v>
      </c>
      <c r="X59" s="258">
        <v>35660957</v>
      </c>
      <c r="Y59" s="258">
        <v>0</v>
      </c>
      <c r="Z59" s="9">
        <f t="shared" si="0"/>
        <v>35660957</v>
      </c>
    </row>
    <row r="60" spans="1:26">
      <c r="A60" s="748">
        <v>44957</v>
      </c>
      <c r="B60" s="748">
        <v>44957</v>
      </c>
      <c r="C60" s="749" t="s">
        <v>467</v>
      </c>
      <c r="D60" s="10"/>
      <c r="E60" s="11"/>
      <c r="F60" s="11"/>
      <c r="G60" s="749" t="s">
        <v>476</v>
      </c>
      <c r="H60" s="749" t="s">
        <v>446</v>
      </c>
      <c r="I60" s="749" t="s">
        <v>425</v>
      </c>
      <c r="J60" s="11"/>
      <c r="K60" s="750">
        <v>20888788</v>
      </c>
      <c r="L60" s="750">
        <v>0</v>
      </c>
      <c r="M60" s="11"/>
      <c r="N60" s="11"/>
      <c r="O60" s="11"/>
      <c r="P60" s="11"/>
      <c r="Q60" s="11"/>
      <c r="R60" s="11"/>
      <c r="W60" s="257" t="s">
        <v>403</v>
      </c>
      <c r="X60" s="258">
        <v>18000000</v>
      </c>
      <c r="Y60" s="258">
        <v>0</v>
      </c>
      <c r="Z60" s="9">
        <f t="shared" si="0"/>
        <v>18000000</v>
      </c>
    </row>
    <row r="61" spans="1:26">
      <c r="A61" s="748">
        <v>44957</v>
      </c>
      <c r="B61" s="748">
        <v>44957</v>
      </c>
      <c r="C61" s="749" t="s">
        <v>467</v>
      </c>
      <c r="D61" s="10"/>
      <c r="E61" s="11"/>
      <c r="F61" s="11"/>
      <c r="G61" s="749" t="s">
        <v>476</v>
      </c>
      <c r="H61" s="749" t="s">
        <v>446</v>
      </c>
      <c r="I61" s="749" t="s">
        <v>427</v>
      </c>
      <c r="J61" s="11"/>
      <c r="K61" s="750">
        <v>11010828</v>
      </c>
      <c r="L61" s="750">
        <v>0</v>
      </c>
      <c r="M61" s="11"/>
      <c r="N61" s="11"/>
      <c r="O61" s="11"/>
      <c r="P61" s="11"/>
      <c r="Q61" s="11"/>
      <c r="R61" s="11"/>
      <c r="W61" s="257" t="s">
        <v>405</v>
      </c>
      <c r="X61" s="258">
        <v>72000000</v>
      </c>
      <c r="Y61" s="258">
        <v>0</v>
      </c>
      <c r="Z61" s="9">
        <f t="shared" si="0"/>
        <v>72000000</v>
      </c>
    </row>
    <row r="62" spans="1:26">
      <c r="A62" s="748">
        <v>44957</v>
      </c>
      <c r="B62" s="748">
        <v>44957</v>
      </c>
      <c r="C62" s="749" t="s">
        <v>467</v>
      </c>
      <c r="D62" s="10"/>
      <c r="E62" s="11"/>
      <c r="F62" s="11"/>
      <c r="G62" s="749" t="s">
        <v>476</v>
      </c>
      <c r="H62" s="749" t="s">
        <v>446</v>
      </c>
      <c r="I62" s="749" t="s">
        <v>431</v>
      </c>
      <c r="J62" s="11"/>
      <c r="K62" s="750">
        <v>592899</v>
      </c>
      <c r="L62" s="750">
        <v>0</v>
      </c>
      <c r="M62" s="11"/>
      <c r="N62" s="11"/>
      <c r="O62" s="11"/>
      <c r="P62" s="11"/>
      <c r="Q62" s="11"/>
      <c r="R62" s="11"/>
      <c r="W62" s="257" t="s">
        <v>407</v>
      </c>
      <c r="X62" s="258">
        <v>380688549</v>
      </c>
      <c r="Y62" s="258">
        <v>0</v>
      </c>
      <c r="Z62" s="9">
        <f t="shared" si="0"/>
        <v>380688549</v>
      </c>
    </row>
    <row r="63" spans="1:26">
      <c r="A63" s="748">
        <v>44957</v>
      </c>
      <c r="B63" s="748">
        <v>44957</v>
      </c>
      <c r="C63" s="749" t="s">
        <v>467</v>
      </c>
      <c r="D63" s="10"/>
      <c r="E63" s="11"/>
      <c r="F63" s="11"/>
      <c r="G63" s="749" t="s">
        <v>476</v>
      </c>
      <c r="H63" s="749" t="s">
        <v>446</v>
      </c>
      <c r="I63" s="749" t="s">
        <v>432</v>
      </c>
      <c r="J63" s="11"/>
      <c r="K63" s="750">
        <v>241018000</v>
      </c>
      <c r="L63" s="750">
        <v>0</v>
      </c>
      <c r="M63" s="11"/>
      <c r="N63" s="11"/>
      <c r="O63" s="11"/>
      <c r="P63" s="11"/>
      <c r="Q63" s="11"/>
      <c r="R63" s="11"/>
      <c r="W63" s="257" t="s">
        <v>411</v>
      </c>
      <c r="X63" s="258">
        <v>12766000</v>
      </c>
      <c r="Y63" s="258">
        <v>0</v>
      </c>
      <c r="Z63" s="9">
        <f t="shared" si="0"/>
        <v>12766000</v>
      </c>
    </row>
    <row r="64" spans="1:26">
      <c r="A64" s="748">
        <v>44957</v>
      </c>
      <c r="B64" s="748">
        <v>44957</v>
      </c>
      <c r="C64" s="749" t="s">
        <v>467</v>
      </c>
      <c r="D64" s="10"/>
      <c r="E64" s="11"/>
      <c r="F64" s="11"/>
      <c r="G64" s="749" t="s">
        <v>476</v>
      </c>
      <c r="H64" s="749" t="s">
        <v>446</v>
      </c>
      <c r="I64" s="749" t="s">
        <v>435</v>
      </c>
      <c r="J64" s="11"/>
      <c r="K64" s="750">
        <v>73283426</v>
      </c>
      <c r="L64" s="750">
        <v>0</v>
      </c>
      <c r="M64" s="11"/>
      <c r="N64" s="11"/>
      <c r="O64" s="11"/>
      <c r="P64" s="11"/>
      <c r="Q64" s="11"/>
      <c r="R64" s="11"/>
      <c r="W64" s="257" t="s">
        <v>413</v>
      </c>
      <c r="X64" s="258">
        <v>136452365</v>
      </c>
      <c r="Y64" s="258">
        <v>0</v>
      </c>
      <c r="Z64" s="9">
        <f t="shared" si="0"/>
        <v>136452365</v>
      </c>
    </row>
    <row r="65" spans="1:26">
      <c r="A65" s="748">
        <v>44957</v>
      </c>
      <c r="B65" s="748">
        <v>44957</v>
      </c>
      <c r="C65" s="749" t="s">
        <v>467</v>
      </c>
      <c r="D65" s="10"/>
      <c r="E65" s="11"/>
      <c r="F65" s="11"/>
      <c r="G65" s="749" t="s">
        <v>476</v>
      </c>
      <c r="H65" s="749" t="s">
        <v>446</v>
      </c>
      <c r="I65" s="749" t="s">
        <v>438</v>
      </c>
      <c r="J65" s="11"/>
      <c r="K65" s="750">
        <v>1978200</v>
      </c>
      <c r="L65" s="750">
        <v>0</v>
      </c>
      <c r="M65" s="11"/>
      <c r="N65" s="11"/>
      <c r="O65" s="11"/>
      <c r="P65" s="11"/>
      <c r="Q65" s="11"/>
      <c r="R65" s="11"/>
      <c r="W65" s="257" t="s">
        <v>415</v>
      </c>
      <c r="X65" s="258">
        <v>44663636</v>
      </c>
      <c r="Y65" s="258">
        <v>0</v>
      </c>
      <c r="Z65" s="9">
        <f t="shared" si="0"/>
        <v>44663636</v>
      </c>
    </row>
    <row r="66" spans="1:26">
      <c r="A66" s="748">
        <v>44957</v>
      </c>
      <c r="B66" s="748">
        <v>44957</v>
      </c>
      <c r="C66" s="749" t="s">
        <v>467</v>
      </c>
      <c r="D66" s="10"/>
      <c r="E66" s="11"/>
      <c r="F66" s="11"/>
      <c r="G66" s="749" t="s">
        <v>477</v>
      </c>
      <c r="H66" s="749" t="s">
        <v>446</v>
      </c>
      <c r="I66" s="749" t="s">
        <v>442</v>
      </c>
      <c r="J66" s="11"/>
      <c r="K66" s="750">
        <v>0</v>
      </c>
      <c r="L66" s="750">
        <v>2</v>
      </c>
      <c r="M66" s="11"/>
      <c r="N66" s="11"/>
      <c r="O66" s="11"/>
      <c r="P66" s="11"/>
      <c r="Q66" s="11"/>
      <c r="R66" s="11"/>
      <c r="W66" s="257" t="s">
        <v>417</v>
      </c>
      <c r="X66" s="258">
        <v>5139000</v>
      </c>
      <c r="Y66" s="258">
        <v>0</v>
      </c>
      <c r="Z66" s="9">
        <f t="shared" si="0"/>
        <v>5139000</v>
      </c>
    </row>
    <row r="67" spans="1:26">
      <c r="A67" s="748">
        <v>44957</v>
      </c>
      <c r="B67" s="748">
        <v>44957</v>
      </c>
      <c r="C67" s="749" t="s">
        <v>467</v>
      </c>
      <c r="D67" s="10"/>
      <c r="E67" s="11"/>
      <c r="F67" s="11"/>
      <c r="G67" s="749" t="s">
        <v>478</v>
      </c>
      <c r="H67" s="749" t="s">
        <v>446</v>
      </c>
      <c r="I67" s="749" t="s">
        <v>444</v>
      </c>
      <c r="J67" s="11"/>
      <c r="K67" s="750">
        <v>8901227</v>
      </c>
      <c r="L67" s="750">
        <v>0</v>
      </c>
      <c r="M67" s="11"/>
      <c r="N67" s="11"/>
      <c r="O67" s="11"/>
      <c r="P67" s="11"/>
      <c r="Q67" s="11"/>
      <c r="R67" s="11"/>
      <c r="W67" s="257" t="s">
        <v>419</v>
      </c>
      <c r="X67" s="258">
        <v>59161109</v>
      </c>
      <c r="Y67" s="258">
        <v>2650000</v>
      </c>
      <c r="Z67" s="9">
        <f t="shared" si="0"/>
        <v>56511109</v>
      </c>
    </row>
    <row r="68" spans="1:26">
      <c r="A68" s="748">
        <v>44957</v>
      </c>
      <c r="B68" s="748">
        <v>44957</v>
      </c>
      <c r="C68" s="749" t="s">
        <v>467</v>
      </c>
      <c r="D68" s="10"/>
      <c r="E68" s="11"/>
      <c r="F68" s="11"/>
      <c r="G68" s="749" t="s">
        <v>479</v>
      </c>
      <c r="H68" s="749" t="s">
        <v>446</v>
      </c>
      <c r="I68" s="749" t="s">
        <v>217</v>
      </c>
      <c r="J68" s="11"/>
      <c r="K68" s="750">
        <v>0</v>
      </c>
      <c r="L68" s="750">
        <v>5913957569</v>
      </c>
      <c r="M68" s="11"/>
      <c r="N68" s="11"/>
      <c r="O68" s="11"/>
      <c r="P68" s="11"/>
      <c r="Q68" s="11"/>
      <c r="R68" s="11"/>
      <c r="W68" s="257" t="s">
        <v>421</v>
      </c>
      <c r="X68" s="258">
        <v>114057833</v>
      </c>
      <c r="Y68" s="258">
        <v>0</v>
      </c>
      <c r="Z68" s="9">
        <f t="shared" si="0"/>
        <v>114057833</v>
      </c>
    </row>
    <row r="69" spans="1:26">
      <c r="A69" s="748">
        <v>44985</v>
      </c>
      <c r="B69" s="748">
        <v>44985</v>
      </c>
      <c r="C69" s="749" t="s">
        <v>480</v>
      </c>
      <c r="D69" s="10"/>
      <c r="E69" s="11"/>
      <c r="F69" s="11"/>
      <c r="G69" s="749" t="s">
        <v>468</v>
      </c>
      <c r="H69" s="749" t="s">
        <v>446</v>
      </c>
      <c r="I69" s="749" t="s">
        <v>223</v>
      </c>
      <c r="J69" s="11"/>
      <c r="K69" s="750">
        <v>0</v>
      </c>
      <c r="L69" s="750">
        <v>19255201</v>
      </c>
      <c r="M69" s="11"/>
      <c r="N69" s="11"/>
      <c r="O69" s="11"/>
      <c r="P69" s="11"/>
      <c r="Q69" s="11"/>
      <c r="R69" s="11"/>
      <c r="W69" s="257" t="s">
        <v>422</v>
      </c>
      <c r="X69" s="258">
        <v>140794928</v>
      </c>
      <c r="Y69" s="258">
        <v>0</v>
      </c>
      <c r="Z69" s="9">
        <f t="shared" si="0"/>
        <v>140794928</v>
      </c>
    </row>
    <row r="70" spans="1:26">
      <c r="A70" s="748">
        <v>44985</v>
      </c>
      <c r="B70" s="748">
        <v>44985</v>
      </c>
      <c r="C70" s="749" t="s">
        <v>480</v>
      </c>
      <c r="D70" s="10"/>
      <c r="E70" s="11"/>
      <c r="F70" s="11"/>
      <c r="G70" s="749" t="s">
        <v>468</v>
      </c>
      <c r="H70" s="749" t="s">
        <v>446</v>
      </c>
      <c r="I70" s="749" t="s">
        <v>225</v>
      </c>
      <c r="J70" s="11"/>
      <c r="K70" s="750">
        <v>0</v>
      </c>
      <c r="L70" s="750">
        <v>10872000</v>
      </c>
      <c r="M70" s="11"/>
      <c r="N70" s="11"/>
      <c r="O70" s="11"/>
      <c r="P70" s="11"/>
      <c r="Q70" s="11"/>
      <c r="R70" s="11"/>
      <c r="W70" s="257" t="s">
        <v>424</v>
      </c>
      <c r="X70" s="258">
        <v>748348681</v>
      </c>
      <c r="Y70" s="258">
        <v>0</v>
      </c>
      <c r="Z70" s="9">
        <f t="shared" si="0"/>
        <v>748348681</v>
      </c>
    </row>
    <row r="71" spans="1:26">
      <c r="A71" s="748">
        <v>44985</v>
      </c>
      <c r="B71" s="748">
        <v>44985</v>
      </c>
      <c r="C71" s="749" t="s">
        <v>480</v>
      </c>
      <c r="D71" s="10"/>
      <c r="E71" s="11"/>
      <c r="F71" s="11"/>
      <c r="G71" s="749" t="s">
        <v>468</v>
      </c>
      <c r="H71" s="749" t="s">
        <v>446</v>
      </c>
      <c r="I71" s="749" t="s">
        <v>227</v>
      </c>
      <c r="J71" s="11"/>
      <c r="K71" s="750">
        <v>0</v>
      </c>
      <c r="L71" s="750">
        <v>34416000</v>
      </c>
      <c r="M71" s="11"/>
      <c r="N71" s="11"/>
      <c r="O71" s="11"/>
      <c r="P71" s="11"/>
      <c r="Q71" s="11"/>
      <c r="R71" s="11"/>
      <c r="W71" s="257" t="s">
        <v>425</v>
      </c>
      <c r="X71" s="258">
        <v>158612728</v>
      </c>
      <c r="Y71" s="258">
        <v>0</v>
      </c>
      <c r="Z71" s="9">
        <f t="shared" ref="Z71:Z83" si="1">GETPIVOTDATA("Sum of Phát sinh Nợ",$W$4,"TK đối ứng",W71)-GETPIVOTDATA("Sum of Phát sinh Có",$W$4,"TK đối ứng",W71)</f>
        <v>158612728</v>
      </c>
    </row>
    <row r="72" spans="1:26">
      <c r="A72" s="748">
        <v>44985</v>
      </c>
      <c r="B72" s="748">
        <v>44985</v>
      </c>
      <c r="C72" s="749" t="s">
        <v>480</v>
      </c>
      <c r="D72" s="10"/>
      <c r="E72" s="11"/>
      <c r="F72" s="11"/>
      <c r="G72" s="749" t="s">
        <v>468</v>
      </c>
      <c r="H72" s="749" t="s">
        <v>446</v>
      </c>
      <c r="I72" s="749" t="s">
        <v>229</v>
      </c>
      <c r="J72" s="11"/>
      <c r="K72" s="750">
        <v>0</v>
      </c>
      <c r="L72" s="750">
        <v>179826857</v>
      </c>
      <c r="M72" s="11"/>
      <c r="N72" s="11"/>
      <c r="O72" s="11"/>
      <c r="P72" s="11"/>
      <c r="Q72" s="11"/>
      <c r="R72" s="11"/>
      <c r="W72" s="257" t="s">
        <v>427</v>
      </c>
      <c r="X72" s="258">
        <v>96109161</v>
      </c>
      <c r="Y72" s="258">
        <v>0</v>
      </c>
      <c r="Z72" s="9">
        <f t="shared" si="1"/>
        <v>96109161</v>
      </c>
    </row>
    <row r="73" spans="1:26">
      <c r="A73" s="748">
        <v>44985</v>
      </c>
      <c r="B73" s="748">
        <v>44985</v>
      </c>
      <c r="C73" s="749" t="s">
        <v>480</v>
      </c>
      <c r="D73" s="10"/>
      <c r="E73" s="11"/>
      <c r="F73" s="11"/>
      <c r="G73" s="749" t="s">
        <v>468</v>
      </c>
      <c r="H73" s="749" t="s">
        <v>446</v>
      </c>
      <c r="I73" s="749" t="s">
        <v>231</v>
      </c>
      <c r="J73" s="11"/>
      <c r="K73" s="750">
        <v>0</v>
      </c>
      <c r="L73" s="750">
        <v>377189379</v>
      </c>
      <c r="M73" s="11"/>
      <c r="N73" s="11"/>
      <c r="O73" s="11"/>
      <c r="P73" s="11"/>
      <c r="Q73" s="11"/>
      <c r="R73" s="11"/>
      <c r="W73" s="257" t="s">
        <v>429</v>
      </c>
      <c r="X73" s="258">
        <v>29277500</v>
      </c>
      <c r="Y73" s="258">
        <v>0</v>
      </c>
      <c r="Z73" s="9">
        <f t="shared" si="1"/>
        <v>29277500</v>
      </c>
    </row>
    <row r="74" spans="1:26">
      <c r="A74" s="748">
        <v>44985</v>
      </c>
      <c r="B74" s="748">
        <v>44985</v>
      </c>
      <c r="C74" s="749" t="s">
        <v>480</v>
      </c>
      <c r="D74" s="10"/>
      <c r="E74" s="11"/>
      <c r="F74" s="11"/>
      <c r="G74" s="749" t="s">
        <v>468</v>
      </c>
      <c r="H74" s="749" t="s">
        <v>446</v>
      </c>
      <c r="I74" s="749" t="s">
        <v>233</v>
      </c>
      <c r="J74" s="11"/>
      <c r="K74" s="750">
        <v>0</v>
      </c>
      <c r="L74" s="750">
        <v>1730000</v>
      </c>
      <c r="M74" s="11"/>
      <c r="N74" s="11"/>
      <c r="O74" s="11"/>
      <c r="P74" s="11"/>
      <c r="Q74" s="11"/>
      <c r="R74" s="11"/>
      <c r="W74" s="257" t="s">
        <v>431</v>
      </c>
      <c r="X74" s="258">
        <v>13687287</v>
      </c>
      <c r="Y74" s="258">
        <v>0</v>
      </c>
      <c r="Z74" s="9">
        <f t="shared" si="1"/>
        <v>13687287</v>
      </c>
    </row>
    <row r="75" spans="1:26">
      <c r="A75" s="748">
        <v>44985</v>
      </c>
      <c r="B75" s="748">
        <v>44985</v>
      </c>
      <c r="C75" s="749" t="s">
        <v>480</v>
      </c>
      <c r="D75" s="10"/>
      <c r="E75" s="11"/>
      <c r="F75" s="11"/>
      <c r="G75" s="749" t="s">
        <v>468</v>
      </c>
      <c r="H75" s="749" t="s">
        <v>446</v>
      </c>
      <c r="I75" s="749" t="s">
        <v>235</v>
      </c>
      <c r="J75" s="11"/>
      <c r="K75" s="750">
        <v>0</v>
      </c>
      <c r="L75" s="750">
        <v>27598154</v>
      </c>
      <c r="M75" s="11"/>
      <c r="N75" s="11"/>
      <c r="O75" s="11"/>
      <c r="P75" s="11"/>
      <c r="Q75" s="11"/>
      <c r="R75" s="11"/>
      <c r="W75" s="257" t="s">
        <v>432</v>
      </c>
      <c r="X75" s="258">
        <v>1545493520</v>
      </c>
      <c r="Y75" s="258">
        <v>0</v>
      </c>
      <c r="Z75" s="9">
        <f t="shared" si="1"/>
        <v>1545493520</v>
      </c>
    </row>
    <row r="76" spans="1:26">
      <c r="A76" s="748">
        <v>44985</v>
      </c>
      <c r="B76" s="748">
        <v>44985</v>
      </c>
      <c r="C76" s="749" t="s">
        <v>480</v>
      </c>
      <c r="D76" s="10"/>
      <c r="E76" s="11"/>
      <c r="F76" s="11"/>
      <c r="G76" s="749" t="s">
        <v>468</v>
      </c>
      <c r="H76" s="749" t="s">
        <v>446</v>
      </c>
      <c r="I76" s="749" t="s">
        <v>237</v>
      </c>
      <c r="J76" s="11"/>
      <c r="K76" s="750">
        <v>0</v>
      </c>
      <c r="L76" s="750">
        <v>304847</v>
      </c>
      <c r="M76" s="11"/>
      <c r="N76" s="11"/>
      <c r="O76" s="11"/>
      <c r="P76" s="11"/>
      <c r="Q76" s="11"/>
      <c r="R76" s="11"/>
      <c r="W76" s="257" t="s">
        <v>435</v>
      </c>
      <c r="X76" s="258">
        <v>215352677</v>
      </c>
      <c r="Y76" s="258">
        <v>0</v>
      </c>
      <c r="Z76" s="9">
        <f t="shared" si="1"/>
        <v>215352677</v>
      </c>
    </row>
    <row r="77" spans="1:26">
      <c r="A77" s="748">
        <v>44985</v>
      </c>
      <c r="B77" s="748">
        <v>44985</v>
      </c>
      <c r="C77" s="749" t="s">
        <v>480</v>
      </c>
      <c r="D77" s="10"/>
      <c r="E77" s="11"/>
      <c r="F77" s="11"/>
      <c r="G77" s="749" t="s">
        <v>468</v>
      </c>
      <c r="H77" s="749" t="s">
        <v>446</v>
      </c>
      <c r="I77" s="749" t="s">
        <v>239</v>
      </c>
      <c r="J77" s="11"/>
      <c r="K77" s="750">
        <v>0</v>
      </c>
      <c r="L77" s="750">
        <v>272727</v>
      </c>
      <c r="M77" s="11"/>
      <c r="N77" s="11"/>
      <c r="O77" s="11"/>
      <c r="P77" s="11"/>
      <c r="Q77" s="11"/>
      <c r="R77" s="11"/>
      <c r="W77" s="257" t="s">
        <v>437</v>
      </c>
      <c r="X77" s="258">
        <v>43077155</v>
      </c>
      <c r="Y77" s="258">
        <v>0</v>
      </c>
      <c r="Z77" s="9">
        <f t="shared" si="1"/>
        <v>43077155</v>
      </c>
    </row>
    <row r="78" spans="1:26">
      <c r="A78" s="748">
        <v>44985</v>
      </c>
      <c r="B78" s="748">
        <v>44985</v>
      </c>
      <c r="C78" s="749" t="s">
        <v>480</v>
      </c>
      <c r="D78" s="10"/>
      <c r="E78" s="11"/>
      <c r="F78" s="11"/>
      <c r="G78" s="749" t="s">
        <v>468</v>
      </c>
      <c r="H78" s="749" t="s">
        <v>446</v>
      </c>
      <c r="I78" s="749" t="s">
        <v>241</v>
      </c>
      <c r="J78" s="11"/>
      <c r="K78" s="750">
        <v>0</v>
      </c>
      <c r="L78" s="750">
        <v>141622513</v>
      </c>
      <c r="M78" s="11"/>
      <c r="N78" s="11"/>
      <c r="O78" s="11"/>
      <c r="P78" s="11"/>
      <c r="Q78" s="11"/>
      <c r="R78" s="11"/>
      <c r="W78" s="257" t="s">
        <v>438</v>
      </c>
      <c r="X78" s="258">
        <v>3491600</v>
      </c>
      <c r="Y78" s="258">
        <v>2171400</v>
      </c>
      <c r="Z78" s="9">
        <f t="shared" si="1"/>
        <v>1320200</v>
      </c>
    </row>
    <row r="79" spans="1:26">
      <c r="A79" s="748">
        <v>44985</v>
      </c>
      <c r="B79" s="748">
        <v>44985</v>
      </c>
      <c r="C79" s="749" t="s">
        <v>480</v>
      </c>
      <c r="D79" s="10"/>
      <c r="E79" s="11"/>
      <c r="F79" s="11"/>
      <c r="G79" s="749" t="s">
        <v>472</v>
      </c>
      <c r="H79" s="749" t="s">
        <v>446</v>
      </c>
      <c r="I79" s="749" t="s">
        <v>249</v>
      </c>
      <c r="J79" s="11"/>
      <c r="K79" s="750">
        <v>0</v>
      </c>
      <c r="L79" s="750">
        <v>8288256175</v>
      </c>
      <c r="M79" s="11"/>
      <c r="N79" s="11"/>
      <c r="O79" s="11"/>
      <c r="P79" s="11"/>
      <c r="Q79" s="11"/>
      <c r="R79" s="11"/>
      <c r="W79" s="257" t="s">
        <v>442</v>
      </c>
      <c r="X79" s="258">
        <v>0</v>
      </c>
      <c r="Y79" s="258">
        <v>8365055</v>
      </c>
      <c r="Z79" s="9">
        <f t="shared" si="1"/>
        <v>-8365055</v>
      </c>
    </row>
    <row r="80" spans="1:26">
      <c r="A80" s="748">
        <v>44985</v>
      </c>
      <c r="B80" s="748">
        <v>44985</v>
      </c>
      <c r="C80" s="749" t="s">
        <v>480</v>
      </c>
      <c r="D80" s="10"/>
      <c r="E80" s="11"/>
      <c r="F80" s="11"/>
      <c r="G80" s="749" t="s">
        <v>472</v>
      </c>
      <c r="H80" s="749" t="s">
        <v>446</v>
      </c>
      <c r="I80" s="749" t="s">
        <v>251</v>
      </c>
      <c r="J80" s="11"/>
      <c r="K80" s="750">
        <v>0</v>
      </c>
      <c r="L80" s="750">
        <v>2766267052</v>
      </c>
      <c r="M80" s="11"/>
      <c r="N80" s="11"/>
      <c r="O80" s="11"/>
      <c r="P80" s="11"/>
      <c r="Q80" s="11"/>
      <c r="R80" s="11"/>
      <c r="W80" s="257" t="s">
        <v>444</v>
      </c>
      <c r="X80" s="258">
        <v>9281392</v>
      </c>
      <c r="Y80" s="258">
        <v>0</v>
      </c>
      <c r="Z80" s="9">
        <f t="shared" si="1"/>
        <v>9281392</v>
      </c>
    </row>
    <row r="81" spans="1:26">
      <c r="A81" s="748">
        <v>44985</v>
      </c>
      <c r="B81" s="748">
        <v>44985</v>
      </c>
      <c r="C81" s="749" t="s">
        <v>480</v>
      </c>
      <c r="D81" s="10"/>
      <c r="E81" s="11"/>
      <c r="F81" s="11"/>
      <c r="G81" s="749" t="s">
        <v>472</v>
      </c>
      <c r="H81" s="749" t="s">
        <v>446</v>
      </c>
      <c r="I81" s="749" t="s">
        <v>255</v>
      </c>
      <c r="J81" s="11"/>
      <c r="K81" s="750">
        <v>0</v>
      </c>
      <c r="L81" s="750">
        <v>403420269</v>
      </c>
      <c r="M81" s="11"/>
      <c r="N81" s="11"/>
      <c r="O81" s="11"/>
      <c r="P81" s="11"/>
      <c r="Q81" s="11"/>
      <c r="R81" s="11"/>
      <c r="W81" s="257" t="s">
        <v>409</v>
      </c>
      <c r="X81" s="258">
        <v>3000000</v>
      </c>
      <c r="Y81" s="258">
        <v>0</v>
      </c>
      <c r="Z81" s="9">
        <f t="shared" si="1"/>
        <v>3000000</v>
      </c>
    </row>
    <row r="82" spans="1:26">
      <c r="A82" s="748">
        <v>44985</v>
      </c>
      <c r="B82" s="748">
        <v>44985</v>
      </c>
      <c r="C82" s="749" t="s">
        <v>480</v>
      </c>
      <c r="D82" s="10"/>
      <c r="E82" s="11"/>
      <c r="F82" s="11"/>
      <c r="G82" s="749" t="s">
        <v>472</v>
      </c>
      <c r="H82" s="749" t="s">
        <v>446</v>
      </c>
      <c r="I82" s="749" t="s">
        <v>257</v>
      </c>
      <c r="J82" s="11"/>
      <c r="K82" s="750">
        <v>0</v>
      </c>
      <c r="L82" s="750">
        <v>916000661</v>
      </c>
      <c r="M82" s="11"/>
      <c r="N82" s="11"/>
      <c r="O82" s="11"/>
      <c r="P82" s="11"/>
      <c r="Q82" s="11"/>
      <c r="R82" s="11"/>
      <c r="W82" s="257" t="s">
        <v>243</v>
      </c>
      <c r="X82" s="258">
        <v>0</v>
      </c>
      <c r="Y82" s="258">
        <v>300000000</v>
      </c>
      <c r="Z82" s="9">
        <f t="shared" si="1"/>
        <v>-300000000</v>
      </c>
    </row>
    <row r="83" spans="1:26">
      <c r="A83" s="748">
        <v>44985</v>
      </c>
      <c r="B83" s="748">
        <v>44985</v>
      </c>
      <c r="C83" s="749" t="s">
        <v>480</v>
      </c>
      <c r="D83" s="10"/>
      <c r="E83" s="11"/>
      <c r="F83" s="11"/>
      <c r="G83" s="749" t="s">
        <v>472</v>
      </c>
      <c r="H83" s="749" t="s">
        <v>446</v>
      </c>
      <c r="I83" s="749" t="s">
        <v>259</v>
      </c>
      <c r="J83" s="11"/>
      <c r="K83" s="750">
        <v>0</v>
      </c>
      <c r="L83" s="750">
        <v>4357253421</v>
      </c>
      <c r="M83" s="11"/>
      <c r="N83" s="11"/>
      <c r="O83" s="11"/>
      <c r="P83" s="11"/>
      <c r="Q83" s="11"/>
      <c r="R83" s="11"/>
      <c r="W83" s="257" t="s">
        <v>261</v>
      </c>
      <c r="X83" s="258">
        <v>0</v>
      </c>
      <c r="Y83" s="258">
        <v>131507</v>
      </c>
      <c r="Z83" s="9">
        <f t="shared" si="1"/>
        <v>-131507</v>
      </c>
    </row>
    <row r="84" spans="1:26">
      <c r="A84" s="748">
        <v>44985</v>
      </c>
      <c r="B84" s="748">
        <v>44985</v>
      </c>
      <c r="C84" s="749" t="s">
        <v>480</v>
      </c>
      <c r="D84" s="10"/>
      <c r="E84" s="11"/>
      <c r="F84" s="11"/>
      <c r="G84" s="749" t="s">
        <v>473</v>
      </c>
      <c r="H84" s="749" t="s">
        <v>446</v>
      </c>
      <c r="I84" s="749" t="s">
        <v>303</v>
      </c>
      <c r="J84" s="11"/>
      <c r="K84" s="750">
        <v>1866114936</v>
      </c>
      <c r="L84" s="750">
        <v>0</v>
      </c>
      <c r="M84" s="11"/>
      <c r="N84" s="11"/>
      <c r="O84" s="11"/>
      <c r="P84" s="11"/>
      <c r="Q84" s="11"/>
      <c r="R84" s="11"/>
      <c r="W84" s="257" t="s">
        <v>481</v>
      </c>
      <c r="X84" s="258">
        <v>143611072553</v>
      </c>
      <c r="Y84" s="258">
        <v>143611072553</v>
      </c>
      <c r="Z84" s="9"/>
    </row>
    <row r="85" spans="1:26">
      <c r="A85" s="748">
        <v>44985</v>
      </c>
      <c r="B85" s="748">
        <v>44985</v>
      </c>
      <c r="C85" s="749" t="s">
        <v>480</v>
      </c>
      <c r="D85" s="10"/>
      <c r="E85" s="11"/>
      <c r="F85" s="11"/>
      <c r="G85" s="749" t="s">
        <v>474</v>
      </c>
      <c r="H85" s="749" t="s">
        <v>446</v>
      </c>
      <c r="I85" s="749" t="s">
        <v>309</v>
      </c>
      <c r="J85" s="11"/>
      <c r="K85" s="750">
        <v>0</v>
      </c>
      <c r="L85" s="750">
        <v>1448857320</v>
      </c>
      <c r="M85" s="11"/>
      <c r="N85" s="11"/>
      <c r="O85" s="11"/>
      <c r="P85" s="11"/>
      <c r="Q85" s="11"/>
      <c r="R85" s="11"/>
      <c r="W85"/>
      <c r="X85"/>
      <c r="Y85"/>
      <c r="Z85" s="9"/>
    </row>
    <row r="86" spans="1:26">
      <c r="A86" s="748">
        <v>44985</v>
      </c>
      <c r="B86" s="748">
        <v>44985</v>
      </c>
      <c r="C86" s="749" t="s">
        <v>480</v>
      </c>
      <c r="D86" s="10"/>
      <c r="E86" s="11"/>
      <c r="F86" s="11"/>
      <c r="G86" s="749" t="s">
        <v>474</v>
      </c>
      <c r="H86" s="749" t="s">
        <v>446</v>
      </c>
      <c r="I86" s="749" t="s">
        <v>313</v>
      </c>
      <c r="J86" s="11"/>
      <c r="K86" s="750">
        <v>2621880246</v>
      </c>
      <c r="L86" s="750">
        <v>0</v>
      </c>
      <c r="M86" s="11"/>
      <c r="N86" s="11"/>
      <c r="O86" s="11"/>
      <c r="P86" s="11"/>
      <c r="Q86" s="11"/>
      <c r="R86" s="11"/>
      <c r="W86"/>
      <c r="X86"/>
      <c r="Y86"/>
      <c r="Z86" s="9"/>
    </row>
    <row r="87" spans="1:26">
      <c r="A87" s="748">
        <v>44985</v>
      </c>
      <c r="B87" s="748">
        <v>44985</v>
      </c>
      <c r="C87" s="749" t="s">
        <v>480</v>
      </c>
      <c r="D87" s="10"/>
      <c r="E87" s="11"/>
      <c r="F87" s="11"/>
      <c r="G87" s="749" t="s">
        <v>474</v>
      </c>
      <c r="H87" s="749" t="s">
        <v>446</v>
      </c>
      <c r="I87" s="749" t="s">
        <v>317</v>
      </c>
      <c r="J87" s="11"/>
      <c r="K87" s="750">
        <v>4864767953</v>
      </c>
      <c r="L87" s="750">
        <v>0</v>
      </c>
      <c r="M87" s="11"/>
      <c r="N87" s="11"/>
      <c r="O87" s="11"/>
      <c r="P87" s="11"/>
      <c r="Q87" s="11"/>
      <c r="R87" s="11"/>
      <c r="W87"/>
      <c r="X87"/>
      <c r="Y87"/>
      <c r="Z87" s="9"/>
    </row>
    <row r="88" spans="1:26">
      <c r="A88" s="748">
        <v>44985</v>
      </c>
      <c r="B88" s="748">
        <v>44985</v>
      </c>
      <c r="C88" s="749" t="s">
        <v>480</v>
      </c>
      <c r="D88" s="10"/>
      <c r="E88" s="11"/>
      <c r="F88" s="11"/>
      <c r="G88" s="749" t="s">
        <v>474</v>
      </c>
      <c r="H88" s="749" t="s">
        <v>446</v>
      </c>
      <c r="I88" s="749" t="s">
        <v>331</v>
      </c>
      <c r="J88" s="11"/>
      <c r="K88" s="750">
        <v>1630564</v>
      </c>
      <c r="L88" s="750">
        <v>0</v>
      </c>
      <c r="M88" s="11"/>
      <c r="N88" s="11"/>
      <c r="O88" s="11"/>
      <c r="P88" s="11"/>
      <c r="Q88" s="11"/>
      <c r="R88" s="11"/>
      <c r="W88"/>
      <c r="X88"/>
      <c r="Y88"/>
      <c r="Z88" s="9"/>
    </row>
    <row r="89" spans="1:26">
      <c r="A89" s="748">
        <v>44985</v>
      </c>
      <c r="B89" s="748">
        <v>44985</v>
      </c>
      <c r="C89" s="749" t="s">
        <v>480</v>
      </c>
      <c r="D89" s="10"/>
      <c r="E89" s="11"/>
      <c r="F89" s="11"/>
      <c r="G89" s="749" t="s">
        <v>474</v>
      </c>
      <c r="H89" s="749" t="s">
        <v>446</v>
      </c>
      <c r="I89" s="749" t="s">
        <v>307</v>
      </c>
      <c r="J89" s="11"/>
      <c r="K89" s="750">
        <v>10830029203</v>
      </c>
      <c r="L89" s="750">
        <v>0</v>
      </c>
      <c r="M89" s="11"/>
      <c r="N89" s="11"/>
      <c r="O89" s="11"/>
      <c r="P89" s="11"/>
      <c r="Q89" s="11"/>
      <c r="R89" s="11"/>
      <c r="W89"/>
      <c r="X89"/>
      <c r="Y89"/>
      <c r="Z89" s="9"/>
    </row>
    <row r="90" spans="1:26">
      <c r="A90" s="748">
        <v>44985</v>
      </c>
      <c r="B90" s="748">
        <v>44985</v>
      </c>
      <c r="C90" s="749" t="s">
        <v>480</v>
      </c>
      <c r="D90" s="10"/>
      <c r="E90" s="11"/>
      <c r="F90" s="11"/>
      <c r="G90" s="749" t="s">
        <v>475</v>
      </c>
      <c r="H90" s="749" t="s">
        <v>446</v>
      </c>
      <c r="I90" s="749" t="s">
        <v>337</v>
      </c>
      <c r="J90" s="11"/>
      <c r="K90" s="750">
        <v>470338600</v>
      </c>
      <c r="L90" s="750">
        <v>0</v>
      </c>
      <c r="M90" s="11"/>
      <c r="N90" s="11"/>
      <c r="O90" s="11"/>
      <c r="P90" s="11"/>
      <c r="Q90" s="11"/>
      <c r="R90" s="11"/>
      <c r="W90"/>
      <c r="X90"/>
      <c r="Y90"/>
      <c r="Z90" s="9"/>
    </row>
    <row r="91" spans="1:26">
      <c r="A91" s="748">
        <v>44985</v>
      </c>
      <c r="B91" s="748">
        <v>44985</v>
      </c>
      <c r="C91" s="749" t="s">
        <v>480</v>
      </c>
      <c r="D91" s="10"/>
      <c r="E91" s="11"/>
      <c r="F91" s="11"/>
      <c r="G91" s="749" t="s">
        <v>475</v>
      </c>
      <c r="H91" s="749" t="s">
        <v>446</v>
      </c>
      <c r="I91" s="749" t="s">
        <v>339</v>
      </c>
      <c r="J91" s="11"/>
      <c r="K91" s="750">
        <v>40890000</v>
      </c>
      <c r="L91" s="750">
        <v>0</v>
      </c>
      <c r="M91" s="11"/>
      <c r="N91" s="11"/>
      <c r="O91" s="11"/>
      <c r="P91" s="11"/>
      <c r="Q91" s="11"/>
      <c r="R91" s="11"/>
      <c r="W91"/>
      <c r="X91"/>
      <c r="Y91"/>
      <c r="Z91" s="9"/>
    </row>
    <row r="92" spans="1:26">
      <c r="A92" s="748">
        <v>44985</v>
      </c>
      <c r="B92" s="748">
        <v>44985</v>
      </c>
      <c r="C92" s="749" t="s">
        <v>480</v>
      </c>
      <c r="D92" s="10"/>
      <c r="E92" s="11"/>
      <c r="F92" s="11"/>
      <c r="G92" s="749" t="s">
        <v>475</v>
      </c>
      <c r="H92" s="749" t="s">
        <v>446</v>
      </c>
      <c r="I92" s="749" t="s">
        <v>341</v>
      </c>
      <c r="J92" s="11"/>
      <c r="K92" s="750">
        <v>500000</v>
      </c>
      <c r="L92" s="750">
        <v>0</v>
      </c>
      <c r="M92" s="11"/>
      <c r="N92" s="11"/>
      <c r="O92" s="11"/>
      <c r="P92" s="11"/>
      <c r="Q92" s="11"/>
      <c r="R92" s="11"/>
      <c r="W92"/>
      <c r="X92"/>
      <c r="Y92"/>
      <c r="Z92" s="9"/>
    </row>
    <row r="93" spans="1:26">
      <c r="A93" s="748">
        <v>44985</v>
      </c>
      <c r="B93" s="748">
        <v>44985</v>
      </c>
      <c r="C93" s="749" t="s">
        <v>480</v>
      </c>
      <c r="D93" s="10"/>
      <c r="E93" s="11"/>
      <c r="F93" s="11"/>
      <c r="G93" s="749" t="s">
        <v>475</v>
      </c>
      <c r="H93" s="749" t="s">
        <v>446</v>
      </c>
      <c r="I93" s="749" t="s">
        <v>343</v>
      </c>
      <c r="J93" s="11"/>
      <c r="K93" s="750">
        <v>10667362</v>
      </c>
      <c r="L93" s="750">
        <v>0</v>
      </c>
      <c r="M93" s="11"/>
      <c r="N93" s="11"/>
      <c r="O93" s="11"/>
      <c r="P93" s="11"/>
      <c r="Q93" s="11"/>
      <c r="R93" s="11"/>
      <c r="W93"/>
      <c r="X93"/>
      <c r="Y93"/>
      <c r="Z93" s="9"/>
    </row>
    <row r="94" spans="1:26">
      <c r="A94" s="748">
        <v>44985</v>
      </c>
      <c r="B94" s="748">
        <v>44985</v>
      </c>
      <c r="C94" s="749" t="s">
        <v>480</v>
      </c>
      <c r="D94" s="10"/>
      <c r="E94" s="11"/>
      <c r="F94" s="11"/>
      <c r="G94" s="749" t="s">
        <v>475</v>
      </c>
      <c r="H94" s="749" t="s">
        <v>446</v>
      </c>
      <c r="I94" s="749" t="s">
        <v>345</v>
      </c>
      <c r="J94" s="11"/>
      <c r="K94" s="750">
        <v>3870417</v>
      </c>
      <c r="L94" s="750">
        <v>0</v>
      </c>
      <c r="M94" s="11"/>
      <c r="N94" s="11"/>
      <c r="O94" s="11"/>
      <c r="P94" s="11"/>
      <c r="Q94" s="11"/>
      <c r="R94" s="11"/>
      <c r="W94"/>
      <c r="X94"/>
      <c r="Y94"/>
      <c r="Z94" s="9"/>
    </row>
    <row r="95" spans="1:26">
      <c r="A95" s="748">
        <v>44985</v>
      </c>
      <c r="B95" s="748">
        <v>44985</v>
      </c>
      <c r="C95" s="749" t="s">
        <v>480</v>
      </c>
      <c r="D95" s="10"/>
      <c r="E95" s="11"/>
      <c r="F95" s="11"/>
      <c r="G95" s="749" t="s">
        <v>475</v>
      </c>
      <c r="H95" s="749" t="s">
        <v>446</v>
      </c>
      <c r="I95" s="749" t="s">
        <v>347</v>
      </c>
      <c r="J95" s="11"/>
      <c r="K95" s="750">
        <v>97586332</v>
      </c>
      <c r="L95" s="750">
        <v>0</v>
      </c>
      <c r="M95" s="11"/>
      <c r="N95" s="11"/>
      <c r="O95" s="11"/>
      <c r="P95" s="11"/>
      <c r="Q95" s="11"/>
      <c r="R95" s="11"/>
      <c r="W95"/>
      <c r="X95"/>
      <c r="Y95"/>
      <c r="Z95" s="9"/>
    </row>
    <row r="96" spans="1:26">
      <c r="A96" s="748">
        <v>44985</v>
      </c>
      <c r="B96" s="748">
        <v>44985</v>
      </c>
      <c r="C96" s="749" t="s">
        <v>480</v>
      </c>
      <c r="D96" s="10"/>
      <c r="E96" s="11"/>
      <c r="F96" s="11"/>
      <c r="G96" s="749" t="s">
        <v>475</v>
      </c>
      <c r="H96" s="749" t="s">
        <v>446</v>
      </c>
      <c r="I96" s="749" t="s">
        <v>348</v>
      </c>
      <c r="J96" s="11"/>
      <c r="K96" s="750">
        <v>159946688</v>
      </c>
      <c r="L96" s="750">
        <v>0</v>
      </c>
      <c r="M96" s="11"/>
      <c r="N96" s="11"/>
      <c r="O96" s="11"/>
      <c r="P96" s="11"/>
      <c r="Q96" s="11"/>
      <c r="R96" s="11"/>
      <c r="W96"/>
      <c r="X96"/>
      <c r="Y96"/>
      <c r="Z96" s="9"/>
    </row>
    <row r="97" spans="1:26">
      <c r="A97" s="748">
        <v>44985</v>
      </c>
      <c r="B97" s="748">
        <v>44985</v>
      </c>
      <c r="C97" s="749" t="s">
        <v>480</v>
      </c>
      <c r="D97" s="10"/>
      <c r="E97" s="11"/>
      <c r="F97" s="11"/>
      <c r="G97" s="749" t="s">
        <v>475</v>
      </c>
      <c r="H97" s="749" t="s">
        <v>446</v>
      </c>
      <c r="I97" s="749" t="s">
        <v>350</v>
      </c>
      <c r="J97" s="11"/>
      <c r="K97" s="750">
        <v>88051245</v>
      </c>
      <c r="L97" s="750">
        <v>0</v>
      </c>
      <c r="M97" s="11"/>
      <c r="N97" s="11"/>
      <c r="O97" s="11"/>
      <c r="P97" s="11"/>
      <c r="Q97" s="11"/>
      <c r="R97" s="11"/>
      <c r="W97"/>
      <c r="X97"/>
      <c r="Y97"/>
      <c r="Z97" s="9"/>
    </row>
    <row r="98" spans="1:26">
      <c r="A98" s="748">
        <v>44985</v>
      </c>
      <c r="B98" s="748">
        <v>44985</v>
      </c>
      <c r="C98" s="749" t="s">
        <v>480</v>
      </c>
      <c r="D98" s="10"/>
      <c r="E98" s="11"/>
      <c r="F98" s="11"/>
      <c r="G98" s="749" t="s">
        <v>475</v>
      </c>
      <c r="H98" s="749" t="s">
        <v>446</v>
      </c>
      <c r="I98" s="749" t="s">
        <v>354</v>
      </c>
      <c r="J98" s="11"/>
      <c r="K98" s="750">
        <v>5215566</v>
      </c>
      <c r="L98" s="750">
        <v>0</v>
      </c>
      <c r="M98" s="11"/>
      <c r="N98" s="11"/>
      <c r="O98" s="11"/>
      <c r="P98" s="11"/>
      <c r="Q98" s="11"/>
      <c r="R98" s="11"/>
      <c r="W98"/>
      <c r="X98"/>
      <c r="Y98"/>
      <c r="Z98" s="9"/>
    </row>
    <row r="99" spans="1:26">
      <c r="A99" s="748">
        <v>44985</v>
      </c>
      <c r="B99" s="748">
        <v>44985</v>
      </c>
      <c r="C99" s="749" t="s">
        <v>480</v>
      </c>
      <c r="D99" s="10"/>
      <c r="E99" s="11"/>
      <c r="F99" s="11"/>
      <c r="G99" s="749" t="s">
        <v>475</v>
      </c>
      <c r="H99" s="749" t="s">
        <v>446</v>
      </c>
      <c r="I99" s="749" t="s">
        <v>356</v>
      </c>
      <c r="J99" s="11"/>
      <c r="K99" s="750">
        <v>96833</v>
      </c>
      <c r="L99" s="750">
        <v>0</v>
      </c>
      <c r="M99" s="11"/>
      <c r="N99" s="11"/>
      <c r="O99" s="11"/>
      <c r="P99" s="11"/>
      <c r="Q99" s="11"/>
      <c r="R99" s="11"/>
      <c r="W99"/>
      <c r="X99"/>
      <c r="Y99"/>
      <c r="Z99" s="9"/>
    </row>
    <row r="100" spans="1:26">
      <c r="A100" s="748">
        <v>44985</v>
      </c>
      <c r="B100" s="748">
        <v>44985</v>
      </c>
      <c r="C100" s="749" t="s">
        <v>480</v>
      </c>
      <c r="D100" s="10"/>
      <c r="E100" s="11"/>
      <c r="F100" s="11"/>
      <c r="G100" s="749" t="s">
        <v>475</v>
      </c>
      <c r="H100" s="749" t="s">
        <v>446</v>
      </c>
      <c r="I100" s="749" t="s">
        <v>357</v>
      </c>
      <c r="J100" s="11"/>
      <c r="K100" s="750">
        <v>10222500</v>
      </c>
      <c r="L100" s="750">
        <v>0</v>
      </c>
      <c r="M100" s="11"/>
      <c r="N100" s="11"/>
      <c r="O100" s="11"/>
      <c r="P100" s="11"/>
      <c r="Q100" s="11"/>
      <c r="R100" s="11"/>
      <c r="W100"/>
      <c r="X100"/>
      <c r="Y100"/>
      <c r="Z100" s="9"/>
    </row>
    <row r="101" spans="1:26">
      <c r="A101" s="748">
        <v>44985</v>
      </c>
      <c r="B101" s="748">
        <v>44985</v>
      </c>
      <c r="C101" s="749" t="s">
        <v>480</v>
      </c>
      <c r="D101" s="10"/>
      <c r="E101" s="11"/>
      <c r="F101" s="11"/>
      <c r="G101" s="749" t="s">
        <v>475</v>
      </c>
      <c r="H101" s="749" t="s">
        <v>446</v>
      </c>
      <c r="I101" s="749" t="s">
        <v>361</v>
      </c>
      <c r="J101" s="11"/>
      <c r="K101" s="750">
        <v>44683921</v>
      </c>
      <c r="L101" s="750">
        <v>0</v>
      </c>
      <c r="M101" s="11"/>
      <c r="N101" s="11"/>
      <c r="O101" s="11"/>
      <c r="P101" s="11"/>
      <c r="Q101" s="11"/>
      <c r="R101" s="11"/>
      <c r="W101"/>
      <c r="X101"/>
      <c r="Y101"/>
    </row>
    <row r="102" spans="1:26">
      <c r="A102" s="748">
        <v>44985</v>
      </c>
      <c r="B102" s="748">
        <v>44985</v>
      </c>
      <c r="C102" s="749" t="s">
        <v>480</v>
      </c>
      <c r="D102" s="10"/>
      <c r="E102" s="11"/>
      <c r="F102" s="11"/>
      <c r="G102" s="749" t="s">
        <v>475</v>
      </c>
      <c r="H102" s="749" t="s">
        <v>446</v>
      </c>
      <c r="I102" s="749" t="s">
        <v>363</v>
      </c>
      <c r="J102" s="11"/>
      <c r="K102" s="750">
        <v>9592200</v>
      </c>
      <c r="L102" s="750">
        <v>0</v>
      </c>
      <c r="M102" s="11"/>
      <c r="N102" s="11"/>
      <c r="O102" s="11"/>
      <c r="P102" s="11"/>
      <c r="Q102" s="11"/>
      <c r="R102" s="11"/>
    </row>
    <row r="103" spans="1:26">
      <c r="A103" s="748">
        <v>44985</v>
      </c>
      <c r="B103" s="748">
        <v>44985</v>
      </c>
      <c r="C103" s="749" t="s">
        <v>480</v>
      </c>
      <c r="D103" s="10"/>
      <c r="E103" s="11"/>
      <c r="F103" s="11"/>
      <c r="G103" s="749" t="s">
        <v>475</v>
      </c>
      <c r="H103" s="749" t="s">
        <v>446</v>
      </c>
      <c r="I103" s="749" t="s">
        <v>370</v>
      </c>
      <c r="J103" s="11"/>
      <c r="K103" s="750">
        <v>244488927</v>
      </c>
      <c r="L103" s="750">
        <v>0</v>
      </c>
      <c r="M103" s="11"/>
      <c r="N103" s="11"/>
      <c r="O103" s="11"/>
      <c r="P103" s="11"/>
      <c r="Q103" s="11"/>
      <c r="R103" s="11"/>
    </row>
    <row r="104" spans="1:26">
      <c r="A104" s="748">
        <v>44985</v>
      </c>
      <c r="B104" s="748">
        <v>44985</v>
      </c>
      <c r="C104" s="749" t="s">
        <v>480</v>
      </c>
      <c r="D104" s="10"/>
      <c r="E104" s="11"/>
      <c r="F104" s="11"/>
      <c r="G104" s="749" t="s">
        <v>475</v>
      </c>
      <c r="H104" s="749" t="s">
        <v>446</v>
      </c>
      <c r="I104" s="749" t="s">
        <v>372</v>
      </c>
      <c r="J104" s="11"/>
      <c r="K104" s="750">
        <v>2767400</v>
      </c>
      <c r="L104" s="750">
        <v>0</v>
      </c>
      <c r="M104" s="11"/>
      <c r="N104" s="11"/>
      <c r="O104" s="11"/>
      <c r="P104" s="11"/>
      <c r="Q104" s="11"/>
      <c r="R104" s="11"/>
    </row>
    <row r="105" spans="1:26">
      <c r="A105" s="748">
        <v>44985</v>
      </c>
      <c r="B105" s="748">
        <v>44985</v>
      </c>
      <c r="C105" s="749" t="s">
        <v>480</v>
      </c>
      <c r="D105" s="10"/>
      <c r="E105" s="11"/>
      <c r="F105" s="11"/>
      <c r="G105" s="749" t="s">
        <v>476</v>
      </c>
      <c r="H105" s="749" t="s">
        <v>446</v>
      </c>
      <c r="I105" s="749" t="s">
        <v>438</v>
      </c>
      <c r="J105" s="11"/>
      <c r="K105" s="750">
        <v>0</v>
      </c>
      <c r="L105" s="750">
        <v>2171400</v>
      </c>
      <c r="M105" s="11"/>
      <c r="N105" s="11"/>
      <c r="O105" s="11"/>
      <c r="P105" s="11"/>
      <c r="Q105" s="11"/>
      <c r="R105" s="11"/>
    </row>
    <row r="106" spans="1:26">
      <c r="A106" s="748">
        <v>44985</v>
      </c>
      <c r="B106" s="748">
        <v>44985</v>
      </c>
      <c r="C106" s="749" t="s">
        <v>480</v>
      </c>
      <c r="D106" s="10"/>
      <c r="E106" s="11"/>
      <c r="F106" s="11"/>
      <c r="G106" s="749" t="s">
        <v>476</v>
      </c>
      <c r="H106" s="749" t="s">
        <v>446</v>
      </c>
      <c r="I106" s="749" t="s">
        <v>378</v>
      </c>
      <c r="J106" s="11"/>
      <c r="K106" s="750">
        <v>948570727</v>
      </c>
      <c r="L106" s="750">
        <v>0</v>
      </c>
      <c r="M106" s="11"/>
      <c r="N106" s="11"/>
      <c r="O106" s="11"/>
      <c r="P106" s="11"/>
      <c r="Q106" s="11"/>
      <c r="R106" s="11"/>
    </row>
    <row r="107" spans="1:26">
      <c r="A107" s="748">
        <v>44985</v>
      </c>
      <c r="B107" s="748">
        <v>44985</v>
      </c>
      <c r="C107" s="749" t="s">
        <v>480</v>
      </c>
      <c r="D107" s="10"/>
      <c r="E107" s="11"/>
      <c r="F107" s="11"/>
      <c r="G107" s="749" t="s">
        <v>476</v>
      </c>
      <c r="H107" s="749" t="s">
        <v>446</v>
      </c>
      <c r="I107" s="749" t="s">
        <v>379</v>
      </c>
      <c r="J107" s="11"/>
      <c r="K107" s="750">
        <v>70554273</v>
      </c>
      <c r="L107" s="750">
        <v>0</v>
      </c>
      <c r="M107" s="11"/>
      <c r="N107" s="11"/>
      <c r="O107" s="11"/>
      <c r="P107" s="11"/>
      <c r="Q107" s="11"/>
      <c r="R107" s="11"/>
    </row>
    <row r="108" spans="1:26">
      <c r="A108" s="748">
        <v>44985</v>
      </c>
      <c r="B108" s="748">
        <v>44985</v>
      </c>
      <c r="C108" s="749" t="s">
        <v>480</v>
      </c>
      <c r="D108" s="10"/>
      <c r="E108" s="11"/>
      <c r="F108" s="11"/>
      <c r="G108" s="749" t="s">
        <v>476</v>
      </c>
      <c r="H108" s="749" t="s">
        <v>446</v>
      </c>
      <c r="I108" s="749" t="s">
        <v>380</v>
      </c>
      <c r="J108" s="11"/>
      <c r="K108" s="750">
        <v>206294362</v>
      </c>
      <c r="L108" s="750">
        <v>0</v>
      </c>
      <c r="M108" s="11"/>
      <c r="N108" s="11"/>
      <c r="O108" s="11"/>
      <c r="P108" s="11"/>
      <c r="Q108" s="11"/>
      <c r="R108" s="11"/>
    </row>
    <row r="109" spans="1:26">
      <c r="A109" s="748">
        <v>44985</v>
      </c>
      <c r="B109" s="748">
        <v>44985</v>
      </c>
      <c r="C109" s="749" t="s">
        <v>480</v>
      </c>
      <c r="D109" s="10"/>
      <c r="E109" s="11"/>
      <c r="F109" s="11"/>
      <c r="G109" s="749" t="s">
        <v>476</v>
      </c>
      <c r="H109" s="749" t="s">
        <v>446</v>
      </c>
      <c r="I109" s="749" t="s">
        <v>381</v>
      </c>
      <c r="J109" s="11"/>
      <c r="K109" s="750">
        <v>194759091</v>
      </c>
      <c r="L109" s="750">
        <v>0</v>
      </c>
      <c r="M109" s="11"/>
      <c r="N109" s="11"/>
      <c r="O109" s="11"/>
      <c r="P109" s="11"/>
      <c r="Q109" s="11"/>
      <c r="R109" s="11"/>
    </row>
    <row r="110" spans="1:26">
      <c r="A110" s="748">
        <v>44985</v>
      </c>
      <c r="B110" s="748">
        <v>44985</v>
      </c>
      <c r="C110" s="749" t="s">
        <v>480</v>
      </c>
      <c r="D110" s="10"/>
      <c r="E110" s="11"/>
      <c r="F110" s="11"/>
      <c r="G110" s="749" t="s">
        <v>476</v>
      </c>
      <c r="H110" s="749" t="s">
        <v>446</v>
      </c>
      <c r="I110" s="749" t="s">
        <v>383</v>
      </c>
      <c r="J110" s="11"/>
      <c r="K110" s="750">
        <v>32639206</v>
      </c>
      <c r="L110" s="750">
        <v>0</v>
      </c>
      <c r="M110" s="11"/>
      <c r="N110" s="11"/>
      <c r="O110" s="11"/>
      <c r="P110" s="11"/>
      <c r="Q110" s="11"/>
      <c r="R110" s="11"/>
    </row>
    <row r="111" spans="1:26">
      <c r="A111" s="748">
        <v>44985</v>
      </c>
      <c r="B111" s="748">
        <v>44985</v>
      </c>
      <c r="C111" s="749" t="s">
        <v>480</v>
      </c>
      <c r="D111" s="10"/>
      <c r="E111" s="11"/>
      <c r="F111" s="11"/>
      <c r="G111" s="749" t="s">
        <v>476</v>
      </c>
      <c r="H111" s="749" t="s">
        <v>446</v>
      </c>
      <c r="I111" s="749" t="s">
        <v>387</v>
      </c>
      <c r="J111" s="11"/>
      <c r="K111" s="750">
        <v>142255919</v>
      </c>
      <c r="L111" s="750">
        <v>0</v>
      </c>
      <c r="M111" s="11"/>
      <c r="N111" s="11"/>
      <c r="O111" s="11"/>
      <c r="P111" s="11"/>
      <c r="Q111" s="11"/>
      <c r="R111" s="11"/>
    </row>
    <row r="112" spans="1:26">
      <c r="A112" s="748">
        <v>44985</v>
      </c>
      <c r="B112" s="748">
        <v>44985</v>
      </c>
      <c r="C112" s="749" t="s">
        <v>480</v>
      </c>
      <c r="D112" s="10"/>
      <c r="E112" s="11"/>
      <c r="F112" s="11"/>
      <c r="G112" s="749" t="s">
        <v>476</v>
      </c>
      <c r="H112" s="749" t="s">
        <v>446</v>
      </c>
      <c r="I112" s="749" t="s">
        <v>389</v>
      </c>
      <c r="J112" s="11"/>
      <c r="K112" s="750">
        <v>17350824</v>
      </c>
      <c r="L112" s="750">
        <v>0</v>
      </c>
      <c r="M112" s="11"/>
      <c r="N112" s="11"/>
      <c r="O112" s="11"/>
      <c r="P112" s="11"/>
      <c r="Q112" s="11"/>
      <c r="R112" s="11"/>
    </row>
    <row r="113" spans="1:18">
      <c r="A113" s="748">
        <v>44985</v>
      </c>
      <c r="B113" s="748">
        <v>44985</v>
      </c>
      <c r="C113" s="749" t="s">
        <v>480</v>
      </c>
      <c r="D113" s="10"/>
      <c r="E113" s="11"/>
      <c r="F113" s="11"/>
      <c r="G113" s="749" t="s">
        <v>476</v>
      </c>
      <c r="H113" s="749" t="s">
        <v>446</v>
      </c>
      <c r="I113" s="749" t="s">
        <v>391</v>
      </c>
      <c r="J113" s="11"/>
      <c r="K113" s="750">
        <v>11431799</v>
      </c>
      <c r="L113" s="750">
        <v>0</v>
      </c>
      <c r="M113" s="11"/>
      <c r="N113" s="11"/>
      <c r="O113" s="11"/>
      <c r="P113" s="11"/>
      <c r="Q113" s="11"/>
      <c r="R113" s="11"/>
    </row>
    <row r="114" spans="1:18">
      <c r="A114" s="748">
        <v>44985</v>
      </c>
      <c r="B114" s="748">
        <v>44985</v>
      </c>
      <c r="C114" s="749" t="s">
        <v>480</v>
      </c>
      <c r="D114" s="10"/>
      <c r="E114" s="11"/>
      <c r="F114" s="11"/>
      <c r="G114" s="749" t="s">
        <v>476</v>
      </c>
      <c r="H114" s="749" t="s">
        <v>446</v>
      </c>
      <c r="I114" s="749" t="s">
        <v>393</v>
      </c>
      <c r="J114" s="11"/>
      <c r="K114" s="750">
        <v>4565411</v>
      </c>
      <c r="L114" s="750">
        <v>0</v>
      </c>
      <c r="M114" s="11"/>
      <c r="N114" s="11"/>
      <c r="O114" s="11"/>
      <c r="P114" s="11"/>
      <c r="Q114" s="11"/>
      <c r="R114" s="11"/>
    </row>
    <row r="115" spans="1:18">
      <c r="A115" s="748">
        <v>44985</v>
      </c>
      <c r="B115" s="748">
        <v>44985</v>
      </c>
      <c r="C115" s="749" t="s">
        <v>480</v>
      </c>
      <c r="D115" s="10"/>
      <c r="E115" s="11"/>
      <c r="F115" s="11"/>
      <c r="G115" s="749" t="s">
        <v>476</v>
      </c>
      <c r="H115" s="749" t="s">
        <v>446</v>
      </c>
      <c r="I115" s="749" t="s">
        <v>395</v>
      </c>
      <c r="J115" s="11"/>
      <c r="K115" s="750">
        <v>17524182</v>
      </c>
      <c r="L115" s="750">
        <v>0</v>
      </c>
      <c r="M115" s="11"/>
      <c r="N115" s="11"/>
      <c r="O115" s="11"/>
      <c r="P115" s="11"/>
      <c r="Q115" s="11"/>
      <c r="R115" s="11"/>
    </row>
    <row r="116" spans="1:18">
      <c r="A116" s="748">
        <v>44985</v>
      </c>
      <c r="B116" s="748">
        <v>44985</v>
      </c>
      <c r="C116" s="749" t="s">
        <v>480</v>
      </c>
      <c r="D116" s="10"/>
      <c r="E116" s="11"/>
      <c r="F116" s="11"/>
      <c r="G116" s="749" t="s">
        <v>476</v>
      </c>
      <c r="H116" s="749" t="s">
        <v>446</v>
      </c>
      <c r="I116" s="749" t="s">
        <v>397</v>
      </c>
      <c r="J116" s="11"/>
      <c r="K116" s="750">
        <v>24093819</v>
      </c>
      <c r="L116" s="750">
        <v>0</v>
      </c>
      <c r="M116" s="11"/>
      <c r="N116" s="11"/>
      <c r="O116" s="11"/>
      <c r="P116" s="11"/>
      <c r="Q116" s="11"/>
      <c r="R116" s="11"/>
    </row>
    <row r="117" spans="1:18">
      <c r="A117" s="748">
        <v>44985</v>
      </c>
      <c r="B117" s="748">
        <v>44985</v>
      </c>
      <c r="C117" s="749" t="s">
        <v>480</v>
      </c>
      <c r="D117" s="10"/>
      <c r="E117" s="11"/>
      <c r="F117" s="11"/>
      <c r="G117" s="749" t="s">
        <v>476</v>
      </c>
      <c r="H117" s="749" t="s">
        <v>446</v>
      </c>
      <c r="I117" s="749" t="s">
        <v>398</v>
      </c>
      <c r="J117" s="11"/>
      <c r="K117" s="750">
        <v>11260123</v>
      </c>
      <c r="L117" s="750">
        <v>0</v>
      </c>
      <c r="M117" s="11"/>
      <c r="N117" s="11"/>
      <c r="O117" s="11"/>
      <c r="P117" s="11"/>
      <c r="Q117" s="11"/>
      <c r="R117" s="11"/>
    </row>
    <row r="118" spans="1:18">
      <c r="A118" s="748">
        <v>44985</v>
      </c>
      <c r="B118" s="748">
        <v>44985</v>
      </c>
      <c r="C118" s="749" t="s">
        <v>480</v>
      </c>
      <c r="D118" s="10"/>
      <c r="E118" s="11"/>
      <c r="F118" s="11"/>
      <c r="G118" s="749" t="s">
        <v>476</v>
      </c>
      <c r="H118" s="749" t="s">
        <v>446</v>
      </c>
      <c r="I118" s="749" t="s">
        <v>403</v>
      </c>
      <c r="J118" s="11"/>
      <c r="K118" s="750">
        <v>3000000</v>
      </c>
      <c r="L118" s="750">
        <v>0</v>
      </c>
      <c r="M118" s="11"/>
      <c r="N118" s="11"/>
      <c r="O118" s="11"/>
      <c r="P118" s="11"/>
      <c r="Q118" s="11"/>
      <c r="R118" s="11"/>
    </row>
    <row r="119" spans="1:18">
      <c r="A119" s="748">
        <v>44985</v>
      </c>
      <c r="B119" s="748">
        <v>44985</v>
      </c>
      <c r="C119" s="749" t="s">
        <v>480</v>
      </c>
      <c r="D119" s="10"/>
      <c r="E119" s="11"/>
      <c r="F119" s="11"/>
      <c r="G119" s="749" t="s">
        <v>476</v>
      </c>
      <c r="H119" s="749" t="s">
        <v>446</v>
      </c>
      <c r="I119" s="749" t="s">
        <v>405</v>
      </c>
      <c r="J119" s="11"/>
      <c r="K119" s="750">
        <v>12000000</v>
      </c>
      <c r="L119" s="750">
        <v>0</v>
      </c>
      <c r="M119" s="11"/>
      <c r="N119" s="11"/>
      <c r="O119" s="11"/>
      <c r="P119" s="11"/>
      <c r="Q119" s="11"/>
      <c r="R119" s="11"/>
    </row>
    <row r="120" spans="1:18">
      <c r="A120" s="748">
        <v>44985</v>
      </c>
      <c r="B120" s="748">
        <v>44985</v>
      </c>
      <c r="C120" s="749" t="s">
        <v>480</v>
      </c>
      <c r="D120" s="10"/>
      <c r="E120" s="11"/>
      <c r="F120" s="11"/>
      <c r="G120" s="749" t="s">
        <v>476</v>
      </c>
      <c r="H120" s="749" t="s">
        <v>446</v>
      </c>
      <c r="I120" s="749" t="s">
        <v>407</v>
      </c>
      <c r="J120" s="11"/>
      <c r="K120" s="750">
        <v>51075758</v>
      </c>
      <c r="L120" s="750">
        <v>0</v>
      </c>
      <c r="M120" s="11"/>
      <c r="N120" s="11"/>
      <c r="O120" s="11"/>
      <c r="P120" s="11"/>
      <c r="Q120" s="11"/>
      <c r="R120" s="11"/>
    </row>
    <row r="121" spans="1:18">
      <c r="A121" s="748">
        <v>44985</v>
      </c>
      <c r="B121" s="748">
        <v>44985</v>
      </c>
      <c r="C121" s="749" t="s">
        <v>480</v>
      </c>
      <c r="D121" s="10"/>
      <c r="E121" s="11"/>
      <c r="F121" s="11"/>
      <c r="G121" s="749" t="s">
        <v>476</v>
      </c>
      <c r="H121" s="749" t="s">
        <v>446</v>
      </c>
      <c r="I121" s="749" t="s">
        <v>411</v>
      </c>
      <c r="J121" s="11"/>
      <c r="K121" s="750">
        <v>700000</v>
      </c>
      <c r="L121" s="750">
        <v>0</v>
      </c>
      <c r="M121" s="11"/>
      <c r="N121" s="11"/>
      <c r="O121" s="11"/>
      <c r="P121" s="11"/>
      <c r="Q121" s="11"/>
      <c r="R121" s="11"/>
    </row>
    <row r="122" spans="1:18">
      <c r="A122" s="748">
        <v>44985</v>
      </c>
      <c r="B122" s="748">
        <v>44985</v>
      </c>
      <c r="C122" s="749" t="s">
        <v>480</v>
      </c>
      <c r="D122" s="10"/>
      <c r="E122" s="11"/>
      <c r="F122" s="11"/>
      <c r="G122" s="749" t="s">
        <v>476</v>
      </c>
      <c r="H122" s="749" t="s">
        <v>446</v>
      </c>
      <c r="I122" s="749" t="s">
        <v>413</v>
      </c>
      <c r="J122" s="11"/>
      <c r="K122" s="750">
        <v>18977388</v>
      </c>
      <c r="L122" s="750">
        <v>0</v>
      </c>
      <c r="M122" s="11"/>
      <c r="N122" s="11"/>
      <c r="O122" s="11"/>
      <c r="P122" s="11"/>
      <c r="Q122" s="11"/>
      <c r="R122" s="11"/>
    </row>
    <row r="123" spans="1:18">
      <c r="A123" s="748">
        <v>44985</v>
      </c>
      <c r="B123" s="748">
        <v>44985</v>
      </c>
      <c r="C123" s="749" t="s">
        <v>480</v>
      </c>
      <c r="D123" s="10"/>
      <c r="E123" s="11"/>
      <c r="F123" s="11"/>
      <c r="G123" s="749" t="s">
        <v>476</v>
      </c>
      <c r="H123" s="749" t="s">
        <v>446</v>
      </c>
      <c r="I123" s="749" t="s">
        <v>415</v>
      </c>
      <c r="J123" s="11"/>
      <c r="K123" s="750">
        <v>6736364</v>
      </c>
      <c r="L123" s="750">
        <v>0</v>
      </c>
      <c r="M123" s="11"/>
      <c r="N123" s="11"/>
      <c r="O123" s="11"/>
      <c r="P123" s="11"/>
      <c r="Q123" s="11"/>
      <c r="R123" s="11"/>
    </row>
    <row r="124" spans="1:18">
      <c r="A124" s="748">
        <v>44985</v>
      </c>
      <c r="B124" s="748">
        <v>44985</v>
      </c>
      <c r="C124" s="749" t="s">
        <v>480</v>
      </c>
      <c r="D124" s="10"/>
      <c r="E124" s="11"/>
      <c r="F124" s="11"/>
      <c r="G124" s="749" t="s">
        <v>476</v>
      </c>
      <c r="H124" s="749" t="s">
        <v>446</v>
      </c>
      <c r="I124" s="749" t="s">
        <v>419</v>
      </c>
      <c r="J124" s="11"/>
      <c r="K124" s="750">
        <v>10166666</v>
      </c>
      <c r="L124" s="750">
        <v>0</v>
      </c>
      <c r="M124" s="11"/>
      <c r="N124" s="11"/>
      <c r="O124" s="11"/>
      <c r="P124" s="11"/>
      <c r="Q124" s="11"/>
      <c r="R124" s="11"/>
    </row>
    <row r="125" spans="1:18">
      <c r="A125" s="748">
        <v>44985</v>
      </c>
      <c r="B125" s="748">
        <v>44985</v>
      </c>
      <c r="C125" s="749" t="s">
        <v>480</v>
      </c>
      <c r="D125" s="10"/>
      <c r="E125" s="11"/>
      <c r="F125" s="11"/>
      <c r="G125" s="749" t="s">
        <v>476</v>
      </c>
      <c r="H125" s="749" t="s">
        <v>446</v>
      </c>
      <c r="I125" s="749" t="s">
        <v>421</v>
      </c>
      <c r="J125" s="11"/>
      <c r="K125" s="750">
        <v>11389582</v>
      </c>
      <c r="L125" s="750">
        <v>0</v>
      </c>
      <c r="M125" s="11"/>
      <c r="N125" s="11"/>
      <c r="O125" s="11"/>
      <c r="P125" s="11"/>
      <c r="Q125" s="11"/>
      <c r="R125" s="11"/>
    </row>
    <row r="126" spans="1:18">
      <c r="A126" s="748">
        <v>44985</v>
      </c>
      <c r="B126" s="748">
        <v>44985</v>
      </c>
      <c r="C126" s="749" t="s">
        <v>480</v>
      </c>
      <c r="D126" s="10"/>
      <c r="E126" s="11"/>
      <c r="F126" s="11"/>
      <c r="G126" s="749" t="s">
        <v>476</v>
      </c>
      <c r="H126" s="749" t="s">
        <v>446</v>
      </c>
      <c r="I126" s="749" t="s">
        <v>422</v>
      </c>
      <c r="J126" s="11"/>
      <c r="K126" s="750">
        <v>8732647</v>
      </c>
      <c r="L126" s="750">
        <v>0</v>
      </c>
      <c r="M126" s="11"/>
      <c r="N126" s="11"/>
      <c r="O126" s="11"/>
      <c r="P126" s="11"/>
      <c r="Q126" s="11"/>
      <c r="R126" s="11"/>
    </row>
    <row r="127" spans="1:18">
      <c r="A127" s="748">
        <v>44985</v>
      </c>
      <c r="B127" s="748">
        <v>44985</v>
      </c>
      <c r="C127" s="749" t="s">
        <v>480</v>
      </c>
      <c r="D127" s="10"/>
      <c r="E127" s="11"/>
      <c r="F127" s="11"/>
      <c r="G127" s="749" t="s">
        <v>476</v>
      </c>
      <c r="H127" s="749" t="s">
        <v>446</v>
      </c>
      <c r="I127" s="749" t="s">
        <v>424</v>
      </c>
      <c r="J127" s="11"/>
      <c r="K127" s="750">
        <v>122551684</v>
      </c>
      <c r="L127" s="750">
        <v>0</v>
      </c>
      <c r="M127" s="11"/>
      <c r="N127" s="11"/>
      <c r="O127" s="11"/>
      <c r="P127" s="11"/>
      <c r="Q127" s="11"/>
      <c r="R127" s="11"/>
    </row>
    <row r="128" spans="1:18">
      <c r="A128" s="748">
        <v>44985</v>
      </c>
      <c r="B128" s="748">
        <v>44985</v>
      </c>
      <c r="C128" s="749" t="s">
        <v>480</v>
      </c>
      <c r="D128" s="10"/>
      <c r="E128" s="11"/>
      <c r="F128" s="11"/>
      <c r="G128" s="749" t="s">
        <v>476</v>
      </c>
      <c r="H128" s="749" t="s">
        <v>446</v>
      </c>
      <c r="I128" s="749" t="s">
        <v>425</v>
      </c>
      <c r="J128" s="11"/>
      <c r="K128" s="750">
        <v>20888788</v>
      </c>
      <c r="L128" s="750">
        <v>0</v>
      </c>
      <c r="M128" s="11"/>
      <c r="N128" s="11"/>
      <c r="O128" s="11"/>
      <c r="P128" s="11"/>
      <c r="Q128" s="11"/>
      <c r="R128" s="11"/>
    </row>
    <row r="129" spans="1:18">
      <c r="A129" s="748">
        <v>44985</v>
      </c>
      <c r="B129" s="748">
        <v>44985</v>
      </c>
      <c r="C129" s="749" t="s">
        <v>480</v>
      </c>
      <c r="D129" s="10"/>
      <c r="E129" s="11"/>
      <c r="F129" s="11"/>
      <c r="G129" s="749" t="s">
        <v>476</v>
      </c>
      <c r="H129" s="749" t="s">
        <v>446</v>
      </c>
      <c r="I129" s="749" t="s">
        <v>427</v>
      </c>
      <c r="J129" s="11"/>
      <c r="K129" s="750">
        <v>11010828</v>
      </c>
      <c r="L129" s="750">
        <v>0</v>
      </c>
      <c r="M129" s="11"/>
      <c r="N129" s="11"/>
      <c r="O129" s="11"/>
      <c r="P129" s="11"/>
      <c r="Q129" s="11"/>
      <c r="R129" s="11"/>
    </row>
    <row r="130" spans="1:18">
      <c r="A130" s="748">
        <v>44985</v>
      </c>
      <c r="B130" s="748">
        <v>44985</v>
      </c>
      <c r="C130" s="749" t="s">
        <v>480</v>
      </c>
      <c r="D130" s="10"/>
      <c r="E130" s="11"/>
      <c r="F130" s="11"/>
      <c r="G130" s="749" t="s">
        <v>476</v>
      </c>
      <c r="H130" s="749" t="s">
        <v>446</v>
      </c>
      <c r="I130" s="749" t="s">
        <v>431</v>
      </c>
      <c r="J130" s="11"/>
      <c r="K130" s="750">
        <v>2286906</v>
      </c>
      <c r="L130" s="750">
        <v>0</v>
      </c>
      <c r="M130" s="11"/>
      <c r="N130" s="11"/>
      <c r="O130" s="11"/>
      <c r="P130" s="11"/>
      <c r="Q130" s="11"/>
      <c r="R130" s="11"/>
    </row>
    <row r="131" spans="1:18">
      <c r="A131" s="748">
        <v>44985</v>
      </c>
      <c r="B131" s="748">
        <v>44985</v>
      </c>
      <c r="C131" s="749" t="s">
        <v>480</v>
      </c>
      <c r="D131" s="10"/>
      <c r="E131" s="11"/>
      <c r="F131" s="11"/>
      <c r="G131" s="749" t="s">
        <v>476</v>
      </c>
      <c r="H131" s="749" t="s">
        <v>446</v>
      </c>
      <c r="I131" s="749" t="s">
        <v>432</v>
      </c>
      <c r="J131" s="11"/>
      <c r="K131" s="750">
        <v>241018000</v>
      </c>
      <c r="L131" s="750">
        <v>0</v>
      </c>
      <c r="M131" s="11"/>
      <c r="N131" s="11"/>
      <c r="O131" s="11"/>
      <c r="P131" s="11"/>
      <c r="Q131" s="11"/>
      <c r="R131" s="11"/>
    </row>
    <row r="132" spans="1:18">
      <c r="A132" s="748">
        <v>44985</v>
      </c>
      <c r="B132" s="748">
        <v>44985</v>
      </c>
      <c r="C132" s="749" t="s">
        <v>480</v>
      </c>
      <c r="D132" s="10"/>
      <c r="E132" s="11"/>
      <c r="F132" s="11"/>
      <c r="G132" s="749" t="s">
        <v>476</v>
      </c>
      <c r="H132" s="749" t="s">
        <v>446</v>
      </c>
      <c r="I132" s="749" t="s">
        <v>435</v>
      </c>
      <c r="J132" s="11"/>
      <c r="K132" s="750">
        <v>10126542</v>
      </c>
      <c r="L132" s="750">
        <v>0</v>
      </c>
      <c r="M132" s="11"/>
      <c r="N132" s="11"/>
      <c r="O132" s="11"/>
      <c r="P132" s="11"/>
      <c r="Q132" s="11"/>
      <c r="R132" s="11"/>
    </row>
    <row r="133" spans="1:18">
      <c r="A133" s="748">
        <v>44985</v>
      </c>
      <c r="B133" s="748">
        <v>44985</v>
      </c>
      <c r="C133" s="749" t="s">
        <v>480</v>
      </c>
      <c r="D133" s="10"/>
      <c r="E133" s="11"/>
      <c r="F133" s="11"/>
      <c r="G133" s="749" t="s">
        <v>477</v>
      </c>
      <c r="H133" s="749" t="s">
        <v>446</v>
      </c>
      <c r="I133" s="749" t="s">
        <v>442</v>
      </c>
      <c r="J133" s="11"/>
      <c r="K133" s="750">
        <v>0</v>
      </c>
      <c r="L133" s="750">
        <v>1265000</v>
      </c>
      <c r="M133" s="11"/>
      <c r="N133" s="11"/>
      <c r="O133" s="11"/>
      <c r="P133" s="11"/>
      <c r="Q133" s="11"/>
      <c r="R133" s="11"/>
    </row>
    <row r="134" spans="1:18">
      <c r="A134" s="748">
        <v>44985</v>
      </c>
      <c r="B134" s="748">
        <v>44985</v>
      </c>
      <c r="C134" s="749" t="s">
        <v>480</v>
      </c>
      <c r="D134" s="10"/>
      <c r="E134" s="11"/>
      <c r="F134" s="11"/>
      <c r="G134" s="749" t="s">
        <v>478</v>
      </c>
      <c r="H134" s="749" t="s">
        <v>446</v>
      </c>
      <c r="I134" s="749" t="s">
        <v>444</v>
      </c>
      <c r="J134" s="11"/>
      <c r="K134" s="750">
        <v>9900</v>
      </c>
      <c r="L134" s="750">
        <v>0</v>
      </c>
      <c r="M134" s="11"/>
      <c r="N134" s="11"/>
      <c r="O134" s="11"/>
      <c r="P134" s="11"/>
      <c r="Q134" s="11"/>
      <c r="R134" s="11"/>
    </row>
    <row r="135" spans="1:18">
      <c r="A135" s="748">
        <v>44985</v>
      </c>
      <c r="B135" s="748">
        <v>44985</v>
      </c>
      <c r="C135" s="749" t="s">
        <v>480</v>
      </c>
      <c r="D135" s="10"/>
      <c r="E135" s="11"/>
      <c r="F135" s="11"/>
      <c r="G135" s="749" t="s">
        <v>479</v>
      </c>
      <c r="H135" s="749" t="s">
        <v>446</v>
      </c>
      <c r="I135" s="749" t="s">
        <v>217</v>
      </c>
      <c r="J135" s="11"/>
      <c r="K135" s="750">
        <v>0</v>
      </c>
      <c r="L135" s="750">
        <v>4608732706</v>
      </c>
      <c r="M135" s="11"/>
      <c r="N135" s="11"/>
      <c r="O135" s="11"/>
      <c r="P135" s="11"/>
      <c r="Q135" s="11"/>
      <c r="R135" s="11"/>
    </row>
    <row r="136" spans="1:18">
      <c r="A136" s="748">
        <v>45016</v>
      </c>
      <c r="B136" s="748">
        <v>45016</v>
      </c>
      <c r="C136" s="749" t="s">
        <v>482</v>
      </c>
      <c r="D136" s="10"/>
      <c r="E136" s="11"/>
      <c r="F136" s="11"/>
      <c r="G136" s="749" t="s">
        <v>468</v>
      </c>
      <c r="H136" s="749" t="s">
        <v>446</v>
      </c>
      <c r="I136" s="749" t="s">
        <v>223</v>
      </c>
      <c r="J136" s="11"/>
      <c r="K136" s="750">
        <v>0</v>
      </c>
      <c r="L136" s="750">
        <v>14712621</v>
      </c>
      <c r="M136" s="11"/>
      <c r="N136" s="11"/>
      <c r="O136" s="11"/>
      <c r="P136" s="11"/>
      <c r="Q136" s="11"/>
      <c r="R136" s="11"/>
    </row>
    <row r="137" spans="1:18">
      <c r="A137" s="748">
        <v>45016</v>
      </c>
      <c r="B137" s="748">
        <v>45016</v>
      </c>
      <c r="C137" s="749" t="s">
        <v>482</v>
      </c>
      <c r="D137" s="10"/>
      <c r="E137" s="11"/>
      <c r="F137" s="11"/>
      <c r="G137" s="749" t="s">
        <v>468</v>
      </c>
      <c r="H137" s="749" t="s">
        <v>446</v>
      </c>
      <c r="I137" s="749" t="s">
        <v>225</v>
      </c>
      <c r="J137" s="11"/>
      <c r="K137" s="750">
        <v>0</v>
      </c>
      <c r="L137" s="750">
        <v>13806000</v>
      </c>
      <c r="M137" s="11"/>
      <c r="N137" s="11"/>
      <c r="O137" s="11"/>
      <c r="P137" s="11"/>
      <c r="Q137" s="11"/>
      <c r="R137" s="11"/>
    </row>
    <row r="138" spans="1:18">
      <c r="A138" s="748">
        <v>45016</v>
      </c>
      <c r="B138" s="748">
        <v>45016</v>
      </c>
      <c r="C138" s="749" t="s">
        <v>482</v>
      </c>
      <c r="D138" s="10"/>
      <c r="E138" s="11"/>
      <c r="F138" s="11"/>
      <c r="G138" s="749" t="s">
        <v>468</v>
      </c>
      <c r="H138" s="749" t="s">
        <v>446</v>
      </c>
      <c r="I138" s="749" t="s">
        <v>227</v>
      </c>
      <c r="J138" s="11"/>
      <c r="K138" s="750">
        <v>0</v>
      </c>
      <c r="L138" s="750">
        <v>39087000</v>
      </c>
      <c r="M138" s="11"/>
      <c r="N138" s="11"/>
      <c r="O138" s="11"/>
      <c r="P138" s="11"/>
      <c r="Q138" s="11"/>
      <c r="R138" s="11"/>
    </row>
    <row r="139" spans="1:18">
      <c r="A139" s="748">
        <v>45016</v>
      </c>
      <c r="B139" s="748">
        <v>45016</v>
      </c>
      <c r="C139" s="749" t="s">
        <v>482</v>
      </c>
      <c r="D139" s="10"/>
      <c r="E139" s="11"/>
      <c r="F139" s="11"/>
      <c r="G139" s="749" t="s">
        <v>468</v>
      </c>
      <c r="H139" s="749" t="s">
        <v>446</v>
      </c>
      <c r="I139" s="749" t="s">
        <v>229</v>
      </c>
      <c r="J139" s="11"/>
      <c r="K139" s="750">
        <v>0</v>
      </c>
      <c r="L139" s="750">
        <v>161884280</v>
      </c>
      <c r="M139" s="11"/>
      <c r="N139" s="11"/>
      <c r="O139" s="11"/>
      <c r="P139" s="11"/>
      <c r="Q139" s="11"/>
      <c r="R139" s="11"/>
    </row>
    <row r="140" spans="1:18">
      <c r="A140" s="748">
        <v>45016</v>
      </c>
      <c r="B140" s="748">
        <v>45016</v>
      </c>
      <c r="C140" s="749" t="s">
        <v>482</v>
      </c>
      <c r="D140" s="10"/>
      <c r="E140" s="11"/>
      <c r="F140" s="11"/>
      <c r="G140" s="749" t="s">
        <v>468</v>
      </c>
      <c r="H140" s="749" t="s">
        <v>446</v>
      </c>
      <c r="I140" s="749" t="s">
        <v>231</v>
      </c>
      <c r="J140" s="11"/>
      <c r="K140" s="750">
        <v>0</v>
      </c>
      <c r="L140" s="750">
        <v>417955622</v>
      </c>
      <c r="M140" s="11"/>
      <c r="N140" s="11"/>
      <c r="O140" s="11"/>
      <c r="P140" s="11"/>
      <c r="Q140" s="11"/>
      <c r="R140" s="11"/>
    </row>
    <row r="141" spans="1:18">
      <c r="A141" s="748">
        <v>45016</v>
      </c>
      <c r="B141" s="748">
        <v>45016</v>
      </c>
      <c r="C141" s="749" t="s">
        <v>482</v>
      </c>
      <c r="D141" s="10"/>
      <c r="E141" s="11"/>
      <c r="F141" s="11"/>
      <c r="G141" s="749" t="s">
        <v>468</v>
      </c>
      <c r="H141" s="749" t="s">
        <v>446</v>
      </c>
      <c r="I141" s="749" t="s">
        <v>233</v>
      </c>
      <c r="J141" s="11"/>
      <c r="K141" s="750">
        <v>0</v>
      </c>
      <c r="L141" s="750">
        <v>1375000</v>
      </c>
      <c r="M141" s="11"/>
      <c r="N141" s="11"/>
      <c r="O141" s="11"/>
      <c r="P141" s="11"/>
      <c r="Q141" s="11"/>
      <c r="R141" s="11"/>
    </row>
    <row r="142" spans="1:18">
      <c r="A142" s="748">
        <v>45016</v>
      </c>
      <c r="B142" s="748">
        <v>45016</v>
      </c>
      <c r="C142" s="749" t="s">
        <v>482</v>
      </c>
      <c r="D142" s="10"/>
      <c r="E142" s="11"/>
      <c r="F142" s="11"/>
      <c r="G142" s="749" t="s">
        <v>468</v>
      </c>
      <c r="H142" s="749" t="s">
        <v>446</v>
      </c>
      <c r="I142" s="749" t="s">
        <v>235</v>
      </c>
      <c r="J142" s="11"/>
      <c r="K142" s="750">
        <v>0</v>
      </c>
      <c r="L142" s="750">
        <v>25824845</v>
      </c>
      <c r="M142" s="11"/>
      <c r="N142" s="11"/>
      <c r="O142" s="11"/>
      <c r="P142" s="11"/>
      <c r="Q142" s="11"/>
      <c r="R142" s="11"/>
    </row>
    <row r="143" spans="1:18">
      <c r="A143" s="748">
        <v>45016</v>
      </c>
      <c r="B143" s="748">
        <v>45016</v>
      </c>
      <c r="C143" s="749" t="s">
        <v>482</v>
      </c>
      <c r="D143" s="10"/>
      <c r="E143" s="11"/>
      <c r="F143" s="11"/>
      <c r="G143" s="749" t="s">
        <v>468</v>
      </c>
      <c r="H143" s="749" t="s">
        <v>446</v>
      </c>
      <c r="I143" s="749" t="s">
        <v>237</v>
      </c>
      <c r="J143" s="11"/>
      <c r="K143" s="750">
        <v>0</v>
      </c>
      <c r="L143" s="750">
        <v>162748</v>
      </c>
      <c r="M143" s="11"/>
      <c r="N143" s="11"/>
      <c r="O143" s="11"/>
      <c r="P143" s="11"/>
      <c r="Q143" s="11"/>
      <c r="R143" s="11"/>
    </row>
    <row r="144" spans="1:18">
      <c r="A144" s="748">
        <v>45016</v>
      </c>
      <c r="B144" s="748">
        <v>45016</v>
      </c>
      <c r="C144" s="749" t="s">
        <v>482</v>
      </c>
      <c r="D144" s="10"/>
      <c r="E144" s="11"/>
      <c r="F144" s="11"/>
      <c r="G144" s="749" t="s">
        <v>468</v>
      </c>
      <c r="H144" s="749" t="s">
        <v>446</v>
      </c>
      <c r="I144" s="749" t="s">
        <v>239</v>
      </c>
      <c r="J144" s="11"/>
      <c r="K144" s="750">
        <v>0</v>
      </c>
      <c r="L144" s="750">
        <v>1185300</v>
      </c>
      <c r="M144" s="11"/>
      <c r="N144" s="11"/>
      <c r="O144" s="11"/>
      <c r="P144" s="11"/>
      <c r="Q144" s="11"/>
      <c r="R144" s="11"/>
    </row>
    <row r="145" spans="1:18">
      <c r="A145" s="748">
        <v>45016</v>
      </c>
      <c r="B145" s="748">
        <v>45016</v>
      </c>
      <c r="C145" s="749" t="s">
        <v>482</v>
      </c>
      <c r="D145" s="10"/>
      <c r="E145" s="11"/>
      <c r="F145" s="11"/>
      <c r="G145" s="749" t="s">
        <v>468</v>
      </c>
      <c r="H145" s="749" t="s">
        <v>446</v>
      </c>
      <c r="I145" s="749" t="s">
        <v>241</v>
      </c>
      <c r="J145" s="11"/>
      <c r="K145" s="750">
        <v>0</v>
      </c>
      <c r="L145" s="750">
        <v>148546249</v>
      </c>
      <c r="M145" s="11"/>
      <c r="N145" s="11"/>
      <c r="O145" s="11"/>
      <c r="P145" s="11"/>
      <c r="Q145" s="11"/>
      <c r="R145" s="11"/>
    </row>
    <row r="146" spans="1:18">
      <c r="A146" s="748">
        <v>45016</v>
      </c>
      <c r="B146" s="748">
        <v>45016</v>
      </c>
      <c r="C146" s="749" t="s">
        <v>482</v>
      </c>
      <c r="D146" s="10"/>
      <c r="E146" s="11"/>
      <c r="F146" s="11"/>
      <c r="G146" s="749" t="s">
        <v>472</v>
      </c>
      <c r="H146" s="749" t="s">
        <v>446</v>
      </c>
      <c r="I146" s="749" t="s">
        <v>249</v>
      </c>
      <c r="J146" s="11"/>
      <c r="K146" s="750">
        <v>0</v>
      </c>
      <c r="L146" s="750">
        <v>15073473194</v>
      </c>
      <c r="M146" s="11"/>
      <c r="N146" s="11"/>
      <c r="O146" s="11"/>
      <c r="P146" s="11"/>
      <c r="Q146" s="11"/>
      <c r="R146" s="11"/>
    </row>
    <row r="147" spans="1:18">
      <c r="A147" s="748">
        <v>45016</v>
      </c>
      <c r="B147" s="748">
        <v>45016</v>
      </c>
      <c r="C147" s="749" t="s">
        <v>482</v>
      </c>
      <c r="D147" s="10"/>
      <c r="E147" s="11"/>
      <c r="F147" s="11"/>
      <c r="G147" s="749" t="s">
        <v>472</v>
      </c>
      <c r="H147" s="749" t="s">
        <v>446</v>
      </c>
      <c r="I147" s="749" t="s">
        <v>251</v>
      </c>
      <c r="J147" s="11"/>
      <c r="K147" s="750">
        <v>0</v>
      </c>
      <c r="L147" s="750">
        <v>3751564933</v>
      </c>
      <c r="M147" s="11"/>
      <c r="N147" s="11"/>
      <c r="O147" s="11"/>
      <c r="P147" s="11"/>
      <c r="Q147" s="11"/>
      <c r="R147" s="11"/>
    </row>
    <row r="148" spans="1:18">
      <c r="A148" s="748">
        <v>45016</v>
      </c>
      <c r="B148" s="748">
        <v>45016</v>
      </c>
      <c r="C148" s="749" t="s">
        <v>482</v>
      </c>
      <c r="D148" s="10"/>
      <c r="E148" s="11"/>
      <c r="F148" s="11"/>
      <c r="G148" s="749" t="s">
        <v>472</v>
      </c>
      <c r="H148" s="749" t="s">
        <v>446</v>
      </c>
      <c r="I148" s="749" t="s">
        <v>255</v>
      </c>
      <c r="J148" s="11"/>
      <c r="K148" s="750">
        <v>0</v>
      </c>
      <c r="L148" s="750">
        <v>410767324</v>
      </c>
      <c r="M148" s="11"/>
      <c r="N148" s="11"/>
      <c r="O148" s="11"/>
      <c r="P148" s="11"/>
      <c r="Q148" s="11"/>
      <c r="R148" s="11"/>
    </row>
    <row r="149" spans="1:18">
      <c r="A149" s="748">
        <v>45016</v>
      </c>
      <c r="B149" s="748">
        <v>45016</v>
      </c>
      <c r="C149" s="749" t="s">
        <v>482</v>
      </c>
      <c r="D149" s="10"/>
      <c r="E149" s="11"/>
      <c r="F149" s="11"/>
      <c r="G149" s="749" t="s">
        <v>472</v>
      </c>
      <c r="H149" s="749" t="s">
        <v>446</v>
      </c>
      <c r="I149" s="749" t="s">
        <v>257</v>
      </c>
      <c r="J149" s="11"/>
      <c r="K149" s="750">
        <v>0</v>
      </c>
      <c r="L149" s="750">
        <v>31428544</v>
      </c>
      <c r="M149" s="11"/>
      <c r="N149" s="11"/>
      <c r="O149" s="11"/>
      <c r="P149" s="11"/>
      <c r="Q149" s="11"/>
      <c r="R149" s="11"/>
    </row>
    <row r="150" spans="1:18">
      <c r="A150" s="748">
        <v>45016</v>
      </c>
      <c r="B150" s="748">
        <v>45016</v>
      </c>
      <c r="C150" s="749" t="s">
        <v>482</v>
      </c>
      <c r="D150" s="10"/>
      <c r="E150" s="11"/>
      <c r="F150" s="11"/>
      <c r="G150" s="749" t="s">
        <v>472</v>
      </c>
      <c r="H150" s="749" t="s">
        <v>446</v>
      </c>
      <c r="I150" s="749" t="s">
        <v>259</v>
      </c>
      <c r="J150" s="11"/>
      <c r="K150" s="750">
        <v>0</v>
      </c>
      <c r="L150" s="750">
        <v>3983301040</v>
      </c>
      <c r="M150" s="11"/>
      <c r="N150" s="11"/>
      <c r="O150" s="11"/>
      <c r="P150" s="11"/>
      <c r="Q150" s="11"/>
      <c r="R150" s="11"/>
    </row>
    <row r="151" spans="1:18">
      <c r="A151" s="748">
        <v>45016</v>
      </c>
      <c r="B151" s="748">
        <v>45016</v>
      </c>
      <c r="C151" s="749" t="s">
        <v>482</v>
      </c>
      <c r="D151" s="10"/>
      <c r="E151" s="11"/>
      <c r="F151" s="11"/>
      <c r="G151" s="749" t="s">
        <v>472</v>
      </c>
      <c r="H151" s="749" t="s">
        <v>446</v>
      </c>
      <c r="I151" s="749" t="s">
        <v>263</v>
      </c>
      <c r="J151" s="11"/>
      <c r="K151" s="750">
        <v>0</v>
      </c>
      <c r="L151" s="750">
        <v>951216</v>
      </c>
      <c r="M151" s="11"/>
      <c r="N151" s="11"/>
      <c r="O151" s="11"/>
      <c r="P151" s="11"/>
      <c r="Q151" s="11"/>
      <c r="R151" s="11"/>
    </row>
    <row r="152" spans="1:18">
      <c r="A152" s="748">
        <v>45016</v>
      </c>
      <c r="B152" s="748">
        <v>45016</v>
      </c>
      <c r="C152" s="749" t="s">
        <v>482</v>
      </c>
      <c r="D152" s="10"/>
      <c r="E152" s="11"/>
      <c r="F152" s="11"/>
      <c r="G152" s="749" t="s">
        <v>473</v>
      </c>
      <c r="H152" s="749" t="s">
        <v>446</v>
      </c>
      <c r="I152" s="749" t="s">
        <v>303</v>
      </c>
      <c r="J152" s="11"/>
      <c r="K152" s="750">
        <v>1973427856</v>
      </c>
      <c r="L152" s="750">
        <v>0</v>
      </c>
      <c r="M152" s="11"/>
      <c r="N152" s="11"/>
      <c r="O152" s="11"/>
      <c r="P152" s="11"/>
      <c r="Q152" s="11"/>
      <c r="R152" s="11"/>
    </row>
    <row r="153" spans="1:18">
      <c r="A153" s="748">
        <v>45016</v>
      </c>
      <c r="B153" s="748">
        <v>45016</v>
      </c>
      <c r="C153" s="749" t="s">
        <v>482</v>
      </c>
      <c r="D153" s="10"/>
      <c r="E153" s="11"/>
      <c r="F153" s="11"/>
      <c r="G153" s="749" t="s">
        <v>474</v>
      </c>
      <c r="H153" s="749" t="s">
        <v>446</v>
      </c>
      <c r="I153" s="749" t="s">
        <v>307</v>
      </c>
      <c r="J153" s="11"/>
      <c r="K153" s="750">
        <v>8557863083</v>
      </c>
      <c r="L153" s="750">
        <v>0</v>
      </c>
      <c r="M153" s="11"/>
      <c r="N153" s="11"/>
      <c r="O153" s="11"/>
      <c r="P153" s="11"/>
      <c r="Q153" s="11"/>
      <c r="R153" s="11"/>
    </row>
    <row r="154" spans="1:18">
      <c r="A154" s="748">
        <v>45016</v>
      </c>
      <c r="B154" s="748">
        <v>45016</v>
      </c>
      <c r="C154" s="749" t="s">
        <v>482</v>
      </c>
      <c r="D154" s="10"/>
      <c r="E154" s="11"/>
      <c r="F154" s="11"/>
      <c r="G154" s="749" t="s">
        <v>474</v>
      </c>
      <c r="H154" s="749" t="s">
        <v>446</v>
      </c>
      <c r="I154" s="749" t="s">
        <v>309</v>
      </c>
      <c r="J154" s="11"/>
      <c r="K154" s="750">
        <v>1753860617</v>
      </c>
      <c r="L154" s="750">
        <v>0</v>
      </c>
      <c r="M154" s="11"/>
      <c r="N154" s="11"/>
      <c r="O154" s="11"/>
      <c r="P154" s="11"/>
      <c r="Q154" s="11"/>
      <c r="R154" s="11"/>
    </row>
    <row r="155" spans="1:18">
      <c r="A155" s="748">
        <v>45016</v>
      </c>
      <c r="B155" s="748">
        <v>45016</v>
      </c>
      <c r="C155" s="749" t="s">
        <v>482</v>
      </c>
      <c r="D155" s="10"/>
      <c r="E155" s="11"/>
      <c r="F155" s="11"/>
      <c r="G155" s="749" t="s">
        <v>474</v>
      </c>
      <c r="H155" s="749" t="s">
        <v>446</v>
      </c>
      <c r="I155" s="749" t="s">
        <v>313</v>
      </c>
      <c r="J155" s="11"/>
      <c r="K155" s="750">
        <v>2890433299</v>
      </c>
      <c r="L155" s="750">
        <v>0</v>
      </c>
      <c r="M155" s="11"/>
      <c r="N155" s="11"/>
      <c r="O155" s="11"/>
      <c r="P155" s="11"/>
      <c r="Q155" s="11"/>
      <c r="R155" s="11"/>
    </row>
    <row r="156" spans="1:18">
      <c r="A156" s="748">
        <v>45016</v>
      </c>
      <c r="B156" s="748">
        <v>45016</v>
      </c>
      <c r="C156" s="749" t="s">
        <v>482</v>
      </c>
      <c r="D156" s="10"/>
      <c r="E156" s="11"/>
      <c r="F156" s="11"/>
      <c r="G156" s="749" t="s">
        <v>474</v>
      </c>
      <c r="H156" s="749" t="s">
        <v>446</v>
      </c>
      <c r="I156" s="749" t="s">
        <v>317</v>
      </c>
      <c r="J156" s="11"/>
      <c r="K156" s="750">
        <v>5339522429</v>
      </c>
      <c r="L156" s="750">
        <v>0</v>
      </c>
      <c r="M156" s="11"/>
      <c r="N156" s="11"/>
      <c r="O156" s="11"/>
      <c r="P156" s="11"/>
      <c r="Q156" s="11"/>
      <c r="R156" s="11"/>
    </row>
    <row r="157" spans="1:18">
      <c r="A157" s="748">
        <v>45016</v>
      </c>
      <c r="B157" s="748">
        <v>45016</v>
      </c>
      <c r="C157" s="749" t="s">
        <v>482</v>
      </c>
      <c r="D157" s="10"/>
      <c r="E157" s="11"/>
      <c r="F157" s="11"/>
      <c r="G157" s="749" t="s">
        <v>475</v>
      </c>
      <c r="H157" s="749" t="s">
        <v>446</v>
      </c>
      <c r="I157" s="749" t="s">
        <v>337</v>
      </c>
      <c r="J157" s="11"/>
      <c r="K157" s="750">
        <v>458278912</v>
      </c>
      <c r="L157" s="750">
        <v>0</v>
      </c>
      <c r="M157" s="11"/>
      <c r="N157" s="11"/>
      <c r="O157" s="11"/>
      <c r="P157" s="11"/>
      <c r="Q157" s="11"/>
      <c r="R157" s="11"/>
    </row>
    <row r="158" spans="1:18">
      <c r="A158" s="748">
        <v>45016</v>
      </c>
      <c r="B158" s="748">
        <v>45016</v>
      </c>
      <c r="C158" s="749" t="s">
        <v>482</v>
      </c>
      <c r="D158" s="10"/>
      <c r="E158" s="11"/>
      <c r="F158" s="11"/>
      <c r="G158" s="749" t="s">
        <v>475</v>
      </c>
      <c r="H158" s="749" t="s">
        <v>446</v>
      </c>
      <c r="I158" s="749" t="s">
        <v>339</v>
      </c>
      <c r="J158" s="11"/>
      <c r="K158" s="750">
        <v>46260500</v>
      </c>
      <c r="L158" s="750">
        <v>0</v>
      </c>
      <c r="M158" s="11"/>
      <c r="N158" s="11"/>
      <c r="O158" s="11"/>
      <c r="P158" s="11"/>
      <c r="Q158" s="11"/>
      <c r="R158" s="11"/>
    </row>
    <row r="159" spans="1:18">
      <c r="A159" s="748">
        <v>45016</v>
      </c>
      <c r="B159" s="748">
        <v>45016</v>
      </c>
      <c r="C159" s="749" t="s">
        <v>482</v>
      </c>
      <c r="D159" s="10"/>
      <c r="E159" s="11"/>
      <c r="F159" s="11"/>
      <c r="G159" s="749" t="s">
        <v>475</v>
      </c>
      <c r="H159" s="749" t="s">
        <v>446</v>
      </c>
      <c r="I159" s="749" t="s">
        <v>341</v>
      </c>
      <c r="J159" s="11"/>
      <c r="K159" s="750">
        <v>3000000</v>
      </c>
      <c r="L159" s="750">
        <v>0</v>
      </c>
      <c r="M159" s="11"/>
      <c r="N159" s="11"/>
      <c r="O159" s="11"/>
      <c r="P159" s="11"/>
      <c r="Q159" s="11"/>
      <c r="R159" s="11"/>
    </row>
    <row r="160" spans="1:18">
      <c r="A160" s="748">
        <v>45016</v>
      </c>
      <c r="B160" s="748">
        <v>45016</v>
      </c>
      <c r="C160" s="749" t="s">
        <v>482</v>
      </c>
      <c r="D160" s="10"/>
      <c r="E160" s="11"/>
      <c r="F160" s="11"/>
      <c r="G160" s="749" t="s">
        <v>475</v>
      </c>
      <c r="H160" s="749" t="s">
        <v>446</v>
      </c>
      <c r="I160" s="749" t="s">
        <v>343</v>
      </c>
      <c r="J160" s="11"/>
      <c r="K160" s="750">
        <v>8953015</v>
      </c>
      <c r="L160" s="750">
        <v>0</v>
      </c>
      <c r="M160" s="11"/>
      <c r="N160" s="11"/>
      <c r="O160" s="11"/>
      <c r="P160" s="11"/>
      <c r="Q160" s="11"/>
      <c r="R160" s="11"/>
    </row>
    <row r="161" spans="1:18">
      <c r="A161" s="748">
        <v>45016</v>
      </c>
      <c r="B161" s="748">
        <v>45016</v>
      </c>
      <c r="C161" s="749" t="s">
        <v>482</v>
      </c>
      <c r="D161" s="10"/>
      <c r="E161" s="11"/>
      <c r="F161" s="11"/>
      <c r="G161" s="749" t="s">
        <v>475</v>
      </c>
      <c r="H161" s="749" t="s">
        <v>446</v>
      </c>
      <c r="I161" s="749" t="s">
        <v>345</v>
      </c>
      <c r="J161" s="11"/>
      <c r="K161" s="750">
        <v>3870417</v>
      </c>
      <c r="L161" s="750">
        <v>0</v>
      </c>
      <c r="M161" s="11"/>
      <c r="N161" s="11"/>
      <c r="O161" s="11"/>
      <c r="P161" s="11"/>
      <c r="Q161" s="11"/>
      <c r="R161" s="11"/>
    </row>
    <row r="162" spans="1:18">
      <c r="A162" s="748">
        <v>45016</v>
      </c>
      <c r="B162" s="748">
        <v>45016</v>
      </c>
      <c r="C162" s="749" t="s">
        <v>482</v>
      </c>
      <c r="D162" s="10"/>
      <c r="E162" s="11"/>
      <c r="F162" s="11"/>
      <c r="G162" s="749" t="s">
        <v>475</v>
      </c>
      <c r="H162" s="749" t="s">
        <v>446</v>
      </c>
      <c r="I162" s="749" t="s">
        <v>347</v>
      </c>
      <c r="J162" s="11"/>
      <c r="K162" s="750">
        <v>97586332</v>
      </c>
      <c r="L162" s="750">
        <v>0</v>
      </c>
      <c r="M162" s="11"/>
      <c r="N162" s="11"/>
      <c r="O162" s="11"/>
      <c r="P162" s="11"/>
      <c r="Q162" s="11"/>
      <c r="R162" s="11"/>
    </row>
    <row r="163" spans="1:18">
      <c r="A163" s="748">
        <v>45016</v>
      </c>
      <c r="B163" s="748">
        <v>45016</v>
      </c>
      <c r="C163" s="749" t="s">
        <v>482</v>
      </c>
      <c r="D163" s="10"/>
      <c r="E163" s="11"/>
      <c r="F163" s="11"/>
      <c r="G163" s="749" t="s">
        <v>475</v>
      </c>
      <c r="H163" s="749" t="s">
        <v>446</v>
      </c>
      <c r="I163" s="749" t="s">
        <v>348</v>
      </c>
      <c r="J163" s="11"/>
      <c r="K163" s="750">
        <v>204063419</v>
      </c>
      <c r="L163" s="750">
        <v>0</v>
      </c>
      <c r="M163" s="11"/>
      <c r="N163" s="11"/>
      <c r="O163" s="11"/>
      <c r="P163" s="11"/>
      <c r="Q163" s="11"/>
      <c r="R163" s="11"/>
    </row>
    <row r="164" spans="1:18">
      <c r="A164" s="748">
        <v>45016</v>
      </c>
      <c r="B164" s="748">
        <v>45016</v>
      </c>
      <c r="C164" s="749" t="s">
        <v>482</v>
      </c>
      <c r="D164" s="10"/>
      <c r="E164" s="11"/>
      <c r="F164" s="11"/>
      <c r="G164" s="749" t="s">
        <v>475</v>
      </c>
      <c r="H164" s="749" t="s">
        <v>446</v>
      </c>
      <c r="I164" s="749" t="s">
        <v>350</v>
      </c>
      <c r="J164" s="11"/>
      <c r="K164" s="750">
        <v>294735216</v>
      </c>
      <c r="L164" s="750">
        <v>0</v>
      </c>
      <c r="M164" s="11"/>
      <c r="N164" s="11"/>
      <c r="O164" s="11"/>
      <c r="P164" s="11"/>
      <c r="Q164" s="11"/>
      <c r="R164" s="11"/>
    </row>
    <row r="165" spans="1:18">
      <c r="A165" s="748">
        <v>45016</v>
      </c>
      <c r="B165" s="748">
        <v>45016</v>
      </c>
      <c r="C165" s="749" t="s">
        <v>482</v>
      </c>
      <c r="D165" s="10"/>
      <c r="E165" s="11"/>
      <c r="F165" s="11"/>
      <c r="G165" s="749" t="s">
        <v>475</v>
      </c>
      <c r="H165" s="749" t="s">
        <v>446</v>
      </c>
      <c r="I165" s="749" t="s">
        <v>354</v>
      </c>
      <c r="J165" s="11"/>
      <c r="K165" s="750">
        <v>5010502</v>
      </c>
      <c r="L165" s="750">
        <v>0</v>
      </c>
      <c r="M165" s="11"/>
      <c r="N165" s="11"/>
      <c r="O165" s="11"/>
      <c r="P165" s="11"/>
      <c r="Q165" s="11"/>
      <c r="R165" s="11"/>
    </row>
    <row r="166" spans="1:18">
      <c r="A166" s="748">
        <v>45016</v>
      </c>
      <c r="B166" s="748">
        <v>45016</v>
      </c>
      <c r="C166" s="749" t="s">
        <v>482</v>
      </c>
      <c r="D166" s="10"/>
      <c r="E166" s="11"/>
      <c r="F166" s="11"/>
      <c r="G166" s="749" t="s">
        <v>475</v>
      </c>
      <c r="H166" s="749" t="s">
        <v>446</v>
      </c>
      <c r="I166" s="749" t="s">
        <v>356</v>
      </c>
      <c r="J166" s="11"/>
      <c r="K166" s="750">
        <v>96833</v>
      </c>
      <c r="L166" s="750">
        <v>0</v>
      </c>
      <c r="M166" s="11"/>
      <c r="N166" s="11"/>
      <c r="O166" s="11"/>
      <c r="P166" s="11"/>
      <c r="Q166" s="11"/>
      <c r="R166" s="11"/>
    </row>
    <row r="167" spans="1:18">
      <c r="A167" s="748">
        <v>45016</v>
      </c>
      <c r="B167" s="748">
        <v>45016</v>
      </c>
      <c r="C167" s="749" t="s">
        <v>482</v>
      </c>
      <c r="D167" s="10"/>
      <c r="E167" s="11"/>
      <c r="F167" s="11"/>
      <c r="G167" s="749" t="s">
        <v>475</v>
      </c>
      <c r="H167" s="749" t="s">
        <v>446</v>
      </c>
      <c r="I167" s="749" t="s">
        <v>357</v>
      </c>
      <c r="J167" s="11"/>
      <c r="K167" s="750">
        <v>10222500</v>
      </c>
      <c r="L167" s="750">
        <v>0</v>
      </c>
      <c r="M167" s="11"/>
      <c r="N167" s="11"/>
      <c r="O167" s="11"/>
      <c r="P167" s="11"/>
      <c r="Q167" s="11"/>
      <c r="R167" s="11"/>
    </row>
    <row r="168" spans="1:18">
      <c r="A168" s="748">
        <v>45016</v>
      </c>
      <c r="B168" s="748">
        <v>45016</v>
      </c>
      <c r="C168" s="749" t="s">
        <v>482</v>
      </c>
      <c r="D168" s="10"/>
      <c r="E168" s="11"/>
      <c r="F168" s="11"/>
      <c r="G168" s="749" t="s">
        <v>475</v>
      </c>
      <c r="H168" s="749" t="s">
        <v>446</v>
      </c>
      <c r="I168" s="749" t="s">
        <v>361</v>
      </c>
      <c r="J168" s="11"/>
      <c r="K168" s="750">
        <v>44683921</v>
      </c>
      <c r="L168" s="750">
        <v>0</v>
      </c>
      <c r="M168" s="11"/>
      <c r="N168" s="11"/>
      <c r="O168" s="11"/>
      <c r="P168" s="11"/>
      <c r="Q168" s="11"/>
      <c r="R168" s="11"/>
    </row>
    <row r="169" spans="1:18">
      <c r="A169" s="748">
        <v>45016</v>
      </c>
      <c r="B169" s="748">
        <v>45016</v>
      </c>
      <c r="C169" s="749" t="s">
        <v>482</v>
      </c>
      <c r="D169" s="10"/>
      <c r="E169" s="11"/>
      <c r="F169" s="11"/>
      <c r="G169" s="749" t="s">
        <v>475</v>
      </c>
      <c r="H169" s="749" t="s">
        <v>446</v>
      </c>
      <c r="I169" s="749" t="s">
        <v>363</v>
      </c>
      <c r="J169" s="11"/>
      <c r="K169" s="750">
        <v>11697200</v>
      </c>
      <c r="L169" s="750">
        <v>0</v>
      </c>
      <c r="M169" s="11"/>
      <c r="N169" s="11"/>
      <c r="O169" s="11"/>
      <c r="P169" s="11"/>
      <c r="Q169" s="11"/>
      <c r="R169" s="11"/>
    </row>
    <row r="170" spans="1:18">
      <c r="A170" s="748">
        <v>45016</v>
      </c>
      <c r="B170" s="748">
        <v>45016</v>
      </c>
      <c r="C170" s="749" t="s">
        <v>482</v>
      </c>
      <c r="D170" s="10"/>
      <c r="E170" s="11"/>
      <c r="F170" s="11"/>
      <c r="G170" s="749" t="s">
        <v>475</v>
      </c>
      <c r="H170" s="749" t="s">
        <v>446</v>
      </c>
      <c r="I170" s="749" t="s">
        <v>365</v>
      </c>
      <c r="J170" s="11"/>
      <c r="K170" s="750">
        <v>2727272</v>
      </c>
      <c r="L170" s="750">
        <v>0</v>
      </c>
      <c r="M170" s="11"/>
      <c r="N170" s="11"/>
      <c r="O170" s="11"/>
      <c r="P170" s="11"/>
      <c r="Q170" s="11"/>
      <c r="R170" s="11"/>
    </row>
    <row r="171" spans="1:18">
      <c r="A171" s="748">
        <v>45016</v>
      </c>
      <c r="B171" s="748">
        <v>45016</v>
      </c>
      <c r="C171" s="749" t="s">
        <v>482</v>
      </c>
      <c r="D171" s="10"/>
      <c r="E171" s="11"/>
      <c r="F171" s="11"/>
      <c r="G171" s="749" t="s">
        <v>475</v>
      </c>
      <c r="H171" s="749" t="s">
        <v>446</v>
      </c>
      <c r="I171" s="749" t="s">
        <v>370</v>
      </c>
      <c r="J171" s="11"/>
      <c r="K171" s="750">
        <v>189741647</v>
      </c>
      <c r="L171" s="750">
        <v>0</v>
      </c>
      <c r="M171" s="11"/>
      <c r="N171" s="11"/>
      <c r="O171" s="11"/>
      <c r="P171" s="11"/>
      <c r="Q171" s="11"/>
      <c r="R171" s="11"/>
    </row>
    <row r="172" spans="1:18">
      <c r="A172" s="748">
        <v>45016</v>
      </c>
      <c r="B172" s="748">
        <v>45016</v>
      </c>
      <c r="C172" s="749" t="s">
        <v>482</v>
      </c>
      <c r="D172" s="10"/>
      <c r="E172" s="11"/>
      <c r="F172" s="11"/>
      <c r="G172" s="749" t="s">
        <v>476</v>
      </c>
      <c r="H172" s="749" t="s">
        <v>446</v>
      </c>
      <c r="I172" s="749" t="s">
        <v>378</v>
      </c>
      <c r="J172" s="11"/>
      <c r="K172" s="750">
        <v>901889738</v>
      </c>
      <c r="L172" s="750">
        <v>0</v>
      </c>
      <c r="M172" s="11"/>
      <c r="N172" s="11"/>
      <c r="O172" s="11"/>
      <c r="P172" s="11"/>
      <c r="Q172" s="11"/>
      <c r="R172" s="11"/>
    </row>
    <row r="173" spans="1:18">
      <c r="A173" s="748">
        <v>45016</v>
      </c>
      <c r="B173" s="748">
        <v>45016</v>
      </c>
      <c r="C173" s="749" t="s">
        <v>482</v>
      </c>
      <c r="D173" s="10"/>
      <c r="E173" s="11"/>
      <c r="F173" s="11"/>
      <c r="G173" s="749" t="s">
        <v>476</v>
      </c>
      <c r="H173" s="749" t="s">
        <v>446</v>
      </c>
      <c r="I173" s="749" t="s">
        <v>379</v>
      </c>
      <c r="J173" s="11"/>
      <c r="K173" s="750">
        <v>69213000</v>
      </c>
      <c r="L173" s="750">
        <v>0</v>
      </c>
      <c r="M173" s="11"/>
      <c r="N173" s="11"/>
      <c r="O173" s="11"/>
      <c r="P173" s="11"/>
      <c r="Q173" s="11"/>
      <c r="R173" s="11"/>
    </row>
    <row r="174" spans="1:18">
      <c r="A174" s="748">
        <v>45016</v>
      </c>
      <c r="B174" s="748">
        <v>45016</v>
      </c>
      <c r="C174" s="749" t="s">
        <v>482</v>
      </c>
      <c r="D174" s="10"/>
      <c r="E174" s="11"/>
      <c r="F174" s="11"/>
      <c r="G174" s="749" t="s">
        <v>476</v>
      </c>
      <c r="H174" s="749" t="s">
        <v>446</v>
      </c>
      <c r="I174" s="749" t="s">
        <v>380</v>
      </c>
      <c r="J174" s="11"/>
      <c r="K174" s="750">
        <v>421673833</v>
      </c>
      <c r="L174" s="750">
        <v>0</v>
      </c>
      <c r="M174" s="11"/>
      <c r="N174" s="11"/>
      <c r="O174" s="11"/>
      <c r="P174" s="11"/>
      <c r="Q174" s="11"/>
      <c r="R174" s="11"/>
    </row>
    <row r="175" spans="1:18">
      <c r="A175" s="748">
        <v>45016</v>
      </c>
      <c r="B175" s="748">
        <v>45016</v>
      </c>
      <c r="C175" s="749" t="s">
        <v>482</v>
      </c>
      <c r="D175" s="10"/>
      <c r="E175" s="11"/>
      <c r="F175" s="11"/>
      <c r="G175" s="749" t="s">
        <v>476</v>
      </c>
      <c r="H175" s="749" t="s">
        <v>446</v>
      </c>
      <c r="I175" s="749" t="s">
        <v>381</v>
      </c>
      <c r="J175" s="11"/>
      <c r="K175" s="750">
        <v>178150520</v>
      </c>
      <c r="L175" s="750">
        <v>0</v>
      </c>
      <c r="M175" s="11"/>
      <c r="N175" s="11"/>
      <c r="O175" s="11"/>
      <c r="P175" s="11"/>
      <c r="Q175" s="11"/>
      <c r="R175" s="11"/>
    </row>
    <row r="176" spans="1:18">
      <c r="A176" s="748">
        <v>45016</v>
      </c>
      <c r="B176" s="748">
        <v>45016</v>
      </c>
      <c r="C176" s="749" t="s">
        <v>482</v>
      </c>
      <c r="D176" s="10"/>
      <c r="E176" s="11"/>
      <c r="F176" s="11"/>
      <c r="G176" s="749" t="s">
        <v>476</v>
      </c>
      <c r="H176" s="749" t="s">
        <v>446</v>
      </c>
      <c r="I176" s="749" t="s">
        <v>383</v>
      </c>
      <c r="J176" s="11"/>
      <c r="K176" s="750">
        <v>32639206</v>
      </c>
      <c r="L176" s="750">
        <v>0</v>
      </c>
      <c r="M176" s="11"/>
      <c r="N176" s="11"/>
      <c r="O176" s="11"/>
      <c r="P176" s="11"/>
      <c r="Q176" s="11"/>
      <c r="R176" s="11"/>
    </row>
    <row r="177" spans="1:18">
      <c r="A177" s="748">
        <v>45016</v>
      </c>
      <c r="B177" s="748">
        <v>45016</v>
      </c>
      <c r="C177" s="749" t="s">
        <v>482</v>
      </c>
      <c r="D177" s="10"/>
      <c r="E177" s="11"/>
      <c r="F177" s="11"/>
      <c r="G177" s="749" t="s">
        <v>476</v>
      </c>
      <c r="H177" s="749" t="s">
        <v>446</v>
      </c>
      <c r="I177" s="749" t="s">
        <v>387</v>
      </c>
      <c r="J177" s="11"/>
      <c r="K177" s="750">
        <v>129014087</v>
      </c>
      <c r="L177" s="750">
        <v>0</v>
      </c>
      <c r="M177" s="11"/>
      <c r="N177" s="11"/>
      <c r="O177" s="11"/>
      <c r="P177" s="11"/>
      <c r="Q177" s="11"/>
      <c r="R177" s="11"/>
    </row>
    <row r="178" spans="1:18">
      <c r="A178" s="748">
        <v>45016</v>
      </c>
      <c r="B178" s="748">
        <v>45016</v>
      </c>
      <c r="C178" s="749" t="s">
        <v>482</v>
      </c>
      <c r="D178" s="10"/>
      <c r="E178" s="11"/>
      <c r="F178" s="11"/>
      <c r="G178" s="749" t="s">
        <v>476</v>
      </c>
      <c r="H178" s="749" t="s">
        <v>446</v>
      </c>
      <c r="I178" s="749" t="s">
        <v>389</v>
      </c>
      <c r="J178" s="11"/>
      <c r="K178" s="750">
        <v>8579819</v>
      </c>
      <c r="L178" s="750">
        <v>0</v>
      </c>
      <c r="M178" s="11"/>
      <c r="N178" s="11"/>
      <c r="O178" s="11"/>
      <c r="P178" s="11"/>
      <c r="Q178" s="11"/>
      <c r="R178" s="11"/>
    </row>
    <row r="179" spans="1:18">
      <c r="A179" s="748">
        <v>45016</v>
      </c>
      <c r="B179" s="748">
        <v>45016</v>
      </c>
      <c r="C179" s="749" t="s">
        <v>482</v>
      </c>
      <c r="D179" s="10"/>
      <c r="E179" s="11"/>
      <c r="F179" s="11"/>
      <c r="G179" s="749" t="s">
        <v>476</v>
      </c>
      <c r="H179" s="749" t="s">
        <v>446</v>
      </c>
      <c r="I179" s="749" t="s">
        <v>391</v>
      </c>
      <c r="J179" s="11"/>
      <c r="K179" s="750">
        <v>4715329</v>
      </c>
      <c r="L179" s="750">
        <v>0</v>
      </c>
      <c r="M179" s="11"/>
      <c r="N179" s="11"/>
      <c r="O179" s="11"/>
      <c r="P179" s="11"/>
      <c r="Q179" s="11"/>
      <c r="R179" s="11"/>
    </row>
    <row r="180" spans="1:18">
      <c r="A180" s="748">
        <v>45016</v>
      </c>
      <c r="B180" s="748">
        <v>45016</v>
      </c>
      <c r="C180" s="749" t="s">
        <v>482</v>
      </c>
      <c r="D180" s="10"/>
      <c r="E180" s="11"/>
      <c r="F180" s="11"/>
      <c r="G180" s="749" t="s">
        <v>476</v>
      </c>
      <c r="H180" s="749" t="s">
        <v>446</v>
      </c>
      <c r="I180" s="749" t="s">
        <v>393</v>
      </c>
      <c r="J180" s="11"/>
      <c r="K180" s="750">
        <v>5332675</v>
      </c>
      <c r="L180" s="750">
        <v>0</v>
      </c>
      <c r="M180" s="11"/>
      <c r="N180" s="11"/>
      <c r="O180" s="11"/>
      <c r="P180" s="11"/>
      <c r="Q180" s="11"/>
      <c r="R180" s="11"/>
    </row>
    <row r="181" spans="1:18">
      <c r="A181" s="748">
        <v>45016</v>
      </c>
      <c r="B181" s="748">
        <v>45016</v>
      </c>
      <c r="C181" s="749" t="s">
        <v>482</v>
      </c>
      <c r="D181" s="10"/>
      <c r="E181" s="11"/>
      <c r="F181" s="11"/>
      <c r="G181" s="749" t="s">
        <v>476</v>
      </c>
      <c r="H181" s="749" t="s">
        <v>446</v>
      </c>
      <c r="I181" s="749" t="s">
        <v>395</v>
      </c>
      <c r="J181" s="11"/>
      <c r="K181" s="750">
        <v>46345861</v>
      </c>
      <c r="L181" s="750">
        <v>0</v>
      </c>
      <c r="M181" s="11"/>
      <c r="N181" s="11"/>
      <c r="O181" s="11"/>
      <c r="P181" s="11"/>
      <c r="Q181" s="11"/>
      <c r="R181" s="11"/>
    </row>
    <row r="182" spans="1:18">
      <c r="A182" s="748">
        <v>45016</v>
      </c>
      <c r="B182" s="748">
        <v>45016</v>
      </c>
      <c r="C182" s="749" t="s">
        <v>482</v>
      </c>
      <c r="D182" s="10"/>
      <c r="E182" s="11"/>
      <c r="F182" s="11"/>
      <c r="G182" s="749" t="s">
        <v>476</v>
      </c>
      <c r="H182" s="749" t="s">
        <v>446</v>
      </c>
      <c r="I182" s="749" t="s">
        <v>397</v>
      </c>
      <c r="J182" s="11"/>
      <c r="K182" s="750">
        <v>4089539</v>
      </c>
      <c r="L182" s="750">
        <v>0</v>
      </c>
      <c r="M182" s="11"/>
      <c r="N182" s="11"/>
      <c r="O182" s="11"/>
      <c r="P182" s="11"/>
      <c r="Q182" s="11"/>
      <c r="R182" s="11"/>
    </row>
    <row r="183" spans="1:18">
      <c r="A183" s="748">
        <v>45016</v>
      </c>
      <c r="B183" s="748">
        <v>45016</v>
      </c>
      <c r="C183" s="749" t="s">
        <v>482</v>
      </c>
      <c r="D183" s="10"/>
      <c r="E183" s="11"/>
      <c r="F183" s="11"/>
      <c r="G183" s="749" t="s">
        <v>476</v>
      </c>
      <c r="H183" s="749" t="s">
        <v>446</v>
      </c>
      <c r="I183" s="749" t="s">
        <v>398</v>
      </c>
      <c r="J183" s="11"/>
      <c r="K183" s="750">
        <v>18863737</v>
      </c>
      <c r="L183" s="750">
        <v>0</v>
      </c>
      <c r="M183" s="11"/>
      <c r="N183" s="11"/>
      <c r="O183" s="11"/>
      <c r="P183" s="11"/>
      <c r="Q183" s="11"/>
      <c r="R183" s="11"/>
    </row>
    <row r="184" spans="1:18">
      <c r="A184" s="748">
        <v>45016</v>
      </c>
      <c r="B184" s="748">
        <v>45016</v>
      </c>
      <c r="C184" s="749" t="s">
        <v>482</v>
      </c>
      <c r="D184" s="10"/>
      <c r="E184" s="11"/>
      <c r="F184" s="11"/>
      <c r="G184" s="749" t="s">
        <v>476</v>
      </c>
      <c r="H184" s="749" t="s">
        <v>446</v>
      </c>
      <c r="I184" s="749" t="s">
        <v>403</v>
      </c>
      <c r="J184" s="11"/>
      <c r="K184" s="750">
        <v>3000000</v>
      </c>
      <c r="L184" s="750">
        <v>0</v>
      </c>
      <c r="M184" s="11"/>
      <c r="N184" s="11"/>
      <c r="O184" s="11"/>
      <c r="P184" s="11"/>
      <c r="Q184" s="11"/>
      <c r="R184" s="11"/>
    </row>
    <row r="185" spans="1:18">
      <c r="A185" s="748">
        <v>45016</v>
      </c>
      <c r="B185" s="748">
        <v>45016</v>
      </c>
      <c r="C185" s="749" t="s">
        <v>482</v>
      </c>
      <c r="D185" s="10"/>
      <c r="E185" s="11"/>
      <c r="F185" s="11"/>
      <c r="G185" s="749" t="s">
        <v>476</v>
      </c>
      <c r="H185" s="749" t="s">
        <v>446</v>
      </c>
      <c r="I185" s="749" t="s">
        <v>405</v>
      </c>
      <c r="J185" s="11"/>
      <c r="K185" s="750">
        <v>12000000</v>
      </c>
      <c r="L185" s="750">
        <v>0</v>
      </c>
      <c r="M185" s="11"/>
      <c r="N185" s="11"/>
      <c r="O185" s="11"/>
      <c r="P185" s="11"/>
      <c r="Q185" s="11"/>
      <c r="R185" s="11"/>
    </row>
    <row r="186" spans="1:18">
      <c r="A186" s="748">
        <v>45016</v>
      </c>
      <c r="B186" s="748">
        <v>45016</v>
      </c>
      <c r="C186" s="749" t="s">
        <v>482</v>
      </c>
      <c r="D186" s="10"/>
      <c r="E186" s="11"/>
      <c r="F186" s="11"/>
      <c r="G186" s="749" t="s">
        <v>476</v>
      </c>
      <c r="H186" s="749" t="s">
        <v>446</v>
      </c>
      <c r="I186" s="749" t="s">
        <v>407</v>
      </c>
      <c r="J186" s="11"/>
      <c r="K186" s="750">
        <v>51075758</v>
      </c>
      <c r="L186" s="750">
        <v>0</v>
      </c>
      <c r="M186" s="11"/>
      <c r="N186" s="11"/>
      <c r="O186" s="11"/>
      <c r="P186" s="11"/>
      <c r="Q186" s="11"/>
      <c r="R186" s="11"/>
    </row>
    <row r="187" spans="1:18">
      <c r="A187" s="748">
        <v>45016</v>
      </c>
      <c r="B187" s="748">
        <v>45016</v>
      </c>
      <c r="C187" s="749" t="s">
        <v>482</v>
      </c>
      <c r="D187" s="10"/>
      <c r="E187" s="11"/>
      <c r="F187" s="11"/>
      <c r="G187" s="749" t="s">
        <v>476</v>
      </c>
      <c r="H187" s="749" t="s">
        <v>446</v>
      </c>
      <c r="I187" s="749" t="s">
        <v>413</v>
      </c>
      <c r="J187" s="11"/>
      <c r="K187" s="750">
        <v>17086017</v>
      </c>
      <c r="L187" s="750">
        <v>0</v>
      </c>
      <c r="M187" s="11"/>
      <c r="N187" s="11"/>
      <c r="O187" s="11"/>
      <c r="P187" s="11"/>
      <c r="Q187" s="11"/>
      <c r="R187" s="11"/>
    </row>
    <row r="188" spans="1:18">
      <c r="A188" s="748">
        <v>45016</v>
      </c>
      <c r="B188" s="748">
        <v>45016</v>
      </c>
      <c r="C188" s="749" t="s">
        <v>482</v>
      </c>
      <c r="D188" s="10"/>
      <c r="E188" s="11"/>
      <c r="F188" s="11"/>
      <c r="G188" s="749" t="s">
        <v>476</v>
      </c>
      <c r="H188" s="749" t="s">
        <v>446</v>
      </c>
      <c r="I188" s="749" t="s">
        <v>415</v>
      </c>
      <c r="J188" s="11"/>
      <c r="K188" s="750">
        <v>8281818</v>
      </c>
      <c r="L188" s="750">
        <v>0</v>
      </c>
      <c r="M188" s="11"/>
      <c r="N188" s="11"/>
      <c r="O188" s="11"/>
      <c r="P188" s="11"/>
      <c r="Q188" s="11"/>
      <c r="R188" s="11"/>
    </row>
    <row r="189" spans="1:18">
      <c r="A189" s="748">
        <v>45016</v>
      </c>
      <c r="B189" s="748">
        <v>45016</v>
      </c>
      <c r="C189" s="749" t="s">
        <v>482</v>
      </c>
      <c r="D189" s="10"/>
      <c r="E189" s="11"/>
      <c r="F189" s="11"/>
      <c r="G189" s="749" t="s">
        <v>476</v>
      </c>
      <c r="H189" s="749" t="s">
        <v>446</v>
      </c>
      <c r="I189" s="749" t="s">
        <v>419</v>
      </c>
      <c r="J189" s="11"/>
      <c r="K189" s="750">
        <v>20333332</v>
      </c>
      <c r="L189" s="750">
        <v>0</v>
      </c>
      <c r="M189" s="11"/>
      <c r="N189" s="11"/>
      <c r="O189" s="11"/>
      <c r="P189" s="11"/>
      <c r="Q189" s="11"/>
      <c r="R189" s="11"/>
    </row>
    <row r="190" spans="1:18">
      <c r="A190" s="748">
        <v>45016</v>
      </c>
      <c r="B190" s="748">
        <v>45016</v>
      </c>
      <c r="C190" s="749" t="s">
        <v>482</v>
      </c>
      <c r="D190" s="10"/>
      <c r="E190" s="11"/>
      <c r="F190" s="11"/>
      <c r="G190" s="749" t="s">
        <v>476</v>
      </c>
      <c r="H190" s="749" t="s">
        <v>446</v>
      </c>
      <c r="I190" s="749" t="s">
        <v>421</v>
      </c>
      <c r="J190" s="11"/>
      <c r="K190" s="750">
        <v>17518900</v>
      </c>
      <c r="L190" s="750">
        <v>0</v>
      </c>
      <c r="M190" s="11"/>
      <c r="N190" s="11"/>
      <c r="O190" s="11"/>
      <c r="P190" s="11"/>
      <c r="Q190" s="11"/>
      <c r="R190" s="11"/>
    </row>
    <row r="191" spans="1:18">
      <c r="A191" s="748">
        <v>45016</v>
      </c>
      <c r="B191" s="748">
        <v>45016</v>
      </c>
      <c r="C191" s="749" t="s">
        <v>482</v>
      </c>
      <c r="D191" s="10"/>
      <c r="E191" s="11"/>
      <c r="F191" s="11"/>
      <c r="G191" s="749" t="s">
        <v>476</v>
      </c>
      <c r="H191" s="749" t="s">
        <v>446</v>
      </c>
      <c r="I191" s="749" t="s">
        <v>422</v>
      </c>
      <c r="J191" s="11"/>
      <c r="K191" s="750">
        <v>29489877</v>
      </c>
      <c r="L191" s="750">
        <v>0</v>
      </c>
      <c r="M191" s="11"/>
      <c r="N191" s="11"/>
      <c r="O191" s="11"/>
      <c r="P191" s="11"/>
      <c r="Q191" s="11"/>
      <c r="R191" s="11"/>
    </row>
    <row r="192" spans="1:18">
      <c r="A192" s="748">
        <v>45016</v>
      </c>
      <c r="B192" s="748">
        <v>45016</v>
      </c>
      <c r="C192" s="749" t="s">
        <v>482</v>
      </c>
      <c r="D192" s="10"/>
      <c r="E192" s="11"/>
      <c r="F192" s="11"/>
      <c r="G192" s="749" t="s">
        <v>476</v>
      </c>
      <c r="H192" s="749" t="s">
        <v>446</v>
      </c>
      <c r="I192" s="749" t="s">
        <v>424</v>
      </c>
      <c r="J192" s="11"/>
      <c r="K192" s="750">
        <v>125435020</v>
      </c>
      <c r="L192" s="750">
        <v>0</v>
      </c>
      <c r="M192" s="11"/>
      <c r="N192" s="11"/>
      <c r="O192" s="11"/>
      <c r="P192" s="11"/>
      <c r="Q192" s="11"/>
      <c r="R192" s="11"/>
    </row>
    <row r="193" spans="1:18">
      <c r="A193" s="748">
        <v>45016</v>
      </c>
      <c r="B193" s="748">
        <v>45016</v>
      </c>
      <c r="C193" s="749" t="s">
        <v>482</v>
      </c>
      <c r="D193" s="10"/>
      <c r="E193" s="11"/>
      <c r="F193" s="11"/>
      <c r="G193" s="749" t="s">
        <v>476</v>
      </c>
      <c r="H193" s="749" t="s">
        <v>446</v>
      </c>
      <c r="I193" s="749" t="s">
        <v>425</v>
      </c>
      <c r="J193" s="11"/>
      <c r="K193" s="750">
        <v>46548788</v>
      </c>
      <c r="L193" s="750">
        <v>0</v>
      </c>
      <c r="M193" s="11"/>
      <c r="N193" s="11"/>
      <c r="O193" s="11"/>
      <c r="P193" s="11"/>
      <c r="Q193" s="11"/>
      <c r="R193" s="11"/>
    </row>
    <row r="194" spans="1:18">
      <c r="A194" s="748">
        <v>45016</v>
      </c>
      <c r="B194" s="748">
        <v>45016</v>
      </c>
      <c r="C194" s="749" t="s">
        <v>482</v>
      </c>
      <c r="D194" s="10"/>
      <c r="E194" s="11"/>
      <c r="F194" s="11"/>
      <c r="G194" s="749" t="s">
        <v>476</v>
      </c>
      <c r="H194" s="749" t="s">
        <v>446</v>
      </c>
      <c r="I194" s="749" t="s">
        <v>427</v>
      </c>
      <c r="J194" s="11"/>
      <c r="K194" s="750">
        <v>11010828</v>
      </c>
      <c r="L194" s="750">
        <v>0</v>
      </c>
      <c r="M194" s="11"/>
      <c r="N194" s="11"/>
      <c r="O194" s="11"/>
      <c r="P194" s="11"/>
      <c r="Q194" s="11"/>
      <c r="R194" s="11"/>
    </row>
    <row r="195" spans="1:18">
      <c r="A195" s="748">
        <v>45016</v>
      </c>
      <c r="B195" s="748">
        <v>45016</v>
      </c>
      <c r="C195" s="749" t="s">
        <v>482</v>
      </c>
      <c r="D195" s="10"/>
      <c r="E195" s="11"/>
      <c r="F195" s="11"/>
      <c r="G195" s="749" t="s">
        <v>476</v>
      </c>
      <c r="H195" s="749" t="s">
        <v>446</v>
      </c>
      <c r="I195" s="749" t="s">
        <v>429</v>
      </c>
      <c r="J195" s="11"/>
      <c r="K195" s="750">
        <v>24937500</v>
      </c>
      <c r="L195" s="750">
        <v>0</v>
      </c>
      <c r="M195" s="11"/>
      <c r="N195" s="11"/>
      <c r="O195" s="11"/>
      <c r="P195" s="11"/>
      <c r="Q195" s="11"/>
      <c r="R195" s="11"/>
    </row>
    <row r="196" spans="1:18">
      <c r="A196" s="748">
        <v>45016</v>
      </c>
      <c r="B196" s="748">
        <v>45016</v>
      </c>
      <c r="C196" s="749" t="s">
        <v>482</v>
      </c>
      <c r="D196" s="10"/>
      <c r="E196" s="11"/>
      <c r="F196" s="11"/>
      <c r="G196" s="749" t="s">
        <v>476</v>
      </c>
      <c r="H196" s="749" t="s">
        <v>446</v>
      </c>
      <c r="I196" s="749" t="s">
        <v>431</v>
      </c>
      <c r="J196" s="11"/>
      <c r="K196" s="750">
        <v>3520542</v>
      </c>
      <c r="L196" s="750">
        <v>0</v>
      </c>
      <c r="M196" s="11"/>
      <c r="N196" s="11"/>
      <c r="O196" s="11"/>
      <c r="P196" s="11"/>
      <c r="Q196" s="11"/>
      <c r="R196" s="11"/>
    </row>
    <row r="197" spans="1:18">
      <c r="A197" s="748">
        <v>45016</v>
      </c>
      <c r="B197" s="748">
        <v>45016</v>
      </c>
      <c r="C197" s="749" t="s">
        <v>482</v>
      </c>
      <c r="D197" s="10"/>
      <c r="E197" s="11"/>
      <c r="F197" s="11"/>
      <c r="G197" s="749" t="s">
        <v>476</v>
      </c>
      <c r="H197" s="749" t="s">
        <v>446</v>
      </c>
      <c r="I197" s="749" t="s">
        <v>432</v>
      </c>
      <c r="J197" s="11"/>
      <c r="K197" s="750">
        <v>246018000</v>
      </c>
      <c r="L197" s="750">
        <v>0</v>
      </c>
      <c r="M197" s="11"/>
      <c r="N197" s="11"/>
      <c r="O197" s="11"/>
      <c r="P197" s="11"/>
      <c r="Q197" s="11"/>
      <c r="R197" s="11"/>
    </row>
    <row r="198" spans="1:18">
      <c r="A198" s="748">
        <v>45016</v>
      </c>
      <c r="B198" s="748">
        <v>45016</v>
      </c>
      <c r="C198" s="749" t="s">
        <v>482</v>
      </c>
      <c r="D198" s="10"/>
      <c r="E198" s="11"/>
      <c r="F198" s="11"/>
      <c r="G198" s="749" t="s">
        <v>476</v>
      </c>
      <c r="H198" s="749" t="s">
        <v>446</v>
      </c>
      <c r="I198" s="749" t="s">
        <v>435</v>
      </c>
      <c r="J198" s="11"/>
      <c r="K198" s="750">
        <v>33164275</v>
      </c>
      <c r="L198" s="750">
        <v>0</v>
      </c>
      <c r="M198" s="11"/>
      <c r="N198" s="11"/>
      <c r="O198" s="11"/>
      <c r="P198" s="11"/>
      <c r="Q198" s="11"/>
      <c r="R198" s="11"/>
    </row>
    <row r="199" spans="1:18">
      <c r="A199" s="748">
        <v>45016</v>
      </c>
      <c r="B199" s="748">
        <v>45016</v>
      </c>
      <c r="C199" s="749" t="s">
        <v>482</v>
      </c>
      <c r="D199" s="10"/>
      <c r="E199" s="11"/>
      <c r="F199" s="11"/>
      <c r="G199" s="749" t="s">
        <v>476</v>
      </c>
      <c r="H199" s="749" t="s">
        <v>446</v>
      </c>
      <c r="I199" s="749" t="s">
        <v>438</v>
      </c>
      <c r="J199" s="11"/>
      <c r="K199" s="750">
        <v>25900</v>
      </c>
      <c r="L199" s="750">
        <v>0</v>
      </c>
      <c r="M199" s="11"/>
      <c r="N199" s="11"/>
      <c r="O199" s="11"/>
      <c r="P199" s="11"/>
      <c r="Q199" s="11"/>
      <c r="R199" s="11"/>
    </row>
    <row r="200" spans="1:18">
      <c r="A200" s="748">
        <v>45016</v>
      </c>
      <c r="B200" s="748">
        <v>45016</v>
      </c>
      <c r="C200" s="749" t="s">
        <v>482</v>
      </c>
      <c r="D200" s="10"/>
      <c r="E200" s="11"/>
      <c r="F200" s="11"/>
      <c r="G200" s="749" t="s">
        <v>477</v>
      </c>
      <c r="H200" s="749" t="s">
        <v>446</v>
      </c>
      <c r="I200" s="749" t="s">
        <v>442</v>
      </c>
      <c r="J200" s="11"/>
      <c r="K200" s="750">
        <v>0</v>
      </c>
      <c r="L200" s="750">
        <v>2</v>
      </c>
      <c r="M200" s="11"/>
      <c r="N200" s="11"/>
      <c r="O200" s="11"/>
      <c r="P200" s="11"/>
      <c r="Q200" s="11"/>
      <c r="R200" s="11"/>
    </row>
    <row r="201" spans="1:18">
      <c r="A201" s="748">
        <v>45016</v>
      </c>
      <c r="B201" s="748">
        <v>45016</v>
      </c>
      <c r="C201" s="749" t="s">
        <v>482</v>
      </c>
      <c r="D201" s="10"/>
      <c r="E201" s="11"/>
      <c r="F201" s="11"/>
      <c r="G201" s="749" t="s">
        <v>478</v>
      </c>
      <c r="H201" s="749" t="s">
        <v>446</v>
      </c>
      <c r="I201" s="749" t="s">
        <v>444</v>
      </c>
      <c r="J201" s="11"/>
      <c r="K201" s="750">
        <v>1</v>
      </c>
      <c r="L201" s="750">
        <v>0</v>
      </c>
      <c r="M201" s="11"/>
      <c r="N201" s="11"/>
      <c r="O201" s="11"/>
      <c r="P201" s="11"/>
      <c r="Q201" s="11"/>
      <c r="R201" s="11"/>
    </row>
    <row r="202" spans="1:18">
      <c r="A202" s="748">
        <v>45016</v>
      </c>
      <c r="B202" s="748">
        <v>45016</v>
      </c>
      <c r="C202" s="749" t="s">
        <v>482</v>
      </c>
      <c r="D202" s="10"/>
      <c r="E202" s="11"/>
      <c r="F202" s="11"/>
      <c r="G202" s="749" t="s">
        <v>479</v>
      </c>
      <c r="H202" s="749" t="s">
        <v>446</v>
      </c>
      <c r="I202" s="749" t="s">
        <v>217</v>
      </c>
      <c r="J202" s="11"/>
      <c r="K202" s="750">
        <v>0</v>
      </c>
      <c r="L202" s="750">
        <v>289962952</v>
      </c>
      <c r="M202" s="11"/>
      <c r="N202" s="11"/>
      <c r="O202" s="11"/>
      <c r="P202" s="11"/>
      <c r="Q202" s="11"/>
      <c r="R202" s="11"/>
    </row>
    <row r="203" spans="1:18">
      <c r="A203" s="748">
        <v>45046</v>
      </c>
      <c r="B203" s="748">
        <v>45046</v>
      </c>
      <c r="C203" s="749" t="s">
        <v>483</v>
      </c>
      <c r="D203" s="10"/>
      <c r="E203" s="11"/>
      <c r="F203" s="11"/>
      <c r="G203" s="749" t="s">
        <v>468</v>
      </c>
      <c r="H203" s="749" t="s">
        <v>446</v>
      </c>
      <c r="I203" s="749" t="s">
        <v>223</v>
      </c>
      <c r="J203" s="11"/>
      <c r="K203" s="750">
        <v>0</v>
      </c>
      <c r="L203" s="750">
        <v>9574358</v>
      </c>
      <c r="M203" s="11"/>
      <c r="N203" s="11"/>
      <c r="O203" s="11"/>
      <c r="P203" s="11"/>
      <c r="Q203" s="11"/>
      <c r="R203" s="11"/>
    </row>
    <row r="204" spans="1:18">
      <c r="A204" s="748">
        <v>45046</v>
      </c>
      <c r="B204" s="748">
        <v>45046</v>
      </c>
      <c r="C204" s="749" t="s">
        <v>483</v>
      </c>
      <c r="D204" s="10"/>
      <c r="E204" s="11"/>
      <c r="F204" s="11"/>
      <c r="G204" s="749" t="s">
        <v>468</v>
      </c>
      <c r="H204" s="749" t="s">
        <v>446</v>
      </c>
      <c r="I204" s="749" t="s">
        <v>225</v>
      </c>
      <c r="J204" s="11"/>
      <c r="K204" s="750">
        <v>0</v>
      </c>
      <c r="L204" s="750">
        <v>10728000</v>
      </c>
      <c r="M204" s="11"/>
      <c r="N204" s="11"/>
      <c r="O204" s="11"/>
      <c r="P204" s="11"/>
      <c r="Q204" s="11"/>
      <c r="R204" s="11"/>
    </row>
    <row r="205" spans="1:18">
      <c r="A205" s="748">
        <v>45046</v>
      </c>
      <c r="B205" s="748">
        <v>45046</v>
      </c>
      <c r="C205" s="749" t="s">
        <v>483</v>
      </c>
      <c r="D205" s="10"/>
      <c r="E205" s="11"/>
      <c r="F205" s="11"/>
      <c r="G205" s="749" t="s">
        <v>468</v>
      </c>
      <c r="H205" s="749" t="s">
        <v>446</v>
      </c>
      <c r="I205" s="749" t="s">
        <v>227</v>
      </c>
      <c r="J205" s="11"/>
      <c r="K205" s="750">
        <v>0</v>
      </c>
      <c r="L205" s="750">
        <v>35730000</v>
      </c>
      <c r="M205" s="11"/>
      <c r="N205" s="11"/>
      <c r="O205" s="11"/>
      <c r="P205" s="11"/>
      <c r="Q205" s="11"/>
      <c r="R205" s="11"/>
    </row>
    <row r="206" spans="1:18">
      <c r="A206" s="748">
        <v>45046</v>
      </c>
      <c r="B206" s="748">
        <v>45046</v>
      </c>
      <c r="C206" s="749" t="s">
        <v>483</v>
      </c>
      <c r="D206" s="10"/>
      <c r="E206" s="11"/>
      <c r="F206" s="11"/>
      <c r="G206" s="749" t="s">
        <v>468</v>
      </c>
      <c r="H206" s="749" t="s">
        <v>446</v>
      </c>
      <c r="I206" s="749" t="s">
        <v>229</v>
      </c>
      <c r="J206" s="11"/>
      <c r="K206" s="750">
        <v>0</v>
      </c>
      <c r="L206" s="750">
        <v>150795167</v>
      </c>
      <c r="M206" s="11"/>
      <c r="N206" s="11"/>
      <c r="O206" s="11"/>
      <c r="P206" s="11"/>
      <c r="Q206" s="11"/>
      <c r="R206" s="11"/>
    </row>
    <row r="207" spans="1:18">
      <c r="A207" s="748">
        <v>45046</v>
      </c>
      <c r="B207" s="748">
        <v>45046</v>
      </c>
      <c r="C207" s="749" t="s">
        <v>483</v>
      </c>
      <c r="D207" s="10"/>
      <c r="E207" s="11"/>
      <c r="F207" s="11"/>
      <c r="G207" s="749" t="s">
        <v>468</v>
      </c>
      <c r="H207" s="749" t="s">
        <v>446</v>
      </c>
      <c r="I207" s="749" t="s">
        <v>231</v>
      </c>
      <c r="J207" s="11"/>
      <c r="K207" s="750">
        <v>0</v>
      </c>
      <c r="L207" s="750">
        <v>300166244</v>
      </c>
      <c r="M207" s="11"/>
      <c r="N207" s="11"/>
      <c r="O207" s="11"/>
      <c r="P207" s="11"/>
      <c r="Q207" s="11"/>
      <c r="R207" s="11"/>
    </row>
    <row r="208" spans="1:18">
      <c r="A208" s="748">
        <v>45046</v>
      </c>
      <c r="B208" s="748">
        <v>45046</v>
      </c>
      <c r="C208" s="749" t="s">
        <v>483</v>
      </c>
      <c r="D208" s="10"/>
      <c r="E208" s="11"/>
      <c r="F208" s="11"/>
      <c r="G208" s="749" t="s">
        <v>468</v>
      </c>
      <c r="H208" s="749" t="s">
        <v>446</v>
      </c>
      <c r="I208" s="749" t="s">
        <v>233</v>
      </c>
      <c r="J208" s="11"/>
      <c r="K208" s="750">
        <v>0</v>
      </c>
      <c r="L208" s="750">
        <v>1693000</v>
      </c>
      <c r="M208" s="11"/>
      <c r="N208" s="11"/>
      <c r="O208" s="11"/>
      <c r="P208" s="11"/>
      <c r="Q208" s="11"/>
      <c r="R208" s="11"/>
    </row>
    <row r="209" spans="1:18">
      <c r="A209" s="748">
        <v>45046</v>
      </c>
      <c r="B209" s="748">
        <v>45046</v>
      </c>
      <c r="C209" s="749" t="s">
        <v>483</v>
      </c>
      <c r="D209" s="10"/>
      <c r="E209" s="11"/>
      <c r="F209" s="11"/>
      <c r="G209" s="749" t="s">
        <v>468</v>
      </c>
      <c r="H209" s="749" t="s">
        <v>446</v>
      </c>
      <c r="I209" s="749" t="s">
        <v>235</v>
      </c>
      <c r="J209" s="11"/>
      <c r="K209" s="750">
        <v>0</v>
      </c>
      <c r="L209" s="750">
        <v>22728776</v>
      </c>
      <c r="M209" s="11"/>
      <c r="N209" s="11"/>
      <c r="O209" s="11"/>
      <c r="P209" s="11"/>
      <c r="Q209" s="11"/>
      <c r="R209" s="11"/>
    </row>
    <row r="210" spans="1:18">
      <c r="A210" s="748">
        <v>45046</v>
      </c>
      <c r="B210" s="748">
        <v>45046</v>
      </c>
      <c r="C210" s="749" t="s">
        <v>483</v>
      </c>
      <c r="D210" s="10"/>
      <c r="E210" s="11"/>
      <c r="F210" s="11"/>
      <c r="G210" s="749" t="s">
        <v>468</v>
      </c>
      <c r="H210" s="749" t="s">
        <v>446</v>
      </c>
      <c r="I210" s="749" t="s">
        <v>237</v>
      </c>
      <c r="J210" s="11"/>
      <c r="K210" s="750">
        <v>0</v>
      </c>
      <c r="L210" s="750">
        <v>132665</v>
      </c>
      <c r="M210" s="11"/>
      <c r="N210" s="11"/>
      <c r="O210" s="11"/>
      <c r="P210" s="11"/>
      <c r="Q210" s="11"/>
      <c r="R210" s="11"/>
    </row>
    <row r="211" spans="1:18">
      <c r="A211" s="748">
        <v>45046</v>
      </c>
      <c r="B211" s="748">
        <v>45046</v>
      </c>
      <c r="C211" s="749" t="s">
        <v>483</v>
      </c>
      <c r="D211" s="10"/>
      <c r="E211" s="11"/>
      <c r="F211" s="11"/>
      <c r="G211" s="749" t="s">
        <v>468</v>
      </c>
      <c r="H211" s="749" t="s">
        <v>446</v>
      </c>
      <c r="I211" s="749" t="s">
        <v>239</v>
      </c>
      <c r="J211" s="11"/>
      <c r="K211" s="750">
        <v>0</v>
      </c>
      <c r="L211" s="750">
        <v>272727</v>
      </c>
      <c r="M211" s="11"/>
      <c r="N211" s="11"/>
      <c r="O211" s="11"/>
      <c r="P211" s="11"/>
      <c r="Q211" s="11"/>
      <c r="R211" s="11"/>
    </row>
    <row r="212" spans="1:18">
      <c r="A212" s="748">
        <v>45046</v>
      </c>
      <c r="B212" s="748">
        <v>45046</v>
      </c>
      <c r="C212" s="749" t="s">
        <v>483</v>
      </c>
      <c r="D212" s="10"/>
      <c r="E212" s="11"/>
      <c r="F212" s="11"/>
      <c r="G212" s="749" t="s">
        <v>468</v>
      </c>
      <c r="H212" s="749" t="s">
        <v>446</v>
      </c>
      <c r="I212" s="749" t="s">
        <v>241</v>
      </c>
      <c r="J212" s="11"/>
      <c r="K212" s="750">
        <v>0</v>
      </c>
      <c r="L212" s="750">
        <v>151699531</v>
      </c>
      <c r="M212" s="11"/>
      <c r="N212" s="11"/>
      <c r="O212" s="11"/>
      <c r="P212" s="11"/>
      <c r="Q212" s="11"/>
      <c r="R212" s="11"/>
    </row>
    <row r="213" spans="1:18">
      <c r="A213" s="748">
        <v>45046</v>
      </c>
      <c r="B213" s="748">
        <v>45046</v>
      </c>
      <c r="C213" s="749" t="s">
        <v>483</v>
      </c>
      <c r="D213" s="10"/>
      <c r="E213" s="11"/>
      <c r="F213" s="11"/>
      <c r="G213" s="749" t="s">
        <v>468</v>
      </c>
      <c r="H213" s="749" t="s">
        <v>446</v>
      </c>
      <c r="I213" s="749" t="s">
        <v>243</v>
      </c>
      <c r="J213" s="11"/>
      <c r="K213" s="750">
        <v>0</v>
      </c>
      <c r="L213" s="750">
        <v>100000000</v>
      </c>
      <c r="M213" s="11"/>
      <c r="N213" s="11"/>
      <c r="O213" s="11"/>
      <c r="P213" s="11"/>
      <c r="Q213" s="11"/>
      <c r="R213" s="11"/>
    </row>
    <row r="214" spans="1:18">
      <c r="A214" s="748">
        <v>45046</v>
      </c>
      <c r="B214" s="748">
        <v>45046</v>
      </c>
      <c r="C214" s="749" t="s">
        <v>483</v>
      </c>
      <c r="D214" s="10"/>
      <c r="E214" s="11"/>
      <c r="F214" s="11"/>
      <c r="G214" s="749" t="s">
        <v>472</v>
      </c>
      <c r="H214" s="749" t="s">
        <v>446</v>
      </c>
      <c r="I214" s="749" t="s">
        <v>249</v>
      </c>
      <c r="J214" s="11"/>
      <c r="K214" s="750">
        <v>0</v>
      </c>
      <c r="L214" s="750">
        <v>19843228913</v>
      </c>
      <c r="M214" s="11"/>
      <c r="N214" s="11"/>
      <c r="O214" s="11"/>
      <c r="P214" s="11"/>
      <c r="Q214" s="11"/>
      <c r="R214" s="11"/>
    </row>
    <row r="215" spans="1:18">
      <c r="A215" s="748">
        <v>45046</v>
      </c>
      <c r="B215" s="748">
        <v>45046</v>
      </c>
      <c r="C215" s="749" t="s">
        <v>483</v>
      </c>
      <c r="D215" s="10"/>
      <c r="E215" s="11"/>
      <c r="F215" s="11"/>
      <c r="G215" s="749" t="s">
        <v>472</v>
      </c>
      <c r="H215" s="749" t="s">
        <v>446</v>
      </c>
      <c r="I215" s="749" t="s">
        <v>251</v>
      </c>
      <c r="J215" s="11"/>
      <c r="K215" s="750">
        <v>0</v>
      </c>
      <c r="L215" s="750">
        <v>4203623370</v>
      </c>
      <c r="M215" s="11"/>
      <c r="N215" s="11"/>
      <c r="O215" s="11"/>
      <c r="P215" s="11"/>
      <c r="Q215" s="11"/>
      <c r="R215" s="11"/>
    </row>
    <row r="216" spans="1:18">
      <c r="A216" s="748">
        <v>45046</v>
      </c>
      <c r="B216" s="748">
        <v>45046</v>
      </c>
      <c r="C216" s="749" t="s">
        <v>483</v>
      </c>
      <c r="D216" s="10"/>
      <c r="E216" s="11"/>
      <c r="F216" s="11"/>
      <c r="G216" s="749" t="s">
        <v>472</v>
      </c>
      <c r="H216" s="749" t="s">
        <v>446</v>
      </c>
      <c r="I216" s="749" t="s">
        <v>255</v>
      </c>
      <c r="J216" s="11"/>
      <c r="K216" s="750">
        <v>0</v>
      </c>
      <c r="L216" s="750">
        <v>348619002</v>
      </c>
      <c r="M216" s="11"/>
      <c r="N216" s="11"/>
      <c r="O216" s="11"/>
      <c r="P216" s="11"/>
      <c r="Q216" s="11"/>
      <c r="R216" s="11"/>
    </row>
    <row r="217" spans="1:18">
      <c r="A217" s="748">
        <v>45046</v>
      </c>
      <c r="B217" s="748">
        <v>45046</v>
      </c>
      <c r="C217" s="749" t="s">
        <v>483</v>
      </c>
      <c r="D217" s="10"/>
      <c r="E217" s="11"/>
      <c r="F217" s="11"/>
      <c r="G217" s="749" t="s">
        <v>472</v>
      </c>
      <c r="H217" s="749" t="s">
        <v>446</v>
      </c>
      <c r="I217" s="749" t="s">
        <v>257</v>
      </c>
      <c r="J217" s="11"/>
      <c r="K217" s="750">
        <v>0</v>
      </c>
      <c r="L217" s="750">
        <v>2120547895</v>
      </c>
      <c r="M217" s="11"/>
      <c r="N217" s="11"/>
      <c r="O217" s="11"/>
      <c r="P217" s="11"/>
      <c r="Q217" s="11"/>
      <c r="R217" s="11"/>
    </row>
    <row r="218" spans="1:18">
      <c r="A218" s="748">
        <v>45046</v>
      </c>
      <c r="B218" s="748">
        <v>45046</v>
      </c>
      <c r="C218" s="749" t="s">
        <v>483</v>
      </c>
      <c r="D218" s="10"/>
      <c r="E218" s="11"/>
      <c r="F218" s="11"/>
      <c r="G218" s="749" t="s">
        <v>472</v>
      </c>
      <c r="H218" s="749" t="s">
        <v>446</v>
      </c>
      <c r="I218" s="749" t="s">
        <v>259</v>
      </c>
      <c r="J218" s="11"/>
      <c r="K218" s="750">
        <v>0</v>
      </c>
      <c r="L218" s="750">
        <v>3727777674</v>
      </c>
      <c r="M218" s="11"/>
      <c r="N218" s="11"/>
      <c r="O218" s="11"/>
      <c r="P218" s="11"/>
      <c r="Q218" s="11"/>
      <c r="R218" s="11"/>
    </row>
    <row r="219" spans="1:18">
      <c r="A219" s="748">
        <v>45046</v>
      </c>
      <c r="B219" s="748">
        <v>45046</v>
      </c>
      <c r="C219" s="749" t="s">
        <v>483</v>
      </c>
      <c r="D219" s="10"/>
      <c r="E219" s="11"/>
      <c r="F219" s="11"/>
      <c r="G219" s="749" t="s">
        <v>472</v>
      </c>
      <c r="H219" s="749" t="s">
        <v>446</v>
      </c>
      <c r="I219" s="749" t="s">
        <v>261</v>
      </c>
      <c r="J219" s="11"/>
      <c r="K219" s="750">
        <v>0</v>
      </c>
      <c r="L219" s="750">
        <v>131507</v>
      </c>
      <c r="M219" s="11"/>
      <c r="N219" s="11"/>
      <c r="O219" s="11"/>
      <c r="P219" s="11"/>
      <c r="Q219" s="11"/>
      <c r="R219" s="11"/>
    </row>
    <row r="220" spans="1:18">
      <c r="A220" s="748">
        <v>45046</v>
      </c>
      <c r="B220" s="748">
        <v>45046</v>
      </c>
      <c r="C220" s="749" t="s">
        <v>483</v>
      </c>
      <c r="D220" s="10"/>
      <c r="E220" s="11"/>
      <c r="F220" s="11"/>
      <c r="G220" s="749" t="s">
        <v>472</v>
      </c>
      <c r="H220" s="749" t="s">
        <v>446</v>
      </c>
      <c r="I220" s="749" t="s">
        <v>263</v>
      </c>
      <c r="J220" s="11"/>
      <c r="K220" s="750">
        <v>0</v>
      </c>
      <c r="L220" s="750">
        <v>4139</v>
      </c>
      <c r="M220" s="11"/>
      <c r="N220" s="11"/>
      <c r="O220" s="11"/>
      <c r="P220" s="11"/>
      <c r="Q220" s="11"/>
      <c r="R220" s="11"/>
    </row>
    <row r="221" spans="1:18">
      <c r="A221" s="748">
        <v>45046</v>
      </c>
      <c r="B221" s="748">
        <v>45046</v>
      </c>
      <c r="C221" s="749" t="s">
        <v>483</v>
      </c>
      <c r="D221" s="10"/>
      <c r="E221" s="11"/>
      <c r="F221" s="11"/>
      <c r="G221" s="749" t="s">
        <v>473</v>
      </c>
      <c r="H221" s="749" t="s">
        <v>446</v>
      </c>
      <c r="I221" s="749" t="s">
        <v>303</v>
      </c>
      <c r="J221" s="11"/>
      <c r="K221" s="750">
        <v>1935169851</v>
      </c>
      <c r="L221" s="750">
        <v>0</v>
      </c>
      <c r="M221" s="11"/>
      <c r="N221" s="11"/>
      <c r="O221" s="11"/>
      <c r="P221" s="11"/>
      <c r="Q221" s="11"/>
      <c r="R221" s="11"/>
    </row>
    <row r="222" spans="1:18">
      <c r="A222" s="748">
        <v>45046</v>
      </c>
      <c r="B222" s="748">
        <v>45046</v>
      </c>
      <c r="C222" s="749" t="s">
        <v>483</v>
      </c>
      <c r="D222" s="10"/>
      <c r="E222" s="11"/>
      <c r="F222" s="11"/>
      <c r="G222" s="749" t="s">
        <v>474</v>
      </c>
      <c r="H222" s="749" t="s">
        <v>446</v>
      </c>
      <c r="I222" s="749" t="s">
        <v>307</v>
      </c>
      <c r="J222" s="11"/>
      <c r="K222" s="750">
        <v>7819421755</v>
      </c>
      <c r="L222" s="750">
        <v>0</v>
      </c>
      <c r="M222" s="11"/>
      <c r="N222" s="11"/>
      <c r="O222" s="11"/>
      <c r="P222" s="11"/>
      <c r="Q222" s="11"/>
      <c r="R222" s="11"/>
    </row>
    <row r="223" spans="1:18">
      <c r="A223" s="748">
        <v>45046</v>
      </c>
      <c r="B223" s="748">
        <v>45046</v>
      </c>
      <c r="C223" s="749" t="s">
        <v>483</v>
      </c>
      <c r="D223" s="10"/>
      <c r="E223" s="11"/>
      <c r="F223" s="11"/>
      <c r="G223" s="749" t="s">
        <v>474</v>
      </c>
      <c r="H223" s="749" t="s">
        <v>446</v>
      </c>
      <c r="I223" s="749" t="s">
        <v>309</v>
      </c>
      <c r="J223" s="11"/>
      <c r="K223" s="750">
        <v>2592534151</v>
      </c>
      <c r="L223" s="750">
        <v>0</v>
      </c>
      <c r="M223" s="11"/>
      <c r="N223" s="11"/>
      <c r="O223" s="11"/>
      <c r="P223" s="11"/>
      <c r="Q223" s="11"/>
      <c r="R223" s="11"/>
    </row>
    <row r="224" spans="1:18">
      <c r="A224" s="748">
        <v>45046</v>
      </c>
      <c r="B224" s="748">
        <v>45046</v>
      </c>
      <c r="C224" s="749" t="s">
        <v>483</v>
      </c>
      <c r="D224" s="10"/>
      <c r="E224" s="11"/>
      <c r="F224" s="11"/>
      <c r="G224" s="749" t="s">
        <v>474</v>
      </c>
      <c r="H224" s="749" t="s">
        <v>446</v>
      </c>
      <c r="I224" s="749" t="s">
        <v>313</v>
      </c>
      <c r="J224" s="11"/>
      <c r="K224" s="750">
        <v>2351193359</v>
      </c>
      <c r="L224" s="750">
        <v>0</v>
      </c>
      <c r="M224" s="11"/>
      <c r="N224" s="11"/>
      <c r="O224" s="11"/>
      <c r="P224" s="11"/>
      <c r="Q224" s="11"/>
      <c r="R224" s="11"/>
    </row>
    <row r="225" spans="1:18">
      <c r="A225" s="748">
        <v>45046</v>
      </c>
      <c r="B225" s="748">
        <v>45046</v>
      </c>
      <c r="C225" s="749" t="s">
        <v>483</v>
      </c>
      <c r="D225" s="10"/>
      <c r="E225" s="11"/>
      <c r="F225" s="11"/>
      <c r="G225" s="749" t="s">
        <v>474</v>
      </c>
      <c r="H225" s="749" t="s">
        <v>446</v>
      </c>
      <c r="I225" s="749" t="s">
        <v>317</v>
      </c>
      <c r="J225" s="11"/>
      <c r="K225" s="750">
        <v>2761485187</v>
      </c>
      <c r="L225" s="750">
        <v>0</v>
      </c>
      <c r="M225" s="11"/>
      <c r="N225" s="11"/>
      <c r="O225" s="11"/>
      <c r="P225" s="11"/>
      <c r="Q225" s="11"/>
      <c r="R225" s="11"/>
    </row>
    <row r="226" spans="1:18">
      <c r="A226" s="748">
        <v>45046</v>
      </c>
      <c r="B226" s="748">
        <v>45046</v>
      </c>
      <c r="C226" s="749" t="s">
        <v>483</v>
      </c>
      <c r="D226" s="10"/>
      <c r="E226" s="11"/>
      <c r="F226" s="11"/>
      <c r="G226" s="749" t="s">
        <v>475</v>
      </c>
      <c r="H226" s="749" t="s">
        <v>446</v>
      </c>
      <c r="I226" s="749" t="s">
        <v>337</v>
      </c>
      <c r="J226" s="11"/>
      <c r="K226" s="750">
        <v>485698975</v>
      </c>
      <c r="L226" s="750">
        <v>0</v>
      </c>
      <c r="M226" s="11"/>
      <c r="N226" s="11"/>
      <c r="O226" s="11"/>
      <c r="P226" s="11"/>
      <c r="Q226" s="11"/>
      <c r="R226" s="11"/>
    </row>
    <row r="227" spans="1:18">
      <c r="A227" s="748">
        <v>45046</v>
      </c>
      <c r="B227" s="748">
        <v>45046</v>
      </c>
      <c r="C227" s="749" t="s">
        <v>483</v>
      </c>
      <c r="D227" s="10"/>
      <c r="E227" s="11"/>
      <c r="F227" s="11"/>
      <c r="G227" s="749" t="s">
        <v>475</v>
      </c>
      <c r="H227" s="749" t="s">
        <v>446</v>
      </c>
      <c r="I227" s="749" t="s">
        <v>341</v>
      </c>
      <c r="J227" s="11"/>
      <c r="K227" s="750">
        <v>11515909</v>
      </c>
      <c r="L227" s="750">
        <v>0</v>
      </c>
      <c r="M227" s="11"/>
      <c r="N227" s="11"/>
      <c r="O227" s="11"/>
      <c r="P227" s="11"/>
      <c r="Q227" s="11"/>
      <c r="R227" s="11"/>
    </row>
    <row r="228" spans="1:18">
      <c r="A228" s="748">
        <v>45046</v>
      </c>
      <c r="B228" s="748">
        <v>45046</v>
      </c>
      <c r="C228" s="749" t="s">
        <v>483</v>
      </c>
      <c r="D228" s="10"/>
      <c r="E228" s="11"/>
      <c r="F228" s="11"/>
      <c r="G228" s="749" t="s">
        <v>475</v>
      </c>
      <c r="H228" s="749" t="s">
        <v>446</v>
      </c>
      <c r="I228" s="749" t="s">
        <v>343</v>
      </c>
      <c r="J228" s="11"/>
      <c r="K228" s="750">
        <v>8953023</v>
      </c>
      <c r="L228" s="750">
        <v>0</v>
      </c>
      <c r="M228" s="11"/>
      <c r="N228" s="11"/>
      <c r="O228" s="11"/>
      <c r="P228" s="11"/>
      <c r="Q228" s="11"/>
      <c r="R228" s="11"/>
    </row>
    <row r="229" spans="1:18">
      <c r="A229" s="748">
        <v>45046</v>
      </c>
      <c r="B229" s="748">
        <v>45046</v>
      </c>
      <c r="C229" s="749" t="s">
        <v>483</v>
      </c>
      <c r="D229" s="10"/>
      <c r="E229" s="11"/>
      <c r="F229" s="11"/>
      <c r="G229" s="749" t="s">
        <v>475</v>
      </c>
      <c r="H229" s="749" t="s">
        <v>446</v>
      </c>
      <c r="I229" s="749" t="s">
        <v>345</v>
      </c>
      <c r="J229" s="11"/>
      <c r="K229" s="750">
        <v>3870417</v>
      </c>
      <c r="L229" s="750">
        <v>0</v>
      </c>
      <c r="M229" s="11"/>
      <c r="N229" s="11"/>
      <c r="O229" s="11"/>
      <c r="P229" s="11"/>
      <c r="Q229" s="11"/>
      <c r="R229" s="11"/>
    </row>
    <row r="230" spans="1:18">
      <c r="A230" s="748">
        <v>45046</v>
      </c>
      <c r="B230" s="748">
        <v>45046</v>
      </c>
      <c r="C230" s="749" t="s">
        <v>483</v>
      </c>
      <c r="D230" s="10"/>
      <c r="E230" s="11"/>
      <c r="F230" s="11"/>
      <c r="G230" s="749" t="s">
        <v>475</v>
      </c>
      <c r="H230" s="749" t="s">
        <v>446</v>
      </c>
      <c r="I230" s="749" t="s">
        <v>347</v>
      </c>
      <c r="J230" s="11"/>
      <c r="K230" s="750">
        <v>97586332</v>
      </c>
      <c r="L230" s="750">
        <v>0</v>
      </c>
      <c r="M230" s="11"/>
      <c r="N230" s="11"/>
      <c r="O230" s="11"/>
      <c r="P230" s="11"/>
      <c r="Q230" s="11"/>
      <c r="R230" s="11"/>
    </row>
    <row r="231" spans="1:18">
      <c r="A231" s="748">
        <v>45046</v>
      </c>
      <c r="B231" s="748">
        <v>45046</v>
      </c>
      <c r="C231" s="749" t="s">
        <v>483</v>
      </c>
      <c r="D231" s="10"/>
      <c r="E231" s="11"/>
      <c r="F231" s="11"/>
      <c r="G231" s="749" t="s">
        <v>475</v>
      </c>
      <c r="H231" s="749" t="s">
        <v>446</v>
      </c>
      <c r="I231" s="749" t="s">
        <v>348</v>
      </c>
      <c r="J231" s="11"/>
      <c r="K231" s="750">
        <v>42593331</v>
      </c>
      <c r="L231" s="750">
        <v>0</v>
      </c>
      <c r="M231" s="11"/>
      <c r="N231" s="11"/>
      <c r="O231" s="11"/>
      <c r="P231" s="11"/>
      <c r="Q231" s="11"/>
      <c r="R231" s="11"/>
    </row>
    <row r="232" spans="1:18">
      <c r="A232" s="748">
        <v>45046</v>
      </c>
      <c r="B232" s="748">
        <v>45046</v>
      </c>
      <c r="C232" s="749" t="s">
        <v>483</v>
      </c>
      <c r="D232" s="10"/>
      <c r="E232" s="11"/>
      <c r="F232" s="11"/>
      <c r="G232" s="749" t="s">
        <v>475</v>
      </c>
      <c r="H232" s="749" t="s">
        <v>446</v>
      </c>
      <c r="I232" s="749" t="s">
        <v>350</v>
      </c>
      <c r="J232" s="11"/>
      <c r="K232" s="750">
        <v>344647506</v>
      </c>
      <c r="L232" s="750">
        <v>0</v>
      </c>
      <c r="M232" s="11"/>
      <c r="N232" s="11"/>
      <c r="O232" s="11"/>
      <c r="P232" s="11"/>
      <c r="Q232" s="11"/>
      <c r="R232" s="11"/>
    </row>
    <row r="233" spans="1:18">
      <c r="A233" s="748">
        <v>45046</v>
      </c>
      <c r="B233" s="748">
        <v>45046</v>
      </c>
      <c r="C233" s="749" t="s">
        <v>483</v>
      </c>
      <c r="D233" s="10"/>
      <c r="E233" s="11"/>
      <c r="F233" s="11"/>
      <c r="G233" s="749" t="s">
        <v>475</v>
      </c>
      <c r="H233" s="749" t="s">
        <v>446</v>
      </c>
      <c r="I233" s="749" t="s">
        <v>354</v>
      </c>
      <c r="J233" s="11"/>
      <c r="K233" s="750">
        <v>4961503</v>
      </c>
      <c r="L233" s="750">
        <v>0</v>
      </c>
      <c r="M233" s="11"/>
      <c r="N233" s="11"/>
      <c r="O233" s="11"/>
      <c r="P233" s="11"/>
      <c r="Q233" s="11"/>
      <c r="R233" s="11"/>
    </row>
    <row r="234" spans="1:18">
      <c r="A234" s="748">
        <v>45046</v>
      </c>
      <c r="B234" s="748">
        <v>45046</v>
      </c>
      <c r="C234" s="749" t="s">
        <v>483</v>
      </c>
      <c r="D234" s="10"/>
      <c r="E234" s="11"/>
      <c r="F234" s="11"/>
      <c r="G234" s="749" t="s">
        <v>475</v>
      </c>
      <c r="H234" s="749" t="s">
        <v>446</v>
      </c>
      <c r="I234" s="749" t="s">
        <v>356</v>
      </c>
      <c r="J234" s="11"/>
      <c r="K234" s="750">
        <v>96833</v>
      </c>
      <c r="L234" s="750">
        <v>0</v>
      </c>
      <c r="M234" s="11"/>
      <c r="N234" s="11"/>
      <c r="O234" s="11"/>
      <c r="P234" s="11"/>
      <c r="Q234" s="11"/>
      <c r="R234" s="11"/>
    </row>
    <row r="235" spans="1:18">
      <c r="A235" s="748">
        <v>45046</v>
      </c>
      <c r="B235" s="748">
        <v>45046</v>
      </c>
      <c r="C235" s="749" t="s">
        <v>483</v>
      </c>
      <c r="D235" s="10"/>
      <c r="E235" s="11"/>
      <c r="F235" s="11"/>
      <c r="G235" s="749" t="s">
        <v>475</v>
      </c>
      <c r="H235" s="749" t="s">
        <v>446</v>
      </c>
      <c r="I235" s="749" t="s">
        <v>357</v>
      </c>
      <c r="J235" s="11"/>
      <c r="K235" s="750">
        <v>10222500</v>
      </c>
      <c r="L235" s="750">
        <v>0</v>
      </c>
      <c r="M235" s="11"/>
      <c r="N235" s="11"/>
      <c r="O235" s="11"/>
      <c r="P235" s="11"/>
      <c r="Q235" s="11"/>
      <c r="R235" s="11"/>
    </row>
    <row r="236" spans="1:18">
      <c r="A236" s="748">
        <v>45046</v>
      </c>
      <c r="B236" s="748">
        <v>45046</v>
      </c>
      <c r="C236" s="749" t="s">
        <v>483</v>
      </c>
      <c r="D236" s="10"/>
      <c r="E236" s="11"/>
      <c r="F236" s="11"/>
      <c r="G236" s="749" t="s">
        <v>475</v>
      </c>
      <c r="H236" s="749" t="s">
        <v>446</v>
      </c>
      <c r="I236" s="749" t="s">
        <v>361</v>
      </c>
      <c r="J236" s="11"/>
      <c r="K236" s="750">
        <v>44683921</v>
      </c>
      <c r="L236" s="750">
        <v>0</v>
      </c>
      <c r="M236" s="11"/>
      <c r="N236" s="11"/>
      <c r="O236" s="11"/>
      <c r="P236" s="11"/>
      <c r="Q236" s="11"/>
      <c r="R236" s="11"/>
    </row>
    <row r="237" spans="1:18">
      <c r="A237" s="748">
        <v>45046</v>
      </c>
      <c r="B237" s="748">
        <v>45046</v>
      </c>
      <c r="C237" s="749" t="s">
        <v>483</v>
      </c>
      <c r="D237" s="10"/>
      <c r="E237" s="11"/>
      <c r="F237" s="11"/>
      <c r="G237" s="749" t="s">
        <v>475</v>
      </c>
      <c r="H237" s="749" t="s">
        <v>446</v>
      </c>
      <c r="I237" s="749" t="s">
        <v>363</v>
      </c>
      <c r="J237" s="11"/>
      <c r="K237" s="750">
        <v>32983108</v>
      </c>
      <c r="L237" s="750">
        <v>0</v>
      </c>
      <c r="M237" s="11"/>
      <c r="N237" s="11"/>
      <c r="O237" s="11"/>
      <c r="P237" s="11"/>
      <c r="Q237" s="11"/>
      <c r="R237" s="11"/>
    </row>
    <row r="238" spans="1:18">
      <c r="A238" s="748">
        <v>45046</v>
      </c>
      <c r="B238" s="748">
        <v>45046</v>
      </c>
      <c r="C238" s="749" t="s">
        <v>483</v>
      </c>
      <c r="D238" s="10"/>
      <c r="E238" s="11"/>
      <c r="F238" s="11"/>
      <c r="G238" s="749" t="s">
        <v>475</v>
      </c>
      <c r="H238" s="749" t="s">
        <v>446</v>
      </c>
      <c r="I238" s="749" t="s">
        <v>370</v>
      </c>
      <c r="J238" s="11"/>
      <c r="K238" s="750">
        <v>240792301</v>
      </c>
      <c r="L238" s="750">
        <v>0</v>
      </c>
      <c r="M238" s="11"/>
      <c r="N238" s="11"/>
      <c r="O238" s="11"/>
      <c r="P238" s="11"/>
      <c r="Q238" s="11"/>
      <c r="R238" s="11"/>
    </row>
    <row r="239" spans="1:18">
      <c r="A239" s="748">
        <v>45046</v>
      </c>
      <c r="B239" s="748">
        <v>45046</v>
      </c>
      <c r="C239" s="749" t="s">
        <v>483</v>
      </c>
      <c r="D239" s="10"/>
      <c r="E239" s="11"/>
      <c r="F239" s="11"/>
      <c r="G239" s="749" t="s">
        <v>476</v>
      </c>
      <c r="H239" s="749" t="s">
        <v>446</v>
      </c>
      <c r="I239" s="749" t="s">
        <v>419</v>
      </c>
      <c r="J239" s="11"/>
      <c r="K239" s="750">
        <v>0</v>
      </c>
      <c r="L239" s="750">
        <v>2650000</v>
      </c>
      <c r="M239" s="11"/>
      <c r="N239" s="11"/>
      <c r="O239" s="11"/>
      <c r="P239" s="11"/>
      <c r="Q239" s="11"/>
      <c r="R239" s="11"/>
    </row>
    <row r="240" spans="1:18">
      <c r="A240" s="748">
        <v>45046</v>
      </c>
      <c r="B240" s="748">
        <v>45046</v>
      </c>
      <c r="C240" s="749" t="s">
        <v>483</v>
      </c>
      <c r="D240" s="10"/>
      <c r="E240" s="11"/>
      <c r="F240" s="11"/>
      <c r="G240" s="749" t="s">
        <v>476</v>
      </c>
      <c r="H240" s="749" t="s">
        <v>446</v>
      </c>
      <c r="I240" s="749" t="s">
        <v>421</v>
      </c>
      <c r="J240" s="11"/>
      <c r="K240" s="750">
        <v>30074271</v>
      </c>
      <c r="L240" s="750">
        <v>0</v>
      </c>
      <c r="M240" s="11"/>
      <c r="N240" s="11"/>
      <c r="O240" s="11"/>
      <c r="P240" s="11"/>
      <c r="Q240" s="11"/>
      <c r="R240" s="11"/>
    </row>
    <row r="241" spans="1:18">
      <c r="A241" s="748">
        <v>45046</v>
      </c>
      <c r="B241" s="748">
        <v>45046</v>
      </c>
      <c r="C241" s="749" t="s">
        <v>483</v>
      </c>
      <c r="D241" s="10"/>
      <c r="E241" s="11"/>
      <c r="F241" s="11"/>
      <c r="G241" s="749" t="s">
        <v>476</v>
      </c>
      <c r="H241" s="749" t="s">
        <v>446</v>
      </c>
      <c r="I241" s="749" t="s">
        <v>422</v>
      </c>
      <c r="J241" s="11"/>
      <c r="K241" s="750">
        <v>4046667</v>
      </c>
      <c r="L241" s="750">
        <v>0</v>
      </c>
      <c r="M241" s="11"/>
      <c r="N241" s="11"/>
      <c r="O241" s="11"/>
      <c r="P241" s="11"/>
      <c r="Q241" s="11"/>
      <c r="R241" s="11"/>
    </row>
    <row r="242" spans="1:18">
      <c r="A242" s="748">
        <v>45046</v>
      </c>
      <c r="B242" s="748">
        <v>45046</v>
      </c>
      <c r="C242" s="749" t="s">
        <v>483</v>
      </c>
      <c r="D242" s="10"/>
      <c r="E242" s="11"/>
      <c r="F242" s="11"/>
      <c r="G242" s="749" t="s">
        <v>476</v>
      </c>
      <c r="H242" s="749" t="s">
        <v>446</v>
      </c>
      <c r="I242" s="749" t="s">
        <v>424</v>
      </c>
      <c r="J242" s="11"/>
      <c r="K242" s="750">
        <v>124505834</v>
      </c>
      <c r="L242" s="750">
        <v>0</v>
      </c>
      <c r="M242" s="11"/>
      <c r="N242" s="11"/>
      <c r="O242" s="11"/>
      <c r="P242" s="11"/>
      <c r="Q242" s="11"/>
      <c r="R242" s="11"/>
    </row>
    <row r="243" spans="1:18">
      <c r="A243" s="748">
        <v>45046</v>
      </c>
      <c r="B243" s="748">
        <v>45046</v>
      </c>
      <c r="C243" s="749" t="s">
        <v>483</v>
      </c>
      <c r="D243" s="10"/>
      <c r="E243" s="11"/>
      <c r="F243" s="11"/>
      <c r="G243" s="749" t="s">
        <v>476</v>
      </c>
      <c r="H243" s="749" t="s">
        <v>446</v>
      </c>
      <c r="I243" s="749" t="s">
        <v>425</v>
      </c>
      <c r="J243" s="11"/>
      <c r="K243" s="750">
        <v>28508788</v>
      </c>
      <c r="L243" s="750">
        <v>0</v>
      </c>
      <c r="M243" s="11"/>
      <c r="N243" s="11"/>
      <c r="O243" s="11"/>
      <c r="P243" s="11"/>
      <c r="Q243" s="11"/>
      <c r="R243" s="11"/>
    </row>
    <row r="244" spans="1:18">
      <c r="A244" s="748">
        <v>45046</v>
      </c>
      <c r="B244" s="748">
        <v>45046</v>
      </c>
      <c r="C244" s="749" t="s">
        <v>483</v>
      </c>
      <c r="D244" s="10"/>
      <c r="E244" s="11"/>
      <c r="F244" s="11"/>
      <c r="G244" s="749" t="s">
        <v>476</v>
      </c>
      <c r="H244" s="749" t="s">
        <v>446</v>
      </c>
      <c r="I244" s="749" t="s">
        <v>427</v>
      </c>
      <c r="J244" s="11"/>
      <c r="K244" s="750">
        <v>11010830</v>
      </c>
      <c r="L244" s="750">
        <v>0</v>
      </c>
      <c r="M244" s="11"/>
      <c r="N244" s="11"/>
      <c r="O244" s="11"/>
      <c r="P244" s="11"/>
      <c r="Q244" s="11"/>
      <c r="R244" s="11"/>
    </row>
    <row r="245" spans="1:18">
      <c r="A245" s="748">
        <v>45046</v>
      </c>
      <c r="B245" s="748">
        <v>45046</v>
      </c>
      <c r="C245" s="749" t="s">
        <v>483</v>
      </c>
      <c r="D245" s="10"/>
      <c r="E245" s="11"/>
      <c r="F245" s="11"/>
      <c r="G245" s="749" t="s">
        <v>476</v>
      </c>
      <c r="H245" s="749" t="s">
        <v>446</v>
      </c>
      <c r="I245" s="749" t="s">
        <v>431</v>
      </c>
      <c r="J245" s="11"/>
      <c r="K245" s="750">
        <v>3130359</v>
      </c>
      <c r="L245" s="750">
        <v>0</v>
      </c>
      <c r="M245" s="11"/>
      <c r="N245" s="11"/>
      <c r="O245" s="11"/>
      <c r="P245" s="11"/>
      <c r="Q245" s="11"/>
      <c r="R245" s="11"/>
    </row>
    <row r="246" spans="1:18">
      <c r="A246" s="748">
        <v>45046</v>
      </c>
      <c r="B246" s="748">
        <v>45046</v>
      </c>
      <c r="C246" s="749" t="s">
        <v>483</v>
      </c>
      <c r="D246" s="10"/>
      <c r="E246" s="11"/>
      <c r="F246" s="11"/>
      <c r="G246" s="749" t="s">
        <v>476</v>
      </c>
      <c r="H246" s="749" t="s">
        <v>446</v>
      </c>
      <c r="I246" s="749" t="s">
        <v>432</v>
      </c>
      <c r="J246" s="11"/>
      <c r="K246" s="750">
        <v>241018000</v>
      </c>
      <c r="L246" s="750">
        <v>0</v>
      </c>
      <c r="M246" s="11"/>
      <c r="N246" s="11"/>
      <c r="O246" s="11"/>
      <c r="P246" s="11"/>
      <c r="Q246" s="11"/>
      <c r="R246" s="11"/>
    </row>
    <row r="247" spans="1:18">
      <c r="A247" s="748">
        <v>45046</v>
      </c>
      <c r="B247" s="748">
        <v>45046</v>
      </c>
      <c r="C247" s="749" t="s">
        <v>483</v>
      </c>
      <c r="D247" s="10"/>
      <c r="E247" s="11"/>
      <c r="F247" s="11"/>
      <c r="G247" s="749" t="s">
        <v>476</v>
      </c>
      <c r="H247" s="749" t="s">
        <v>446</v>
      </c>
      <c r="I247" s="749" t="s">
        <v>435</v>
      </c>
      <c r="J247" s="11"/>
      <c r="K247" s="750">
        <v>36662780</v>
      </c>
      <c r="L247" s="750">
        <v>0</v>
      </c>
      <c r="M247" s="11"/>
      <c r="N247" s="11"/>
      <c r="O247" s="11"/>
      <c r="P247" s="11"/>
      <c r="Q247" s="11"/>
      <c r="R247" s="11"/>
    </row>
    <row r="248" spans="1:18">
      <c r="A248" s="748">
        <v>45046</v>
      </c>
      <c r="B248" s="748">
        <v>45046</v>
      </c>
      <c r="C248" s="749" t="s">
        <v>483</v>
      </c>
      <c r="D248" s="10"/>
      <c r="E248" s="11"/>
      <c r="F248" s="11"/>
      <c r="G248" s="749" t="s">
        <v>476</v>
      </c>
      <c r="H248" s="749" t="s">
        <v>446</v>
      </c>
      <c r="I248" s="749" t="s">
        <v>437</v>
      </c>
      <c r="J248" s="11"/>
      <c r="K248" s="750">
        <v>18778885</v>
      </c>
      <c r="L248" s="750">
        <v>0</v>
      </c>
      <c r="M248" s="11"/>
      <c r="N248" s="11"/>
      <c r="O248" s="11"/>
      <c r="P248" s="11"/>
      <c r="Q248" s="11"/>
      <c r="R248" s="11"/>
    </row>
    <row r="249" spans="1:18">
      <c r="A249" s="748">
        <v>45046</v>
      </c>
      <c r="B249" s="748">
        <v>45046</v>
      </c>
      <c r="C249" s="749" t="s">
        <v>483</v>
      </c>
      <c r="D249" s="10"/>
      <c r="E249" s="11"/>
      <c r="F249" s="11"/>
      <c r="G249" s="749" t="s">
        <v>476</v>
      </c>
      <c r="H249" s="749" t="s">
        <v>446</v>
      </c>
      <c r="I249" s="749" t="s">
        <v>438</v>
      </c>
      <c r="J249" s="11"/>
      <c r="K249" s="750">
        <v>31500</v>
      </c>
      <c r="L249" s="750">
        <v>0</v>
      </c>
      <c r="M249" s="11"/>
      <c r="N249" s="11"/>
      <c r="O249" s="11"/>
      <c r="P249" s="11"/>
      <c r="Q249" s="11"/>
      <c r="R249" s="11"/>
    </row>
    <row r="250" spans="1:18">
      <c r="A250" s="748">
        <v>45046</v>
      </c>
      <c r="B250" s="748">
        <v>45046</v>
      </c>
      <c r="C250" s="749" t="s">
        <v>483</v>
      </c>
      <c r="D250" s="10"/>
      <c r="E250" s="11"/>
      <c r="F250" s="11"/>
      <c r="G250" s="749" t="s">
        <v>476</v>
      </c>
      <c r="H250" s="749" t="s">
        <v>446</v>
      </c>
      <c r="I250" s="749" t="s">
        <v>378</v>
      </c>
      <c r="J250" s="11"/>
      <c r="K250" s="750">
        <v>1084110206</v>
      </c>
      <c r="L250" s="750">
        <v>0</v>
      </c>
      <c r="M250" s="11"/>
      <c r="N250" s="11"/>
      <c r="O250" s="11"/>
      <c r="P250" s="11"/>
      <c r="Q250" s="11"/>
      <c r="R250" s="11"/>
    </row>
    <row r="251" spans="1:18">
      <c r="A251" s="748">
        <v>45046</v>
      </c>
      <c r="B251" s="748">
        <v>45046</v>
      </c>
      <c r="C251" s="749" t="s">
        <v>483</v>
      </c>
      <c r="D251" s="10"/>
      <c r="E251" s="11"/>
      <c r="F251" s="11"/>
      <c r="G251" s="749" t="s">
        <v>476</v>
      </c>
      <c r="H251" s="749" t="s">
        <v>446</v>
      </c>
      <c r="I251" s="749" t="s">
        <v>380</v>
      </c>
      <c r="J251" s="11"/>
      <c r="K251" s="750">
        <v>149655215</v>
      </c>
      <c r="L251" s="750">
        <v>0</v>
      </c>
      <c r="M251" s="11"/>
      <c r="N251" s="11"/>
      <c r="O251" s="11"/>
      <c r="P251" s="11"/>
      <c r="Q251" s="11"/>
      <c r="R251" s="11"/>
    </row>
    <row r="252" spans="1:18">
      <c r="A252" s="748">
        <v>45046</v>
      </c>
      <c r="B252" s="748">
        <v>45046</v>
      </c>
      <c r="C252" s="749" t="s">
        <v>483</v>
      </c>
      <c r="D252" s="10"/>
      <c r="E252" s="11"/>
      <c r="F252" s="11"/>
      <c r="G252" s="749" t="s">
        <v>476</v>
      </c>
      <c r="H252" s="749" t="s">
        <v>446</v>
      </c>
      <c r="I252" s="749" t="s">
        <v>381</v>
      </c>
      <c r="J252" s="11"/>
      <c r="K252" s="750">
        <v>165936393</v>
      </c>
      <c r="L252" s="750">
        <v>0</v>
      </c>
      <c r="M252" s="11"/>
      <c r="N252" s="11"/>
      <c r="O252" s="11"/>
      <c r="P252" s="11"/>
      <c r="Q252" s="11"/>
      <c r="R252" s="11"/>
    </row>
    <row r="253" spans="1:18">
      <c r="A253" s="748">
        <v>45046</v>
      </c>
      <c r="B253" s="748">
        <v>45046</v>
      </c>
      <c r="C253" s="749" t="s">
        <v>483</v>
      </c>
      <c r="D253" s="10"/>
      <c r="E253" s="11"/>
      <c r="F253" s="11"/>
      <c r="G253" s="749" t="s">
        <v>476</v>
      </c>
      <c r="H253" s="749" t="s">
        <v>446</v>
      </c>
      <c r="I253" s="749" t="s">
        <v>383</v>
      </c>
      <c r="J253" s="11"/>
      <c r="K253" s="750">
        <v>32639206</v>
      </c>
      <c r="L253" s="750">
        <v>0</v>
      </c>
      <c r="M253" s="11"/>
      <c r="N253" s="11"/>
      <c r="O253" s="11"/>
      <c r="P253" s="11"/>
      <c r="Q253" s="11"/>
      <c r="R253" s="11"/>
    </row>
    <row r="254" spans="1:18">
      <c r="A254" s="748">
        <v>45046</v>
      </c>
      <c r="B254" s="748">
        <v>45046</v>
      </c>
      <c r="C254" s="749" t="s">
        <v>483</v>
      </c>
      <c r="D254" s="10"/>
      <c r="E254" s="11"/>
      <c r="F254" s="11"/>
      <c r="G254" s="749" t="s">
        <v>476</v>
      </c>
      <c r="H254" s="749" t="s">
        <v>446</v>
      </c>
      <c r="I254" s="749" t="s">
        <v>387</v>
      </c>
      <c r="J254" s="11"/>
      <c r="K254" s="750">
        <v>149255291</v>
      </c>
      <c r="L254" s="750">
        <v>0</v>
      </c>
      <c r="M254" s="11"/>
      <c r="N254" s="11"/>
      <c r="O254" s="11"/>
      <c r="P254" s="11"/>
      <c r="Q254" s="11"/>
      <c r="R254" s="11"/>
    </row>
    <row r="255" spans="1:18">
      <c r="A255" s="748">
        <v>45046</v>
      </c>
      <c r="B255" s="748">
        <v>45046</v>
      </c>
      <c r="C255" s="749" t="s">
        <v>483</v>
      </c>
      <c r="D255" s="10"/>
      <c r="E255" s="11"/>
      <c r="F255" s="11"/>
      <c r="G255" s="749" t="s">
        <v>476</v>
      </c>
      <c r="H255" s="749" t="s">
        <v>446</v>
      </c>
      <c r="I255" s="749" t="s">
        <v>389</v>
      </c>
      <c r="J255" s="11"/>
      <c r="K255" s="750">
        <v>8582904</v>
      </c>
      <c r="L255" s="750">
        <v>0</v>
      </c>
      <c r="M255" s="11"/>
      <c r="N255" s="11"/>
      <c r="O255" s="11"/>
      <c r="P255" s="11"/>
      <c r="Q255" s="11"/>
      <c r="R255" s="11"/>
    </row>
    <row r="256" spans="1:18">
      <c r="A256" s="748">
        <v>45046</v>
      </c>
      <c r="B256" s="748">
        <v>45046</v>
      </c>
      <c r="C256" s="749" t="s">
        <v>483</v>
      </c>
      <c r="D256" s="10"/>
      <c r="E256" s="11"/>
      <c r="F256" s="11"/>
      <c r="G256" s="749" t="s">
        <v>476</v>
      </c>
      <c r="H256" s="749" t="s">
        <v>446</v>
      </c>
      <c r="I256" s="749" t="s">
        <v>391</v>
      </c>
      <c r="J256" s="11"/>
      <c r="K256" s="750">
        <v>5503315</v>
      </c>
      <c r="L256" s="750">
        <v>0</v>
      </c>
      <c r="M256" s="11"/>
      <c r="N256" s="11"/>
      <c r="O256" s="11"/>
      <c r="P256" s="11"/>
      <c r="Q256" s="11"/>
      <c r="R256" s="11"/>
    </row>
    <row r="257" spans="1:18">
      <c r="A257" s="748">
        <v>45046</v>
      </c>
      <c r="B257" s="748">
        <v>45046</v>
      </c>
      <c r="C257" s="749" t="s">
        <v>483</v>
      </c>
      <c r="D257" s="10"/>
      <c r="E257" s="11"/>
      <c r="F257" s="11"/>
      <c r="G257" s="749" t="s">
        <v>476</v>
      </c>
      <c r="H257" s="749" t="s">
        <v>446</v>
      </c>
      <c r="I257" s="749" t="s">
        <v>393</v>
      </c>
      <c r="J257" s="11"/>
      <c r="K257" s="750">
        <v>7877816</v>
      </c>
      <c r="L257" s="750">
        <v>0</v>
      </c>
      <c r="M257" s="11"/>
      <c r="N257" s="11"/>
      <c r="O257" s="11"/>
      <c r="P257" s="11"/>
      <c r="Q257" s="11"/>
      <c r="R257" s="11"/>
    </row>
    <row r="258" spans="1:18">
      <c r="A258" s="748">
        <v>45046</v>
      </c>
      <c r="B258" s="748">
        <v>45046</v>
      </c>
      <c r="C258" s="749" t="s">
        <v>483</v>
      </c>
      <c r="D258" s="10"/>
      <c r="E258" s="11"/>
      <c r="F258" s="11"/>
      <c r="G258" s="749" t="s">
        <v>476</v>
      </c>
      <c r="H258" s="749" t="s">
        <v>446</v>
      </c>
      <c r="I258" s="749" t="s">
        <v>395</v>
      </c>
      <c r="J258" s="11"/>
      <c r="K258" s="750">
        <v>9966000</v>
      </c>
      <c r="L258" s="750">
        <v>0</v>
      </c>
      <c r="M258" s="11"/>
      <c r="N258" s="11"/>
      <c r="O258" s="11"/>
      <c r="P258" s="11"/>
      <c r="Q258" s="11"/>
      <c r="R258" s="11"/>
    </row>
    <row r="259" spans="1:18">
      <c r="A259" s="748">
        <v>45046</v>
      </c>
      <c r="B259" s="748">
        <v>45046</v>
      </c>
      <c r="C259" s="749" t="s">
        <v>483</v>
      </c>
      <c r="D259" s="10"/>
      <c r="E259" s="11"/>
      <c r="F259" s="11"/>
      <c r="G259" s="749" t="s">
        <v>476</v>
      </c>
      <c r="H259" s="749" t="s">
        <v>446</v>
      </c>
      <c r="I259" s="749" t="s">
        <v>397</v>
      </c>
      <c r="J259" s="11"/>
      <c r="K259" s="750">
        <v>37057672</v>
      </c>
      <c r="L259" s="750">
        <v>0</v>
      </c>
      <c r="M259" s="11"/>
      <c r="N259" s="11"/>
      <c r="O259" s="11"/>
      <c r="P259" s="11"/>
      <c r="Q259" s="11"/>
      <c r="R259" s="11"/>
    </row>
    <row r="260" spans="1:18">
      <c r="A260" s="748">
        <v>45046</v>
      </c>
      <c r="B260" s="748">
        <v>45046</v>
      </c>
      <c r="C260" s="749" t="s">
        <v>483</v>
      </c>
      <c r="D260" s="10"/>
      <c r="E260" s="11"/>
      <c r="F260" s="11"/>
      <c r="G260" s="749" t="s">
        <v>476</v>
      </c>
      <c r="H260" s="749" t="s">
        <v>446</v>
      </c>
      <c r="I260" s="749" t="s">
        <v>398</v>
      </c>
      <c r="J260" s="11"/>
      <c r="K260" s="750">
        <v>24476058</v>
      </c>
      <c r="L260" s="750">
        <v>0</v>
      </c>
      <c r="M260" s="11"/>
      <c r="N260" s="11"/>
      <c r="O260" s="11"/>
      <c r="P260" s="11"/>
      <c r="Q260" s="11"/>
      <c r="R260" s="11"/>
    </row>
    <row r="261" spans="1:18">
      <c r="A261" s="748">
        <v>45046</v>
      </c>
      <c r="B261" s="748">
        <v>45046</v>
      </c>
      <c r="C261" s="749" t="s">
        <v>483</v>
      </c>
      <c r="D261" s="10"/>
      <c r="E261" s="11"/>
      <c r="F261" s="11"/>
      <c r="G261" s="749" t="s">
        <v>476</v>
      </c>
      <c r="H261" s="749" t="s">
        <v>446</v>
      </c>
      <c r="I261" s="749" t="s">
        <v>400</v>
      </c>
      <c r="J261" s="11"/>
      <c r="K261" s="750">
        <v>1281818</v>
      </c>
      <c r="L261" s="750">
        <v>0</v>
      </c>
      <c r="M261" s="11"/>
      <c r="N261" s="11"/>
      <c r="O261" s="11"/>
      <c r="P261" s="11"/>
      <c r="Q261" s="11"/>
      <c r="R261" s="11"/>
    </row>
    <row r="262" spans="1:18">
      <c r="A262" s="748">
        <v>45046</v>
      </c>
      <c r="B262" s="748">
        <v>45046</v>
      </c>
      <c r="C262" s="749" t="s">
        <v>483</v>
      </c>
      <c r="D262" s="10"/>
      <c r="E262" s="11"/>
      <c r="F262" s="11"/>
      <c r="G262" s="749" t="s">
        <v>476</v>
      </c>
      <c r="H262" s="749" t="s">
        <v>446</v>
      </c>
      <c r="I262" s="749" t="s">
        <v>403</v>
      </c>
      <c r="J262" s="11"/>
      <c r="K262" s="750">
        <v>3000000</v>
      </c>
      <c r="L262" s="750">
        <v>0</v>
      </c>
      <c r="M262" s="11"/>
      <c r="N262" s="11"/>
      <c r="O262" s="11"/>
      <c r="P262" s="11"/>
      <c r="Q262" s="11"/>
      <c r="R262" s="11"/>
    </row>
    <row r="263" spans="1:18">
      <c r="A263" s="748">
        <v>45046</v>
      </c>
      <c r="B263" s="748">
        <v>45046</v>
      </c>
      <c r="C263" s="749" t="s">
        <v>483</v>
      </c>
      <c r="D263" s="10"/>
      <c r="E263" s="11"/>
      <c r="F263" s="11"/>
      <c r="G263" s="749" t="s">
        <v>476</v>
      </c>
      <c r="H263" s="749" t="s">
        <v>446</v>
      </c>
      <c r="I263" s="749" t="s">
        <v>405</v>
      </c>
      <c r="J263" s="11"/>
      <c r="K263" s="750">
        <v>12000000</v>
      </c>
      <c r="L263" s="750">
        <v>0</v>
      </c>
      <c r="M263" s="11"/>
      <c r="N263" s="11"/>
      <c r="O263" s="11"/>
      <c r="P263" s="11"/>
      <c r="Q263" s="11"/>
      <c r="R263" s="11"/>
    </row>
    <row r="264" spans="1:18">
      <c r="A264" s="748">
        <v>45046</v>
      </c>
      <c r="B264" s="748">
        <v>45046</v>
      </c>
      <c r="C264" s="749" t="s">
        <v>483</v>
      </c>
      <c r="D264" s="10"/>
      <c r="E264" s="11"/>
      <c r="F264" s="11"/>
      <c r="G264" s="749" t="s">
        <v>476</v>
      </c>
      <c r="H264" s="749" t="s">
        <v>446</v>
      </c>
      <c r="I264" s="749" t="s">
        <v>407</v>
      </c>
      <c r="J264" s="11"/>
      <c r="K264" s="750">
        <v>130106058</v>
      </c>
      <c r="L264" s="750">
        <v>0</v>
      </c>
      <c r="M264" s="11"/>
      <c r="N264" s="11"/>
      <c r="O264" s="11"/>
      <c r="P264" s="11"/>
      <c r="Q264" s="11"/>
      <c r="R264" s="11"/>
    </row>
    <row r="265" spans="1:18">
      <c r="A265" s="748">
        <v>45046</v>
      </c>
      <c r="B265" s="748">
        <v>45046</v>
      </c>
      <c r="C265" s="749" t="s">
        <v>483</v>
      </c>
      <c r="D265" s="10"/>
      <c r="E265" s="11"/>
      <c r="F265" s="11"/>
      <c r="G265" s="749" t="s">
        <v>476</v>
      </c>
      <c r="H265" s="749" t="s">
        <v>446</v>
      </c>
      <c r="I265" s="749" t="s">
        <v>413</v>
      </c>
      <c r="J265" s="11"/>
      <c r="K265" s="750">
        <v>23023465</v>
      </c>
      <c r="L265" s="750">
        <v>0</v>
      </c>
      <c r="M265" s="11"/>
      <c r="N265" s="11"/>
      <c r="O265" s="11"/>
      <c r="P265" s="11"/>
      <c r="Q265" s="11"/>
      <c r="R265" s="11"/>
    </row>
    <row r="266" spans="1:18">
      <c r="A266" s="748">
        <v>45046</v>
      </c>
      <c r="B266" s="748">
        <v>45046</v>
      </c>
      <c r="C266" s="749" t="s">
        <v>483</v>
      </c>
      <c r="D266" s="10"/>
      <c r="E266" s="11"/>
      <c r="F266" s="11"/>
      <c r="G266" s="749" t="s">
        <v>476</v>
      </c>
      <c r="H266" s="749" t="s">
        <v>446</v>
      </c>
      <c r="I266" s="749" t="s">
        <v>415</v>
      </c>
      <c r="J266" s="11"/>
      <c r="K266" s="750">
        <v>5963636</v>
      </c>
      <c r="L266" s="750">
        <v>0</v>
      </c>
      <c r="M266" s="11"/>
      <c r="N266" s="11"/>
      <c r="O266" s="11"/>
      <c r="P266" s="11"/>
      <c r="Q266" s="11"/>
      <c r="R266" s="11"/>
    </row>
    <row r="267" spans="1:18">
      <c r="A267" s="748">
        <v>45046</v>
      </c>
      <c r="B267" s="748">
        <v>45046</v>
      </c>
      <c r="C267" s="749" t="s">
        <v>483</v>
      </c>
      <c r="D267" s="10"/>
      <c r="E267" s="11"/>
      <c r="F267" s="11"/>
      <c r="G267" s="749" t="s">
        <v>477</v>
      </c>
      <c r="H267" s="749" t="s">
        <v>446</v>
      </c>
      <c r="I267" s="749" t="s">
        <v>442</v>
      </c>
      <c r="J267" s="11"/>
      <c r="K267" s="750">
        <v>0</v>
      </c>
      <c r="L267" s="750">
        <v>50</v>
      </c>
      <c r="M267" s="11"/>
      <c r="N267" s="11"/>
      <c r="O267" s="11"/>
      <c r="P267" s="11"/>
      <c r="Q267" s="11"/>
      <c r="R267" s="11"/>
    </row>
    <row r="268" spans="1:18">
      <c r="A268" s="748">
        <v>45046</v>
      </c>
      <c r="B268" s="748">
        <v>45046</v>
      </c>
      <c r="C268" s="749" t="s">
        <v>483</v>
      </c>
      <c r="D268" s="10"/>
      <c r="E268" s="11"/>
      <c r="F268" s="11"/>
      <c r="G268" s="749" t="s">
        <v>478</v>
      </c>
      <c r="H268" s="749" t="s">
        <v>446</v>
      </c>
      <c r="I268" s="749" t="s">
        <v>444</v>
      </c>
      <c r="J268" s="11"/>
      <c r="K268" s="750">
        <v>16</v>
      </c>
      <c r="L268" s="750">
        <v>0</v>
      </c>
      <c r="M268" s="11"/>
      <c r="N268" s="11"/>
      <c r="O268" s="11"/>
      <c r="P268" s="11"/>
      <c r="Q268" s="11"/>
      <c r="R268" s="11"/>
    </row>
    <row r="269" spans="1:18">
      <c r="A269" s="748">
        <v>45046</v>
      </c>
      <c r="B269" s="748">
        <v>45046</v>
      </c>
      <c r="C269" s="749" t="s">
        <v>483</v>
      </c>
      <c r="D269" s="10"/>
      <c r="E269" s="11"/>
      <c r="F269" s="11"/>
      <c r="G269" s="749" t="s">
        <v>479</v>
      </c>
      <c r="H269" s="749" t="s">
        <v>446</v>
      </c>
      <c r="I269" s="749" t="s">
        <v>217</v>
      </c>
      <c r="J269" s="11"/>
      <c r="K269" s="750">
        <v>9893490073</v>
      </c>
      <c r="L269" s="750">
        <v>0</v>
      </c>
      <c r="M269" s="11"/>
      <c r="N269" s="11"/>
      <c r="O269" s="11"/>
      <c r="P269" s="11"/>
      <c r="Q269" s="11"/>
      <c r="R269" s="11"/>
    </row>
    <row r="270" spans="1:18">
      <c r="A270" s="748">
        <v>45077</v>
      </c>
      <c r="B270" s="748">
        <v>45077</v>
      </c>
      <c r="C270" s="749" t="s">
        <v>484</v>
      </c>
      <c r="D270" s="10"/>
      <c r="E270" s="11"/>
      <c r="F270" s="11"/>
      <c r="G270" s="749" t="s">
        <v>468</v>
      </c>
      <c r="H270" s="749" t="s">
        <v>446</v>
      </c>
      <c r="I270" s="749" t="s">
        <v>223</v>
      </c>
      <c r="J270" s="11"/>
      <c r="K270" s="750">
        <v>0</v>
      </c>
      <c r="L270" s="750">
        <v>9034175</v>
      </c>
      <c r="M270" s="11"/>
      <c r="N270" s="11"/>
      <c r="O270" s="11"/>
      <c r="P270" s="11"/>
      <c r="Q270" s="11"/>
      <c r="R270" s="11"/>
    </row>
    <row r="271" spans="1:18">
      <c r="A271" s="748">
        <v>45077</v>
      </c>
      <c r="B271" s="748">
        <v>45077</v>
      </c>
      <c r="C271" s="749" t="s">
        <v>484</v>
      </c>
      <c r="D271" s="10"/>
      <c r="E271" s="11"/>
      <c r="F271" s="11"/>
      <c r="G271" s="749" t="s">
        <v>468</v>
      </c>
      <c r="H271" s="749" t="s">
        <v>446</v>
      </c>
      <c r="I271" s="749" t="s">
        <v>225</v>
      </c>
      <c r="J271" s="11"/>
      <c r="K271" s="750">
        <v>0</v>
      </c>
      <c r="L271" s="750">
        <v>8298000</v>
      </c>
      <c r="M271" s="11"/>
      <c r="N271" s="11"/>
      <c r="O271" s="11"/>
      <c r="P271" s="11"/>
      <c r="Q271" s="11"/>
      <c r="R271" s="11"/>
    </row>
    <row r="272" spans="1:18">
      <c r="A272" s="748">
        <v>45077</v>
      </c>
      <c r="B272" s="748">
        <v>45077</v>
      </c>
      <c r="C272" s="749" t="s">
        <v>484</v>
      </c>
      <c r="D272" s="10"/>
      <c r="E272" s="11"/>
      <c r="F272" s="11"/>
      <c r="G272" s="749" t="s">
        <v>468</v>
      </c>
      <c r="H272" s="749" t="s">
        <v>446</v>
      </c>
      <c r="I272" s="749" t="s">
        <v>227</v>
      </c>
      <c r="J272" s="11"/>
      <c r="K272" s="750">
        <v>0</v>
      </c>
      <c r="L272" s="750">
        <v>28692000</v>
      </c>
      <c r="M272" s="11"/>
      <c r="N272" s="11"/>
      <c r="O272" s="11"/>
      <c r="P272" s="11"/>
      <c r="Q272" s="11"/>
      <c r="R272" s="11"/>
    </row>
    <row r="273" spans="1:18">
      <c r="A273" s="748">
        <v>45077</v>
      </c>
      <c r="B273" s="748">
        <v>45077</v>
      </c>
      <c r="C273" s="749" t="s">
        <v>484</v>
      </c>
      <c r="D273" s="10"/>
      <c r="E273" s="11"/>
      <c r="F273" s="11"/>
      <c r="G273" s="749" t="s">
        <v>468</v>
      </c>
      <c r="H273" s="749" t="s">
        <v>446</v>
      </c>
      <c r="I273" s="749" t="s">
        <v>229</v>
      </c>
      <c r="J273" s="11"/>
      <c r="K273" s="750">
        <v>0</v>
      </c>
      <c r="L273" s="750">
        <v>141612391</v>
      </c>
      <c r="M273" s="11"/>
      <c r="N273" s="11"/>
      <c r="O273" s="11"/>
      <c r="P273" s="11"/>
      <c r="Q273" s="11"/>
      <c r="R273" s="11"/>
    </row>
    <row r="274" spans="1:18">
      <c r="A274" s="748">
        <v>45077</v>
      </c>
      <c r="B274" s="748">
        <v>45077</v>
      </c>
      <c r="C274" s="749" t="s">
        <v>484</v>
      </c>
      <c r="D274" s="10"/>
      <c r="E274" s="11"/>
      <c r="F274" s="11"/>
      <c r="G274" s="749" t="s">
        <v>468</v>
      </c>
      <c r="H274" s="749" t="s">
        <v>446</v>
      </c>
      <c r="I274" s="749" t="s">
        <v>231</v>
      </c>
      <c r="J274" s="11"/>
      <c r="K274" s="750">
        <v>0</v>
      </c>
      <c r="L274" s="750">
        <v>321344897</v>
      </c>
      <c r="M274" s="11"/>
      <c r="N274" s="11"/>
      <c r="O274" s="11"/>
      <c r="P274" s="11"/>
      <c r="Q274" s="11"/>
      <c r="R274" s="11"/>
    </row>
    <row r="275" spans="1:18">
      <c r="A275" s="748">
        <v>45077</v>
      </c>
      <c r="B275" s="748">
        <v>45077</v>
      </c>
      <c r="C275" s="749" t="s">
        <v>484</v>
      </c>
      <c r="D275" s="10"/>
      <c r="E275" s="11"/>
      <c r="F275" s="11"/>
      <c r="G275" s="749" t="s">
        <v>468</v>
      </c>
      <c r="H275" s="749" t="s">
        <v>446</v>
      </c>
      <c r="I275" s="749" t="s">
        <v>233</v>
      </c>
      <c r="J275" s="11"/>
      <c r="K275" s="750">
        <v>0</v>
      </c>
      <c r="L275" s="750">
        <v>1274000</v>
      </c>
      <c r="M275" s="11"/>
      <c r="N275" s="11"/>
      <c r="O275" s="11"/>
      <c r="P275" s="11"/>
      <c r="Q275" s="11"/>
      <c r="R275" s="11"/>
    </row>
    <row r="276" spans="1:18">
      <c r="A276" s="748">
        <v>45077</v>
      </c>
      <c r="B276" s="748">
        <v>45077</v>
      </c>
      <c r="C276" s="749" t="s">
        <v>484</v>
      </c>
      <c r="D276" s="10"/>
      <c r="E276" s="11"/>
      <c r="F276" s="11"/>
      <c r="G276" s="749" t="s">
        <v>468</v>
      </c>
      <c r="H276" s="749" t="s">
        <v>446</v>
      </c>
      <c r="I276" s="749" t="s">
        <v>235</v>
      </c>
      <c r="J276" s="11"/>
      <c r="K276" s="750">
        <v>0</v>
      </c>
      <c r="L276" s="750">
        <v>20610665</v>
      </c>
      <c r="M276" s="11"/>
      <c r="N276" s="11"/>
      <c r="O276" s="11"/>
      <c r="P276" s="11"/>
      <c r="Q276" s="11"/>
      <c r="R276" s="11"/>
    </row>
    <row r="277" spans="1:18">
      <c r="A277" s="748">
        <v>45077</v>
      </c>
      <c r="B277" s="748">
        <v>45077</v>
      </c>
      <c r="C277" s="749" t="s">
        <v>484</v>
      </c>
      <c r="D277" s="10"/>
      <c r="E277" s="11"/>
      <c r="F277" s="11"/>
      <c r="G277" s="749" t="s">
        <v>468</v>
      </c>
      <c r="H277" s="749" t="s">
        <v>446</v>
      </c>
      <c r="I277" s="749" t="s">
        <v>237</v>
      </c>
      <c r="J277" s="11"/>
      <c r="K277" s="750">
        <v>0</v>
      </c>
      <c r="L277" s="750">
        <v>126311</v>
      </c>
      <c r="M277" s="11"/>
      <c r="N277" s="11"/>
      <c r="O277" s="11"/>
      <c r="P277" s="11"/>
      <c r="Q277" s="11"/>
      <c r="R277" s="11"/>
    </row>
    <row r="278" spans="1:18">
      <c r="A278" s="748">
        <v>45077</v>
      </c>
      <c r="B278" s="748">
        <v>45077</v>
      </c>
      <c r="C278" s="749" t="s">
        <v>484</v>
      </c>
      <c r="D278" s="10"/>
      <c r="E278" s="11"/>
      <c r="F278" s="11"/>
      <c r="G278" s="749" t="s">
        <v>468</v>
      </c>
      <c r="H278" s="749" t="s">
        <v>446</v>
      </c>
      <c r="I278" s="749" t="s">
        <v>239</v>
      </c>
      <c r="J278" s="11"/>
      <c r="K278" s="750">
        <v>0</v>
      </c>
      <c r="L278" s="750">
        <v>868754</v>
      </c>
      <c r="M278" s="11"/>
      <c r="N278" s="11"/>
      <c r="O278" s="11"/>
      <c r="P278" s="11"/>
      <c r="Q278" s="11"/>
      <c r="R278" s="11"/>
    </row>
    <row r="279" spans="1:18">
      <c r="A279" s="748">
        <v>45077</v>
      </c>
      <c r="B279" s="748">
        <v>45077</v>
      </c>
      <c r="C279" s="749" t="s">
        <v>484</v>
      </c>
      <c r="D279" s="10"/>
      <c r="E279" s="11"/>
      <c r="F279" s="11"/>
      <c r="G279" s="749" t="s">
        <v>468</v>
      </c>
      <c r="H279" s="749" t="s">
        <v>446</v>
      </c>
      <c r="I279" s="749" t="s">
        <v>241</v>
      </c>
      <c r="J279" s="11"/>
      <c r="K279" s="750">
        <v>0</v>
      </c>
      <c r="L279" s="750">
        <v>39491115</v>
      </c>
      <c r="M279" s="11"/>
      <c r="N279" s="11"/>
      <c r="O279" s="11"/>
      <c r="P279" s="11"/>
      <c r="Q279" s="11"/>
      <c r="R279" s="11"/>
    </row>
    <row r="280" spans="1:18">
      <c r="A280" s="748">
        <v>45077</v>
      </c>
      <c r="B280" s="748">
        <v>45077</v>
      </c>
      <c r="C280" s="749" t="s">
        <v>484</v>
      </c>
      <c r="D280" s="10"/>
      <c r="E280" s="11"/>
      <c r="F280" s="11"/>
      <c r="G280" s="749" t="s">
        <v>468</v>
      </c>
      <c r="H280" s="749" t="s">
        <v>446</v>
      </c>
      <c r="I280" s="749" t="s">
        <v>243</v>
      </c>
      <c r="J280" s="11"/>
      <c r="K280" s="750">
        <v>0</v>
      </c>
      <c r="L280" s="750">
        <v>100000000</v>
      </c>
      <c r="M280" s="11"/>
      <c r="N280" s="11"/>
      <c r="O280" s="11"/>
      <c r="P280" s="11"/>
      <c r="Q280" s="11"/>
      <c r="R280" s="11"/>
    </row>
    <row r="281" spans="1:18">
      <c r="A281" s="748">
        <v>45077</v>
      </c>
      <c r="B281" s="748">
        <v>45077</v>
      </c>
      <c r="C281" s="749" t="s">
        <v>484</v>
      </c>
      <c r="D281" s="10"/>
      <c r="E281" s="11"/>
      <c r="F281" s="11"/>
      <c r="G281" s="749" t="s">
        <v>472</v>
      </c>
      <c r="H281" s="749" t="s">
        <v>446</v>
      </c>
      <c r="I281" s="749" t="s">
        <v>249</v>
      </c>
      <c r="J281" s="11"/>
      <c r="K281" s="750">
        <v>0</v>
      </c>
      <c r="L281" s="750">
        <v>1028102846</v>
      </c>
      <c r="M281" s="11"/>
      <c r="N281" s="11"/>
      <c r="O281" s="11"/>
      <c r="P281" s="11"/>
      <c r="Q281" s="11"/>
      <c r="R281" s="11"/>
    </row>
    <row r="282" spans="1:18">
      <c r="A282" s="748">
        <v>45077</v>
      </c>
      <c r="B282" s="748">
        <v>45077</v>
      </c>
      <c r="C282" s="749" t="s">
        <v>484</v>
      </c>
      <c r="D282" s="10"/>
      <c r="E282" s="11"/>
      <c r="F282" s="11"/>
      <c r="G282" s="749" t="s">
        <v>472</v>
      </c>
      <c r="H282" s="749" t="s">
        <v>446</v>
      </c>
      <c r="I282" s="749" t="s">
        <v>251</v>
      </c>
      <c r="J282" s="11"/>
      <c r="K282" s="750">
        <v>0</v>
      </c>
      <c r="L282" s="750">
        <v>4675980382</v>
      </c>
      <c r="M282" s="11"/>
      <c r="N282" s="11"/>
      <c r="O282" s="11"/>
      <c r="P282" s="11"/>
      <c r="Q282" s="11"/>
      <c r="R282" s="11"/>
    </row>
    <row r="283" spans="1:18">
      <c r="A283" s="748">
        <v>45077</v>
      </c>
      <c r="B283" s="748">
        <v>45077</v>
      </c>
      <c r="C283" s="749" t="s">
        <v>484</v>
      </c>
      <c r="D283" s="10"/>
      <c r="E283" s="11"/>
      <c r="F283" s="11"/>
      <c r="G283" s="749" t="s">
        <v>472</v>
      </c>
      <c r="H283" s="749" t="s">
        <v>446</v>
      </c>
      <c r="I283" s="749" t="s">
        <v>255</v>
      </c>
      <c r="J283" s="11"/>
      <c r="K283" s="750">
        <v>0</v>
      </c>
      <c r="L283" s="750">
        <v>492364581</v>
      </c>
      <c r="M283" s="11"/>
      <c r="N283" s="11"/>
      <c r="O283" s="11"/>
      <c r="P283" s="11"/>
      <c r="Q283" s="11"/>
      <c r="R283" s="11"/>
    </row>
    <row r="284" spans="1:18">
      <c r="A284" s="748">
        <v>45077</v>
      </c>
      <c r="B284" s="748">
        <v>45077</v>
      </c>
      <c r="C284" s="749" t="s">
        <v>484</v>
      </c>
      <c r="D284" s="10"/>
      <c r="E284" s="11"/>
      <c r="F284" s="11"/>
      <c r="G284" s="749" t="s">
        <v>472</v>
      </c>
      <c r="H284" s="749" t="s">
        <v>446</v>
      </c>
      <c r="I284" s="749" t="s">
        <v>257</v>
      </c>
      <c r="J284" s="11"/>
      <c r="K284" s="750">
        <v>0</v>
      </c>
      <c r="L284" s="750">
        <v>9443084940</v>
      </c>
      <c r="M284" s="11"/>
      <c r="N284" s="11"/>
      <c r="O284" s="11"/>
      <c r="P284" s="11"/>
      <c r="Q284" s="11"/>
      <c r="R284" s="11"/>
    </row>
    <row r="285" spans="1:18">
      <c r="A285" s="748">
        <v>45077</v>
      </c>
      <c r="B285" s="748">
        <v>45077</v>
      </c>
      <c r="C285" s="749" t="s">
        <v>484</v>
      </c>
      <c r="D285" s="10"/>
      <c r="E285" s="11"/>
      <c r="F285" s="11"/>
      <c r="G285" s="749" t="s">
        <v>472</v>
      </c>
      <c r="H285" s="749" t="s">
        <v>446</v>
      </c>
      <c r="I285" s="749" t="s">
        <v>259</v>
      </c>
      <c r="J285" s="11"/>
      <c r="K285" s="750">
        <v>0</v>
      </c>
      <c r="L285" s="750">
        <v>4115434428</v>
      </c>
      <c r="M285" s="11"/>
      <c r="N285" s="11"/>
      <c r="O285" s="11"/>
      <c r="P285" s="11"/>
      <c r="Q285" s="11"/>
      <c r="R285" s="11"/>
    </row>
    <row r="286" spans="1:18">
      <c r="A286" s="748">
        <v>45077</v>
      </c>
      <c r="B286" s="748">
        <v>45077</v>
      </c>
      <c r="C286" s="749" t="s">
        <v>484</v>
      </c>
      <c r="D286" s="10"/>
      <c r="E286" s="11"/>
      <c r="F286" s="11"/>
      <c r="G286" s="749" t="s">
        <v>473</v>
      </c>
      <c r="H286" s="749" t="s">
        <v>446</v>
      </c>
      <c r="I286" s="749" t="s">
        <v>303</v>
      </c>
      <c r="J286" s="11"/>
      <c r="K286" s="750">
        <v>1056269930</v>
      </c>
      <c r="L286" s="750">
        <v>0</v>
      </c>
      <c r="M286" s="11"/>
      <c r="N286" s="11"/>
      <c r="O286" s="11"/>
      <c r="P286" s="11"/>
      <c r="Q286" s="11"/>
      <c r="R286" s="11"/>
    </row>
    <row r="287" spans="1:18">
      <c r="A287" s="748">
        <v>45077</v>
      </c>
      <c r="B287" s="748">
        <v>45077</v>
      </c>
      <c r="C287" s="749" t="s">
        <v>484</v>
      </c>
      <c r="D287" s="10"/>
      <c r="E287" s="11"/>
      <c r="F287" s="11"/>
      <c r="G287" s="749" t="s">
        <v>474</v>
      </c>
      <c r="H287" s="749" t="s">
        <v>446</v>
      </c>
      <c r="I287" s="749" t="s">
        <v>307</v>
      </c>
      <c r="J287" s="11"/>
      <c r="K287" s="750">
        <v>9012099123</v>
      </c>
      <c r="L287" s="750">
        <v>0</v>
      </c>
      <c r="M287" s="11"/>
      <c r="N287" s="11"/>
      <c r="O287" s="11"/>
      <c r="P287" s="11"/>
      <c r="Q287" s="11"/>
      <c r="R287" s="11"/>
    </row>
    <row r="288" spans="1:18">
      <c r="A288" s="748">
        <v>45077</v>
      </c>
      <c r="B288" s="748">
        <v>45077</v>
      </c>
      <c r="C288" s="749" t="s">
        <v>484</v>
      </c>
      <c r="D288" s="10"/>
      <c r="E288" s="11"/>
      <c r="F288" s="11"/>
      <c r="G288" s="749" t="s">
        <v>474</v>
      </c>
      <c r="H288" s="749" t="s">
        <v>446</v>
      </c>
      <c r="I288" s="749" t="s">
        <v>309</v>
      </c>
      <c r="J288" s="11"/>
      <c r="K288" s="750">
        <v>1818483506</v>
      </c>
      <c r="L288" s="750">
        <v>0</v>
      </c>
      <c r="M288" s="11"/>
      <c r="N288" s="11"/>
      <c r="O288" s="11"/>
      <c r="P288" s="11"/>
      <c r="Q288" s="11"/>
      <c r="R288" s="11"/>
    </row>
    <row r="289" spans="1:18">
      <c r="A289" s="748">
        <v>45077</v>
      </c>
      <c r="B289" s="748">
        <v>45077</v>
      </c>
      <c r="C289" s="749" t="s">
        <v>484</v>
      </c>
      <c r="D289" s="10"/>
      <c r="E289" s="11"/>
      <c r="F289" s="11"/>
      <c r="G289" s="749" t="s">
        <v>474</v>
      </c>
      <c r="H289" s="749" t="s">
        <v>446</v>
      </c>
      <c r="I289" s="749" t="s">
        <v>313</v>
      </c>
      <c r="J289" s="11"/>
      <c r="K289" s="750">
        <v>2244455993</v>
      </c>
      <c r="L289" s="750">
        <v>0</v>
      </c>
      <c r="M289" s="11"/>
      <c r="N289" s="11"/>
      <c r="O289" s="11"/>
      <c r="P289" s="11"/>
      <c r="Q289" s="11"/>
      <c r="R289" s="11"/>
    </row>
    <row r="290" spans="1:18">
      <c r="A290" s="748">
        <v>45077</v>
      </c>
      <c r="B290" s="748">
        <v>45077</v>
      </c>
      <c r="C290" s="749" t="s">
        <v>484</v>
      </c>
      <c r="D290" s="10"/>
      <c r="E290" s="11"/>
      <c r="F290" s="11"/>
      <c r="G290" s="749" t="s">
        <v>474</v>
      </c>
      <c r="H290" s="749" t="s">
        <v>446</v>
      </c>
      <c r="I290" s="749" t="s">
        <v>317</v>
      </c>
      <c r="J290" s="11"/>
      <c r="K290" s="750">
        <v>1671920538</v>
      </c>
      <c r="L290" s="750">
        <v>0</v>
      </c>
      <c r="M290" s="11"/>
      <c r="N290" s="11"/>
      <c r="O290" s="11"/>
      <c r="P290" s="11"/>
      <c r="Q290" s="11"/>
      <c r="R290" s="11"/>
    </row>
    <row r="291" spans="1:18">
      <c r="A291" s="748">
        <v>45077</v>
      </c>
      <c r="B291" s="748">
        <v>45077</v>
      </c>
      <c r="C291" s="749" t="s">
        <v>484</v>
      </c>
      <c r="D291" s="10"/>
      <c r="E291" s="11"/>
      <c r="F291" s="11"/>
      <c r="G291" s="749" t="s">
        <v>474</v>
      </c>
      <c r="H291" s="749" t="s">
        <v>446</v>
      </c>
      <c r="I291" s="749" t="s">
        <v>323</v>
      </c>
      <c r="J291" s="11"/>
      <c r="K291" s="750">
        <v>3287671</v>
      </c>
      <c r="L291" s="750">
        <v>0</v>
      </c>
      <c r="M291" s="11"/>
      <c r="N291" s="11"/>
      <c r="O291" s="11"/>
      <c r="P291" s="11"/>
      <c r="Q291" s="11"/>
      <c r="R291" s="11"/>
    </row>
    <row r="292" spans="1:18">
      <c r="A292" s="748">
        <v>45077</v>
      </c>
      <c r="B292" s="748">
        <v>45077</v>
      </c>
      <c r="C292" s="749" t="s">
        <v>484</v>
      </c>
      <c r="D292" s="10"/>
      <c r="E292" s="11"/>
      <c r="F292" s="11"/>
      <c r="G292" s="749" t="s">
        <v>474</v>
      </c>
      <c r="H292" s="749" t="s">
        <v>446</v>
      </c>
      <c r="I292" s="749" t="s">
        <v>331</v>
      </c>
      <c r="J292" s="11"/>
      <c r="K292" s="750">
        <v>24757</v>
      </c>
      <c r="L292" s="750">
        <v>0</v>
      </c>
      <c r="M292" s="11"/>
      <c r="N292" s="11"/>
      <c r="O292" s="11"/>
      <c r="P292" s="11"/>
      <c r="Q292" s="11"/>
      <c r="R292" s="11"/>
    </row>
    <row r="293" spans="1:18">
      <c r="A293" s="748">
        <v>45077</v>
      </c>
      <c r="B293" s="748">
        <v>45077</v>
      </c>
      <c r="C293" s="749" t="s">
        <v>484</v>
      </c>
      <c r="D293" s="10"/>
      <c r="E293" s="11"/>
      <c r="F293" s="11"/>
      <c r="G293" s="749" t="s">
        <v>475</v>
      </c>
      <c r="H293" s="749" t="s">
        <v>446</v>
      </c>
      <c r="I293" s="749" t="s">
        <v>339</v>
      </c>
      <c r="J293" s="11"/>
      <c r="K293" s="750">
        <v>0</v>
      </c>
      <c r="L293" s="750">
        <v>9306000</v>
      </c>
      <c r="M293" s="11"/>
      <c r="N293" s="11"/>
      <c r="O293" s="11"/>
      <c r="P293" s="11"/>
      <c r="Q293" s="11"/>
      <c r="R293" s="11"/>
    </row>
    <row r="294" spans="1:18">
      <c r="A294" s="748">
        <v>45077</v>
      </c>
      <c r="B294" s="748">
        <v>45077</v>
      </c>
      <c r="C294" s="749" t="s">
        <v>484</v>
      </c>
      <c r="D294" s="10"/>
      <c r="E294" s="11"/>
      <c r="F294" s="11"/>
      <c r="G294" s="749" t="s">
        <v>475</v>
      </c>
      <c r="H294" s="749" t="s">
        <v>446</v>
      </c>
      <c r="I294" s="749" t="s">
        <v>350</v>
      </c>
      <c r="J294" s="11"/>
      <c r="K294" s="750">
        <v>0</v>
      </c>
      <c r="L294" s="750">
        <v>2929867</v>
      </c>
      <c r="M294" s="11"/>
      <c r="N294" s="11"/>
      <c r="O294" s="11"/>
      <c r="P294" s="11"/>
      <c r="Q294" s="11"/>
      <c r="R294" s="11"/>
    </row>
    <row r="295" spans="1:18">
      <c r="A295" s="748">
        <v>45077</v>
      </c>
      <c r="B295" s="748">
        <v>45077</v>
      </c>
      <c r="C295" s="749" t="s">
        <v>484</v>
      </c>
      <c r="D295" s="10"/>
      <c r="E295" s="11"/>
      <c r="F295" s="11"/>
      <c r="G295" s="749" t="s">
        <v>475</v>
      </c>
      <c r="H295" s="749" t="s">
        <v>446</v>
      </c>
      <c r="I295" s="749" t="s">
        <v>354</v>
      </c>
      <c r="J295" s="11"/>
      <c r="K295" s="750">
        <v>4796315</v>
      </c>
      <c r="L295" s="750">
        <v>0</v>
      </c>
      <c r="M295" s="11"/>
      <c r="N295" s="11"/>
      <c r="O295" s="11"/>
      <c r="P295" s="11"/>
      <c r="Q295" s="11"/>
      <c r="R295" s="11"/>
    </row>
    <row r="296" spans="1:18">
      <c r="A296" s="748">
        <v>45077</v>
      </c>
      <c r="B296" s="748">
        <v>45077</v>
      </c>
      <c r="C296" s="749" t="s">
        <v>484</v>
      </c>
      <c r="D296" s="10"/>
      <c r="E296" s="11"/>
      <c r="F296" s="11"/>
      <c r="G296" s="749" t="s">
        <v>475</v>
      </c>
      <c r="H296" s="749" t="s">
        <v>446</v>
      </c>
      <c r="I296" s="749" t="s">
        <v>356</v>
      </c>
      <c r="J296" s="11"/>
      <c r="K296" s="750">
        <v>96833</v>
      </c>
      <c r="L296" s="750">
        <v>0</v>
      </c>
      <c r="M296" s="11"/>
      <c r="N296" s="11"/>
      <c r="O296" s="11"/>
      <c r="P296" s="11"/>
      <c r="Q296" s="11"/>
      <c r="R296" s="11"/>
    </row>
    <row r="297" spans="1:18">
      <c r="A297" s="748">
        <v>45077</v>
      </c>
      <c r="B297" s="748">
        <v>45077</v>
      </c>
      <c r="C297" s="749" t="s">
        <v>484</v>
      </c>
      <c r="D297" s="10"/>
      <c r="E297" s="11"/>
      <c r="F297" s="11"/>
      <c r="G297" s="749" t="s">
        <v>475</v>
      </c>
      <c r="H297" s="749" t="s">
        <v>446</v>
      </c>
      <c r="I297" s="749" t="s">
        <v>357</v>
      </c>
      <c r="J297" s="11"/>
      <c r="K297" s="750">
        <v>10222500</v>
      </c>
      <c r="L297" s="750">
        <v>0</v>
      </c>
      <c r="M297" s="11"/>
      <c r="N297" s="11"/>
      <c r="O297" s="11"/>
      <c r="P297" s="11"/>
      <c r="Q297" s="11"/>
      <c r="R297" s="11"/>
    </row>
    <row r="298" spans="1:18">
      <c r="A298" s="748">
        <v>45077</v>
      </c>
      <c r="B298" s="748">
        <v>45077</v>
      </c>
      <c r="C298" s="749" t="s">
        <v>484</v>
      </c>
      <c r="D298" s="10"/>
      <c r="E298" s="11"/>
      <c r="F298" s="11"/>
      <c r="G298" s="749" t="s">
        <v>475</v>
      </c>
      <c r="H298" s="749" t="s">
        <v>446</v>
      </c>
      <c r="I298" s="749" t="s">
        <v>361</v>
      </c>
      <c r="J298" s="11"/>
      <c r="K298" s="750">
        <v>44683921</v>
      </c>
      <c r="L298" s="750">
        <v>0</v>
      </c>
      <c r="M298" s="11"/>
      <c r="N298" s="11"/>
      <c r="O298" s="11"/>
      <c r="P298" s="11"/>
      <c r="Q298" s="11"/>
      <c r="R298" s="11"/>
    </row>
    <row r="299" spans="1:18">
      <c r="A299" s="748">
        <v>45077</v>
      </c>
      <c r="B299" s="748">
        <v>45077</v>
      </c>
      <c r="C299" s="749" t="s">
        <v>484</v>
      </c>
      <c r="D299" s="10"/>
      <c r="E299" s="11"/>
      <c r="F299" s="11"/>
      <c r="G299" s="749" t="s">
        <v>475</v>
      </c>
      <c r="H299" s="749" t="s">
        <v>446</v>
      </c>
      <c r="I299" s="749" t="s">
        <v>363</v>
      </c>
      <c r="J299" s="11"/>
      <c r="K299" s="750">
        <v>44237552</v>
      </c>
      <c r="L299" s="750">
        <v>0</v>
      </c>
      <c r="M299" s="11"/>
      <c r="N299" s="11"/>
      <c r="O299" s="11"/>
      <c r="P299" s="11"/>
      <c r="Q299" s="11"/>
      <c r="R299" s="11"/>
    </row>
    <row r="300" spans="1:18">
      <c r="A300" s="748">
        <v>45077</v>
      </c>
      <c r="B300" s="748">
        <v>45077</v>
      </c>
      <c r="C300" s="749" t="s">
        <v>484</v>
      </c>
      <c r="D300" s="10"/>
      <c r="E300" s="11"/>
      <c r="F300" s="11"/>
      <c r="G300" s="749" t="s">
        <v>475</v>
      </c>
      <c r="H300" s="749" t="s">
        <v>446</v>
      </c>
      <c r="I300" s="749" t="s">
        <v>370</v>
      </c>
      <c r="J300" s="11"/>
      <c r="K300" s="750">
        <v>181242048</v>
      </c>
      <c r="L300" s="750">
        <v>0</v>
      </c>
      <c r="M300" s="11"/>
      <c r="N300" s="11"/>
      <c r="O300" s="11"/>
      <c r="P300" s="11"/>
      <c r="Q300" s="11"/>
      <c r="R300" s="11"/>
    </row>
    <row r="301" spans="1:18">
      <c r="A301" s="748">
        <v>45077</v>
      </c>
      <c r="B301" s="748">
        <v>45077</v>
      </c>
      <c r="C301" s="749" t="s">
        <v>484</v>
      </c>
      <c r="D301" s="10"/>
      <c r="E301" s="11"/>
      <c r="F301" s="11"/>
      <c r="G301" s="749" t="s">
        <v>475</v>
      </c>
      <c r="H301" s="749" t="s">
        <v>446</v>
      </c>
      <c r="I301" s="749" t="s">
        <v>343</v>
      </c>
      <c r="J301" s="11"/>
      <c r="K301" s="750">
        <v>7690894</v>
      </c>
      <c r="L301" s="750">
        <v>0</v>
      </c>
      <c r="M301" s="11"/>
      <c r="N301" s="11"/>
      <c r="O301" s="11"/>
      <c r="P301" s="11"/>
      <c r="Q301" s="11"/>
      <c r="R301" s="11"/>
    </row>
    <row r="302" spans="1:18">
      <c r="A302" s="748">
        <v>45077</v>
      </c>
      <c r="B302" s="748">
        <v>45077</v>
      </c>
      <c r="C302" s="749" t="s">
        <v>484</v>
      </c>
      <c r="D302" s="10"/>
      <c r="E302" s="11"/>
      <c r="F302" s="11"/>
      <c r="G302" s="749" t="s">
        <v>475</v>
      </c>
      <c r="H302" s="749" t="s">
        <v>446</v>
      </c>
      <c r="I302" s="749" t="s">
        <v>345</v>
      </c>
      <c r="J302" s="11"/>
      <c r="K302" s="750">
        <v>3870417</v>
      </c>
      <c r="L302" s="750">
        <v>0</v>
      </c>
      <c r="M302" s="11"/>
      <c r="N302" s="11"/>
      <c r="O302" s="11"/>
      <c r="P302" s="11"/>
      <c r="Q302" s="11"/>
      <c r="R302" s="11"/>
    </row>
    <row r="303" spans="1:18">
      <c r="A303" s="748">
        <v>45077</v>
      </c>
      <c r="B303" s="748">
        <v>45077</v>
      </c>
      <c r="C303" s="749" t="s">
        <v>484</v>
      </c>
      <c r="D303" s="10"/>
      <c r="E303" s="11"/>
      <c r="F303" s="11"/>
      <c r="G303" s="749" t="s">
        <v>475</v>
      </c>
      <c r="H303" s="749" t="s">
        <v>446</v>
      </c>
      <c r="I303" s="749" t="s">
        <v>347</v>
      </c>
      <c r="J303" s="11"/>
      <c r="K303" s="750">
        <v>97586332</v>
      </c>
      <c r="L303" s="750">
        <v>0</v>
      </c>
      <c r="M303" s="11"/>
      <c r="N303" s="11"/>
      <c r="O303" s="11"/>
      <c r="P303" s="11"/>
      <c r="Q303" s="11"/>
      <c r="R303" s="11"/>
    </row>
    <row r="304" spans="1:18">
      <c r="A304" s="748">
        <v>45077</v>
      </c>
      <c r="B304" s="748">
        <v>45077</v>
      </c>
      <c r="C304" s="749" t="s">
        <v>484</v>
      </c>
      <c r="D304" s="10"/>
      <c r="E304" s="11"/>
      <c r="F304" s="11"/>
      <c r="G304" s="749" t="s">
        <v>475</v>
      </c>
      <c r="H304" s="749" t="s">
        <v>446</v>
      </c>
      <c r="I304" s="749" t="s">
        <v>348</v>
      </c>
      <c r="J304" s="11"/>
      <c r="K304" s="750">
        <v>221459921</v>
      </c>
      <c r="L304" s="750">
        <v>0</v>
      </c>
      <c r="M304" s="11"/>
      <c r="N304" s="11"/>
      <c r="O304" s="11"/>
      <c r="P304" s="11"/>
      <c r="Q304" s="11"/>
      <c r="R304" s="11"/>
    </row>
    <row r="305" spans="1:18">
      <c r="A305" s="748">
        <v>45077</v>
      </c>
      <c r="B305" s="748">
        <v>45077</v>
      </c>
      <c r="C305" s="749" t="s">
        <v>484</v>
      </c>
      <c r="D305" s="10"/>
      <c r="E305" s="11"/>
      <c r="F305" s="11"/>
      <c r="G305" s="749" t="s">
        <v>475</v>
      </c>
      <c r="H305" s="749" t="s">
        <v>446</v>
      </c>
      <c r="I305" s="749" t="s">
        <v>337</v>
      </c>
      <c r="J305" s="11"/>
      <c r="K305" s="750">
        <v>402125957</v>
      </c>
      <c r="L305" s="750">
        <v>0</v>
      </c>
      <c r="M305" s="11"/>
      <c r="N305" s="11"/>
      <c r="O305" s="11"/>
      <c r="P305" s="11"/>
      <c r="Q305" s="11"/>
      <c r="R305" s="11"/>
    </row>
    <row r="306" spans="1:18">
      <c r="A306" s="748">
        <v>45077</v>
      </c>
      <c r="B306" s="748">
        <v>45077</v>
      </c>
      <c r="C306" s="749" t="s">
        <v>484</v>
      </c>
      <c r="D306" s="10"/>
      <c r="E306" s="11"/>
      <c r="F306" s="11"/>
      <c r="G306" s="749" t="s">
        <v>476</v>
      </c>
      <c r="H306" s="749" t="s">
        <v>446</v>
      </c>
      <c r="I306" s="749" t="s">
        <v>379</v>
      </c>
      <c r="J306" s="11"/>
      <c r="K306" s="750">
        <v>0</v>
      </c>
      <c r="L306" s="750">
        <v>9024000</v>
      </c>
      <c r="M306" s="11"/>
      <c r="N306" s="11"/>
      <c r="O306" s="11"/>
      <c r="P306" s="11"/>
      <c r="Q306" s="11"/>
      <c r="R306" s="11"/>
    </row>
    <row r="307" spans="1:18">
      <c r="A307" s="748">
        <v>45077</v>
      </c>
      <c r="B307" s="748">
        <v>45077</v>
      </c>
      <c r="C307" s="749" t="s">
        <v>484</v>
      </c>
      <c r="D307" s="10"/>
      <c r="E307" s="11"/>
      <c r="F307" s="11"/>
      <c r="G307" s="749" t="s">
        <v>476</v>
      </c>
      <c r="H307" s="749" t="s">
        <v>446</v>
      </c>
      <c r="I307" s="749" t="s">
        <v>380</v>
      </c>
      <c r="J307" s="11"/>
      <c r="K307" s="750">
        <v>56712777</v>
      </c>
      <c r="L307" s="750">
        <v>0</v>
      </c>
      <c r="M307" s="11"/>
      <c r="N307" s="11"/>
      <c r="O307" s="11"/>
      <c r="P307" s="11"/>
      <c r="Q307" s="11"/>
      <c r="R307" s="11"/>
    </row>
    <row r="308" spans="1:18">
      <c r="A308" s="748">
        <v>45077</v>
      </c>
      <c r="B308" s="748">
        <v>45077</v>
      </c>
      <c r="C308" s="749" t="s">
        <v>484</v>
      </c>
      <c r="D308" s="10"/>
      <c r="E308" s="11"/>
      <c r="F308" s="11"/>
      <c r="G308" s="749" t="s">
        <v>476</v>
      </c>
      <c r="H308" s="749" t="s">
        <v>446</v>
      </c>
      <c r="I308" s="749" t="s">
        <v>381</v>
      </c>
      <c r="J308" s="11"/>
      <c r="K308" s="750">
        <v>157237126</v>
      </c>
      <c r="L308" s="750">
        <v>0</v>
      </c>
      <c r="M308" s="11"/>
      <c r="N308" s="11"/>
      <c r="O308" s="11"/>
      <c r="P308" s="11"/>
      <c r="Q308" s="11"/>
      <c r="R308" s="11"/>
    </row>
    <row r="309" spans="1:18">
      <c r="A309" s="748">
        <v>45077</v>
      </c>
      <c r="B309" s="748">
        <v>45077</v>
      </c>
      <c r="C309" s="749" t="s">
        <v>484</v>
      </c>
      <c r="D309" s="10"/>
      <c r="E309" s="11"/>
      <c r="F309" s="11"/>
      <c r="G309" s="749" t="s">
        <v>476</v>
      </c>
      <c r="H309" s="749" t="s">
        <v>446</v>
      </c>
      <c r="I309" s="749" t="s">
        <v>383</v>
      </c>
      <c r="J309" s="11"/>
      <c r="K309" s="750">
        <v>32639206</v>
      </c>
      <c r="L309" s="750">
        <v>0</v>
      </c>
      <c r="M309" s="11"/>
      <c r="N309" s="11"/>
      <c r="O309" s="11"/>
      <c r="P309" s="11"/>
      <c r="Q309" s="11"/>
      <c r="R309" s="11"/>
    </row>
    <row r="310" spans="1:18">
      <c r="A310" s="748">
        <v>45077</v>
      </c>
      <c r="B310" s="748">
        <v>45077</v>
      </c>
      <c r="C310" s="749" t="s">
        <v>484</v>
      </c>
      <c r="D310" s="10"/>
      <c r="E310" s="11"/>
      <c r="F310" s="11"/>
      <c r="G310" s="749" t="s">
        <v>476</v>
      </c>
      <c r="H310" s="749" t="s">
        <v>446</v>
      </c>
      <c r="I310" s="749" t="s">
        <v>387</v>
      </c>
      <c r="J310" s="11"/>
      <c r="K310" s="750">
        <v>164721857</v>
      </c>
      <c r="L310" s="750">
        <v>0</v>
      </c>
      <c r="M310" s="11"/>
      <c r="N310" s="11"/>
      <c r="O310" s="11"/>
      <c r="P310" s="11"/>
      <c r="Q310" s="11"/>
      <c r="R310" s="11"/>
    </row>
    <row r="311" spans="1:18">
      <c r="A311" s="748">
        <v>45077</v>
      </c>
      <c r="B311" s="748">
        <v>45077</v>
      </c>
      <c r="C311" s="749" t="s">
        <v>484</v>
      </c>
      <c r="D311" s="10"/>
      <c r="E311" s="11"/>
      <c r="F311" s="11"/>
      <c r="G311" s="749" t="s">
        <v>476</v>
      </c>
      <c r="H311" s="749" t="s">
        <v>446</v>
      </c>
      <c r="I311" s="749" t="s">
        <v>389</v>
      </c>
      <c r="J311" s="11"/>
      <c r="K311" s="750">
        <v>8273406</v>
      </c>
      <c r="L311" s="750">
        <v>0</v>
      </c>
      <c r="M311" s="11"/>
      <c r="N311" s="11"/>
      <c r="O311" s="11"/>
      <c r="P311" s="11"/>
      <c r="Q311" s="11"/>
      <c r="R311" s="11"/>
    </row>
    <row r="312" spans="1:18">
      <c r="A312" s="748">
        <v>45077</v>
      </c>
      <c r="B312" s="748">
        <v>45077</v>
      </c>
      <c r="C312" s="749" t="s">
        <v>484</v>
      </c>
      <c r="D312" s="10"/>
      <c r="E312" s="11"/>
      <c r="F312" s="11"/>
      <c r="G312" s="749" t="s">
        <v>476</v>
      </c>
      <c r="H312" s="749" t="s">
        <v>446</v>
      </c>
      <c r="I312" s="749" t="s">
        <v>391</v>
      </c>
      <c r="J312" s="11"/>
      <c r="K312" s="750">
        <v>6866956</v>
      </c>
      <c r="L312" s="750">
        <v>0</v>
      </c>
      <c r="M312" s="11"/>
      <c r="N312" s="11"/>
      <c r="O312" s="11"/>
      <c r="P312" s="11"/>
      <c r="Q312" s="11"/>
      <c r="R312" s="11"/>
    </row>
    <row r="313" spans="1:18">
      <c r="A313" s="748">
        <v>45077</v>
      </c>
      <c r="B313" s="748">
        <v>45077</v>
      </c>
      <c r="C313" s="749" t="s">
        <v>484</v>
      </c>
      <c r="D313" s="10"/>
      <c r="E313" s="11"/>
      <c r="F313" s="11"/>
      <c r="G313" s="749" t="s">
        <v>476</v>
      </c>
      <c r="H313" s="749" t="s">
        <v>446</v>
      </c>
      <c r="I313" s="749" t="s">
        <v>393</v>
      </c>
      <c r="J313" s="11"/>
      <c r="K313" s="750">
        <v>3630528</v>
      </c>
      <c r="L313" s="750">
        <v>0</v>
      </c>
      <c r="M313" s="11"/>
      <c r="N313" s="11"/>
      <c r="O313" s="11"/>
      <c r="P313" s="11"/>
      <c r="Q313" s="11"/>
      <c r="R313" s="11"/>
    </row>
    <row r="314" spans="1:18">
      <c r="A314" s="748">
        <v>45077</v>
      </c>
      <c r="B314" s="748">
        <v>45077</v>
      </c>
      <c r="C314" s="749" t="s">
        <v>484</v>
      </c>
      <c r="D314" s="10"/>
      <c r="E314" s="11"/>
      <c r="F314" s="11"/>
      <c r="G314" s="749" t="s">
        <v>476</v>
      </c>
      <c r="H314" s="749" t="s">
        <v>446</v>
      </c>
      <c r="I314" s="749" t="s">
        <v>395</v>
      </c>
      <c r="J314" s="11"/>
      <c r="K314" s="750">
        <v>70637184</v>
      </c>
      <c r="L314" s="750">
        <v>0</v>
      </c>
      <c r="M314" s="11"/>
      <c r="N314" s="11"/>
      <c r="O314" s="11"/>
      <c r="P314" s="11"/>
      <c r="Q314" s="11"/>
      <c r="R314" s="11"/>
    </row>
    <row r="315" spans="1:18">
      <c r="A315" s="748">
        <v>45077</v>
      </c>
      <c r="B315" s="748">
        <v>45077</v>
      </c>
      <c r="C315" s="749" t="s">
        <v>484</v>
      </c>
      <c r="D315" s="10"/>
      <c r="E315" s="11"/>
      <c r="F315" s="11"/>
      <c r="G315" s="749" t="s">
        <v>476</v>
      </c>
      <c r="H315" s="749" t="s">
        <v>446</v>
      </c>
      <c r="I315" s="749" t="s">
        <v>397</v>
      </c>
      <c r="J315" s="11"/>
      <c r="K315" s="750">
        <v>71747170</v>
      </c>
      <c r="L315" s="750">
        <v>0</v>
      </c>
      <c r="M315" s="11"/>
      <c r="N315" s="11"/>
      <c r="O315" s="11"/>
      <c r="P315" s="11"/>
      <c r="Q315" s="11"/>
      <c r="R315" s="11"/>
    </row>
    <row r="316" spans="1:18">
      <c r="A316" s="748">
        <v>45077</v>
      </c>
      <c r="B316" s="748">
        <v>45077</v>
      </c>
      <c r="C316" s="749" t="s">
        <v>484</v>
      </c>
      <c r="D316" s="10"/>
      <c r="E316" s="11"/>
      <c r="F316" s="11"/>
      <c r="G316" s="749" t="s">
        <v>476</v>
      </c>
      <c r="H316" s="749" t="s">
        <v>446</v>
      </c>
      <c r="I316" s="749" t="s">
        <v>398</v>
      </c>
      <c r="J316" s="11"/>
      <c r="K316" s="750">
        <v>2838000</v>
      </c>
      <c r="L316" s="750">
        <v>0</v>
      </c>
      <c r="M316" s="11"/>
      <c r="N316" s="11"/>
      <c r="O316" s="11"/>
      <c r="P316" s="11"/>
      <c r="Q316" s="11"/>
      <c r="R316" s="11"/>
    </row>
    <row r="317" spans="1:18">
      <c r="A317" s="748">
        <v>45077</v>
      </c>
      <c r="B317" s="748">
        <v>45077</v>
      </c>
      <c r="C317" s="749" t="s">
        <v>484</v>
      </c>
      <c r="D317" s="10"/>
      <c r="E317" s="11"/>
      <c r="F317" s="11"/>
      <c r="G317" s="749" t="s">
        <v>476</v>
      </c>
      <c r="H317" s="749" t="s">
        <v>446</v>
      </c>
      <c r="I317" s="749" t="s">
        <v>400</v>
      </c>
      <c r="J317" s="11"/>
      <c r="K317" s="750">
        <v>3054545</v>
      </c>
      <c r="L317" s="750">
        <v>0</v>
      </c>
      <c r="M317" s="11"/>
      <c r="N317" s="11"/>
      <c r="O317" s="11"/>
      <c r="P317" s="11"/>
      <c r="Q317" s="11"/>
      <c r="R317" s="11"/>
    </row>
    <row r="318" spans="1:18">
      <c r="A318" s="748">
        <v>45077</v>
      </c>
      <c r="B318" s="748">
        <v>45077</v>
      </c>
      <c r="C318" s="749" t="s">
        <v>484</v>
      </c>
      <c r="D318" s="10"/>
      <c r="E318" s="11"/>
      <c r="F318" s="11"/>
      <c r="G318" s="749" t="s">
        <v>476</v>
      </c>
      <c r="H318" s="749" t="s">
        <v>446</v>
      </c>
      <c r="I318" s="749" t="s">
        <v>401</v>
      </c>
      <c r="J318" s="11"/>
      <c r="K318" s="750">
        <v>3900000</v>
      </c>
      <c r="L318" s="750">
        <v>0</v>
      </c>
      <c r="M318" s="11"/>
      <c r="N318" s="11"/>
      <c r="O318" s="11"/>
      <c r="P318" s="11"/>
      <c r="Q318" s="11"/>
      <c r="R318" s="11"/>
    </row>
    <row r="319" spans="1:18">
      <c r="A319" s="748">
        <v>45077</v>
      </c>
      <c r="B319" s="748">
        <v>45077</v>
      </c>
      <c r="C319" s="749" t="s">
        <v>484</v>
      </c>
      <c r="D319" s="10"/>
      <c r="E319" s="11"/>
      <c r="F319" s="11"/>
      <c r="G319" s="749" t="s">
        <v>476</v>
      </c>
      <c r="H319" s="749" t="s">
        <v>446</v>
      </c>
      <c r="I319" s="749" t="s">
        <v>403</v>
      </c>
      <c r="J319" s="11"/>
      <c r="K319" s="750">
        <v>3000000</v>
      </c>
      <c r="L319" s="750">
        <v>0</v>
      </c>
      <c r="M319" s="11"/>
      <c r="N319" s="11"/>
      <c r="O319" s="11"/>
      <c r="P319" s="11"/>
      <c r="Q319" s="11"/>
      <c r="R319" s="11"/>
    </row>
    <row r="320" spans="1:18">
      <c r="A320" s="748">
        <v>45077</v>
      </c>
      <c r="B320" s="748">
        <v>45077</v>
      </c>
      <c r="C320" s="749" t="s">
        <v>484</v>
      </c>
      <c r="D320" s="10"/>
      <c r="E320" s="11"/>
      <c r="F320" s="11"/>
      <c r="G320" s="749" t="s">
        <v>476</v>
      </c>
      <c r="H320" s="749" t="s">
        <v>446</v>
      </c>
      <c r="I320" s="749" t="s">
        <v>405</v>
      </c>
      <c r="J320" s="11"/>
      <c r="K320" s="750">
        <v>12000000</v>
      </c>
      <c r="L320" s="750">
        <v>0</v>
      </c>
      <c r="M320" s="11"/>
      <c r="N320" s="11"/>
      <c r="O320" s="11"/>
      <c r="P320" s="11"/>
      <c r="Q320" s="11"/>
      <c r="R320" s="11"/>
    </row>
    <row r="321" spans="1:18">
      <c r="A321" s="748">
        <v>45077</v>
      </c>
      <c r="B321" s="748">
        <v>45077</v>
      </c>
      <c r="C321" s="749" t="s">
        <v>484</v>
      </c>
      <c r="D321" s="10"/>
      <c r="E321" s="11"/>
      <c r="F321" s="11"/>
      <c r="G321" s="749" t="s">
        <v>476</v>
      </c>
      <c r="H321" s="749" t="s">
        <v>446</v>
      </c>
      <c r="I321" s="749" t="s">
        <v>407</v>
      </c>
      <c r="J321" s="11"/>
      <c r="K321" s="750">
        <v>70833333</v>
      </c>
      <c r="L321" s="750">
        <v>0</v>
      </c>
      <c r="M321" s="11"/>
      <c r="N321" s="11"/>
      <c r="O321" s="11"/>
      <c r="P321" s="11"/>
      <c r="Q321" s="11"/>
      <c r="R321" s="11"/>
    </row>
    <row r="322" spans="1:18">
      <c r="A322" s="748">
        <v>45077</v>
      </c>
      <c r="B322" s="748">
        <v>45077</v>
      </c>
      <c r="C322" s="749" t="s">
        <v>484</v>
      </c>
      <c r="D322" s="10"/>
      <c r="E322" s="11"/>
      <c r="F322" s="11"/>
      <c r="G322" s="749" t="s">
        <v>476</v>
      </c>
      <c r="H322" s="749" t="s">
        <v>446</v>
      </c>
      <c r="I322" s="749" t="s">
        <v>413</v>
      </c>
      <c r="J322" s="11"/>
      <c r="K322" s="750">
        <v>29835174</v>
      </c>
      <c r="L322" s="750">
        <v>0</v>
      </c>
      <c r="M322" s="11"/>
      <c r="N322" s="11"/>
      <c r="O322" s="11"/>
      <c r="P322" s="11"/>
      <c r="Q322" s="11"/>
      <c r="R322" s="11"/>
    </row>
    <row r="323" spans="1:18">
      <c r="A323" s="748">
        <v>45077</v>
      </c>
      <c r="B323" s="748">
        <v>45077</v>
      </c>
      <c r="C323" s="749" t="s">
        <v>484</v>
      </c>
      <c r="D323" s="10"/>
      <c r="E323" s="11"/>
      <c r="F323" s="11"/>
      <c r="G323" s="749" t="s">
        <v>476</v>
      </c>
      <c r="H323" s="749" t="s">
        <v>446</v>
      </c>
      <c r="I323" s="749" t="s">
        <v>415</v>
      </c>
      <c r="J323" s="11"/>
      <c r="K323" s="750">
        <v>5700000</v>
      </c>
      <c r="L323" s="750">
        <v>0</v>
      </c>
      <c r="M323" s="11"/>
      <c r="N323" s="11"/>
      <c r="O323" s="11"/>
      <c r="P323" s="11"/>
      <c r="Q323" s="11"/>
      <c r="R323" s="11"/>
    </row>
    <row r="324" spans="1:18">
      <c r="A324" s="748">
        <v>45077</v>
      </c>
      <c r="B324" s="748">
        <v>45077</v>
      </c>
      <c r="C324" s="749" t="s">
        <v>484</v>
      </c>
      <c r="D324" s="10"/>
      <c r="E324" s="11"/>
      <c r="F324" s="11"/>
      <c r="G324" s="749" t="s">
        <v>476</v>
      </c>
      <c r="H324" s="749" t="s">
        <v>446</v>
      </c>
      <c r="I324" s="749" t="s">
        <v>417</v>
      </c>
      <c r="J324" s="11"/>
      <c r="K324" s="750">
        <v>5079000</v>
      </c>
      <c r="L324" s="750">
        <v>0</v>
      </c>
      <c r="M324" s="11"/>
      <c r="N324" s="11"/>
      <c r="O324" s="11"/>
      <c r="P324" s="11"/>
      <c r="Q324" s="11"/>
      <c r="R324" s="11"/>
    </row>
    <row r="325" spans="1:18">
      <c r="A325" s="748">
        <v>45077</v>
      </c>
      <c r="B325" s="748">
        <v>45077</v>
      </c>
      <c r="C325" s="749" t="s">
        <v>484</v>
      </c>
      <c r="D325" s="10"/>
      <c r="E325" s="11"/>
      <c r="F325" s="11"/>
      <c r="G325" s="749" t="s">
        <v>476</v>
      </c>
      <c r="H325" s="749" t="s">
        <v>446</v>
      </c>
      <c r="I325" s="749" t="s">
        <v>419</v>
      </c>
      <c r="J325" s="11"/>
      <c r="K325" s="750">
        <v>9055555</v>
      </c>
      <c r="L325" s="750">
        <v>0</v>
      </c>
      <c r="M325" s="11"/>
      <c r="N325" s="11"/>
      <c r="O325" s="11"/>
      <c r="P325" s="11"/>
      <c r="Q325" s="11"/>
      <c r="R325" s="11"/>
    </row>
    <row r="326" spans="1:18">
      <c r="A326" s="748">
        <v>45077</v>
      </c>
      <c r="B326" s="748">
        <v>45077</v>
      </c>
      <c r="C326" s="749" t="s">
        <v>484</v>
      </c>
      <c r="D326" s="10"/>
      <c r="E326" s="11"/>
      <c r="F326" s="11"/>
      <c r="G326" s="749" t="s">
        <v>476</v>
      </c>
      <c r="H326" s="749" t="s">
        <v>446</v>
      </c>
      <c r="I326" s="749" t="s">
        <v>421</v>
      </c>
      <c r="J326" s="11"/>
      <c r="K326" s="750">
        <v>20829167</v>
      </c>
      <c r="L326" s="750">
        <v>0</v>
      </c>
      <c r="M326" s="11"/>
      <c r="N326" s="11"/>
      <c r="O326" s="11"/>
      <c r="P326" s="11"/>
      <c r="Q326" s="11"/>
      <c r="R326" s="11"/>
    </row>
    <row r="327" spans="1:18">
      <c r="A327" s="748">
        <v>45077</v>
      </c>
      <c r="B327" s="748">
        <v>45077</v>
      </c>
      <c r="C327" s="749" t="s">
        <v>484</v>
      </c>
      <c r="D327" s="10"/>
      <c r="E327" s="11"/>
      <c r="F327" s="11"/>
      <c r="G327" s="749" t="s">
        <v>476</v>
      </c>
      <c r="H327" s="749" t="s">
        <v>446</v>
      </c>
      <c r="I327" s="749" t="s">
        <v>422</v>
      </c>
      <c r="J327" s="11"/>
      <c r="K327" s="750">
        <v>12266667</v>
      </c>
      <c r="L327" s="750">
        <v>0</v>
      </c>
      <c r="M327" s="11"/>
      <c r="N327" s="11"/>
      <c r="O327" s="11"/>
      <c r="P327" s="11"/>
      <c r="Q327" s="11"/>
      <c r="R327" s="11"/>
    </row>
    <row r="328" spans="1:18">
      <c r="A328" s="748">
        <v>45077</v>
      </c>
      <c r="B328" s="748">
        <v>45077</v>
      </c>
      <c r="C328" s="749" t="s">
        <v>484</v>
      </c>
      <c r="D328" s="10"/>
      <c r="E328" s="11"/>
      <c r="F328" s="11"/>
      <c r="G328" s="749" t="s">
        <v>476</v>
      </c>
      <c r="H328" s="749" t="s">
        <v>446</v>
      </c>
      <c r="I328" s="749" t="s">
        <v>424</v>
      </c>
      <c r="J328" s="11"/>
      <c r="K328" s="750">
        <v>124505834</v>
      </c>
      <c r="L328" s="750">
        <v>0</v>
      </c>
      <c r="M328" s="11"/>
      <c r="N328" s="11"/>
      <c r="O328" s="11"/>
      <c r="P328" s="11"/>
      <c r="Q328" s="11"/>
      <c r="R328" s="11"/>
    </row>
    <row r="329" spans="1:18">
      <c r="A329" s="748">
        <v>45077</v>
      </c>
      <c r="B329" s="748">
        <v>45077</v>
      </c>
      <c r="C329" s="749" t="s">
        <v>484</v>
      </c>
      <c r="D329" s="10"/>
      <c r="E329" s="11"/>
      <c r="F329" s="11"/>
      <c r="G329" s="749" t="s">
        <v>476</v>
      </c>
      <c r="H329" s="749" t="s">
        <v>446</v>
      </c>
      <c r="I329" s="749" t="s">
        <v>425</v>
      </c>
      <c r="J329" s="11"/>
      <c r="K329" s="750">
        <v>20888788</v>
      </c>
      <c r="L329" s="750">
        <v>0</v>
      </c>
      <c r="M329" s="11"/>
      <c r="N329" s="11"/>
      <c r="O329" s="11"/>
      <c r="P329" s="11"/>
      <c r="Q329" s="11"/>
      <c r="R329" s="11"/>
    </row>
    <row r="330" spans="1:18">
      <c r="A330" s="748">
        <v>45077</v>
      </c>
      <c r="B330" s="748">
        <v>45077</v>
      </c>
      <c r="C330" s="749" t="s">
        <v>484</v>
      </c>
      <c r="D330" s="10"/>
      <c r="E330" s="11"/>
      <c r="F330" s="11"/>
      <c r="G330" s="749" t="s">
        <v>476</v>
      </c>
      <c r="H330" s="749" t="s">
        <v>446</v>
      </c>
      <c r="I330" s="749" t="s">
        <v>427</v>
      </c>
      <c r="J330" s="11"/>
      <c r="K330" s="750">
        <v>26032925</v>
      </c>
      <c r="L330" s="750">
        <v>0</v>
      </c>
      <c r="M330" s="11"/>
      <c r="N330" s="11"/>
      <c r="O330" s="11"/>
      <c r="P330" s="11"/>
      <c r="Q330" s="11"/>
      <c r="R330" s="11"/>
    </row>
    <row r="331" spans="1:18">
      <c r="A331" s="748">
        <v>45077</v>
      </c>
      <c r="B331" s="748">
        <v>45077</v>
      </c>
      <c r="C331" s="749" t="s">
        <v>484</v>
      </c>
      <c r="D331" s="10"/>
      <c r="E331" s="11"/>
      <c r="F331" s="11"/>
      <c r="G331" s="749" t="s">
        <v>476</v>
      </c>
      <c r="H331" s="749" t="s">
        <v>446</v>
      </c>
      <c r="I331" s="749" t="s">
        <v>429</v>
      </c>
      <c r="J331" s="11"/>
      <c r="K331" s="750">
        <v>4340000</v>
      </c>
      <c r="L331" s="750">
        <v>0</v>
      </c>
      <c r="M331" s="11"/>
      <c r="N331" s="11"/>
      <c r="O331" s="11"/>
      <c r="P331" s="11"/>
      <c r="Q331" s="11"/>
      <c r="R331" s="11"/>
    </row>
    <row r="332" spans="1:18">
      <c r="A332" s="748">
        <v>45077</v>
      </c>
      <c r="B332" s="748">
        <v>45077</v>
      </c>
      <c r="C332" s="749" t="s">
        <v>484</v>
      </c>
      <c r="D332" s="10"/>
      <c r="E332" s="11"/>
      <c r="F332" s="11"/>
      <c r="G332" s="749" t="s">
        <v>476</v>
      </c>
      <c r="H332" s="749" t="s">
        <v>446</v>
      </c>
      <c r="I332" s="749" t="s">
        <v>431</v>
      </c>
      <c r="J332" s="11"/>
      <c r="K332" s="750">
        <v>2937693</v>
      </c>
      <c r="L332" s="750">
        <v>0</v>
      </c>
      <c r="M332" s="11"/>
      <c r="N332" s="11"/>
      <c r="O332" s="11"/>
      <c r="P332" s="11"/>
      <c r="Q332" s="11"/>
      <c r="R332" s="11"/>
    </row>
    <row r="333" spans="1:18">
      <c r="A333" s="748">
        <v>45077</v>
      </c>
      <c r="B333" s="748">
        <v>45077</v>
      </c>
      <c r="C333" s="749" t="s">
        <v>484</v>
      </c>
      <c r="D333" s="10"/>
      <c r="E333" s="11"/>
      <c r="F333" s="11"/>
      <c r="G333" s="749" t="s">
        <v>476</v>
      </c>
      <c r="H333" s="749" t="s">
        <v>446</v>
      </c>
      <c r="I333" s="749" t="s">
        <v>432</v>
      </c>
      <c r="J333" s="11"/>
      <c r="K333" s="750">
        <v>335403520</v>
      </c>
      <c r="L333" s="750">
        <v>0</v>
      </c>
      <c r="M333" s="11"/>
      <c r="N333" s="11"/>
      <c r="O333" s="11"/>
      <c r="P333" s="11"/>
      <c r="Q333" s="11"/>
      <c r="R333" s="11"/>
    </row>
    <row r="334" spans="1:18">
      <c r="A334" s="748">
        <v>45077</v>
      </c>
      <c r="B334" s="748">
        <v>45077</v>
      </c>
      <c r="C334" s="749" t="s">
        <v>484</v>
      </c>
      <c r="D334" s="10"/>
      <c r="E334" s="11"/>
      <c r="F334" s="11"/>
      <c r="G334" s="749" t="s">
        <v>476</v>
      </c>
      <c r="H334" s="749" t="s">
        <v>446</v>
      </c>
      <c r="I334" s="749" t="s">
        <v>435</v>
      </c>
      <c r="J334" s="11"/>
      <c r="K334" s="750">
        <v>24235550</v>
      </c>
      <c r="L334" s="750">
        <v>0</v>
      </c>
      <c r="M334" s="11"/>
      <c r="N334" s="11"/>
      <c r="O334" s="11"/>
      <c r="P334" s="11"/>
      <c r="Q334" s="11"/>
      <c r="R334" s="11"/>
    </row>
    <row r="335" spans="1:18">
      <c r="A335" s="748">
        <v>45077</v>
      </c>
      <c r="B335" s="748">
        <v>45077</v>
      </c>
      <c r="C335" s="749" t="s">
        <v>484</v>
      </c>
      <c r="D335" s="10"/>
      <c r="E335" s="11"/>
      <c r="F335" s="11"/>
      <c r="G335" s="749" t="s">
        <v>476</v>
      </c>
      <c r="H335" s="749" t="s">
        <v>446</v>
      </c>
      <c r="I335" s="749" t="s">
        <v>437</v>
      </c>
      <c r="J335" s="11"/>
      <c r="K335" s="750">
        <v>8168270</v>
      </c>
      <c r="L335" s="750">
        <v>0</v>
      </c>
      <c r="M335" s="11"/>
      <c r="N335" s="11"/>
      <c r="O335" s="11"/>
      <c r="P335" s="11"/>
      <c r="Q335" s="11"/>
      <c r="R335" s="11"/>
    </row>
    <row r="336" spans="1:18">
      <c r="A336" s="748">
        <v>45077</v>
      </c>
      <c r="B336" s="748">
        <v>45077</v>
      </c>
      <c r="C336" s="749" t="s">
        <v>484</v>
      </c>
      <c r="D336" s="10"/>
      <c r="E336" s="11"/>
      <c r="F336" s="11"/>
      <c r="G336" s="749" t="s">
        <v>476</v>
      </c>
      <c r="H336" s="749" t="s">
        <v>446</v>
      </c>
      <c r="I336" s="749" t="s">
        <v>378</v>
      </c>
      <c r="J336" s="11"/>
      <c r="K336" s="750">
        <v>1063254563</v>
      </c>
      <c r="L336" s="750">
        <v>0</v>
      </c>
      <c r="M336" s="11"/>
      <c r="N336" s="11"/>
      <c r="O336" s="11"/>
      <c r="P336" s="11"/>
      <c r="Q336" s="11"/>
      <c r="R336" s="11"/>
    </row>
    <row r="337" spans="1:18">
      <c r="A337" s="748">
        <v>45077</v>
      </c>
      <c r="B337" s="748">
        <v>45077</v>
      </c>
      <c r="C337" s="749" t="s">
        <v>484</v>
      </c>
      <c r="D337" s="10"/>
      <c r="E337" s="11"/>
      <c r="F337" s="11"/>
      <c r="G337" s="749" t="s">
        <v>477</v>
      </c>
      <c r="H337" s="749" t="s">
        <v>446</v>
      </c>
      <c r="I337" s="749" t="s">
        <v>442</v>
      </c>
      <c r="J337" s="11"/>
      <c r="K337" s="750">
        <v>0</v>
      </c>
      <c r="L337" s="750">
        <v>4400000</v>
      </c>
      <c r="M337" s="11"/>
      <c r="N337" s="11"/>
      <c r="O337" s="11"/>
      <c r="P337" s="11"/>
      <c r="Q337" s="11"/>
      <c r="R337" s="11"/>
    </row>
    <row r="338" spans="1:18">
      <c r="A338" s="748">
        <v>45077</v>
      </c>
      <c r="B338" s="748">
        <v>45077</v>
      </c>
      <c r="C338" s="749" t="s">
        <v>484</v>
      </c>
      <c r="D338" s="10"/>
      <c r="E338" s="11"/>
      <c r="F338" s="11"/>
      <c r="G338" s="749" t="s">
        <v>478</v>
      </c>
      <c r="H338" s="749" t="s">
        <v>446</v>
      </c>
      <c r="I338" s="749" t="s">
        <v>444</v>
      </c>
      <c r="J338" s="11"/>
      <c r="K338" s="750">
        <v>109900</v>
      </c>
      <c r="L338" s="750">
        <v>0</v>
      </c>
      <c r="M338" s="11"/>
      <c r="N338" s="11"/>
      <c r="O338" s="11"/>
      <c r="P338" s="11"/>
      <c r="Q338" s="11"/>
      <c r="R338" s="11"/>
    </row>
    <row r="339" spans="1:18">
      <c r="A339" s="748">
        <v>45077</v>
      </c>
      <c r="B339" s="748">
        <v>45077</v>
      </c>
      <c r="C339" s="749" t="s">
        <v>484</v>
      </c>
      <c r="D339" s="10"/>
      <c r="E339" s="11"/>
      <c r="F339" s="11"/>
      <c r="G339" s="749" t="s">
        <v>479</v>
      </c>
      <c r="H339" s="749" t="s">
        <v>446</v>
      </c>
      <c r="I339" s="749" t="s">
        <v>217</v>
      </c>
      <c r="J339" s="11"/>
      <c r="K339" s="750">
        <v>1266690450</v>
      </c>
      <c r="L339" s="750">
        <v>0</v>
      </c>
      <c r="M339" s="11"/>
      <c r="N339" s="11"/>
      <c r="O339" s="11"/>
      <c r="P339" s="11"/>
      <c r="Q339" s="11"/>
      <c r="R339" s="11"/>
    </row>
    <row r="340" spans="1:18">
      <c r="A340" s="748">
        <v>45107</v>
      </c>
      <c r="B340" s="748">
        <v>45107</v>
      </c>
      <c r="C340" s="749" t="s">
        <v>485</v>
      </c>
      <c r="D340" s="10"/>
      <c r="E340" s="11"/>
      <c r="F340" s="11"/>
      <c r="G340" s="749" t="s">
        <v>468</v>
      </c>
      <c r="H340" s="749" t="s">
        <v>446</v>
      </c>
      <c r="I340" s="749" t="s">
        <v>223</v>
      </c>
      <c r="J340" s="11"/>
      <c r="K340" s="750">
        <v>0</v>
      </c>
      <c r="L340" s="750">
        <v>4686139</v>
      </c>
      <c r="M340" s="11"/>
      <c r="N340" s="11"/>
      <c r="O340" s="11"/>
      <c r="P340" s="11"/>
      <c r="Q340" s="11"/>
      <c r="R340" s="11"/>
    </row>
    <row r="341" spans="1:18">
      <c r="A341" s="748">
        <v>45107</v>
      </c>
      <c r="B341" s="748">
        <v>45107</v>
      </c>
      <c r="C341" s="749" t="s">
        <v>485</v>
      </c>
      <c r="D341" s="10"/>
      <c r="E341" s="11"/>
      <c r="F341" s="11"/>
      <c r="G341" s="749" t="s">
        <v>468</v>
      </c>
      <c r="H341" s="749" t="s">
        <v>446</v>
      </c>
      <c r="I341" s="749" t="s">
        <v>225</v>
      </c>
      <c r="J341" s="11"/>
      <c r="K341" s="750">
        <v>0</v>
      </c>
      <c r="L341" s="750">
        <v>5526000</v>
      </c>
      <c r="M341" s="11"/>
      <c r="N341" s="11"/>
      <c r="O341" s="11"/>
      <c r="P341" s="11"/>
      <c r="Q341" s="11"/>
      <c r="R341" s="11"/>
    </row>
    <row r="342" spans="1:18">
      <c r="A342" s="748">
        <v>45107</v>
      </c>
      <c r="B342" s="748">
        <v>45107</v>
      </c>
      <c r="C342" s="749" t="s">
        <v>485</v>
      </c>
      <c r="D342" s="10"/>
      <c r="E342" s="11"/>
      <c r="F342" s="11"/>
      <c r="G342" s="749" t="s">
        <v>468</v>
      </c>
      <c r="H342" s="749" t="s">
        <v>446</v>
      </c>
      <c r="I342" s="749" t="s">
        <v>227</v>
      </c>
      <c r="J342" s="11"/>
      <c r="K342" s="750">
        <v>0</v>
      </c>
      <c r="L342" s="750">
        <v>20313000</v>
      </c>
      <c r="M342" s="11"/>
      <c r="N342" s="11"/>
      <c r="O342" s="11"/>
      <c r="P342" s="11"/>
      <c r="Q342" s="11"/>
      <c r="R342" s="11"/>
    </row>
    <row r="343" spans="1:18">
      <c r="A343" s="748">
        <v>45107</v>
      </c>
      <c r="B343" s="748">
        <v>45107</v>
      </c>
      <c r="C343" s="749" t="s">
        <v>485</v>
      </c>
      <c r="D343" s="10"/>
      <c r="E343" s="11"/>
      <c r="F343" s="11"/>
      <c r="G343" s="749" t="s">
        <v>468</v>
      </c>
      <c r="H343" s="749" t="s">
        <v>446</v>
      </c>
      <c r="I343" s="749" t="s">
        <v>229</v>
      </c>
      <c r="J343" s="11"/>
      <c r="K343" s="750">
        <v>0</v>
      </c>
      <c r="L343" s="750">
        <v>131987424</v>
      </c>
      <c r="M343" s="11"/>
      <c r="N343" s="11"/>
      <c r="O343" s="11"/>
      <c r="P343" s="11"/>
      <c r="Q343" s="11"/>
      <c r="R343" s="11"/>
    </row>
    <row r="344" spans="1:18">
      <c r="A344" s="748">
        <v>45107</v>
      </c>
      <c r="B344" s="748">
        <v>45107</v>
      </c>
      <c r="C344" s="749" t="s">
        <v>485</v>
      </c>
      <c r="D344" s="10"/>
      <c r="E344" s="11"/>
      <c r="F344" s="11"/>
      <c r="G344" s="749" t="s">
        <v>468</v>
      </c>
      <c r="H344" s="749" t="s">
        <v>446</v>
      </c>
      <c r="I344" s="749" t="s">
        <v>231</v>
      </c>
      <c r="J344" s="11"/>
      <c r="K344" s="750">
        <v>0</v>
      </c>
      <c r="L344" s="750">
        <v>402487410</v>
      </c>
      <c r="M344" s="11"/>
      <c r="N344" s="11"/>
      <c r="O344" s="11"/>
      <c r="P344" s="11"/>
      <c r="Q344" s="11"/>
      <c r="R344" s="11"/>
    </row>
    <row r="345" spans="1:18">
      <c r="A345" s="748">
        <v>45107</v>
      </c>
      <c r="B345" s="748">
        <v>45107</v>
      </c>
      <c r="C345" s="749" t="s">
        <v>485</v>
      </c>
      <c r="D345" s="10"/>
      <c r="E345" s="11"/>
      <c r="F345" s="11"/>
      <c r="G345" s="749" t="s">
        <v>468</v>
      </c>
      <c r="H345" s="749" t="s">
        <v>446</v>
      </c>
      <c r="I345" s="749" t="s">
        <v>233</v>
      </c>
      <c r="J345" s="11"/>
      <c r="K345" s="750">
        <v>0</v>
      </c>
      <c r="L345" s="750">
        <v>744000</v>
      </c>
      <c r="M345" s="11"/>
      <c r="N345" s="11"/>
      <c r="O345" s="11"/>
      <c r="P345" s="11"/>
      <c r="Q345" s="11"/>
      <c r="R345" s="11"/>
    </row>
    <row r="346" spans="1:18">
      <c r="A346" s="748">
        <v>45107</v>
      </c>
      <c r="B346" s="748">
        <v>45107</v>
      </c>
      <c r="C346" s="749" t="s">
        <v>485</v>
      </c>
      <c r="D346" s="10"/>
      <c r="E346" s="11"/>
      <c r="F346" s="11"/>
      <c r="G346" s="749" t="s">
        <v>468</v>
      </c>
      <c r="H346" s="749" t="s">
        <v>446</v>
      </c>
      <c r="I346" s="749" t="s">
        <v>235</v>
      </c>
      <c r="J346" s="11"/>
      <c r="K346" s="750">
        <v>0</v>
      </c>
      <c r="L346" s="750">
        <v>18705548</v>
      </c>
      <c r="M346" s="11"/>
      <c r="N346" s="11"/>
      <c r="O346" s="11"/>
      <c r="P346" s="11"/>
      <c r="Q346" s="11"/>
      <c r="R346" s="11"/>
    </row>
    <row r="347" spans="1:18">
      <c r="A347" s="748">
        <v>45107</v>
      </c>
      <c r="B347" s="748">
        <v>45107</v>
      </c>
      <c r="C347" s="749" t="s">
        <v>485</v>
      </c>
      <c r="D347" s="10"/>
      <c r="E347" s="11"/>
      <c r="F347" s="11"/>
      <c r="G347" s="749" t="s">
        <v>468</v>
      </c>
      <c r="H347" s="749" t="s">
        <v>446</v>
      </c>
      <c r="I347" s="749" t="s">
        <v>237</v>
      </c>
      <c r="J347" s="11"/>
      <c r="K347" s="750">
        <v>0</v>
      </c>
      <c r="L347" s="750">
        <v>121775</v>
      </c>
      <c r="M347" s="11"/>
      <c r="N347" s="11"/>
      <c r="O347" s="11"/>
      <c r="P347" s="11"/>
      <c r="Q347" s="11"/>
      <c r="R347" s="11"/>
    </row>
    <row r="348" spans="1:18">
      <c r="A348" s="748">
        <v>45107</v>
      </c>
      <c r="B348" s="748">
        <v>45107</v>
      </c>
      <c r="C348" s="749" t="s">
        <v>485</v>
      </c>
      <c r="D348" s="10"/>
      <c r="E348" s="11"/>
      <c r="F348" s="11"/>
      <c r="G348" s="749" t="s">
        <v>468</v>
      </c>
      <c r="H348" s="749" t="s">
        <v>446</v>
      </c>
      <c r="I348" s="749" t="s">
        <v>239</v>
      </c>
      <c r="J348" s="11"/>
      <c r="K348" s="750">
        <v>0</v>
      </c>
      <c r="L348" s="750">
        <v>272727</v>
      </c>
      <c r="M348" s="11"/>
      <c r="N348" s="11"/>
      <c r="O348" s="11"/>
      <c r="P348" s="11"/>
      <c r="Q348" s="11"/>
      <c r="R348" s="11"/>
    </row>
    <row r="349" spans="1:18">
      <c r="A349" s="748">
        <v>45107</v>
      </c>
      <c r="B349" s="748">
        <v>45107</v>
      </c>
      <c r="C349" s="749" t="s">
        <v>485</v>
      </c>
      <c r="D349" s="10"/>
      <c r="E349" s="11"/>
      <c r="F349" s="11"/>
      <c r="G349" s="749" t="s">
        <v>468</v>
      </c>
      <c r="H349" s="749" t="s">
        <v>446</v>
      </c>
      <c r="I349" s="749" t="s">
        <v>243</v>
      </c>
      <c r="J349" s="11"/>
      <c r="K349" s="750">
        <v>0</v>
      </c>
      <c r="L349" s="750">
        <v>100000000</v>
      </c>
      <c r="M349" s="11"/>
      <c r="N349" s="11"/>
      <c r="O349" s="11"/>
      <c r="P349" s="11"/>
      <c r="Q349" s="11"/>
      <c r="R349" s="11"/>
    </row>
    <row r="350" spans="1:18">
      <c r="A350" s="748">
        <v>45107</v>
      </c>
      <c r="B350" s="748">
        <v>45107</v>
      </c>
      <c r="C350" s="749" t="s">
        <v>485</v>
      </c>
      <c r="D350" s="10"/>
      <c r="E350" s="11"/>
      <c r="F350" s="11"/>
      <c r="G350" s="749" t="s">
        <v>472</v>
      </c>
      <c r="H350" s="749" t="s">
        <v>446</v>
      </c>
      <c r="I350" s="749" t="s">
        <v>249</v>
      </c>
      <c r="J350" s="11"/>
      <c r="K350" s="750">
        <v>0</v>
      </c>
      <c r="L350" s="750">
        <v>5322601610</v>
      </c>
      <c r="M350" s="11"/>
      <c r="N350" s="11"/>
      <c r="O350" s="11"/>
      <c r="P350" s="11"/>
      <c r="Q350" s="11"/>
      <c r="R350" s="11"/>
    </row>
    <row r="351" spans="1:18">
      <c r="A351" s="748">
        <v>45107</v>
      </c>
      <c r="B351" s="748">
        <v>45107</v>
      </c>
      <c r="C351" s="749" t="s">
        <v>485</v>
      </c>
      <c r="D351" s="10"/>
      <c r="E351" s="11"/>
      <c r="F351" s="11"/>
      <c r="G351" s="749" t="s">
        <v>472</v>
      </c>
      <c r="H351" s="749" t="s">
        <v>446</v>
      </c>
      <c r="I351" s="749" t="s">
        <v>255</v>
      </c>
      <c r="J351" s="11"/>
      <c r="K351" s="750">
        <v>0</v>
      </c>
      <c r="L351" s="750">
        <v>750118133</v>
      </c>
      <c r="M351" s="11"/>
      <c r="N351" s="11"/>
      <c r="O351" s="11"/>
      <c r="P351" s="11"/>
      <c r="Q351" s="11"/>
      <c r="R351" s="11"/>
    </row>
    <row r="352" spans="1:18">
      <c r="A352" s="748">
        <v>45107</v>
      </c>
      <c r="B352" s="748">
        <v>45107</v>
      </c>
      <c r="C352" s="749" t="s">
        <v>485</v>
      </c>
      <c r="D352" s="10"/>
      <c r="E352" s="11"/>
      <c r="F352" s="11"/>
      <c r="G352" s="749" t="s">
        <v>472</v>
      </c>
      <c r="H352" s="749" t="s">
        <v>446</v>
      </c>
      <c r="I352" s="749" t="s">
        <v>257</v>
      </c>
      <c r="J352" s="11"/>
      <c r="K352" s="750">
        <v>0</v>
      </c>
      <c r="L352" s="750">
        <v>7432493728</v>
      </c>
      <c r="M352" s="11"/>
      <c r="N352" s="11"/>
      <c r="O352" s="11"/>
      <c r="P352" s="11"/>
      <c r="Q352" s="11"/>
      <c r="R352" s="11"/>
    </row>
    <row r="353" spans="1:18">
      <c r="A353" s="748">
        <v>45107</v>
      </c>
      <c r="B353" s="748">
        <v>45107</v>
      </c>
      <c r="C353" s="749" t="s">
        <v>485</v>
      </c>
      <c r="D353" s="10"/>
      <c r="E353" s="11"/>
      <c r="F353" s="11"/>
      <c r="G353" s="749" t="s">
        <v>472</v>
      </c>
      <c r="H353" s="749" t="s">
        <v>446</v>
      </c>
      <c r="I353" s="749" t="s">
        <v>259</v>
      </c>
      <c r="J353" s="11"/>
      <c r="K353" s="750">
        <v>0</v>
      </c>
      <c r="L353" s="750">
        <v>2801312573</v>
      </c>
      <c r="M353" s="11"/>
      <c r="N353" s="11"/>
      <c r="O353" s="11"/>
      <c r="P353" s="11"/>
      <c r="Q353" s="11"/>
      <c r="R353" s="11"/>
    </row>
    <row r="354" spans="1:18">
      <c r="A354" s="748">
        <v>45107</v>
      </c>
      <c r="B354" s="748">
        <v>45107</v>
      </c>
      <c r="C354" s="749" t="s">
        <v>485</v>
      </c>
      <c r="D354" s="10"/>
      <c r="E354" s="11"/>
      <c r="F354" s="11"/>
      <c r="G354" s="749" t="s">
        <v>472</v>
      </c>
      <c r="H354" s="749" t="s">
        <v>446</v>
      </c>
      <c r="I354" s="749" t="s">
        <v>263</v>
      </c>
      <c r="J354" s="11"/>
      <c r="K354" s="750">
        <v>0</v>
      </c>
      <c r="L354" s="750">
        <v>4889489</v>
      </c>
      <c r="M354" s="11"/>
      <c r="N354" s="11"/>
      <c r="O354" s="11"/>
      <c r="P354" s="11"/>
      <c r="Q354" s="11"/>
      <c r="R354" s="11"/>
    </row>
    <row r="355" spans="1:18">
      <c r="A355" s="748">
        <v>45107</v>
      </c>
      <c r="B355" s="748">
        <v>45107</v>
      </c>
      <c r="C355" s="749" t="s">
        <v>485</v>
      </c>
      <c r="D355" s="10"/>
      <c r="E355" s="11"/>
      <c r="F355" s="11"/>
      <c r="G355" s="749" t="s">
        <v>472</v>
      </c>
      <c r="H355" s="749" t="s">
        <v>446</v>
      </c>
      <c r="I355" s="749" t="s">
        <v>251</v>
      </c>
      <c r="J355" s="11"/>
      <c r="K355" s="750">
        <v>301942979</v>
      </c>
      <c r="L355" s="750">
        <v>0</v>
      </c>
      <c r="M355" s="11"/>
      <c r="N355" s="11"/>
      <c r="O355" s="11"/>
      <c r="P355" s="11"/>
      <c r="Q355" s="11"/>
      <c r="R355" s="11"/>
    </row>
    <row r="356" spans="1:18">
      <c r="A356" s="748">
        <v>45107</v>
      </c>
      <c r="B356" s="748">
        <v>45107</v>
      </c>
      <c r="C356" s="749" t="s">
        <v>485</v>
      </c>
      <c r="D356" s="10"/>
      <c r="E356" s="11"/>
      <c r="F356" s="11"/>
      <c r="G356" s="749" t="s">
        <v>473</v>
      </c>
      <c r="H356" s="749" t="s">
        <v>446</v>
      </c>
      <c r="I356" s="749" t="s">
        <v>303</v>
      </c>
      <c r="J356" s="11"/>
      <c r="K356" s="750">
        <v>933870857</v>
      </c>
      <c r="L356" s="750">
        <v>0</v>
      </c>
      <c r="M356" s="11"/>
      <c r="N356" s="11"/>
      <c r="O356" s="11"/>
      <c r="P356" s="11"/>
      <c r="Q356" s="11"/>
      <c r="R356" s="11"/>
    </row>
    <row r="357" spans="1:18">
      <c r="A357" s="748">
        <v>45107</v>
      </c>
      <c r="B357" s="748">
        <v>45107</v>
      </c>
      <c r="C357" s="749" t="s">
        <v>485</v>
      </c>
      <c r="D357" s="10"/>
      <c r="E357" s="11"/>
      <c r="F357" s="11"/>
      <c r="G357" s="749" t="s">
        <v>474</v>
      </c>
      <c r="H357" s="749" t="s">
        <v>446</v>
      </c>
      <c r="I357" s="749" t="s">
        <v>309</v>
      </c>
      <c r="J357" s="11"/>
      <c r="K357" s="750">
        <v>0</v>
      </c>
      <c r="L357" s="750">
        <v>4661653182</v>
      </c>
      <c r="M357" s="11"/>
      <c r="N357" s="11"/>
      <c r="O357" s="11"/>
      <c r="P357" s="11"/>
      <c r="Q357" s="11"/>
      <c r="R357" s="11"/>
    </row>
    <row r="358" spans="1:18">
      <c r="A358" s="748">
        <v>45107</v>
      </c>
      <c r="B358" s="748">
        <v>45107</v>
      </c>
      <c r="C358" s="749" t="s">
        <v>485</v>
      </c>
      <c r="D358" s="10"/>
      <c r="E358" s="11"/>
      <c r="F358" s="11"/>
      <c r="G358" s="749" t="s">
        <v>474</v>
      </c>
      <c r="H358" s="749" t="s">
        <v>446</v>
      </c>
      <c r="I358" s="749" t="s">
        <v>313</v>
      </c>
      <c r="J358" s="11"/>
      <c r="K358" s="750">
        <v>1847904964</v>
      </c>
      <c r="L358" s="750">
        <v>0</v>
      </c>
      <c r="M358" s="11"/>
      <c r="N358" s="11"/>
      <c r="O358" s="11"/>
      <c r="P358" s="11"/>
      <c r="Q358" s="11"/>
      <c r="R358" s="11"/>
    </row>
    <row r="359" spans="1:18">
      <c r="A359" s="748">
        <v>45107</v>
      </c>
      <c r="B359" s="748">
        <v>45107</v>
      </c>
      <c r="C359" s="749" t="s">
        <v>485</v>
      </c>
      <c r="D359" s="10"/>
      <c r="E359" s="11"/>
      <c r="F359" s="11"/>
      <c r="G359" s="749" t="s">
        <v>474</v>
      </c>
      <c r="H359" s="749" t="s">
        <v>446</v>
      </c>
      <c r="I359" s="749" t="s">
        <v>317</v>
      </c>
      <c r="J359" s="11"/>
      <c r="K359" s="750">
        <v>717938459</v>
      </c>
      <c r="L359" s="750">
        <v>0</v>
      </c>
      <c r="M359" s="11"/>
      <c r="N359" s="11"/>
      <c r="O359" s="11"/>
      <c r="P359" s="11"/>
      <c r="Q359" s="11"/>
      <c r="R359" s="11"/>
    </row>
    <row r="360" spans="1:18">
      <c r="A360" s="748">
        <v>45107</v>
      </c>
      <c r="B360" s="748">
        <v>45107</v>
      </c>
      <c r="C360" s="749" t="s">
        <v>485</v>
      </c>
      <c r="D360" s="10"/>
      <c r="E360" s="11"/>
      <c r="F360" s="11"/>
      <c r="G360" s="749" t="s">
        <v>474</v>
      </c>
      <c r="H360" s="749" t="s">
        <v>446</v>
      </c>
      <c r="I360" s="749" t="s">
        <v>323</v>
      </c>
      <c r="J360" s="11"/>
      <c r="K360" s="750">
        <v>4356164</v>
      </c>
      <c r="L360" s="750">
        <v>0</v>
      </c>
      <c r="M360" s="11"/>
      <c r="N360" s="11"/>
      <c r="O360" s="11"/>
      <c r="P360" s="11"/>
      <c r="Q360" s="11"/>
      <c r="R360" s="11"/>
    </row>
    <row r="361" spans="1:18">
      <c r="A361" s="748">
        <v>45107</v>
      </c>
      <c r="B361" s="748">
        <v>45107</v>
      </c>
      <c r="C361" s="749" t="s">
        <v>485</v>
      </c>
      <c r="D361" s="10"/>
      <c r="E361" s="11"/>
      <c r="F361" s="11"/>
      <c r="G361" s="749" t="s">
        <v>474</v>
      </c>
      <c r="H361" s="749" t="s">
        <v>446</v>
      </c>
      <c r="I361" s="749" t="s">
        <v>307</v>
      </c>
      <c r="J361" s="11"/>
      <c r="K361" s="750">
        <v>14924789375</v>
      </c>
      <c r="L361" s="750">
        <v>0</v>
      </c>
      <c r="M361" s="11"/>
      <c r="N361" s="11"/>
      <c r="O361" s="11"/>
      <c r="P361" s="11"/>
      <c r="Q361" s="11"/>
      <c r="R361" s="11"/>
    </row>
    <row r="362" spans="1:18">
      <c r="A362" s="748">
        <v>45107</v>
      </c>
      <c r="B362" s="748">
        <v>45107</v>
      </c>
      <c r="C362" s="749" t="s">
        <v>485</v>
      </c>
      <c r="D362" s="10"/>
      <c r="E362" s="11"/>
      <c r="F362" s="11"/>
      <c r="G362" s="749" t="s">
        <v>475</v>
      </c>
      <c r="H362" s="749" t="s">
        <v>446</v>
      </c>
      <c r="I362" s="749" t="s">
        <v>337</v>
      </c>
      <c r="J362" s="11"/>
      <c r="K362" s="750">
        <v>371674910</v>
      </c>
      <c r="L362" s="750">
        <v>0</v>
      </c>
      <c r="M362" s="11"/>
      <c r="N362" s="11"/>
      <c r="O362" s="11"/>
      <c r="P362" s="11"/>
      <c r="Q362" s="11"/>
      <c r="R362" s="11"/>
    </row>
    <row r="363" spans="1:18">
      <c r="A363" s="748">
        <v>45107</v>
      </c>
      <c r="B363" s="748">
        <v>45107</v>
      </c>
      <c r="C363" s="749" t="s">
        <v>485</v>
      </c>
      <c r="D363" s="10"/>
      <c r="E363" s="11"/>
      <c r="F363" s="11"/>
      <c r="G363" s="749" t="s">
        <v>475</v>
      </c>
      <c r="H363" s="749" t="s">
        <v>446</v>
      </c>
      <c r="I363" s="749" t="s">
        <v>339</v>
      </c>
      <c r="J363" s="11"/>
      <c r="K363" s="750">
        <v>26022000</v>
      </c>
      <c r="L363" s="750">
        <v>0</v>
      </c>
      <c r="M363" s="11"/>
      <c r="N363" s="11"/>
      <c r="O363" s="11"/>
      <c r="P363" s="11"/>
      <c r="Q363" s="11"/>
      <c r="R363" s="11"/>
    </row>
    <row r="364" spans="1:18">
      <c r="A364" s="748">
        <v>45107</v>
      </c>
      <c r="B364" s="748">
        <v>45107</v>
      </c>
      <c r="C364" s="749" t="s">
        <v>485</v>
      </c>
      <c r="D364" s="10"/>
      <c r="E364" s="11"/>
      <c r="F364" s="11"/>
      <c r="G364" s="749" t="s">
        <v>475</v>
      </c>
      <c r="H364" s="749" t="s">
        <v>446</v>
      </c>
      <c r="I364" s="749" t="s">
        <v>343</v>
      </c>
      <c r="J364" s="11"/>
      <c r="K364" s="750">
        <v>7690886</v>
      </c>
      <c r="L364" s="750">
        <v>0</v>
      </c>
      <c r="M364" s="11"/>
      <c r="N364" s="11"/>
      <c r="O364" s="11"/>
      <c r="P364" s="11"/>
      <c r="Q364" s="11"/>
      <c r="R364" s="11"/>
    </row>
    <row r="365" spans="1:18">
      <c r="A365" s="748">
        <v>45107</v>
      </c>
      <c r="B365" s="748">
        <v>45107</v>
      </c>
      <c r="C365" s="749" t="s">
        <v>485</v>
      </c>
      <c r="D365" s="10"/>
      <c r="E365" s="11"/>
      <c r="F365" s="11"/>
      <c r="G365" s="749" t="s">
        <v>475</v>
      </c>
      <c r="H365" s="749" t="s">
        <v>446</v>
      </c>
      <c r="I365" s="749" t="s">
        <v>345</v>
      </c>
      <c r="J365" s="11"/>
      <c r="K365" s="750">
        <v>3870417</v>
      </c>
      <c r="L365" s="750">
        <v>0</v>
      </c>
      <c r="M365" s="11"/>
      <c r="N365" s="11"/>
      <c r="O365" s="11"/>
      <c r="P365" s="11"/>
      <c r="Q365" s="11"/>
      <c r="R365" s="11"/>
    </row>
    <row r="366" spans="1:18">
      <c r="A366" s="748">
        <v>45107</v>
      </c>
      <c r="B366" s="748">
        <v>45107</v>
      </c>
      <c r="C366" s="749" t="s">
        <v>485</v>
      </c>
      <c r="D366" s="10"/>
      <c r="E366" s="11"/>
      <c r="F366" s="11"/>
      <c r="G366" s="749" t="s">
        <v>475</v>
      </c>
      <c r="H366" s="749" t="s">
        <v>446</v>
      </c>
      <c r="I366" s="749" t="s">
        <v>347</v>
      </c>
      <c r="J366" s="11"/>
      <c r="K366" s="750">
        <v>97586332</v>
      </c>
      <c r="L366" s="750">
        <v>0</v>
      </c>
      <c r="M366" s="11"/>
      <c r="N366" s="11"/>
      <c r="O366" s="11"/>
      <c r="P366" s="11"/>
      <c r="Q366" s="11"/>
      <c r="R366" s="11"/>
    </row>
    <row r="367" spans="1:18">
      <c r="A367" s="748">
        <v>45107</v>
      </c>
      <c r="B367" s="748">
        <v>45107</v>
      </c>
      <c r="C367" s="749" t="s">
        <v>485</v>
      </c>
      <c r="D367" s="10"/>
      <c r="E367" s="11"/>
      <c r="F367" s="11"/>
      <c r="G367" s="749" t="s">
        <v>475</v>
      </c>
      <c r="H367" s="749" t="s">
        <v>446</v>
      </c>
      <c r="I367" s="749" t="s">
        <v>348</v>
      </c>
      <c r="J367" s="11"/>
      <c r="K367" s="750">
        <v>186457669</v>
      </c>
      <c r="L367" s="750">
        <v>0</v>
      </c>
      <c r="M367" s="11"/>
      <c r="N367" s="11"/>
      <c r="O367" s="11"/>
      <c r="P367" s="11"/>
      <c r="Q367" s="11"/>
      <c r="R367" s="11"/>
    </row>
    <row r="368" spans="1:18">
      <c r="A368" s="748">
        <v>45107</v>
      </c>
      <c r="B368" s="748">
        <v>45107</v>
      </c>
      <c r="C368" s="749" t="s">
        <v>485</v>
      </c>
      <c r="D368" s="10"/>
      <c r="E368" s="11"/>
      <c r="F368" s="11"/>
      <c r="G368" s="749" t="s">
        <v>475</v>
      </c>
      <c r="H368" s="749" t="s">
        <v>446</v>
      </c>
      <c r="I368" s="749" t="s">
        <v>350</v>
      </c>
      <c r="J368" s="11"/>
      <c r="K368" s="750">
        <v>230397618</v>
      </c>
      <c r="L368" s="750">
        <v>0</v>
      </c>
      <c r="M368" s="11"/>
      <c r="N368" s="11"/>
      <c r="O368" s="11"/>
      <c r="P368" s="11"/>
      <c r="Q368" s="11"/>
      <c r="R368" s="11"/>
    </row>
    <row r="369" spans="1:18">
      <c r="A369" s="748">
        <v>45107</v>
      </c>
      <c r="B369" s="748">
        <v>45107</v>
      </c>
      <c r="C369" s="749" t="s">
        <v>485</v>
      </c>
      <c r="D369" s="10"/>
      <c r="E369" s="11"/>
      <c r="F369" s="11"/>
      <c r="G369" s="749" t="s">
        <v>475</v>
      </c>
      <c r="H369" s="749" t="s">
        <v>446</v>
      </c>
      <c r="I369" s="749" t="s">
        <v>354</v>
      </c>
      <c r="J369" s="11"/>
      <c r="K369" s="750">
        <v>4282126</v>
      </c>
      <c r="L369" s="750">
        <v>0</v>
      </c>
      <c r="M369" s="11"/>
      <c r="N369" s="11"/>
      <c r="O369" s="11"/>
      <c r="P369" s="11"/>
      <c r="Q369" s="11"/>
      <c r="R369" s="11"/>
    </row>
    <row r="370" spans="1:18">
      <c r="A370" s="748">
        <v>45107</v>
      </c>
      <c r="B370" s="748">
        <v>45107</v>
      </c>
      <c r="C370" s="749" t="s">
        <v>485</v>
      </c>
      <c r="D370" s="10"/>
      <c r="E370" s="11"/>
      <c r="F370" s="11"/>
      <c r="G370" s="749" t="s">
        <v>475</v>
      </c>
      <c r="H370" s="749" t="s">
        <v>446</v>
      </c>
      <c r="I370" s="749" t="s">
        <v>356</v>
      </c>
      <c r="J370" s="11"/>
      <c r="K370" s="750">
        <v>96837</v>
      </c>
      <c r="L370" s="750">
        <v>0</v>
      </c>
      <c r="M370" s="11"/>
      <c r="N370" s="11"/>
      <c r="O370" s="11"/>
      <c r="P370" s="11"/>
      <c r="Q370" s="11"/>
      <c r="R370" s="11"/>
    </row>
    <row r="371" spans="1:18">
      <c r="A371" s="748">
        <v>45107</v>
      </c>
      <c r="B371" s="748">
        <v>45107</v>
      </c>
      <c r="C371" s="749" t="s">
        <v>485</v>
      </c>
      <c r="D371" s="10"/>
      <c r="E371" s="11"/>
      <c r="F371" s="11"/>
      <c r="G371" s="749" t="s">
        <v>475</v>
      </c>
      <c r="H371" s="749" t="s">
        <v>446</v>
      </c>
      <c r="I371" s="749" t="s">
        <v>357</v>
      </c>
      <c r="J371" s="11"/>
      <c r="K371" s="750">
        <v>10222500</v>
      </c>
      <c r="L371" s="750">
        <v>0</v>
      </c>
      <c r="M371" s="11"/>
      <c r="N371" s="11"/>
      <c r="O371" s="11"/>
      <c r="P371" s="11"/>
      <c r="Q371" s="11"/>
      <c r="R371" s="11"/>
    </row>
    <row r="372" spans="1:18">
      <c r="A372" s="748">
        <v>45107</v>
      </c>
      <c r="B372" s="748">
        <v>45107</v>
      </c>
      <c r="C372" s="749" t="s">
        <v>485</v>
      </c>
      <c r="D372" s="10"/>
      <c r="E372" s="11"/>
      <c r="F372" s="11"/>
      <c r="G372" s="749" t="s">
        <v>475</v>
      </c>
      <c r="H372" s="749" t="s">
        <v>446</v>
      </c>
      <c r="I372" s="749" t="s">
        <v>361</v>
      </c>
      <c r="J372" s="11"/>
      <c r="K372" s="750">
        <v>44683921</v>
      </c>
      <c r="L372" s="750">
        <v>0</v>
      </c>
      <c r="M372" s="11"/>
      <c r="N372" s="11"/>
      <c r="O372" s="11"/>
      <c r="P372" s="11"/>
      <c r="Q372" s="11"/>
      <c r="R372" s="11"/>
    </row>
    <row r="373" spans="1:18">
      <c r="A373" s="748">
        <v>45107</v>
      </c>
      <c r="B373" s="748">
        <v>45107</v>
      </c>
      <c r="C373" s="749" t="s">
        <v>485</v>
      </c>
      <c r="D373" s="10"/>
      <c r="E373" s="11"/>
      <c r="F373" s="11"/>
      <c r="G373" s="749" t="s">
        <v>475</v>
      </c>
      <c r="H373" s="749" t="s">
        <v>446</v>
      </c>
      <c r="I373" s="749" t="s">
        <v>363</v>
      </c>
      <c r="J373" s="11"/>
      <c r="K373" s="750">
        <v>9285330</v>
      </c>
      <c r="L373" s="750">
        <v>0</v>
      </c>
      <c r="M373" s="11"/>
      <c r="N373" s="11"/>
      <c r="O373" s="11"/>
      <c r="P373" s="11"/>
      <c r="Q373" s="11"/>
      <c r="R373" s="11"/>
    </row>
    <row r="374" spans="1:18">
      <c r="A374" s="748">
        <v>45107</v>
      </c>
      <c r="B374" s="748">
        <v>45107</v>
      </c>
      <c r="C374" s="749" t="s">
        <v>485</v>
      </c>
      <c r="D374" s="10"/>
      <c r="E374" s="11"/>
      <c r="F374" s="11"/>
      <c r="G374" s="749" t="s">
        <v>475</v>
      </c>
      <c r="H374" s="749" t="s">
        <v>446</v>
      </c>
      <c r="I374" s="749" t="s">
        <v>365</v>
      </c>
      <c r="J374" s="11"/>
      <c r="K374" s="750">
        <v>2363636</v>
      </c>
      <c r="L374" s="750">
        <v>0</v>
      </c>
      <c r="M374" s="11"/>
      <c r="N374" s="11"/>
      <c r="O374" s="11"/>
      <c r="P374" s="11"/>
      <c r="Q374" s="11"/>
      <c r="R374" s="11"/>
    </row>
    <row r="375" spans="1:18">
      <c r="A375" s="748">
        <v>45107</v>
      </c>
      <c r="B375" s="748">
        <v>45107</v>
      </c>
      <c r="C375" s="749" t="s">
        <v>485</v>
      </c>
      <c r="D375" s="10"/>
      <c r="E375" s="11"/>
      <c r="F375" s="11"/>
      <c r="G375" s="749" t="s">
        <v>475</v>
      </c>
      <c r="H375" s="749" t="s">
        <v>446</v>
      </c>
      <c r="I375" s="749" t="s">
        <v>370</v>
      </c>
      <c r="J375" s="11"/>
      <c r="K375" s="750">
        <v>180283498</v>
      </c>
      <c r="L375" s="750">
        <v>0</v>
      </c>
      <c r="M375" s="11"/>
      <c r="N375" s="11"/>
      <c r="O375" s="11"/>
      <c r="P375" s="11"/>
      <c r="Q375" s="11"/>
      <c r="R375" s="11"/>
    </row>
    <row r="376" spans="1:18">
      <c r="A376" s="748">
        <v>45107</v>
      </c>
      <c r="B376" s="748">
        <v>45107</v>
      </c>
      <c r="C376" s="749" t="s">
        <v>485</v>
      </c>
      <c r="D376" s="10"/>
      <c r="E376" s="11"/>
      <c r="F376" s="11"/>
      <c r="G376" s="749" t="s">
        <v>475</v>
      </c>
      <c r="H376" s="749" t="s">
        <v>446</v>
      </c>
      <c r="I376" s="749" t="s">
        <v>372</v>
      </c>
      <c r="J376" s="11"/>
      <c r="K376" s="750">
        <v>35938500</v>
      </c>
      <c r="L376" s="750">
        <v>0</v>
      </c>
      <c r="M376" s="11"/>
      <c r="N376" s="11"/>
      <c r="O376" s="11"/>
      <c r="P376" s="11"/>
      <c r="Q376" s="11"/>
      <c r="R376" s="11"/>
    </row>
    <row r="377" spans="1:18">
      <c r="A377" s="748">
        <v>45107</v>
      </c>
      <c r="B377" s="748">
        <v>45107</v>
      </c>
      <c r="C377" s="749" t="s">
        <v>485</v>
      </c>
      <c r="D377" s="10"/>
      <c r="E377" s="11"/>
      <c r="F377" s="11"/>
      <c r="G377" s="749" t="s">
        <v>476</v>
      </c>
      <c r="H377" s="749" t="s">
        <v>446</v>
      </c>
      <c r="I377" s="749" t="s">
        <v>378</v>
      </c>
      <c r="J377" s="11"/>
      <c r="K377" s="750">
        <v>928206639</v>
      </c>
      <c r="L377" s="750">
        <v>0</v>
      </c>
      <c r="M377" s="11"/>
      <c r="N377" s="11"/>
      <c r="O377" s="11"/>
      <c r="P377" s="11"/>
      <c r="Q377" s="11"/>
      <c r="R377" s="11"/>
    </row>
    <row r="378" spans="1:18">
      <c r="A378" s="748">
        <v>45107</v>
      </c>
      <c r="B378" s="748">
        <v>45107</v>
      </c>
      <c r="C378" s="749" t="s">
        <v>485</v>
      </c>
      <c r="D378" s="10"/>
      <c r="E378" s="11"/>
      <c r="F378" s="11"/>
      <c r="G378" s="749" t="s">
        <v>476</v>
      </c>
      <c r="H378" s="749" t="s">
        <v>446</v>
      </c>
      <c r="I378" s="749" t="s">
        <v>379</v>
      </c>
      <c r="J378" s="11"/>
      <c r="K378" s="750">
        <v>73568000</v>
      </c>
      <c r="L378" s="750">
        <v>0</v>
      </c>
      <c r="M378" s="11"/>
      <c r="N378" s="11"/>
      <c r="O378" s="11"/>
      <c r="P378" s="11"/>
      <c r="Q378" s="11"/>
      <c r="R378" s="11"/>
    </row>
    <row r="379" spans="1:18">
      <c r="A379" s="748">
        <v>45107</v>
      </c>
      <c r="B379" s="748">
        <v>45107</v>
      </c>
      <c r="C379" s="749" t="s">
        <v>485</v>
      </c>
      <c r="D379" s="10"/>
      <c r="E379" s="11"/>
      <c r="F379" s="11"/>
      <c r="G379" s="749" t="s">
        <v>476</v>
      </c>
      <c r="H379" s="749" t="s">
        <v>446</v>
      </c>
      <c r="I379" s="749" t="s">
        <v>380</v>
      </c>
      <c r="J379" s="11"/>
      <c r="K379" s="750">
        <v>57707541</v>
      </c>
      <c r="L379" s="750">
        <v>0</v>
      </c>
      <c r="M379" s="11"/>
      <c r="N379" s="11"/>
      <c r="O379" s="11"/>
      <c r="P379" s="11"/>
      <c r="Q379" s="11"/>
      <c r="R379" s="11"/>
    </row>
    <row r="380" spans="1:18">
      <c r="A380" s="748">
        <v>45107</v>
      </c>
      <c r="B380" s="748">
        <v>45107</v>
      </c>
      <c r="C380" s="749" t="s">
        <v>485</v>
      </c>
      <c r="D380" s="10"/>
      <c r="E380" s="11"/>
      <c r="F380" s="11"/>
      <c r="G380" s="749" t="s">
        <v>476</v>
      </c>
      <c r="H380" s="749" t="s">
        <v>446</v>
      </c>
      <c r="I380" s="749" t="s">
        <v>381</v>
      </c>
      <c r="J380" s="11"/>
      <c r="K380" s="750">
        <v>168291230</v>
      </c>
      <c r="L380" s="750">
        <v>0</v>
      </c>
      <c r="M380" s="11"/>
      <c r="N380" s="11"/>
      <c r="O380" s="11"/>
      <c r="P380" s="11"/>
      <c r="Q380" s="11"/>
      <c r="R380" s="11"/>
    </row>
    <row r="381" spans="1:18">
      <c r="A381" s="748">
        <v>45107</v>
      </c>
      <c r="B381" s="748">
        <v>45107</v>
      </c>
      <c r="C381" s="749" t="s">
        <v>485</v>
      </c>
      <c r="D381" s="10"/>
      <c r="E381" s="11"/>
      <c r="F381" s="11"/>
      <c r="G381" s="749" t="s">
        <v>476</v>
      </c>
      <c r="H381" s="749" t="s">
        <v>446</v>
      </c>
      <c r="I381" s="749" t="s">
        <v>383</v>
      </c>
      <c r="J381" s="11"/>
      <c r="K381" s="750">
        <v>32639206</v>
      </c>
      <c r="L381" s="750">
        <v>0</v>
      </c>
      <c r="M381" s="11"/>
      <c r="N381" s="11"/>
      <c r="O381" s="11"/>
      <c r="P381" s="11"/>
      <c r="Q381" s="11"/>
      <c r="R381" s="11"/>
    </row>
    <row r="382" spans="1:18">
      <c r="A382" s="748">
        <v>45107</v>
      </c>
      <c r="B382" s="748">
        <v>45107</v>
      </c>
      <c r="C382" s="749" t="s">
        <v>485</v>
      </c>
      <c r="D382" s="10"/>
      <c r="E382" s="11"/>
      <c r="F382" s="11"/>
      <c r="G382" s="749" t="s">
        <v>476</v>
      </c>
      <c r="H382" s="749" t="s">
        <v>446</v>
      </c>
      <c r="I382" s="749" t="s">
        <v>387</v>
      </c>
      <c r="J382" s="11"/>
      <c r="K382" s="750">
        <v>173361963</v>
      </c>
      <c r="L382" s="750">
        <v>0</v>
      </c>
      <c r="M382" s="11"/>
      <c r="N382" s="11"/>
      <c r="O382" s="11"/>
      <c r="P382" s="11"/>
      <c r="Q382" s="11"/>
      <c r="R382" s="11"/>
    </row>
    <row r="383" spans="1:18">
      <c r="A383" s="748">
        <v>45107</v>
      </c>
      <c r="B383" s="748">
        <v>45107</v>
      </c>
      <c r="C383" s="749" t="s">
        <v>485</v>
      </c>
      <c r="D383" s="10"/>
      <c r="E383" s="11"/>
      <c r="F383" s="11"/>
      <c r="G383" s="749" t="s">
        <v>476</v>
      </c>
      <c r="H383" s="749" t="s">
        <v>446</v>
      </c>
      <c r="I383" s="749" t="s">
        <v>389</v>
      </c>
      <c r="J383" s="11"/>
      <c r="K383" s="750">
        <v>9273497</v>
      </c>
      <c r="L383" s="750">
        <v>0</v>
      </c>
      <c r="M383" s="11"/>
      <c r="N383" s="11"/>
      <c r="O383" s="11"/>
      <c r="P383" s="11"/>
      <c r="Q383" s="11"/>
      <c r="R383" s="11"/>
    </row>
    <row r="384" spans="1:18">
      <c r="A384" s="748">
        <v>45107</v>
      </c>
      <c r="B384" s="748">
        <v>45107</v>
      </c>
      <c r="C384" s="749" t="s">
        <v>485</v>
      </c>
      <c r="D384" s="10"/>
      <c r="E384" s="11"/>
      <c r="F384" s="11"/>
      <c r="G384" s="749" t="s">
        <v>476</v>
      </c>
      <c r="H384" s="749" t="s">
        <v>446</v>
      </c>
      <c r="I384" s="749" t="s">
        <v>391</v>
      </c>
      <c r="J384" s="11"/>
      <c r="K384" s="750">
        <v>4726631</v>
      </c>
      <c r="L384" s="750">
        <v>0</v>
      </c>
      <c r="M384" s="11"/>
      <c r="N384" s="11"/>
      <c r="O384" s="11"/>
      <c r="P384" s="11"/>
      <c r="Q384" s="11"/>
      <c r="R384" s="11"/>
    </row>
    <row r="385" spans="1:18">
      <c r="A385" s="748">
        <v>45107</v>
      </c>
      <c r="B385" s="748">
        <v>45107</v>
      </c>
      <c r="C385" s="749" t="s">
        <v>485</v>
      </c>
      <c r="D385" s="10"/>
      <c r="E385" s="11"/>
      <c r="F385" s="11"/>
      <c r="G385" s="749" t="s">
        <v>476</v>
      </c>
      <c r="H385" s="749" t="s">
        <v>446</v>
      </c>
      <c r="I385" s="749" t="s">
        <v>393</v>
      </c>
      <c r="J385" s="11"/>
      <c r="K385" s="750">
        <v>4568863</v>
      </c>
      <c r="L385" s="750">
        <v>0</v>
      </c>
      <c r="M385" s="11"/>
      <c r="N385" s="11"/>
      <c r="O385" s="11"/>
      <c r="P385" s="11"/>
      <c r="Q385" s="11"/>
      <c r="R385" s="11"/>
    </row>
    <row r="386" spans="1:18">
      <c r="A386" s="748">
        <v>45107</v>
      </c>
      <c r="B386" s="748">
        <v>45107</v>
      </c>
      <c r="C386" s="749" t="s">
        <v>485</v>
      </c>
      <c r="D386" s="10"/>
      <c r="E386" s="11"/>
      <c r="F386" s="11"/>
      <c r="G386" s="749" t="s">
        <v>476</v>
      </c>
      <c r="H386" s="749" t="s">
        <v>446</v>
      </c>
      <c r="I386" s="749" t="s">
        <v>395</v>
      </c>
      <c r="J386" s="11"/>
      <c r="K386" s="750">
        <v>4225454</v>
      </c>
      <c r="L386" s="750">
        <v>0</v>
      </c>
      <c r="M386" s="11"/>
      <c r="N386" s="11"/>
      <c r="O386" s="11"/>
      <c r="P386" s="11"/>
      <c r="Q386" s="11"/>
      <c r="R386" s="11"/>
    </row>
    <row r="387" spans="1:18">
      <c r="A387" s="748">
        <v>45107</v>
      </c>
      <c r="B387" s="748">
        <v>45107</v>
      </c>
      <c r="C387" s="749" t="s">
        <v>485</v>
      </c>
      <c r="D387" s="10"/>
      <c r="E387" s="11"/>
      <c r="F387" s="11"/>
      <c r="G387" s="749" t="s">
        <v>476</v>
      </c>
      <c r="H387" s="749" t="s">
        <v>446</v>
      </c>
      <c r="I387" s="749" t="s">
        <v>397</v>
      </c>
      <c r="J387" s="11"/>
      <c r="K387" s="750">
        <v>5027400</v>
      </c>
      <c r="L387" s="750">
        <v>0</v>
      </c>
      <c r="M387" s="11"/>
      <c r="N387" s="11"/>
      <c r="O387" s="11"/>
      <c r="P387" s="11"/>
      <c r="Q387" s="11"/>
      <c r="R387" s="11"/>
    </row>
    <row r="388" spans="1:18">
      <c r="A388" s="748">
        <v>45107</v>
      </c>
      <c r="B388" s="748">
        <v>45107</v>
      </c>
      <c r="C388" s="749" t="s">
        <v>485</v>
      </c>
      <c r="D388" s="10"/>
      <c r="E388" s="11"/>
      <c r="F388" s="11"/>
      <c r="G388" s="749" t="s">
        <v>476</v>
      </c>
      <c r="H388" s="749" t="s">
        <v>446</v>
      </c>
      <c r="I388" s="749" t="s">
        <v>403</v>
      </c>
      <c r="J388" s="11"/>
      <c r="K388" s="750">
        <v>3000000</v>
      </c>
      <c r="L388" s="750">
        <v>0</v>
      </c>
      <c r="M388" s="11"/>
      <c r="N388" s="11"/>
      <c r="O388" s="11"/>
      <c r="P388" s="11"/>
      <c r="Q388" s="11"/>
      <c r="R388" s="11"/>
    </row>
    <row r="389" spans="1:18">
      <c r="A389" s="748">
        <v>45107</v>
      </c>
      <c r="B389" s="748">
        <v>45107</v>
      </c>
      <c r="C389" s="749" t="s">
        <v>485</v>
      </c>
      <c r="D389" s="10"/>
      <c r="E389" s="11"/>
      <c r="F389" s="11"/>
      <c r="G389" s="749" t="s">
        <v>476</v>
      </c>
      <c r="H389" s="749" t="s">
        <v>446</v>
      </c>
      <c r="I389" s="749" t="s">
        <v>405</v>
      </c>
      <c r="J389" s="11"/>
      <c r="K389" s="750">
        <v>12000000</v>
      </c>
      <c r="L389" s="750">
        <v>0</v>
      </c>
      <c r="M389" s="11"/>
      <c r="N389" s="11"/>
      <c r="O389" s="11"/>
      <c r="P389" s="11"/>
      <c r="Q389" s="11"/>
      <c r="R389" s="11"/>
    </row>
    <row r="390" spans="1:18">
      <c r="A390" s="748">
        <v>45107</v>
      </c>
      <c r="B390" s="748">
        <v>45107</v>
      </c>
      <c r="C390" s="749" t="s">
        <v>485</v>
      </c>
      <c r="D390" s="10"/>
      <c r="E390" s="11"/>
      <c r="F390" s="11"/>
      <c r="G390" s="749" t="s">
        <v>476</v>
      </c>
      <c r="H390" s="749" t="s">
        <v>446</v>
      </c>
      <c r="I390" s="749" t="s">
        <v>407</v>
      </c>
      <c r="J390" s="11"/>
      <c r="K390" s="750">
        <v>26521884</v>
      </c>
      <c r="L390" s="750">
        <v>0</v>
      </c>
      <c r="M390" s="11"/>
      <c r="N390" s="11"/>
      <c r="O390" s="11"/>
      <c r="P390" s="11"/>
      <c r="Q390" s="11"/>
      <c r="R390" s="11"/>
    </row>
    <row r="391" spans="1:18">
      <c r="A391" s="748">
        <v>45107</v>
      </c>
      <c r="B391" s="748">
        <v>45107</v>
      </c>
      <c r="C391" s="749" t="s">
        <v>485</v>
      </c>
      <c r="D391" s="10"/>
      <c r="E391" s="11"/>
      <c r="F391" s="11"/>
      <c r="G391" s="749" t="s">
        <v>476</v>
      </c>
      <c r="H391" s="749" t="s">
        <v>446</v>
      </c>
      <c r="I391" s="749" t="s">
        <v>411</v>
      </c>
      <c r="J391" s="11"/>
      <c r="K391" s="750">
        <v>12066000</v>
      </c>
      <c r="L391" s="750">
        <v>0</v>
      </c>
      <c r="M391" s="11"/>
      <c r="N391" s="11"/>
      <c r="O391" s="11"/>
      <c r="P391" s="11"/>
      <c r="Q391" s="11"/>
      <c r="R391" s="11"/>
    </row>
    <row r="392" spans="1:18">
      <c r="A392" s="748">
        <v>45107</v>
      </c>
      <c r="B392" s="748">
        <v>45107</v>
      </c>
      <c r="C392" s="749" t="s">
        <v>485</v>
      </c>
      <c r="D392" s="10"/>
      <c r="E392" s="11"/>
      <c r="F392" s="11"/>
      <c r="G392" s="749" t="s">
        <v>476</v>
      </c>
      <c r="H392" s="749" t="s">
        <v>446</v>
      </c>
      <c r="I392" s="749" t="s">
        <v>413</v>
      </c>
      <c r="J392" s="11"/>
      <c r="K392" s="750">
        <v>44402408</v>
      </c>
      <c r="L392" s="750">
        <v>0</v>
      </c>
      <c r="M392" s="11"/>
      <c r="N392" s="11"/>
      <c r="O392" s="11"/>
      <c r="P392" s="11"/>
      <c r="Q392" s="11"/>
      <c r="R392" s="11"/>
    </row>
    <row r="393" spans="1:18">
      <c r="A393" s="748">
        <v>45107</v>
      </c>
      <c r="B393" s="748">
        <v>45107</v>
      </c>
      <c r="C393" s="749" t="s">
        <v>485</v>
      </c>
      <c r="D393" s="10"/>
      <c r="E393" s="11"/>
      <c r="F393" s="11"/>
      <c r="G393" s="749" t="s">
        <v>476</v>
      </c>
      <c r="H393" s="749" t="s">
        <v>446</v>
      </c>
      <c r="I393" s="749" t="s">
        <v>415</v>
      </c>
      <c r="J393" s="11"/>
      <c r="K393" s="750">
        <v>5700000</v>
      </c>
      <c r="L393" s="750">
        <v>0</v>
      </c>
      <c r="M393" s="11"/>
      <c r="N393" s="11"/>
      <c r="O393" s="11"/>
      <c r="P393" s="11"/>
      <c r="Q393" s="11"/>
      <c r="R393" s="11"/>
    </row>
    <row r="394" spans="1:18">
      <c r="A394" s="748">
        <v>45107</v>
      </c>
      <c r="B394" s="748">
        <v>45107</v>
      </c>
      <c r="C394" s="749" t="s">
        <v>485</v>
      </c>
      <c r="D394" s="10"/>
      <c r="E394" s="11"/>
      <c r="F394" s="11"/>
      <c r="G394" s="749" t="s">
        <v>476</v>
      </c>
      <c r="H394" s="749" t="s">
        <v>446</v>
      </c>
      <c r="I394" s="749" t="s">
        <v>417</v>
      </c>
      <c r="J394" s="11"/>
      <c r="K394" s="750">
        <v>60000</v>
      </c>
      <c r="L394" s="750">
        <v>0</v>
      </c>
      <c r="M394" s="11"/>
      <c r="N394" s="11"/>
      <c r="O394" s="11"/>
      <c r="P394" s="11"/>
      <c r="Q394" s="11"/>
      <c r="R394" s="11"/>
    </row>
    <row r="395" spans="1:18">
      <c r="A395" s="748">
        <v>45107</v>
      </c>
      <c r="B395" s="748">
        <v>45107</v>
      </c>
      <c r="C395" s="749" t="s">
        <v>485</v>
      </c>
      <c r="D395" s="10"/>
      <c r="E395" s="11"/>
      <c r="F395" s="11"/>
      <c r="G395" s="749" t="s">
        <v>476</v>
      </c>
      <c r="H395" s="749" t="s">
        <v>446</v>
      </c>
      <c r="I395" s="749" t="s">
        <v>419</v>
      </c>
      <c r="J395" s="11"/>
      <c r="K395" s="750">
        <v>9261114</v>
      </c>
      <c r="L395" s="750">
        <v>0</v>
      </c>
      <c r="M395" s="11"/>
      <c r="N395" s="11"/>
      <c r="O395" s="11"/>
      <c r="P395" s="11"/>
      <c r="Q395" s="11"/>
      <c r="R395" s="11"/>
    </row>
    <row r="396" spans="1:18">
      <c r="A396" s="748">
        <v>45107</v>
      </c>
      <c r="B396" s="748">
        <v>45107</v>
      </c>
      <c r="C396" s="749" t="s">
        <v>485</v>
      </c>
      <c r="D396" s="10"/>
      <c r="E396" s="11"/>
      <c r="F396" s="11"/>
      <c r="G396" s="749" t="s">
        <v>476</v>
      </c>
      <c r="H396" s="749" t="s">
        <v>446</v>
      </c>
      <c r="I396" s="749" t="s">
        <v>421</v>
      </c>
      <c r="J396" s="11"/>
      <c r="K396" s="750">
        <v>17940187</v>
      </c>
      <c r="L396" s="750">
        <v>0</v>
      </c>
      <c r="M396" s="11"/>
      <c r="N396" s="11"/>
      <c r="O396" s="11"/>
      <c r="P396" s="11"/>
      <c r="Q396" s="11"/>
      <c r="R396" s="11"/>
    </row>
    <row r="397" spans="1:18">
      <c r="A397" s="748">
        <v>45107</v>
      </c>
      <c r="B397" s="748">
        <v>45107</v>
      </c>
      <c r="C397" s="749" t="s">
        <v>485</v>
      </c>
      <c r="D397" s="10"/>
      <c r="E397" s="11"/>
      <c r="F397" s="11"/>
      <c r="G397" s="749" t="s">
        <v>476</v>
      </c>
      <c r="H397" s="749" t="s">
        <v>446</v>
      </c>
      <c r="I397" s="749" t="s">
        <v>422</v>
      </c>
      <c r="J397" s="11"/>
      <c r="K397" s="750">
        <v>30497208</v>
      </c>
      <c r="L397" s="750">
        <v>0</v>
      </c>
      <c r="M397" s="11"/>
      <c r="N397" s="11"/>
      <c r="O397" s="11"/>
      <c r="P397" s="11"/>
      <c r="Q397" s="11"/>
      <c r="R397" s="11"/>
    </row>
    <row r="398" spans="1:18">
      <c r="A398" s="748">
        <v>45107</v>
      </c>
      <c r="B398" s="748">
        <v>45107</v>
      </c>
      <c r="C398" s="749" t="s">
        <v>485</v>
      </c>
      <c r="D398" s="10"/>
      <c r="E398" s="11"/>
      <c r="F398" s="11"/>
      <c r="G398" s="749" t="s">
        <v>476</v>
      </c>
      <c r="H398" s="749" t="s">
        <v>446</v>
      </c>
      <c r="I398" s="749" t="s">
        <v>424</v>
      </c>
      <c r="J398" s="11"/>
      <c r="K398" s="750">
        <v>124601957</v>
      </c>
      <c r="L398" s="750">
        <v>0</v>
      </c>
      <c r="M398" s="11"/>
      <c r="N398" s="11"/>
      <c r="O398" s="11"/>
      <c r="P398" s="11"/>
      <c r="Q398" s="11"/>
      <c r="R398" s="11"/>
    </row>
    <row r="399" spans="1:18">
      <c r="A399" s="748">
        <v>45107</v>
      </c>
      <c r="B399" s="748">
        <v>45107</v>
      </c>
      <c r="C399" s="749" t="s">
        <v>485</v>
      </c>
      <c r="D399" s="10"/>
      <c r="E399" s="11"/>
      <c r="F399" s="11"/>
      <c r="G399" s="749" t="s">
        <v>476</v>
      </c>
      <c r="H399" s="749" t="s">
        <v>446</v>
      </c>
      <c r="I399" s="749" t="s">
        <v>425</v>
      </c>
      <c r="J399" s="11"/>
      <c r="K399" s="750">
        <v>20888788</v>
      </c>
      <c r="L399" s="750">
        <v>0</v>
      </c>
      <c r="M399" s="11"/>
      <c r="N399" s="11"/>
      <c r="O399" s="11"/>
      <c r="P399" s="11"/>
      <c r="Q399" s="11"/>
      <c r="R399" s="11"/>
    </row>
    <row r="400" spans="1:18">
      <c r="A400" s="748">
        <v>45107</v>
      </c>
      <c r="B400" s="748">
        <v>45107</v>
      </c>
      <c r="C400" s="749" t="s">
        <v>485</v>
      </c>
      <c r="D400" s="10"/>
      <c r="E400" s="11"/>
      <c r="F400" s="11"/>
      <c r="G400" s="749" t="s">
        <v>476</v>
      </c>
      <c r="H400" s="749" t="s">
        <v>446</v>
      </c>
      <c r="I400" s="749" t="s">
        <v>427</v>
      </c>
      <c r="J400" s="11"/>
      <c r="K400" s="750">
        <v>26032922</v>
      </c>
      <c r="L400" s="750">
        <v>0</v>
      </c>
      <c r="M400" s="11"/>
      <c r="N400" s="11"/>
      <c r="O400" s="11"/>
      <c r="P400" s="11"/>
      <c r="Q400" s="11"/>
      <c r="R400" s="11"/>
    </row>
    <row r="401" spans="1:18">
      <c r="A401" s="748">
        <v>45107</v>
      </c>
      <c r="B401" s="748">
        <v>45107</v>
      </c>
      <c r="C401" s="749" t="s">
        <v>485</v>
      </c>
      <c r="D401" s="10"/>
      <c r="E401" s="11"/>
      <c r="F401" s="11"/>
      <c r="G401" s="749" t="s">
        <v>476</v>
      </c>
      <c r="H401" s="749" t="s">
        <v>446</v>
      </c>
      <c r="I401" s="749" t="s">
        <v>431</v>
      </c>
      <c r="J401" s="11"/>
      <c r="K401" s="750">
        <v>1218888</v>
      </c>
      <c r="L401" s="750">
        <v>0</v>
      </c>
      <c r="M401" s="11"/>
      <c r="N401" s="11"/>
      <c r="O401" s="11"/>
      <c r="P401" s="11"/>
      <c r="Q401" s="11"/>
      <c r="R401" s="11"/>
    </row>
    <row r="402" spans="1:18">
      <c r="A402" s="748">
        <v>45107</v>
      </c>
      <c r="B402" s="748">
        <v>45107</v>
      </c>
      <c r="C402" s="749" t="s">
        <v>485</v>
      </c>
      <c r="D402" s="10"/>
      <c r="E402" s="11"/>
      <c r="F402" s="11"/>
      <c r="G402" s="749" t="s">
        <v>476</v>
      </c>
      <c r="H402" s="749" t="s">
        <v>446</v>
      </c>
      <c r="I402" s="749" t="s">
        <v>432</v>
      </c>
      <c r="J402" s="11"/>
      <c r="K402" s="750">
        <v>241018000</v>
      </c>
      <c r="L402" s="750">
        <v>0</v>
      </c>
      <c r="M402" s="11"/>
      <c r="N402" s="11"/>
      <c r="O402" s="11"/>
      <c r="P402" s="11"/>
      <c r="Q402" s="11"/>
      <c r="R402" s="11"/>
    </row>
    <row r="403" spans="1:18">
      <c r="A403" s="748">
        <v>45107</v>
      </c>
      <c r="B403" s="748">
        <v>45107</v>
      </c>
      <c r="C403" s="749" t="s">
        <v>485</v>
      </c>
      <c r="D403" s="10"/>
      <c r="E403" s="11"/>
      <c r="F403" s="11"/>
      <c r="G403" s="749" t="s">
        <v>476</v>
      </c>
      <c r="H403" s="749" t="s">
        <v>446</v>
      </c>
      <c r="I403" s="749" t="s">
        <v>435</v>
      </c>
      <c r="J403" s="11"/>
      <c r="K403" s="750">
        <v>37880104</v>
      </c>
      <c r="L403" s="750">
        <v>0</v>
      </c>
      <c r="M403" s="11"/>
      <c r="N403" s="11"/>
      <c r="O403" s="11"/>
      <c r="P403" s="11"/>
      <c r="Q403" s="11"/>
      <c r="R403" s="11"/>
    </row>
    <row r="404" spans="1:18">
      <c r="A404" s="748">
        <v>45107</v>
      </c>
      <c r="B404" s="748">
        <v>45107</v>
      </c>
      <c r="C404" s="749" t="s">
        <v>485</v>
      </c>
      <c r="D404" s="10"/>
      <c r="E404" s="11"/>
      <c r="F404" s="11"/>
      <c r="G404" s="749" t="s">
        <v>476</v>
      </c>
      <c r="H404" s="749" t="s">
        <v>446</v>
      </c>
      <c r="I404" s="749" t="s">
        <v>437</v>
      </c>
      <c r="J404" s="11"/>
      <c r="K404" s="750">
        <v>16130000</v>
      </c>
      <c r="L404" s="750">
        <v>0</v>
      </c>
      <c r="M404" s="11"/>
      <c r="N404" s="11"/>
      <c r="O404" s="11"/>
      <c r="P404" s="11"/>
      <c r="Q404" s="11"/>
      <c r="R404" s="11"/>
    </row>
    <row r="405" spans="1:18">
      <c r="A405" s="748">
        <v>45107</v>
      </c>
      <c r="B405" s="748">
        <v>45107</v>
      </c>
      <c r="C405" s="749" t="s">
        <v>485</v>
      </c>
      <c r="D405" s="10"/>
      <c r="E405" s="11"/>
      <c r="F405" s="11"/>
      <c r="G405" s="749" t="s">
        <v>476</v>
      </c>
      <c r="H405" s="749" t="s">
        <v>446</v>
      </c>
      <c r="I405" s="749" t="s">
        <v>438</v>
      </c>
      <c r="J405" s="11"/>
      <c r="K405" s="750">
        <v>1456000</v>
      </c>
      <c r="L405" s="750">
        <v>0</v>
      </c>
      <c r="M405" s="11"/>
      <c r="N405" s="11"/>
      <c r="O405" s="11"/>
      <c r="P405" s="11"/>
      <c r="Q405" s="11"/>
      <c r="R405" s="11"/>
    </row>
    <row r="406" spans="1:18">
      <c r="A406" s="748">
        <v>45107</v>
      </c>
      <c r="B406" s="748">
        <v>45107</v>
      </c>
      <c r="C406" s="749" t="s">
        <v>485</v>
      </c>
      <c r="D406" s="10"/>
      <c r="E406" s="11"/>
      <c r="F406" s="11"/>
      <c r="G406" s="749" t="s">
        <v>477</v>
      </c>
      <c r="H406" s="749" t="s">
        <v>446</v>
      </c>
      <c r="I406" s="749" t="s">
        <v>442</v>
      </c>
      <c r="J406" s="11"/>
      <c r="K406" s="750">
        <v>0</v>
      </c>
      <c r="L406" s="750">
        <v>2700001</v>
      </c>
      <c r="M406" s="11"/>
      <c r="N406" s="11"/>
      <c r="O406" s="11"/>
      <c r="P406" s="11"/>
      <c r="Q406" s="11"/>
      <c r="R406" s="11"/>
    </row>
    <row r="407" spans="1:18">
      <c r="A407" s="748">
        <v>45107</v>
      </c>
      <c r="B407" s="748">
        <v>45107</v>
      </c>
      <c r="C407" s="749" t="s">
        <v>485</v>
      </c>
      <c r="D407" s="10"/>
      <c r="E407" s="11"/>
      <c r="F407" s="11"/>
      <c r="G407" s="749" t="s">
        <v>478</v>
      </c>
      <c r="H407" s="749" t="s">
        <v>446</v>
      </c>
      <c r="I407" s="749" t="s">
        <v>444</v>
      </c>
      <c r="J407" s="11"/>
      <c r="K407" s="750">
        <v>260348</v>
      </c>
      <c r="L407" s="750">
        <v>0</v>
      </c>
      <c r="M407" s="11"/>
      <c r="N407" s="11"/>
      <c r="O407" s="11"/>
      <c r="P407" s="11"/>
      <c r="Q407" s="11"/>
      <c r="R407" s="11"/>
    </row>
    <row r="408" spans="1:18">
      <c r="A408" s="748">
        <v>45107</v>
      </c>
      <c r="B408" s="748">
        <v>45107</v>
      </c>
      <c r="C408" s="749" t="s">
        <v>485</v>
      </c>
      <c r="D408" s="10"/>
      <c r="E408" s="11"/>
      <c r="F408" s="11"/>
      <c r="G408" s="749" t="s">
        <v>479</v>
      </c>
      <c r="H408" s="749" t="s">
        <v>446</v>
      </c>
      <c r="I408" s="749" t="s">
        <v>217</v>
      </c>
      <c r="J408" s="11"/>
      <c r="K408" s="750">
        <v>0</v>
      </c>
      <c r="L408" s="750">
        <v>373578471</v>
      </c>
      <c r="M408" s="11"/>
      <c r="N408" s="11"/>
      <c r="O408" s="11"/>
      <c r="P408" s="11"/>
      <c r="Q408" s="11"/>
      <c r="R408" s="11"/>
    </row>
    <row r="409" spans="1:18">
      <c r="A409" s="10"/>
      <c r="B409" s="10"/>
      <c r="C409" s="11"/>
      <c r="D409" s="10"/>
      <c r="E409" s="11"/>
      <c r="F409" s="11"/>
      <c r="G409" s="11"/>
      <c r="H409" s="11"/>
      <c r="I409" s="11"/>
      <c r="J409" s="11"/>
      <c r="K409" s="12"/>
      <c r="L409" s="12"/>
      <c r="M409" s="11"/>
      <c r="N409" s="11"/>
      <c r="O409" s="11"/>
      <c r="P409" s="11"/>
      <c r="Q409" s="11"/>
      <c r="R409" s="11"/>
    </row>
    <row r="410" spans="1:18">
      <c r="A410" s="10"/>
      <c r="B410" s="10"/>
      <c r="C410" s="11"/>
      <c r="D410" s="10"/>
      <c r="E410" s="11"/>
      <c r="F410" s="11"/>
      <c r="G410" s="11"/>
      <c r="H410" s="11"/>
      <c r="I410" s="11"/>
      <c r="J410" s="11"/>
      <c r="K410" s="12"/>
      <c r="L410" s="12"/>
      <c r="M410" s="11"/>
      <c r="N410" s="11"/>
      <c r="O410" s="11"/>
      <c r="P410" s="11"/>
      <c r="Q410" s="11"/>
      <c r="R410" s="11"/>
    </row>
    <row r="411" spans="1:18">
      <c r="A411" s="10"/>
      <c r="B411" s="10"/>
      <c r="C411" s="11"/>
      <c r="D411" s="10"/>
      <c r="E411" s="11"/>
      <c r="F411" s="11"/>
      <c r="G411" s="11"/>
      <c r="H411" s="11"/>
      <c r="I411" s="11"/>
      <c r="J411" s="11"/>
      <c r="K411" s="12"/>
      <c r="L411" s="12"/>
      <c r="M411" s="11"/>
      <c r="N411" s="11"/>
      <c r="O411" s="11"/>
      <c r="P411" s="11"/>
      <c r="Q411" s="11"/>
      <c r="R411" s="11"/>
    </row>
    <row r="412" spans="1:18">
      <c r="A412" s="10"/>
      <c r="B412" s="10"/>
      <c r="C412" s="11"/>
      <c r="D412" s="10"/>
      <c r="E412" s="11"/>
      <c r="F412" s="11"/>
      <c r="G412" s="11"/>
      <c r="H412" s="11"/>
      <c r="I412" s="11"/>
      <c r="J412" s="11"/>
      <c r="K412" s="12"/>
      <c r="L412" s="12"/>
      <c r="M412" s="11"/>
      <c r="N412" s="11"/>
      <c r="O412" s="11"/>
      <c r="P412" s="11"/>
      <c r="Q412" s="11"/>
      <c r="R412" s="11"/>
    </row>
    <row r="413" spans="1:18">
      <c r="A413" s="10"/>
      <c r="B413" s="10"/>
      <c r="C413" s="11"/>
      <c r="D413" s="10"/>
      <c r="E413" s="11"/>
      <c r="F413" s="11"/>
      <c r="G413" s="11"/>
      <c r="H413" s="11"/>
      <c r="I413" s="11"/>
      <c r="J413" s="11"/>
      <c r="K413" s="12"/>
      <c r="L413" s="12"/>
      <c r="M413" s="11"/>
      <c r="N413" s="11"/>
      <c r="O413" s="11"/>
      <c r="P413" s="11"/>
      <c r="Q413" s="11"/>
      <c r="R413" s="11"/>
    </row>
    <row r="414" spans="1:18">
      <c r="A414" s="10"/>
      <c r="B414" s="10"/>
      <c r="C414" s="11"/>
      <c r="D414" s="10"/>
      <c r="E414" s="11"/>
      <c r="F414" s="11"/>
      <c r="G414" s="11"/>
      <c r="H414" s="11"/>
      <c r="I414" s="11"/>
      <c r="J414" s="11"/>
      <c r="K414" s="12"/>
      <c r="L414" s="12"/>
      <c r="M414" s="11"/>
      <c r="N414" s="11"/>
      <c r="O414" s="11"/>
      <c r="P414" s="11"/>
      <c r="Q414" s="11"/>
      <c r="R414" s="11"/>
    </row>
    <row r="415" spans="1:18">
      <c r="A415" s="10"/>
      <c r="B415" s="10"/>
      <c r="C415" s="11"/>
      <c r="D415" s="10"/>
      <c r="E415" s="11"/>
      <c r="F415" s="11"/>
      <c r="G415" s="11"/>
      <c r="H415" s="11"/>
      <c r="I415" s="11"/>
      <c r="J415" s="11"/>
      <c r="K415" s="12"/>
      <c r="L415" s="12"/>
      <c r="M415" s="11"/>
      <c r="N415" s="11"/>
      <c r="O415" s="11"/>
      <c r="P415" s="11"/>
      <c r="Q415" s="11"/>
      <c r="R415" s="11"/>
    </row>
    <row r="416" spans="1:18">
      <c r="A416" s="10"/>
      <c r="B416" s="10"/>
      <c r="C416" s="11"/>
      <c r="D416" s="10"/>
      <c r="E416" s="11"/>
      <c r="F416" s="11"/>
      <c r="G416" s="11"/>
      <c r="H416" s="11"/>
      <c r="I416" s="11"/>
      <c r="J416" s="11"/>
      <c r="K416" s="12"/>
      <c r="L416" s="12"/>
      <c r="M416" s="11"/>
      <c r="N416" s="11"/>
      <c r="O416" s="11"/>
      <c r="P416" s="11"/>
      <c r="Q416" s="11"/>
      <c r="R416" s="11"/>
    </row>
    <row r="417" spans="1:18">
      <c r="A417" s="10"/>
      <c r="B417" s="10"/>
      <c r="C417" s="11"/>
      <c r="D417" s="10"/>
      <c r="E417" s="11"/>
      <c r="F417" s="11"/>
      <c r="G417" s="11"/>
      <c r="H417" s="11"/>
      <c r="I417" s="11"/>
      <c r="J417" s="11"/>
      <c r="K417" s="12"/>
      <c r="L417" s="12"/>
      <c r="M417" s="11"/>
      <c r="N417" s="11"/>
      <c r="O417" s="11"/>
      <c r="P417" s="11"/>
      <c r="Q417" s="11"/>
      <c r="R417" s="11"/>
    </row>
    <row r="418" spans="1:18">
      <c r="A418" s="10"/>
      <c r="B418" s="10"/>
      <c r="C418" s="11"/>
      <c r="D418" s="10"/>
      <c r="E418" s="11"/>
      <c r="F418" s="11"/>
      <c r="G418" s="11"/>
      <c r="H418" s="11"/>
      <c r="I418" s="11"/>
      <c r="J418" s="11"/>
      <c r="K418" s="12"/>
      <c r="L418" s="12"/>
      <c r="M418" s="11"/>
      <c r="N418" s="11"/>
      <c r="O418" s="11"/>
      <c r="P418" s="11"/>
      <c r="Q418" s="11"/>
      <c r="R418" s="11"/>
    </row>
    <row r="419" spans="1:18">
      <c r="A419" s="10"/>
      <c r="B419" s="10"/>
      <c r="C419" s="11"/>
      <c r="D419" s="10"/>
      <c r="E419" s="11"/>
      <c r="F419" s="11"/>
      <c r="G419" s="11"/>
      <c r="H419" s="11"/>
      <c r="I419" s="11"/>
      <c r="J419" s="11"/>
      <c r="K419" s="12"/>
      <c r="L419" s="12"/>
      <c r="M419" s="11"/>
      <c r="N419" s="11"/>
      <c r="O419" s="11"/>
      <c r="P419" s="11"/>
      <c r="Q419" s="11"/>
      <c r="R419" s="11"/>
    </row>
    <row r="420" spans="1:18">
      <c r="A420" s="10"/>
      <c r="B420" s="10"/>
      <c r="C420" s="11"/>
      <c r="D420" s="10"/>
      <c r="E420" s="11"/>
      <c r="F420" s="11"/>
      <c r="G420" s="11"/>
      <c r="H420" s="11"/>
      <c r="I420" s="11"/>
      <c r="J420" s="11"/>
      <c r="K420" s="12"/>
      <c r="L420" s="12"/>
      <c r="M420" s="11"/>
      <c r="N420" s="11"/>
      <c r="O420" s="11"/>
      <c r="P420" s="11"/>
      <c r="Q420" s="11"/>
      <c r="R420" s="11"/>
    </row>
    <row r="421" spans="1:18">
      <c r="A421" s="10"/>
      <c r="B421" s="10"/>
      <c r="C421" s="11"/>
      <c r="D421" s="10"/>
      <c r="E421" s="11"/>
      <c r="F421" s="11"/>
      <c r="G421" s="11"/>
      <c r="H421" s="11"/>
      <c r="I421" s="11"/>
      <c r="J421" s="11"/>
      <c r="K421" s="12"/>
      <c r="L421" s="12"/>
      <c r="M421" s="11"/>
      <c r="N421" s="11"/>
      <c r="O421" s="11"/>
      <c r="P421" s="11"/>
      <c r="Q421" s="11"/>
      <c r="R421" s="11"/>
    </row>
    <row r="422" spans="1:18">
      <c r="A422" s="10"/>
      <c r="B422" s="10"/>
      <c r="C422" s="11"/>
      <c r="D422" s="10"/>
      <c r="E422" s="11"/>
      <c r="F422" s="11"/>
      <c r="G422" s="11"/>
      <c r="H422" s="11"/>
      <c r="I422" s="11"/>
      <c r="J422" s="11"/>
      <c r="K422" s="12"/>
      <c r="L422" s="12"/>
      <c r="M422" s="11"/>
      <c r="N422" s="11"/>
      <c r="O422" s="11"/>
      <c r="P422" s="11"/>
      <c r="Q422" s="11"/>
      <c r="R422" s="11"/>
    </row>
    <row r="423" spans="1:18">
      <c r="A423" s="10"/>
      <c r="B423" s="10"/>
      <c r="C423" s="11"/>
      <c r="D423" s="10"/>
      <c r="E423" s="11"/>
      <c r="F423" s="11"/>
      <c r="G423" s="11"/>
      <c r="H423" s="11"/>
      <c r="I423" s="11"/>
      <c r="J423" s="11"/>
      <c r="K423" s="12"/>
      <c r="L423" s="12"/>
      <c r="M423" s="11"/>
      <c r="N423" s="11"/>
      <c r="O423" s="11"/>
      <c r="P423" s="11"/>
      <c r="Q423" s="11"/>
      <c r="R423" s="11"/>
    </row>
    <row r="424" spans="1:18">
      <c r="A424" s="10"/>
      <c r="B424" s="10"/>
      <c r="C424" s="11"/>
      <c r="D424" s="10"/>
      <c r="E424" s="11"/>
      <c r="F424" s="11"/>
      <c r="G424" s="11"/>
      <c r="H424" s="11"/>
      <c r="I424" s="11"/>
      <c r="J424" s="11"/>
      <c r="K424" s="12"/>
      <c r="L424" s="12"/>
      <c r="M424" s="11"/>
      <c r="N424" s="11"/>
      <c r="O424" s="11"/>
      <c r="P424" s="11"/>
      <c r="Q424" s="11"/>
      <c r="R424" s="11"/>
    </row>
    <row r="425" spans="1:18">
      <c r="A425" s="10"/>
      <c r="B425" s="10"/>
      <c r="C425" s="11"/>
      <c r="D425" s="10"/>
      <c r="E425" s="11"/>
      <c r="F425" s="11"/>
      <c r="G425" s="11"/>
      <c r="H425" s="11"/>
      <c r="I425" s="11"/>
      <c r="J425" s="11"/>
      <c r="K425" s="12"/>
      <c r="L425" s="12"/>
      <c r="M425" s="11"/>
      <c r="N425" s="11"/>
      <c r="O425" s="11"/>
      <c r="P425" s="11"/>
      <c r="Q425" s="11"/>
      <c r="R425" s="11"/>
    </row>
    <row r="426" spans="1:18">
      <c r="A426" s="10"/>
      <c r="B426" s="10"/>
      <c r="C426" s="11"/>
      <c r="D426" s="10"/>
      <c r="E426" s="11"/>
      <c r="F426" s="11"/>
      <c r="G426" s="11"/>
      <c r="H426" s="11"/>
      <c r="I426" s="11"/>
      <c r="J426" s="11"/>
      <c r="K426" s="12"/>
      <c r="L426" s="12"/>
      <c r="M426" s="11"/>
      <c r="N426" s="11"/>
      <c r="O426" s="11"/>
      <c r="P426" s="11"/>
      <c r="Q426" s="11"/>
      <c r="R426" s="11"/>
    </row>
    <row r="427" spans="1:18">
      <c r="A427" s="10"/>
      <c r="B427" s="10"/>
      <c r="C427" s="11"/>
      <c r="D427" s="10"/>
      <c r="E427" s="11"/>
      <c r="F427" s="11"/>
      <c r="G427" s="11"/>
      <c r="H427" s="11"/>
      <c r="I427" s="11"/>
      <c r="J427" s="11"/>
      <c r="K427" s="12"/>
      <c r="L427" s="12"/>
      <c r="M427" s="11"/>
      <c r="N427" s="11"/>
      <c r="O427" s="11"/>
      <c r="P427" s="11"/>
      <c r="Q427" s="11"/>
      <c r="R427" s="11"/>
    </row>
    <row r="428" spans="1:18">
      <c r="A428" s="10"/>
      <c r="B428" s="10"/>
      <c r="C428" s="11"/>
      <c r="D428" s="10"/>
      <c r="E428" s="11"/>
      <c r="F428" s="11"/>
      <c r="G428" s="11"/>
      <c r="H428" s="11"/>
      <c r="I428" s="11"/>
      <c r="J428" s="11"/>
      <c r="K428" s="12"/>
      <c r="L428" s="12"/>
      <c r="M428" s="11"/>
      <c r="N428" s="11"/>
      <c r="O428" s="11"/>
      <c r="P428" s="11"/>
      <c r="Q428" s="11"/>
      <c r="R428" s="11"/>
    </row>
    <row r="429" spans="1:18">
      <c r="A429" s="10"/>
      <c r="B429" s="10"/>
      <c r="C429" s="11"/>
      <c r="D429" s="10"/>
      <c r="E429" s="11"/>
      <c r="F429" s="11"/>
      <c r="G429" s="11"/>
      <c r="H429" s="11"/>
      <c r="I429" s="11"/>
      <c r="J429" s="11"/>
      <c r="K429" s="12"/>
      <c r="L429" s="12"/>
      <c r="M429" s="11"/>
      <c r="N429" s="11"/>
      <c r="O429" s="11"/>
      <c r="P429" s="11"/>
      <c r="Q429" s="11"/>
      <c r="R429" s="11"/>
    </row>
    <row r="430" spans="1:18">
      <c r="A430" s="10"/>
      <c r="B430" s="10"/>
      <c r="C430" s="11"/>
      <c r="D430" s="10"/>
      <c r="E430" s="11"/>
      <c r="F430" s="11"/>
      <c r="G430" s="11"/>
      <c r="H430" s="11"/>
      <c r="I430" s="11"/>
      <c r="J430" s="11"/>
      <c r="K430" s="12"/>
      <c r="L430" s="12"/>
      <c r="M430" s="11"/>
      <c r="N430" s="11"/>
      <c r="O430" s="11"/>
      <c r="P430" s="11"/>
      <c r="Q430" s="11"/>
      <c r="R430" s="11"/>
    </row>
    <row r="431" spans="1:18">
      <c r="A431" s="10"/>
      <c r="B431" s="10"/>
      <c r="C431" s="11"/>
      <c r="D431" s="10"/>
      <c r="E431" s="11"/>
      <c r="F431" s="11"/>
      <c r="G431" s="11"/>
      <c r="H431" s="11"/>
      <c r="I431" s="11"/>
      <c r="J431" s="11"/>
      <c r="K431" s="12"/>
      <c r="L431" s="12"/>
      <c r="M431" s="11"/>
      <c r="N431" s="11"/>
      <c r="O431" s="11"/>
      <c r="P431" s="11"/>
      <c r="Q431" s="11"/>
      <c r="R431" s="11"/>
    </row>
    <row r="432" spans="1:18">
      <c r="A432" s="10"/>
      <c r="B432" s="10"/>
      <c r="C432" s="11"/>
      <c r="D432" s="10"/>
      <c r="E432" s="11"/>
      <c r="F432" s="11"/>
      <c r="G432" s="11"/>
      <c r="H432" s="11"/>
      <c r="I432" s="11"/>
      <c r="J432" s="11"/>
      <c r="K432" s="12"/>
      <c r="L432" s="12"/>
      <c r="M432" s="11"/>
      <c r="N432" s="11"/>
      <c r="O432" s="11"/>
      <c r="P432" s="11"/>
      <c r="Q432" s="11"/>
      <c r="R432" s="11"/>
    </row>
    <row r="433" spans="1:18">
      <c r="A433" s="10"/>
      <c r="B433" s="10"/>
      <c r="C433" s="11"/>
      <c r="D433" s="10"/>
      <c r="E433" s="11"/>
      <c r="F433" s="11"/>
      <c r="G433" s="11"/>
      <c r="H433" s="11"/>
      <c r="I433" s="11"/>
      <c r="J433" s="11"/>
      <c r="K433" s="12"/>
      <c r="L433" s="12"/>
      <c r="M433" s="11"/>
      <c r="N433" s="11"/>
      <c r="O433" s="11"/>
      <c r="P433" s="11"/>
      <c r="Q433" s="11"/>
      <c r="R433" s="11"/>
    </row>
    <row r="434" spans="1:18">
      <c r="A434" s="10"/>
      <c r="B434" s="10"/>
      <c r="C434" s="11"/>
      <c r="D434" s="10"/>
      <c r="E434" s="11"/>
      <c r="F434" s="11"/>
      <c r="G434" s="11"/>
      <c r="H434" s="11"/>
      <c r="I434" s="11"/>
      <c r="J434" s="11"/>
      <c r="K434" s="12"/>
      <c r="L434" s="12"/>
      <c r="M434" s="11"/>
      <c r="N434" s="11"/>
      <c r="O434" s="11"/>
      <c r="P434" s="11"/>
      <c r="Q434" s="11"/>
      <c r="R434" s="11"/>
    </row>
    <row r="435" spans="1:18">
      <c r="A435" s="10"/>
      <c r="B435" s="10"/>
      <c r="C435" s="11"/>
      <c r="D435" s="10"/>
      <c r="E435" s="11"/>
      <c r="F435" s="11"/>
      <c r="G435" s="11"/>
      <c r="H435" s="11"/>
      <c r="I435" s="11"/>
      <c r="J435" s="11"/>
      <c r="K435" s="12"/>
      <c r="L435" s="12"/>
      <c r="M435" s="11"/>
      <c r="N435" s="11"/>
      <c r="O435" s="11"/>
      <c r="P435" s="11"/>
      <c r="Q435" s="11"/>
      <c r="R435" s="11"/>
    </row>
    <row r="436" spans="1:18">
      <c r="A436" s="10"/>
      <c r="B436" s="10"/>
      <c r="C436" s="11"/>
      <c r="D436" s="10"/>
      <c r="E436" s="11"/>
      <c r="F436" s="11"/>
      <c r="G436" s="11"/>
      <c r="H436" s="11"/>
      <c r="I436" s="11"/>
      <c r="J436" s="11"/>
      <c r="K436" s="12"/>
      <c r="L436" s="12"/>
      <c r="M436" s="11"/>
      <c r="N436" s="11"/>
      <c r="O436" s="11"/>
      <c r="P436" s="11"/>
      <c r="Q436" s="11"/>
      <c r="R436" s="11"/>
    </row>
    <row r="437" spans="1:18">
      <c r="A437" s="10"/>
      <c r="B437" s="10"/>
      <c r="C437" s="11"/>
      <c r="D437" s="10"/>
      <c r="E437" s="11"/>
      <c r="F437" s="11"/>
      <c r="G437" s="11"/>
      <c r="H437" s="11"/>
      <c r="I437" s="11"/>
      <c r="J437" s="11"/>
      <c r="K437" s="12"/>
      <c r="L437" s="12"/>
      <c r="M437" s="11"/>
      <c r="N437" s="11"/>
      <c r="O437" s="11"/>
      <c r="P437" s="11"/>
      <c r="Q437" s="11"/>
      <c r="R437" s="11"/>
    </row>
    <row r="438" spans="1:18">
      <c r="A438" s="10"/>
      <c r="B438" s="10"/>
      <c r="C438" s="11"/>
      <c r="D438" s="10"/>
      <c r="E438" s="11"/>
      <c r="F438" s="11"/>
      <c r="G438" s="11"/>
      <c r="H438" s="11"/>
      <c r="I438" s="11"/>
      <c r="J438" s="11"/>
      <c r="K438" s="12"/>
      <c r="L438" s="12"/>
      <c r="M438" s="11"/>
      <c r="N438" s="11"/>
      <c r="O438" s="11"/>
      <c r="P438" s="11"/>
      <c r="Q438" s="11"/>
      <c r="R438" s="11"/>
    </row>
    <row r="439" spans="1:18">
      <c r="A439" s="10"/>
      <c r="B439" s="10"/>
      <c r="C439" s="11"/>
      <c r="D439" s="10"/>
      <c r="E439" s="11"/>
      <c r="F439" s="11"/>
      <c r="G439" s="11"/>
      <c r="H439" s="11"/>
      <c r="I439" s="11"/>
      <c r="J439" s="11"/>
      <c r="K439" s="12"/>
      <c r="L439" s="12"/>
      <c r="M439" s="11"/>
      <c r="N439" s="11"/>
      <c r="O439" s="11"/>
      <c r="P439" s="11"/>
      <c r="Q439" s="11"/>
      <c r="R439" s="11"/>
    </row>
    <row r="440" spans="1:18">
      <c r="A440" s="10"/>
      <c r="B440" s="10"/>
      <c r="C440" s="11"/>
      <c r="D440" s="10"/>
      <c r="E440" s="11"/>
      <c r="F440" s="11"/>
      <c r="G440" s="11"/>
      <c r="H440" s="11"/>
      <c r="I440" s="11"/>
      <c r="J440" s="11"/>
      <c r="K440" s="12"/>
      <c r="L440" s="12"/>
      <c r="M440" s="11"/>
      <c r="N440" s="11"/>
      <c r="O440" s="11"/>
      <c r="P440" s="11"/>
      <c r="Q440" s="11"/>
      <c r="R440" s="11"/>
    </row>
    <row r="441" spans="1:18">
      <c r="A441" s="10"/>
      <c r="B441" s="10"/>
      <c r="C441" s="11"/>
      <c r="D441" s="10"/>
      <c r="E441" s="11"/>
      <c r="F441" s="11"/>
      <c r="G441" s="11"/>
      <c r="H441" s="11"/>
      <c r="I441" s="11"/>
      <c r="J441" s="11"/>
      <c r="K441" s="12"/>
      <c r="L441" s="12"/>
      <c r="M441" s="11"/>
      <c r="N441" s="11"/>
      <c r="O441" s="11"/>
      <c r="P441" s="11"/>
      <c r="Q441" s="11"/>
      <c r="R441" s="11"/>
    </row>
    <row r="442" spans="1:18">
      <c r="A442" s="15"/>
      <c r="B442" s="10"/>
      <c r="C442" s="11"/>
      <c r="D442" s="10"/>
      <c r="E442" s="11"/>
      <c r="F442" s="11"/>
      <c r="G442" s="11"/>
      <c r="H442" s="11"/>
      <c r="I442" s="11"/>
      <c r="J442" s="11"/>
      <c r="K442" s="16"/>
      <c r="L442" s="16"/>
      <c r="M442" s="11"/>
      <c r="N442" s="11"/>
      <c r="O442" s="11"/>
      <c r="P442" s="11"/>
      <c r="Q442" s="11"/>
      <c r="R442" s="11"/>
    </row>
    <row r="443" spans="1:18">
      <c r="A443" s="10"/>
      <c r="B443" s="10"/>
      <c r="C443" s="11"/>
      <c r="D443" s="10"/>
      <c r="E443" s="11"/>
      <c r="F443" s="11"/>
      <c r="G443" s="11"/>
      <c r="H443" s="11"/>
      <c r="I443" s="11"/>
      <c r="J443" s="11"/>
      <c r="K443" s="12"/>
      <c r="L443" s="12"/>
      <c r="M443" s="11"/>
      <c r="N443" s="11"/>
      <c r="O443" s="11"/>
      <c r="P443" s="11"/>
      <c r="Q443" s="11"/>
      <c r="R443" s="11"/>
    </row>
    <row r="444" spans="1:18">
      <c r="A444" s="10"/>
      <c r="B444" s="10"/>
      <c r="C444" s="11"/>
      <c r="D444" s="10"/>
      <c r="E444" s="11"/>
      <c r="F444" s="11"/>
      <c r="G444" s="11"/>
      <c r="H444" s="11"/>
      <c r="I444" s="11"/>
      <c r="J444" s="11"/>
      <c r="K444" s="12"/>
      <c r="L444" s="12"/>
      <c r="M444" s="11"/>
      <c r="N444" s="11"/>
      <c r="O444" s="11"/>
      <c r="P444" s="11"/>
      <c r="Q444" s="11"/>
      <c r="R444" s="11"/>
    </row>
    <row r="445" spans="1:18">
      <c r="A445" s="10"/>
      <c r="B445" s="10"/>
      <c r="C445" s="11"/>
      <c r="D445" s="10"/>
      <c r="E445" s="11"/>
      <c r="F445" s="11"/>
      <c r="G445" s="11"/>
      <c r="H445" s="11"/>
      <c r="I445" s="11"/>
      <c r="J445" s="11"/>
      <c r="K445" s="12"/>
      <c r="L445" s="12"/>
      <c r="M445" s="11"/>
      <c r="N445" s="11"/>
      <c r="O445" s="11"/>
      <c r="P445" s="11"/>
      <c r="Q445" s="11"/>
      <c r="R445" s="11"/>
    </row>
    <row r="446" spans="1:18">
      <c r="A446" s="10"/>
      <c r="B446" s="10"/>
      <c r="C446" s="11"/>
      <c r="D446" s="10"/>
      <c r="E446" s="11"/>
      <c r="F446" s="11"/>
      <c r="G446" s="11"/>
      <c r="H446" s="11"/>
      <c r="I446" s="11"/>
      <c r="J446" s="11"/>
      <c r="K446" s="12"/>
      <c r="L446" s="12"/>
      <c r="M446" s="11"/>
      <c r="N446" s="11"/>
      <c r="O446" s="11"/>
      <c r="P446" s="11"/>
      <c r="Q446" s="11"/>
      <c r="R446" s="11"/>
    </row>
    <row r="447" spans="1:18">
      <c r="A447" s="10"/>
      <c r="B447" s="10"/>
      <c r="C447" s="11"/>
      <c r="D447" s="10"/>
      <c r="E447" s="11"/>
      <c r="F447" s="11"/>
      <c r="G447" s="11"/>
      <c r="H447" s="11"/>
      <c r="I447" s="11"/>
      <c r="J447" s="11"/>
      <c r="K447" s="12"/>
      <c r="L447" s="12"/>
      <c r="M447" s="11"/>
      <c r="N447" s="11"/>
      <c r="O447" s="11"/>
      <c r="P447" s="11"/>
      <c r="Q447" s="11"/>
      <c r="R447" s="11"/>
    </row>
    <row r="448" spans="1:18">
      <c r="A448" s="10"/>
      <c r="B448" s="10"/>
      <c r="C448" s="11"/>
      <c r="D448" s="10"/>
      <c r="E448" s="11"/>
      <c r="F448" s="11"/>
      <c r="G448" s="11"/>
      <c r="H448" s="11"/>
      <c r="I448" s="11"/>
      <c r="J448" s="11"/>
      <c r="K448" s="12"/>
      <c r="L448" s="12"/>
      <c r="M448" s="11"/>
      <c r="N448" s="11"/>
      <c r="O448" s="11"/>
      <c r="P448" s="11"/>
      <c r="Q448" s="11"/>
      <c r="R448" s="11"/>
    </row>
    <row r="449" spans="1:18">
      <c r="A449" s="10"/>
      <c r="B449" s="10"/>
      <c r="C449" s="11"/>
      <c r="D449" s="10"/>
      <c r="E449" s="11"/>
      <c r="F449" s="11"/>
      <c r="G449" s="11"/>
      <c r="H449" s="11"/>
      <c r="I449" s="11"/>
      <c r="J449" s="11"/>
      <c r="K449" s="12"/>
      <c r="L449" s="12"/>
      <c r="M449" s="11"/>
      <c r="N449" s="11"/>
      <c r="O449" s="11"/>
      <c r="P449" s="11"/>
      <c r="Q449" s="11"/>
      <c r="R449" s="11"/>
    </row>
    <row r="450" spans="1:18">
      <c r="A450" s="10"/>
      <c r="B450" s="10"/>
      <c r="C450" s="11"/>
      <c r="D450" s="10"/>
      <c r="E450" s="11"/>
      <c r="F450" s="11"/>
      <c r="G450" s="11"/>
      <c r="H450" s="11"/>
      <c r="I450" s="11"/>
      <c r="J450" s="11"/>
      <c r="K450" s="12"/>
      <c r="L450" s="12"/>
      <c r="M450" s="11"/>
      <c r="N450" s="11"/>
      <c r="O450" s="11"/>
      <c r="P450" s="11"/>
      <c r="Q450" s="11"/>
      <c r="R450" s="11"/>
    </row>
    <row r="451" spans="1:18">
      <c r="A451" s="10"/>
      <c r="B451" s="10"/>
      <c r="C451" s="11"/>
      <c r="D451" s="10"/>
      <c r="E451" s="11"/>
      <c r="F451" s="11"/>
      <c r="G451" s="11"/>
      <c r="H451" s="11"/>
      <c r="I451" s="11"/>
      <c r="J451" s="11"/>
      <c r="K451" s="12"/>
      <c r="L451" s="12"/>
      <c r="M451" s="11"/>
      <c r="N451" s="11"/>
      <c r="O451" s="11"/>
      <c r="P451" s="11"/>
      <c r="Q451" s="11"/>
      <c r="R451" s="11"/>
    </row>
    <row r="452" spans="1:18">
      <c r="A452" s="10"/>
      <c r="B452" s="10"/>
      <c r="C452" s="11"/>
      <c r="D452" s="10"/>
      <c r="E452" s="11"/>
      <c r="F452" s="11"/>
      <c r="G452" s="11"/>
      <c r="H452" s="11"/>
      <c r="I452" s="11"/>
      <c r="J452" s="11"/>
      <c r="K452" s="12"/>
      <c r="L452" s="12"/>
      <c r="M452" s="11"/>
      <c r="N452" s="11"/>
      <c r="O452" s="11"/>
      <c r="P452" s="11"/>
      <c r="Q452" s="11"/>
      <c r="R452" s="11"/>
    </row>
    <row r="453" spans="1:18">
      <c r="A453" s="10"/>
      <c r="B453" s="10"/>
      <c r="C453" s="11"/>
      <c r="D453" s="10"/>
      <c r="E453" s="11"/>
      <c r="F453" s="11"/>
      <c r="G453" s="11"/>
      <c r="H453" s="11"/>
      <c r="I453" s="11"/>
      <c r="J453" s="11"/>
      <c r="K453" s="12"/>
      <c r="L453" s="12"/>
      <c r="M453" s="11"/>
      <c r="N453" s="11"/>
      <c r="O453" s="11"/>
      <c r="P453" s="11"/>
      <c r="Q453" s="11"/>
      <c r="R453" s="11"/>
    </row>
    <row r="454" spans="1:18">
      <c r="A454" s="10"/>
      <c r="B454" s="10"/>
      <c r="C454" s="11"/>
      <c r="D454" s="10"/>
      <c r="E454" s="11"/>
      <c r="F454" s="11"/>
      <c r="G454" s="11"/>
      <c r="H454" s="11"/>
      <c r="I454" s="11"/>
      <c r="J454" s="11"/>
      <c r="K454" s="12"/>
      <c r="L454" s="12"/>
      <c r="M454" s="11"/>
      <c r="N454" s="11"/>
      <c r="O454" s="11"/>
      <c r="P454" s="11"/>
      <c r="Q454" s="11"/>
      <c r="R454" s="11"/>
    </row>
    <row r="455" spans="1:18">
      <c r="A455" s="10"/>
      <c r="B455" s="10"/>
      <c r="C455" s="11"/>
      <c r="D455" s="10"/>
      <c r="E455" s="11"/>
      <c r="F455" s="11"/>
      <c r="G455" s="11"/>
      <c r="H455" s="11"/>
      <c r="I455" s="11"/>
      <c r="J455" s="11"/>
      <c r="K455" s="12"/>
      <c r="L455" s="12"/>
      <c r="M455" s="11"/>
      <c r="N455" s="11"/>
      <c r="O455" s="11"/>
      <c r="P455" s="11"/>
      <c r="Q455" s="11"/>
      <c r="R455" s="11"/>
    </row>
    <row r="456" spans="1:18">
      <c r="A456" s="10"/>
      <c r="B456" s="10"/>
      <c r="C456" s="11"/>
      <c r="D456" s="10"/>
      <c r="E456" s="11"/>
      <c r="F456" s="11"/>
      <c r="G456" s="11"/>
      <c r="H456" s="11"/>
      <c r="I456" s="11"/>
      <c r="J456" s="11"/>
      <c r="K456" s="12"/>
      <c r="L456" s="12"/>
      <c r="M456" s="11"/>
      <c r="N456" s="11"/>
      <c r="O456" s="11"/>
      <c r="P456" s="11"/>
      <c r="Q456" s="11"/>
      <c r="R456" s="11"/>
    </row>
    <row r="457" spans="1:18">
      <c r="A457" s="10"/>
      <c r="B457" s="10"/>
      <c r="C457" s="11"/>
      <c r="D457" s="10"/>
      <c r="E457" s="11"/>
      <c r="F457" s="11"/>
      <c r="G457" s="11"/>
      <c r="H457" s="11"/>
      <c r="I457" s="11"/>
      <c r="J457" s="11"/>
      <c r="K457" s="12"/>
      <c r="L457" s="12"/>
      <c r="M457" s="11"/>
      <c r="N457" s="11"/>
      <c r="O457" s="11"/>
      <c r="P457" s="11"/>
      <c r="Q457" s="11"/>
      <c r="R457" s="11"/>
    </row>
    <row r="458" spans="1:18">
      <c r="A458" s="10"/>
      <c r="B458" s="10"/>
      <c r="C458" s="11"/>
      <c r="D458" s="10"/>
      <c r="E458" s="11"/>
      <c r="F458" s="11"/>
      <c r="G458" s="11"/>
      <c r="H458" s="11"/>
      <c r="I458" s="11"/>
      <c r="J458" s="11"/>
      <c r="K458" s="12"/>
      <c r="L458" s="12"/>
      <c r="M458" s="11"/>
      <c r="N458" s="11"/>
      <c r="O458" s="11"/>
      <c r="P458" s="11"/>
      <c r="Q458" s="11"/>
      <c r="R458" s="11"/>
    </row>
    <row r="459" spans="1:18">
      <c r="A459" s="10"/>
      <c r="B459" s="10"/>
      <c r="C459" s="11"/>
      <c r="D459" s="10"/>
      <c r="E459" s="11"/>
      <c r="F459" s="11"/>
      <c r="G459" s="11"/>
      <c r="H459" s="11"/>
      <c r="I459" s="11"/>
      <c r="J459" s="11"/>
      <c r="K459" s="12"/>
      <c r="L459" s="12"/>
      <c r="M459" s="11"/>
      <c r="N459" s="11"/>
      <c r="O459" s="11"/>
      <c r="P459" s="11"/>
      <c r="Q459" s="11"/>
      <c r="R459" s="11"/>
    </row>
    <row r="460" spans="1:18">
      <c r="A460" s="10"/>
      <c r="B460" s="10"/>
      <c r="C460" s="11"/>
      <c r="D460" s="10"/>
      <c r="E460" s="11"/>
      <c r="F460" s="11"/>
      <c r="G460" s="11"/>
      <c r="H460" s="11"/>
      <c r="I460" s="11"/>
      <c r="J460" s="11"/>
      <c r="K460" s="12"/>
      <c r="L460" s="12"/>
      <c r="M460" s="11"/>
      <c r="N460" s="11"/>
      <c r="O460" s="11"/>
      <c r="P460" s="11"/>
      <c r="Q460" s="11"/>
      <c r="R460" s="11"/>
    </row>
    <row r="461" spans="1:18">
      <c r="A461" s="10"/>
      <c r="B461" s="10"/>
      <c r="C461" s="11"/>
      <c r="D461" s="10"/>
      <c r="E461" s="11"/>
      <c r="F461" s="11"/>
      <c r="G461" s="11"/>
      <c r="H461" s="11"/>
      <c r="I461" s="11"/>
      <c r="J461" s="11"/>
      <c r="K461" s="12"/>
      <c r="L461" s="12"/>
      <c r="M461" s="11"/>
      <c r="N461" s="11"/>
      <c r="O461" s="11"/>
      <c r="P461" s="11"/>
      <c r="Q461" s="11"/>
      <c r="R461" s="11"/>
    </row>
    <row r="462" spans="1:18">
      <c r="A462" s="10"/>
      <c r="B462" s="10"/>
      <c r="C462" s="11"/>
      <c r="D462" s="10"/>
      <c r="E462" s="11"/>
      <c r="F462" s="11"/>
      <c r="G462" s="11"/>
      <c r="H462" s="11"/>
      <c r="I462" s="11"/>
      <c r="J462" s="11"/>
      <c r="K462" s="12"/>
      <c r="L462" s="12"/>
      <c r="M462" s="11"/>
      <c r="N462" s="11"/>
      <c r="O462" s="11"/>
      <c r="P462" s="11"/>
      <c r="Q462" s="11"/>
      <c r="R462" s="11"/>
    </row>
    <row r="463" spans="1:18">
      <c r="A463" s="10"/>
      <c r="B463" s="10"/>
      <c r="C463" s="11"/>
      <c r="D463" s="10"/>
      <c r="E463" s="11"/>
      <c r="F463" s="11"/>
      <c r="G463" s="11"/>
      <c r="H463" s="11"/>
      <c r="I463" s="11"/>
      <c r="J463" s="11"/>
      <c r="K463" s="12"/>
      <c r="L463" s="12"/>
      <c r="M463" s="11"/>
      <c r="N463" s="11"/>
      <c r="O463" s="11"/>
      <c r="P463" s="11"/>
      <c r="Q463" s="11"/>
      <c r="R463" s="11"/>
    </row>
    <row r="464" spans="1:18">
      <c r="A464" s="10"/>
      <c r="B464" s="10"/>
      <c r="C464" s="11"/>
      <c r="D464" s="10"/>
      <c r="E464" s="11"/>
      <c r="F464" s="11"/>
      <c r="G464" s="11"/>
      <c r="H464" s="11"/>
      <c r="I464" s="11"/>
      <c r="J464" s="11"/>
      <c r="K464" s="12"/>
      <c r="L464" s="12"/>
      <c r="M464" s="11"/>
      <c r="N464" s="11"/>
      <c r="O464" s="11"/>
      <c r="P464" s="11"/>
      <c r="Q464" s="11"/>
      <c r="R464" s="11"/>
    </row>
    <row r="465" spans="1:18">
      <c r="A465" s="10"/>
      <c r="B465" s="10"/>
      <c r="C465" s="11"/>
      <c r="D465" s="10"/>
      <c r="E465" s="11"/>
      <c r="F465" s="11"/>
      <c r="G465" s="11"/>
      <c r="H465" s="11"/>
      <c r="I465" s="11"/>
      <c r="J465" s="11"/>
      <c r="K465" s="12"/>
      <c r="L465" s="12"/>
      <c r="M465" s="11"/>
      <c r="N465" s="11"/>
      <c r="O465" s="11"/>
      <c r="P465" s="11"/>
      <c r="Q465" s="11"/>
      <c r="R465" s="11"/>
    </row>
    <row r="466" spans="1:18">
      <c r="A466" s="10"/>
      <c r="B466" s="10"/>
      <c r="C466" s="11"/>
      <c r="D466" s="10"/>
      <c r="E466" s="11"/>
      <c r="F466" s="11"/>
      <c r="G466" s="11"/>
      <c r="H466" s="11"/>
      <c r="I466" s="11"/>
      <c r="J466" s="11"/>
      <c r="K466" s="12"/>
      <c r="L466" s="12"/>
      <c r="M466" s="11"/>
      <c r="N466" s="11"/>
      <c r="O466" s="11"/>
      <c r="P466" s="11"/>
      <c r="Q466" s="11"/>
      <c r="R466" s="11"/>
    </row>
    <row r="467" spans="1:18">
      <c r="A467" s="10"/>
      <c r="B467" s="10"/>
      <c r="C467" s="11"/>
      <c r="D467" s="10"/>
      <c r="E467" s="11"/>
      <c r="F467" s="11"/>
      <c r="G467" s="11"/>
      <c r="H467" s="11"/>
      <c r="I467" s="11"/>
      <c r="J467" s="11"/>
      <c r="K467" s="12"/>
      <c r="L467" s="12"/>
      <c r="M467" s="11"/>
      <c r="N467" s="11"/>
      <c r="O467" s="11"/>
      <c r="P467" s="11"/>
      <c r="Q467" s="11"/>
      <c r="R467" s="11"/>
    </row>
    <row r="468" spans="1:18">
      <c r="A468" s="10"/>
      <c r="B468" s="10"/>
      <c r="C468" s="11"/>
      <c r="D468" s="10"/>
      <c r="E468" s="11"/>
      <c r="F468" s="11"/>
      <c r="G468" s="11"/>
      <c r="H468" s="11"/>
      <c r="I468" s="11"/>
      <c r="J468" s="11"/>
      <c r="K468" s="12"/>
      <c r="L468" s="12"/>
      <c r="M468" s="11"/>
      <c r="N468" s="11"/>
      <c r="O468" s="11"/>
      <c r="P468" s="11"/>
      <c r="Q468" s="11"/>
      <c r="R468" s="11"/>
    </row>
    <row r="469" spans="1:18">
      <c r="A469" s="10"/>
      <c r="B469" s="10"/>
      <c r="C469" s="11"/>
      <c r="D469" s="10"/>
      <c r="E469" s="11"/>
      <c r="F469" s="11"/>
      <c r="G469" s="11"/>
      <c r="H469" s="11"/>
      <c r="I469" s="11"/>
      <c r="J469" s="11"/>
      <c r="K469" s="12"/>
      <c r="L469" s="12"/>
      <c r="M469" s="11"/>
      <c r="N469" s="11"/>
      <c r="O469" s="11"/>
      <c r="P469" s="11"/>
      <c r="Q469" s="11"/>
      <c r="R469" s="11"/>
    </row>
    <row r="470" spans="1:18">
      <c r="A470" s="10"/>
      <c r="B470" s="10"/>
      <c r="C470" s="11"/>
      <c r="D470" s="10"/>
      <c r="E470" s="11"/>
      <c r="F470" s="11"/>
      <c r="G470" s="11"/>
      <c r="H470" s="11"/>
      <c r="I470" s="11"/>
      <c r="J470" s="11"/>
      <c r="K470" s="12"/>
      <c r="L470" s="12"/>
      <c r="M470" s="11"/>
      <c r="N470" s="11"/>
      <c r="O470" s="11"/>
      <c r="P470" s="11"/>
      <c r="Q470" s="11"/>
      <c r="R470" s="11"/>
    </row>
    <row r="471" spans="1:18">
      <c r="A471" s="10"/>
      <c r="B471" s="10"/>
      <c r="C471" s="11"/>
      <c r="D471" s="10"/>
      <c r="E471" s="11"/>
      <c r="F471" s="11"/>
      <c r="G471" s="11"/>
      <c r="H471" s="11"/>
      <c r="I471" s="11"/>
      <c r="J471" s="11"/>
      <c r="K471" s="12"/>
      <c r="L471" s="12"/>
      <c r="M471" s="11"/>
      <c r="N471" s="11"/>
      <c r="O471" s="11"/>
      <c r="P471" s="11"/>
      <c r="Q471" s="11"/>
      <c r="R471" s="11"/>
    </row>
    <row r="472" spans="1:18">
      <c r="A472" s="10"/>
      <c r="B472" s="10"/>
      <c r="C472" s="11"/>
      <c r="D472" s="10"/>
      <c r="E472" s="11"/>
      <c r="F472" s="11"/>
      <c r="G472" s="11"/>
      <c r="H472" s="11"/>
      <c r="I472" s="11"/>
      <c r="J472" s="11"/>
      <c r="K472" s="12"/>
      <c r="L472" s="12"/>
      <c r="M472" s="11"/>
      <c r="N472" s="11"/>
      <c r="O472" s="11"/>
      <c r="P472" s="11"/>
      <c r="Q472" s="11"/>
      <c r="R472" s="11"/>
    </row>
    <row r="473" spans="1:18">
      <c r="A473" s="10"/>
      <c r="B473" s="10"/>
      <c r="C473" s="11"/>
      <c r="D473" s="10"/>
      <c r="E473" s="11"/>
      <c r="F473" s="11"/>
      <c r="G473" s="11"/>
      <c r="H473" s="11"/>
      <c r="I473" s="11"/>
      <c r="J473" s="11"/>
      <c r="K473" s="12"/>
      <c r="L473" s="12"/>
      <c r="M473" s="11"/>
      <c r="N473" s="11"/>
      <c r="O473" s="11"/>
      <c r="P473" s="11"/>
      <c r="Q473" s="11"/>
      <c r="R473" s="11"/>
    </row>
    <row r="474" spans="1:18">
      <c r="A474" s="10"/>
      <c r="B474" s="10"/>
      <c r="C474" s="11"/>
      <c r="D474" s="10"/>
      <c r="E474" s="11"/>
      <c r="F474" s="11"/>
      <c r="G474" s="11"/>
      <c r="H474" s="11"/>
      <c r="I474" s="11"/>
      <c r="J474" s="11"/>
      <c r="K474" s="12"/>
      <c r="L474" s="12"/>
      <c r="M474" s="11"/>
      <c r="N474" s="11"/>
      <c r="O474" s="11"/>
      <c r="P474" s="11"/>
      <c r="Q474" s="11"/>
      <c r="R474" s="11"/>
    </row>
    <row r="475" spans="1:18">
      <c r="A475" s="10"/>
      <c r="B475" s="10"/>
      <c r="C475" s="11"/>
      <c r="D475" s="10"/>
      <c r="E475" s="11"/>
      <c r="F475" s="11"/>
      <c r="G475" s="11"/>
      <c r="H475" s="11"/>
      <c r="I475" s="11"/>
      <c r="J475" s="11"/>
      <c r="K475" s="12"/>
      <c r="L475" s="12"/>
      <c r="M475" s="11"/>
      <c r="N475" s="11"/>
      <c r="O475" s="11"/>
      <c r="P475" s="11"/>
      <c r="Q475" s="11"/>
      <c r="R475" s="11"/>
    </row>
    <row r="476" spans="1:18">
      <c r="A476" s="10"/>
      <c r="B476" s="10"/>
      <c r="C476" s="11"/>
      <c r="D476" s="10"/>
      <c r="E476" s="11"/>
      <c r="F476" s="11"/>
      <c r="G476" s="11"/>
      <c r="H476" s="11"/>
      <c r="I476" s="11"/>
      <c r="J476" s="11"/>
      <c r="K476" s="12"/>
      <c r="L476" s="12"/>
      <c r="M476" s="11"/>
      <c r="N476" s="11"/>
      <c r="O476" s="11"/>
      <c r="P476" s="11"/>
      <c r="Q476" s="11"/>
      <c r="R476" s="11"/>
    </row>
    <row r="477" spans="1:18">
      <c r="A477" s="10"/>
      <c r="B477" s="10"/>
      <c r="C477" s="11"/>
      <c r="D477" s="10"/>
      <c r="E477" s="11"/>
      <c r="F477" s="11"/>
      <c r="G477" s="11"/>
      <c r="H477" s="11"/>
      <c r="I477" s="11"/>
      <c r="J477" s="11"/>
      <c r="K477" s="12"/>
      <c r="L477" s="12"/>
      <c r="M477" s="11"/>
      <c r="N477" s="11"/>
      <c r="O477" s="11"/>
      <c r="P477" s="11"/>
      <c r="Q477" s="11"/>
      <c r="R477" s="11"/>
    </row>
    <row r="478" spans="1:18">
      <c r="A478" s="10"/>
      <c r="B478" s="10"/>
      <c r="C478" s="11"/>
      <c r="D478" s="10"/>
      <c r="E478" s="11"/>
      <c r="F478" s="11"/>
      <c r="G478" s="11"/>
      <c r="H478" s="11"/>
      <c r="I478" s="11"/>
      <c r="J478" s="11"/>
      <c r="K478" s="12"/>
      <c r="L478" s="12"/>
      <c r="M478" s="11"/>
      <c r="N478" s="11"/>
      <c r="O478" s="11"/>
      <c r="P478" s="11"/>
      <c r="Q478" s="11"/>
      <c r="R478" s="11"/>
    </row>
    <row r="479" spans="1:18">
      <c r="A479" s="10"/>
      <c r="B479" s="10"/>
      <c r="C479" s="11"/>
      <c r="D479" s="10"/>
      <c r="E479" s="11"/>
      <c r="F479" s="11"/>
      <c r="G479" s="11"/>
      <c r="H479" s="11"/>
      <c r="I479" s="11"/>
      <c r="J479" s="11"/>
      <c r="K479" s="12"/>
      <c r="L479" s="12"/>
      <c r="M479" s="11"/>
      <c r="N479" s="11"/>
      <c r="O479" s="11"/>
      <c r="P479" s="11"/>
      <c r="Q479" s="11"/>
      <c r="R479" s="11"/>
    </row>
    <row r="480" spans="1:18">
      <c r="A480" s="10"/>
      <c r="B480" s="10"/>
      <c r="C480" s="11"/>
      <c r="D480" s="10"/>
      <c r="E480" s="11"/>
      <c r="F480" s="11"/>
      <c r="G480" s="11"/>
      <c r="H480" s="11"/>
      <c r="I480" s="11"/>
      <c r="J480" s="11"/>
      <c r="K480" s="12"/>
      <c r="L480" s="12"/>
      <c r="M480" s="11"/>
      <c r="N480" s="11"/>
      <c r="O480" s="11"/>
      <c r="P480" s="11"/>
      <c r="Q480" s="11"/>
      <c r="R480" s="11"/>
    </row>
    <row r="481" spans="1:18">
      <c r="A481" s="10"/>
      <c r="B481" s="10"/>
      <c r="C481" s="11"/>
      <c r="D481" s="10"/>
      <c r="E481" s="11"/>
      <c r="F481" s="11"/>
      <c r="G481" s="11"/>
      <c r="H481" s="11"/>
      <c r="I481" s="11"/>
      <c r="J481" s="11"/>
      <c r="K481" s="12"/>
      <c r="L481" s="12"/>
      <c r="M481" s="11"/>
      <c r="N481" s="11"/>
      <c r="O481" s="11"/>
      <c r="P481" s="11"/>
      <c r="Q481" s="11"/>
      <c r="R481" s="11"/>
    </row>
    <row r="482" spans="1:18">
      <c r="A482" s="10"/>
      <c r="B482" s="10"/>
      <c r="C482" s="11"/>
      <c r="D482" s="10"/>
      <c r="E482" s="11"/>
      <c r="F482" s="11"/>
      <c r="G482" s="11"/>
      <c r="H482" s="11"/>
      <c r="I482" s="11"/>
      <c r="J482" s="11"/>
      <c r="K482" s="12"/>
      <c r="L482" s="12"/>
      <c r="M482" s="11"/>
      <c r="N482" s="11"/>
      <c r="O482" s="11"/>
      <c r="P482" s="11"/>
      <c r="Q482" s="11"/>
      <c r="R482" s="11"/>
    </row>
    <row r="483" spans="1:18">
      <c r="A483" s="10"/>
      <c r="B483" s="10"/>
      <c r="C483" s="11"/>
      <c r="D483" s="10"/>
      <c r="E483" s="11"/>
      <c r="F483" s="11"/>
      <c r="G483" s="11"/>
      <c r="H483" s="11"/>
      <c r="I483" s="11"/>
      <c r="J483" s="11"/>
      <c r="K483" s="12"/>
      <c r="L483" s="12"/>
      <c r="M483" s="11"/>
      <c r="N483" s="11"/>
      <c r="O483" s="11"/>
      <c r="P483" s="11"/>
      <c r="Q483" s="11"/>
      <c r="R483" s="11"/>
    </row>
    <row r="484" spans="1:18">
      <c r="A484" s="10"/>
      <c r="B484" s="10"/>
      <c r="C484" s="11"/>
      <c r="D484" s="10"/>
      <c r="E484" s="11"/>
      <c r="F484" s="11"/>
      <c r="G484" s="11"/>
      <c r="H484" s="11"/>
      <c r="I484" s="11"/>
      <c r="J484" s="11"/>
      <c r="K484" s="12"/>
      <c r="L484" s="12"/>
      <c r="M484" s="11"/>
      <c r="N484" s="11"/>
      <c r="O484" s="11"/>
      <c r="P484" s="11"/>
      <c r="Q484" s="11"/>
      <c r="R484" s="11"/>
    </row>
    <row r="485" spans="1:18">
      <c r="A485" s="10"/>
      <c r="B485" s="10"/>
      <c r="C485" s="11"/>
      <c r="D485" s="10"/>
      <c r="E485" s="11"/>
      <c r="F485" s="11"/>
      <c r="G485" s="11"/>
      <c r="H485" s="11"/>
      <c r="I485" s="11"/>
      <c r="J485" s="11"/>
      <c r="K485" s="12"/>
      <c r="L485" s="12"/>
      <c r="M485" s="11"/>
      <c r="N485" s="11"/>
      <c r="O485" s="11"/>
      <c r="P485" s="11"/>
      <c r="Q485" s="11"/>
      <c r="R485" s="11"/>
    </row>
    <row r="486" spans="1:18">
      <c r="A486" s="10"/>
      <c r="B486" s="10"/>
      <c r="C486" s="11"/>
      <c r="D486" s="10"/>
      <c r="E486" s="11"/>
      <c r="F486" s="11"/>
      <c r="G486" s="11"/>
      <c r="H486" s="11"/>
      <c r="I486" s="11"/>
      <c r="J486" s="11"/>
      <c r="K486" s="12"/>
      <c r="L486" s="12"/>
      <c r="M486" s="11"/>
      <c r="N486" s="11"/>
      <c r="O486" s="11"/>
      <c r="P486" s="11"/>
      <c r="Q486" s="11"/>
      <c r="R486" s="11"/>
    </row>
    <row r="487" spans="1:18">
      <c r="A487" s="10"/>
      <c r="B487" s="10"/>
      <c r="C487" s="11"/>
      <c r="D487" s="10"/>
      <c r="E487" s="11"/>
      <c r="F487" s="11"/>
      <c r="G487" s="11"/>
      <c r="H487" s="11"/>
      <c r="I487" s="11"/>
      <c r="J487" s="11"/>
      <c r="K487" s="12"/>
      <c r="L487" s="12"/>
      <c r="M487" s="11"/>
      <c r="N487" s="11"/>
      <c r="O487" s="11"/>
      <c r="P487" s="11"/>
      <c r="Q487" s="11"/>
      <c r="R487" s="11"/>
    </row>
    <row r="488" spans="1:18">
      <c r="A488" s="10"/>
      <c r="B488" s="10"/>
      <c r="C488" s="11"/>
      <c r="D488" s="10"/>
      <c r="E488" s="11"/>
      <c r="F488" s="11"/>
      <c r="G488" s="11"/>
      <c r="H488" s="11"/>
      <c r="I488" s="11"/>
      <c r="J488" s="11"/>
      <c r="K488" s="12"/>
      <c r="L488" s="12"/>
      <c r="M488" s="11"/>
      <c r="N488" s="11"/>
      <c r="O488" s="11"/>
      <c r="P488" s="11"/>
      <c r="Q488" s="11"/>
      <c r="R488" s="11"/>
    </row>
    <row r="489" spans="1:18">
      <c r="A489" s="10"/>
      <c r="B489" s="10"/>
      <c r="C489" s="11"/>
      <c r="D489" s="10"/>
      <c r="E489" s="11"/>
      <c r="F489" s="11"/>
      <c r="G489" s="11"/>
      <c r="H489" s="11"/>
      <c r="I489" s="11"/>
      <c r="J489" s="11"/>
      <c r="K489" s="12"/>
      <c r="L489" s="12"/>
      <c r="M489" s="11"/>
      <c r="N489" s="11"/>
      <c r="O489" s="11"/>
      <c r="P489" s="11"/>
      <c r="Q489" s="11"/>
      <c r="R489" s="11"/>
    </row>
    <row r="490" spans="1:18">
      <c r="A490" s="10"/>
      <c r="B490" s="10"/>
      <c r="C490" s="11"/>
      <c r="D490" s="10"/>
      <c r="E490" s="11"/>
      <c r="F490" s="11"/>
      <c r="G490" s="11"/>
      <c r="H490" s="11"/>
      <c r="I490" s="11"/>
      <c r="J490" s="11"/>
      <c r="K490" s="12"/>
      <c r="L490" s="12"/>
      <c r="M490" s="11"/>
      <c r="N490" s="11"/>
      <c r="O490" s="11"/>
      <c r="P490" s="11"/>
      <c r="Q490" s="11"/>
      <c r="R490" s="11"/>
    </row>
    <row r="491" spans="1:18">
      <c r="A491" s="10"/>
      <c r="B491" s="10"/>
      <c r="C491" s="11"/>
      <c r="D491" s="10"/>
      <c r="E491" s="11"/>
      <c r="F491" s="11"/>
      <c r="G491" s="11"/>
      <c r="H491" s="11"/>
      <c r="I491" s="11"/>
      <c r="J491" s="11"/>
      <c r="K491" s="12"/>
      <c r="L491" s="12"/>
      <c r="M491" s="11"/>
      <c r="N491" s="11"/>
      <c r="O491" s="11"/>
      <c r="P491" s="11"/>
      <c r="Q491" s="11"/>
      <c r="R491" s="11"/>
    </row>
    <row r="492" spans="1:18">
      <c r="A492" s="10"/>
      <c r="B492" s="10"/>
      <c r="C492" s="11"/>
      <c r="D492" s="10"/>
      <c r="E492" s="11"/>
      <c r="F492" s="11"/>
      <c r="G492" s="11"/>
      <c r="H492" s="11"/>
      <c r="I492" s="11"/>
      <c r="J492" s="11"/>
      <c r="K492" s="12"/>
      <c r="L492" s="12"/>
      <c r="M492" s="11"/>
      <c r="N492" s="11"/>
      <c r="O492" s="11"/>
      <c r="P492" s="11"/>
      <c r="Q492" s="11"/>
      <c r="R492" s="11"/>
    </row>
    <row r="493" spans="1:18">
      <c r="A493" s="10"/>
      <c r="B493" s="10"/>
      <c r="C493" s="11"/>
      <c r="D493" s="10"/>
      <c r="E493" s="11"/>
      <c r="F493" s="11"/>
      <c r="G493" s="11"/>
      <c r="H493" s="11"/>
      <c r="I493" s="11"/>
      <c r="J493" s="11"/>
      <c r="K493" s="12"/>
      <c r="L493" s="12"/>
      <c r="M493" s="11"/>
      <c r="N493" s="11"/>
      <c r="O493" s="11"/>
      <c r="P493" s="11"/>
      <c r="Q493" s="11"/>
      <c r="R493" s="11"/>
    </row>
    <row r="494" spans="1:18">
      <c r="A494" s="10"/>
      <c r="B494" s="10"/>
      <c r="C494" s="11"/>
      <c r="D494" s="10"/>
      <c r="E494" s="11"/>
      <c r="F494" s="11"/>
      <c r="G494" s="11"/>
      <c r="H494" s="11"/>
      <c r="I494" s="11"/>
      <c r="J494" s="11"/>
      <c r="K494" s="12"/>
      <c r="L494" s="12"/>
      <c r="M494" s="11"/>
      <c r="N494" s="11"/>
      <c r="O494" s="11"/>
      <c r="P494" s="11"/>
      <c r="Q494" s="11"/>
      <c r="R494" s="11"/>
    </row>
    <row r="495" spans="1:18">
      <c r="A495" s="10"/>
      <c r="B495" s="10"/>
      <c r="C495" s="11"/>
      <c r="D495" s="10"/>
      <c r="E495" s="11"/>
      <c r="F495" s="11"/>
      <c r="G495" s="11"/>
      <c r="H495" s="11"/>
      <c r="I495" s="11"/>
      <c r="J495" s="11"/>
      <c r="K495" s="12"/>
      <c r="L495" s="12"/>
      <c r="M495" s="11"/>
      <c r="N495" s="11"/>
      <c r="O495" s="11"/>
      <c r="P495" s="11"/>
      <c r="Q495" s="11"/>
      <c r="R495" s="11"/>
    </row>
    <row r="496" spans="1:18">
      <c r="A496" s="10"/>
      <c r="B496" s="10"/>
      <c r="C496" s="11"/>
      <c r="D496" s="10"/>
      <c r="E496" s="11"/>
      <c r="F496" s="11"/>
      <c r="G496" s="11"/>
      <c r="H496" s="11"/>
      <c r="I496" s="11"/>
      <c r="J496" s="11"/>
      <c r="K496" s="12"/>
      <c r="L496" s="12"/>
      <c r="M496" s="11"/>
      <c r="N496" s="11"/>
      <c r="O496" s="11"/>
      <c r="P496" s="11"/>
      <c r="Q496" s="11"/>
      <c r="R496" s="11"/>
    </row>
    <row r="497" spans="1:18">
      <c r="A497" s="10"/>
      <c r="B497" s="10"/>
      <c r="C497" s="11"/>
      <c r="D497" s="10"/>
      <c r="E497" s="11"/>
      <c r="F497" s="11"/>
      <c r="G497" s="11"/>
      <c r="H497" s="11"/>
      <c r="I497" s="11"/>
      <c r="J497" s="11"/>
      <c r="K497" s="12"/>
      <c r="L497" s="12"/>
      <c r="M497" s="11"/>
      <c r="N497" s="11"/>
      <c r="O497" s="11"/>
      <c r="P497" s="11"/>
      <c r="Q497" s="11"/>
      <c r="R497" s="11"/>
    </row>
    <row r="498" spans="1:18">
      <c r="A498" s="10"/>
      <c r="B498" s="10"/>
      <c r="C498" s="11"/>
      <c r="D498" s="10"/>
      <c r="E498" s="11"/>
      <c r="F498" s="11"/>
      <c r="G498" s="11"/>
      <c r="H498" s="11"/>
      <c r="I498" s="11"/>
      <c r="J498" s="11"/>
      <c r="K498" s="12"/>
      <c r="L498" s="12"/>
      <c r="M498" s="11"/>
      <c r="N498" s="11"/>
      <c r="O498" s="11"/>
      <c r="P498" s="11"/>
      <c r="Q498" s="11"/>
      <c r="R498" s="11"/>
    </row>
    <row r="499" spans="1:18">
      <c r="A499" s="10"/>
      <c r="B499" s="10"/>
      <c r="C499" s="11"/>
      <c r="D499" s="10"/>
      <c r="E499" s="11"/>
      <c r="F499" s="11"/>
      <c r="G499" s="11"/>
      <c r="H499" s="11"/>
      <c r="I499" s="11"/>
      <c r="J499" s="11"/>
      <c r="K499" s="12"/>
      <c r="L499" s="12"/>
      <c r="M499" s="11"/>
      <c r="N499" s="11"/>
      <c r="O499" s="11"/>
      <c r="P499" s="11"/>
      <c r="Q499" s="11"/>
      <c r="R499" s="11"/>
    </row>
    <row r="500" spans="1:18">
      <c r="A500" s="10"/>
      <c r="B500" s="10"/>
      <c r="C500" s="11"/>
      <c r="D500" s="10"/>
      <c r="E500" s="11"/>
      <c r="F500" s="11"/>
      <c r="G500" s="11"/>
      <c r="H500" s="11"/>
      <c r="I500" s="11"/>
      <c r="J500" s="11"/>
      <c r="K500" s="12"/>
      <c r="L500" s="12"/>
      <c r="M500" s="11"/>
      <c r="N500" s="11"/>
      <c r="O500" s="11"/>
      <c r="P500" s="11"/>
      <c r="Q500" s="11"/>
      <c r="R500" s="11"/>
    </row>
    <row r="501" spans="1:18">
      <c r="A501" s="10"/>
      <c r="B501" s="10"/>
      <c r="C501" s="11"/>
      <c r="D501" s="10"/>
      <c r="E501" s="11"/>
      <c r="F501" s="11"/>
      <c r="G501" s="11"/>
      <c r="H501" s="11"/>
      <c r="I501" s="11"/>
      <c r="J501" s="11"/>
      <c r="K501" s="12"/>
      <c r="L501" s="12"/>
      <c r="M501" s="11"/>
      <c r="N501" s="11"/>
      <c r="O501" s="11"/>
      <c r="P501" s="11"/>
      <c r="Q501" s="11"/>
      <c r="R501" s="11"/>
    </row>
    <row r="502" spans="1:18">
      <c r="A502" s="10"/>
      <c r="B502" s="10"/>
      <c r="C502" s="11"/>
      <c r="D502" s="10"/>
      <c r="E502" s="11"/>
      <c r="F502" s="11"/>
      <c r="G502" s="11"/>
      <c r="H502" s="11"/>
      <c r="I502" s="11"/>
      <c r="J502" s="11"/>
      <c r="K502" s="12"/>
      <c r="L502" s="12"/>
      <c r="M502" s="11"/>
      <c r="N502" s="11"/>
      <c r="O502" s="11"/>
      <c r="P502" s="11"/>
      <c r="Q502" s="11"/>
      <c r="R502" s="11"/>
    </row>
    <row r="503" spans="1:18">
      <c r="A503" s="10"/>
      <c r="B503" s="10"/>
      <c r="C503" s="11"/>
      <c r="D503" s="10"/>
      <c r="E503" s="11"/>
      <c r="F503" s="11"/>
      <c r="G503" s="11"/>
      <c r="H503" s="11"/>
      <c r="I503" s="11"/>
      <c r="J503" s="11"/>
      <c r="K503" s="12"/>
      <c r="L503" s="12"/>
      <c r="M503" s="11"/>
      <c r="N503" s="11"/>
      <c r="O503" s="11"/>
      <c r="P503" s="11"/>
      <c r="Q503" s="11"/>
      <c r="R503" s="11"/>
    </row>
    <row r="504" spans="1:18">
      <c r="A504" s="10"/>
      <c r="B504" s="10"/>
      <c r="C504" s="11"/>
      <c r="D504" s="10"/>
      <c r="E504" s="11"/>
      <c r="F504" s="11"/>
      <c r="G504" s="11"/>
      <c r="H504" s="11"/>
      <c r="I504" s="11"/>
      <c r="J504" s="11"/>
      <c r="K504" s="12"/>
      <c r="L504" s="12"/>
      <c r="M504" s="11"/>
      <c r="N504" s="11"/>
      <c r="O504" s="11"/>
      <c r="P504" s="11"/>
      <c r="Q504" s="11"/>
      <c r="R504" s="11"/>
    </row>
    <row r="505" spans="1:18">
      <c r="A505" s="10"/>
      <c r="B505" s="10"/>
      <c r="C505" s="11"/>
      <c r="D505" s="10"/>
      <c r="E505" s="11"/>
      <c r="F505" s="11"/>
      <c r="G505" s="11"/>
      <c r="H505" s="11"/>
      <c r="I505" s="11"/>
      <c r="J505" s="11"/>
      <c r="K505" s="12"/>
      <c r="L505" s="12"/>
      <c r="M505" s="11"/>
      <c r="N505" s="11"/>
      <c r="O505" s="11"/>
      <c r="P505" s="11"/>
      <c r="Q505" s="11"/>
      <c r="R505" s="11"/>
    </row>
    <row r="506" spans="1:18">
      <c r="A506" s="10"/>
      <c r="B506" s="10"/>
      <c r="C506" s="11"/>
      <c r="D506" s="10"/>
      <c r="E506" s="11"/>
      <c r="F506" s="11"/>
      <c r="G506" s="11"/>
      <c r="H506" s="11"/>
      <c r="I506" s="11"/>
      <c r="J506" s="11"/>
      <c r="K506" s="12"/>
      <c r="L506" s="12"/>
      <c r="M506" s="11"/>
      <c r="N506" s="11"/>
      <c r="O506" s="11"/>
      <c r="P506" s="11"/>
      <c r="Q506" s="11"/>
      <c r="R506" s="11"/>
    </row>
    <row r="507" spans="1:18">
      <c r="A507" s="10"/>
      <c r="B507" s="10"/>
      <c r="C507" s="11"/>
      <c r="D507" s="10"/>
      <c r="E507" s="11"/>
      <c r="F507" s="11"/>
      <c r="G507" s="11"/>
      <c r="H507" s="11"/>
      <c r="I507" s="11"/>
      <c r="J507" s="11"/>
      <c r="K507" s="12"/>
      <c r="L507" s="12"/>
      <c r="M507" s="11"/>
      <c r="N507" s="11"/>
      <c r="O507" s="11"/>
      <c r="P507" s="11"/>
      <c r="Q507" s="11"/>
      <c r="R507" s="11"/>
    </row>
    <row r="508" spans="1:18">
      <c r="A508" s="10"/>
      <c r="B508" s="10"/>
      <c r="C508" s="11"/>
      <c r="D508" s="10"/>
      <c r="E508" s="11"/>
      <c r="F508" s="11"/>
      <c r="G508" s="11"/>
      <c r="H508" s="11"/>
      <c r="I508" s="11"/>
      <c r="J508" s="11"/>
      <c r="K508" s="12"/>
      <c r="L508" s="12"/>
      <c r="M508" s="11"/>
      <c r="N508" s="11"/>
      <c r="O508" s="11"/>
      <c r="P508" s="11"/>
      <c r="Q508" s="11"/>
      <c r="R508" s="11"/>
    </row>
    <row r="509" spans="1:18">
      <c r="A509" s="10"/>
      <c r="B509" s="10"/>
      <c r="C509" s="11"/>
      <c r="D509" s="10"/>
      <c r="E509" s="11"/>
      <c r="F509" s="11"/>
      <c r="G509" s="11"/>
      <c r="H509" s="11"/>
      <c r="I509" s="11"/>
      <c r="J509" s="11"/>
      <c r="K509" s="12"/>
      <c r="L509" s="12"/>
      <c r="M509" s="11"/>
      <c r="N509" s="11"/>
      <c r="O509" s="11"/>
      <c r="P509" s="11"/>
      <c r="Q509" s="11"/>
      <c r="R509" s="11"/>
    </row>
    <row r="510" spans="1:18">
      <c r="A510" s="10"/>
      <c r="B510" s="10"/>
      <c r="C510" s="11"/>
      <c r="D510" s="10"/>
      <c r="E510" s="11"/>
      <c r="F510" s="11"/>
      <c r="G510" s="11"/>
      <c r="H510" s="11"/>
      <c r="I510" s="11"/>
      <c r="J510" s="11"/>
      <c r="K510" s="12"/>
      <c r="L510" s="12"/>
      <c r="M510" s="11"/>
      <c r="N510" s="11"/>
      <c r="O510" s="11"/>
      <c r="P510" s="11"/>
      <c r="Q510" s="11"/>
      <c r="R510" s="11"/>
    </row>
    <row r="511" spans="1:18">
      <c r="A511" s="10"/>
      <c r="B511" s="10"/>
      <c r="C511" s="11"/>
      <c r="D511" s="10"/>
      <c r="E511" s="11"/>
      <c r="F511" s="11"/>
      <c r="G511" s="11"/>
      <c r="H511" s="11"/>
      <c r="I511" s="11"/>
      <c r="J511" s="11"/>
      <c r="K511" s="12"/>
      <c r="L511" s="12"/>
      <c r="M511" s="11"/>
      <c r="N511" s="11"/>
      <c r="O511" s="11"/>
      <c r="P511" s="11"/>
      <c r="Q511" s="11"/>
      <c r="R511" s="11"/>
    </row>
    <row r="512" spans="1:18">
      <c r="A512" s="10"/>
      <c r="B512" s="10"/>
      <c r="C512" s="11"/>
      <c r="D512" s="10"/>
      <c r="E512" s="11"/>
      <c r="F512" s="11"/>
      <c r="G512" s="11"/>
      <c r="H512" s="11"/>
      <c r="I512" s="11"/>
      <c r="J512" s="11"/>
      <c r="K512" s="12"/>
      <c r="L512" s="12"/>
      <c r="M512" s="11"/>
      <c r="N512" s="11"/>
      <c r="O512" s="11"/>
      <c r="P512" s="11"/>
      <c r="Q512" s="11"/>
      <c r="R512" s="11"/>
    </row>
    <row r="513" spans="1:18">
      <c r="A513" s="10"/>
      <c r="B513" s="10"/>
      <c r="C513" s="11"/>
      <c r="D513" s="10"/>
      <c r="E513" s="11"/>
      <c r="F513" s="11"/>
      <c r="G513" s="11"/>
      <c r="H513" s="11"/>
      <c r="I513" s="11"/>
      <c r="J513" s="11"/>
      <c r="K513" s="12"/>
      <c r="L513" s="12"/>
      <c r="M513" s="11"/>
      <c r="N513" s="11"/>
      <c r="O513" s="11"/>
      <c r="P513" s="11"/>
      <c r="Q513" s="11"/>
      <c r="R513" s="11"/>
    </row>
    <row r="514" spans="1:18">
      <c r="A514" s="10"/>
      <c r="B514" s="10"/>
      <c r="C514" s="11"/>
      <c r="D514" s="10"/>
      <c r="E514" s="11"/>
      <c r="F514" s="11"/>
      <c r="G514" s="11"/>
      <c r="H514" s="11"/>
      <c r="I514" s="11"/>
      <c r="J514" s="11"/>
      <c r="K514" s="12"/>
      <c r="L514" s="12"/>
      <c r="M514" s="11"/>
      <c r="N514" s="11"/>
      <c r="O514" s="11"/>
      <c r="P514" s="11"/>
      <c r="Q514" s="11"/>
      <c r="R514" s="11"/>
    </row>
    <row r="515" spans="1:18">
      <c r="A515" s="10"/>
      <c r="B515" s="10"/>
      <c r="C515" s="11"/>
      <c r="D515" s="10"/>
      <c r="E515" s="11"/>
      <c r="F515" s="11"/>
      <c r="G515" s="11"/>
      <c r="H515" s="11"/>
      <c r="I515" s="11"/>
      <c r="J515" s="11"/>
      <c r="K515" s="12"/>
      <c r="L515" s="12"/>
      <c r="M515" s="11"/>
      <c r="N515" s="11"/>
      <c r="O515" s="11"/>
      <c r="P515" s="11"/>
      <c r="Q515" s="11"/>
      <c r="R515" s="11"/>
    </row>
    <row r="516" spans="1:18">
      <c r="A516" s="10"/>
      <c r="B516" s="10"/>
      <c r="C516" s="11"/>
      <c r="D516" s="10"/>
      <c r="E516" s="11"/>
      <c r="F516" s="11"/>
      <c r="G516" s="11"/>
      <c r="H516" s="11"/>
      <c r="I516" s="11"/>
      <c r="J516" s="11"/>
      <c r="K516" s="12"/>
      <c r="L516" s="12"/>
      <c r="M516" s="11"/>
      <c r="N516" s="11"/>
      <c r="O516" s="11"/>
      <c r="P516" s="11"/>
      <c r="Q516" s="11"/>
      <c r="R516" s="11"/>
    </row>
    <row r="517" spans="1:18">
      <c r="A517" s="10"/>
      <c r="B517" s="10"/>
      <c r="C517" s="11"/>
      <c r="D517" s="10"/>
      <c r="E517" s="11"/>
      <c r="F517" s="11"/>
      <c r="G517" s="11"/>
      <c r="H517" s="11"/>
      <c r="I517" s="11"/>
      <c r="J517" s="11"/>
      <c r="K517" s="12"/>
      <c r="L517" s="12"/>
      <c r="M517" s="11"/>
      <c r="N517" s="11"/>
      <c r="O517" s="11"/>
      <c r="P517" s="11"/>
      <c r="Q517" s="11"/>
      <c r="R517" s="11"/>
    </row>
    <row r="518" spans="1:18">
      <c r="A518" s="10"/>
      <c r="B518" s="10"/>
      <c r="C518" s="11"/>
      <c r="D518" s="10"/>
      <c r="E518" s="11"/>
      <c r="F518" s="11"/>
      <c r="G518" s="11"/>
      <c r="H518" s="11"/>
      <c r="I518" s="11"/>
      <c r="J518" s="11"/>
      <c r="K518" s="12"/>
      <c r="L518" s="12"/>
      <c r="M518" s="11"/>
      <c r="N518" s="11"/>
      <c r="O518" s="11"/>
      <c r="P518" s="11"/>
      <c r="Q518" s="11"/>
      <c r="R518" s="11"/>
    </row>
    <row r="519" spans="1:18">
      <c r="A519" s="10"/>
      <c r="B519" s="10"/>
      <c r="C519" s="11"/>
      <c r="D519" s="10"/>
      <c r="E519" s="11"/>
      <c r="F519" s="11"/>
      <c r="G519" s="11"/>
      <c r="H519" s="11"/>
      <c r="I519" s="11"/>
      <c r="J519" s="11"/>
      <c r="K519" s="12"/>
      <c r="L519" s="12"/>
      <c r="M519" s="11"/>
      <c r="N519" s="11"/>
      <c r="O519" s="11"/>
      <c r="P519" s="11"/>
      <c r="Q519" s="11"/>
      <c r="R519" s="11"/>
    </row>
    <row r="520" spans="1:18">
      <c r="A520" s="10"/>
      <c r="B520" s="10"/>
      <c r="C520" s="11"/>
      <c r="D520" s="10"/>
      <c r="E520" s="11"/>
      <c r="F520" s="11"/>
      <c r="G520" s="11"/>
      <c r="H520" s="11"/>
      <c r="I520" s="11"/>
      <c r="J520" s="11"/>
      <c r="K520" s="12"/>
      <c r="L520" s="12"/>
      <c r="M520" s="11"/>
      <c r="N520" s="11"/>
      <c r="O520" s="11"/>
      <c r="P520" s="11"/>
      <c r="Q520" s="11"/>
      <c r="R520" s="11"/>
    </row>
    <row r="521" spans="1:18">
      <c r="A521" s="10"/>
      <c r="B521" s="10"/>
      <c r="C521" s="11"/>
      <c r="D521" s="10"/>
      <c r="E521" s="11"/>
      <c r="F521" s="11"/>
      <c r="G521" s="11"/>
      <c r="H521" s="11"/>
      <c r="I521" s="11"/>
      <c r="J521" s="11"/>
      <c r="K521" s="12"/>
      <c r="L521" s="12"/>
      <c r="M521" s="11"/>
      <c r="N521" s="11"/>
      <c r="O521" s="11"/>
      <c r="P521" s="11"/>
      <c r="Q521" s="11"/>
      <c r="R521" s="11"/>
    </row>
    <row r="522" spans="1:18">
      <c r="A522" s="10"/>
      <c r="B522" s="10"/>
      <c r="C522" s="11"/>
      <c r="D522" s="10"/>
      <c r="E522" s="11"/>
      <c r="F522" s="11"/>
      <c r="G522" s="11"/>
      <c r="H522" s="11"/>
      <c r="I522" s="11"/>
      <c r="J522" s="11"/>
      <c r="K522" s="12"/>
      <c r="L522" s="12"/>
      <c r="M522" s="11"/>
      <c r="N522" s="11"/>
      <c r="O522" s="11"/>
      <c r="P522" s="11"/>
      <c r="Q522" s="11"/>
      <c r="R522" s="11"/>
    </row>
    <row r="523" spans="1:18">
      <c r="A523" s="10"/>
      <c r="B523" s="10"/>
      <c r="C523" s="11"/>
      <c r="D523" s="10"/>
      <c r="E523" s="11"/>
      <c r="F523" s="11"/>
      <c r="G523" s="11"/>
      <c r="H523" s="11"/>
      <c r="I523" s="11"/>
      <c r="J523" s="11"/>
      <c r="K523" s="12"/>
      <c r="L523" s="12"/>
      <c r="M523" s="11"/>
      <c r="N523" s="11"/>
      <c r="O523" s="11"/>
      <c r="P523" s="11"/>
      <c r="Q523" s="11"/>
      <c r="R523" s="11"/>
    </row>
    <row r="524" spans="1:18">
      <c r="A524" s="10"/>
      <c r="B524" s="10"/>
      <c r="C524" s="11"/>
      <c r="D524" s="10"/>
      <c r="E524" s="11"/>
      <c r="F524" s="11"/>
      <c r="G524" s="11"/>
      <c r="H524" s="11"/>
      <c r="I524" s="11"/>
      <c r="J524" s="11"/>
      <c r="K524" s="12"/>
      <c r="L524" s="12"/>
      <c r="M524" s="11"/>
      <c r="N524" s="11"/>
      <c r="O524" s="11"/>
      <c r="P524" s="11"/>
      <c r="Q524" s="11"/>
      <c r="R524" s="11"/>
    </row>
    <row r="525" spans="1:18">
      <c r="A525" s="10"/>
      <c r="B525" s="10"/>
      <c r="C525" s="11"/>
      <c r="D525" s="10"/>
      <c r="E525" s="11"/>
      <c r="F525" s="11"/>
      <c r="G525" s="11"/>
      <c r="H525" s="11"/>
      <c r="I525" s="11"/>
      <c r="J525" s="11"/>
      <c r="K525" s="12"/>
      <c r="L525" s="12"/>
      <c r="M525" s="11"/>
      <c r="N525" s="11"/>
      <c r="O525" s="11"/>
      <c r="P525" s="11"/>
      <c r="Q525" s="11"/>
      <c r="R525" s="11"/>
    </row>
    <row r="526" spans="1:18">
      <c r="A526" s="10"/>
      <c r="B526" s="10"/>
      <c r="C526" s="11"/>
      <c r="D526" s="10"/>
      <c r="E526" s="11"/>
      <c r="F526" s="11"/>
      <c r="G526" s="11"/>
      <c r="H526" s="11"/>
      <c r="I526" s="11"/>
      <c r="J526" s="11"/>
      <c r="K526" s="12"/>
      <c r="L526" s="12"/>
      <c r="M526" s="11"/>
      <c r="N526" s="11"/>
      <c r="O526" s="11"/>
      <c r="P526" s="11"/>
      <c r="Q526" s="11"/>
      <c r="R526" s="11"/>
    </row>
    <row r="527" spans="1:18">
      <c r="A527" s="10"/>
      <c r="B527" s="10"/>
      <c r="C527" s="11"/>
      <c r="D527" s="10"/>
      <c r="E527" s="11"/>
      <c r="F527" s="11"/>
      <c r="G527" s="11"/>
      <c r="H527" s="11"/>
      <c r="I527" s="11"/>
      <c r="J527" s="11"/>
      <c r="K527" s="12"/>
      <c r="L527" s="12"/>
      <c r="M527" s="11"/>
      <c r="N527" s="11"/>
      <c r="O527" s="11"/>
      <c r="P527" s="11"/>
      <c r="Q527" s="11"/>
      <c r="R527" s="11"/>
    </row>
    <row r="528" spans="1:18">
      <c r="A528" s="10"/>
      <c r="B528" s="10"/>
      <c r="C528" s="11"/>
      <c r="D528" s="10"/>
      <c r="E528" s="11"/>
      <c r="F528" s="11"/>
      <c r="G528" s="11"/>
      <c r="H528" s="11"/>
      <c r="I528" s="11"/>
      <c r="J528" s="11"/>
      <c r="K528" s="12"/>
      <c r="L528" s="12"/>
      <c r="M528" s="11"/>
      <c r="N528" s="11"/>
      <c r="O528" s="11"/>
      <c r="P528" s="11"/>
      <c r="Q528" s="11"/>
      <c r="R528" s="11"/>
    </row>
    <row r="529" spans="1:18">
      <c r="A529" s="10"/>
      <c r="B529" s="10"/>
      <c r="C529" s="11"/>
      <c r="D529" s="10"/>
      <c r="E529" s="11"/>
      <c r="F529" s="11"/>
      <c r="G529" s="11"/>
      <c r="H529" s="11"/>
      <c r="I529" s="11"/>
      <c r="J529" s="11"/>
      <c r="K529" s="12"/>
      <c r="L529" s="12"/>
      <c r="M529" s="11"/>
      <c r="N529" s="11"/>
      <c r="O529" s="11"/>
      <c r="P529" s="11"/>
      <c r="Q529" s="11"/>
      <c r="R529" s="11"/>
    </row>
    <row r="530" spans="1:18">
      <c r="A530" s="10"/>
      <c r="B530" s="10"/>
      <c r="C530" s="11"/>
      <c r="D530" s="10"/>
      <c r="E530" s="11"/>
      <c r="F530" s="11"/>
      <c r="G530" s="11"/>
      <c r="H530" s="11"/>
      <c r="I530" s="11"/>
      <c r="J530" s="11"/>
      <c r="K530" s="12"/>
      <c r="L530" s="12"/>
      <c r="M530" s="11"/>
      <c r="N530" s="11"/>
      <c r="O530" s="11"/>
      <c r="P530" s="11"/>
      <c r="Q530" s="11"/>
      <c r="R530" s="11"/>
    </row>
    <row r="531" spans="1:18">
      <c r="A531" s="10"/>
      <c r="B531" s="10"/>
      <c r="C531" s="11"/>
      <c r="D531" s="10"/>
      <c r="E531" s="11"/>
      <c r="F531" s="11"/>
      <c r="G531" s="11"/>
      <c r="H531" s="11"/>
      <c r="I531" s="11"/>
      <c r="J531" s="11"/>
      <c r="K531" s="12"/>
      <c r="L531" s="12"/>
      <c r="M531" s="11"/>
      <c r="N531" s="11"/>
      <c r="O531" s="11"/>
      <c r="P531" s="11"/>
      <c r="Q531" s="11"/>
      <c r="R531" s="11"/>
    </row>
    <row r="532" spans="1:18">
      <c r="A532" s="10"/>
      <c r="B532" s="10"/>
      <c r="C532" s="11"/>
      <c r="D532" s="10"/>
      <c r="E532" s="11"/>
      <c r="F532" s="11"/>
      <c r="G532" s="11"/>
      <c r="H532" s="11"/>
      <c r="I532" s="11"/>
      <c r="J532" s="11"/>
      <c r="K532" s="12"/>
      <c r="L532" s="12"/>
      <c r="M532" s="11"/>
      <c r="N532" s="11"/>
      <c r="O532" s="11"/>
      <c r="P532" s="11"/>
      <c r="Q532" s="11"/>
      <c r="R532" s="11"/>
    </row>
    <row r="533" spans="1:18">
      <c r="A533" s="10"/>
      <c r="B533" s="10"/>
      <c r="C533" s="11"/>
      <c r="D533" s="10"/>
      <c r="E533" s="11"/>
      <c r="F533" s="11"/>
      <c r="G533" s="11"/>
      <c r="H533" s="11"/>
      <c r="I533" s="11"/>
      <c r="J533" s="11"/>
      <c r="K533" s="12"/>
      <c r="L533" s="12"/>
      <c r="M533" s="11"/>
      <c r="N533" s="11"/>
      <c r="O533" s="11"/>
      <c r="P533" s="11"/>
      <c r="Q533" s="11"/>
      <c r="R533" s="11"/>
    </row>
    <row r="534" spans="1:18">
      <c r="A534" s="10"/>
      <c r="B534" s="10"/>
      <c r="C534" s="11"/>
      <c r="D534" s="10"/>
      <c r="E534" s="11"/>
      <c r="F534" s="11"/>
      <c r="G534" s="11"/>
      <c r="H534" s="11"/>
      <c r="I534" s="11"/>
      <c r="J534" s="11"/>
      <c r="K534" s="12"/>
      <c r="L534" s="12"/>
      <c r="M534" s="11"/>
      <c r="N534" s="11"/>
      <c r="O534" s="11"/>
      <c r="P534" s="11"/>
      <c r="Q534" s="11"/>
      <c r="R534" s="11"/>
    </row>
    <row r="535" spans="1:18">
      <c r="A535" s="10"/>
      <c r="B535" s="10"/>
      <c r="C535" s="11"/>
      <c r="D535" s="10"/>
      <c r="E535" s="11"/>
      <c r="F535" s="11"/>
      <c r="G535" s="11"/>
      <c r="H535" s="11"/>
      <c r="I535" s="11"/>
      <c r="J535" s="11"/>
      <c r="K535" s="12"/>
      <c r="L535" s="12"/>
      <c r="M535" s="11"/>
      <c r="N535" s="11"/>
      <c r="O535" s="11"/>
      <c r="P535" s="11"/>
      <c r="Q535" s="11"/>
      <c r="R535" s="11"/>
    </row>
    <row r="536" spans="1:18">
      <c r="A536" s="10"/>
      <c r="B536" s="10"/>
      <c r="C536" s="11"/>
      <c r="D536" s="10"/>
      <c r="E536" s="11"/>
      <c r="F536" s="11"/>
      <c r="G536" s="11"/>
      <c r="H536" s="11"/>
      <c r="I536" s="11"/>
      <c r="J536" s="11"/>
      <c r="K536" s="12"/>
      <c r="L536" s="12"/>
      <c r="M536" s="11"/>
      <c r="N536" s="11"/>
      <c r="O536" s="11"/>
      <c r="P536" s="11"/>
      <c r="Q536" s="11"/>
      <c r="R536" s="11"/>
    </row>
    <row r="537" spans="1:18">
      <c r="A537" s="10"/>
      <c r="B537" s="10"/>
      <c r="C537" s="11"/>
      <c r="D537" s="10"/>
      <c r="E537" s="11"/>
      <c r="F537" s="11"/>
      <c r="G537" s="11"/>
      <c r="H537" s="11"/>
      <c r="I537" s="11"/>
      <c r="J537" s="11"/>
      <c r="K537" s="12"/>
      <c r="L537" s="12"/>
      <c r="M537" s="11"/>
      <c r="N537" s="11"/>
      <c r="O537" s="11"/>
      <c r="P537" s="11"/>
      <c r="Q537" s="11"/>
      <c r="R537" s="11"/>
    </row>
    <row r="538" spans="1:18">
      <c r="A538" s="10"/>
      <c r="B538" s="10"/>
      <c r="C538" s="11"/>
      <c r="D538" s="10"/>
      <c r="E538" s="11"/>
      <c r="F538" s="11"/>
      <c r="G538" s="11"/>
      <c r="H538" s="11"/>
      <c r="I538" s="11"/>
      <c r="J538" s="11"/>
      <c r="K538" s="12"/>
      <c r="L538" s="12"/>
      <c r="M538" s="11"/>
      <c r="N538" s="11"/>
      <c r="O538" s="11"/>
      <c r="P538" s="11"/>
      <c r="Q538" s="11"/>
      <c r="R538" s="11"/>
    </row>
    <row r="539" spans="1:18">
      <c r="A539" s="10"/>
      <c r="B539" s="10"/>
      <c r="C539" s="11"/>
      <c r="D539" s="10"/>
      <c r="E539" s="11"/>
      <c r="F539" s="11"/>
      <c r="G539" s="11"/>
      <c r="H539" s="11"/>
      <c r="I539" s="11"/>
      <c r="J539" s="11"/>
      <c r="K539" s="12"/>
      <c r="L539" s="12"/>
      <c r="M539" s="11"/>
      <c r="N539" s="11"/>
      <c r="O539" s="11"/>
      <c r="P539" s="11"/>
      <c r="Q539" s="11"/>
      <c r="R539" s="11"/>
    </row>
    <row r="540" spans="1:18">
      <c r="A540" s="10"/>
      <c r="B540" s="10"/>
      <c r="C540" s="11"/>
      <c r="D540" s="10"/>
      <c r="E540" s="11"/>
      <c r="F540" s="11"/>
      <c r="G540" s="11"/>
      <c r="H540" s="11"/>
      <c r="I540" s="11"/>
      <c r="J540" s="11"/>
      <c r="K540" s="12"/>
      <c r="L540" s="12"/>
      <c r="M540" s="11"/>
      <c r="N540" s="11"/>
      <c r="O540" s="11"/>
      <c r="P540" s="11"/>
      <c r="Q540" s="11"/>
      <c r="R540" s="11"/>
    </row>
    <row r="541" spans="1:18">
      <c r="A541" s="10"/>
      <c r="B541" s="10"/>
      <c r="C541" s="11"/>
      <c r="D541" s="10"/>
      <c r="E541" s="11"/>
      <c r="F541" s="11"/>
      <c r="G541" s="11"/>
      <c r="H541" s="11"/>
      <c r="I541" s="11"/>
      <c r="J541" s="11"/>
      <c r="K541" s="12"/>
      <c r="L541" s="12"/>
      <c r="M541" s="11"/>
      <c r="N541" s="11"/>
      <c r="O541" s="11"/>
      <c r="P541" s="11"/>
      <c r="Q541" s="11"/>
      <c r="R541" s="11"/>
    </row>
    <row r="542" spans="1:18">
      <c r="A542" s="10"/>
      <c r="B542" s="10"/>
      <c r="C542" s="11"/>
      <c r="D542" s="10"/>
      <c r="E542" s="11"/>
      <c r="F542" s="11"/>
      <c r="G542" s="11"/>
      <c r="H542" s="11"/>
      <c r="I542" s="11"/>
      <c r="J542" s="11"/>
      <c r="K542" s="12"/>
      <c r="L542" s="12"/>
      <c r="M542" s="11"/>
      <c r="N542" s="11"/>
      <c r="O542" s="11"/>
      <c r="P542" s="11"/>
      <c r="Q542" s="11"/>
      <c r="R542" s="11"/>
    </row>
    <row r="543" spans="1:18">
      <c r="A543" s="10"/>
      <c r="B543" s="10"/>
      <c r="C543" s="11"/>
      <c r="D543" s="10"/>
      <c r="E543" s="11"/>
      <c r="F543" s="11"/>
      <c r="G543" s="11"/>
      <c r="H543" s="11"/>
      <c r="I543" s="11"/>
      <c r="J543" s="11"/>
      <c r="K543" s="12"/>
      <c r="L543" s="12"/>
      <c r="M543" s="11"/>
      <c r="N543" s="11"/>
      <c r="O543" s="11"/>
      <c r="P543" s="11"/>
      <c r="Q543" s="11"/>
      <c r="R543" s="11"/>
    </row>
    <row r="544" spans="1:18">
      <c r="A544" s="10"/>
      <c r="B544" s="10"/>
      <c r="C544" s="11"/>
      <c r="D544" s="10"/>
      <c r="E544" s="11"/>
      <c r="F544" s="11"/>
      <c r="G544" s="11"/>
      <c r="H544" s="11"/>
      <c r="I544" s="11"/>
      <c r="J544" s="11"/>
      <c r="K544" s="12"/>
      <c r="L544" s="12"/>
      <c r="M544" s="11"/>
      <c r="N544" s="11"/>
      <c r="O544" s="11"/>
      <c r="P544" s="11"/>
      <c r="Q544" s="11"/>
      <c r="R544" s="11"/>
    </row>
    <row r="545" spans="1:18">
      <c r="A545" s="10"/>
      <c r="B545" s="10"/>
      <c r="C545" s="11"/>
      <c r="D545" s="10"/>
      <c r="E545" s="11"/>
      <c r="F545" s="11"/>
      <c r="G545" s="11"/>
      <c r="H545" s="11"/>
      <c r="I545" s="11"/>
      <c r="J545" s="11"/>
      <c r="K545" s="12"/>
      <c r="L545" s="12"/>
      <c r="M545" s="11"/>
      <c r="N545" s="11"/>
      <c r="O545" s="11"/>
      <c r="P545" s="11"/>
      <c r="Q545" s="11"/>
      <c r="R545" s="11"/>
    </row>
    <row r="546" spans="1:18">
      <c r="A546" s="10"/>
      <c r="B546" s="10"/>
      <c r="C546" s="11"/>
      <c r="D546" s="10"/>
      <c r="E546" s="11"/>
      <c r="F546" s="11"/>
      <c r="G546" s="11"/>
      <c r="H546" s="11"/>
      <c r="I546" s="11"/>
      <c r="J546" s="11"/>
      <c r="K546" s="12"/>
      <c r="L546" s="12"/>
      <c r="M546" s="11"/>
      <c r="N546" s="11"/>
      <c r="O546" s="11"/>
      <c r="P546" s="11"/>
      <c r="Q546" s="11"/>
      <c r="R546" s="11"/>
    </row>
    <row r="547" spans="1:18">
      <c r="A547" s="10"/>
      <c r="B547" s="10"/>
      <c r="C547" s="11"/>
      <c r="D547" s="10"/>
      <c r="E547" s="11"/>
      <c r="F547" s="11"/>
      <c r="G547" s="11"/>
      <c r="H547" s="11"/>
      <c r="I547" s="11"/>
      <c r="J547" s="11"/>
      <c r="K547" s="12"/>
      <c r="L547" s="12"/>
      <c r="M547" s="11"/>
      <c r="N547" s="11"/>
      <c r="O547" s="11"/>
      <c r="P547" s="11"/>
      <c r="Q547" s="11"/>
      <c r="R547" s="11"/>
    </row>
    <row r="548" spans="1:18">
      <c r="A548" s="10"/>
      <c r="B548" s="10"/>
      <c r="C548" s="11"/>
      <c r="D548" s="10"/>
      <c r="E548" s="11"/>
      <c r="F548" s="11"/>
      <c r="G548" s="11"/>
      <c r="H548" s="11"/>
      <c r="I548" s="11"/>
      <c r="J548" s="11"/>
      <c r="K548" s="12"/>
      <c r="L548" s="12"/>
      <c r="M548" s="11"/>
      <c r="N548" s="11"/>
      <c r="O548" s="11"/>
      <c r="P548" s="11"/>
      <c r="Q548" s="11"/>
      <c r="R548" s="11"/>
    </row>
    <row r="549" spans="1:18">
      <c r="A549" s="10"/>
      <c r="B549" s="10"/>
      <c r="C549" s="11"/>
      <c r="D549" s="10"/>
      <c r="E549" s="11"/>
      <c r="F549" s="11"/>
      <c r="G549" s="11"/>
      <c r="H549" s="11"/>
      <c r="I549" s="11"/>
      <c r="J549" s="11"/>
      <c r="K549" s="12"/>
      <c r="L549" s="12"/>
      <c r="M549" s="11"/>
      <c r="N549" s="11"/>
      <c r="O549" s="11"/>
      <c r="P549" s="11"/>
      <c r="Q549" s="11"/>
      <c r="R549" s="11"/>
    </row>
    <row r="550" spans="1:18">
      <c r="A550" s="10"/>
      <c r="B550" s="10"/>
      <c r="C550" s="11"/>
      <c r="D550" s="10"/>
      <c r="E550" s="11"/>
      <c r="F550" s="11"/>
      <c r="G550" s="11"/>
      <c r="H550" s="11"/>
      <c r="I550" s="11"/>
      <c r="J550" s="11"/>
      <c r="K550" s="12"/>
      <c r="L550" s="12"/>
      <c r="M550" s="11"/>
      <c r="N550" s="11"/>
      <c r="O550" s="11"/>
      <c r="P550" s="11"/>
      <c r="Q550" s="11"/>
      <c r="R550" s="11"/>
    </row>
    <row r="551" spans="1:18">
      <c r="A551" s="10"/>
      <c r="B551" s="10"/>
      <c r="C551" s="11"/>
      <c r="D551" s="10"/>
      <c r="E551" s="11"/>
      <c r="F551" s="11"/>
      <c r="G551" s="11"/>
      <c r="H551" s="11"/>
      <c r="I551" s="11"/>
      <c r="J551" s="11"/>
      <c r="K551" s="12"/>
      <c r="L551" s="12"/>
      <c r="M551" s="11"/>
      <c r="N551" s="11"/>
      <c r="O551" s="11"/>
      <c r="P551" s="11"/>
      <c r="Q551" s="11"/>
      <c r="R551" s="11"/>
    </row>
    <row r="552" spans="1:18">
      <c r="A552" s="10"/>
      <c r="B552" s="10"/>
      <c r="C552" s="11"/>
      <c r="D552" s="10"/>
      <c r="E552" s="11"/>
      <c r="F552" s="11"/>
      <c r="G552" s="11"/>
      <c r="H552" s="11"/>
      <c r="I552" s="11"/>
      <c r="J552" s="11"/>
      <c r="K552" s="12"/>
      <c r="L552" s="12"/>
      <c r="M552" s="11"/>
      <c r="N552" s="11"/>
      <c r="O552" s="11"/>
      <c r="P552" s="11"/>
      <c r="Q552" s="11"/>
      <c r="R552" s="11"/>
    </row>
    <row r="553" spans="1:18">
      <c r="A553" s="10"/>
      <c r="B553" s="10"/>
      <c r="C553" s="11"/>
      <c r="D553" s="10"/>
      <c r="E553" s="11"/>
      <c r="F553" s="11"/>
      <c r="G553" s="11"/>
      <c r="H553" s="11"/>
      <c r="I553" s="11"/>
      <c r="J553" s="11"/>
      <c r="K553" s="12"/>
      <c r="L553" s="12"/>
      <c r="M553" s="11"/>
      <c r="N553" s="11"/>
      <c r="O553" s="11"/>
      <c r="P553" s="11"/>
      <c r="Q553" s="11"/>
      <c r="R553" s="11"/>
    </row>
    <row r="554" spans="1:18">
      <c r="A554" s="10"/>
      <c r="B554" s="10"/>
      <c r="C554" s="11"/>
      <c r="D554" s="10"/>
      <c r="E554" s="11"/>
      <c r="F554" s="11"/>
      <c r="G554" s="11"/>
      <c r="H554" s="11"/>
      <c r="I554" s="11"/>
      <c r="J554" s="11"/>
      <c r="K554" s="12"/>
      <c r="L554" s="12"/>
      <c r="M554" s="11"/>
      <c r="N554" s="11"/>
      <c r="O554" s="11"/>
      <c r="P554" s="11"/>
      <c r="Q554" s="11"/>
      <c r="R554" s="11"/>
    </row>
    <row r="555" spans="1:18">
      <c r="A555" s="10"/>
      <c r="B555" s="10"/>
      <c r="C555" s="11"/>
      <c r="D555" s="10"/>
      <c r="E555" s="11"/>
      <c r="F555" s="11"/>
      <c r="G555" s="11"/>
      <c r="H555" s="11"/>
      <c r="I555" s="11"/>
      <c r="J555" s="11"/>
      <c r="K555" s="12"/>
      <c r="L555" s="12"/>
      <c r="M555" s="11"/>
      <c r="N555" s="11"/>
      <c r="O555" s="11"/>
      <c r="P555" s="11"/>
      <c r="Q555" s="11"/>
      <c r="R555" s="11"/>
    </row>
    <row r="556" spans="1:18">
      <c r="A556" s="10"/>
      <c r="B556" s="10"/>
      <c r="C556" s="11"/>
      <c r="D556" s="10"/>
      <c r="E556" s="11"/>
      <c r="F556" s="11"/>
      <c r="G556" s="11"/>
      <c r="H556" s="11"/>
      <c r="I556" s="11"/>
      <c r="J556" s="11"/>
      <c r="K556" s="12"/>
      <c r="L556" s="12"/>
      <c r="M556" s="11"/>
      <c r="N556" s="11"/>
      <c r="O556" s="11"/>
      <c r="P556" s="11"/>
      <c r="Q556" s="11"/>
      <c r="R556" s="11"/>
    </row>
    <row r="557" spans="1:18">
      <c r="A557" s="10"/>
      <c r="B557" s="10"/>
      <c r="C557" s="11"/>
      <c r="D557" s="10"/>
      <c r="E557" s="11"/>
      <c r="F557" s="11"/>
      <c r="G557" s="11"/>
      <c r="H557" s="11"/>
      <c r="I557" s="11"/>
      <c r="J557" s="11"/>
      <c r="K557" s="12"/>
      <c r="L557" s="12"/>
      <c r="M557" s="11"/>
      <c r="N557" s="11"/>
      <c r="O557" s="11"/>
      <c r="P557" s="11"/>
      <c r="Q557" s="11"/>
      <c r="R557" s="11"/>
    </row>
    <row r="558" spans="1:18">
      <c r="A558" s="10"/>
      <c r="B558" s="10"/>
      <c r="C558" s="11"/>
      <c r="D558" s="10"/>
      <c r="E558" s="11"/>
      <c r="F558" s="11"/>
      <c r="G558" s="11"/>
      <c r="H558" s="11"/>
      <c r="I558" s="11"/>
      <c r="J558" s="11"/>
      <c r="K558" s="12"/>
      <c r="L558" s="12"/>
      <c r="M558" s="11"/>
      <c r="N558" s="11"/>
      <c r="O558" s="11"/>
      <c r="P558" s="11"/>
      <c r="Q558" s="11"/>
      <c r="R558" s="11"/>
    </row>
    <row r="559" spans="1:18">
      <c r="A559" s="10"/>
      <c r="B559" s="10"/>
      <c r="C559" s="11"/>
      <c r="D559" s="10"/>
      <c r="E559" s="11"/>
      <c r="F559" s="11"/>
      <c r="G559" s="11"/>
      <c r="H559" s="11"/>
      <c r="I559" s="11"/>
      <c r="J559" s="11"/>
      <c r="K559" s="12"/>
      <c r="L559" s="12"/>
      <c r="M559" s="11"/>
      <c r="N559" s="11"/>
      <c r="O559" s="11"/>
      <c r="P559" s="11"/>
      <c r="Q559" s="11"/>
      <c r="R559" s="11"/>
    </row>
    <row r="560" spans="1:18">
      <c r="A560" s="10"/>
      <c r="B560" s="10"/>
      <c r="C560" s="11"/>
      <c r="D560" s="10"/>
      <c r="E560" s="11"/>
      <c r="F560" s="11"/>
      <c r="G560" s="11"/>
      <c r="H560" s="11"/>
      <c r="I560" s="11"/>
      <c r="J560" s="11"/>
      <c r="K560" s="12"/>
      <c r="L560" s="12"/>
      <c r="M560" s="11"/>
      <c r="N560" s="11"/>
      <c r="O560" s="11"/>
      <c r="P560" s="11"/>
      <c r="Q560" s="11"/>
      <c r="R560" s="11"/>
    </row>
    <row r="561" spans="1:18">
      <c r="A561" s="10"/>
      <c r="B561" s="10"/>
      <c r="C561" s="11"/>
      <c r="D561" s="10"/>
      <c r="E561" s="11"/>
      <c r="F561" s="11"/>
      <c r="G561" s="11"/>
      <c r="H561" s="11"/>
      <c r="I561" s="11"/>
      <c r="J561" s="11"/>
      <c r="K561" s="12"/>
      <c r="L561" s="12"/>
      <c r="M561" s="11"/>
      <c r="N561" s="11"/>
      <c r="O561" s="11"/>
      <c r="P561" s="11"/>
      <c r="Q561" s="11"/>
      <c r="R561" s="11"/>
    </row>
    <row r="562" spans="1:18">
      <c r="A562" s="10"/>
      <c r="B562" s="10"/>
      <c r="C562" s="11"/>
      <c r="D562" s="10"/>
      <c r="E562" s="11"/>
      <c r="F562" s="11"/>
      <c r="G562" s="11"/>
      <c r="H562" s="11"/>
      <c r="I562" s="11"/>
      <c r="J562" s="11"/>
      <c r="K562" s="12"/>
      <c r="L562" s="12"/>
      <c r="M562" s="11"/>
      <c r="N562" s="11"/>
      <c r="O562" s="11"/>
      <c r="P562" s="11"/>
      <c r="Q562" s="11"/>
      <c r="R562" s="11"/>
    </row>
    <row r="563" spans="1:18">
      <c r="A563" s="10"/>
      <c r="B563" s="10"/>
      <c r="C563" s="11"/>
      <c r="D563" s="10"/>
      <c r="E563" s="11"/>
      <c r="F563" s="11"/>
      <c r="G563" s="11"/>
      <c r="H563" s="11"/>
      <c r="I563" s="11"/>
      <c r="J563" s="11"/>
      <c r="K563" s="12"/>
      <c r="L563" s="12"/>
      <c r="M563" s="11"/>
      <c r="N563" s="11"/>
      <c r="O563" s="11"/>
      <c r="P563" s="11"/>
      <c r="Q563" s="11"/>
      <c r="R563" s="11"/>
    </row>
    <row r="564" spans="1:18">
      <c r="A564" s="10"/>
      <c r="B564" s="10"/>
      <c r="C564" s="11"/>
      <c r="D564" s="10"/>
      <c r="E564" s="11"/>
      <c r="F564" s="11"/>
      <c r="G564" s="11"/>
      <c r="H564" s="11"/>
      <c r="I564" s="11"/>
      <c r="J564" s="11"/>
      <c r="K564" s="12"/>
      <c r="L564" s="12"/>
      <c r="M564" s="11"/>
      <c r="N564" s="11"/>
      <c r="O564" s="11"/>
      <c r="P564" s="11"/>
      <c r="Q564" s="11"/>
      <c r="R564" s="11"/>
    </row>
    <row r="565" spans="1:18">
      <c r="A565" s="10"/>
      <c r="B565" s="10"/>
      <c r="C565" s="11"/>
      <c r="D565" s="10"/>
      <c r="E565" s="11"/>
      <c r="F565" s="11"/>
      <c r="G565" s="11"/>
      <c r="H565" s="11"/>
      <c r="I565" s="11"/>
      <c r="J565" s="11"/>
      <c r="K565" s="12"/>
      <c r="L565" s="12"/>
      <c r="M565" s="11"/>
      <c r="N565" s="11"/>
      <c r="O565" s="11"/>
      <c r="P565" s="11"/>
      <c r="Q565" s="11"/>
      <c r="R565" s="11"/>
    </row>
    <row r="566" spans="1:18">
      <c r="A566" s="10"/>
      <c r="B566" s="10"/>
      <c r="C566" s="11"/>
      <c r="D566" s="10"/>
      <c r="E566" s="11"/>
      <c r="F566" s="11"/>
      <c r="G566" s="11"/>
      <c r="H566" s="11"/>
      <c r="I566" s="11"/>
      <c r="J566" s="11"/>
      <c r="K566" s="12"/>
      <c r="L566" s="12"/>
      <c r="M566" s="11"/>
      <c r="N566" s="11"/>
      <c r="O566" s="11"/>
      <c r="P566" s="11"/>
      <c r="Q566" s="11"/>
      <c r="R566" s="11"/>
    </row>
    <row r="567" spans="1:18">
      <c r="A567" s="10"/>
      <c r="B567" s="10"/>
      <c r="C567" s="11"/>
      <c r="D567" s="10"/>
      <c r="E567" s="11"/>
      <c r="F567" s="11"/>
      <c r="G567" s="11"/>
      <c r="H567" s="11"/>
      <c r="I567" s="11"/>
      <c r="J567" s="11"/>
      <c r="K567" s="12"/>
      <c r="L567" s="12"/>
      <c r="M567" s="11"/>
      <c r="N567" s="11"/>
      <c r="O567" s="11"/>
      <c r="P567" s="11"/>
      <c r="Q567" s="11"/>
      <c r="R567" s="11"/>
    </row>
    <row r="568" spans="1:18">
      <c r="A568" s="10"/>
      <c r="B568" s="10"/>
      <c r="C568" s="11"/>
      <c r="D568" s="10"/>
      <c r="E568" s="11"/>
      <c r="F568" s="11"/>
      <c r="G568" s="11"/>
      <c r="H568" s="11"/>
      <c r="I568" s="11"/>
      <c r="J568" s="11"/>
      <c r="K568" s="12"/>
      <c r="L568" s="12"/>
      <c r="M568" s="11"/>
      <c r="N568" s="11"/>
      <c r="O568" s="11"/>
      <c r="P568" s="11"/>
      <c r="Q568" s="11"/>
      <c r="R568" s="11"/>
    </row>
    <row r="569" spans="1:18">
      <c r="A569" s="10"/>
      <c r="B569" s="10"/>
      <c r="C569" s="11"/>
      <c r="D569" s="10"/>
      <c r="E569" s="11"/>
      <c r="F569" s="11"/>
      <c r="G569" s="11"/>
      <c r="H569" s="11"/>
      <c r="I569" s="11"/>
      <c r="J569" s="11"/>
      <c r="K569" s="12"/>
      <c r="L569" s="12"/>
      <c r="M569" s="11"/>
      <c r="N569" s="11"/>
      <c r="O569" s="11"/>
      <c r="P569" s="11"/>
      <c r="Q569" s="11"/>
      <c r="R569" s="11"/>
    </row>
    <row r="570" spans="1:18">
      <c r="A570" s="10"/>
      <c r="B570" s="10"/>
      <c r="C570" s="11"/>
      <c r="D570" s="10"/>
      <c r="E570" s="11"/>
      <c r="F570" s="11"/>
      <c r="G570" s="11"/>
      <c r="H570" s="11"/>
      <c r="I570" s="11"/>
      <c r="J570" s="11"/>
      <c r="K570" s="12"/>
      <c r="L570" s="12"/>
      <c r="M570" s="11"/>
      <c r="N570" s="11"/>
      <c r="O570" s="11"/>
      <c r="P570" s="11"/>
      <c r="Q570" s="11"/>
      <c r="R570" s="11"/>
    </row>
    <row r="571" spans="1:18">
      <c r="A571" s="10"/>
      <c r="B571" s="10"/>
      <c r="C571" s="11"/>
      <c r="D571" s="10"/>
      <c r="E571" s="11"/>
      <c r="F571" s="11"/>
      <c r="G571" s="11"/>
      <c r="H571" s="11"/>
      <c r="I571" s="11"/>
      <c r="J571" s="11"/>
      <c r="K571" s="12"/>
      <c r="L571" s="12"/>
      <c r="M571" s="11"/>
      <c r="N571" s="11"/>
      <c r="O571" s="11"/>
      <c r="P571" s="11"/>
      <c r="Q571" s="11"/>
      <c r="R571" s="11"/>
    </row>
    <row r="572" spans="1:18">
      <c r="A572" s="10"/>
      <c r="B572" s="10"/>
      <c r="C572" s="11"/>
      <c r="D572" s="10"/>
      <c r="E572" s="11"/>
      <c r="F572" s="11"/>
      <c r="G572" s="11"/>
      <c r="H572" s="11"/>
      <c r="I572" s="11"/>
      <c r="J572" s="11"/>
      <c r="K572" s="12"/>
      <c r="L572" s="12"/>
      <c r="M572" s="11"/>
      <c r="N572" s="11"/>
      <c r="O572" s="11"/>
      <c r="P572" s="11"/>
      <c r="Q572" s="11"/>
      <c r="R572" s="11"/>
    </row>
    <row r="573" spans="1:18">
      <c r="A573" s="10"/>
      <c r="B573" s="10"/>
      <c r="C573" s="11"/>
      <c r="D573" s="10"/>
      <c r="E573" s="11"/>
      <c r="F573" s="11"/>
      <c r="G573" s="11"/>
      <c r="H573" s="11"/>
      <c r="I573" s="11"/>
      <c r="J573" s="11"/>
      <c r="K573" s="12"/>
      <c r="L573" s="12"/>
      <c r="M573" s="11"/>
      <c r="N573" s="11"/>
      <c r="O573" s="11"/>
      <c r="P573" s="11"/>
      <c r="Q573" s="11"/>
      <c r="R573" s="11"/>
    </row>
    <row r="574" spans="1:18">
      <c r="A574" s="10"/>
      <c r="B574" s="10"/>
      <c r="C574" s="11"/>
      <c r="D574" s="10"/>
      <c r="E574" s="11"/>
      <c r="F574" s="11"/>
      <c r="G574" s="11"/>
      <c r="H574" s="11"/>
      <c r="I574" s="11"/>
      <c r="J574" s="11"/>
      <c r="K574" s="12"/>
      <c r="L574" s="12"/>
      <c r="M574" s="11"/>
      <c r="N574" s="11"/>
      <c r="O574" s="11"/>
      <c r="P574" s="11"/>
      <c r="Q574" s="11"/>
      <c r="R574" s="11"/>
    </row>
    <row r="575" spans="1:18">
      <c r="A575" s="10"/>
      <c r="B575" s="10"/>
      <c r="C575" s="11"/>
      <c r="D575" s="10"/>
      <c r="E575" s="11"/>
      <c r="F575" s="11"/>
      <c r="G575" s="11"/>
      <c r="H575" s="11"/>
      <c r="I575" s="11"/>
      <c r="J575" s="11"/>
      <c r="K575" s="12"/>
      <c r="L575" s="12"/>
      <c r="M575" s="11"/>
      <c r="N575" s="11"/>
      <c r="O575" s="11"/>
      <c r="P575" s="11"/>
      <c r="Q575" s="11"/>
      <c r="R575" s="11"/>
    </row>
    <row r="576" spans="1:18">
      <c r="A576" s="10"/>
      <c r="B576" s="10"/>
      <c r="C576" s="11"/>
      <c r="D576" s="10"/>
      <c r="E576" s="11"/>
      <c r="F576" s="11"/>
      <c r="G576" s="11"/>
      <c r="H576" s="11"/>
      <c r="I576" s="11"/>
      <c r="J576" s="11"/>
      <c r="K576" s="12"/>
      <c r="L576" s="12"/>
      <c r="M576" s="11"/>
      <c r="N576" s="11"/>
      <c r="O576" s="11"/>
      <c r="P576" s="11"/>
      <c r="Q576" s="11"/>
      <c r="R576" s="11"/>
    </row>
    <row r="577" spans="1:18">
      <c r="A577" s="10"/>
      <c r="B577" s="10"/>
      <c r="C577" s="11"/>
      <c r="D577" s="10"/>
      <c r="E577" s="11"/>
      <c r="F577" s="11"/>
      <c r="G577" s="11"/>
      <c r="H577" s="11"/>
      <c r="I577" s="11"/>
      <c r="J577" s="11"/>
      <c r="K577" s="12"/>
      <c r="L577" s="12"/>
      <c r="M577" s="11"/>
      <c r="N577" s="11"/>
      <c r="O577" s="11"/>
      <c r="P577" s="11"/>
      <c r="Q577" s="11"/>
      <c r="R577" s="11"/>
    </row>
    <row r="578" spans="1:18">
      <c r="A578" s="10"/>
      <c r="B578" s="10"/>
      <c r="C578" s="11"/>
      <c r="D578" s="10"/>
      <c r="E578" s="11"/>
      <c r="F578" s="11"/>
      <c r="G578" s="11"/>
      <c r="H578" s="11"/>
      <c r="I578" s="11"/>
      <c r="J578" s="11"/>
      <c r="K578" s="12"/>
      <c r="L578" s="12"/>
      <c r="M578" s="11"/>
      <c r="N578" s="11"/>
      <c r="O578" s="11"/>
      <c r="P578" s="11"/>
      <c r="Q578" s="11"/>
      <c r="R578" s="11"/>
    </row>
    <row r="579" spans="1:18">
      <c r="A579" s="10"/>
      <c r="B579" s="10"/>
      <c r="C579" s="11"/>
      <c r="D579" s="10"/>
      <c r="E579" s="11"/>
      <c r="F579" s="11"/>
      <c r="G579" s="11"/>
      <c r="H579" s="11"/>
      <c r="I579" s="11"/>
      <c r="J579" s="11"/>
      <c r="K579" s="12"/>
      <c r="L579" s="12"/>
      <c r="M579" s="11"/>
      <c r="N579" s="11"/>
      <c r="O579" s="11"/>
      <c r="P579" s="11"/>
      <c r="Q579" s="11"/>
      <c r="R579" s="11"/>
    </row>
    <row r="580" spans="1:18">
      <c r="A580" s="10"/>
      <c r="B580" s="10"/>
      <c r="C580" s="11"/>
      <c r="D580" s="10"/>
      <c r="E580" s="11"/>
      <c r="F580" s="11"/>
      <c r="G580" s="11"/>
      <c r="H580" s="11"/>
      <c r="I580" s="11"/>
      <c r="J580" s="11"/>
      <c r="K580" s="12"/>
      <c r="L580" s="12"/>
      <c r="M580" s="11"/>
      <c r="N580" s="11"/>
      <c r="O580" s="11"/>
      <c r="P580" s="11"/>
      <c r="Q580" s="11"/>
      <c r="R580" s="11"/>
    </row>
    <row r="581" spans="1:18">
      <c r="A581" s="10"/>
      <c r="B581" s="10"/>
      <c r="C581" s="11"/>
      <c r="D581" s="10"/>
      <c r="E581" s="11"/>
      <c r="F581" s="11"/>
      <c r="G581" s="11"/>
      <c r="H581" s="11"/>
      <c r="I581" s="11"/>
      <c r="J581" s="11"/>
      <c r="K581" s="12"/>
      <c r="L581" s="12"/>
      <c r="M581" s="11"/>
      <c r="N581" s="11"/>
      <c r="O581" s="11"/>
      <c r="P581" s="11"/>
      <c r="Q581" s="11"/>
      <c r="R581" s="11"/>
    </row>
    <row r="582" spans="1:18">
      <c r="A582" s="10"/>
      <c r="B582" s="10"/>
      <c r="C582" s="11"/>
      <c r="D582" s="10"/>
      <c r="E582" s="11"/>
      <c r="F582" s="11"/>
      <c r="G582" s="11"/>
      <c r="H582" s="11"/>
      <c r="I582" s="11"/>
      <c r="J582" s="11"/>
      <c r="K582" s="12"/>
      <c r="L582" s="12"/>
      <c r="M582" s="11"/>
      <c r="N582" s="11"/>
      <c r="O582" s="11"/>
      <c r="P582" s="11"/>
      <c r="Q582" s="11"/>
      <c r="R582" s="11"/>
    </row>
    <row r="583" spans="1:18">
      <c r="A583" s="10"/>
      <c r="B583" s="10"/>
      <c r="C583" s="11"/>
      <c r="D583" s="10"/>
      <c r="E583" s="11"/>
      <c r="F583" s="11"/>
      <c r="G583" s="11"/>
      <c r="H583" s="11"/>
      <c r="I583" s="11"/>
      <c r="J583" s="11"/>
      <c r="K583" s="12"/>
      <c r="L583" s="12"/>
      <c r="M583" s="11"/>
      <c r="N583" s="11"/>
      <c r="O583" s="11"/>
      <c r="P583" s="11"/>
      <c r="Q583" s="11"/>
      <c r="R583" s="11"/>
    </row>
    <row r="584" spans="1:18">
      <c r="A584" s="10"/>
      <c r="B584" s="10"/>
      <c r="C584" s="11"/>
      <c r="D584" s="10"/>
      <c r="E584" s="11"/>
      <c r="F584" s="11"/>
      <c r="G584" s="11"/>
      <c r="H584" s="11"/>
      <c r="I584" s="11"/>
      <c r="J584" s="11"/>
      <c r="K584" s="12"/>
      <c r="L584" s="12"/>
      <c r="M584" s="11"/>
      <c r="N584" s="11"/>
      <c r="O584" s="11"/>
      <c r="P584" s="11"/>
      <c r="Q584" s="11"/>
      <c r="R584" s="11"/>
    </row>
    <row r="585" spans="1:18">
      <c r="A585" s="10"/>
      <c r="B585" s="10"/>
      <c r="C585" s="11"/>
      <c r="D585" s="10"/>
      <c r="E585" s="11"/>
      <c r="F585" s="11"/>
      <c r="G585" s="11"/>
      <c r="H585" s="11"/>
      <c r="I585" s="11"/>
      <c r="J585" s="11"/>
      <c r="K585" s="12"/>
      <c r="L585" s="12"/>
      <c r="M585" s="11"/>
      <c r="N585" s="11"/>
      <c r="O585" s="11"/>
      <c r="P585" s="11"/>
      <c r="Q585" s="11"/>
      <c r="R585" s="11"/>
    </row>
    <row r="586" spans="1:18">
      <c r="A586" s="10"/>
      <c r="B586" s="10"/>
      <c r="C586" s="11"/>
      <c r="D586" s="10"/>
      <c r="E586" s="11"/>
      <c r="F586" s="11"/>
      <c r="G586" s="11"/>
      <c r="H586" s="11"/>
      <c r="I586" s="11"/>
      <c r="J586" s="11"/>
      <c r="K586" s="12"/>
      <c r="L586" s="12"/>
      <c r="M586" s="11"/>
      <c r="N586" s="11"/>
      <c r="O586" s="11"/>
      <c r="P586" s="11"/>
      <c r="Q586" s="11"/>
      <c r="R586" s="11"/>
    </row>
    <row r="587" spans="1:18">
      <c r="A587" s="10"/>
      <c r="B587" s="10"/>
      <c r="C587" s="11"/>
      <c r="D587" s="10"/>
      <c r="E587" s="11"/>
      <c r="F587" s="11"/>
      <c r="G587" s="11"/>
      <c r="H587" s="11"/>
      <c r="I587" s="11"/>
      <c r="J587" s="11"/>
      <c r="K587" s="12"/>
      <c r="L587" s="12"/>
      <c r="M587" s="11"/>
      <c r="N587" s="11"/>
      <c r="O587" s="11"/>
      <c r="P587" s="11"/>
      <c r="Q587" s="11"/>
      <c r="R587" s="11"/>
    </row>
    <row r="588" spans="1:18">
      <c r="A588" s="10"/>
      <c r="B588" s="10"/>
      <c r="C588" s="11"/>
      <c r="D588" s="10"/>
      <c r="E588" s="11"/>
      <c r="F588" s="11"/>
      <c r="G588" s="11"/>
      <c r="H588" s="11"/>
      <c r="I588" s="11"/>
      <c r="J588" s="11"/>
      <c r="K588" s="12"/>
      <c r="L588" s="12"/>
      <c r="M588" s="11"/>
      <c r="N588" s="11"/>
      <c r="O588" s="11"/>
      <c r="P588" s="11"/>
      <c r="Q588" s="11"/>
      <c r="R588" s="11"/>
    </row>
    <row r="589" spans="1:18">
      <c r="A589" s="10"/>
      <c r="B589" s="10"/>
      <c r="C589" s="11"/>
      <c r="D589" s="10"/>
      <c r="E589" s="11"/>
      <c r="F589" s="11"/>
      <c r="G589" s="11"/>
      <c r="H589" s="11"/>
      <c r="I589" s="11"/>
      <c r="J589" s="11"/>
      <c r="K589" s="12"/>
      <c r="L589" s="12"/>
      <c r="M589" s="11"/>
      <c r="N589" s="11"/>
      <c r="O589" s="11"/>
      <c r="P589" s="11"/>
      <c r="Q589" s="11"/>
      <c r="R589" s="11"/>
    </row>
    <row r="590" spans="1:18">
      <c r="A590" s="10"/>
      <c r="B590" s="10"/>
      <c r="C590" s="11"/>
      <c r="D590" s="10"/>
      <c r="E590" s="11"/>
      <c r="F590" s="11"/>
      <c r="G590" s="11"/>
      <c r="H590" s="11"/>
      <c r="I590" s="11"/>
      <c r="J590" s="11"/>
      <c r="K590" s="12"/>
      <c r="L590" s="12"/>
      <c r="M590" s="11"/>
      <c r="N590" s="11"/>
      <c r="O590" s="11"/>
      <c r="P590" s="11"/>
      <c r="Q590" s="11"/>
      <c r="R590" s="11"/>
    </row>
    <row r="591" spans="1:18">
      <c r="A591" s="10"/>
      <c r="B591" s="10"/>
      <c r="C591" s="11"/>
      <c r="D591" s="10"/>
      <c r="E591" s="11"/>
      <c r="F591" s="11"/>
      <c r="G591" s="11"/>
      <c r="H591" s="11"/>
      <c r="I591" s="11"/>
      <c r="J591" s="11"/>
      <c r="K591" s="12"/>
      <c r="L591" s="12"/>
      <c r="M591" s="11"/>
      <c r="N591" s="11"/>
      <c r="O591" s="11"/>
      <c r="P591" s="11"/>
      <c r="Q591" s="11"/>
      <c r="R591" s="11"/>
    </row>
    <row r="592" spans="1:18">
      <c r="A592" s="10"/>
      <c r="B592" s="10"/>
      <c r="C592" s="11"/>
      <c r="D592" s="10"/>
      <c r="E592" s="11"/>
      <c r="F592" s="11"/>
      <c r="G592" s="11"/>
      <c r="H592" s="11"/>
      <c r="I592" s="11"/>
      <c r="J592" s="11"/>
      <c r="K592" s="12"/>
      <c r="L592" s="12"/>
      <c r="M592" s="11"/>
      <c r="N592" s="11"/>
      <c r="O592" s="11"/>
      <c r="P592" s="11"/>
      <c r="Q592" s="11"/>
      <c r="R592" s="11"/>
    </row>
    <row r="593" spans="1:18">
      <c r="A593" s="10"/>
      <c r="B593" s="10"/>
      <c r="C593" s="11"/>
      <c r="D593" s="10"/>
      <c r="E593" s="11"/>
      <c r="F593" s="11"/>
      <c r="G593" s="11"/>
      <c r="H593" s="11"/>
      <c r="I593" s="11"/>
      <c r="J593" s="11"/>
      <c r="K593" s="12"/>
      <c r="L593" s="12"/>
      <c r="M593" s="11"/>
      <c r="N593" s="11"/>
      <c r="O593" s="11"/>
      <c r="P593" s="11"/>
      <c r="Q593" s="11"/>
      <c r="R593" s="11"/>
    </row>
    <row r="594" spans="1:18">
      <c r="A594" s="10"/>
      <c r="B594" s="10"/>
      <c r="C594" s="11"/>
      <c r="D594" s="10"/>
      <c r="E594" s="11"/>
      <c r="F594" s="11"/>
      <c r="G594" s="11"/>
      <c r="H594" s="11"/>
      <c r="I594" s="11"/>
      <c r="J594" s="11"/>
      <c r="K594" s="12"/>
      <c r="L594" s="12"/>
      <c r="M594" s="11"/>
      <c r="N594" s="11"/>
      <c r="O594" s="11"/>
      <c r="P594" s="11"/>
      <c r="Q594" s="11"/>
      <c r="R594" s="11"/>
    </row>
    <row r="595" spans="1:18">
      <c r="A595" s="10"/>
      <c r="B595" s="10"/>
      <c r="C595" s="11"/>
      <c r="D595" s="10"/>
      <c r="E595" s="11"/>
      <c r="F595" s="11"/>
      <c r="G595" s="11"/>
      <c r="H595" s="11"/>
      <c r="I595" s="11"/>
      <c r="J595" s="11"/>
      <c r="K595" s="12"/>
      <c r="L595" s="12"/>
      <c r="M595" s="11"/>
      <c r="N595" s="11"/>
      <c r="O595" s="11"/>
      <c r="P595" s="11"/>
      <c r="Q595" s="11"/>
      <c r="R595" s="11"/>
    </row>
    <row r="596" spans="1:18">
      <c r="A596" s="10"/>
      <c r="B596" s="10"/>
      <c r="C596" s="11"/>
      <c r="D596" s="10"/>
      <c r="E596" s="11"/>
      <c r="F596" s="11"/>
      <c r="G596" s="11"/>
      <c r="H596" s="11"/>
      <c r="I596" s="11"/>
      <c r="J596" s="11"/>
      <c r="K596" s="12"/>
      <c r="L596" s="12"/>
      <c r="M596" s="11"/>
      <c r="N596" s="11"/>
      <c r="O596" s="11"/>
      <c r="P596" s="11"/>
      <c r="Q596" s="11"/>
      <c r="R596" s="11"/>
    </row>
    <row r="597" spans="1:18">
      <c r="A597" s="10"/>
      <c r="B597" s="10"/>
      <c r="C597" s="11"/>
      <c r="D597" s="10"/>
      <c r="E597" s="11"/>
      <c r="F597" s="11"/>
      <c r="G597" s="11"/>
      <c r="H597" s="11"/>
      <c r="I597" s="11"/>
      <c r="J597" s="11"/>
      <c r="K597" s="12"/>
      <c r="L597" s="12"/>
      <c r="M597" s="11"/>
      <c r="N597" s="11"/>
      <c r="O597" s="11"/>
      <c r="P597" s="11"/>
      <c r="Q597" s="11"/>
      <c r="R597" s="11"/>
    </row>
    <row r="598" spans="1:18">
      <c r="A598" s="10"/>
      <c r="B598" s="10"/>
      <c r="C598" s="11"/>
      <c r="D598" s="10"/>
      <c r="E598" s="11"/>
      <c r="F598" s="11"/>
      <c r="G598" s="11"/>
      <c r="H598" s="11"/>
      <c r="I598" s="11"/>
      <c r="J598" s="11"/>
      <c r="K598" s="12"/>
      <c r="L598" s="12"/>
      <c r="M598" s="11"/>
      <c r="N598" s="11"/>
      <c r="O598" s="11"/>
      <c r="P598" s="11"/>
      <c r="Q598" s="11"/>
      <c r="R598" s="11"/>
    </row>
    <row r="599" spans="1:18">
      <c r="A599" s="10"/>
      <c r="B599" s="10"/>
      <c r="C599" s="11"/>
      <c r="D599" s="10"/>
      <c r="E599" s="11"/>
      <c r="F599" s="11"/>
      <c r="G599" s="11"/>
      <c r="H599" s="11"/>
      <c r="I599" s="11"/>
      <c r="J599" s="11"/>
      <c r="K599" s="12"/>
      <c r="L599" s="12"/>
      <c r="M599" s="11"/>
      <c r="N599" s="11"/>
      <c r="O599" s="11"/>
      <c r="P599" s="11"/>
      <c r="Q599" s="11"/>
      <c r="R599" s="11"/>
    </row>
    <row r="600" spans="1:18">
      <c r="A600" s="10"/>
      <c r="B600" s="10"/>
      <c r="C600" s="11"/>
      <c r="D600" s="10"/>
      <c r="E600" s="11"/>
      <c r="F600" s="11"/>
      <c r="G600" s="11"/>
      <c r="H600" s="11"/>
      <c r="I600" s="11"/>
      <c r="J600" s="11"/>
      <c r="K600" s="12"/>
      <c r="L600" s="12"/>
      <c r="M600" s="11"/>
      <c r="N600" s="11"/>
      <c r="O600" s="11"/>
      <c r="P600" s="11"/>
      <c r="Q600" s="11"/>
      <c r="R600" s="11"/>
    </row>
    <row r="601" spans="1:18">
      <c r="A601" s="10"/>
      <c r="B601" s="10"/>
      <c r="C601" s="11"/>
      <c r="D601" s="10"/>
      <c r="E601" s="11"/>
      <c r="F601" s="11"/>
      <c r="G601" s="11"/>
      <c r="H601" s="11"/>
      <c r="I601" s="11"/>
      <c r="J601" s="11"/>
      <c r="K601" s="12"/>
      <c r="L601" s="12"/>
      <c r="M601" s="11"/>
      <c r="N601" s="11"/>
      <c r="O601" s="11"/>
      <c r="P601" s="11"/>
      <c r="Q601" s="11"/>
      <c r="R601" s="11"/>
    </row>
    <row r="602" spans="1:18">
      <c r="A602" s="10"/>
      <c r="B602" s="10"/>
      <c r="C602" s="11"/>
      <c r="D602" s="10"/>
      <c r="E602" s="11"/>
      <c r="F602" s="11"/>
      <c r="G602" s="11"/>
      <c r="H602" s="11"/>
      <c r="I602" s="11"/>
      <c r="J602" s="11"/>
      <c r="K602" s="12"/>
      <c r="L602" s="12"/>
      <c r="M602" s="11"/>
      <c r="N602" s="11"/>
      <c r="O602" s="11"/>
      <c r="P602" s="11"/>
      <c r="Q602" s="11"/>
      <c r="R602" s="11"/>
    </row>
    <row r="603" spans="1:18">
      <c r="A603" s="10"/>
      <c r="B603" s="10"/>
      <c r="C603" s="11"/>
      <c r="D603" s="10"/>
      <c r="E603" s="11"/>
      <c r="F603" s="11"/>
      <c r="G603" s="11"/>
      <c r="H603" s="11"/>
      <c r="I603" s="11"/>
      <c r="J603" s="11"/>
      <c r="K603" s="12"/>
      <c r="L603" s="12"/>
      <c r="M603" s="11"/>
      <c r="N603" s="11"/>
      <c r="O603" s="11"/>
      <c r="P603" s="11"/>
      <c r="Q603" s="11"/>
      <c r="R603" s="11"/>
    </row>
    <row r="604" spans="1:18">
      <c r="A604" s="10"/>
      <c r="B604" s="10"/>
      <c r="C604" s="11"/>
      <c r="D604" s="10"/>
      <c r="E604" s="11"/>
      <c r="F604" s="11"/>
      <c r="G604" s="11"/>
      <c r="H604" s="11"/>
      <c r="I604" s="11"/>
      <c r="J604" s="11"/>
      <c r="K604" s="12"/>
      <c r="L604" s="12"/>
      <c r="M604" s="11"/>
      <c r="N604" s="11"/>
      <c r="O604" s="11"/>
      <c r="P604" s="11"/>
      <c r="Q604" s="11"/>
      <c r="R604" s="11"/>
    </row>
    <row r="605" spans="1:18">
      <c r="A605" s="10"/>
      <c r="B605" s="10"/>
      <c r="C605" s="11"/>
      <c r="D605" s="10"/>
      <c r="E605" s="11"/>
      <c r="F605" s="11"/>
      <c r="G605" s="11"/>
      <c r="H605" s="11"/>
      <c r="I605" s="11"/>
      <c r="J605" s="11"/>
      <c r="K605" s="12"/>
      <c r="L605" s="12"/>
      <c r="M605" s="11"/>
      <c r="N605" s="11"/>
      <c r="O605" s="11"/>
      <c r="P605" s="11"/>
      <c r="Q605" s="11"/>
      <c r="R605" s="11"/>
    </row>
    <row r="606" spans="1:18">
      <c r="A606" s="10"/>
      <c r="B606" s="10"/>
      <c r="C606" s="11"/>
      <c r="D606" s="10"/>
      <c r="E606" s="11"/>
      <c r="F606" s="11"/>
      <c r="G606" s="11"/>
      <c r="H606" s="11"/>
      <c r="I606" s="11"/>
      <c r="J606" s="11"/>
      <c r="K606" s="12"/>
      <c r="L606" s="12"/>
      <c r="M606" s="11"/>
      <c r="N606" s="11"/>
      <c r="O606" s="11"/>
      <c r="P606" s="11"/>
      <c r="Q606" s="11"/>
      <c r="R606" s="11"/>
    </row>
    <row r="607" spans="1:18">
      <c r="A607" s="10"/>
      <c r="B607" s="10"/>
      <c r="C607" s="11"/>
      <c r="D607" s="10"/>
      <c r="E607" s="11"/>
      <c r="F607" s="11"/>
      <c r="G607" s="11"/>
      <c r="H607" s="11"/>
      <c r="I607" s="11"/>
      <c r="J607" s="11"/>
      <c r="K607" s="12"/>
      <c r="L607" s="12"/>
      <c r="M607" s="11"/>
      <c r="N607" s="11"/>
      <c r="O607" s="11"/>
      <c r="P607" s="11"/>
      <c r="Q607" s="11"/>
      <c r="R607" s="11"/>
    </row>
    <row r="608" spans="1:18">
      <c r="A608" s="10"/>
      <c r="B608" s="10"/>
      <c r="C608" s="11"/>
      <c r="D608" s="10"/>
      <c r="E608" s="11"/>
      <c r="F608" s="11"/>
      <c r="G608" s="11"/>
      <c r="H608" s="11"/>
      <c r="I608" s="11"/>
      <c r="J608" s="11"/>
      <c r="K608" s="12"/>
      <c r="L608" s="12"/>
      <c r="M608" s="11"/>
      <c r="N608" s="11"/>
      <c r="O608" s="11"/>
      <c r="P608" s="11"/>
      <c r="Q608" s="11"/>
      <c r="R608" s="11"/>
    </row>
    <row r="609" spans="1:18">
      <c r="A609" s="10"/>
      <c r="B609" s="10"/>
      <c r="C609" s="11"/>
      <c r="D609" s="10"/>
      <c r="E609" s="11"/>
      <c r="F609" s="11"/>
      <c r="G609" s="11"/>
      <c r="H609" s="11"/>
      <c r="I609" s="11"/>
      <c r="J609" s="11"/>
      <c r="K609" s="12"/>
      <c r="L609" s="12"/>
      <c r="M609" s="11"/>
      <c r="N609" s="11"/>
      <c r="O609" s="11"/>
      <c r="P609" s="11"/>
      <c r="Q609" s="11"/>
      <c r="R609" s="11"/>
    </row>
    <row r="610" spans="1:18">
      <c r="A610" s="10"/>
      <c r="B610" s="10"/>
      <c r="C610" s="11"/>
      <c r="D610" s="10"/>
      <c r="E610" s="11"/>
      <c r="F610" s="11"/>
      <c r="G610" s="11"/>
      <c r="H610" s="11"/>
      <c r="I610" s="11"/>
      <c r="J610" s="11"/>
      <c r="K610" s="12"/>
      <c r="L610" s="12"/>
      <c r="M610" s="11"/>
      <c r="N610" s="11"/>
      <c r="O610" s="11"/>
      <c r="P610" s="11"/>
      <c r="Q610" s="11"/>
      <c r="R610" s="11"/>
    </row>
    <row r="611" spans="1:18">
      <c r="A611" s="10"/>
      <c r="B611" s="10"/>
      <c r="C611" s="11"/>
      <c r="D611" s="10"/>
      <c r="E611" s="11"/>
      <c r="F611" s="11"/>
      <c r="G611" s="11"/>
      <c r="H611" s="11"/>
      <c r="I611" s="11"/>
      <c r="J611" s="11"/>
      <c r="K611" s="12"/>
      <c r="L611" s="12"/>
      <c r="M611" s="11"/>
      <c r="N611" s="11"/>
      <c r="O611" s="11"/>
      <c r="P611" s="11"/>
      <c r="Q611" s="11"/>
      <c r="R611" s="11"/>
    </row>
    <row r="612" spans="1:18">
      <c r="A612" s="10"/>
      <c r="B612" s="10"/>
      <c r="C612" s="11"/>
      <c r="D612" s="10"/>
      <c r="E612" s="11"/>
      <c r="F612" s="11"/>
      <c r="G612" s="11"/>
      <c r="H612" s="11"/>
      <c r="I612" s="11"/>
      <c r="J612" s="11"/>
      <c r="K612" s="12"/>
      <c r="L612" s="12"/>
      <c r="M612" s="11"/>
      <c r="N612" s="11"/>
      <c r="O612" s="11"/>
      <c r="P612" s="11"/>
      <c r="Q612" s="11"/>
      <c r="R612" s="11"/>
    </row>
    <row r="613" spans="1:18">
      <c r="A613" s="10"/>
      <c r="B613" s="10"/>
      <c r="C613" s="11"/>
      <c r="D613" s="10"/>
      <c r="E613" s="11"/>
      <c r="F613" s="11"/>
      <c r="G613" s="11"/>
      <c r="H613" s="11"/>
      <c r="I613" s="11"/>
      <c r="J613" s="11"/>
      <c r="K613" s="12"/>
      <c r="L613" s="12"/>
      <c r="M613" s="11"/>
      <c r="N613" s="11"/>
      <c r="O613" s="11"/>
      <c r="P613" s="11"/>
      <c r="Q613" s="11"/>
      <c r="R613" s="11"/>
    </row>
    <row r="614" spans="1:18">
      <c r="A614" s="10"/>
      <c r="B614" s="10"/>
      <c r="C614" s="11"/>
      <c r="D614" s="10"/>
      <c r="E614" s="11"/>
      <c r="F614" s="11"/>
      <c r="G614" s="11"/>
      <c r="H614" s="11"/>
      <c r="I614" s="11"/>
      <c r="J614" s="11"/>
      <c r="K614" s="12"/>
      <c r="L614" s="12"/>
      <c r="M614" s="11"/>
      <c r="N614" s="11"/>
      <c r="O614" s="11"/>
      <c r="P614" s="11"/>
      <c r="Q614" s="11"/>
      <c r="R614" s="11"/>
    </row>
    <row r="615" spans="1:18">
      <c r="A615" s="10"/>
      <c r="B615" s="10"/>
      <c r="C615" s="11"/>
      <c r="D615" s="10"/>
      <c r="E615" s="11"/>
      <c r="F615" s="11"/>
      <c r="G615" s="11"/>
      <c r="H615" s="11"/>
      <c r="I615" s="11"/>
      <c r="J615" s="11"/>
      <c r="K615" s="12"/>
      <c r="L615" s="12"/>
      <c r="M615" s="11"/>
      <c r="N615" s="11"/>
      <c r="O615" s="11"/>
      <c r="P615" s="11"/>
      <c r="Q615" s="11"/>
      <c r="R615" s="11"/>
    </row>
    <row r="616" spans="1:18">
      <c r="A616" s="10"/>
      <c r="B616" s="10"/>
      <c r="C616" s="11"/>
      <c r="D616" s="10"/>
      <c r="E616" s="11"/>
      <c r="F616" s="11"/>
      <c r="G616" s="11"/>
      <c r="H616" s="11"/>
      <c r="I616" s="11"/>
      <c r="J616" s="11"/>
      <c r="K616" s="12"/>
      <c r="L616" s="12"/>
      <c r="M616" s="11"/>
      <c r="N616" s="11"/>
      <c r="O616" s="11"/>
      <c r="P616" s="11"/>
      <c r="Q616" s="11"/>
      <c r="R616" s="11"/>
    </row>
    <row r="617" spans="1:18">
      <c r="A617" s="10"/>
      <c r="B617" s="10"/>
      <c r="C617" s="11"/>
      <c r="D617" s="10"/>
      <c r="E617" s="11"/>
      <c r="F617" s="11"/>
      <c r="G617" s="11"/>
      <c r="H617" s="11"/>
      <c r="I617" s="11"/>
      <c r="J617" s="11"/>
      <c r="K617" s="12"/>
      <c r="L617" s="12"/>
      <c r="M617" s="11"/>
      <c r="N617" s="11"/>
      <c r="O617" s="11"/>
      <c r="P617" s="11"/>
      <c r="Q617" s="11"/>
      <c r="R617" s="11"/>
    </row>
    <row r="618" spans="1:18">
      <c r="A618" s="10"/>
      <c r="B618" s="10"/>
      <c r="C618" s="11"/>
      <c r="D618" s="10"/>
      <c r="E618" s="11"/>
      <c r="F618" s="11"/>
      <c r="G618" s="11"/>
      <c r="H618" s="11"/>
      <c r="I618" s="11"/>
      <c r="J618" s="11"/>
      <c r="K618" s="12"/>
      <c r="L618" s="12"/>
      <c r="M618" s="11"/>
      <c r="N618" s="11"/>
      <c r="O618" s="11"/>
      <c r="P618" s="11"/>
      <c r="Q618" s="11"/>
      <c r="R618" s="11"/>
    </row>
    <row r="619" spans="1:18">
      <c r="A619" s="10"/>
      <c r="B619" s="10"/>
      <c r="C619" s="11"/>
      <c r="D619" s="10"/>
      <c r="E619" s="11"/>
      <c r="F619" s="11"/>
      <c r="G619" s="11"/>
      <c r="H619" s="11"/>
      <c r="I619" s="11"/>
      <c r="J619" s="11"/>
      <c r="K619" s="12"/>
      <c r="L619" s="12"/>
      <c r="M619" s="11"/>
      <c r="N619" s="11"/>
      <c r="O619" s="11"/>
      <c r="P619" s="11"/>
      <c r="Q619" s="11"/>
      <c r="R619" s="11"/>
    </row>
    <row r="620" spans="1:18">
      <c r="A620" s="10"/>
      <c r="B620" s="10"/>
      <c r="C620" s="11"/>
      <c r="D620" s="10"/>
      <c r="E620" s="11"/>
      <c r="F620" s="11"/>
      <c r="G620" s="11"/>
      <c r="H620" s="11"/>
      <c r="I620" s="11"/>
      <c r="J620" s="11"/>
      <c r="K620" s="12"/>
      <c r="L620" s="12"/>
      <c r="M620" s="11"/>
      <c r="N620" s="11"/>
      <c r="O620" s="11"/>
      <c r="P620" s="11"/>
      <c r="Q620" s="11"/>
      <c r="R620" s="11"/>
    </row>
    <row r="621" spans="1:18">
      <c r="A621" s="10"/>
      <c r="B621" s="10"/>
      <c r="C621" s="11"/>
      <c r="D621" s="10"/>
      <c r="E621" s="11"/>
      <c r="F621" s="11"/>
      <c r="G621" s="11"/>
      <c r="H621" s="11"/>
      <c r="I621" s="11"/>
      <c r="J621" s="11"/>
      <c r="K621" s="12"/>
      <c r="L621" s="12"/>
      <c r="M621" s="11"/>
      <c r="N621" s="11"/>
      <c r="O621" s="11"/>
      <c r="P621" s="11"/>
      <c r="Q621" s="11"/>
      <c r="R621" s="11"/>
    </row>
    <row r="622" spans="1:18">
      <c r="A622" s="10"/>
      <c r="B622" s="10"/>
      <c r="C622" s="11"/>
      <c r="D622" s="10"/>
      <c r="E622" s="11"/>
      <c r="F622" s="11"/>
      <c r="G622" s="11"/>
      <c r="H622" s="11"/>
      <c r="I622" s="11"/>
      <c r="J622" s="11"/>
      <c r="K622" s="12"/>
      <c r="L622" s="12"/>
      <c r="M622" s="11"/>
      <c r="N622" s="11"/>
      <c r="O622" s="11"/>
      <c r="P622" s="11"/>
      <c r="Q622" s="11"/>
      <c r="R622" s="11"/>
    </row>
    <row r="623" spans="1:18">
      <c r="A623" s="10"/>
      <c r="B623" s="10"/>
      <c r="C623" s="11"/>
      <c r="D623" s="10"/>
      <c r="E623" s="11"/>
      <c r="F623" s="11"/>
      <c r="G623" s="11"/>
      <c r="H623" s="11"/>
      <c r="I623" s="11"/>
      <c r="J623" s="11"/>
      <c r="K623" s="12"/>
      <c r="L623" s="12"/>
      <c r="M623" s="11"/>
      <c r="N623" s="11"/>
      <c r="O623" s="11"/>
      <c r="P623" s="11"/>
      <c r="Q623" s="11"/>
      <c r="R623" s="11"/>
    </row>
    <row r="624" spans="1:18">
      <c r="A624" s="10"/>
      <c r="B624" s="10"/>
      <c r="C624" s="11"/>
      <c r="D624" s="10"/>
      <c r="E624" s="11"/>
      <c r="F624" s="11"/>
      <c r="G624" s="11"/>
      <c r="H624" s="11"/>
      <c r="I624" s="11"/>
      <c r="J624" s="11"/>
      <c r="K624" s="12"/>
      <c r="L624" s="12"/>
      <c r="M624" s="11"/>
      <c r="N624" s="11"/>
      <c r="O624" s="11"/>
      <c r="P624" s="11"/>
      <c r="Q624" s="11"/>
      <c r="R624" s="11"/>
    </row>
    <row r="625" spans="1:18">
      <c r="A625" s="10"/>
      <c r="B625" s="10"/>
      <c r="C625" s="11"/>
      <c r="D625" s="10"/>
      <c r="E625" s="11"/>
      <c r="F625" s="11"/>
      <c r="G625" s="11"/>
      <c r="H625" s="11"/>
      <c r="I625" s="11"/>
      <c r="J625" s="11"/>
      <c r="K625" s="12"/>
      <c r="L625" s="12"/>
      <c r="M625" s="11"/>
      <c r="N625" s="11"/>
      <c r="O625" s="11"/>
      <c r="P625" s="11"/>
      <c r="Q625" s="11"/>
      <c r="R625" s="11"/>
    </row>
    <row r="626" spans="1:18">
      <c r="A626" s="10"/>
      <c r="B626" s="10"/>
      <c r="C626" s="11"/>
      <c r="D626" s="10"/>
      <c r="E626" s="11"/>
      <c r="F626" s="11"/>
      <c r="G626" s="11"/>
      <c r="H626" s="11"/>
      <c r="I626" s="11"/>
      <c r="J626" s="11"/>
      <c r="K626" s="12"/>
      <c r="L626" s="12"/>
      <c r="M626" s="11"/>
      <c r="N626" s="11"/>
      <c r="O626" s="11"/>
      <c r="P626" s="11"/>
      <c r="Q626" s="11"/>
      <c r="R626" s="11"/>
    </row>
    <row r="627" spans="1:18">
      <c r="A627" s="10"/>
      <c r="B627" s="10"/>
      <c r="C627" s="11"/>
      <c r="D627" s="10"/>
      <c r="E627" s="11"/>
      <c r="F627" s="11"/>
      <c r="G627" s="11"/>
      <c r="H627" s="11"/>
      <c r="I627" s="11"/>
      <c r="J627" s="11"/>
      <c r="K627" s="12"/>
      <c r="L627" s="12"/>
      <c r="M627" s="11"/>
      <c r="N627" s="11"/>
      <c r="O627" s="11"/>
      <c r="P627" s="11"/>
      <c r="Q627" s="11"/>
      <c r="R627" s="11"/>
    </row>
    <row r="628" spans="1:18">
      <c r="A628" s="10"/>
      <c r="B628" s="10"/>
      <c r="C628" s="11"/>
      <c r="D628" s="10"/>
      <c r="E628" s="11"/>
      <c r="F628" s="11"/>
      <c r="G628" s="11"/>
      <c r="H628" s="11"/>
      <c r="I628" s="11"/>
      <c r="J628" s="11"/>
      <c r="K628" s="12"/>
      <c r="L628" s="12"/>
      <c r="M628" s="11"/>
      <c r="N628" s="11"/>
      <c r="O628" s="11"/>
      <c r="P628" s="11"/>
      <c r="Q628" s="11"/>
      <c r="R628" s="11"/>
    </row>
    <row r="629" spans="1:18">
      <c r="A629" s="10"/>
      <c r="B629" s="10"/>
      <c r="C629" s="11"/>
      <c r="D629" s="10"/>
      <c r="E629" s="11"/>
      <c r="F629" s="11"/>
      <c r="G629" s="11"/>
      <c r="H629" s="11"/>
      <c r="I629" s="11"/>
      <c r="J629" s="11"/>
      <c r="K629" s="12"/>
      <c r="L629" s="12"/>
      <c r="M629" s="11"/>
      <c r="N629" s="11"/>
      <c r="O629" s="11"/>
      <c r="P629" s="11"/>
      <c r="Q629" s="11"/>
      <c r="R629" s="11"/>
    </row>
    <row r="630" spans="1:18">
      <c r="A630" s="10"/>
      <c r="B630" s="10"/>
      <c r="C630" s="11"/>
      <c r="D630" s="10"/>
      <c r="E630" s="11"/>
      <c r="F630" s="11"/>
      <c r="G630" s="11"/>
      <c r="H630" s="11"/>
      <c r="I630" s="11"/>
      <c r="J630" s="11"/>
      <c r="K630" s="12"/>
      <c r="L630" s="12"/>
      <c r="M630" s="11"/>
      <c r="N630" s="11"/>
      <c r="O630" s="11"/>
      <c r="P630" s="11"/>
      <c r="Q630" s="11"/>
      <c r="R630" s="11"/>
    </row>
    <row r="631" spans="1:18">
      <c r="A631" s="10"/>
      <c r="B631" s="10"/>
      <c r="C631" s="11"/>
      <c r="D631" s="10"/>
      <c r="E631" s="11"/>
      <c r="F631" s="11"/>
      <c r="G631" s="11"/>
      <c r="H631" s="11"/>
      <c r="I631" s="11"/>
      <c r="J631" s="11"/>
      <c r="K631" s="12"/>
      <c r="L631" s="12"/>
      <c r="M631" s="11"/>
      <c r="N631" s="11"/>
      <c r="O631" s="11"/>
      <c r="P631" s="11"/>
      <c r="Q631" s="11"/>
      <c r="R631" s="11"/>
    </row>
    <row r="632" spans="1:18">
      <c r="A632" s="10"/>
      <c r="B632" s="10"/>
      <c r="C632" s="11"/>
      <c r="D632" s="10"/>
      <c r="E632" s="11"/>
      <c r="F632" s="11"/>
      <c r="G632" s="11"/>
      <c r="H632" s="11"/>
      <c r="I632" s="11"/>
      <c r="J632" s="11"/>
      <c r="K632" s="12"/>
      <c r="L632" s="12"/>
      <c r="M632" s="11"/>
      <c r="N632" s="11"/>
      <c r="O632" s="11"/>
      <c r="P632" s="11"/>
      <c r="Q632" s="11"/>
      <c r="R632" s="11"/>
    </row>
    <row r="633" spans="1:18">
      <c r="A633" s="10"/>
      <c r="B633" s="10"/>
      <c r="C633" s="11"/>
      <c r="D633" s="10"/>
      <c r="E633" s="11"/>
      <c r="F633" s="11"/>
      <c r="G633" s="11"/>
      <c r="H633" s="11"/>
      <c r="I633" s="11"/>
      <c r="J633" s="11"/>
      <c r="K633" s="12"/>
      <c r="L633" s="12"/>
      <c r="M633" s="11"/>
      <c r="N633" s="11"/>
      <c r="O633" s="11"/>
      <c r="P633" s="11"/>
      <c r="Q633" s="11"/>
      <c r="R633" s="11"/>
    </row>
    <row r="634" spans="1:18">
      <c r="A634" s="10"/>
      <c r="B634" s="10"/>
      <c r="C634" s="11"/>
      <c r="D634" s="10"/>
      <c r="E634" s="11"/>
      <c r="F634" s="11"/>
      <c r="G634" s="11"/>
      <c r="H634" s="11"/>
      <c r="I634" s="11"/>
      <c r="J634" s="11"/>
      <c r="K634" s="12"/>
      <c r="L634" s="12"/>
      <c r="M634" s="11"/>
      <c r="N634" s="11"/>
      <c r="O634" s="11"/>
      <c r="P634" s="11"/>
      <c r="Q634" s="11"/>
      <c r="R634" s="11"/>
    </row>
    <row r="635" spans="1:18">
      <c r="A635" s="10"/>
      <c r="B635" s="10"/>
      <c r="C635" s="11"/>
      <c r="D635" s="10"/>
      <c r="E635" s="11"/>
      <c r="F635" s="11"/>
      <c r="G635" s="11"/>
      <c r="H635" s="11"/>
      <c r="I635" s="11"/>
      <c r="J635" s="11"/>
      <c r="K635" s="12"/>
      <c r="L635" s="12"/>
      <c r="M635" s="11"/>
      <c r="N635" s="11"/>
      <c r="O635" s="11"/>
      <c r="P635" s="11"/>
      <c r="Q635" s="11"/>
      <c r="R635" s="11"/>
    </row>
    <row r="636" spans="1:18">
      <c r="A636" s="10"/>
      <c r="B636" s="10"/>
      <c r="C636" s="11"/>
      <c r="D636" s="10"/>
      <c r="E636" s="11"/>
      <c r="F636" s="11"/>
      <c r="G636" s="11"/>
      <c r="H636" s="11"/>
      <c r="I636" s="11"/>
      <c r="J636" s="11"/>
      <c r="K636" s="12"/>
      <c r="L636" s="12"/>
      <c r="M636" s="11"/>
      <c r="N636" s="11"/>
      <c r="O636" s="11"/>
      <c r="P636" s="11"/>
      <c r="Q636" s="11"/>
      <c r="R636" s="11"/>
    </row>
    <row r="637" spans="1:18">
      <c r="A637" s="10"/>
      <c r="B637" s="10"/>
      <c r="C637" s="11"/>
      <c r="D637" s="10"/>
      <c r="E637" s="11"/>
      <c r="F637" s="11"/>
      <c r="G637" s="11"/>
      <c r="H637" s="11"/>
      <c r="I637" s="11"/>
      <c r="J637" s="11"/>
      <c r="K637" s="12"/>
      <c r="L637" s="12"/>
      <c r="M637" s="11"/>
      <c r="N637" s="11"/>
      <c r="O637" s="11"/>
      <c r="P637" s="11"/>
      <c r="Q637" s="11"/>
      <c r="R637" s="11"/>
    </row>
    <row r="638" spans="1:18">
      <c r="A638" s="10"/>
      <c r="B638" s="10"/>
      <c r="C638" s="11"/>
      <c r="D638" s="10"/>
      <c r="E638" s="11"/>
      <c r="F638" s="11"/>
      <c r="G638" s="11"/>
      <c r="H638" s="11"/>
      <c r="I638" s="11"/>
      <c r="J638" s="11"/>
      <c r="K638" s="12"/>
      <c r="L638" s="12"/>
      <c r="M638" s="11"/>
      <c r="N638" s="11"/>
      <c r="O638" s="11"/>
      <c r="P638" s="11"/>
      <c r="Q638" s="11"/>
      <c r="R638" s="11"/>
    </row>
    <row r="639" spans="1:18">
      <c r="A639" s="10"/>
      <c r="B639" s="10"/>
      <c r="C639" s="11"/>
      <c r="D639" s="10"/>
      <c r="E639" s="11"/>
      <c r="F639" s="11"/>
      <c r="G639" s="11"/>
      <c r="H639" s="11"/>
      <c r="I639" s="11"/>
      <c r="J639" s="11"/>
      <c r="K639" s="12"/>
      <c r="L639" s="12"/>
      <c r="M639" s="11"/>
      <c r="N639" s="11"/>
      <c r="O639" s="11"/>
      <c r="P639" s="11"/>
      <c r="Q639" s="11"/>
      <c r="R639" s="11"/>
    </row>
    <row r="640" spans="1:18">
      <c r="A640" s="10"/>
      <c r="B640" s="10"/>
      <c r="C640" s="11"/>
      <c r="D640" s="10"/>
      <c r="E640" s="11"/>
      <c r="F640" s="11"/>
      <c r="G640" s="11"/>
      <c r="H640" s="11"/>
      <c r="I640" s="11"/>
      <c r="J640" s="11"/>
      <c r="K640" s="12"/>
      <c r="L640" s="12"/>
      <c r="M640" s="11"/>
      <c r="N640" s="11"/>
      <c r="O640" s="11"/>
      <c r="P640" s="11"/>
      <c r="Q640" s="11"/>
      <c r="R640" s="11"/>
    </row>
    <row r="641" spans="1:18">
      <c r="A641" s="10"/>
      <c r="B641" s="10"/>
      <c r="C641" s="11"/>
      <c r="D641" s="10"/>
      <c r="E641" s="11"/>
      <c r="F641" s="11"/>
      <c r="G641" s="11"/>
      <c r="H641" s="11"/>
      <c r="I641" s="11"/>
      <c r="J641" s="11"/>
      <c r="K641" s="12"/>
      <c r="L641" s="12"/>
      <c r="M641" s="11"/>
      <c r="N641" s="11"/>
      <c r="O641" s="11"/>
      <c r="P641" s="11"/>
      <c r="Q641" s="11"/>
      <c r="R641" s="11"/>
    </row>
    <row r="642" spans="1:18">
      <c r="A642" s="10"/>
      <c r="B642" s="10"/>
      <c r="C642" s="11"/>
      <c r="D642" s="10"/>
      <c r="E642" s="11"/>
      <c r="F642" s="11"/>
      <c r="G642" s="11"/>
      <c r="H642" s="11"/>
      <c r="I642" s="11"/>
      <c r="J642" s="11"/>
      <c r="K642" s="12"/>
      <c r="L642" s="12"/>
      <c r="M642" s="11"/>
      <c r="N642" s="11"/>
      <c r="O642" s="11"/>
      <c r="P642" s="11"/>
      <c r="Q642" s="11"/>
      <c r="R642" s="11"/>
    </row>
    <row r="643" spans="1:18">
      <c r="A643" s="10"/>
      <c r="B643" s="10"/>
      <c r="C643" s="11"/>
      <c r="D643" s="10"/>
      <c r="E643" s="11"/>
      <c r="F643" s="11"/>
      <c r="G643" s="11"/>
      <c r="H643" s="11"/>
      <c r="I643" s="11"/>
      <c r="J643" s="11"/>
      <c r="K643" s="12"/>
      <c r="L643" s="12"/>
      <c r="M643" s="11"/>
      <c r="N643" s="11"/>
      <c r="O643" s="11"/>
      <c r="P643" s="11"/>
      <c r="Q643" s="11"/>
      <c r="R643" s="11"/>
    </row>
    <row r="644" spans="1:18">
      <c r="A644" s="10"/>
      <c r="B644" s="10"/>
      <c r="C644" s="11"/>
      <c r="D644" s="10"/>
      <c r="E644" s="11"/>
      <c r="F644" s="11"/>
      <c r="G644" s="11"/>
      <c r="H644" s="11"/>
      <c r="I644" s="11"/>
      <c r="J644" s="11"/>
      <c r="K644" s="12"/>
      <c r="L644" s="12"/>
      <c r="M644" s="11"/>
      <c r="N644" s="11"/>
      <c r="O644" s="11"/>
      <c r="P644" s="11"/>
      <c r="Q644" s="11"/>
      <c r="R644" s="11"/>
    </row>
    <row r="645" spans="1:18">
      <c r="A645" s="10"/>
      <c r="B645" s="10"/>
      <c r="C645" s="11"/>
      <c r="D645" s="10"/>
      <c r="E645" s="11"/>
      <c r="F645" s="11"/>
      <c r="G645" s="11"/>
      <c r="H645" s="11"/>
      <c r="I645" s="11"/>
      <c r="J645" s="11"/>
      <c r="K645" s="12"/>
      <c r="L645" s="12"/>
      <c r="M645" s="11"/>
      <c r="N645" s="11"/>
      <c r="O645" s="11"/>
      <c r="P645" s="11"/>
      <c r="Q645" s="11"/>
      <c r="R645" s="11"/>
    </row>
    <row r="646" spans="1:18">
      <c r="A646" s="10"/>
      <c r="B646" s="10"/>
      <c r="C646" s="11"/>
      <c r="D646" s="10"/>
      <c r="E646" s="11"/>
      <c r="F646" s="11"/>
      <c r="G646" s="11"/>
      <c r="H646" s="11"/>
      <c r="I646" s="11"/>
      <c r="J646" s="11"/>
      <c r="K646" s="12"/>
      <c r="L646" s="12"/>
      <c r="M646" s="11"/>
      <c r="N646" s="11"/>
      <c r="O646" s="11"/>
      <c r="P646" s="11"/>
      <c r="Q646" s="11"/>
      <c r="R646" s="11"/>
    </row>
    <row r="647" spans="1:18">
      <c r="A647" s="10"/>
      <c r="B647" s="10"/>
      <c r="C647" s="11"/>
      <c r="D647" s="10"/>
      <c r="E647" s="11"/>
      <c r="F647" s="11"/>
      <c r="G647" s="11"/>
      <c r="H647" s="11"/>
      <c r="I647" s="11"/>
      <c r="J647" s="11"/>
      <c r="K647" s="12"/>
      <c r="L647" s="12"/>
      <c r="M647" s="11"/>
      <c r="N647" s="11"/>
      <c r="O647" s="11"/>
      <c r="P647" s="11"/>
      <c r="Q647" s="11"/>
      <c r="R647" s="11"/>
    </row>
    <row r="648" spans="1:18">
      <c r="A648" s="10"/>
      <c r="B648" s="10"/>
      <c r="C648" s="11"/>
      <c r="D648" s="10"/>
      <c r="E648" s="11"/>
      <c r="F648" s="11"/>
      <c r="G648" s="11"/>
      <c r="H648" s="11"/>
      <c r="I648" s="11"/>
      <c r="J648" s="11"/>
      <c r="K648" s="12"/>
      <c r="L648" s="12"/>
      <c r="M648" s="11"/>
      <c r="N648" s="11"/>
      <c r="O648" s="11"/>
      <c r="P648" s="11"/>
      <c r="Q648" s="11"/>
      <c r="R648" s="11"/>
    </row>
    <row r="649" spans="1:18">
      <c r="A649" s="10"/>
      <c r="B649" s="10"/>
      <c r="C649" s="11"/>
      <c r="D649" s="10"/>
      <c r="E649" s="11"/>
      <c r="F649" s="11"/>
      <c r="G649" s="11"/>
      <c r="H649" s="11"/>
      <c r="I649" s="11"/>
      <c r="J649" s="11"/>
      <c r="K649" s="12"/>
      <c r="L649" s="12"/>
      <c r="M649" s="11"/>
      <c r="N649" s="11"/>
      <c r="O649" s="11"/>
      <c r="P649" s="11"/>
      <c r="Q649" s="11"/>
      <c r="R649" s="11"/>
    </row>
    <row r="650" spans="1:18">
      <c r="A650" s="10"/>
      <c r="B650" s="10"/>
      <c r="C650" s="11"/>
      <c r="D650" s="10"/>
      <c r="E650" s="11"/>
      <c r="F650" s="11"/>
      <c r="G650" s="11"/>
      <c r="H650" s="11"/>
      <c r="I650" s="11"/>
      <c r="J650" s="11"/>
      <c r="K650" s="12"/>
      <c r="L650" s="12"/>
      <c r="M650" s="11"/>
      <c r="N650" s="11"/>
      <c r="O650" s="11"/>
      <c r="P650" s="11"/>
      <c r="Q650" s="11"/>
      <c r="R650" s="11"/>
    </row>
    <row r="651" spans="1:18">
      <c r="A651" s="10"/>
      <c r="B651" s="10"/>
      <c r="C651" s="11"/>
      <c r="D651" s="10"/>
      <c r="E651" s="11"/>
      <c r="F651" s="11"/>
      <c r="G651" s="11"/>
      <c r="H651" s="11"/>
      <c r="I651" s="11"/>
      <c r="J651" s="11"/>
      <c r="K651" s="12"/>
      <c r="L651" s="12"/>
      <c r="M651" s="11"/>
      <c r="N651" s="11"/>
      <c r="O651" s="11"/>
      <c r="P651" s="11"/>
      <c r="Q651" s="11"/>
      <c r="R651" s="11"/>
    </row>
    <row r="652" spans="1:18">
      <c r="A652" s="10"/>
      <c r="B652" s="10"/>
      <c r="C652" s="11"/>
      <c r="D652" s="10"/>
      <c r="E652" s="11"/>
      <c r="F652" s="11"/>
      <c r="G652" s="11"/>
      <c r="H652" s="11"/>
      <c r="I652" s="11"/>
      <c r="J652" s="11"/>
      <c r="K652" s="12"/>
      <c r="L652" s="12"/>
      <c r="M652" s="11"/>
      <c r="N652" s="11"/>
      <c r="O652" s="11"/>
      <c r="P652" s="11"/>
      <c r="Q652" s="11"/>
      <c r="R652" s="11"/>
    </row>
    <row r="653" spans="1:18">
      <c r="A653" s="10"/>
      <c r="B653" s="10"/>
      <c r="C653" s="11"/>
      <c r="D653" s="10"/>
      <c r="E653" s="11"/>
      <c r="F653" s="11"/>
      <c r="G653" s="11"/>
      <c r="H653" s="11"/>
      <c r="I653" s="11"/>
      <c r="J653" s="11"/>
      <c r="K653" s="12"/>
      <c r="L653" s="12"/>
      <c r="M653" s="11"/>
      <c r="N653" s="11"/>
      <c r="O653" s="11"/>
      <c r="P653" s="11"/>
      <c r="Q653" s="11"/>
      <c r="R653" s="11"/>
    </row>
    <row r="654" spans="1:18">
      <c r="A654" s="10"/>
      <c r="B654" s="10"/>
      <c r="C654" s="11"/>
      <c r="D654" s="10"/>
      <c r="E654" s="11"/>
      <c r="F654" s="11"/>
      <c r="G654" s="11"/>
      <c r="H654" s="11"/>
      <c r="I654" s="11"/>
      <c r="J654" s="11"/>
      <c r="K654" s="12"/>
      <c r="L654" s="12"/>
      <c r="M654" s="11"/>
      <c r="N654" s="11"/>
      <c r="O654" s="11"/>
      <c r="P654" s="11"/>
      <c r="Q654" s="11"/>
      <c r="R654" s="11"/>
    </row>
    <row r="655" spans="1:18">
      <c r="A655" s="10"/>
      <c r="B655" s="10"/>
      <c r="C655" s="11"/>
      <c r="D655" s="10"/>
      <c r="E655" s="11"/>
      <c r="F655" s="11"/>
      <c r="G655" s="11"/>
      <c r="H655" s="11"/>
      <c r="I655" s="11"/>
      <c r="J655" s="11"/>
      <c r="K655" s="12"/>
      <c r="L655" s="12"/>
      <c r="M655" s="11"/>
      <c r="N655" s="11"/>
      <c r="O655" s="11"/>
      <c r="P655" s="11"/>
      <c r="Q655" s="11"/>
      <c r="R655" s="11"/>
    </row>
    <row r="656" spans="1:18">
      <c r="A656" s="10"/>
      <c r="B656" s="10"/>
      <c r="C656" s="11"/>
      <c r="D656" s="10"/>
      <c r="E656" s="11"/>
      <c r="F656" s="11"/>
      <c r="G656" s="11"/>
      <c r="H656" s="11"/>
      <c r="I656" s="11"/>
      <c r="J656" s="11"/>
      <c r="K656" s="12"/>
      <c r="L656" s="12"/>
      <c r="M656" s="11"/>
      <c r="N656" s="11"/>
      <c r="O656" s="11"/>
      <c r="P656" s="11"/>
      <c r="Q656" s="11"/>
      <c r="R656" s="11"/>
    </row>
    <row r="657" spans="1:18">
      <c r="A657" s="10"/>
      <c r="B657" s="10"/>
      <c r="C657" s="11"/>
      <c r="D657" s="10"/>
      <c r="E657" s="11"/>
      <c r="F657" s="11"/>
      <c r="G657" s="11"/>
      <c r="H657" s="11"/>
      <c r="I657" s="11"/>
      <c r="J657" s="11"/>
      <c r="K657" s="12"/>
      <c r="L657" s="12"/>
      <c r="M657" s="11"/>
      <c r="N657" s="11"/>
      <c r="O657" s="11"/>
      <c r="P657" s="11"/>
      <c r="Q657" s="11"/>
      <c r="R657" s="11"/>
    </row>
    <row r="658" spans="1:18">
      <c r="A658" s="10"/>
      <c r="B658" s="10"/>
      <c r="C658" s="11"/>
      <c r="D658" s="10"/>
      <c r="E658" s="11"/>
      <c r="F658" s="11"/>
      <c r="G658" s="11"/>
      <c r="H658" s="11"/>
      <c r="I658" s="11"/>
      <c r="J658" s="11"/>
      <c r="K658" s="12"/>
      <c r="L658" s="12"/>
      <c r="M658" s="11"/>
      <c r="N658" s="11"/>
      <c r="O658" s="11"/>
      <c r="P658" s="11"/>
      <c r="Q658" s="11"/>
      <c r="R658" s="11"/>
    </row>
    <row r="659" spans="1:18">
      <c r="A659" s="10"/>
      <c r="B659" s="10"/>
      <c r="C659" s="11"/>
      <c r="D659" s="10"/>
      <c r="E659" s="11"/>
      <c r="F659" s="11"/>
      <c r="G659" s="11"/>
      <c r="H659" s="11"/>
      <c r="I659" s="11"/>
      <c r="J659" s="11"/>
      <c r="K659" s="12"/>
      <c r="L659" s="12"/>
      <c r="M659" s="11"/>
      <c r="N659" s="11"/>
      <c r="O659" s="11"/>
      <c r="P659" s="11"/>
      <c r="Q659" s="11"/>
      <c r="R659" s="11"/>
    </row>
    <row r="660" spans="1:18">
      <c r="A660" s="10"/>
      <c r="B660" s="10"/>
      <c r="C660" s="11"/>
      <c r="D660" s="10"/>
      <c r="E660" s="11"/>
      <c r="F660" s="11"/>
      <c r="G660" s="11"/>
      <c r="H660" s="11"/>
      <c r="I660" s="11"/>
      <c r="J660" s="11"/>
      <c r="K660" s="12"/>
      <c r="L660" s="12"/>
      <c r="M660" s="11"/>
      <c r="N660" s="11"/>
      <c r="O660" s="11"/>
      <c r="P660" s="11"/>
      <c r="Q660" s="11"/>
      <c r="R660" s="11"/>
    </row>
    <row r="661" spans="1:18">
      <c r="A661" s="10"/>
      <c r="B661" s="10"/>
      <c r="C661" s="11"/>
      <c r="D661" s="10"/>
      <c r="E661" s="11"/>
      <c r="F661" s="11"/>
      <c r="G661" s="11"/>
      <c r="H661" s="11"/>
      <c r="I661" s="11"/>
      <c r="J661" s="11"/>
      <c r="K661" s="12"/>
      <c r="L661" s="12"/>
      <c r="M661" s="11"/>
      <c r="N661" s="11"/>
      <c r="O661" s="11"/>
      <c r="P661" s="11"/>
      <c r="Q661" s="11"/>
      <c r="R661" s="11"/>
    </row>
    <row r="662" spans="1:18">
      <c r="A662" s="10"/>
      <c r="B662" s="10"/>
      <c r="C662" s="11"/>
      <c r="D662" s="10"/>
      <c r="E662" s="11"/>
      <c r="F662" s="11"/>
      <c r="G662" s="11"/>
      <c r="H662" s="11"/>
      <c r="I662" s="11"/>
      <c r="J662" s="11"/>
      <c r="K662" s="12"/>
      <c r="L662" s="12"/>
      <c r="M662" s="11"/>
      <c r="N662" s="11"/>
      <c r="O662" s="11"/>
      <c r="P662" s="11"/>
      <c r="Q662" s="11"/>
      <c r="R662" s="11"/>
    </row>
    <row r="663" spans="1:18">
      <c r="A663" s="10"/>
      <c r="B663" s="10"/>
      <c r="C663" s="11"/>
      <c r="D663" s="10"/>
      <c r="E663" s="11"/>
      <c r="F663" s="11"/>
      <c r="G663" s="11"/>
      <c r="H663" s="11"/>
      <c r="I663" s="11"/>
      <c r="J663" s="11"/>
      <c r="K663" s="12"/>
      <c r="L663" s="12"/>
      <c r="M663" s="11"/>
      <c r="N663" s="11"/>
      <c r="O663" s="11"/>
      <c r="P663" s="11"/>
      <c r="Q663" s="11"/>
      <c r="R663" s="11"/>
    </row>
    <row r="664" spans="1:18">
      <c r="A664" s="10"/>
      <c r="B664" s="10"/>
      <c r="C664" s="11"/>
      <c r="D664" s="10"/>
      <c r="E664" s="11"/>
      <c r="F664" s="11"/>
      <c r="G664" s="11"/>
      <c r="H664" s="11"/>
      <c r="I664" s="11"/>
      <c r="J664" s="11"/>
      <c r="K664" s="12"/>
      <c r="L664" s="12"/>
      <c r="M664" s="11"/>
      <c r="N664" s="11"/>
      <c r="O664" s="11"/>
      <c r="P664" s="11"/>
      <c r="Q664" s="11"/>
      <c r="R664" s="11"/>
    </row>
    <row r="665" spans="1:18">
      <c r="A665" s="10"/>
      <c r="B665" s="10"/>
      <c r="C665" s="11"/>
      <c r="D665" s="10"/>
      <c r="E665" s="11"/>
      <c r="F665" s="11"/>
      <c r="G665" s="11"/>
      <c r="H665" s="11"/>
      <c r="I665" s="11"/>
      <c r="J665" s="11"/>
      <c r="K665" s="12"/>
      <c r="L665" s="12"/>
      <c r="M665" s="11"/>
      <c r="N665" s="11"/>
      <c r="O665" s="11"/>
      <c r="P665" s="11"/>
      <c r="Q665" s="11"/>
      <c r="R665" s="11"/>
    </row>
    <row r="666" spans="1:18">
      <c r="A666" s="10"/>
      <c r="B666" s="10"/>
      <c r="C666" s="11"/>
      <c r="D666" s="10"/>
      <c r="E666" s="11"/>
      <c r="F666" s="11"/>
      <c r="G666" s="11"/>
      <c r="H666" s="11"/>
      <c r="I666" s="11"/>
      <c r="J666" s="11"/>
      <c r="K666" s="12"/>
      <c r="L666" s="12"/>
      <c r="M666" s="11"/>
      <c r="N666" s="11"/>
      <c r="O666" s="11"/>
      <c r="P666" s="11"/>
      <c r="Q666" s="11"/>
      <c r="R666" s="11"/>
    </row>
    <row r="667" spans="1:18">
      <c r="A667" s="10"/>
      <c r="B667" s="10"/>
      <c r="C667" s="11"/>
      <c r="D667" s="10"/>
      <c r="E667" s="11"/>
      <c r="F667" s="11"/>
      <c r="G667" s="11"/>
      <c r="H667" s="11"/>
      <c r="I667" s="11"/>
      <c r="J667" s="11"/>
      <c r="K667" s="12"/>
      <c r="L667" s="12"/>
      <c r="M667" s="11"/>
      <c r="N667" s="11"/>
      <c r="O667" s="11"/>
      <c r="P667" s="11"/>
      <c r="Q667" s="11"/>
      <c r="R667" s="11"/>
    </row>
    <row r="668" spans="1:18">
      <c r="A668" s="10"/>
      <c r="B668" s="10"/>
      <c r="C668" s="11"/>
      <c r="D668" s="10"/>
      <c r="E668" s="11"/>
      <c r="F668" s="11"/>
      <c r="G668" s="11"/>
      <c r="H668" s="11"/>
      <c r="I668" s="11"/>
      <c r="J668" s="11"/>
      <c r="K668" s="12"/>
      <c r="L668" s="12"/>
      <c r="M668" s="11"/>
      <c r="N668" s="11"/>
      <c r="O668" s="11"/>
      <c r="P668" s="11"/>
      <c r="Q668" s="11"/>
      <c r="R668" s="11"/>
    </row>
    <row r="669" spans="1:18">
      <c r="A669" s="10"/>
      <c r="B669" s="10"/>
      <c r="C669" s="11"/>
      <c r="D669" s="10"/>
      <c r="E669" s="11"/>
      <c r="F669" s="11"/>
      <c r="G669" s="11"/>
      <c r="H669" s="11"/>
      <c r="I669" s="11"/>
      <c r="J669" s="11"/>
      <c r="K669" s="12"/>
      <c r="L669" s="12"/>
      <c r="M669" s="11"/>
      <c r="N669" s="11"/>
      <c r="O669" s="11"/>
      <c r="P669" s="11"/>
      <c r="Q669" s="11"/>
      <c r="R669" s="11"/>
    </row>
    <row r="670" spans="1:18">
      <c r="A670" s="10"/>
      <c r="B670" s="10"/>
      <c r="C670" s="11"/>
      <c r="D670" s="10"/>
      <c r="E670" s="11"/>
      <c r="F670" s="11"/>
      <c r="G670" s="11"/>
      <c r="H670" s="11"/>
      <c r="I670" s="11"/>
      <c r="J670" s="11"/>
      <c r="K670" s="12"/>
      <c r="L670" s="12"/>
      <c r="M670" s="11"/>
      <c r="N670" s="11"/>
      <c r="O670" s="11"/>
      <c r="P670" s="11"/>
      <c r="Q670" s="11"/>
      <c r="R670" s="11"/>
    </row>
    <row r="671" spans="1:18">
      <c r="A671" s="10"/>
      <c r="B671" s="10"/>
      <c r="C671" s="11"/>
      <c r="D671" s="10"/>
      <c r="E671" s="11"/>
      <c r="F671" s="11"/>
      <c r="G671" s="11"/>
      <c r="H671" s="11"/>
      <c r="I671" s="11"/>
      <c r="J671" s="11"/>
      <c r="K671" s="12"/>
      <c r="L671" s="12"/>
      <c r="M671" s="11"/>
      <c r="N671" s="11"/>
      <c r="O671" s="11"/>
      <c r="P671" s="11"/>
      <c r="Q671" s="11"/>
      <c r="R671" s="11"/>
    </row>
    <row r="672" spans="1:18">
      <c r="A672" s="10"/>
      <c r="B672" s="10"/>
      <c r="C672" s="11"/>
      <c r="D672" s="10"/>
      <c r="E672" s="11"/>
      <c r="F672" s="11"/>
      <c r="G672" s="11"/>
      <c r="H672" s="11"/>
      <c r="I672" s="11"/>
      <c r="J672" s="11"/>
      <c r="K672" s="12"/>
      <c r="L672" s="12"/>
      <c r="M672" s="11"/>
      <c r="N672" s="11"/>
      <c r="O672" s="11"/>
      <c r="P672" s="11"/>
      <c r="Q672" s="11"/>
      <c r="R672" s="11"/>
    </row>
    <row r="673" spans="1:18">
      <c r="A673" s="10"/>
      <c r="B673" s="10"/>
      <c r="C673" s="11"/>
      <c r="D673" s="10"/>
      <c r="E673" s="11"/>
      <c r="F673" s="11"/>
      <c r="G673" s="11"/>
      <c r="H673" s="11"/>
      <c r="I673" s="11"/>
      <c r="J673" s="11"/>
      <c r="K673" s="12"/>
      <c r="L673" s="12"/>
      <c r="M673" s="11"/>
      <c r="N673" s="11"/>
      <c r="O673" s="11"/>
      <c r="P673" s="11"/>
      <c r="Q673" s="11"/>
      <c r="R673" s="11"/>
    </row>
    <row r="674" spans="1:18">
      <c r="A674" s="10"/>
      <c r="B674" s="10"/>
      <c r="C674" s="11"/>
      <c r="D674" s="10"/>
      <c r="E674" s="11"/>
      <c r="F674" s="11"/>
      <c r="G674" s="11"/>
      <c r="H674" s="11"/>
      <c r="I674" s="11"/>
      <c r="J674" s="11"/>
      <c r="K674" s="12"/>
      <c r="L674" s="12"/>
      <c r="M674" s="11"/>
      <c r="N674" s="11"/>
      <c r="O674" s="11"/>
      <c r="P674" s="11"/>
      <c r="Q674" s="11"/>
      <c r="R674" s="11"/>
    </row>
    <row r="675" spans="1:18">
      <c r="A675" s="10"/>
      <c r="B675" s="10"/>
      <c r="C675" s="11"/>
      <c r="D675" s="10"/>
      <c r="E675" s="11"/>
      <c r="F675" s="11"/>
      <c r="G675" s="11"/>
      <c r="H675" s="11"/>
      <c r="I675" s="11"/>
      <c r="J675" s="11"/>
      <c r="K675" s="12"/>
      <c r="L675" s="12"/>
      <c r="M675" s="11"/>
      <c r="N675" s="11"/>
      <c r="O675" s="11"/>
      <c r="P675" s="11"/>
      <c r="Q675" s="11"/>
      <c r="R675" s="11"/>
    </row>
    <row r="676" spans="1:18">
      <c r="A676" s="10"/>
      <c r="B676" s="10"/>
      <c r="C676" s="11"/>
      <c r="D676" s="10"/>
      <c r="E676" s="11"/>
      <c r="F676" s="11"/>
      <c r="G676" s="11"/>
      <c r="H676" s="11"/>
      <c r="I676" s="11"/>
      <c r="J676" s="11"/>
      <c r="K676" s="12"/>
      <c r="L676" s="12"/>
      <c r="M676" s="11"/>
      <c r="N676" s="11"/>
      <c r="O676" s="11"/>
      <c r="P676" s="11"/>
      <c r="Q676" s="11"/>
      <c r="R676" s="11"/>
    </row>
    <row r="677" spans="1:18">
      <c r="A677" s="10"/>
      <c r="B677" s="10"/>
      <c r="C677" s="11"/>
      <c r="D677" s="10"/>
      <c r="E677" s="11"/>
      <c r="F677" s="11"/>
      <c r="G677" s="11"/>
      <c r="H677" s="11"/>
      <c r="I677" s="11"/>
      <c r="J677" s="11"/>
      <c r="K677" s="12"/>
      <c r="L677" s="12"/>
      <c r="M677" s="11"/>
      <c r="N677" s="11"/>
      <c r="O677" s="11"/>
      <c r="P677" s="11"/>
      <c r="Q677" s="11"/>
      <c r="R677" s="11"/>
    </row>
    <row r="678" spans="1:18">
      <c r="A678" s="10"/>
      <c r="B678" s="10"/>
      <c r="C678" s="11"/>
      <c r="D678" s="10"/>
      <c r="E678" s="11"/>
      <c r="F678" s="11"/>
      <c r="G678" s="11"/>
      <c r="H678" s="11"/>
      <c r="I678" s="11"/>
      <c r="J678" s="11"/>
      <c r="K678" s="12"/>
      <c r="L678" s="12"/>
      <c r="M678" s="11"/>
      <c r="N678" s="11"/>
      <c r="O678" s="11"/>
      <c r="P678" s="11"/>
      <c r="Q678" s="11"/>
      <c r="R678" s="11"/>
    </row>
    <row r="679" spans="1:18">
      <c r="A679" s="10"/>
      <c r="B679" s="10"/>
      <c r="C679" s="11"/>
      <c r="D679" s="10"/>
      <c r="E679" s="11"/>
      <c r="F679" s="11"/>
      <c r="G679" s="11"/>
      <c r="H679" s="11"/>
      <c r="I679" s="11"/>
      <c r="J679" s="11"/>
      <c r="K679" s="12"/>
      <c r="L679" s="12"/>
      <c r="M679" s="11"/>
      <c r="N679" s="11"/>
      <c r="O679" s="11"/>
      <c r="P679" s="11"/>
      <c r="Q679" s="11"/>
      <c r="R679" s="11"/>
    </row>
    <row r="680" spans="1:18">
      <c r="A680" s="10"/>
      <c r="B680" s="10"/>
      <c r="C680" s="11"/>
      <c r="D680" s="10"/>
      <c r="E680" s="11"/>
      <c r="F680" s="11"/>
      <c r="G680" s="11"/>
      <c r="H680" s="11"/>
      <c r="I680" s="11"/>
      <c r="J680" s="11"/>
      <c r="K680" s="12"/>
      <c r="L680" s="12"/>
      <c r="M680" s="11"/>
      <c r="N680" s="11"/>
      <c r="O680" s="11"/>
      <c r="P680" s="11"/>
      <c r="Q680" s="11"/>
      <c r="R680" s="11"/>
    </row>
    <row r="681" spans="1:18">
      <c r="A681" s="10"/>
      <c r="B681" s="10"/>
      <c r="C681" s="11"/>
      <c r="D681" s="10"/>
      <c r="E681" s="11"/>
      <c r="F681" s="11"/>
      <c r="G681" s="11"/>
      <c r="H681" s="11"/>
      <c r="I681" s="11"/>
      <c r="J681" s="11"/>
      <c r="K681" s="12"/>
      <c r="L681" s="12"/>
      <c r="M681" s="11"/>
      <c r="N681" s="11"/>
      <c r="O681" s="11"/>
      <c r="P681" s="11"/>
      <c r="Q681" s="11"/>
      <c r="R681" s="11"/>
    </row>
    <row r="682" spans="1:18">
      <c r="A682" s="10"/>
      <c r="B682" s="10"/>
      <c r="C682" s="11"/>
      <c r="D682" s="10"/>
      <c r="E682" s="11"/>
      <c r="F682" s="11"/>
      <c r="G682" s="11"/>
      <c r="H682" s="11"/>
      <c r="I682" s="11"/>
      <c r="J682" s="11"/>
      <c r="K682" s="12"/>
      <c r="L682" s="12"/>
      <c r="M682" s="11"/>
      <c r="N682" s="11"/>
      <c r="O682" s="11"/>
      <c r="P682" s="11"/>
      <c r="Q682" s="11"/>
      <c r="R682" s="11"/>
    </row>
    <row r="683" spans="1:18">
      <c r="A683" s="10"/>
      <c r="B683" s="10"/>
      <c r="C683" s="11"/>
      <c r="D683" s="10"/>
      <c r="E683" s="11"/>
      <c r="F683" s="11"/>
      <c r="G683" s="11"/>
      <c r="H683" s="11"/>
      <c r="I683" s="11"/>
      <c r="J683" s="11"/>
      <c r="K683" s="12"/>
      <c r="L683" s="12"/>
      <c r="M683" s="11"/>
      <c r="N683" s="11"/>
      <c r="O683" s="11"/>
      <c r="P683" s="11"/>
      <c r="Q683" s="11"/>
      <c r="R683" s="11"/>
    </row>
    <row r="684" spans="1:18">
      <c r="A684" s="10"/>
      <c r="B684" s="10"/>
      <c r="C684" s="11"/>
      <c r="D684" s="10"/>
      <c r="E684" s="11"/>
      <c r="F684" s="11"/>
      <c r="G684" s="11"/>
      <c r="H684" s="11"/>
      <c r="I684" s="11"/>
      <c r="J684" s="11"/>
      <c r="K684" s="12"/>
      <c r="L684" s="12"/>
      <c r="M684" s="11"/>
      <c r="N684" s="11"/>
      <c r="O684" s="11"/>
      <c r="P684" s="11"/>
      <c r="Q684" s="11"/>
      <c r="R684" s="11"/>
    </row>
    <row r="685" spans="1:18">
      <c r="A685" s="10"/>
      <c r="B685" s="10"/>
      <c r="C685" s="11"/>
      <c r="D685" s="10"/>
      <c r="E685" s="11"/>
      <c r="F685" s="11"/>
      <c r="G685" s="11"/>
      <c r="H685" s="11"/>
      <c r="I685" s="11"/>
      <c r="J685" s="11"/>
      <c r="K685" s="12"/>
      <c r="L685" s="12"/>
      <c r="M685" s="11"/>
      <c r="N685" s="11"/>
      <c r="O685" s="11"/>
      <c r="P685" s="11"/>
      <c r="Q685" s="11"/>
      <c r="R685" s="11"/>
    </row>
    <row r="686" spans="1:18">
      <c r="A686" s="10"/>
      <c r="B686" s="10"/>
      <c r="C686" s="11"/>
      <c r="D686" s="10"/>
      <c r="E686" s="11"/>
      <c r="F686" s="11"/>
      <c r="G686" s="11"/>
      <c r="H686" s="11"/>
      <c r="I686" s="11"/>
      <c r="J686" s="11"/>
      <c r="K686" s="12"/>
      <c r="L686" s="12"/>
      <c r="M686" s="11"/>
      <c r="N686" s="11"/>
      <c r="O686" s="11"/>
      <c r="P686" s="11"/>
      <c r="Q686" s="11"/>
      <c r="R686" s="11"/>
    </row>
    <row r="687" spans="1:18">
      <c r="A687" s="10"/>
      <c r="B687" s="10"/>
      <c r="C687" s="11"/>
      <c r="D687" s="10"/>
      <c r="E687" s="11"/>
      <c r="F687" s="11"/>
      <c r="G687" s="11"/>
      <c r="H687" s="11"/>
      <c r="I687" s="11"/>
      <c r="J687" s="11"/>
      <c r="K687" s="12"/>
      <c r="L687" s="12"/>
      <c r="M687" s="11"/>
      <c r="N687" s="11"/>
      <c r="O687" s="11"/>
      <c r="P687" s="11"/>
      <c r="Q687" s="11"/>
      <c r="R687" s="11"/>
    </row>
    <row r="688" spans="1:18">
      <c r="A688" s="10"/>
      <c r="B688" s="10"/>
      <c r="C688" s="11"/>
      <c r="D688" s="10"/>
      <c r="E688" s="11"/>
      <c r="F688" s="11"/>
      <c r="G688" s="11"/>
      <c r="H688" s="11"/>
      <c r="I688" s="11"/>
      <c r="J688" s="11"/>
      <c r="K688" s="12"/>
      <c r="L688" s="12"/>
      <c r="M688" s="11"/>
      <c r="N688" s="11"/>
      <c r="O688" s="11"/>
      <c r="P688" s="11"/>
      <c r="Q688" s="11"/>
      <c r="R688" s="11"/>
    </row>
    <row r="689" spans="1:18">
      <c r="A689" s="10"/>
      <c r="B689" s="10"/>
      <c r="C689" s="11"/>
      <c r="D689" s="10"/>
      <c r="E689" s="11"/>
      <c r="F689" s="11"/>
      <c r="G689" s="11"/>
      <c r="H689" s="11"/>
      <c r="I689" s="11"/>
      <c r="J689" s="11"/>
      <c r="K689" s="12"/>
      <c r="L689" s="12"/>
      <c r="M689" s="11"/>
      <c r="N689" s="11"/>
      <c r="O689" s="11"/>
      <c r="P689" s="11"/>
      <c r="Q689" s="11"/>
      <c r="R689" s="11"/>
    </row>
    <row r="690" spans="1:18">
      <c r="A690" s="10"/>
      <c r="B690" s="10"/>
      <c r="C690" s="11"/>
      <c r="D690" s="10"/>
      <c r="E690" s="11"/>
      <c r="F690" s="11"/>
      <c r="G690" s="11"/>
      <c r="H690" s="11"/>
      <c r="I690" s="11"/>
      <c r="J690" s="11"/>
      <c r="K690" s="12"/>
      <c r="L690" s="12"/>
      <c r="M690" s="11"/>
      <c r="N690" s="11"/>
      <c r="O690" s="11"/>
      <c r="P690" s="11"/>
      <c r="Q690" s="11"/>
      <c r="R690" s="11"/>
    </row>
    <row r="691" spans="1:18">
      <c r="A691" s="10"/>
      <c r="B691" s="10"/>
      <c r="C691" s="11"/>
      <c r="D691" s="10"/>
      <c r="E691" s="11"/>
      <c r="F691" s="11"/>
      <c r="G691" s="11"/>
      <c r="H691" s="11"/>
      <c r="I691" s="11"/>
      <c r="J691" s="11"/>
      <c r="K691" s="12"/>
      <c r="L691" s="12"/>
      <c r="M691" s="11"/>
      <c r="N691" s="11"/>
      <c r="O691" s="11"/>
      <c r="P691" s="11"/>
      <c r="Q691" s="11"/>
      <c r="R691" s="11"/>
    </row>
    <row r="692" spans="1:18">
      <c r="A692" s="10"/>
      <c r="B692" s="10"/>
      <c r="C692" s="11"/>
      <c r="D692" s="10"/>
      <c r="E692" s="11"/>
      <c r="F692" s="11"/>
      <c r="G692" s="11"/>
      <c r="H692" s="11"/>
      <c r="I692" s="11"/>
      <c r="J692" s="11"/>
      <c r="K692" s="12"/>
      <c r="L692" s="12"/>
      <c r="M692" s="11"/>
      <c r="N692" s="11"/>
      <c r="O692" s="11"/>
      <c r="P692" s="11"/>
      <c r="Q692" s="11"/>
      <c r="R692" s="11"/>
    </row>
    <row r="693" spans="1:18">
      <c r="A693" s="10"/>
      <c r="B693" s="10"/>
      <c r="C693" s="11"/>
      <c r="D693" s="10"/>
      <c r="E693" s="11"/>
      <c r="F693" s="11"/>
      <c r="G693" s="11"/>
      <c r="H693" s="11"/>
      <c r="I693" s="11"/>
      <c r="J693" s="11"/>
      <c r="K693" s="12"/>
      <c r="L693" s="12"/>
      <c r="M693" s="11"/>
      <c r="N693" s="11"/>
      <c r="O693" s="11"/>
      <c r="P693" s="11"/>
      <c r="Q693" s="11"/>
      <c r="R693" s="11"/>
    </row>
    <row r="694" spans="1:18">
      <c r="A694" s="10"/>
      <c r="B694" s="10"/>
      <c r="C694" s="11"/>
      <c r="D694" s="10"/>
      <c r="E694" s="11"/>
      <c r="F694" s="11"/>
      <c r="G694" s="11"/>
      <c r="H694" s="11"/>
      <c r="I694" s="11"/>
      <c r="J694" s="11"/>
      <c r="K694" s="12"/>
      <c r="L694" s="12"/>
      <c r="M694" s="11"/>
      <c r="N694" s="11"/>
      <c r="O694" s="11"/>
      <c r="P694" s="11"/>
      <c r="Q694" s="11"/>
      <c r="R694" s="11"/>
    </row>
    <row r="695" spans="1:18">
      <c r="A695" s="10"/>
      <c r="B695" s="10"/>
      <c r="C695" s="11"/>
      <c r="D695" s="10"/>
      <c r="E695" s="11"/>
      <c r="F695" s="11"/>
      <c r="G695" s="11"/>
      <c r="H695" s="11"/>
      <c r="I695" s="11"/>
      <c r="J695" s="11"/>
      <c r="K695" s="12"/>
      <c r="L695" s="12"/>
      <c r="M695" s="11"/>
      <c r="N695" s="11"/>
      <c r="O695" s="11"/>
      <c r="P695" s="11"/>
      <c r="Q695" s="11"/>
      <c r="R695" s="11"/>
    </row>
    <row r="696" spans="1:18">
      <c r="A696" s="10"/>
      <c r="B696" s="10"/>
      <c r="C696" s="11"/>
      <c r="D696" s="10"/>
      <c r="E696" s="11"/>
      <c r="F696" s="11"/>
      <c r="G696" s="11"/>
      <c r="H696" s="11"/>
      <c r="I696" s="11"/>
      <c r="J696" s="11"/>
      <c r="K696" s="12"/>
      <c r="L696" s="12"/>
      <c r="M696" s="11"/>
      <c r="N696" s="11"/>
      <c r="O696" s="11"/>
      <c r="P696" s="11"/>
      <c r="Q696" s="11"/>
      <c r="R696" s="11"/>
    </row>
    <row r="697" spans="1:18">
      <c r="A697" s="10"/>
      <c r="B697" s="10"/>
      <c r="C697" s="11"/>
      <c r="D697" s="10"/>
      <c r="E697" s="11"/>
      <c r="F697" s="11"/>
      <c r="G697" s="11"/>
      <c r="H697" s="11"/>
      <c r="I697" s="11"/>
      <c r="J697" s="11"/>
      <c r="K697" s="12"/>
      <c r="L697" s="12"/>
      <c r="M697" s="11"/>
      <c r="N697" s="11"/>
      <c r="O697" s="11"/>
      <c r="P697" s="11"/>
      <c r="Q697" s="11"/>
      <c r="R697" s="11"/>
    </row>
    <row r="698" spans="1:18">
      <c r="A698" s="10"/>
      <c r="B698" s="10"/>
      <c r="C698" s="11"/>
      <c r="D698" s="10"/>
      <c r="E698" s="11"/>
      <c r="F698" s="11"/>
      <c r="G698" s="11"/>
      <c r="H698" s="11"/>
      <c r="I698" s="11"/>
      <c r="J698" s="11"/>
      <c r="K698" s="12"/>
      <c r="L698" s="12"/>
      <c r="M698" s="11"/>
      <c r="N698" s="11"/>
      <c r="O698" s="11"/>
      <c r="P698" s="11"/>
      <c r="Q698" s="11"/>
      <c r="R698" s="11"/>
    </row>
    <row r="699" spans="1:18">
      <c r="A699" s="10"/>
      <c r="B699" s="10"/>
      <c r="C699" s="11"/>
      <c r="D699" s="10"/>
      <c r="E699" s="11"/>
      <c r="F699" s="11"/>
      <c r="G699" s="11"/>
      <c r="H699" s="11"/>
      <c r="I699" s="11"/>
      <c r="J699" s="11"/>
      <c r="K699" s="12"/>
      <c r="L699" s="12"/>
      <c r="M699" s="11"/>
      <c r="N699" s="11"/>
      <c r="O699" s="11"/>
      <c r="P699" s="11"/>
      <c r="Q699" s="11"/>
      <c r="R699" s="11"/>
    </row>
    <row r="700" spans="1:18">
      <c r="A700" s="10"/>
      <c r="B700" s="10"/>
      <c r="C700" s="11"/>
      <c r="D700" s="10"/>
      <c r="E700" s="11"/>
      <c r="F700" s="11"/>
      <c r="G700" s="11"/>
      <c r="H700" s="11"/>
      <c r="I700" s="11"/>
      <c r="J700" s="11"/>
      <c r="K700" s="12"/>
      <c r="L700" s="12"/>
      <c r="M700" s="11"/>
      <c r="N700" s="11"/>
      <c r="O700" s="11"/>
      <c r="P700" s="11"/>
      <c r="Q700" s="11"/>
      <c r="R700" s="11"/>
    </row>
    <row r="701" spans="1:18">
      <c r="A701" s="10"/>
      <c r="B701" s="10"/>
      <c r="C701" s="11"/>
      <c r="D701" s="10"/>
      <c r="E701" s="11"/>
      <c r="F701" s="11"/>
      <c r="G701" s="11"/>
      <c r="H701" s="11"/>
      <c r="I701" s="11"/>
      <c r="J701" s="11"/>
      <c r="K701" s="12"/>
      <c r="L701" s="12"/>
      <c r="M701" s="11"/>
      <c r="N701" s="11"/>
      <c r="O701" s="11"/>
      <c r="P701" s="11"/>
      <c r="Q701" s="11"/>
      <c r="R701" s="11"/>
    </row>
    <row r="702" spans="1:18">
      <c r="A702" s="10"/>
      <c r="B702" s="10"/>
      <c r="C702" s="11"/>
      <c r="D702" s="10"/>
      <c r="E702" s="11"/>
      <c r="F702" s="11"/>
      <c r="G702" s="11"/>
      <c r="H702" s="11"/>
      <c r="I702" s="11"/>
      <c r="J702" s="11"/>
      <c r="K702" s="12"/>
      <c r="L702" s="12"/>
      <c r="M702" s="11"/>
      <c r="N702" s="11"/>
      <c r="O702" s="11"/>
      <c r="P702" s="11"/>
      <c r="Q702" s="11"/>
      <c r="R702" s="11"/>
    </row>
    <row r="703" spans="1:18">
      <c r="A703" s="10"/>
      <c r="B703" s="10"/>
      <c r="C703" s="11"/>
      <c r="D703" s="10"/>
      <c r="E703" s="11"/>
      <c r="F703" s="11"/>
      <c r="G703" s="11"/>
      <c r="H703" s="11"/>
      <c r="I703" s="11"/>
      <c r="J703" s="11"/>
      <c r="K703" s="12"/>
      <c r="L703" s="12"/>
      <c r="M703" s="11"/>
      <c r="N703" s="11"/>
      <c r="O703" s="11"/>
      <c r="P703" s="11"/>
      <c r="Q703" s="11"/>
      <c r="R703" s="11"/>
    </row>
    <row r="704" spans="1:18">
      <c r="A704" s="10"/>
      <c r="B704" s="10"/>
      <c r="C704" s="11"/>
      <c r="D704" s="10"/>
      <c r="E704" s="11"/>
      <c r="F704" s="11"/>
      <c r="G704" s="11"/>
      <c r="H704" s="11"/>
      <c r="I704" s="11"/>
      <c r="J704" s="11"/>
      <c r="K704" s="12"/>
      <c r="L704" s="12"/>
      <c r="M704" s="11"/>
      <c r="N704" s="11"/>
      <c r="O704" s="11"/>
      <c r="P704" s="11"/>
      <c r="Q704" s="11"/>
      <c r="R704" s="11"/>
    </row>
    <row r="705" spans="1:18">
      <c r="A705" s="10"/>
      <c r="B705" s="10"/>
      <c r="C705" s="11"/>
      <c r="D705" s="10"/>
      <c r="E705" s="11"/>
      <c r="F705" s="11"/>
      <c r="G705" s="11"/>
      <c r="H705" s="11"/>
      <c r="I705" s="11"/>
      <c r="J705" s="11"/>
      <c r="K705" s="12"/>
      <c r="L705" s="12"/>
      <c r="M705" s="11"/>
      <c r="N705" s="11"/>
      <c r="O705" s="11"/>
      <c r="P705" s="11"/>
      <c r="Q705" s="11"/>
      <c r="R705" s="11"/>
    </row>
    <row r="706" spans="1:18">
      <c r="A706" s="10"/>
      <c r="B706" s="10"/>
      <c r="C706" s="11"/>
      <c r="D706" s="10"/>
      <c r="E706" s="11"/>
      <c r="F706" s="11"/>
      <c r="G706" s="11"/>
      <c r="H706" s="11"/>
      <c r="I706" s="11"/>
      <c r="J706" s="11"/>
      <c r="K706" s="12"/>
      <c r="L706" s="12"/>
      <c r="M706" s="11"/>
      <c r="N706" s="11"/>
      <c r="O706" s="11"/>
      <c r="P706" s="11"/>
      <c r="Q706" s="11"/>
      <c r="R706" s="11"/>
    </row>
    <row r="707" spans="1:18">
      <c r="A707" s="10"/>
      <c r="B707" s="10"/>
      <c r="C707" s="11"/>
      <c r="D707" s="10"/>
      <c r="E707" s="11"/>
      <c r="F707" s="11"/>
      <c r="G707" s="11"/>
      <c r="H707" s="11"/>
      <c r="I707" s="11"/>
      <c r="J707" s="11"/>
      <c r="K707" s="12"/>
      <c r="L707" s="12"/>
      <c r="M707" s="11"/>
      <c r="N707" s="11"/>
      <c r="O707" s="11"/>
      <c r="P707" s="11"/>
      <c r="Q707" s="11"/>
      <c r="R707" s="11"/>
    </row>
    <row r="708" spans="1:18">
      <c r="A708" s="10"/>
      <c r="B708" s="10"/>
      <c r="C708" s="11"/>
      <c r="D708" s="10"/>
      <c r="E708" s="11"/>
      <c r="F708" s="11"/>
      <c r="G708" s="11"/>
      <c r="H708" s="11"/>
      <c r="I708" s="11"/>
      <c r="J708" s="11"/>
      <c r="K708" s="12"/>
      <c r="L708" s="12"/>
      <c r="M708" s="11"/>
      <c r="N708" s="11"/>
      <c r="O708" s="11"/>
      <c r="P708" s="11"/>
      <c r="Q708" s="11"/>
      <c r="R708" s="11"/>
    </row>
    <row r="709" spans="1:18">
      <c r="A709" s="10"/>
      <c r="B709" s="10"/>
      <c r="C709" s="11"/>
      <c r="D709" s="10"/>
      <c r="E709" s="11"/>
      <c r="F709" s="11"/>
      <c r="G709" s="11"/>
      <c r="H709" s="11"/>
      <c r="I709" s="11"/>
      <c r="J709" s="11"/>
      <c r="K709" s="12"/>
      <c r="L709" s="12"/>
      <c r="M709" s="11"/>
      <c r="N709" s="11"/>
      <c r="O709" s="11"/>
      <c r="P709" s="11"/>
      <c r="Q709" s="11"/>
      <c r="R709" s="11"/>
    </row>
    <row r="710" spans="1:18">
      <c r="A710" s="10"/>
      <c r="B710" s="10"/>
      <c r="C710" s="11"/>
      <c r="D710" s="10"/>
      <c r="E710" s="11"/>
      <c r="F710" s="11"/>
      <c r="G710" s="11"/>
      <c r="H710" s="11"/>
      <c r="I710" s="11"/>
      <c r="J710" s="11"/>
      <c r="K710" s="12"/>
      <c r="L710" s="12"/>
      <c r="M710" s="11"/>
      <c r="N710" s="11"/>
      <c r="O710" s="11"/>
      <c r="P710" s="11"/>
      <c r="Q710" s="11"/>
      <c r="R710" s="11"/>
    </row>
    <row r="711" spans="1:18">
      <c r="A711" s="10"/>
      <c r="B711" s="10"/>
      <c r="C711" s="11"/>
      <c r="D711" s="10"/>
      <c r="E711" s="11"/>
      <c r="F711" s="11"/>
      <c r="G711" s="11"/>
      <c r="H711" s="11"/>
      <c r="I711" s="11"/>
      <c r="J711" s="11"/>
      <c r="K711" s="12"/>
      <c r="L711" s="12"/>
      <c r="M711" s="11"/>
      <c r="N711" s="11"/>
      <c r="O711" s="11"/>
      <c r="P711" s="11"/>
      <c r="Q711" s="11"/>
      <c r="R711" s="11"/>
    </row>
    <row r="712" spans="1:18">
      <c r="A712" s="10"/>
      <c r="B712" s="10"/>
      <c r="C712" s="11"/>
      <c r="D712" s="10"/>
      <c r="E712" s="11"/>
      <c r="F712" s="11"/>
      <c r="G712" s="11"/>
      <c r="H712" s="11"/>
      <c r="I712" s="11"/>
      <c r="J712" s="11"/>
      <c r="K712" s="12"/>
      <c r="L712" s="12"/>
      <c r="M712" s="11"/>
      <c r="N712" s="11"/>
      <c r="O712" s="11"/>
      <c r="P712" s="11"/>
      <c r="Q712" s="11"/>
      <c r="R712" s="11"/>
    </row>
    <row r="713" spans="1:18">
      <c r="A713" s="10"/>
      <c r="B713" s="10"/>
      <c r="C713" s="11"/>
      <c r="D713" s="10"/>
      <c r="E713" s="11"/>
      <c r="F713" s="11"/>
      <c r="G713" s="11"/>
      <c r="H713" s="11"/>
      <c r="I713" s="11"/>
      <c r="J713" s="11"/>
      <c r="K713" s="12"/>
      <c r="L713" s="12"/>
      <c r="M713" s="11"/>
      <c r="N713" s="11"/>
      <c r="O713" s="11"/>
      <c r="P713" s="11"/>
      <c r="Q713" s="11"/>
      <c r="R713" s="11"/>
    </row>
    <row r="714" spans="1:18">
      <c r="A714" s="10"/>
      <c r="B714" s="10"/>
      <c r="C714" s="11"/>
      <c r="D714" s="10"/>
      <c r="E714" s="11"/>
      <c r="F714" s="11"/>
      <c r="G714" s="11"/>
      <c r="H714" s="11"/>
      <c r="I714" s="11"/>
      <c r="J714" s="11"/>
      <c r="K714" s="12"/>
      <c r="L714" s="12"/>
      <c r="M714" s="11"/>
      <c r="N714" s="11"/>
      <c r="O714" s="11"/>
      <c r="P714" s="11"/>
      <c r="Q714" s="11"/>
      <c r="R714" s="11"/>
    </row>
    <row r="715" spans="1:18">
      <c r="A715" s="10"/>
      <c r="B715" s="10"/>
      <c r="C715" s="11"/>
      <c r="D715" s="10"/>
      <c r="E715" s="11"/>
      <c r="F715" s="11"/>
      <c r="G715" s="11"/>
      <c r="H715" s="11"/>
      <c r="I715" s="11"/>
      <c r="J715" s="11"/>
      <c r="K715" s="12"/>
      <c r="L715" s="12"/>
      <c r="M715" s="11"/>
      <c r="N715" s="11"/>
      <c r="O715" s="11"/>
      <c r="P715" s="11"/>
      <c r="Q715" s="11"/>
      <c r="R715" s="11"/>
    </row>
    <row r="716" spans="1:18">
      <c r="A716" s="10"/>
      <c r="B716" s="10"/>
      <c r="C716" s="11"/>
      <c r="D716" s="10"/>
      <c r="E716" s="11"/>
      <c r="F716" s="11"/>
      <c r="G716" s="11"/>
      <c r="H716" s="11"/>
      <c r="I716" s="11"/>
      <c r="J716" s="11"/>
      <c r="K716" s="12"/>
      <c r="L716" s="12"/>
      <c r="M716" s="11"/>
      <c r="N716" s="11"/>
      <c r="O716" s="11"/>
      <c r="P716" s="11"/>
      <c r="Q716" s="11"/>
      <c r="R716" s="11"/>
    </row>
    <row r="717" spans="1:18">
      <c r="A717" s="10"/>
      <c r="B717" s="10"/>
      <c r="C717" s="11"/>
      <c r="D717" s="10"/>
      <c r="E717" s="11"/>
      <c r="F717" s="11"/>
      <c r="G717" s="11"/>
      <c r="H717" s="11"/>
      <c r="I717" s="11"/>
      <c r="J717" s="11"/>
      <c r="K717" s="12"/>
      <c r="L717" s="12"/>
      <c r="M717" s="11"/>
      <c r="N717" s="11"/>
      <c r="O717" s="11"/>
      <c r="P717" s="11"/>
      <c r="Q717" s="11"/>
      <c r="R717" s="11"/>
    </row>
    <row r="718" spans="1:18">
      <c r="A718" s="10"/>
      <c r="B718" s="10"/>
      <c r="C718" s="11"/>
      <c r="D718" s="10"/>
      <c r="E718" s="11"/>
      <c r="F718" s="11"/>
      <c r="G718" s="11"/>
      <c r="H718" s="11"/>
      <c r="I718" s="11"/>
      <c r="J718" s="11"/>
      <c r="K718" s="12"/>
      <c r="L718" s="12"/>
      <c r="M718" s="11"/>
      <c r="N718" s="11"/>
      <c r="O718" s="11"/>
      <c r="P718" s="11"/>
      <c r="Q718" s="11"/>
      <c r="R718" s="11"/>
    </row>
    <row r="719" spans="1:18">
      <c r="A719" s="10"/>
      <c r="B719" s="10"/>
      <c r="C719" s="11"/>
      <c r="D719" s="10"/>
      <c r="E719" s="11"/>
      <c r="F719" s="11"/>
      <c r="G719" s="11"/>
      <c r="H719" s="11"/>
      <c r="I719" s="11"/>
      <c r="J719" s="11"/>
      <c r="K719" s="12"/>
      <c r="L719" s="12"/>
      <c r="M719" s="11"/>
      <c r="N719" s="11"/>
      <c r="O719" s="11"/>
      <c r="P719" s="11"/>
      <c r="Q719" s="11"/>
      <c r="R719" s="11"/>
    </row>
    <row r="720" spans="1:18">
      <c r="A720" s="10"/>
      <c r="B720" s="10"/>
      <c r="C720" s="11"/>
      <c r="D720" s="10"/>
      <c r="E720" s="11"/>
      <c r="F720" s="11"/>
      <c r="G720" s="11"/>
      <c r="H720" s="11"/>
      <c r="I720" s="11"/>
      <c r="J720" s="11"/>
      <c r="K720" s="12"/>
      <c r="L720" s="12"/>
      <c r="M720" s="11"/>
      <c r="N720" s="11"/>
      <c r="O720" s="11"/>
      <c r="P720" s="11"/>
      <c r="Q720" s="11"/>
      <c r="R720" s="11"/>
    </row>
    <row r="721" spans="1:18">
      <c r="A721" s="10"/>
      <c r="B721" s="10"/>
      <c r="C721" s="11"/>
      <c r="D721" s="10"/>
      <c r="E721" s="11"/>
      <c r="F721" s="11"/>
      <c r="G721" s="11"/>
      <c r="H721" s="11"/>
      <c r="I721" s="11"/>
      <c r="J721" s="11"/>
      <c r="K721" s="12"/>
      <c r="L721" s="12"/>
      <c r="M721" s="11"/>
      <c r="N721" s="11"/>
      <c r="O721" s="11"/>
      <c r="P721" s="11"/>
      <c r="Q721" s="11"/>
      <c r="R721" s="11"/>
    </row>
    <row r="722" spans="1:18">
      <c r="A722" s="10"/>
      <c r="B722" s="10"/>
      <c r="C722" s="11"/>
      <c r="D722" s="10"/>
      <c r="E722" s="11"/>
      <c r="F722" s="11"/>
      <c r="G722" s="11"/>
      <c r="H722" s="11"/>
      <c r="I722" s="11"/>
      <c r="J722" s="11"/>
      <c r="K722" s="12"/>
      <c r="L722" s="12"/>
      <c r="M722" s="11"/>
      <c r="N722" s="11"/>
      <c r="O722" s="11"/>
      <c r="P722" s="11"/>
      <c r="Q722" s="11"/>
      <c r="R722" s="11"/>
    </row>
    <row r="723" spans="1:18">
      <c r="A723" s="10"/>
      <c r="B723" s="10"/>
      <c r="C723" s="11"/>
      <c r="D723" s="10"/>
      <c r="E723" s="11"/>
      <c r="F723" s="11"/>
      <c r="G723" s="11"/>
      <c r="H723" s="11"/>
      <c r="I723" s="11"/>
      <c r="J723" s="11"/>
      <c r="K723" s="12"/>
      <c r="L723" s="12"/>
      <c r="M723" s="11"/>
      <c r="N723" s="11"/>
      <c r="O723" s="11"/>
      <c r="P723" s="11"/>
      <c r="Q723" s="11"/>
      <c r="R723" s="11"/>
    </row>
    <row r="724" spans="1:18">
      <c r="A724" s="10"/>
      <c r="B724" s="10"/>
      <c r="C724" s="11"/>
      <c r="D724" s="10"/>
      <c r="E724" s="11"/>
      <c r="F724" s="11"/>
      <c r="G724" s="11"/>
      <c r="H724" s="11"/>
      <c r="I724" s="11"/>
      <c r="J724" s="11"/>
      <c r="K724" s="12"/>
      <c r="L724" s="12"/>
      <c r="M724" s="11"/>
      <c r="N724" s="11"/>
      <c r="O724" s="11"/>
      <c r="P724" s="11"/>
      <c r="Q724" s="11"/>
      <c r="R724" s="11"/>
    </row>
    <row r="725" spans="1:18">
      <c r="A725" s="10"/>
      <c r="B725" s="10"/>
      <c r="C725" s="11"/>
      <c r="D725" s="10"/>
      <c r="E725" s="11"/>
      <c r="F725" s="11"/>
      <c r="G725" s="11"/>
      <c r="H725" s="11"/>
      <c r="I725" s="11"/>
      <c r="J725" s="11"/>
      <c r="K725" s="12"/>
      <c r="L725" s="12"/>
      <c r="M725" s="11"/>
      <c r="N725" s="11"/>
      <c r="O725" s="11"/>
      <c r="P725" s="11"/>
      <c r="Q725" s="11"/>
      <c r="R725" s="11"/>
    </row>
    <row r="726" spans="1:18">
      <c r="A726" s="10"/>
      <c r="B726" s="10"/>
      <c r="C726" s="11"/>
      <c r="D726" s="10"/>
      <c r="E726" s="11"/>
      <c r="F726" s="11"/>
      <c r="G726" s="11"/>
      <c r="H726" s="11"/>
      <c r="I726" s="11"/>
      <c r="J726" s="11"/>
      <c r="K726" s="12"/>
      <c r="L726" s="12"/>
      <c r="M726" s="11"/>
      <c r="N726" s="11"/>
      <c r="O726" s="11"/>
      <c r="P726" s="11"/>
      <c r="Q726" s="11"/>
      <c r="R726" s="11"/>
    </row>
    <row r="727" spans="1:18">
      <c r="A727" s="10"/>
      <c r="B727" s="10"/>
      <c r="C727" s="11"/>
      <c r="D727" s="10"/>
      <c r="E727" s="11"/>
      <c r="F727" s="11"/>
      <c r="G727" s="11"/>
      <c r="H727" s="11"/>
      <c r="I727" s="11"/>
      <c r="J727" s="11"/>
      <c r="K727" s="12"/>
      <c r="L727" s="12"/>
      <c r="M727" s="11"/>
      <c r="N727" s="11"/>
      <c r="O727" s="11"/>
      <c r="P727" s="11"/>
      <c r="Q727" s="11"/>
      <c r="R727" s="11"/>
    </row>
    <row r="728" spans="1:18">
      <c r="A728" s="10"/>
      <c r="B728" s="10"/>
      <c r="C728" s="11"/>
      <c r="D728" s="10"/>
      <c r="E728" s="11"/>
      <c r="F728" s="11"/>
      <c r="G728" s="11"/>
      <c r="H728" s="11"/>
      <c r="I728" s="11"/>
      <c r="J728" s="11"/>
      <c r="K728" s="12"/>
      <c r="L728" s="12"/>
      <c r="M728" s="11"/>
      <c r="N728" s="11"/>
      <c r="O728" s="11"/>
      <c r="P728" s="11"/>
      <c r="Q728" s="11"/>
      <c r="R728" s="11"/>
    </row>
    <row r="729" spans="1:18">
      <c r="A729" s="10"/>
      <c r="B729" s="10"/>
      <c r="C729" s="11"/>
      <c r="D729" s="10"/>
      <c r="E729" s="11"/>
      <c r="F729" s="11"/>
      <c r="G729" s="11"/>
      <c r="H729" s="11"/>
      <c r="I729" s="11"/>
      <c r="J729" s="11"/>
      <c r="K729" s="12"/>
      <c r="L729" s="12"/>
      <c r="M729" s="11"/>
      <c r="N729" s="11"/>
      <c r="O729" s="11"/>
      <c r="P729" s="11"/>
      <c r="Q729" s="11"/>
      <c r="R729" s="11"/>
    </row>
    <row r="730" spans="1:18">
      <c r="A730" s="10"/>
      <c r="B730" s="10"/>
      <c r="C730" s="11"/>
      <c r="D730" s="10"/>
      <c r="E730" s="11"/>
      <c r="F730" s="11"/>
      <c r="G730" s="11"/>
      <c r="H730" s="11"/>
      <c r="I730" s="11"/>
      <c r="J730" s="11"/>
      <c r="K730" s="12"/>
      <c r="L730" s="12"/>
      <c r="M730" s="11"/>
      <c r="N730" s="11"/>
      <c r="O730" s="11"/>
      <c r="P730" s="11"/>
      <c r="Q730" s="11"/>
      <c r="R730" s="11"/>
    </row>
    <row r="731" spans="1:18">
      <c r="A731" s="10"/>
      <c r="B731" s="10"/>
      <c r="C731" s="11"/>
      <c r="D731" s="10"/>
      <c r="E731" s="11"/>
      <c r="F731" s="11"/>
      <c r="G731" s="11"/>
      <c r="H731" s="11"/>
      <c r="I731" s="11"/>
      <c r="J731" s="11"/>
      <c r="K731" s="12"/>
      <c r="L731" s="12"/>
      <c r="M731" s="11"/>
      <c r="N731" s="11"/>
      <c r="O731" s="11"/>
      <c r="P731" s="11"/>
      <c r="Q731" s="11"/>
      <c r="R731" s="11"/>
    </row>
    <row r="732" spans="1:18">
      <c r="A732" s="10"/>
      <c r="B732" s="10"/>
      <c r="C732" s="11"/>
      <c r="D732" s="10"/>
      <c r="E732" s="11"/>
      <c r="F732" s="11"/>
      <c r="G732" s="11"/>
      <c r="H732" s="11"/>
      <c r="I732" s="11"/>
      <c r="J732" s="11"/>
      <c r="K732" s="12"/>
      <c r="L732" s="12"/>
      <c r="M732" s="11"/>
      <c r="N732" s="11"/>
      <c r="O732" s="11"/>
      <c r="P732" s="11"/>
      <c r="Q732" s="11"/>
      <c r="R732" s="11"/>
    </row>
    <row r="733" spans="1:18">
      <c r="A733" s="10"/>
      <c r="B733" s="10"/>
      <c r="C733" s="11"/>
      <c r="D733" s="10"/>
      <c r="E733" s="11"/>
      <c r="F733" s="11"/>
      <c r="G733" s="11"/>
      <c r="H733" s="11"/>
      <c r="I733" s="11"/>
      <c r="J733" s="11"/>
      <c r="K733" s="12"/>
      <c r="L733" s="12"/>
      <c r="M733" s="11"/>
      <c r="N733" s="11"/>
      <c r="O733" s="11"/>
      <c r="P733" s="11"/>
      <c r="Q733" s="11"/>
      <c r="R733" s="11"/>
    </row>
    <row r="734" spans="1:18">
      <c r="A734" s="10"/>
      <c r="B734" s="10"/>
      <c r="C734" s="11"/>
      <c r="D734" s="10"/>
      <c r="E734" s="11"/>
      <c r="F734" s="11"/>
      <c r="G734" s="11"/>
      <c r="H734" s="11"/>
      <c r="I734" s="11"/>
      <c r="J734" s="11"/>
      <c r="K734" s="12"/>
      <c r="L734" s="12"/>
      <c r="M734" s="11"/>
      <c r="N734" s="11"/>
      <c r="O734" s="11"/>
      <c r="P734" s="11"/>
      <c r="Q734" s="11"/>
      <c r="R734" s="11"/>
    </row>
    <row r="735" spans="1:18">
      <c r="A735" s="10"/>
      <c r="B735" s="10"/>
      <c r="C735" s="11"/>
      <c r="D735" s="10"/>
      <c r="E735" s="11"/>
      <c r="F735" s="11"/>
      <c r="G735" s="11"/>
      <c r="H735" s="11"/>
      <c r="I735" s="11"/>
      <c r="J735" s="11"/>
      <c r="K735" s="12"/>
      <c r="L735" s="12"/>
      <c r="M735" s="11"/>
      <c r="N735" s="11"/>
      <c r="O735" s="11"/>
      <c r="P735" s="11"/>
      <c r="Q735" s="11"/>
      <c r="R735" s="11"/>
    </row>
    <row r="736" spans="1:18">
      <c r="A736" s="10"/>
      <c r="B736" s="10"/>
      <c r="C736" s="11"/>
      <c r="D736" s="10"/>
      <c r="E736" s="11"/>
      <c r="F736" s="11"/>
      <c r="G736" s="11"/>
      <c r="H736" s="11"/>
      <c r="I736" s="11"/>
      <c r="J736" s="11"/>
      <c r="K736" s="12"/>
      <c r="L736" s="12"/>
      <c r="M736" s="11"/>
      <c r="N736" s="11"/>
      <c r="O736" s="11"/>
      <c r="P736" s="11"/>
      <c r="Q736" s="11"/>
      <c r="R736" s="11"/>
    </row>
    <row r="737" spans="1:18">
      <c r="A737" s="10"/>
      <c r="B737" s="10"/>
      <c r="C737" s="11"/>
      <c r="D737" s="10"/>
      <c r="E737" s="11"/>
      <c r="F737" s="11"/>
      <c r="G737" s="11"/>
      <c r="H737" s="11"/>
      <c r="I737" s="11"/>
      <c r="J737" s="11"/>
      <c r="K737" s="12"/>
      <c r="L737" s="12"/>
      <c r="M737" s="11"/>
      <c r="N737" s="11"/>
      <c r="O737" s="11"/>
      <c r="P737" s="11"/>
      <c r="Q737" s="11"/>
      <c r="R737" s="11"/>
    </row>
    <row r="738" spans="1:18">
      <c r="A738" s="10"/>
      <c r="B738" s="10"/>
      <c r="C738" s="11"/>
      <c r="D738" s="10"/>
      <c r="E738" s="11"/>
      <c r="F738" s="11"/>
      <c r="G738" s="11"/>
      <c r="H738" s="11"/>
      <c r="I738" s="11"/>
      <c r="J738" s="11"/>
      <c r="K738" s="12"/>
      <c r="L738" s="12"/>
      <c r="M738" s="11"/>
      <c r="N738" s="11"/>
      <c r="O738" s="11"/>
      <c r="P738" s="11"/>
      <c r="Q738" s="11"/>
      <c r="R738" s="11"/>
    </row>
    <row r="739" spans="1:18">
      <c r="A739" s="10"/>
      <c r="B739" s="10"/>
      <c r="C739" s="11"/>
      <c r="D739" s="10"/>
      <c r="E739" s="11"/>
      <c r="F739" s="11"/>
      <c r="G739" s="11"/>
      <c r="H739" s="11"/>
      <c r="I739" s="11"/>
      <c r="J739" s="11"/>
      <c r="K739" s="12"/>
      <c r="L739" s="12"/>
      <c r="M739" s="11"/>
      <c r="N739" s="11"/>
      <c r="O739" s="11"/>
      <c r="P739" s="11"/>
      <c r="Q739" s="11"/>
      <c r="R739" s="11"/>
    </row>
    <row r="740" spans="1:18">
      <c r="A740" s="10"/>
      <c r="B740" s="10"/>
      <c r="C740" s="11"/>
      <c r="D740" s="10"/>
      <c r="E740" s="11"/>
      <c r="F740" s="11"/>
      <c r="G740" s="11"/>
      <c r="H740" s="11"/>
      <c r="I740" s="11"/>
      <c r="J740" s="11"/>
      <c r="K740" s="12"/>
      <c r="L740" s="12"/>
      <c r="M740" s="11"/>
      <c r="N740" s="11"/>
      <c r="O740" s="11"/>
      <c r="P740" s="11"/>
      <c r="Q740" s="11"/>
      <c r="R740" s="11"/>
    </row>
    <row r="741" spans="1:18">
      <c r="A741" s="10"/>
      <c r="B741" s="10"/>
      <c r="C741" s="11"/>
      <c r="D741" s="10"/>
      <c r="E741" s="11"/>
      <c r="F741" s="11"/>
      <c r="G741" s="11"/>
      <c r="H741" s="11"/>
      <c r="I741" s="11"/>
      <c r="J741" s="11"/>
      <c r="K741" s="12"/>
      <c r="L741" s="12"/>
      <c r="M741" s="11"/>
      <c r="N741" s="11"/>
      <c r="O741" s="11"/>
      <c r="P741" s="11"/>
      <c r="Q741" s="11"/>
      <c r="R741" s="11"/>
    </row>
    <row r="742" spans="1:18">
      <c r="A742" s="10"/>
      <c r="B742" s="10"/>
      <c r="C742" s="11"/>
      <c r="D742" s="10"/>
      <c r="E742" s="11"/>
      <c r="F742" s="11"/>
      <c r="G742" s="11"/>
      <c r="H742" s="11"/>
      <c r="I742" s="11"/>
      <c r="J742" s="11"/>
      <c r="K742" s="12"/>
      <c r="L742" s="12"/>
      <c r="M742" s="11"/>
      <c r="N742" s="11"/>
      <c r="O742" s="11"/>
      <c r="P742" s="11"/>
      <c r="Q742" s="11"/>
      <c r="R742" s="11"/>
    </row>
    <row r="743" spans="1:18">
      <c r="A743" s="10"/>
      <c r="B743" s="10"/>
      <c r="C743" s="11"/>
      <c r="D743" s="10"/>
      <c r="E743" s="11"/>
      <c r="F743" s="11"/>
      <c r="G743" s="11"/>
      <c r="H743" s="11"/>
      <c r="I743" s="11"/>
      <c r="J743" s="11"/>
      <c r="K743" s="12"/>
      <c r="L743" s="12"/>
      <c r="M743" s="11"/>
      <c r="N743" s="11"/>
      <c r="O743" s="11"/>
      <c r="P743" s="11"/>
      <c r="Q743" s="11"/>
      <c r="R743" s="11"/>
    </row>
    <row r="744" spans="1:18">
      <c r="A744" s="10"/>
      <c r="B744" s="10"/>
      <c r="C744" s="11"/>
      <c r="D744" s="10"/>
      <c r="E744" s="11"/>
      <c r="F744" s="11"/>
      <c r="G744" s="11"/>
      <c r="H744" s="11"/>
      <c r="I744" s="11"/>
      <c r="J744" s="11"/>
      <c r="K744" s="12"/>
      <c r="L744" s="12"/>
      <c r="M744" s="11"/>
      <c r="N744" s="11"/>
      <c r="O744" s="11"/>
      <c r="P744" s="11"/>
      <c r="Q744" s="11"/>
      <c r="R744" s="11"/>
    </row>
    <row r="745" spans="1:18">
      <c r="A745" s="10"/>
      <c r="B745" s="10"/>
      <c r="C745" s="11"/>
      <c r="D745" s="10"/>
      <c r="E745" s="11"/>
      <c r="F745" s="11"/>
      <c r="G745" s="11"/>
      <c r="H745" s="11"/>
      <c r="I745" s="11"/>
      <c r="J745" s="11"/>
      <c r="K745" s="12"/>
      <c r="L745" s="12"/>
      <c r="M745" s="11"/>
      <c r="N745" s="11"/>
      <c r="O745" s="11"/>
      <c r="P745" s="11"/>
      <c r="Q745" s="11"/>
      <c r="R745" s="11"/>
    </row>
    <row r="746" spans="1:18">
      <c r="A746" s="10"/>
      <c r="B746" s="10"/>
      <c r="C746" s="11"/>
      <c r="D746" s="10"/>
      <c r="E746" s="11"/>
      <c r="F746" s="11"/>
      <c r="G746" s="11"/>
      <c r="H746" s="11"/>
      <c r="I746" s="11"/>
      <c r="J746" s="11"/>
      <c r="K746" s="12"/>
      <c r="L746" s="12"/>
      <c r="M746" s="11"/>
      <c r="N746" s="11"/>
      <c r="O746" s="11"/>
      <c r="P746" s="11"/>
      <c r="Q746" s="11"/>
      <c r="R746" s="11"/>
    </row>
    <row r="747" spans="1:18">
      <c r="A747" s="10"/>
      <c r="B747" s="10"/>
      <c r="C747" s="11"/>
      <c r="D747" s="10"/>
      <c r="E747" s="11"/>
      <c r="F747" s="11"/>
      <c r="G747" s="11"/>
      <c r="H747" s="11"/>
      <c r="I747" s="11"/>
      <c r="J747" s="11"/>
      <c r="K747" s="12"/>
      <c r="L747" s="12"/>
      <c r="M747" s="11"/>
      <c r="N747" s="11"/>
      <c r="O747" s="11"/>
      <c r="P747" s="11"/>
      <c r="Q747" s="11"/>
      <c r="R747" s="11"/>
    </row>
    <row r="748" spans="1:18">
      <c r="A748" s="10"/>
      <c r="B748" s="10"/>
      <c r="C748" s="11"/>
      <c r="D748" s="10"/>
      <c r="E748" s="11"/>
      <c r="F748" s="11"/>
      <c r="G748" s="11"/>
      <c r="H748" s="11"/>
      <c r="I748" s="11"/>
      <c r="J748" s="11"/>
      <c r="K748" s="12"/>
      <c r="L748" s="12"/>
      <c r="M748" s="11"/>
      <c r="N748" s="11"/>
      <c r="O748" s="11"/>
      <c r="P748" s="11"/>
      <c r="Q748" s="11"/>
      <c r="R748" s="11"/>
    </row>
    <row r="749" spans="1:18">
      <c r="A749" s="10"/>
      <c r="B749" s="10"/>
      <c r="C749" s="11"/>
      <c r="D749" s="10"/>
      <c r="E749" s="11"/>
      <c r="F749" s="11"/>
      <c r="G749" s="11"/>
      <c r="H749" s="11"/>
      <c r="I749" s="11"/>
      <c r="J749" s="11"/>
      <c r="K749" s="12"/>
      <c r="L749" s="12"/>
      <c r="M749" s="11"/>
      <c r="N749" s="11"/>
      <c r="O749" s="11"/>
      <c r="P749" s="11"/>
      <c r="Q749" s="11"/>
      <c r="R749" s="11"/>
    </row>
    <row r="750" spans="1:18">
      <c r="A750" s="10"/>
      <c r="B750" s="10"/>
      <c r="C750" s="11"/>
      <c r="D750" s="10"/>
      <c r="E750" s="11"/>
      <c r="F750" s="11"/>
      <c r="G750" s="11"/>
      <c r="H750" s="11"/>
      <c r="I750" s="11"/>
      <c r="J750" s="11"/>
      <c r="K750" s="12"/>
      <c r="L750" s="12"/>
      <c r="M750" s="11"/>
      <c r="N750" s="11"/>
      <c r="O750" s="11"/>
      <c r="P750" s="11"/>
      <c r="Q750" s="11"/>
      <c r="R750" s="11"/>
    </row>
    <row r="751" spans="1:18">
      <c r="A751" s="10"/>
      <c r="B751" s="10"/>
      <c r="C751" s="11"/>
      <c r="D751" s="10"/>
      <c r="E751" s="11"/>
      <c r="F751" s="11"/>
      <c r="G751" s="11"/>
      <c r="H751" s="11"/>
      <c r="I751" s="11"/>
      <c r="J751" s="11"/>
      <c r="K751" s="12"/>
      <c r="L751" s="12"/>
      <c r="M751" s="11"/>
      <c r="N751" s="11"/>
      <c r="O751" s="11"/>
      <c r="P751" s="11"/>
      <c r="Q751" s="11"/>
      <c r="R751" s="11"/>
    </row>
    <row r="752" spans="1:18">
      <c r="A752" s="10"/>
      <c r="B752" s="10"/>
      <c r="C752" s="11"/>
      <c r="D752" s="10"/>
      <c r="E752" s="11"/>
      <c r="F752" s="11"/>
      <c r="G752" s="11"/>
      <c r="H752" s="11"/>
      <c r="I752" s="11"/>
      <c r="J752" s="11"/>
      <c r="K752" s="12"/>
      <c r="L752" s="12"/>
      <c r="M752" s="11"/>
      <c r="N752" s="11"/>
      <c r="O752" s="11"/>
      <c r="P752" s="11"/>
      <c r="Q752" s="11"/>
      <c r="R752" s="11"/>
    </row>
    <row r="753" spans="1:18">
      <c r="A753" s="10"/>
      <c r="B753" s="10"/>
      <c r="C753" s="11"/>
      <c r="D753" s="10"/>
      <c r="E753" s="11"/>
      <c r="F753" s="11"/>
      <c r="G753" s="11"/>
      <c r="H753" s="11"/>
      <c r="I753" s="11"/>
      <c r="J753" s="11"/>
      <c r="K753" s="12"/>
      <c r="L753" s="12"/>
      <c r="M753" s="11"/>
      <c r="N753" s="11"/>
      <c r="O753" s="11"/>
      <c r="P753" s="11"/>
      <c r="Q753" s="11"/>
      <c r="R753" s="11"/>
    </row>
    <row r="754" spans="1:18">
      <c r="A754" s="10"/>
      <c r="B754" s="10"/>
      <c r="C754" s="11"/>
      <c r="D754" s="10"/>
      <c r="E754" s="11"/>
      <c r="F754" s="11"/>
      <c r="G754" s="11"/>
      <c r="H754" s="11"/>
      <c r="I754" s="11"/>
      <c r="J754" s="11"/>
      <c r="K754" s="12"/>
      <c r="L754" s="12"/>
      <c r="M754" s="11"/>
      <c r="N754" s="11"/>
      <c r="O754" s="11"/>
      <c r="P754" s="11"/>
      <c r="Q754" s="11"/>
      <c r="R754" s="11"/>
    </row>
    <row r="755" spans="1:18">
      <c r="A755" s="10"/>
      <c r="B755" s="10"/>
      <c r="C755" s="11"/>
      <c r="D755" s="10"/>
      <c r="E755" s="11"/>
      <c r="F755" s="11"/>
      <c r="G755" s="11"/>
      <c r="H755" s="11"/>
      <c r="I755" s="11"/>
      <c r="J755" s="11"/>
      <c r="K755" s="12"/>
      <c r="L755" s="12"/>
      <c r="M755" s="11"/>
      <c r="N755" s="11"/>
      <c r="O755" s="11"/>
      <c r="P755" s="11"/>
      <c r="Q755" s="11"/>
      <c r="R755" s="11"/>
    </row>
    <row r="756" spans="1:18">
      <c r="A756" s="10"/>
      <c r="B756" s="10"/>
      <c r="C756" s="11"/>
      <c r="D756" s="10"/>
      <c r="E756" s="11"/>
      <c r="F756" s="11"/>
      <c r="G756" s="11"/>
      <c r="H756" s="11"/>
      <c r="I756" s="11"/>
      <c r="J756" s="11"/>
      <c r="K756" s="12"/>
      <c r="L756" s="12"/>
      <c r="M756" s="11"/>
      <c r="N756" s="11"/>
      <c r="O756" s="11"/>
      <c r="P756" s="11"/>
      <c r="Q756" s="11"/>
      <c r="R756" s="11"/>
    </row>
    <row r="757" spans="1:18">
      <c r="A757" s="10"/>
      <c r="B757" s="10"/>
      <c r="C757" s="11"/>
      <c r="D757" s="10"/>
      <c r="E757" s="11"/>
      <c r="F757" s="11"/>
      <c r="G757" s="11"/>
      <c r="H757" s="11"/>
      <c r="I757" s="11"/>
      <c r="J757" s="11"/>
      <c r="K757" s="12"/>
      <c r="L757" s="12"/>
      <c r="M757" s="11"/>
      <c r="N757" s="11"/>
      <c r="O757" s="11"/>
      <c r="P757" s="11"/>
      <c r="Q757" s="11"/>
      <c r="R757" s="11"/>
    </row>
    <row r="758" spans="1:18">
      <c r="A758" s="10"/>
      <c r="B758" s="10"/>
      <c r="C758" s="11"/>
      <c r="D758" s="10"/>
      <c r="E758" s="11"/>
      <c r="F758" s="11"/>
      <c r="G758" s="11"/>
      <c r="H758" s="11"/>
      <c r="I758" s="11"/>
      <c r="J758" s="11"/>
      <c r="K758" s="12"/>
      <c r="L758" s="12"/>
      <c r="M758" s="11"/>
      <c r="N758" s="11"/>
      <c r="O758" s="11"/>
      <c r="P758" s="11"/>
      <c r="Q758" s="11"/>
      <c r="R758" s="11"/>
    </row>
    <row r="759" spans="1:18">
      <c r="A759" s="10"/>
      <c r="B759" s="10"/>
      <c r="C759" s="11"/>
      <c r="D759" s="10"/>
      <c r="E759" s="11"/>
      <c r="F759" s="11"/>
      <c r="G759" s="11"/>
      <c r="H759" s="11"/>
      <c r="I759" s="11"/>
      <c r="J759" s="11"/>
      <c r="K759" s="12"/>
      <c r="L759" s="12"/>
      <c r="M759" s="11"/>
      <c r="N759" s="11"/>
      <c r="O759" s="11"/>
      <c r="P759" s="11"/>
      <c r="Q759" s="11"/>
      <c r="R759" s="11"/>
    </row>
    <row r="760" spans="1:18">
      <c r="A760" s="10"/>
      <c r="B760" s="10"/>
      <c r="C760" s="11"/>
      <c r="D760" s="10"/>
      <c r="E760" s="11"/>
      <c r="F760" s="11"/>
      <c r="G760" s="11"/>
      <c r="H760" s="11"/>
      <c r="I760" s="11"/>
      <c r="J760" s="11"/>
      <c r="K760" s="12"/>
      <c r="L760" s="12"/>
      <c r="M760" s="11"/>
      <c r="N760" s="11"/>
      <c r="O760" s="11"/>
      <c r="P760" s="11"/>
      <c r="Q760" s="11"/>
      <c r="R760" s="11"/>
    </row>
    <row r="761" spans="1:18">
      <c r="A761" s="10"/>
      <c r="B761" s="10"/>
      <c r="C761" s="11"/>
      <c r="D761" s="10"/>
      <c r="E761" s="11"/>
      <c r="F761" s="11"/>
      <c r="G761" s="11"/>
      <c r="H761" s="11"/>
      <c r="I761" s="11"/>
      <c r="J761" s="11"/>
      <c r="K761" s="12"/>
      <c r="L761" s="12"/>
      <c r="M761" s="11"/>
      <c r="N761" s="11"/>
      <c r="O761" s="11"/>
      <c r="P761" s="11"/>
      <c r="Q761" s="11"/>
      <c r="R761" s="11"/>
    </row>
    <row r="762" spans="1:18">
      <c r="A762" s="10"/>
      <c r="B762" s="10"/>
      <c r="C762" s="11"/>
      <c r="D762" s="10"/>
      <c r="E762" s="11"/>
      <c r="F762" s="11"/>
      <c r="G762" s="11"/>
      <c r="H762" s="11"/>
      <c r="I762" s="11"/>
      <c r="J762" s="11"/>
      <c r="K762" s="12"/>
      <c r="L762" s="12"/>
      <c r="M762" s="11"/>
      <c r="N762" s="11"/>
      <c r="O762" s="11"/>
      <c r="P762" s="11"/>
      <c r="Q762" s="11"/>
      <c r="R762" s="11"/>
    </row>
    <row r="763" spans="1:18">
      <c r="A763" s="10"/>
      <c r="B763" s="10"/>
      <c r="C763" s="11"/>
      <c r="D763" s="10"/>
      <c r="E763" s="11"/>
      <c r="F763" s="11"/>
      <c r="G763" s="11"/>
      <c r="H763" s="11"/>
      <c r="I763" s="11"/>
      <c r="J763" s="11"/>
      <c r="K763" s="12"/>
      <c r="L763" s="12"/>
      <c r="M763" s="11"/>
      <c r="N763" s="11"/>
      <c r="O763" s="11"/>
      <c r="P763" s="11"/>
      <c r="Q763" s="11"/>
      <c r="R763" s="11"/>
    </row>
    <row r="764" spans="1:18">
      <c r="A764" s="10"/>
      <c r="B764" s="10"/>
      <c r="C764" s="11"/>
      <c r="D764" s="10"/>
      <c r="E764" s="11"/>
      <c r="F764" s="11"/>
      <c r="G764" s="11"/>
      <c r="H764" s="11"/>
      <c r="I764" s="11"/>
      <c r="J764" s="11"/>
      <c r="K764" s="12"/>
      <c r="L764" s="12"/>
      <c r="M764" s="11"/>
      <c r="N764" s="11"/>
      <c r="O764" s="11"/>
      <c r="P764" s="11"/>
      <c r="Q764" s="11"/>
      <c r="R764" s="11"/>
    </row>
    <row r="765" spans="1:18">
      <c r="A765" s="10"/>
      <c r="B765" s="10"/>
      <c r="C765" s="11"/>
      <c r="D765" s="10"/>
      <c r="E765" s="11"/>
      <c r="F765" s="11"/>
      <c r="G765" s="11"/>
      <c r="H765" s="11"/>
      <c r="I765" s="11"/>
      <c r="J765" s="11"/>
      <c r="K765" s="12"/>
      <c r="L765" s="12"/>
      <c r="M765" s="11"/>
      <c r="N765" s="11"/>
      <c r="O765" s="11"/>
      <c r="P765" s="11"/>
      <c r="Q765" s="11"/>
      <c r="R765" s="11"/>
    </row>
    <row r="766" spans="1:18">
      <c r="A766" s="10"/>
      <c r="B766" s="10"/>
      <c r="C766" s="11"/>
      <c r="D766" s="10"/>
      <c r="E766" s="11"/>
      <c r="F766" s="11"/>
      <c r="G766" s="11"/>
      <c r="H766" s="11"/>
      <c r="I766" s="11"/>
      <c r="J766" s="11"/>
      <c r="K766" s="12"/>
      <c r="L766" s="12"/>
      <c r="M766" s="11"/>
      <c r="N766" s="11"/>
      <c r="O766" s="11"/>
      <c r="P766" s="11"/>
      <c r="Q766" s="11"/>
      <c r="R766" s="11"/>
    </row>
    <row r="767" spans="1:18">
      <c r="A767" s="10"/>
      <c r="B767" s="10"/>
      <c r="C767" s="11"/>
      <c r="D767" s="10"/>
      <c r="E767" s="11"/>
      <c r="F767" s="11"/>
      <c r="G767" s="11"/>
      <c r="H767" s="11"/>
      <c r="I767" s="11"/>
      <c r="J767" s="11"/>
      <c r="K767" s="12"/>
      <c r="L767" s="12"/>
      <c r="M767" s="11"/>
      <c r="N767" s="11"/>
      <c r="O767" s="11"/>
      <c r="P767" s="11"/>
      <c r="Q767" s="11"/>
      <c r="R767" s="11"/>
    </row>
    <row r="768" spans="1:18">
      <c r="A768" s="10"/>
      <c r="B768" s="10"/>
      <c r="C768" s="11"/>
      <c r="D768" s="10"/>
      <c r="E768" s="11"/>
      <c r="F768" s="11"/>
      <c r="G768" s="11"/>
      <c r="H768" s="11"/>
      <c r="I768" s="11"/>
      <c r="J768" s="11"/>
      <c r="K768" s="12"/>
      <c r="L768" s="12"/>
      <c r="M768" s="11"/>
      <c r="N768" s="11"/>
      <c r="O768" s="11"/>
      <c r="P768" s="11"/>
      <c r="Q768" s="11"/>
      <c r="R768" s="11"/>
    </row>
    <row r="769" spans="1:18">
      <c r="A769" s="10"/>
      <c r="B769" s="10"/>
      <c r="C769" s="11"/>
      <c r="D769" s="10"/>
      <c r="E769" s="11"/>
      <c r="F769" s="11"/>
      <c r="G769" s="11"/>
      <c r="H769" s="11"/>
      <c r="I769" s="11"/>
      <c r="J769" s="11"/>
      <c r="K769" s="12"/>
      <c r="L769" s="12"/>
      <c r="M769" s="11"/>
      <c r="N769" s="11"/>
      <c r="O769" s="11"/>
      <c r="P769" s="11"/>
      <c r="Q769" s="11"/>
      <c r="R769" s="11"/>
    </row>
    <row r="770" spans="1:18">
      <c r="A770" s="10"/>
      <c r="B770" s="10"/>
      <c r="C770" s="11"/>
      <c r="D770" s="10"/>
      <c r="E770" s="11"/>
      <c r="F770" s="11"/>
      <c r="G770" s="11"/>
      <c r="H770" s="11"/>
      <c r="I770" s="11"/>
      <c r="J770" s="11"/>
      <c r="K770" s="12"/>
      <c r="L770" s="12"/>
      <c r="M770" s="11"/>
      <c r="N770" s="11"/>
      <c r="O770" s="11"/>
      <c r="P770" s="11"/>
      <c r="Q770" s="11"/>
      <c r="R770" s="11"/>
    </row>
    <row r="771" spans="1:18">
      <c r="A771" s="10"/>
      <c r="B771" s="10"/>
      <c r="C771" s="11"/>
      <c r="D771" s="10"/>
      <c r="E771" s="11"/>
      <c r="F771" s="11"/>
      <c r="G771" s="11"/>
      <c r="H771" s="11"/>
      <c r="I771" s="11"/>
      <c r="J771" s="11"/>
      <c r="K771" s="12"/>
      <c r="L771" s="12"/>
      <c r="M771" s="11"/>
      <c r="N771" s="11"/>
      <c r="O771" s="11"/>
      <c r="P771" s="11"/>
      <c r="Q771" s="11"/>
      <c r="R771" s="11"/>
    </row>
    <row r="772" spans="1:18">
      <c r="A772" s="10"/>
      <c r="B772" s="10"/>
      <c r="C772" s="11"/>
      <c r="D772" s="10"/>
      <c r="E772" s="11"/>
      <c r="F772" s="11"/>
      <c r="G772" s="11"/>
      <c r="H772" s="11"/>
      <c r="I772" s="11"/>
      <c r="J772" s="11"/>
      <c r="K772" s="12"/>
      <c r="L772" s="12"/>
      <c r="M772" s="11"/>
      <c r="N772" s="11"/>
      <c r="O772" s="11"/>
      <c r="P772" s="11"/>
      <c r="Q772" s="11"/>
      <c r="R772" s="11"/>
    </row>
    <row r="773" spans="1:18">
      <c r="A773" s="10"/>
      <c r="B773" s="10"/>
      <c r="C773" s="11"/>
      <c r="D773" s="10"/>
      <c r="E773" s="11"/>
      <c r="F773" s="11"/>
      <c r="G773" s="11"/>
      <c r="H773" s="11"/>
      <c r="I773" s="11"/>
      <c r="J773" s="11"/>
      <c r="K773" s="12"/>
      <c r="L773" s="12"/>
      <c r="M773" s="11"/>
      <c r="N773" s="11"/>
      <c r="O773" s="11"/>
      <c r="P773" s="11"/>
      <c r="Q773" s="11"/>
      <c r="R773" s="11"/>
    </row>
    <row r="774" spans="1:18">
      <c r="A774" s="10"/>
      <c r="B774" s="10"/>
      <c r="C774" s="11"/>
      <c r="D774" s="10"/>
      <c r="E774" s="11"/>
      <c r="F774" s="11"/>
      <c r="G774" s="11"/>
      <c r="H774" s="11"/>
      <c r="I774" s="11"/>
      <c r="J774" s="11"/>
      <c r="K774" s="12"/>
      <c r="L774" s="12"/>
      <c r="M774" s="11"/>
      <c r="N774" s="11"/>
      <c r="O774" s="11"/>
      <c r="P774" s="11"/>
      <c r="Q774" s="11"/>
      <c r="R774" s="11"/>
    </row>
    <row r="775" spans="1:18">
      <c r="A775" s="10"/>
      <c r="B775" s="10"/>
      <c r="C775" s="11"/>
      <c r="D775" s="10"/>
      <c r="E775" s="11"/>
      <c r="F775" s="11"/>
      <c r="G775" s="11"/>
      <c r="H775" s="11"/>
      <c r="I775" s="11"/>
      <c r="J775" s="11"/>
      <c r="K775" s="12"/>
      <c r="L775" s="12"/>
      <c r="M775" s="11"/>
      <c r="N775" s="11"/>
      <c r="O775" s="11"/>
      <c r="P775" s="11"/>
      <c r="Q775" s="11"/>
      <c r="R775" s="11"/>
    </row>
    <row r="776" spans="1:18">
      <c r="A776" s="10"/>
      <c r="B776" s="10"/>
      <c r="C776" s="11"/>
      <c r="D776" s="10"/>
      <c r="E776" s="11"/>
      <c r="F776" s="11"/>
      <c r="G776" s="11"/>
      <c r="H776" s="11"/>
      <c r="I776" s="11"/>
      <c r="J776" s="11"/>
      <c r="K776" s="12"/>
      <c r="L776" s="12"/>
      <c r="M776" s="11"/>
      <c r="N776" s="11"/>
      <c r="O776" s="11"/>
      <c r="P776" s="11"/>
      <c r="Q776" s="11"/>
      <c r="R776" s="11"/>
    </row>
    <row r="777" spans="1:18">
      <c r="A777" s="10"/>
      <c r="B777" s="10"/>
      <c r="C777" s="11"/>
      <c r="D777" s="10"/>
      <c r="E777" s="11"/>
      <c r="F777" s="11"/>
      <c r="G777" s="11"/>
      <c r="H777" s="11"/>
      <c r="I777" s="11"/>
      <c r="J777" s="11"/>
      <c r="K777" s="12"/>
      <c r="L777" s="12"/>
      <c r="M777" s="11"/>
      <c r="N777" s="11"/>
      <c r="O777" s="11"/>
      <c r="P777" s="11"/>
      <c r="Q777" s="11"/>
      <c r="R777" s="11"/>
    </row>
    <row r="778" spans="1:18">
      <c r="A778" s="10"/>
      <c r="B778" s="10"/>
      <c r="C778" s="11"/>
      <c r="D778" s="10"/>
      <c r="E778" s="11"/>
      <c r="F778" s="11"/>
      <c r="G778" s="11"/>
      <c r="H778" s="11"/>
      <c r="I778" s="11"/>
      <c r="J778" s="11"/>
      <c r="K778" s="12"/>
      <c r="L778" s="12"/>
      <c r="M778" s="11"/>
      <c r="N778" s="11"/>
      <c r="O778" s="11"/>
      <c r="P778" s="11"/>
      <c r="Q778" s="11"/>
      <c r="R778" s="11"/>
    </row>
    <row r="779" spans="1:18">
      <c r="A779" s="10"/>
      <c r="B779" s="10"/>
      <c r="C779" s="11"/>
      <c r="D779" s="10"/>
      <c r="E779" s="11"/>
      <c r="F779" s="11"/>
      <c r="G779" s="11"/>
      <c r="H779" s="11"/>
      <c r="I779" s="11"/>
      <c r="J779" s="11"/>
      <c r="K779" s="12"/>
      <c r="L779" s="12"/>
      <c r="M779" s="11"/>
      <c r="N779" s="11"/>
      <c r="O779" s="11"/>
      <c r="P779" s="11"/>
      <c r="Q779" s="11"/>
      <c r="R779" s="11"/>
    </row>
    <row r="780" spans="1:18">
      <c r="A780" s="10"/>
      <c r="B780" s="10"/>
      <c r="C780" s="11"/>
      <c r="D780" s="10"/>
      <c r="E780" s="11"/>
      <c r="F780" s="11"/>
      <c r="G780" s="11"/>
      <c r="H780" s="11"/>
      <c r="I780" s="11"/>
      <c r="J780" s="11"/>
      <c r="K780" s="12"/>
      <c r="L780" s="12"/>
      <c r="M780" s="11"/>
      <c r="N780" s="11"/>
      <c r="O780" s="11"/>
      <c r="P780" s="11"/>
      <c r="Q780" s="11"/>
      <c r="R780" s="11"/>
    </row>
    <row r="781" spans="1:18">
      <c r="A781" s="10"/>
      <c r="B781" s="10"/>
      <c r="C781" s="11"/>
      <c r="D781" s="10"/>
      <c r="E781" s="11"/>
      <c r="F781" s="11"/>
      <c r="G781" s="11"/>
      <c r="H781" s="11"/>
      <c r="I781" s="11"/>
      <c r="J781" s="11"/>
      <c r="K781" s="12"/>
      <c r="L781" s="12"/>
      <c r="M781" s="11"/>
      <c r="N781" s="11"/>
      <c r="O781" s="11"/>
      <c r="P781" s="11"/>
      <c r="Q781" s="11"/>
      <c r="R781" s="11"/>
    </row>
    <row r="782" spans="1:18">
      <c r="A782" s="10"/>
      <c r="B782" s="10"/>
      <c r="C782" s="11"/>
      <c r="D782" s="10"/>
      <c r="E782" s="11"/>
      <c r="F782" s="11"/>
      <c r="G782" s="11"/>
      <c r="H782" s="11"/>
      <c r="I782" s="11"/>
      <c r="J782" s="11"/>
      <c r="K782" s="12"/>
      <c r="L782" s="12"/>
      <c r="M782" s="11"/>
      <c r="N782" s="11"/>
      <c r="O782" s="11"/>
      <c r="P782" s="11"/>
      <c r="Q782" s="11"/>
      <c r="R782" s="11"/>
    </row>
    <row r="783" spans="1:18">
      <c r="A783" s="10"/>
      <c r="B783" s="10"/>
      <c r="C783" s="11"/>
      <c r="D783" s="10"/>
      <c r="E783" s="11"/>
      <c r="F783" s="11"/>
      <c r="G783" s="11"/>
      <c r="H783" s="11"/>
      <c r="I783" s="11"/>
      <c r="J783" s="11"/>
      <c r="K783" s="12"/>
      <c r="L783" s="12"/>
      <c r="M783" s="11"/>
      <c r="N783" s="11"/>
      <c r="O783" s="11"/>
      <c r="P783" s="11"/>
      <c r="Q783" s="11"/>
      <c r="R783" s="11"/>
    </row>
    <row r="784" spans="1:18">
      <c r="A784" s="10"/>
      <c r="B784" s="10"/>
      <c r="C784" s="11"/>
      <c r="D784" s="10"/>
      <c r="E784" s="11"/>
      <c r="F784" s="11"/>
      <c r="G784" s="11"/>
      <c r="H784" s="11"/>
      <c r="I784" s="11"/>
      <c r="J784" s="11"/>
      <c r="K784" s="12"/>
      <c r="L784" s="12"/>
      <c r="M784" s="11"/>
      <c r="N784" s="11"/>
      <c r="O784" s="11"/>
      <c r="P784" s="11"/>
      <c r="Q784" s="11"/>
      <c r="R784" s="11"/>
    </row>
    <row r="785" spans="1:18">
      <c r="A785" s="10"/>
      <c r="B785" s="10"/>
      <c r="C785" s="11"/>
      <c r="D785" s="10"/>
      <c r="E785" s="11"/>
      <c r="F785" s="11"/>
      <c r="G785" s="11"/>
      <c r="H785" s="11"/>
      <c r="I785" s="11"/>
      <c r="J785" s="11"/>
      <c r="K785" s="12"/>
      <c r="L785" s="12"/>
      <c r="M785" s="11"/>
      <c r="N785" s="11"/>
      <c r="O785" s="11"/>
      <c r="P785" s="11"/>
      <c r="Q785" s="11"/>
      <c r="R785" s="11"/>
    </row>
    <row r="786" spans="1:18">
      <c r="A786" s="10"/>
      <c r="B786" s="10"/>
      <c r="C786" s="11"/>
      <c r="D786" s="10"/>
      <c r="E786" s="11"/>
      <c r="F786" s="11"/>
      <c r="G786" s="11"/>
      <c r="H786" s="11"/>
      <c r="I786" s="11"/>
      <c r="J786" s="11"/>
      <c r="K786" s="12"/>
      <c r="L786" s="12"/>
      <c r="M786" s="11"/>
      <c r="N786" s="11"/>
      <c r="O786" s="11"/>
      <c r="P786" s="11"/>
      <c r="Q786" s="11"/>
      <c r="R786" s="11"/>
    </row>
    <row r="787" spans="1:18">
      <c r="A787" s="10"/>
      <c r="B787" s="10"/>
      <c r="C787" s="11"/>
      <c r="D787" s="10"/>
      <c r="E787" s="11"/>
      <c r="F787" s="11"/>
      <c r="G787" s="11"/>
      <c r="H787" s="11"/>
      <c r="I787" s="11"/>
      <c r="J787" s="11"/>
      <c r="K787" s="12"/>
      <c r="L787" s="12"/>
      <c r="M787" s="11"/>
      <c r="N787" s="11"/>
      <c r="O787" s="11"/>
      <c r="P787" s="11"/>
      <c r="Q787" s="11"/>
      <c r="R787" s="11"/>
    </row>
    <row r="788" spans="1:18">
      <c r="A788" s="10"/>
      <c r="B788" s="10"/>
      <c r="C788" s="11"/>
      <c r="D788" s="10"/>
      <c r="E788" s="11"/>
      <c r="F788" s="11"/>
      <c r="G788" s="11"/>
      <c r="H788" s="11"/>
      <c r="I788" s="11"/>
      <c r="J788" s="11"/>
      <c r="K788" s="12"/>
      <c r="L788" s="12"/>
      <c r="M788" s="11"/>
      <c r="N788" s="11"/>
      <c r="O788" s="11"/>
      <c r="P788" s="11"/>
      <c r="Q788" s="11"/>
      <c r="R788" s="11"/>
    </row>
    <row r="789" spans="1:18">
      <c r="A789" s="10"/>
      <c r="B789" s="10"/>
      <c r="C789" s="11"/>
      <c r="D789" s="10"/>
      <c r="E789" s="11"/>
      <c r="F789" s="11"/>
      <c r="G789" s="11"/>
      <c r="H789" s="11"/>
      <c r="I789" s="11"/>
      <c r="J789" s="11"/>
      <c r="K789" s="12"/>
      <c r="L789" s="12"/>
      <c r="M789" s="11"/>
      <c r="N789" s="11"/>
      <c r="O789" s="11"/>
      <c r="P789" s="11"/>
      <c r="Q789" s="11"/>
      <c r="R789" s="11"/>
    </row>
    <row r="790" spans="1:18">
      <c r="A790" s="10"/>
      <c r="B790" s="10"/>
      <c r="C790" s="11"/>
      <c r="D790" s="10"/>
      <c r="E790" s="11"/>
      <c r="F790" s="11"/>
      <c r="G790" s="11"/>
      <c r="H790" s="11"/>
      <c r="I790" s="11"/>
      <c r="J790" s="11"/>
      <c r="K790" s="12"/>
      <c r="L790" s="12"/>
      <c r="M790" s="11"/>
      <c r="N790" s="11"/>
      <c r="O790" s="11"/>
      <c r="P790" s="11"/>
      <c r="Q790" s="11"/>
      <c r="R790" s="11"/>
    </row>
    <row r="791" spans="1:18">
      <c r="A791" s="10"/>
      <c r="B791" s="10"/>
      <c r="C791" s="11"/>
      <c r="D791" s="10"/>
      <c r="E791" s="11"/>
      <c r="F791" s="11"/>
      <c r="G791" s="11"/>
      <c r="H791" s="11"/>
      <c r="I791" s="11"/>
      <c r="J791" s="11"/>
      <c r="K791" s="12"/>
      <c r="L791" s="12"/>
      <c r="M791" s="11"/>
      <c r="N791" s="11"/>
      <c r="O791" s="11"/>
      <c r="P791" s="11"/>
      <c r="Q791" s="11"/>
      <c r="R791" s="11"/>
    </row>
    <row r="792" spans="1:18">
      <c r="A792" s="10"/>
      <c r="B792" s="10"/>
      <c r="C792" s="11"/>
      <c r="D792" s="10"/>
      <c r="E792" s="11"/>
      <c r="F792" s="11"/>
      <c r="G792" s="11"/>
      <c r="H792" s="11"/>
      <c r="I792" s="11"/>
      <c r="J792" s="11"/>
      <c r="K792" s="12"/>
      <c r="L792" s="12"/>
      <c r="M792" s="11"/>
      <c r="N792" s="11"/>
      <c r="O792" s="11"/>
      <c r="P792" s="11"/>
      <c r="Q792" s="11"/>
      <c r="R792" s="11"/>
    </row>
    <row r="793" spans="1:18">
      <c r="A793" s="10"/>
      <c r="B793" s="10"/>
      <c r="C793" s="11"/>
      <c r="D793" s="10"/>
      <c r="E793" s="11"/>
      <c r="F793" s="11"/>
      <c r="G793" s="11"/>
      <c r="H793" s="11"/>
      <c r="I793" s="11"/>
      <c r="J793" s="11"/>
      <c r="K793" s="12"/>
      <c r="L793" s="12"/>
      <c r="M793" s="11"/>
      <c r="N793" s="11"/>
      <c r="O793" s="11"/>
      <c r="P793" s="11"/>
      <c r="Q793" s="11"/>
      <c r="R793" s="11"/>
    </row>
    <row r="794" spans="1:18">
      <c r="A794" s="10"/>
      <c r="B794" s="10"/>
      <c r="C794" s="11"/>
      <c r="D794" s="10"/>
      <c r="E794" s="11"/>
      <c r="F794" s="11"/>
      <c r="G794" s="11"/>
      <c r="H794" s="11"/>
      <c r="I794" s="11"/>
      <c r="J794" s="11"/>
      <c r="K794" s="12"/>
      <c r="L794" s="12"/>
      <c r="M794" s="11"/>
      <c r="N794" s="11"/>
      <c r="O794" s="11"/>
      <c r="P794" s="11"/>
      <c r="Q794" s="11"/>
      <c r="R794" s="11"/>
    </row>
    <row r="795" spans="1:18">
      <c r="A795" s="10"/>
      <c r="B795" s="10"/>
      <c r="C795" s="11"/>
      <c r="D795" s="10"/>
      <c r="E795" s="11"/>
      <c r="F795" s="11"/>
      <c r="G795" s="11"/>
      <c r="H795" s="11"/>
      <c r="I795" s="11"/>
      <c r="J795" s="11"/>
      <c r="K795" s="12"/>
      <c r="L795" s="12"/>
      <c r="M795" s="11"/>
      <c r="N795" s="11"/>
      <c r="O795" s="11"/>
      <c r="P795" s="11"/>
      <c r="Q795" s="11"/>
      <c r="R795" s="11"/>
    </row>
    <row r="796" spans="1:18">
      <c r="A796" s="10"/>
      <c r="B796" s="10"/>
      <c r="C796" s="11"/>
      <c r="D796" s="10"/>
      <c r="E796" s="11"/>
      <c r="F796" s="11"/>
      <c r="G796" s="11"/>
      <c r="H796" s="11"/>
      <c r="I796" s="11"/>
      <c r="J796" s="11"/>
      <c r="K796" s="12"/>
      <c r="L796" s="12"/>
      <c r="M796" s="11"/>
      <c r="N796" s="11"/>
      <c r="O796" s="11"/>
      <c r="P796" s="11"/>
      <c r="Q796" s="11"/>
      <c r="R796" s="11"/>
    </row>
    <row r="797" spans="1:18">
      <c r="A797" s="10"/>
      <c r="B797" s="10"/>
      <c r="C797" s="11"/>
      <c r="D797" s="10"/>
      <c r="E797" s="11"/>
      <c r="F797" s="11"/>
      <c r="G797" s="11"/>
      <c r="H797" s="11"/>
      <c r="I797" s="11"/>
      <c r="J797" s="11"/>
      <c r="K797" s="12"/>
      <c r="L797" s="12"/>
      <c r="M797" s="11"/>
      <c r="N797" s="11"/>
      <c r="O797" s="11"/>
      <c r="P797" s="11"/>
      <c r="Q797" s="11"/>
      <c r="R797" s="11"/>
    </row>
    <row r="798" spans="1:18">
      <c r="A798" s="10"/>
      <c r="B798" s="10"/>
      <c r="C798" s="11"/>
      <c r="D798" s="10"/>
      <c r="E798" s="11"/>
      <c r="F798" s="11"/>
      <c r="G798" s="11"/>
      <c r="H798" s="11"/>
      <c r="I798" s="11"/>
      <c r="J798" s="11"/>
      <c r="K798" s="12"/>
      <c r="L798" s="12"/>
      <c r="M798" s="11"/>
      <c r="N798" s="11"/>
      <c r="O798" s="11"/>
      <c r="P798" s="11"/>
      <c r="Q798" s="11"/>
      <c r="R798" s="11"/>
    </row>
    <row r="799" spans="1:18">
      <c r="A799" s="10"/>
      <c r="B799" s="10"/>
      <c r="C799" s="11"/>
      <c r="D799" s="10"/>
      <c r="E799" s="11"/>
      <c r="F799" s="11"/>
      <c r="G799" s="11"/>
      <c r="H799" s="11"/>
      <c r="I799" s="11"/>
      <c r="J799" s="11"/>
      <c r="K799" s="12"/>
      <c r="L799" s="12"/>
      <c r="M799" s="11"/>
      <c r="N799" s="11"/>
      <c r="O799" s="11"/>
      <c r="P799" s="11"/>
      <c r="Q799" s="11"/>
      <c r="R799" s="11"/>
    </row>
    <row r="800" spans="1:18">
      <c r="A800" s="10"/>
      <c r="B800" s="10"/>
      <c r="C800" s="11"/>
      <c r="D800" s="10"/>
      <c r="E800" s="11"/>
      <c r="F800" s="11"/>
      <c r="G800" s="11"/>
      <c r="H800" s="11"/>
      <c r="I800" s="11"/>
      <c r="J800" s="11"/>
      <c r="K800" s="12"/>
      <c r="L800" s="12"/>
      <c r="M800" s="11"/>
      <c r="N800" s="11"/>
      <c r="O800" s="11"/>
      <c r="P800" s="11"/>
      <c r="Q800" s="11"/>
      <c r="R800" s="11"/>
    </row>
    <row r="801" spans="1:18">
      <c r="A801" s="10"/>
      <c r="B801" s="10"/>
      <c r="C801" s="11"/>
      <c r="D801" s="10"/>
      <c r="E801" s="11"/>
      <c r="F801" s="11"/>
      <c r="G801" s="11"/>
      <c r="H801" s="11"/>
      <c r="I801" s="11"/>
      <c r="J801" s="11"/>
      <c r="K801" s="12"/>
      <c r="L801" s="12"/>
      <c r="M801" s="11"/>
      <c r="N801" s="11"/>
      <c r="O801" s="11"/>
      <c r="P801" s="11"/>
      <c r="Q801" s="11"/>
      <c r="R801" s="11"/>
    </row>
    <row r="802" spans="1:18">
      <c r="A802" s="10"/>
      <c r="B802" s="10"/>
      <c r="C802" s="11"/>
      <c r="D802" s="10"/>
      <c r="E802" s="11"/>
      <c r="F802" s="11"/>
      <c r="G802" s="11"/>
      <c r="H802" s="11"/>
      <c r="I802" s="11"/>
      <c r="J802" s="11"/>
      <c r="K802" s="12"/>
      <c r="L802" s="12"/>
      <c r="M802" s="11"/>
      <c r="N802" s="11"/>
      <c r="O802" s="11"/>
      <c r="P802" s="11"/>
      <c r="Q802" s="11"/>
      <c r="R802" s="11"/>
    </row>
    <row r="803" spans="1:18">
      <c r="A803" s="10"/>
      <c r="B803" s="10"/>
      <c r="C803" s="11"/>
      <c r="D803" s="10"/>
      <c r="E803" s="11"/>
      <c r="F803" s="11"/>
      <c r="G803" s="11"/>
      <c r="H803" s="11"/>
      <c r="I803" s="11"/>
      <c r="J803" s="11"/>
      <c r="K803" s="12"/>
      <c r="L803" s="12"/>
      <c r="M803" s="11"/>
      <c r="N803" s="11"/>
      <c r="O803" s="11"/>
      <c r="P803" s="11"/>
      <c r="Q803" s="11"/>
      <c r="R803" s="11"/>
    </row>
    <row r="804" spans="1:18">
      <c r="A804" s="10"/>
      <c r="B804" s="10"/>
      <c r="C804" s="11"/>
      <c r="D804" s="10"/>
      <c r="E804" s="11"/>
      <c r="F804" s="11"/>
      <c r="G804" s="11"/>
      <c r="H804" s="11"/>
      <c r="I804" s="11"/>
      <c r="J804" s="11"/>
      <c r="K804" s="12"/>
      <c r="L804" s="12"/>
      <c r="M804" s="11"/>
      <c r="N804" s="11"/>
      <c r="O804" s="11"/>
      <c r="P804" s="11"/>
      <c r="Q804" s="11"/>
      <c r="R804" s="11"/>
    </row>
    <row r="805" spans="1:18">
      <c r="A805" s="10"/>
      <c r="B805" s="10"/>
      <c r="C805" s="11"/>
      <c r="D805" s="10"/>
      <c r="E805" s="11"/>
      <c r="F805" s="11"/>
      <c r="G805" s="11"/>
      <c r="H805" s="11"/>
      <c r="I805" s="11"/>
      <c r="J805" s="11"/>
      <c r="K805" s="12"/>
      <c r="L805" s="12"/>
      <c r="M805" s="11"/>
      <c r="N805" s="11"/>
      <c r="O805" s="11"/>
      <c r="P805" s="11"/>
      <c r="Q805" s="11"/>
      <c r="R805" s="11"/>
    </row>
    <row r="806" spans="1:18">
      <c r="A806" s="10"/>
      <c r="B806" s="10"/>
      <c r="C806" s="11"/>
      <c r="D806" s="10"/>
      <c r="E806" s="11"/>
      <c r="F806" s="11"/>
      <c r="G806" s="11"/>
      <c r="H806" s="11"/>
      <c r="I806" s="11"/>
      <c r="J806" s="11"/>
      <c r="K806" s="12"/>
      <c r="L806" s="12"/>
      <c r="M806" s="11"/>
      <c r="N806" s="11"/>
      <c r="O806" s="11"/>
      <c r="P806" s="11"/>
      <c r="Q806" s="11"/>
      <c r="R806" s="11"/>
    </row>
    <row r="807" spans="1:18">
      <c r="A807" s="10"/>
      <c r="B807" s="10"/>
      <c r="C807" s="11"/>
      <c r="D807" s="10"/>
      <c r="E807" s="11"/>
      <c r="F807" s="11"/>
      <c r="G807" s="11"/>
      <c r="H807" s="11"/>
      <c r="I807" s="11"/>
      <c r="J807" s="11"/>
      <c r="K807" s="12"/>
      <c r="L807" s="12"/>
      <c r="M807" s="11"/>
      <c r="N807" s="11"/>
      <c r="O807" s="11"/>
      <c r="P807" s="11"/>
      <c r="Q807" s="11"/>
      <c r="R807" s="11"/>
    </row>
    <row r="808" spans="1:18">
      <c r="A808" s="10"/>
      <c r="B808" s="10"/>
      <c r="C808" s="11"/>
      <c r="D808" s="10"/>
      <c r="E808" s="11"/>
      <c r="F808" s="11"/>
      <c r="G808" s="11"/>
      <c r="H808" s="11"/>
      <c r="I808" s="11"/>
      <c r="J808" s="11"/>
      <c r="K808" s="12"/>
      <c r="L808" s="12"/>
      <c r="M808" s="11"/>
      <c r="N808" s="11"/>
      <c r="O808" s="11"/>
      <c r="P808" s="11"/>
      <c r="Q808" s="11"/>
      <c r="R808" s="11"/>
    </row>
    <row r="809" spans="1:18">
      <c r="A809" s="10"/>
      <c r="B809" s="10"/>
      <c r="C809" s="11"/>
      <c r="D809" s="10"/>
      <c r="E809" s="11"/>
      <c r="F809" s="11"/>
      <c r="G809" s="11"/>
      <c r="H809" s="11"/>
      <c r="I809" s="11"/>
      <c r="J809" s="11"/>
      <c r="K809" s="12"/>
      <c r="L809" s="12"/>
      <c r="M809" s="11"/>
      <c r="N809" s="11"/>
      <c r="O809" s="11"/>
      <c r="P809" s="11"/>
      <c r="Q809" s="11"/>
      <c r="R809" s="11"/>
    </row>
    <row r="810" spans="1:18">
      <c r="A810" s="10"/>
      <c r="B810" s="10"/>
      <c r="C810" s="11"/>
      <c r="D810" s="10"/>
      <c r="E810" s="11"/>
      <c r="F810" s="11"/>
      <c r="G810" s="11"/>
      <c r="H810" s="11"/>
      <c r="I810" s="11"/>
      <c r="J810" s="11"/>
      <c r="K810" s="12"/>
      <c r="L810" s="12"/>
      <c r="M810" s="11"/>
      <c r="N810" s="11"/>
      <c r="O810" s="11"/>
      <c r="P810" s="11"/>
      <c r="Q810" s="11"/>
      <c r="R810" s="11"/>
    </row>
    <row r="811" spans="1:18">
      <c r="A811" s="10"/>
      <c r="B811" s="10"/>
      <c r="C811" s="11"/>
      <c r="D811" s="10"/>
      <c r="E811" s="11"/>
      <c r="F811" s="11"/>
      <c r="G811" s="11"/>
      <c r="H811" s="11"/>
      <c r="I811" s="11"/>
      <c r="J811" s="11"/>
      <c r="K811" s="12"/>
      <c r="L811" s="12"/>
      <c r="M811" s="11"/>
      <c r="N811" s="11"/>
      <c r="O811" s="11"/>
      <c r="P811" s="11"/>
      <c r="Q811" s="11"/>
      <c r="R811" s="11"/>
    </row>
    <row r="812" spans="1:18">
      <c r="A812" s="10"/>
      <c r="B812" s="10"/>
      <c r="C812" s="11"/>
      <c r="D812" s="10"/>
      <c r="E812" s="11"/>
      <c r="F812" s="11"/>
      <c r="G812" s="11"/>
      <c r="H812" s="11"/>
      <c r="I812" s="11"/>
      <c r="J812" s="11"/>
      <c r="K812" s="12"/>
      <c r="L812" s="12"/>
      <c r="M812" s="11"/>
      <c r="N812" s="11"/>
      <c r="O812" s="11"/>
      <c r="P812" s="11"/>
      <c r="Q812" s="11"/>
      <c r="R812" s="11"/>
    </row>
    <row r="813" spans="1:18">
      <c r="A813" s="10"/>
      <c r="B813" s="10"/>
      <c r="C813" s="11"/>
      <c r="D813" s="10"/>
      <c r="E813" s="11"/>
      <c r="F813" s="11"/>
      <c r="G813" s="11"/>
      <c r="H813" s="11"/>
      <c r="I813" s="11"/>
      <c r="J813" s="11"/>
      <c r="K813" s="12"/>
      <c r="L813" s="12"/>
      <c r="M813" s="11"/>
      <c r="N813" s="11"/>
      <c r="O813" s="11"/>
      <c r="P813" s="11"/>
      <c r="Q813" s="11"/>
      <c r="R813" s="11"/>
    </row>
    <row r="814" spans="1:18">
      <c r="A814" s="10"/>
      <c r="B814" s="10"/>
      <c r="C814" s="11"/>
      <c r="D814" s="10"/>
      <c r="E814" s="11"/>
      <c r="F814" s="11"/>
      <c r="G814" s="11"/>
      <c r="H814" s="11"/>
      <c r="I814" s="11"/>
      <c r="J814" s="11"/>
      <c r="K814" s="12"/>
      <c r="L814" s="12"/>
      <c r="M814" s="11"/>
      <c r="N814" s="11"/>
      <c r="O814" s="11"/>
      <c r="P814" s="11"/>
      <c r="Q814" s="11"/>
      <c r="R814" s="11"/>
    </row>
    <row r="815" spans="1:18">
      <c r="A815" s="10"/>
      <c r="B815" s="10"/>
      <c r="C815" s="11"/>
      <c r="D815" s="10"/>
      <c r="E815" s="11"/>
      <c r="F815" s="11"/>
      <c r="G815" s="11"/>
      <c r="H815" s="11"/>
      <c r="I815" s="11"/>
      <c r="J815" s="11"/>
      <c r="K815" s="12"/>
      <c r="L815" s="12"/>
      <c r="M815" s="11"/>
      <c r="N815" s="11"/>
      <c r="O815" s="11"/>
      <c r="P815" s="11"/>
      <c r="Q815" s="11"/>
      <c r="R815" s="11"/>
    </row>
    <row r="816" spans="1:18">
      <c r="A816" s="10"/>
      <c r="B816" s="10"/>
      <c r="C816" s="11"/>
      <c r="D816" s="10"/>
      <c r="E816" s="11"/>
      <c r="F816" s="11"/>
      <c r="G816" s="11"/>
      <c r="H816" s="11"/>
      <c r="I816" s="11"/>
      <c r="J816" s="11"/>
      <c r="K816" s="12"/>
      <c r="L816" s="12"/>
      <c r="M816" s="11"/>
      <c r="N816" s="11"/>
      <c r="O816" s="11"/>
      <c r="P816" s="11"/>
      <c r="Q816" s="11"/>
      <c r="R816" s="11"/>
    </row>
    <row r="817" spans="1:18">
      <c r="A817" s="10"/>
      <c r="B817" s="10"/>
      <c r="C817" s="11"/>
      <c r="D817" s="10"/>
      <c r="E817" s="11"/>
      <c r="F817" s="11"/>
      <c r="G817" s="11"/>
      <c r="H817" s="11"/>
      <c r="I817" s="11"/>
      <c r="J817" s="11"/>
      <c r="K817" s="12"/>
      <c r="L817" s="12"/>
      <c r="M817" s="11"/>
      <c r="N817" s="11"/>
      <c r="O817" s="11"/>
      <c r="P817" s="11"/>
      <c r="Q817" s="11"/>
      <c r="R817" s="11"/>
    </row>
    <row r="818" spans="1:18">
      <c r="A818" s="10"/>
      <c r="B818" s="10"/>
      <c r="C818" s="11"/>
      <c r="D818" s="10"/>
      <c r="E818" s="11"/>
      <c r="F818" s="11"/>
      <c r="G818" s="11"/>
      <c r="H818" s="11"/>
      <c r="I818" s="11"/>
      <c r="J818" s="11"/>
      <c r="K818" s="12"/>
      <c r="L818" s="12"/>
      <c r="M818" s="11"/>
      <c r="N818" s="11"/>
      <c r="O818" s="11"/>
      <c r="P818" s="11"/>
      <c r="Q818" s="11"/>
      <c r="R818" s="11"/>
    </row>
    <row r="819" spans="1:18">
      <c r="A819" s="10"/>
      <c r="B819" s="10"/>
      <c r="C819" s="11"/>
      <c r="D819" s="10"/>
      <c r="E819" s="11"/>
      <c r="F819" s="11"/>
      <c r="G819" s="11"/>
      <c r="H819" s="11"/>
      <c r="I819" s="11"/>
      <c r="J819" s="11"/>
      <c r="K819" s="12"/>
      <c r="L819" s="12"/>
      <c r="M819" s="11"/>
      <c r="N819" s="11"/>
      <c r="O819" s="11"/>
      <c r="P819" s="11"/>
      <c r="Q819" s="11"/>
      <c r="R819" s="11"/>
    </row>
    <row r="820" spans="1:18">
      <c r="A820" s="10"/>
      <c r="B820" s="10"/>
      <c r="C820" s="11"/>
      <c r="D820" s="10"/>
      <c r="E820" s="11"/>
      <c r="F820" s="11"/>
      <c r="G820" s="11"/>
      <c r="H820" s="11"/>
      <c r="I820" s="11"/>
      <c r="J820" s="11"/>
      <c r="K820" s="12"/>
      <c r="L820" s="12"/>
      <c r="M820" s="11"/>
      <c r="N820" s="11"/>
      <c r="O820" s="11"/>
      <c r="P820" s="11"/>
      <c r="Q820" s="11"/>
      <c r="R820" s="11"/>
    </row>
    <row r="821" spans="1:18">
      <c r="A821" s="10"/>
      <c r="B821" s="10"/>
      <c r="C821" s="11"/>
      <c r="D821" s="10"/>
      <c r="E821" s="11"/>
      <c r="F821" s="11"/>
      <c r="G821" s="11"/>
      <c r="H821" s="11"/>
      <c r="I821" s="11"/>
      <c r="J821" s="11"/>
      <c r="K821" s="12"/>
      <c r="L821" s="12"/>
      <c r="M821" s="11"/>
      <c r="N821" s="11"/>
      <c r="O821" s="11"/>
      <c r="P821" s="11"/>
      <c r="Q821" s="11"/>
      <c r="R821" s="11"/>
    </row>
    <row r="822" spans="1:18">
      <c r="A822" s="10"/>
      <c r="B822" s="10"/>
      <c r="C822" s="11"/>
      <c r="D822" s="10"/>
      <c r="E822" s="11"/>
      <c r="F822" s="11"/>
      <c r="G822" s="11"/>
      <c r="H822" s="11"/>
      <c r="I822" s="11"/>
      <c r="J822" s="11"/>
      <c r="K822" s="12"/>
      <c r="L822" s="12"/>
      <c r="M822" s="11"/>
      <c r="N822" s="11"/>
      <c r="O822" s="11"/>
      <c r="P822" s="11"/>
      <c r="Q822" s="11"/>
      <c r="R822" s="11"/>
    </row>
    <row r="823" spans="1:18">
      <c r="A823" s="10"/>
      <c r="B823" s="10"/>
      <c r="C823" s="11"/>
      <c r="D823" s="10"/>
      <c r="E823" s="11"/>
      <c r="F823" s="11"/>
      <c r="G823" s="11"/>
      <c r="H823" s="11"/>
      <c r="I823" s="11"/>
      <c r="J823" s="11"/>
      <c r="K823" s="12"/>
      <c r="L823" s="12"/>
      <c r="M823" s="11"/>
      <c r="N823" s="11"/>
      <c r="O823" s="11"/>
      <c r="P823" s="11"/>
      <c r="Q823" s="11"/>
      <c r="R823" s="11"/>
    </row>
    <row r="824" spans="1:18">
      <c r="A824" s="10"/>
      <c r="B824" s="10"/>
      <c r="C824" s="11"/>
      <c r="D824" s="10"/>
      <c r="E824" s="11"/>
      <c r="F824" s="11"/>
      <c r="G824" s="11"/>
      <c r="H824" s="11"/>
      <c r="I824" s="11"/>
      <c r="J824" s="11"/>
      <c r="K824" s="12"/>
      <c r="L824" s="12"/>
      <c r="M824" s="11"/>
      <c r="N824" s="11"/>
      <c r="O824" s="11"/>
      <c r="P824" s="11"/>
      <c r="Q824" s="11"/>
      <c r="R824" s="11"/>
    </row>
    <row r="825" spans="1:18">
      <c r="A825" s="10"/>
      <c r="B825" s="10"/>
      <c r="C825" s="11"/>
      <c r="D825" s="10"/>
      <c r="E825" s="11"/>
      <c r="F825" s="11"/>
      <c r="G825" s="11"/>
      <c r="H825" s="11"/>
      <c r="I825" s="11"/>
      <c r="J825" s="11"/>
      <c r="K825" s="12"/>
      <c r="L825" s="12"/>
      <c r="M825" s="11"/>
      <c r="N825" s="11"/>
      <c r="O825" s="11"/>
      <c r="P825" s="11"/>
      <c r="Q825" s="11"/>
      <c r="R825" s="11"/>
    </row>
    <row r="826" spans="1:18">
      <c r="A826" s="10"/>
      <c r="B826" s="10"/>
      <c r="C826" s="11"/>
      <c r="D826" s="10"/>
      <c r="E826" s="11"/>
      <c r="F826" s="11"/>
      <c r="G826" s="11"/>
      <c r="H826" s="11"/>
      <c r="I826" s="11"/>
      <c r="J826" s="11"/>
      <c r="K826" s="12"/>
      <c r="L826" s="12"/>
      <c r="M826" s="11"/>
      <c r="N826" s="11"/>
      <c r="O826" s="11"/>
      <c r="P826" s="11"/>
      <c r="Q826" s="11"/>
      <c r="R826" s="11"/>
    </row>
    <row r="827" spans="1:18">
      <c r="A827" s="10"/>
      <c r="B827" s="10"/>
      <c r="C827" s="11"/>
      <c r="D827" s="10"/>
      <c r="E827" s="11"/>
      <c r="F827" s="11"/>
      <c r="G827" s="11"/>
      <c r="H827" s="11"/>
      <c r="I827" s="11"/>
      <c r="J827" s="11"/>
      <c r="K827" s="12"/>
      <c r="L827" s="12"/>
      <c r="M827" s="11"/>
      <c r="N827" s="11"/>
      <c r="O827" s="11"/>
      <c r="P827" s="11"/>
      <c r="Q827" s="11"/>
      <c r="R827" s="11"/>
    </row>
    <row r="828" spans="1:18">
      <c r="A828" s="10"/>
      <c r="B828" s="10"/>
      <c r="C828" s="11"/>
      <c r="D828" s="10"/>
      <c r="E828" s="11"/>
      <c r="F828" s="11"/>
      <c r="G828" s="11"/>
      <c r="H828" s="11"/>
      <c r="I828" s="11"/>
      <c r="J828" s="11"/>
      <c r="K828" s="12"/>
      <c r="L828" s="12"/>
      <c r="M828" s="11"/>
      <c r="N828" s="11"/>
      <c r="O828" s="11"/>
      <c r="P828" s="11"/>
      <c r="Q828" s="11"/>
      <c r="R828" s="11"/>
    </row>
    <row r="829" spans="1:18">
      <c r="A829" s="10"/>
      <c r="B829" s="10"/>
      <c r="C829" s="11"/>
      <c r="D829" s="10"/>
      <c r="E829" s="11"/>
      <c r="F829" s="11"/>
      <c r="G829" s="11"/>
      <c r="H829" s="11"/>
      <c r="I829" s="11"/>
      <c r="J829" s="11"/>
      <c r="K829" s="12"/>
      <c r="L829" s="12"/>
      <c r="M829" s="11"/>
      <c r="N829" s="11"/>
      <c r="O829" s="11"/>
      <c r="P829" s="11"/>
      <c r="Q829" s="11"/>
      <c r="R829" s="11"/>
    </row>
    <row r="830" spans="1:18">
      <c r="A830" s="10"/>
      <c r="B830" s="10"/>
      <c r="C830" s="11"/>
      <c r="D830" s="10"/>
      <c r="E830" s="11"/>
      <c r="F830" s="11"/>
      <c r="G830" s="11"/>
      <c r="H830" s="11"/>
      <c r="I830" s="11"/>
      <c r="J830" s="11"/>
      <c r="K830" s="12"/>
      <c r="L830" s="12"/>
      <c r="M830" s="11"/>
      <c r="N830" s="11"/>
      <c r="O830" s="11"/>
      <c r="P830" s="11"/>
      <c r="Q830" s="11"/>
      <c r="R830" s="11"/>
    </row>
    <row r="831" spans="1:18">
      <c r="A831" s="10"/>
      <c r="B831" s="10"/>
      <c r="C831" s="11"/>
      <c r="D831" s="10"/>
      <c r="E831" s="11"/>
      <c r="F831" s="11"/>
      <c r="G831" s="11"/>
      <c r="H831" s="11"/>
      <c r="I831" s="11"/>
      <c r="J831" s="11"/>
      <c r="K831" s="12"/>
      <c r="L831" s="12"/>
      <c r="M831" s="11"/>
      <c r="N831" s="11"/>
      <c r="O831" s="11"/>
      <c r="P831" s="11"/>
      <c r="Q831" s="11"/>
      <c r="R831" s="11"/>
    </row>
    <row r="832" spans="1:18">
      <c r="A832" s="10"/>
      <c r="B832" s="10"/>
      <c r="C832" s="11"/>
      <c r="D832" s="10"/>
      <c r="E832" s="11"/>
      <c r="F832" s="11"/>
      <c r="G832" s="11"/>
      <c r="H832" s="11"/>
      <c r="I832" s="11"/>
      <c r="J832" s="11"/>
      <c r="K832" s="12"/>
      <c r="L832" s="12"/>
      <c r="M832" s="11"/>
      <c r="N832" s="11"/>
      <c r="O832" s="11"/>
      <c r="P832" s="11"/>
      <c r="Q832" s="11"/>
      <c r="R832" s="11"/>
    </row>
    <row r="833" spans="1:18">
      <c r="A833" s="10"/>
      <c r="B833" s="10"/>
      <c r="C833" s="11"/>
      <c r="D833" s="10"/>
      <c r="E833" s="11"/>
      <c r="F833" s="11"/>
      <c r="G833" s="11"/>
      <c r="H833" s="11"/>
      <c r="I833" s="11"/>
      <c r="J833" s="11"/>
      <c r="K833" s="12"/>
      <c r="L833" s="12"/>
      <c r="M833" s="11"/>
      <c r="N833" s="11"/>
      <c r="O833" s="11"/>
      <c r="P833" s="11"/>
      <c r="Q833" s="11"/>
      <c r="R833" s="11"/>
    </row>
    <row r="834" spans="1:18">
      <c r="A834" s="10"/>
      <c r="B834" s="10"/>
      <c r="C834" s="11"/>
      <c r="D834" s="10"/>
      <c r="E834" s="11"/>
      <c r="F834" s="11"/>
      <c r="G834" s="11"/>
      <c r="H834" s="11"/>
      <c r="I834" s="11"/>
      <c r="J834" s="11"/>
      <c r="K834" s="12"/>
      <c r="L834" s="12"/>
      <c r="M834" s="11"/>
      <c r="N834" s="11"/>
      <c r="O834" s="11"/>
      <c r="P834" s="11"/>
      <c r="Q834" s="11"/>
      <c r="R834" s="11"/>
    </row>
    <row r="835" spans="1:18">
      <c r="A835" s="10"/>
      <c r="B835" s="10"/>
      <c r="C835" s="11"/>
      <c r="D835" s="10"/>
      <c r="E835" s="11"/>
      <c r="F835" s="11"/>
      <c r="G835" s="11"/>
      <c r="H835" s="11"/>
      <c r="I835" s="11"/>
      <c r="J835" s="11"/>
      <c r="K835" s="12"/>
      <c r="L835" s="12"/>
      <c r="M835" s="11"/>
      <c r="N835" s="11"/>
      <c r="O835" s="11"/>
      <c r="P835" s="11"/>
      <c r="Q835" s="11"/>
      <c r="R835" s="11"/>
    </row>
    <row r="836" spans="1:18">
      <c r="A836" s="10"/>
      <c r="B836" s="10"/>
      <c r="C836" s="11"/>
      <c r="D836" s="10"/>
      <c r="E836" s="11"/>
      <c r="F836" s="11"/>
      <c r="G836" s="11"/>
      <c r="H836" s="11"/>
      <c r="I836" s="11"/>
      <c r="J836" s="11"/>
      <c r="K836" s="12"/>
      <c r="L836" s="12"/>
      <c r="M836" s="11"/>
      <c r="N836" s="11"/>
      <c r="O836" s="11"/>
      <c r="P836" s="11"/>
      <c r="Q836" s="11"/>
      <c r="R836" s="11"/>
    </row>
    <row r="837" spans="1:18">
      <c r="A837" s="10"/>
      <c r="B837" s="10"/>
      <c r="C837" s="11"/>
      <c r="D837" s="10"/>
      <c r="E837" s="11"/>
      <c r="F837" s="11"/>
      <c r="G837" s="11"/>
      <c r="H837" s="11"/>
      <c r="I837" s="11"/>
      <c r="J837" s="11"/>
      <c r="K837" s="12"/>
      <c r="L837" s="12"/>
      <c r="M837" s="11"/>
      <c r="N837" s="11"/>
      <c r="O837" s="11"/>
      <c r="P837" s="11"/>
      <c r="Q837" s="11"/>
      <c r="R837" s="11"/>
    </row>
    <row r="838" spans="1:18">
      <c r="A838" s="10"/>
      <c r="B838" s="10"/>
      <c r="C838" s="11"/>
      <c r="D838" s="10"/>
      <c r="E838" s="11"/>
      <c r="F838" s="11"/>
      <c r="G838" s="11"/>
      <c r="H838" s="11"/>
      <c r="I838" s="11"/>
      <c r="J838" s="11"/>
      <c r="K838" s="12"/>
      <c r="L838" s="12"/>
      <c r="M838" s="11"/>
      <c r="N838" s="11"/>
      <c r="O838" s="11"/>
      <c r="P838" s="11"/>
      <c r="Q838" s="11"/>
      <c r="R838" s="11"/>
    </row>
    <row r="839" spans="1:18">
      <c r="A839" s="10"/>
      <c r="B839" s="10"/>
      <c r="C839" s="11"/>
      <c r="D839" s="10"/>
      <c r="E839" s="11"/>
      <c r="F839" s="11"/>
      <c r="G839" s="11"/>
      <c r="H839" s="11"/>
      <c r="I839" s="11"/>
      <c r="J839" s="11"/>
      <c r="K839" s="12"/>
      <c r="L839" s="12"/>
      <c r="M839" s="11"/>
      <c r="N839" s="11"/>
      <c r="O839" s="11"/>
      <c r="P839" s="11"/>
      <c r="Q839" s="11"/>
      <c r="R839" s="11"/>
    </row>
    <row r="840" spans="1:18">
      <c r="A840" s="10"/>
      <c r="B840" s="10"/>
      <c r="C840" s="11"/>
      <c r="D840" s="10"/>
      <c r="E840" s="11"/>
      <c r="F840" s="11"/>
      <c r="G840" s="11"/>
      <c r="H840" s="11"/>
      <c r="I840" s="11"/>
      <c r="J840" s="11"/>
      <c r="K840" s="12"/>
      <c r="L840" s="12"/>
      <c r="M840" s="11"/>
      <c r="N840" s="11"/>
      <c r="O840" s="11"/>
      <c r="P840" s="11"/>
      <c r="Q840" s="11"/>
      <c r="R840" s="11"/>
    </row>
    <row r="841" spans="1:18">
      <c r="A841" s="10"/>
      <c r="B841" s="10"/>
      <c r="C841" s="11"/>
      <c r="D841" s="10"/>
      <c r="E841" s="11"/>
      <c r="F841" s="11"/>
      <c r="G841" s="11"/>
      <c r="H841" s="11"/>
      <c r="I841" s="11"/>
      <c r="J841" s="11"/>
      <c r="K841" s="12"/>
      <c r="L841" s="12"/>
      <c r="M841" s="11"/>
      <c r="N841" s="11"/>
      <c r="O841" s="11"/>
      <c r="P841" s="11"/>
      <c r="Q841" s="11"/>
      <c r="R841" s="11"/>
    </row>
    <row r="842" spans="1:18">
      <c r="A842" s="10"/>
      <c r="B842" s="10"/>
      <c r="C842" s="11"/>
      <c r="D842" s="10"/>
      <c r="E842" s="11"/>
      <c r="F842" s="11"/>
      <c r="G842" s="11"/>
      <c r="H842" s="11"/>
      <c r="I842" s="11"/>
      <c r="J842" s="11"/>
      <c r="K842" s="12"/>
      <c r="L842" s="12"/>
      <c r="M842" s="11"/>
      <c r="N842" s="11"/>
      <c r="O842" s="11"/>
      <c r="P842" s="11"/>
      <c r="Q842" s="11"/>
      <c r="R842" s="11"/>
    </row>
    <row r="843" spans="1:18">
      <c r="A843" s="10"/>
      <c r="B843" s="10"/>
      <c r="C843" s="11"/>
      <c r="D843" s="10"/>
      <c r="E843" s="11"/>
      <c r="F843" s="11"/>
      <c r="G843" s="11"/>
      <c r="H843" s="11"/>
      <c r="I843" s="11"/>
      <c r="J843" s="11"/>
      <c r="K843" s="12"/>
      <c r="L843" s="12"/>
      <c r="M843" s="11"/>
      <c r="N843" s="11"/>
      <c r="O843" s="11"/>
      <c r="P843" s="11"/>
      <c r="Q843" s="11"/>
      <c r="R843" s="11"/>
    </row>
    <row r="844" spans="1:18">
      <c r="A844" s="10"/>
      <c r="B844" s="10"/>
      <c r="C844" s="11"/>
      <c r="D844" s="10"/>
      <c r="E844" s="11"/>
      <c r="F844" s="11"/>
      <c r="G844" s="11"/>
      <c r="H844" s="11"/>
      <c r="I844" s="11"/>
      <c r="J844" s="11"/>
      <c r="K844" s="12"/>
      <c r="L844" s="12"/>
      <c r="M844" s="11"/>
      <c r="N844" s="11"/>
      <c r="O844" s="11"/>
      <c r="P844" s="11"/>
      <c r="Q844" s="11"/>
      <c r="R844" s="11"/>
    </row>
    <row r="845" spans="1:18">
      <c r="A845" s="10"/>
      <c r="B845" s="10"/>
      <c r="C845" s="11"/>
      <c r="D845" s="10"/>
      <c r="E845" s="11"/>
      <c r="F845" s="11"/>
      <c r="G845" s="11"/>
      <c r="H845" s="11"/>
      <c r="I845" s="11"/>
      <c r="J845" s="11"/>
      <c r="K845" s="12"/>
      <c r="L845" s="12"/>
      <c r="M845" s="11"/>
      <c r="N845" s="11"/>
      <c r="O845" s="11"/>
      <c r="P845" s="11"/>
      <c r="Q845" s="11"/>
      <c r="R845" s="11"/>
    </row>
    <row r="846" spans="1:18">
      <c r="A846" s="10"/>
      <c r="B846" s="10"/>
      <c r="C846" s="11"/>
      <c r="D846" s="10"/>
      <c r="E846" s="11"/>
      <c r="F846" s="11"/>
      <c r="G846" s="11"/>
      <c r="H846" s="11"/>
      <c r="I846" s="11"/>
      <c r="J846" s="11"/>
      <c r="K846" s="12"/>
      <c r="L846" s="12"/>
      <c r="M846" s="11"/>
      <c r="N846" s="11"/>
      <c r="O846" s="11"/>
      <c r="P846" s="11"/>
      <c r="Q846" s="11"/>
      <c r="R846" s="11"/>
    </row>
    <row r="847" spans="1:18">
      <c r="A847" s="10"/>
      <c r="B847" s="10"/>
      <c r="C847" s="11"/>
      <c r="D847" s="10"/>
      <c r="E847" s="11"/>
      <c r="F847" s="11"/>
      <c r="G847" s="11"/>
      <c r="H847" s="11"/>
      <c r="I847" s="11"/>
      <c r="J847" s="11"/>
      <c r="K847" s="12"/>
      <c r="L847" s="12"/>
      <c r="M847" s="11"/>
      <c r="N847" s="11"/>
      <c r="O847" s="11"/>
      <c r="P847" s="11"/>
      <c r="Q847" s="11"/>
      <c r="R847" s="11"/>
    </row>
    <row r="848" spans="1:18">
      <c r="A848" s="10"/>
      <c r="B848" s="10"/>
      <c r="C848" s="11"/>
      <c r="D848" s="10"/>
      <c r="E848" s="11"/>
      <c r="F848" s="11"/>
      <c r="G848" s="11"/>
      <c r="H848" s="11"/>
      <c r="I848" s="11"/>
      <c r="J848" s="11"/>
      <c r="K848" s="12"/>
      <c r="L848" s="12"/>
      <c r="M848" s="11"/>
      <c r="N848" s="11"/>
      <c r="O848" s="11"/>
      <c r="P848" s="11"/>
      <c r="Q848" s="11"/>
      <c r="R848" s="11"/>
    </row>
    <row r="849" spans="1:18">
      <c r="A849" s="10"/>
      <c r="B849" s="10"/>
      <c r="C849" s="11"/>
      <c r="D849" s="10"/>
      <c r="E849" s="11"/>
      <c r="F849" s="11"/>
      <c r="G849" s="11"/>
      <c r="H849" s="11"/>
      <c r="I849" s="11"/>
      <c r="J849" s="11"/>
      <c r="K849" s="12"/>
      <c r="L849" s="12"/>
      <c r="M849" s="11"/>
      <c r="N849" s="11"/>
      <c r="O849" s="11"/>
      <c r="P849" s="11"/>
      <c r="Q849" s="11"/>
      <c r="R849" s="11"/>
    </row>
    <row r="850" spans="1:18">
      <c r="A850" s="10"/>
      <c r="B850" s="10"/>
      <c r="C850" s="11"/>
      <c r="D850" s="10"/>
      <c r="E850" s="11"/>
      <c r="F850" s="11"/>
      <c r="G850" s="11"/>
      <c r="H850" s="11"/>
      <c r="I850" s="11"/>
      <c r="J850" s="11"/>
      <c r="K850" s="12"/>
      <c r="L850" s="12"/>
      <c r="M850" s="11"/>
      <c r="N850" s="11"/>
      <c r="O850" s="11"/>
      <c r="P850" s="11"/>
      <c r="Q850" s="11"/>
      <c r="R850" s="11"/>
    </row>
    <row r="851" spans="1:18">
      <c r="A851" s="10"/>
      <c r="B851" s="10"/>
      <c r="C851" s="11"/>
      <c r="D851" s="10"/>
      <c r="E851" s="11"/>
      <c r="F851" s="11"/>
      <c r="G851" s="11"/>
      <c r="H851" s="11"/>
      <c r="I851" s="11"/>
      <c r="J851" s="11"/>
      <c r="K851" s="12"/>
      <c r="L851" s="12"/>
      <c r="M851" s="11"/>
      <c r="N851" s="11"/>
      <c r="O851" s="11"/>
      <c r="P851" s="11"/>
      <c r="Q851" s="11"/>
      <c r="R851" s="11"/>
    </row>
    <row r="852" spans="1:18">
      <c r="A852" s="10"/>
      <c r="B852" s="10"/>
      <c r="C852" s="11"/>
      <c r="D852" s="10"/>
      <c r="E852" s="11"/>
      <c r="F852" s="11"/>
      <c r="G852" s="11"/>
      <c r="H852" s="11"/>
      <c r="I852" s="11"/>
      <c r="J852" s="11"/>
      <c r="K852" s="12"/>
      <c r="L852" s="12"/>
      <c r="M852" s="11"/>
      <c r="N852" s="11"/>
      <c r="O852" s="11"/>
      <c r="P852" s="11"/>
      <c r="Q852" s="11"/>
      <c r="R852" s="11"/>
    </row>
    <row r="853" spans="1:18">
      <c r="A853" s="10"/>
      <c r="B853" s="10"/>
      <c r="C853" s="11"/>
      <c r="D853" s="10"/>
      <c r="E853" s="11"/>
      <c r="F853" s="11"/>
      <c r="G853" s="11"/>
      <c r="H853" s="11"/>
      <c r="I853" s="11"/>
      <c r="J853" s="11"/>
      <c r="K853" s="12"/>
      <c r="L853" s="12"/>
      <c r="M853" s="11"/>
      <c r="N853" s="11"/>
      <c r="O853" s="11"/>
      <c r="P853" s="11"/>
      <c r="Q853" s="11"/>
      <c r="R853" s="11"/>
    </row>
    <row r="854" spans="1:18">
      <c r="A854" s="10"/>
      <c r="B854" s="10"/>
      <c r="C854" s="11"/>
      <c r="D854" s="10"/>
      <c r="E854" s="11"/>
      <c r="F854" s="11"/>
      <c r="G854" s="11"/>
      <c r="H854" s="11"/>
      <c r="I854" s="11"/>
      <c r="J854" s="11"/>
      <c r="K854" s="12"/>
      <c r="L854" s="12"/>
      <c r="M854" s="11"/>
      <c r="N854" s="11"/>
      <c r="O854" s="11"/>
      <c r="P854" s="11"/>
      <c r="Q854" s="11"/>
      <c r="R854" s="11"/>
    </row>
    <row r="855" spans="1:18">
      <c r="A855" s="10"/>
      <c r="B855" s="10"/>
      <c r="C855" s="11"/>
      <c r="D855" s="10"/>
      <c r="E855" s="11"/>
      <c r="F855" s="11"/>
      <c r="G855" s="11"/>
      <c r="H855" s="11"/>
      <c r="I855" s="11"/>
      <c r="J855" s="11"/>
      <c r="K855" s="12"/>
      <c r="L855" s="12"/>
      <c r="M855" s="11"/>
      <c r="N855" s="11"/>
      <c r="O855" s="11"/>
      <c r="P855" s="11"/>
      <c r="Q855" s="11"/>
      <c r="R855" s="11"/>
    </row>
    <row r="856" spans="1:18">
      <c r="A856" s="10"/>
      <c r="B856" s="10"/>
      <c r="C856" s="11"/>
      <c r="D856" s="10"/>
      <c r="E856" s="11"/>
      <c r="F856" s="11"/>
      <c r="G856" s="11"/>
      <c r="H856" s="11"/>
      <c r="I856" s="11"/>
      <c r="J856" s="11"/>
      <c r="K856" s="12"/>
      <c r="L856" s="12"/>
      <c r="M856" s="11"/>
      <c r="N856" s="11"/>
      <c r="O856" s="11"/>
      <c r="P856" s="11"/>
      <c r="Q856" s="11"/>
      <c r="R856" s="11"/>
    </row>
    <row r="857" spans="1:18">
      <c r="A857" s="10"/>
      <c r="B857" s="10"/>
      <c r="C857" s="11"/>
      <c r="D857" s="10"/>
      <c r="E857" s="11"/>
      <c r="F857" s="11"/>
      <c r="G857" s="11"/>
      <c r="H857" s="11"/>
      <c r="I857" s="11"/>
      <c r="J857" s="11"/>
      <c r="K857" s="12"/>
      <c r="L857" s="12"/>
      <c r="M857" s="11"/>
      <c r="N857" s="11"/>
      <c r="O857" s="11"/>
      <c r="P857" s="11"/>
      <c r="Q857" s="11"/>
      <c r="R857" s="11"/>
    </row>
    <row r="858" spans="1:18">
      <c r="A858" s="10"/>
      <c r="B858" s="10"/>
      <c r="C858" s="11"/>
      <c r="D858" s="10"/>
      <c r="E858" s="11"/>
      <c r="F858" s="11"/>
      <c r="G858" s="11"/>
      <c r="H858" s="11"/>
      <c r="I858" s="11"/>
      <c r="J858" s="11"/>
      <c r="K858" s="12"/>
      <c r="L858" s="12"/>
      <c r="M858" s="11"/>
      <c r="N858" s="11"/>
      <c r="O858" s="11"/>
      <c r="P858" s="11"/>
      <c r="Q858" s="11"/>
      <c r="R858" s="11"/>
    </row>
    <row r="859" spans="1:18">
      <c r="A859" s="10"/>
      <c r="B859" s="10"/>
      <c r="C859" s="11"/>
      <c r="D859" s="10"/>
      <c r="E859" s="11"/>
      <c r="F859" s="11"/>
      <c r="G859" s="11"/>
      <c r="H859" s="11"/>
      <c r="I859" s="11"/>
      <c r="J859" s="11"/>
      <c r="K859" s="12"/>
      <c r="L859" s="12"/>
      <c r="M859" s="11"/>
      <c r="N859" s="11"/>
      <c r="O859" s="11"/>
      <c r="P859" s="11"/>
      <c r="Q859" s="11"/>
      <c r="R859" s="11"/>
    </row>
    <row r="860" spans="1:18">
      <c r="A860" s="10"/>
      <c r="B860" s="10"/>
      <c r="C860" s="11"/>
      <c r="D860" s="10"/>
      <c r="E860" s="11"/>
      <c r="F860" s="11"/>
      <c r="G860" s="11"/>
      <c r="H860" s="11"/>
      <c r="I860" s="11"/>
      <c r="J860" s="11"/>
      <c r="K860" s="12"/>
      <c r="L860" s="12"/>
      <c r="M860" s="11"/>
      <c r="N860" s="11"/>
      <c r="O860" s="11"/>
      <c r="P860" s="11"/>
      <c r="Q860" s="11"/>
      <c r="R860" s="11"/>
    </row>
    <row r="861" spans="1:18">
      <c r="A861" s="10"/>
      <c r="B861" s="10"/>
      <c r="C861" s="11"/>
      <c r="D861" s="10"/>
      <c r="E861" s="11"/>
      <c r="F861" s="11"/>
      <c r="G861" s="11"/>
      <c r="H861" s="11"/>
      <c r="I861" s="11"/>
      <c r="J861" s="11"/>
      <c r="K861" s="12"/>
      <c r="L861" s="12"/>
      <c r="M861" s="11"/>
      <c r="N861" s="11"/>
      <c r="O861" s="11"/>
      <c r="P861" s="11"/>
      <c r="Q861" s="11"/>
      <c r="R861" s="11"/>
    </row>
    <row r="862" spans="1:18">
      <c r="A862" s="10"/>
      <c r="B862" s="10"/>
      <c r="C862" s="11"/>
      <c r="D862" s="10"/>
      <c r="E862" s="11"/>
      <c r="F862" s="11"/>
      <c r="G862" s="11"/>
      <c r="H862" s="11"/>
      <c r="I862" s="11"/>
      <c r="J862" s="11"/>
      <c r="K862" s="12"/>
      <c r="L862" s="12"/>
      <c r="M862" s="11"/>
      <c r="N862" s="11"/>
      <c r="O862" s="11"/>
      <c r="P862" s="11"/>
      <c r="Q862" s="11"/>
      <c r="R862" s="11"/>
    </row>
    <row r="863" spans="1:18">
      <c r="A863" s="10"/>
      <c r="B863" s="10"/>
      <c r="C863" s="11"/>
      <c r="D863" s="10"/>
      <c r="E863" s="11"/>
      <c r="F863" s="11"/>
      <c r="G863" s="11"/>
      <c r="H863" s="11"/>
      <c r="I863" s="11"/>
      <c r="J863" s="11"/>
      <c r="K863" s="12"/>
      <c r="L863" s="12"/>
      <c r="M863" s="11"/>
      <c r="N863" s="11"/>
      <c r="O863" s="11"/>
      <c r="P863" s="11"/>
      <c r="Q863" s="11"/>
      <c r="R863" s="11"/>
    </row>
    <row r="864" spans="1:18">
      <c r="A864" s="10"/>
      <c r="B864" s="10"/>
      <c r="C864" s="11"/>
      <c r="D864" s="10"/>
      <c r="E864" s="11"/>
      <c r="F864" s="11"/>
      <c r="G864" s="11"/>
      <c r="H864" s="11"/>
      <c r="I864" s="11"/>
      <c r="J864" s="11"/>
      <c r="K864" s="12"/>
      <c r="L864" s="12"/>
      <c r="M864" s="11"/>
      <c r="N864" s="11"/>
      <c r="O864" s="11"/>
      <c r="P864" s="11"/>
      <c r="Q864" s="11"/>
      <c r="R864" s="11"/>
    </row>
    <row r="865" spans="1:18">
      <c r="A865" s="10"/>
      <c r="B865" s="10"/>
      <c r="C865" s="11"/>
      <c r="D865" s="10"/>
      <c r="E865" s="11"/>
      <c r="F865" s="11"/>
      <c r="G865" s="11"/>
      <c r="H865" s="11"/>
      <c r="I865" s="11"/>
      <c r="J865" s="11"/>
      <c r="K865" s="12"/>
      <c r="L865" s="12"/>
      <c r="M865" s="11"/>
      <c r="N865" s="11"/>
      <c r="O865" s="11"/>
      <c r="P865" s="11"/>
      <c r="Q865" s="11"/>
      <c r="R865" s="11"/>
    </row>
    <row r="866" spans="1:18">
      <c r="A866" s="10"/>
      <c r="B866" s="10"/>
      <c r="C866" s="11"/>
      <c r="D866" s="10"/>
      <c r="E866" s="11"/>
      <c r="F866" s="11"/>
      <c r="G866" s="11"/>
      <c r="H866" s="11"/>
      <c r="I866" s="11"/>
      <c r="J866" s="11"/>
      <c r="K866" s="12"/>
      <c r="L866" s="12"/>
      <c r="M866" s="11"/>
      <c r="N866" s="11"/>
      <c r="O866" s="11"/>
      <c r="P866" s="11"/>
      <c r="Q866" s="11"/>
      <c r="R866" s="11"/>
    </row>
    <row r="867" spans="1:18">
      <c r="A867" s="10"/>
      <c r="B867" s="10"/>
      <c r="C867" s="11"/>
      <c r="D867" s="10"/>
      <c r="E867" s="11"/>
      <c r="F867" s="11"/>
      <c r="G867" s="11"/>
      <c r="H867" s="11"/>
      <c r="I867" s="11"/>
      <c r="J867" s="11"/>
      <c r="K867" s="12"/>
      <c r="L867" s="12"/>
      <c r="M867" s="11"/>
      <c r="N867" s="11"/>
      <c r="O867" s="11"/>
      <c r="P867" s="11"/>
      <c r="Q867" s="11"/>
      <c r="R867" s="11"/>
    </row>
  </sheetData>
  <autoFilter ref="A2:Z2" xr:uid="{BBD0B27C-127B-4145-9951-71BDF417A9A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E9C05-C844-469D-9C37-68D5F44C3B0F}">
  <sheetPr codeName="Sheet31"/>
  <dimension ref="A2:Y195"/>
  <sheetViews>
    <sheetView topLeftCell="O1" workbookViewId="0">
      <selection activeCell="Y22" sqref="Y22"/>
    </sheetView>
  </sheetViews>
  <sheetFormatPr defaultColWidth="9.140625" defaultRowHeight="12.75"/>
  <cols>
    <col min="1" max="9" width="9.140625" style="8"/>
    <col min="10" max="10" width="11.42578125" style="8" bestFit="1" customWidth="1"/>
    <col min="11" max="11" width="11.140625" style="8" bestFit="1" customWidth="1"/>
    <col min="12" max="21" width="9.140625" style="8"/>
    <col min="22" max="22" width="13.140625" style="8" bestFit="1" customWidth="1"/>
    <col min="23" max="23" width="19.140625" style="8" bestFit="1" customWidth="1"/>
    <col min="24" max="24" width="18.85546875" style="8" bestFit="1" customWidth="1"/>
    <col min="25" max="25" width="18.140625" style="8" bestFit="1" customWidth="1"/>
    <col min="26" max="16384" width="9.140625" style="8"/>
  </cols>
  <sheetData>
    <row r="2" spans="1:25" ht="15" customHeight="1">
      <c r="A2" s="5" t="s">
        <v>449</v>
      </c>
      <c r="B2" s="5" t="s">
        <v>450</v>
      </c>
      <c r="C2" s="6" t="s">
        <v>451</v>
      </c>
      <c r="D2" s="5" t="s">
        <v>452</v>
      </c>
      <c r="E2" s="6" t="s">
        <v>453</v>
      </c>
      <c r="F2" s="6" t="s">
        <v>454</v>
      </c>
      <c r="G2" s="6" t="s">
        <v>455</v>
      </c>
      <c r="H2" s="6" t="s">
        <v>456</v>
      </c>
      <c r="I2" s="6" t="s">
        <v>457</v>
      </c>
      <c r="J2" s="7" t="s">
        <v>459</v>
      </c>
      <c r="K2" s="7" t="s">
        <v>460</v>
      </c>
      <c r="L2" s="6" t="s">
        <v>461</v>
      </c>
      <c r="M2" s="6" t="s">
        <v>462</v>
      </c>
      <c r="N2" s="6" t="s">
        <v>463</v>
      </c>
      <c r="O2" s="6" t="s">
        <v>464</v>
      </c>
      <c r="P2" s="6" t="s">
        <v>465</v>
      </c>
      <c r="Q2" s="6" t="s">
        <v>466</v>
      </c>
    </row>
    <row r="3" spans="1:25">
      <c r="A3" s="751">
        <v>44957</v>
      </c>
      <c r="B3" s="751">
        <v>44957</v>
      </c>
      <c r="C3" s="752" t="s">
        <v>467</v>
      </c>
      <c r="D3" s="751"/>
      <c r="E3" s="752"/>
      <c r="F3" s="752" t="s">
        <v>486</v>
      </c>
      <c r="G3" s="752" t="s">
        <v>487</v>
      </c>
      <c r="H3" s="752" t="s">
        <v>71</v>
      </c>
      <c r="I3" s="752" t="s">
        <v>267</v>
      </c>
      <c r="J3" s="753">
        <v>2863637</v>
      </c>
      <c r="K3" s="753">
        <v>0</v>
      </c>
      <c r="L3" s="752"/>
      <c r="M3" s="752"/>
      <c r="N3" s="752"/>
      <c r="O3" s="752"/>
      <c r="P3" s="752"/>
      <c r="Q3" s="752" t="s">
        <v>488</v>
      </c>
    </row>
    <row r="4" spans="1:25">
      <c r="A4" s="751">
        <v>44957</v>
      </c>
      <c r="B4" s="751">
        <v>44957</v>
      </c>
      <c r="C4" s="752" t="s">
        <v>467</v>
      </c>
      <c r="D4" s="751"/>
      <c r="E4" s="752"/>
      <c r="F4" s="752" t="s">
        <v>486</v>
      </c>
      <c r="G4" s="752" t="s">
        <v>487</v>
      </c>
      <c r="H4" s="752" t="s">
        <v>71</v>
      </c>
      <c r="I4" s="752" t="s">
        <v>269</v>
      </c>
      <c r="J4" s="753">
        <v>100271124</v>
      </c>
      <c r="K4" s="753">
        <v>0</v>
      </c>
      <c r="L4" s="752"/>
      <c r="M4" s="752"/>
      <c r="N4" s="752"/>
      <c r="O4" s="752"/>
      <c r="P4" s="752"/>
      <c r="Q4" s="752" t="s">
        <v>488</v>
      </c>
    </row>
    <row r="5" spans="1:25">
      <c r="A5" s="751">
        <v>44957</v>
      </c>
      <c r="B5" s="751">
        <v>44957</v>
      </c>
      <c r="C5" s="752" t="s">
        <v>467</v>
      </c>
      <c r="D5" s="751"/>
      <c r="E5" s="752"/>
      <c r="F5" s="752" t="s">
        <v>486</v>
      </c>
      <c r="G5" s="752" t="s">
        <v>487</v>
      </c>
      <c r="H5" s="752" t="s">
        <v>71</v>
      </c>
      <c r="I5" s="752" t="s">
        <v>273</v>
      </c>
      <c r="J5" s="753">
        <v>168397288</v>
      </c>
      <c r="K5" s="753">
        <v>0</v>
      </c>
      <c r="L5" s="752"/>
      <c r="M5" s="752"/>
      <c r="N5" s="752"/>
      <c r="O5" s="752"/>
      <c r="P5" s="752"/>
      <c r="Q5" s="752" t="s">
        <v>488</v>
      </c>
    </row>
    <row r="6" spans="1:25">
      <c r="A6" s="751">
        <v>44957</v>
      </c>
      <c r="B6" s="751">
        <v>44957</v>
      </c>
      <c r="C6" s="752" t="s">
        <v>467</v>
      </c>
      <c r="D6" s="751"/>
      <c r="E6" s="752"/>
      <c r="F6" s="752" t="s">
        <v>486</v>
      </c>
      <c r="G6" s="752" t="s">
        <v>487</v>
      </c>
      <c r="H6" s="752" t="s">
        <v>71</v>
      </c>
      <c r="I6" s="752" t="s">
        <v>277</v>
      </c>
      <c r="J6" s="753">
        <v>55690151</v>
      </c>
      <c r="K6" s="753">
        <v>0</v>
      </c>
      <c r="L6" s="752"/>
      <c r="M6" s="752"/>
      <c r="N6" s="752"/>
      <c r="O6" s="752"/>
      <c r="P6" s="752"/>
      <c r="Q6" s="752" t="s">
        <v>488</v>
      </c>
    </row>
    <row r="7" spans="1:25" ht="15">
      <c r="A7" s="751">
        <v>44957</v>
      </c>
      <c r="B7" s="751">
        <v>44957</v>
      </c>
      <c r="C7" s="752" t="s">
        <v>467</v>
      </c>
      <c r="D7" s="751"/>
      <c r="E7" s="752"/>
      <c r="F7" s="752" t="s">
        <v>486</v>
      </c>
      <c r="G7" s="752" t="s">
        <v>487</v>
      </c>
      <c r="H7" s="752" t="s">
        <v>71</v>
      </c>
      <c r="I7" s="752" t="s">
        <v>279</v>
      </c>
      <c r="J7" s="753">
        <v>5785000</v>
      </c>
      <c r="K7" s="753">
        <v>0</v>
      </c>
      <c r="L7" s="752"/>
      <c r="M7" s="752"/>
      <c r="N7" s="752"/>
      <c r="O7" s="752"/>
      <c r="P7" s="752"/>
      <c r="Q7" s="752" t="s">
        <v>488</v>
      </c>
      <c r="V7" s="256" t="s">
        <v>469</v>
      </c>
      <c r="W7" t="s">
        <v>470</v>
      </c>
      <c r="X7" t="s">
        <v>471</v>
      </c>
    </row>
    <row r="8" spans="1:25" ht="15">
      <c r="A8" s="751">
        <v>44957</v>
      </c>
      <c r="B8" s="751">
        <v>44957</v>
      </c>
      <c r="C8" s="752" t="s">
        <v>467</v>
      </c>
      <c r="D8" s="751"/>
      <c r="E8" s="752"/>
      <c r="F8" s="752" t="s">
        <v>486</v>
      </c>
      <c r="G8" s="752" t="s">
        <v>487</v>
      </c>
      <c r="H8" s="752" t="s">
        <v>71</v>
      </c>
      <c r="I8" s="752" t="s">
        <v>283</v>
      </c>
      <c r="J8" s="753">
        <v>177447930</v>
      </c>
      <c r="K8" s="753">
        <v>0</v>
      </c>
      <c r="L8" s="752"/>
      <c r="M8" s="752"/>
      <c r="N8" s="752"/>
      <c r="O8" s="752"/>
      <c r="P8" s="752"/>
      <c r="Q8" s="752" t="s">
        <v>488</v>
      </c>
      <c r="V8" s="257" t="s">
        <v>267</v>
      </c>
      <c r="W8" s="258">
        <v>14181822</v>
      </c>
      <c r="X8" s="258">
        <v>0</v>
      </c>
      <c r="Y8" s="9">
        <f>GETPIVOTDATA("Sum of Phát sinh Nợ",$V$7,"TK đối ứng",V8)-GETPIVOTDATA("Sum of Phát sinh Có",$V$7,"TK đối ứng",V8)</f>
        <v>14181822</v>
      </c>
    </row>
    <row r="9" spans="1:25" ht="15">
      <c r="A9" s="751">
        <v>44957</v>
      </c>
      <c r="B9" s="751">
        <v>44957</v>
      </c>
      <c r="C9" s="752" t="s">
        <v>467</v>
      </c>
      <c r="D9" s="751"/>
      <c r="E9" s="752"/>
      <c r="F9" s="752" t="s">
        <v>486</v>
      </c>
      <c r="G9" s="752" t="s">
        <v>487</v>
      </c>
      <c r="H9" s="752" t="s">
        <v>71</v>
      </c>
      <c r="I9" s="752" t="s">
        <v>285</v>
      </c>
      <c r="J9" s="753">
        <v>187200</v>
      </c>
      <c r="K9" s="753">
        <v>0</v>
      </c>
      <c r="L9" s="752"/>
      <c r="M9" s="752"/>
      <c r="N9" s="752"/>
      <c r="O9" s="752"/>
      <c r="P9" s="752"/>
      <c r="Q9" s="752" t="s">
        <v>488</v>
      </c>
      <c r="V9" s="257" t="s">
        <v>269</v>
      </c>
      <c r="W9" s="258">
        <v>874006207</v>
      </c>
      <c r="X9" s="258">
        <v>0</v>
      </c>
      <c r="Y9" s="9">
        <f t="shared" ref="Y9:Y23" si="0">GETPIVOTDATA("Sum of Phát sinh Nợ",$V$7,"TK đối ứng",V9)-GETPIVOTDATA("Sum of Phát sinh Có",$V$7,"TK đối ứng",V9)</f>
        <v>874006207</v>
      </c>
    </row>
    <row r="10" spans="1:25" ht="15">
      <c r="A10" s="751">
        <v>44957</v>
      </c>
      <c r="B10" s="751">
        <v>44957</v>
      </c>
      <c r="C10" s="752" t="s">
        <v>467</v>
      </c>
      <c r="D10" s="751"/>
      <c r="E10" s="752"/>
      <c r="F10" s="752" t="s">
        <v>486</v>
      </c>
      <c r="G10" s="752" t="s">
        <v>487</v>
      </c>
      <c r="H10" s="752" t="s">
        <v>71</v>
      </c>
      <c r="I10" s="752" t="s">
        <v>287</v>
      </c>
      <c r="J10" s="753">
        <v>54949264</v>
      </c>
      <c r="K10" s="753">
        <v>0</v>
      </c>
      <c r="L10" s="752"/>
      <c r="M10" s="752"/>
      <c r="N10" s="752"/>
      <c r="O10" s="752"/>
      <c r="P10" s="752"/>
      <c r="Q10" s="752" t="s">
        <v>488</v>
      </c>
      <c r="V10" s="257" t="s">
        <v>273</v>
      </c>
      <c r="W10" s="258">
        <v>1086084143</v>
      </c>
      <c r="X10" s="258">
        <v>0</v>
      </c>
      <c r="Y10" s="9">
        <f t="shared" si="0"/>
        <v>1086084143</v>
      </c>
    </row>
    <row r="11" spans="1:25" ht="15">
      <c r="A11" s="751">
        <v>44957</v>
      </c>
      <c r="B11" s="751">
        <v>44957</v>
      </c>
      <c r="C11" s="752" t="s">
        <v>467</v>
      </c>
      <c r="D11" s="751"/>
      <c r="E11" s="752"/>
      <c r="F11" s="752" t="s">
        <v>486</v>
      </c>
      <c r="G11" s="752" t="s">
        <v>487</v>
      </c>
      <c r="H11" s="752" t="s">
        <v>71</v>
      </c>
      <c r="I11" s="752" t="s">
        <v>289</v>
      </c>
      <c r="J11" s="753">
        <v>17428510</v>
      </c>
      <c r="K11" s="753">
        <v>0</v>
      </c>
      <c r="L11" s="752"/>
      <c r="M11" s="752"/>
      <c r="N11" s="752"/>
      <c r="O11" s="752"/>
      <c r="P11" s="752"/>
      <c r="Q11" s="752" t="s">
        <v>488</v>
      </c>
      <c r="V11" s="257" t="s">
        <v>277</v>
      </c>
      <c r="W11" s="258">
        <v>306016250</v>
      </c>
      <c r="X11" s="258">
        <v>0</v>
      </c>
      <c r="Y11" s="9">
        <f t="shared" si="0"/>
        <v>306016250</v>
      </c>
    </row>
    <row r="12" spans="1:25" ht="15">
      <c r="A12" s="751">
        <v>44957</v>
      </c>
      <c r="B12" s="751">
        <v>44957</v>
      </c>
      <c r="C12" s="752" t="s">
        <v>467</v>
      </c>
      <c r="D12" s="751"/>
      <c r="E12" s="752"/>
      <c r="F12" s="752" t="s">
        <v>486</v>
      </c>
      <c r="G12" s="752" t="s">
        <v>487</v>
      </c>
      <c r="H12" s="752" t="s">
        <v>71</v>
      </c>
      <c r="I12" s="752" t="s">
        <v>291</v>
      </c>
      <c r="J12" s="753">
        <v>1214436455</v>
      </c>
      <c r="K12" s="753">
        <v>0</v>
      </c>
      <c r="L12" s="752"/>
      <c r="M12" s="752"/>
      <c r="N12" s="752"/>
      <c r="O12" s="752"/>
      <c r="P12" s="752"/>
      <c r="Q12" s="752" t="s">
        <v>488</v>
      </c>
      <c r="V12" s="257" t="s">
        <v>279</v>
      </c>
      <c r="W12" s="258">
        <v>5785000</v>
      </c>
      <c r="X12" s="258">
        <v>0</v>
      </c>
      <c r="Y12" s="9">
        <f t="shared" si="0"/>
        <v>5785000</v>
      </c>
    </row>
    <row r="13" spans="1:25" ht="15">
      <c r="A13" s="751">
        <v>44957</v>
      </c>
      <c r="B13" s="751">
        <v>44957</v>
      </c>
      <c r="C13" s="752" t="s">
        <v>467</v>
      </c>
      <c r="D13" s="751"/>
      <c r="E13" s="752"/>
      <c r="F13" s="752" t="s">
        <v>486</v>
      </c>
      <c r="G13" s="752" t="s">
        <v>487</v>
      </c>
      <c r="H13" s="752" t="s">
        <v>71</v>
      </c>
      <c r="I13" s="752" t="s">
        <v>293</v>
      </c>
      <c r="J13" s="753">
        <v>4363636</v>
      </c>
      <c r="K13" s="753">
        <v>0</v>
      </c>
      <c r="L13" s="752"/>
      <c r="M13" s="752"/>
      <c r="N13" s="752"/>
      <c r="O13" s="752"/>
      <c r="P13" s="752"/>
      <c r="Q13" s="752" t="s">
        <v>488</v>
      </c>
      <c r="V13" s="257" t="s">
        <v>283</v>
      </c>
      <c r="W13" s="258">
        <v>1151014547</v>
      </c>
      <c r="X13" s="258">
        <v>0</v>
      </c>
      <c r="Y13" s="9">
        <f t="shared" si="0"/>
        <v>1151014547</v>
      </c>
    </row>
    <row r="14" spans="1:25" ht="15">
      <c r="A14" s="751">
        <v>44957</v>
      </c>
      <c r="B14" s="751">
        <v>44957</v>
      </c>
      <c r="C14" s="752" t="s">
        <v>467</v>
      </c>
      <c r="D14" s="751"/>
      <c r="E14" s="752"/>
      <c r="F14" s="752" t="s">
        <v>486</v>
      </c>
      <c r="G14" s="752" t="s">
        <v>487</v>
      </c>
      <c r="H14" s="752" t="s">
        <v>71</v>
      </c>
      <c r="I14" s="752" t="s">
        <v>295</v>
      </c>
      <c r="J14" s="753">
        <v>10137500</v>
      </c>
      <c r="K14" s="753">
        <v>0</v>
      </c>
      <c r="L14" s="752"/>
      <c r="M14" s="752"/>
      <c r="N14" s="752"/>
      <c r="O14" s="752"/>
      <c r="P14" s="752"/>
      <c r="Q14" s="752" t="s">
        <v>488</v>
      </c>
      <c r="V14" s="257" t="s">
        <v>285</v>
      </c>
      <c r="W14" s="258">
        <v>374400</v>
      </c>
      <c r="X14" s="258">
        <v>0</v>
      </c>
      <c r="Y14" s="9">
        <f t="shared" si="0"/>
        <v>374400</v>
      </c>
    </row>
    <row r="15" spans="1:25" ht="15">
      <c r="A15" s="751">
        <v>44957</v>
      </c>
      <c r="B15" s="751">
        <v>44957</v>
      </c>
      <c r="C15" s="752" t="s">
        <v>467</v>
      </c>
      <c r="D15" s="751"/>
      <c r="E15" s="752"/>
      <c r="F15" s="752" t="s">
        <v>486</v>
      </c>
      <c r="G15" s="752" t="s">
        <v>487</v>
      </c>
      <c r="H15" s="752" t="s">
        <v>71</v>
      </c>
      <c r="I15" s="752" t="s">
        <v>297</v>
      </c>
      <c r="J15" s="753">
        <v>4953625</v>
      </c>
      <c r="K15" s="753">
        <v>0</v>
      </c>
      <c r="L15" s="752"/>
      <c r="M15" s="752"/>
      <c r="N15" s="752"/>
      <c r="O15" s="752"/>
      <c r="P15" s="752"/>
      <c r="Q15" s="752" t="s">
        <v>488</v>
      </c>
      <c r="V15" s="257" t="s">
        <v>287</v>
      </c>
      <c r="W15" s="258">
        <v>329695582</v>
      </c>
      <c r="X15" s="258">
        <v>0</v>
      </c>
      <c r="Y15" s="9">
        <f t="shared" si="0"/>
        <v>329695582</v>
      </c>
    </row>
    <row r="16" spans="1:25" ht="15">
      <c r="A16" s="751">
        <v>44957</v>
      </c>
      <c r="B16" s="751">
        <v>44957</v>
      </c>
      <c r="C16" s="752" t="s">
        <v>467</v>
      </c>
      <c r="D16" s="751"/>
      <c r="E16" s="752"/>
      <c r="F16" s="752" t="s">
        <v>486</v>
      </c>
      <c r="G16" s="752" t="s">
        <v>487</v>
      </c>
      <c r="H16" s="752" t="s">
        <v>71</v>
      </c>
      <c r="I16" s="752" t="s">
        <v>299</v>
      </c>
      <c r="J16" s="753">
        <v>20560500</v>
      </c>
      <c r="K16" s="753">
        <v>0</v>
      </c>
      <c r="L16" s="752"/>
      <c r="M16" s="752"/>
      <c r="N16" s="752"/>
      <c r="O16" s="752"/>
      <c r="P16" s="752"/>
      <c r="Q16" s="752" t="s">
        <v>488</v>
      </c>
      <c r="V16" s="257" t="s">
        <v>289</v>
      </c>
      <c r="W16" s="258">
        <v>104571060</v>
      </c>
      <c r="X16" s="258">
        <v>0</v>
      </c>
      <c r="Y16" s="9">
        <f t="shared" si="0"/>
        <v>104571060</v>
      </c>
    </row>
    <row r="17" spans="1:25" ht="15">
      <c r="A17" s="751">
        <v>44957</v>
      </c>
      <c r="B17" s="751">
        <v>44957</v>
      </c>
      <c r="C17" s="752" t="s">
        <v>467</v>
      </c>
      <c r="D17" s="751"/>
      <c r="E17" s="752"/>
      <c r="F17" s="752" t="s">
        <v>486</v>
      </c>
      <c r="G17" s="752" t="s">
        <v>487</v>
      </c>
      <c r="H17" s="752" t="s">
        <v>71</v>
      </c>
      <c r="I17" s="752" t="s">
        <v>301</v>
      </c>
      <c r="J17" s="753">
        <v>2508581</v>
      </c>
      <c r="K17" s="753">
        <v>0</v>
      </c>
      <c r="L17" s="752"/>
      <c r="M17" s="752"/>
      <c r="N17" s="752"/>
      <c r="O17" s="752"/>
      <c r="P17" s="752"/>
      <c r="Q17" s="752" t="s">
        <v>488</v>
      </c>
      <c r="V17" s="257" t="s">
        <v>291</v>
      </c>
      <c r="W17" s="258">
        <v>5521363177</v>
      </c>
      <c r="X17" s="258">
        <v>0</v>
      </c>
      <c r="Y17" s="9">
        <f t="shared" si="0"/>
        <v>5521363177</v>
      </c>
    </row>
    <row r="18" spans="1:25" ht="15">
      <c r="A18" s="751">
        <v>44957</v>
      </c>
      <c r="B18" s="751">
        <v>44957</v>
      </c>
      <c r="C18" s="752" t="s">
        <v>467</v>
      </c>
      <c r="D18" s="751"/>
      <c r="E18" s="752"/>
      <c r="F18" s="752" t="s">
        <v>486</v>
      </c>
      <c r="G18" s="752" t="s">
        <v>473</v>
      </c>
      <c r="H18" s="752" t="s">
        <v>71</v>
      </c>
      <c r="I18" s="752" t="s">
        <v>303</v>
      </c>
      <c r="J18" s="753">
        <v>0</v>
      </c>
      <c r="K18" s="753">
        <v>1839980401</v>
      </c>
      <c r="L18" s="752"/>
      <c r="M18" s="752"/>
      <c r="N18" s="752"/>
      <c r="O18" s="752"/>
      <c r="P18" s="752"/>
      <c r="Q18" s="752" t="s">
        <v>488</v>
      </c>
      <c r="V18" s="257" t="s">
        <v>293</v>
      </c>
      <c r="W18" s="258">
        <v>26181816</v>
      </c>
      <c r="X18" s="258">
        <v>0</v>
      </c>
      <c r="Y18" s="9">
        <f t="shared" si="0"/>
        <v>26181816</v>
      </c>
    </row>
    <row r="19" spans="1:25" ht="15">
      <c r="A19" s="751">
        <v>44985</v>
      </c>
      <c r="B19" s="751">
        <v>44985</v>
      </c>
      <c r="C19" s="752" t="s">
        <v>480</v>
      </c>
      <c r="D19" s="751"/>
      <c r="E19" s="752"/>
      <c r="F19" s="752" t="s">
        <v>489</v>
      </c>
      <c r="G19" s="752" t="s">
        <v>487</v>
      </c>
      <c r="H19" s="752" t="s">
        <v>71</v>
      </c>
      <c r="I19" s="752" t="s">
        <v>267</v>
      </c>
      <c r="J19" s="753">
        <v>2863637</v>
      </c>
      <c r="K19" s="753">
        <v>0</v>
      </c>
      <c r="L19" s="752"/>
      <c r="M19" s="752"/>
      <c r="N19" s="752"/>
      <c r="O19" s="752"/>
      <c r="P19" s="752"/>
      <c r="Q19" s="752" t="s">
        <v>488</v>
      </c>
      <c r="V19" s="257" t="s">
        <v>295</v>
      </c>
      <c r="W19" s="258">
        <v>45262500</v>
      </c>
      <c r="X19" s="258">
        <v>0</v>
      </c>
      <c r="Y19" s="9">
        <f t="shared" si="0"/>
        <v>45262500</v>
      </c>
    </row>
    <row r="20" spans="1:25" ht="15">
      <c r="A20" s="751">
        <v>44985</v>
      </c>
      <c r="B20" s="751">
        <v>44985</v>
      </c>
      <c r="C20" s="752" t="s">
        <v>480</v>
      </c>
      <c r="D20" s="751"/>
      <c r="E20" s="752"/>
      <c r="F20" s="752" t="s">
        <v>489</v>
      </c>
      <c r="G20" s="752" t="s">
        <v>487</v>
      </c>
      <c r="H20" s="752" t="s">
        <v>71</v>
      </c>
      <c r="I20" s="752" t="s">
        <v>269</v>
      </c>
      <c r="J20" s="753">
        <v>100271124</v>
      </c>
      <c r="K20" s="753">
        <v>0</v>
      </c>
      <c r="L20" s="752"/>
      <c r="M20" s="752"/>
      <c r="N20" s="752"/>
      <c r="O20" s="752"/>
      <c r="P20" s="752"/>
      <c r="Q20" s="752" t="s">
        <v>488</v>
      </c>
      <c r="V20" s="257" t="s">
        <v>297</v>
      </c>
      <c r="W20" s="258">
        <v>37847711</v>
      </c>
      <c r="X20" s="258">
        <v>0</v>
      </c>
      <c r="Y20" s="9">
        <f t="shared" si="0"/>
        <v>37847711</v>
      </c>
    </row>
    <row r="21" spans="1:25" ht="15">
      <c r="A21" s="751">
        <v>44985</v>
      </c>
      <c r="B21" s="751">
        <v>44985</v>
      </c>
      <c r="C21" s="752" t="s">
        <v>480</v>
      </c>
      <c r="D21" s="751"/>
      <c r="E21" s="752"/>
      <c r="F21" s="752" t="s">
        <v>489</v>
      </c>
      <c r="G21" s="752" t="s">
        <v>487</v>
      </c>
      <c r="H21" s="752" t="s">
        <v>71</v>
      </c>
      <c r="I21" s="752" t="s">
        <v>273</v>
      </c>
      <c r="J21" s="753">
        <v>227123582</v>
      </c>
      <c r="K21" s="753">
        <v>0</v>
      </c>
      <c r="L21" s="752"/>
      <c r="M21" s="752"/>
      <c r="N21" s="752"/>
      <c r="O21" s="752"/>
      <c r="P21" s="752"/>
      <c r="Q21" s="752" t="s">
        <v>488</v>
      </c>
      <c r="V21" s="257" t="s">
        <v>299</v>
      </c>
      <c r="W21" s="258">
        <v>86041500</v>
      </c>
      <c r="X21" s="258">
        <v>0</v>
      </c>
      <c r="Y21" s="9">
        <f t="shared" si="0"/>
        <v>86041500</v>
      </c>
    </row>
    <row r="22" spans="1:25" ht="15">
      <c r="A22" s="751">
        <v>44985</v>
      </c>
      <c r="B22" s="751">
        <v>44985</v>
      </c>
      <c r="C22" s="752" t="s">
        <v>480</v>
      </c>
      <c r="D22" s="751"/>
      <c r="E22" s="752"/>
      <c r="F22" s="752" t="s">
        <v>489</v>
      </c>
      <c r="G22" s="752" t="s">
        <v>487</v>
      </c>
      <c r="H22" s="752" t="s">
        <v>71</v>
      </c>
      <c r="I22" s="752" t="s">
        <v>277</v>
      </c>
      <c r="J22" s="753">
        <v>47839525</v>
      </c>
      <c r="K22" s="753">
        <v>0</v>
      </c>
      <c r="L22" s="752"/>
      <c r="M22" s="752"/>
      <c r="N22" s="752"/>
      <c r="O22" s="752"/>
      <c r="P22" s="752"/>
      <c r="Q22" s="752" t="s">
        <v>488</v>
      </c>
      <c r="V22" s="257" t="s">
        <v>301</v>
      </c>
      <c r="W22" s="258">
        <v>16408116</v>
      </c>
      <c r="X22" s="258">
        <v>0</v>
      </c>
      <c r="Y22" s="9">
        <f t="shared" si="0"/>
        <v>16408116</v>
      </c>
    </row>
    <row r="23" spans="1:25" ht="15">
      <c r="A23" s="751">
        <v>44985</v>
      </c>
      <c r="B23" s="751">
        <v>44985</v>
      </c>
      <c r="C23" s="752" t="s">
        <v>480</v>
      </c>
      <c r="D23" s="751"/>
      <c r="E23" s="752"/>
      <c r="F23" s="752" t="s">
        <v>489</v>
      </c>
      <c r="G23" s="752" t="s">
        <v>487</v>
      </c>
      <c r="H23" s="752" t="s">
        <v>71</v>
      </c>
      <c r="I23" s="752" t="s">
        <v>283</v>
      </c>
      <c r="J23" s="753">
        <v>198484327</v>
      </c>
      <c r="K23" s="753">
        <v>0</v>
      </c>
      <c r="L23" s="752"/>
      <c r="M23" s="752"/>
      <c r="N23" s="752"/>
      <c r="O23" s="752"/>
      <c r="P23" s="752"/>
      <c r="Q23" s="752" t="s">
        <v>488</v>
      </c>
      <c r="V23" s="257" t="s">
        <v>303</v>
      </c>
      <c r="W23" s="258">
        <v>0</v>
      </c>
      <c r="X23" s="258">
        <v>9604833831</v>
      </c>
      <c r="Y23" s="9">
        <f t="shared" si="0"/>
        <v>-9604833831</v>
      </c>
    </row>
    <row r="24" spans="1:25" ht="15">
      <c r="A24" s="751">
        <v>44985</v>
      </c>
      <c r="B24" s="751">
        <v>44985</v>
      </c>
      <c r="C24" s="752" t="s">
        <v>480</v>
      </c>
      <c r="D24" s="751"/>
      <c r="E24" s="752"/>
      <c r="F24" s="752" t="s">
        <v>489</v>
      </c>
      <c r="G24" s="752" t="s">
        <v>487</v>
      </c>
      <c r="H24" s="752" t="s">
        <v>71</v>
      </c>
      <c r="I24" s="752" t="s">
        <v>285</v>
      </c>
      <c r="J24" s="753">
        <v>187200</v>
      </c>
      <c r="K24" s="753">
        <v>0</v>
      </c>
      <c r="L24" s="752"/>
      <c r="M24" s="752"/>
      <c r="N24" s="752"/>
      <c r="O24" s="752"/>
      <c r="P24" s="752"/>
      <c r="Q24" s="752" t="s">
        <v>488</v>
      </c>
      <c r="V24" s="257" t="s">
        <v>481</v>
      </c>
      <c r="W24" s="258">
        <v>9604833831</v>
      </c>
      <c r="X24" s="258">
        <v>9604833831</v>
      </c>
      <c r="Y24" s="9"/>
    </row>
    <row r="25" spans="1:25" ht="15">
      <c r="A25" s="751">
        <v>44985</v>
      </c>
      <c r="B25" s="751">
        <v>44985</v>
      </c>
      <c r="C25" s="752" t="s">
        <v>480</v>
      </c>
      <c r="D25" s="751"/>
      <c r="E25" s="752"/>
      <c r="F25" s="752" t="s">
        <v>489</v>
      </c>
      <c r="G25" s="752" t="s">
        <v>487</v>
      </c>
      <c r="H25" s="752" t="s">
        <v>71</v>
      </c>
      <c r="I25" s="752" t="s">
        <v>287</v>
      </c>
      <c r="J25" s="753">
        <v>54949264</v>
      </c>
      <c r="K25" s="753">
        <v>0</v>
      </c>
      <c r="L25" s="752"/>
      <c r="M25" s="752"/>
      <c r="N25" s="752"/>
      <c r="O25" s="752"/>
      <c r="P25" s="752"/>
      <c r="Q25" s="752" t="s">
        <v>488</v>
      </c>
      <c r="V25"/>
      <c r="W25"/>
      <c r="X25"/>
      <c r="Y25" s="9"/>
    </row>
    <row r="26" spans="1:25" ht="15">
      <c r="A26" s="751">
        <v>44985</v>
      </c>
      <c r="B26" s="751">
        <v>44985</v>
      </c>
      <c r="C26" s="752" t="s">
        <v>480</v>
      </c>
      <c r="D26" s="751"/>
      <c r="E26" s="752"/>
      <c r="F26" s="752" t="s">
        <v>489</v>
      </c>
      <c r="G26" s="752" t="s">
        <v>487</v>
      </c>
      <c r="H26" s="752" t="s">
        <v>71</v>
      </c>
      <c r="I26" s="752" t="s">
        <v>289</v>
      </c>
      <c r="J26" s="753">
        <v>17428510</v>
      </c>
      <c r="K26" s="753">
        <v>0</v>
      </c>
      <c r="L26" s="752"/>
      <c r="M26" s="752"/>
      <c r="N26" s="752"/>
      <c r="O26" s="752"/>
      <c r="P26" s="752"/>
      <c r="Q26" s="752" t="s">
        <v>488</v>
      </c>
      <c r="V26"/>
      <c r="W26"/>
      <c r="X26"/>
      <c r="Y26" s="9"/>
    </row>
    <row r="27" spans="1:25" ht="15">
      <c r="A27" s="751">
        <v>44985</v>
      </c>
      <c r="B27" s="751">
        <v>44985</v>
      </c>
      <c r="C27" s="752" t="s">
        <v>480</v>
      </c>
      <c r="D27" s="751"/>
      <c r="E27" s="752"/>
      <c r="F27" s="752" t="s">
        <v>489</v>
      </c>
      <c r="G27" s="752" t="s">
        <v>487</v>
      </c>
      <c r="H27" s="752" t="s">
        <v>71</v>
      </c>
      <c r="I27" s="752" t="s">
        <v>291</v>
      </c>
      <c r="J27" s="753">
        <v>1179639460</v>
      </c>
      <c r="K27" s="753">
        <v>0</v>
      </c>
      <c r="L27" s="752"/>
      <c r="M27" s="752"/>
      <c r="N27" s="752"/>
      <c r="O27" s="752"/>
      <c r="P27" s="752"/>
      <c r="Q27" s="752" t="s">
        <v>488</v>
      </c>
      <c r="V27"/>
      <c r="W27"/>
      <c r="X27"/>
    </row>
    <row r="28" spans="1:25">
      <c r="A28" s="751">
        <v>44985</v>
      </c>
      <c r="B28" s="751">
        <v>44985</v>
      </c>
      <c r="C28" s="752" t="s">
        <v>480</v>
      </c>
      <c r="D28" s="751"/>
      <c r="E28" s="752"/>
      <c r="F28" s="752" t="s">
        <v>489</v>
      </c>
      <c r="G28" s="752" t="s">
        <v>487</v>
      </c>
      <c r="H28" s="752" t="s">
        <v>71</v>
      </c>
      <c r="I28" s="752" t="s">
        <v>293</v>
      </c>
      <c r="J28" s="753">
        <v>4363636</v>
      </c>
      <c r="K28" s="753">
        <v>0</v>
      </c>
      <c r="L28" s="752"/>
      <c r="M28" s="752"/>
      <c r="N28" s="752"/>
      <c r="O28" s="752"/>
      <c r="P28" s="752"/>
      <c r="Q28" s="752" t="s">
        <v>488</v>
      </c>
    </row>
    <row r="29" spans="1:25">
      <c r="A29" s="751">
        <v>44985</v>
      </c>
      <c r="B29" s="751">
        <v>44985</v>
      </c>
      <c r="C29" s="752" t="s">
        <v>480</v>
      </c>
      <c r="D29" s="751"/>
      <c r="E29" s="752"/>
      <c r="F29" s="752" t="s">
        <v>489</v>
      </c>
      <c r="G29" s="752" t="s">
        <v>487</v>
      </c>
      <c r="H29" s="752" t="s">
        <v>71</v>
      </c>
      <c r="I29" s="752" t="s">
        <v>295</v>
      </c>
      <c r="J29" s="753">
        <v>5710000</v>
      </c>
      <c r="K29" s="753">
        <v>0</v>
      </c>
      <c r="L29" s="752"/>
      <c r="M29" s="752"/>
      <c r="N29" s="752"/>
      <c r="O29" s="752"/>
      <c r="P29" s="752"/>
      <c r="Q29" s="752" t="s">
        <v>488</v>
      </c>
    </row>
    <row r="30" spans="1:25">
      <c r="A30" s="751">
        <v>44985</v>
      </c>
      <c r="B30" s="751">
        <v>44985</v>
      </c>
      <c r="C30" s="752" t="s">
        <v>480</v>
      </c>
      <c r="D30" s="751"/>
      <c r="E30" s="752"/>
      <c r="F30" s="752" t="s">
        <v>489</v>
      </c>
      <c r="G30" s="752" t="s">
        <v>487</v>
      </c>
      <c r="H30" s="752" t="s">
        <v>71</v>
      </c>
      <c r="I30" s="752" t="s">
        <v>297</v>
      </c>
      <c r="J30" s="753">
        <v>9644728</v>
      </c>
      <c r="K30" s="753">
        <v>0</v>
      </c>
      <c r="L30" s="752"/>
      <c r="M30" s="752"/>
      <c r="N30" s="752"/>
      <c r="O30" s="752"/>
      <c r="P30" s="752"/>
      <c r="Q30" s="752" t="s">
        <v>488</v>
      </c>
    </row>
    <row r="31" spans="1:25">
      <c r="A31" s="751">
        <v>44985</v>
      </c>
      <c r="B31" s="751">
        <v>44985</v>
      </c>
      <c r="C31" s="752" t="s">
        <v>480</v>
      </c>
      <c r="D31" s="751"/>
      <c r="E31" s="752"/>
      <c r="F31" s="752" t="s">
        <v>489</v>
      </c>
      <c r="G31" s="752" t="s">
        <v>487</v>
      </c>
      <c r="H31" s="752" t="s">
        <v>71</v>
      </c>
      <c r="I31" s="752" t="s">
        <v>299</v>
      </c>
      <c r="J31" s="753">
        <v>15556500</v>
      </c>
      <c r="K31" s="753">
        <v>0</v>
      </c>
      <c r="L31" s="752"/>
      <c r="M31" s="752"/>
      <c r="N31" s="752"/>
      <c r="O31" s="752"/>
      <c r="P31" s="752"/>
      <c r="Q31" s="752" t="s">
        <v>488</v>
      </c>
    </row>
    <row r="32" spans="1:25">
      <c r="A32" s="751">
        <v>44985</v>
      </c>
      <c r="B32" s="751">
        <v>44985</v>
      </c>
      <c r="C32" s="752" t="s">
        <v>480</v>
      </c>
      <c r="D32" s="751"/>
      <c r="E32" s="752"/>
      <c r="F32" s="752" t="s">
        <v>489</v>
      </c>
      <c r="G32" s="752" t="s">
        <v>487</v>
      </c>
      <c r="H32" s="752" t="s">
        <v>71</v>
      </c>
      <c r="I32" s="752" t="s">
        <v>301</v>
      </c>
      <c r="J32" s="753">
        <v>2053443</v>
      </c>
      <c r="K32" s="753">
        <v>0</v>
      </c>
      <c r="L32" s="752"/>
      <c r="M32" s="752"/>
      <c r="N32" s="752"/>
      <c r="O32" s="752"/>
      <c r="P32" s="752"/>
      <c r="Q32" s="752" t="s">
        <v>488</v>
      </c>
    </row>
    <row r="33" spans="1:17">
      <c r="A33" s="751">
        <v>44985</v>
      </c>
      <c r="B33" s="751">
        <v>44985</v>
      </c>
      <c r="C33" s="752" t="s">
        <v>480</v>
      </c>
      <c r="D33" s="751"/>
      <c r="E33" s="752"/>
      <c r="F33" s="752" t="s">
        <v>489</v>
      </c>
      <c r="G33" s="752" t="s">
        <v>473</v>
      </c>
      <c r="H33" s="752" t="s">
        <v>71</v>
      </c>
      <c r="I33" s="752" t="s">
        <v>303</v>
      </c>
      <c r="J33" s="753">
        <v>0</v>
      </c>
      <c r="K33" s="753">
        <v>1866114936</v>
      </c>
      <c r="L33" s="752"/>
      <c r="M33" s="752"/>
      <c r="N33" s="752"/>
      <c r="O33" s="752"/>
      <c r="P33" s="752"/>
      <c r="Q33" s="752" t="s">
        <v>488</v>
      </c>
    </row>
    <row r="34" spans="1:17">
      <c r="A34" s="751">
        <v>45016</v>
      </c>
      <c r="B34" s="751">
        <v>45016</v>
      </c>
      <c r="C34" s="752" t="s">
        <v>482</v>
      </c>
      <c r="D34" s="751"/>
      <c r="E34" s="752"/>
      <c r="F34" s="752" t="s">
        <v>490</v>
      </c>
      <c r="G34" s="752" t="s">
        <v>487</v>
      </c>
      <c r="H34" s="752" t="s">
        <v>71</v>
      </c>
      <c r="I34" s="752" t="s">
        <v>267</v>
      </c>
      <c r="J34" s="753">
        <v>2113637</v>
      </c>
      <c r="K34" s="753">
        <v>0</v>
      </c>
      <c r="L34" s="752"/>
      <c r="M34" s="752"/>
      <c r="N34" s="752"/>
      <c r="O34" s="752"/>
      <c r="P34" s="752"/>
      <c r="Q34" s="752" t="s">
        <v>488</v>
      </c>
    </row>
    <row r="35" spans="1:17">
      <c r="A35" s="751">
        <v>45016</v>
      </c>
      <c r="B35" s="751">
        <v>45016</v>
      </c>
      <c r="C35" s="752" t="s">
        <v>482</v>
      </c>
      <c r="D35" s="751"/>
      <c r="E35" s="752"/>
      <c r="F35" s="752" t="s">
        <v>490</v>
      </c>
      <c r="G35" s="752" t="s">
        <v>487</v>
      </c>
      <c r="H35" s="752" t="s">
        <v>71</v>
      </c>
      <c r="I35" s="752" t="s">
        <v>269</v>
      </c>
      <c r="J35" s="753">
        <v>116400156</v>
      </c>
      <c r="K35" s="753">
        <v>0</v>
      </c>
      <c r="L35" s="752"/>
      <c r="M35" s="752"/>
      <c r="N35" s="752"/>
      <c r="O35" s="752"/>
      <c r="P35" s="752"/>
      <c r="Q35" s="752" t="s">
        <v>488</v>
      </c>
    </row>
    <row r="36" spans="1:17">
      <c r="A36" s="751">
        <v>45016</v>
      </c>
      <c r="B36" s="751">
        <v>45016</v>
      </c>
      <c r="C36" s="752" t="s">
        <v>482</v>
      </c>
      <c r="D36" s="751"/>
      <c r="E36" s="752"/>
      <c r="F36" s="752" t="s">
        <v>490</v>
      </c>
      <c r="G36" s="752" t="s">
        <v>487</v>
      </c>
      <c r="H36" s="752" t="s">
        <v>71</v>
      </c>
      <c r="I36" s="752" t="s">
        <v>273</v>
      </c>
      <c r="J36" s="753">
        <v>257755451</v>
      </c>
      <c r="K36" s="753">
        <v>0</v>
      </c>
      <c r="L36" s="752"/>
      <c r="M36" s="752"/>
      <c r="N36" s="752"/>
      <c r="O36" s="752"/>
      <c r="P36" s="752"/>
      <c r="Q36" s="752" t="s">
        <v>488</v>
      </c>
    </row>
    <row r="37" spans="1:17">
      <c r="A37" s="751">
        <v>45016</v>
      </c>
      <c r="B37" s="751">
        <v>45016</v>
      </c>
      <c r="C37" s="752" t="s">
        <v>482</v>
      </c>
      <c r="D37" s="751"/>
      <c r="E37" s="752"/>
      <c r="F37" s="752" t="s">
        <v>490</v>
      </c>
      <c r="G37" s="752" t="s">
        <v>487</v>
      </c>
      <c r="H37" s="752" t="s">
        <v>71</v>
      </c>
      <c r="I37" s="752" t="s">
        <v>277</v>
      </c>
      <c r="J37" s="753">
        <v>53968308</v>
      </c>
      <c r="K37" s="753">
        <v>0</v>
      </c>
      <c r="L37" s="752"/>
      <c r="M37" s="752"/>
      <c r="N37" s="752"/>
      <c r="O37" s="752"/>
      <c r="P37" s="752"/>
      <c r="Q37" s="752" t="s">
        <v>488</v>
      </c>
    </row>
    <row r="38" spans="1:17">
      <c r="A38" s="751">
        <v>45016</v>
      </c>
      <c r="B38" s="751">
        <v>45016</v>
      </c>
      <c r="C38" s="752" t="s">
        <v>482</v>
      </c>
      <c r="D38" s="751"/>
      <c r="E38" s="752"/>
      <c r="F38" s="752" t="s">
        <v>490</v>
      </c>
      <c r="G38" s="752" t="s">
        <v>487</v>
      </c>
      <c r="H38" s="752" t="s">
        <v>71</v>
      </c>
      <c r="I38" s="752" t="s">
        <v>283</v>
      </c>
      <c r="J38" s="753">
        <v>174439845</v>
      </c>
      <c r="K38" s="753">
        <v>0</v>
      </c>
      <c r="L38" s="752"/>
      <c r="M38" s="752"/>
      <c r="N38" s="752"/>
      <c r="O38" s="752"/>
      <c r="P38" s="752"/>
      <c r="Q38" s="752" t="s">
        <v>488</v>
      </c>
    </row>
    <row r="39" spans="1:17">
      <c r="A39" s="751">
        <v>45016</v>
      </c>
      <c r="B39" s="751">
        <v>45016</v>
      </c>
      <c r="C39" s="752" t="s">
        <v>482</v>
      </c>
      <c r="D39" s="751"/>
      <c r="E39" s="752"/>
      <c r="F39" s="752" t="s">
        <v>490</v>
      </c>
      <c r="G39" s="752" t="s">
        <v>487</v>
      </c>
      <c r="H39" s="752" t="s">
        <v>71</v>
      </c>
      <c r="I39" s="752" t="s">
        <v>287</v>
      </c>
      <c r="J39" s="753">
        <v>54949263</v>
      </c>
      <c r="K39" s="753">
        <v>0</v>
      </c>
      <c r="L39" s="752"/>
      <c r="M39" s="752"/>
      <c r="N39" s="752"/>
      <c r="O39" s="752"/>
      <c r="P39" s="752"/>
      <c r="Q39" s="752" t="s">
        <v>488</v>
      </c>
    </row>
    <row r="40" spans="1:17">
      <c r="A40" s="751">
        <v>45016</v>
      </c>
      <c r="B40" s="751">
        <v>45016</v>
      </c>
      <c r="C40" s="752" t="s">
        <v>482</v>
      </c>
      <c r="D40" s="751"/>
      <c r="E40" s="752"/>
      <c r="F40" s="752" t="s">
        <v>490</v>
      </c>
      <c r="G40" s="752" t="s">
        <v>487</v>
      </c>
      <c r="H40" s="752" t="s">
        <v>71</v>
      </c>
      <c r="I40" s="752" t="s">
        <v>289</v>
      </c>
      <c r="J40" s="753">
        <v>17428510</v>
      </c>
      <c r="K40" s="753">
        <v>0</v>
      </c>
      <c r="L40" s="752"/>
      <c r="M40" s="752"/>
      <c r="N40" s="752"/>
      <c r="O40" s="752"/>
      <c r="P40" s="752"/>
      <c r="Q40" s="752" t="s">
        <v>488</v>
      </c>
    </row>
    <row r="41" spans="1:17">
      <c r="A41" s="751">
        <v>45016</v>
      </c>
      <c r="B41" s="751">
        <v>45016</v>
      </c>
      <c r="C41" s="752" t="s">
        <v>482</v>
      </c>
      <c r="D41" s="751"/>
      <c r="E41" s="752"/>
      <c r="F41" s="752" t="s">
        <v>490</v>
      </c>
      <c r="G41" s="752" t="s">
        <v>487</v>
      </c>
      <c r="H41" s="752" t="s">
        <v>71</v>
      </c>
      <c r="I41" s="752" t="s">
        <v>291</v>
      </c>
      <c r="J41" s="753">
        <v>1263823115</v>
      </c>
      <c r="K41" s="753">
        <v>0</v>
      </c>
      <c r="L41" s="752"/>
      <c r="M41" s="752"/>
      <c r="N41" s="752"/>
      <c r="O41" s="752"/>
      <c r="P41" s="752"/>
      <c r="Q41" s="752" t="s">
        <v>488</v>
      </c>
    </row>
    <row r="42" spans="1:17">
      <c r="A42" s="751">
        <v>45016</v>
      </c>
      <c r="B42" s="751">
        <v>45016</v>
      </c>
      <c r="C42" s="752" t="s">
        <v>482</v>
      </c>
      <c r="D42" s="751"/>
      <c r="E42" s="752"/>
      <c r="F42" s="752" t="s">
        <v>490</v>
      </c>
      <c r="G42" s="752" t="s">
        <v>487</v>
      </c>
      <c r="H42" s="752" t="s">
        <v>71</v>
      </c>
      <c r="I42" s="752" t="s">
        <v>293</v>
      </c>
      <c r="J42" s="753">
        <v>4363636</v>
      </c>
      <c r="K42" s="753">
        <v>0</v>
      </c>
      <c r="L42" s="752"/>
      <c r="M42" s="752"/>
      <c r="N42" s="752"/>
      <c r="O42" s="752"/>
      <c r="P42" s="752"/>
      <c r="Q42" s="752" t="s">
        <v>488</v>
      </c>
    </row>
    <row r="43" spans="1:17">
      <c r="A43" s="751">
        <v>45016</v>
      </c>
      <c r="B43" s="751">
        <v>45016</v>
      </c>
      <c r="C43" s="752" t="s">
        <v>482</v>
      </c>
      <c r="D43" s="751"/>
      <c r="E43" s="752"/>
      <c r="F43" s="752" t="s">
        <v>490</v>
      </c>
      <c r="G43" s="752" t="s">
        <v>487</v>
      </c>
      <c r="H43" s="752" t="s">
        <v>71</v>
      </c>
      <c r="I43" s="752" t="s">
        <v>295</v>
      </c>
      <c r="J43" s="753">
        <v>7852500</v>
      </c>
      <c r="K43" s="753">
        <v>0</v>
      </c>
      <c r="L43" s="752"/>
      <c r="M43" s="752"/>
      <c r="N43" s="752"/>
      <c r="O43" s="752"/>
      <c r="P43" s="752"/>
      <c r="Q43" s="752" t="s">
        <v>488</v>
      </c>
    </row>
    <row r="44" spans="1:17">
      <c r="A44" s="751">
        <v>45016</v>
      </c>
      <c r="B44" s="751">
        <v>45016</v>
      </c>
      <c r="C44" s="752" t="s">
        <v>482</v>
      </c>
      <c r="D44" s="751"/>
      <c r="E44" s="752"/>
      <c r="F44" s="752" t="s">
        <v>490</v>
      </c>
      <c r="G44" s="752" t="s">
        <v>487</v>
      </c>
      <c r="H44" s="752" t="s">
        <v>71</v>
      </c>
      <c r="I44" s="752" t="s">
        <v>297</v>
      </c>
      <c r="J44" s="753">
        <v>7164237</v>
      </c>
      <c r="K44" s="753">
        <v>0</v>
      </c>
      <c r="L44" s="752"/>
      <c r="M44" s="752"/>
      <c r="N44" s="752"/>
      <c r="O44" s="752"/>
      <c r="P44" s="752"/>
      <c r="Q44" s="752" t="s">
        <v>488</v>
      </c>
    </row>
    <row r="45" spans="1:17">
      <c r="A45" s="751">
        <v>45016</v>
      </c>
      <c r="B45" s="751">
        <v>45016</v>
      </c>
      <c r="C45" s="752" t="s">
        <v>482</v>
      </c>
      <c r="D45" s="751"/>
      <c r="E45" s="752"/>
      <c r="F45" s="752" t="s">
        <v>490</v>
      </c>
      <c r="G45" s="752" t="s">
        <v>487</v>
      </c>
      <c r="H45" s="752" t="s">
        <v>71</v>
      </c>
      <c r="I45" s="752" t="s">
        <v>299</v>
      </c>
      <c r="J45" s="753">
        <v>10552500</v>
      </c>
      <c r="K45" s="753">
        <v>0</v>
      </c>
      <c r="L45" s="752"/>
      <c r="M45" s="752"/>
      <c r="N45" s="752"/>
      <c r="O45" s="752"/>
      <c r="P45" s="752"/>
      <c r="Q45" s="752" t="s">
        <v>488</v>
      </c>
    </row>
    <row r="46" spans="1:17">
      <c r="A46" s="751">
        <v>45016</v>
      </c>
      <c r="B46" s="751">
        <v>45016</v>
      </c>
      <c r="C46" s="752" t="s">
        <v>482</v>
      </c>
      <c r="D46" s="751"/>
      <c r="E46" s="752"/>
      <c r="F46" s="752" t="s">
        <v>490</v>
      </c>
      <c r="G46" s="752" t="s">
        <v>487</v>
      </c>
      <c r="H46" s="752" t="s">
        <v>71</v>
      </c>
      <c r="I46" s="752" t="s">
        <v>301</v>
      </c>
      <c r="J46" s="753">
        <v>2616698</v>
      </c>
      <c r="K46" s="753">
        <v>0</v>
      </c>
      <c r="L46" s="752"/>
      <c r="M46" s="752"/>
      <c r="N46" s="752"/>
      <c r="O46" s="752"/>
      <c r="P46" s="752"/>
      <c r="Q46" s="752" t="s">
        <v>488</v>
      </c>
    </row>
    <row r="47" spans="1:17">
      <c r="A47" s="751">
        <v>45016</v>
      </c>
      <c r="B47" s="751">
        <v>45016</v>
      </c>
      <c r="C47" s="752" t="s">
        <v>482</v>
      </c>
      <c r="D47" s="751"/>
      <c r="E47" s="752"/>
      <c r="F47" s="752" t="s">
        <v>490</v>
      </c>
      <c r="G47" s="752" t="s">
        <v>473</v>
      </c>
      <c r="H47" s="752" t="s">
        <v>71</v>
      </c>
      <c r="I47" s="752" t="s">
        <v>303</v>
      </c>
      <c r="J47" s="753">
        <v>0</v>
      </c>
      <c r="K47" s="753">
        <v>1973427856</v>
      </c>
      <c r="L47" s="752"/>
      <c r="M47" s="752"/>
      <c r="N47" s="752"/>
      <c r="O47" s="752"/>
      <c r="P47" s="752"/>
      <c r="Q47" s="752" t="s">
        <v>488</v>
      </c>
    </row>
    <row r="48" spans="1:17">
      <c r="A48" s="751">
        <v>45046</v>
      </c>
      <c r="B48" s="751">
        <v>45046</v>
      </c>
      <c r="C48" s="752" t="s">
        <v>483</v>
      </c>
      <c r="D48" s="751"/>
      <c r="E48" s="752"/>
      <c r="F48" s="752" t="s">
        <v>491</v>
      </c>
      <c r="G48" s="752" t="s">
        <v>487</v>
      </c>
      <c r="H48" s="752" t="s">
        <v>71</v>
      </c>
      <c r="I48" s="752" t="s">
        <v>267</v>
      </c>
      <c r="J48" s="753">
        <v>2113637</v>
      </c>
      <c r="K48" s="753">
        <v>0</v>
      </c>
      <c r="L48" s="752"/>
      <c r="M48" s="752"/>
      <c r="N48" s="752"/>
      <c r="O48" s="752"/>
      <c r="P48" s="752"/>
      <c r="Q48" s="752" t="s">
        <v>488</v>
      </c>
    </row>
    <row r="49" spans="1:17">
      <c r="A49" s="751">
        <v>45046</v>
      </c>
      <c r="B49" s="751">
        <v>45046</v>
      </c>
      <c r="C49" s="752" t="s">
        <v>483</v>
      </c>
      <c r="D49" s="751"/>
      <c r="E49" s="752"/>
      <c r="F49" s="752" t="s">
        <v>491</v>
      </c>
      <c r="G49" s="752" t="s">
        <v>487</v>
      </c>
      <c r="H49" s="752" t="s">
        <v>71</v>
      </c>
      <c r="I49" s="752" t="s">
        <v>269</v>
      </c>
      <c r="J49" s="753">
        <v>133604457</v>
      </c>
      <c r="K49" s="753">
        <v>0</v>
      </c>
      <c r="L49" s="752"/>
      <c r="M49" s="752"/>
      <c r="N49" s="752"/>
      <c r="O49" s="752"/>
      <c r="P49" s="752"/>
      <c r="Q49" s="752" t="s">
        <v>488</v>
      </c>
    </row>
    <row r="50" spans="1:17">
      <c r="A50" s="751">
        <v>45046</v>
      </c>
      <c r="B50" s="751">
        <v>45046</v>
      </c>
      <c r="C50" s="752" t="s">
        <v>483</v>
      </c>
      <c r="D50" s="751"/>
      <c r="E50" s="752"/>
      <c r="F50" s="752" t="s">
        <v>491</v>
      </c>
      <c r="G50" s="752" t="s">
        <v>487</v>
      </c>
      <c r="H50" s="752" t="s">
        <v>71</v>
      </c>
      <c r="I50" s="752" t="s">
        <v>273</v>
      </c>
      <c r="J50" s="753">
        <v>235511053</v>
      </c>
      <c r="K50" s="753">
        <v>0</v>
      </c>
      <c r="L50" s="752"/>
      <c r="M50" s="752"/>
      <c r="N50" s="752"/>
      <c r="O50" s="752"/>
      <c r="P50" s="752"/>
      <c r="Q50" s="752" t="s">
        <v>488</v>
      </c>
    </row>
    <row r="51" spans="1:17">
      <c r="A51" s="751">
        <v>45046</v>
      </c>
      <c r="B51" s="751">
        <v>45046</v>
      </c>
      <c r="C51" s="752" t="s">
        <v>483</v>
      </c>
      <c r="D51" s="751"/>
      <c r="E51" s="752"/>
      <c r="F51" s="752" t="s">
        <v>491</v>
      </c>
      <c r="G51" s="752" t="s">
        <v>487</v>
      </c>
      <c r="H51" s="752" t="s">
        <v>71</v>
      </c>
      <c r="I51" s="752" t="s">
        <v>277</v>
      </c>
      <c r="J51" s="753">
        <v>50628203</v>
      </c>
      <c r="K51" s="753">
        <v>0</v>
      </c>
      <c r="L51" s="752"/>
      <c r="M51" s="752"/>
      <c r="N51" s="752"/>
      <c r="O51" s="752"/>
      <c r="P51" s="752"/>
      <c r="Q51" s="752" t="s">
        <v>488</v>
      </c>
    </row>
    <row r="52" spans="1:17">
      <c r="A52" s="751">
        <v>45046</v>
      </c>
      <c r="B52" s="751">
        <v>45046</v>
      </c>
      <c r="C52" s="752" t="s">
        <v>483</v>
      </c>
      <c r="D52" s="751"/>
      <c r="E52" s="752"/>
      <c r="F52" s="752" t="s">
        <v>491</v>
      </c>
      <c r="G52" s="752" t="s">
        <v>487</v>
      </c>
      <c r="H52" s="752" t="s">
        <v>71</v>
      </c>
      <c r="I52" s="752" t="s">
        <v>283</v>
      </c>
      <c r="J52" s="753">
        <v>188626838</v>
      </c>
      <c r="K52" s="753">
        <v>0</v>
      </c>
      <c r="L52" s="752"/>
      <c r="M52" s="752"/>
      <c r="N52" s="752"/>
      <c r="O52" s="752"/>
      <c r="P52" s="752"/>
      <c r="Q52" s="752" t="s">
        <v>488</v>
      </c>
    </row>
    <row r="53" spans="1:17">
      <c r="A53" s="751">
        <v>45046</v>
      </c>
      <c r="B53" s="751">
        <v>45046</v>
      </c>
      <c r="C53" s="752" t="s">
        <v>483</v>
      </c>
      <c r="D53" s="751"/>
      <c r="E53" s="752"/>
      <c r="F53" s="752" t="s">
        <v>491</v>
      </c>
      <c r="G53" s="752" t="s">
        <v>487</v>
      </c>
      <c r="H53" s="752" t="s">
        <v>71</v>
      </c>
      <c r="I53" s="752" t="s">
        <v>287</v>
      </c>
      <c r="J53" s="753">
        <v>54949264</v>
      </c>
      <c r="K53" s="753">
        <v>0</v>
      </c>
      <c r="L53" s="752"/>
      <c r="M53" s="752"/>
      <c r="N53" s="752"/>
      <c r="O53" s="752"/>
      <c r="P53" s="752"/>
      <c r="Q53" s="752" t="s">
        <v>488</v>
      </c>
    </row>
    <row r="54" spans="1:17">
      <c r="A54" s="751">
        <v>45046</v>
      </c>
      <c r="B54" s="751">
        <v>45046</v>
      </c>
      <c r="C54" s="752" t="s">
        <v>483</v>
      </c>
      <c r="D54" s="751"/>
      <c r="E54" s="752"/>
      <c r="F54" s="752" t="s">
        <v>491</v>
      </c>
      <c r="G54" s="752" t="s">
        <v>487</v>
      </c>
      <c r="H54" s="752" t="s">
        <v>71</v>
      </c>
      <c r="I54" s="752" t="s">
        <v>289</v>
      </c>
      <c r="J54" s="753">
        <v>17428510</v>
      </c>
      <c r="K54" s="753">
        <v>0</v>
      </c>
      <c r="L54" s="752"/>
      <c r="M54" s="752"/>
      <c r="N54" s="752"/>
      <c r="O54" s="752"/>
      <c r="P54" s="752"/>
      <c r="Q54" s="752" t="s">
        <v>488</v>
      </c>
    </row>
    <row r="55" spans="1:17">
      <c r="A55" s="751">
        <v>45046</v>
      </c>
      <c r="B55" s="751">
        <v>45046</v>
      </c>
      <c r="C55" s="752" t="s">
        <v>483</v>
      </c>
      <c r="D55" s="751"/>
      <c r="E55" s="752"/>
      <c r="F55" s="752" t="s">
        <v>491</v>
      </c>
      <c r="G55" s="752" t="s">
        <v>487</v>
      </c>
      <c r="H55" s="752" t="s">
        <v>71</v>
      </c>
      <c r="I55" s="752" t="s">
        <v>291</v>
      </c>
      <c r="J55" s="753">
        <v>1215072394</v>
      </c>
      <c r="K55" s="753">
        <v>0</v>
      </c>
      <c r="L55" s="752"/>
      <c r="M55" s="752"/>
      <c r="N55" s="752"/>
      <c r="O55" s="752"/>
      <c r="P55" s="752"/>
      <c r="Q55" s="752" t="s">
        <v>488</v>
      </c>
    </row>
    <row r="56" spans="1:17">
      <c r="A56" s="751">
        <v>45046</v>
      </c>
      <c r="B56" s="751">
        <v>45046</v>
      </c>
      <c r="C56" s="752" t="s">
        <v>483</v>
      </c>
      <c r="D56" s="751"/>
      <c r="E56" s="752"/>
      <c r="F56" s="752" t="s">
        <v>491</v>
      </c>
      <c r="G56" s="752" t="s">
        <v>487</v>
      </c>
      <c r="H56" s="752" t="s">
        <v>71</v>
      </c>
      <c r="I56" s="752" t="s">
        <v>293</v>
      </c>
      <c r="J56" s="753">
        <v>4363636</v>
      </c>
      <c r="K56" s="753">
        <v>0</v>
      </c>
      <c r="L56" s="752"/>
      <c r="M56" s="752"/>
      <c r="N56" s="752"/>
      <c r="O56" s="752"/>
      <c r="P56" s="752"/>
      <c r="Q56" s="752" t="s">
        <v>488</v>
      </c>
    </row>
    <row r="57" spans="1:17">
      <c r="A57" s="751">
        <v>45046</v>
      </c>
      <c r="B57" s="751">
        <v>45046</v>
      </c>
      <c r="C57" s="752" t="s">
        <v>483</v>
      </c>
      <c r="D57" s="751"/>
      <c r="E57" s="752"/>
      <c r="F57" s="752" t="s">
        <v>491</v>
      </c>
      <c r="G57" s="752" t="s">
        <v>487</v>
      </c>
      <c r="H57" s="752" t="s">
        <v>71</v>
      </c>
      <c r="I57" s="752" t="s">
        <v>295</v>
      </c>
      <c r="J57" s="753">
        <v>10260000</v>
      </c>
      <c r="K57" s="753">
        <v>0</v>
      </c>
      <c r="L57" s="752"/>
      <c r="M57" s="752"/>
      <c r="N57" s="752"/>
      <c r="O57" s="752"/>
      <c r="P57" s="752"/>
      <c r="Q57" s="752" t="s">
        <v>488</v>
      </c>
    </row>
    <row r="58" spans="1:17">
      <c r="A58" s="751">
        <v>45046</v>
      </c>
      <c r="B58" s="751">
        <v>45046</v>
      </c>
      <c r="C58" s="752" t="s">
        <v>483</v>
      </c>
      <c r="D58" s="751"/>
      <c r="E58" s="752"/>
      <c r="F58" s="752" t="s">
        <v>491</v>
      </c>
      <c r="G58" s="752" t="s">
        <v>487</v>
      </c>
      <c r="H58" s="752" t="s">
        <v>71</v>
      </c>
      <c r="I58" s="752" t="s">
        <v>297</v>
      </c>
      <c r="J58" s="753">
        <v>5511196</v>
      </c>
      <c r="K58" s="753">
        <v>0</v>
      </c>
      <c r="L58" s="752"/>
      <c r="M58" s="752"/>
      <c r="N58" s="752"/>
      <c r="O58" s="752"/>
      <c r="P58" s="752"/>
      <c r="Q58" s="752" t="s">
        <v>488</v>
      </c>
    </row>
    <row r="59" spans="1:17">
      <c r="A59" s="751">
        <v>45046</v>
      </c>
      <c r="B59" s="751">
        <v>45046</v>
      </c>
      <c r="C59" s="752" t="s">
        <v>483</v>
      </c>
      <c r="D59" s="751"/>
      <c r="E59" s="752"/>
      <c r="F59" s="752" t="s">
        <v>491</v>
      </c>
      <c r="G59" s="752" t="s">
        <v>487</v>
      </c>
      <c r="H59" s="752" t="s">
        <v>71</v>
      </c>
      <c r="I59" s="752" t="s">
        <v>299</v>
      </c>
      <c r="J59" s="753">
        <v>15357000</v>
      </c>
      <c r="K59" s="753">
        <v>0</v>
      </c>
      <c r="L59" s="752"/>
      <c r="M59" s="752"/>
      <c r="N59" s="752"/>
      <c r="O59" s="752"/>
      <c r="P59" s="752"/>
      <c r="Q59" s="752" t="s">
        <v>488</v>
      </c>
    </row>
    <row r="60" spans="1:17">
      <c r="A60" s="751">
        <v>45046</v>
      </c>
      <c r="B60" s="751">
        <v>45046</v>
      </c>
      <c r="C60" s="752" t="s">
        <v>483</v>
      </c>
      <c r="D60" s="751"/>
      <c r="E60" s="752"/>
      <c r="F60" s="752" t="s">
        <v>491</v>
      </c>
      <c r="G60" s="752" t="s">
        <v>487</v>
      </c>
      <c r="H60" s="752" t="s">
        <v>71</v>
      </c>
      <c r="I60" s="752" t="s">
        <v>301</v>
      </c>
      <c r="J60" s="753">
        <v>1743663</v>
      </c>
      <c r="K60" s="753">
        <v>0</v>
      </c>
      <c r="L60" s="752"/>
      <c r="M60" s="752"/>
      <c r="N60" s="752"/>
      <c r="O60" s="752"/>
      <c r="P60" s="752"/>
      <c r="Q60" s="752" t="s">
        <v>488</v>
      </c>
    </row>
    <row r="61" spans="1:17">
      <c r="A61" s="751">
        <v>45046</v>
      </c>
      <c r="B61" s="751">
        <v>45046</v>
      </c>
      <c r="C61" s="752" t="s">
        <v>483</v>
      </c>
      <c r="D61" s="751"/>
      <c r="E61" s="752"/>
      <c r="F61" s="752" t="s">
        <v>491</v>
      </c>
      <c r="G61" s="752" t="s">
        <v>473</v>
      </c>
      <c r="H61" s="752" t="s">
        <v>71</v>
      </c>
      <c r="I61" s="752" t="s">
        <v>303</v>
      </c>
      <c r="J61" s="753">
        <v>0</v>
      </c>
      <c r="K61" s="753">
        <v>1935169851</v>
      </c>
      <c r="L61" s="752"/>
      <c r="M61" s="752"/>
      <c r="N61" s="752"/>
      <c r="O61" s="752"/>
      <c r="P61" s="752"/>
      <c r="Q61" s="752" t="s">
        <v>488</v>
      </c>
    </row>
    <row r="62" spans="1:17">
      <c r="A62" s="751">
        <v>45077</v>
      </c>
      <c r="B62" s="751">
        <v>45077</v>
      </c>
      <c r="C62" s="752" t="s">
        <v>484</v>
      </c>
      <c r="D62" s="751"/>
      <c r="E62" s="752"/>
      <c r="F62" s="752" t="s">
        <v>492</v>
      </c>
      <c r="G62" s="752" t="s">
        <v>487</v>
      </c>
      <c r="H62" s="752" t="s">
        <v>71</v>
      </c>
      <c r="I62" s="752" t="s">
        <v>267</v>
      </c>
      <c r="J62" s="753">
        <v>2113637</v>
      </c>
      <c r="K62" s="753">
        <v>0</v>
      </c>
      <c r="L62" s="752"/>
      <c r="M62" s="752"/>
      <c r="N62" s="752"/>
      <c r="O62" s="752"/>
      <c r="P62" s="752"/>
      <c r="Q62" s="752" t="s">
        <v>488</v>
      </c>
    </row>
    <row r="63" spans="1:17">
      <c r="A63" s="751">
        <v>45077</v>
      </c>
      <c r="B63" s="751">
        <v>45077</v>
      </c>
      <c r="C63" s="752" t="s">
        <v>484</v>
      </c>
      <c r="D63" s="751"/>
      <c r="E63" s="752"/>
      <c r="F63" s="752" t="s">
        <v>492</v>
      </c>
      <c r="G63" s="752" t="s">
        <v>487</v>
      </c>
      <c r="H63" s="752" t="s">
        <v>71</v>
      </c>
      <c r="I63" s="752" t="s">
        <v>269</v>
      </c>
      <c r="J63" s="753">
        <v>211729673</v>
      </c>
      <c r="K63" s="753">
        <v>0</v>
      </c>
      <c r="L63" s="752"/>
      <c r="M63" s="752"/>
      <c r="N63" s="752"/>
      <c r="O63" s="752"/>
      <c r="P63" s="752"/>
      <c r="Q63" s="752" t="s">
        <v>488</v>
      </c>
    </row>
    <row r="64" spans="1:17">
      <c r="A64" s="751">
        <v>45077</v>
      </c>
      <c r="B64" s="751">
        <v>45077</v>
      </c>
      <c r="C64" s="752" t="s">
        <v>484</v>
      </c>
      <c r="D64" s="751"/>
      <c r="E64" s="752"/>
      <c r="F64" s="752" t="s">
        <v>492</v>
      </c>
      <c r="G64" s="752" t="s">
        <v>487</v>
      </c>
      <c r="H64" s="752" t="s">
        <v>71</v>
      </c>
      <c r="I64" s="752" t="s">
        <v>273</v>
      </c>
      <c r="J64" s="753">
        <v>150077917</v>
      </c>
      <c r="K64" s="753">
        <v>0</v>
      </c>
      <c r="L64" s="752"/>
      <c r="M64" s="752"/>
      <c r="N64" s="752"/>
      <c r="O64" s="752"/>
      <c r="P64" s="752"/>
      <c r="Q64" s="752" t="s">
        <v>488</v>
      </c>
    </row>
    <row r="65" spans="1:17">
      <c r="A65" s="751">
        <v>45077</v>
      </c>
      <c r="B65" s="751">
        <v>45077</v>
      </c>
      <c r="C65" s="752" t="s">
        <v>484</v>
      </c>
      <c r="D65" s="751"/>
      <c r="E65" s="752"/>
      <c r="F65" s="752" t="s">
        <v>492</v>
      </c>
      <c r="G65" s="752" t="s">
        <v>487</v>
      </c>
      <c r="H65" s="752" t="s">
        <v>71</v>
      </c>
      <c r="I65" s="752" t="s">
        <v>277</v>
      </c>
      <c r="J65" s="753">
        <v>50105843</v>
      </c>
      <c r="K65" s="753">
        <v>0</v>
      </c>
      <c r="L65" s="752"/>
      <c r="M65" s="752"/>
      <c r="N65" s="752"/>
      <c r="O65" s="752"/>
      <c r="P65" s="752"/>
      <c r="Q65" s="752" t="s">
        <v>488</v>
      </c>
    </row>
    <row r="66" spans="1:17">
      <c r="A66" s="751">
        <v>45077</v>
      </c>
      <c r="B66" s="751">
        <v>45077</v>
      </c>
      <c r="C66" s="752" t="s">
        <v>484</v>
      </c>
      <c r="D66" s="751"/>
      <c r="E66" s="752"/>
      <c r="F66" s="752" t="s">
        <v>492</v>
      </c>
      <c r="G66" s="752" t="s">
        <v>487</v>
      </c>
      <c r="H66" s="752" t="s">
        <v>71</v>
      </c>
      <c r="I66" s="752" t="s">
        <v>283</v>
      </c>
      <c r="J66" s="753">
        <v>198043073</v>
      </c>
      <c r="K66" s="753">
        <v>0</v>
      </c>
      <c r="L66" s="752"/>
      <c r="M66" s="752"/>
      <c r="N66" s="752"/>
      <c r="O66" s="752"/>
      <c r="P66" s="752"/>
      <c r="Q66" s="752" t="s">
        <v>488</v>
      </c>
    </row>
    <row r="67" spans="1:17">
      <c r="A67" s="751">
        <v>45077</v>
      </c>
      <c r="B67" s="751">
        <v>45077</v>
      </c>
      <c r="C67" s="752" t="s">
        <v>484</v>
      </c>
      <c r="D67" s="751"/>
      <c r="E67" s="752"/>
      <c r="F67" s="752" t="s">
        <v>492</v>
      </c>
      <c r="G67" s="752" t="s">
        <v>487</v>
      </c>
      <c r="H67" s="752" t="s">
        <v>71</v>
      </c>
      <c r="I67" s="752" t="s">
        <v>287</v>
      </c>
      <c r="J67" s="753">
        <v>54949264</v>
      </c>
      <c r="K67" s="753">
        <v>0</v>
      </c>
      <c r="L67" s="752"/>
      <c r="M67" s="752"/>
      <c r="N67" s="752"/>
      <c r="O67" s="752"/>
      <c r="P67" s="752"/>
      <c r="Q67" s="752" t="s">
        <v>488</v>
      </c>
    </row>
    <row r="68" spans="1:17">
      <c r="A68" s="751">
        <v>45077</v>
      </c>
      <c r="B68" s="751">
        <v>45077</v>
      </c>
      <c r="C68" s="752" t="s">
        <v>484</v>
      </c>
      <c r="D68" s="751"/>
      <c r="E68" s="752"/>
      <c r="F68" s="752" t="s">
        <v>492</v>
      </c>
      <c r="G68" s="752" t="s">
        <v>487</v>
      </c>
      <c r="H68" s="752" t="s">
        <v>71</v>
      </c>
      <c r="I68" s="752" t="s">
        <v>289</v>
      </c>
      <c r="J68" s="753">
        <v>17428510</v>
      </c>
      <c r="K68" s="753">
        <v>0</v>
      </c>
      <c r="L68" s="752"/>
      <c r="M68" s="752"/>
      <c r="N68" s="752"/>
      <c r="O68" s="752"/>
      <c r="P68" s="752"/>
      <c r="Q68" s="752" t="s">
        <v>488</v>
      </c>
    </row>
    <row r="69" spans="1:17">
      <c r="A69" s="751">
        <v>45077</v>
      </c>
      <c r="B69" s="751">
        <v>45077</v>
      </c>
      <c r="C69" s="752" t="s">
        <v>484</v>
      </c>
      <c r="D69" s="751"/>
      <c r="E69" s="752"/>
      <c r="F69" s="752" t="s">
        <v>492</v>
      </c>
      <c r="G69" s="752" t="s">
        <v>487</v>
      </c>
      <c r="H69" s="752" t="s">
        <v>71</v>
      </c>
      <c r="I69" s="752" t="s">
        <v>291</v>
      </c>
      <c r="J69" s="753">
        <v>336783759</v>
      </c>
      <c r="K69" s="753">
        <v>0</v>
      </c>
      <c r="L69" s="752"/>
      <c r="M69" s="752"/>
      <c r="N69" s="752"/>
      <c r="O69" s="752"/>
      <c r="P69" s="752"/>
      <c r="Q69" s="752" t="s">
        <v>488</v>
      </c>
    </row>
    <row r="70" spans="1:17">
      <c r="A70" s="751">
        <v>45077</v>
      </c>
      <c r="B70" s="751">
        <v>45077</v>
      </c>
      <c r="C70" s="752" t="s">
        <v>484</v>
      </c>
      <c r="D70" s="751"/>
      <c r="E70" s="752"/>
      <c r="F70" s="752" t="s">
        <v>492</v>
      </c>
      <c r="G70" s="752" t="s">
        <v>487</v>
      </c>
      <c r="H70" s="752" t="s">
        <v>71</v>
      </c>
      <c r="I70" s="752" t="s">
        <v>293</v>
      </c>
      <c r="J70" s="753">
        <v>4363636</v>
      </c>
      <c r="K70" s="753">
        <v>0</v>
      </c>
      <c r="L70" s="752"/>
      <c r="M70" s="752"/>
      <c r="N70" s="752"/>
      <c r="O70" s="752"/>
      <c r="P70" s="752"/>
      <c r="Q70" s="752" t="s">
        <v>488</v>
      </c>
    </row>
    <row r="71" spans="1:17">
      <c r="A71" s="751">
        <v>45077</v>
      </c>
      <c r="B71" s="751">
        <v>45077</v>
      </c>
      <c r="C71" s="752" t="s">
        <v>484</v>
      </c>
      <c r="D71" s="751"/>
      <c r="E71" s="752"/>
      <c r="F71" s="752" t="s">
        <v>492</v>
      </c>
      <c r="G71" s="752" t="s">
        <v>487</v>
      </c>
      <c r="H71" s="752" t="s">
        <v>71</v>
      </c>
      <c r="I71" s="752" t="s">
        <v>295</v>
      </c>
      <c r="J71" s="753">
        <v>6797500</v>
      </c>
      <c r="K71" s="753">
        <v>0</v>
      </c>
      <c r="L71" s="752"/>
      <c r="M71" s="752"/>
      <c r="N71" s="752"/>
      <c r="O71" s="752"/>
      <c r="P71" s="752"/>
      <c r="Q71" s="752" t="s">
        <v>488</v>
      </c>
    </row>
    <row r="72" spans="1:17">
      <c r="A72" s="751">
        <v>45077</v>
      </c>
      <c r="B72" s="751">
        <v>45077</v>
      </c>
      <c r="C72" s="752" t="s">
        <v>484</v>
      </c>
      <c r="D72" s="751"/>
      <c r="E72" s="752"/>
      <c r="F72" s="752" t="s">
        <v>492</v>
      </c>
      <c r="G72" s="752" t="s">
        <v>487</v>
      </c>
      <c r="H72" s="752" t="s">
        <v>71</v>
      </c>
      <c r="I72" s="752" t="s">
        <v>297</v>
      </c>
      <c r="J72" s="753">
        <v>4276112</v>
      </c>
      <c r="K72" s="753">
        <v>0</v>
      </c>
      <c r="L72" s="752"/>
      <c r="M72" s="752"/>
      <c r="N72" s="752"/>
      <c r="O72" s="752"/>
      <c r="P72" s="752"/>
      <c r="Q72" s="752" t="s">
        <v>488</v>
      </c>
    </row>
    <row r="73" spans="1:17">
      <c r="A73" s="751">
        <v>45077</v>
      </c>
      <c r="B73" s="751">
        <v>45077</v>
      </c>
      <c r="C73" s="752" t="s">
        <v>484</v>
      </c>
      <c r="D73" s="751"/>
      <c r="E73" s="752"/>
      <c r="F73" s="752" t="s">
        <v>492</v>
      </c>
      <c r="G73" s="752" t="s">
        <v>487</v>
      </c>
      <c r="H73" s="752" t="s">
        <v>71</v>
      </c>
      <c r="I73" s="752" t="s">
        <v>299</v>
      </c>
      <c r="J73" s="753">
        <v>16242000</v>
      </c>
      <c r="K73" s="753">
        <v>0</v>
      </c>
      <c r="L73" s="752"/>
      <c r="M73" s="752"/>
      <c r="N73" s="752"/>
      <c r="O73" s="752"/>
      <c r="P73" s="752"/>
      <c r="Q73" s="752" t="s">
        <v>488</v>
      </c>
    </row>
    <row r="74" spans="1:17">
      <c r="A74" s="751">
        <v>45077</v>
      </c>
      <c r="B74" s="751">
        <v>45077</v>
      </c>
      <c r="C74" s="752" t="s">
        <v>484</v>
      </c>
      <c r="D74" s="751"/>
      <c r="E74" s="752"/>
      <c r="F74" s="752" t="s">
        <v>492</v>
      </c>
      <c r="G74" s="752" t="s">
        <v>487</v>
      </c>
      <c r="H74" s="752" t="s">
        <v>71</v>
      </c>
      <c r="I74" s="752" t="s">
        <v>301</v>
      </c>
      <c r="J74" s="753">
        <v>3359006</v>
      </c>
      <c r="K74" s="753">
        <v>0</v>
      </c>
      <c r="L74" s="752"/>
      <c r="M74" s="752"/>
      <c r="N74" s="752"/>
      <c r="O74" s="752"/>
      <c r="P74" s="752"/>
      <c r="Q74" s="752" t="s">
        <v>488</v>
      </c>
    </row>
    <row r="75" spans="1:17">
      <c r="A75" s="751">
        <v>45077</v>
      </c>
      <c r="B75" s="751">
        <v>45077</v>
      </c>
      <c r="C75" s="752" t="s">
        <v>484</v>
      </c>
      <c r="D75" s="751"/>
      <c r="E75" s="752"/>
      <c r="F75" s="752" t="s">
        <v>492</v>
      </c>
      <c r="G75" s="752" t="s">
        <v>473</v>
      </c>
      <c r="H75" s="752" t="s">
        <v>71</v>
      </c>
      <c r="I75" s="752" t="s">
        <v>303</v>
      </c>
      <c r="J75" s="753">
        <v>0</v>
      </c>
      <c r="K75" s="753">
        <v>1056269930</v>
      </c>
      <c r="L75" s="752"/>
      <c r="M75" s="752"/>
      <c r="N75" s="752"/>
      <c r="O75" s="752"/>
      <c r="P75" s="752"/>
      <c r="Q75" s="752" t="s">
        <v>488</v>
      </c>
    </row>
    <row r="76" spans="1:17">
      <c r="A76" s="751">
        <v>45107</v>
      </c>
      <c r="B76" s="751">
        <v>45107</v>
      </c>
      <c r="C76" s="752" t="s">
        <v>485</v>
      </c>
      <c r="D76" s="751"/>
      <c r="E76" s="752"/>
      <c r="F76" s="752" t="s">
        <v>493</v>
      </c>
      <c r="G76" s="752" t="s">
        <v>487</v>
      </c>
      <c r="H76" s="752" t="s">
        <v>71</v>
      </c>
      <c r="I76" s="752" t="s">
        <v>267</v>
      </c>
      <c r="J76" s="753">
        <v>2113637</v>
      </c>
      <c r="K76" s="753">
        <v>0</v>
      </c>
      <c r="L76" s="752"/>
      <c r="M76" s="752"/>
      <c r="N76" s="752"/>
      <c r="O76" s="752"/>
      <c r="P76" s="752"/>
      <c r="Q76" s="752" t="s">
        <v>488</v>
      </c>
    </row>
    <row r="77" spans="1:17">
      <c r="A77" s="751">
        <v>45107</v>
      </c>
      <c r="B77" s="751">
        <v>45107</v>
      </c>
      <c r="C77" s="752" t="s">
        <v>485</v>
      </c>
      <c r="D77" s="751"/>
      <c r="E77" s="752"/>
      <c r="F77" s="752" t="s">
        <v>493</v>
      </c>
      <c r="G77" s="752" t="s">
        <v>487</v>
      </c>
      <c r="H77" s="752" t="s">
        <v>71</v>
      </c>
      <c r="I77" s="752" t="s">
        <v>269</v>
      </c>
      <c r="J77" s="753">
        <v>211729673</v>
      </c>
      <c r="K77" s="753">
        <v>0</v>
      </c>
      <c r="L77" s="752"/>
      <c r="M77" s="752"/>
      <c r="N77" s="752"/>
      <c r="O77" s="752"/>
      <c r="P77" s="752"/>
      <c r="Q77" s="752" t="s">
        <v>488</v>
      </c>
    </row>
    <row r="78" spans="1:17">
      <c r="A78" s="751">
        <v>45107</v>
      </c>
      <c r="B78" s="751">
        <v>45107</v>
      </c>
      <c r="C78" s="752" t="s">
        <v>485</v>
      </c>
      <c r="D78" s="751"/>
      <c r="E78" s="752"/>
      <c r="F78" s="752" t="s">
        <v>493</v>
      </c>
      <c r="G78" s="752" t="s">
        <v>487</v>
      </c>
      <c r="H78" s="752" t="s">
        <v>71</v>
      </c>
      <c r="I78" s="752" t="s">
        <v>273</v>
      </c>
      <c r="J78" s="753">
        <v>47218852</v>
      </c>
      <c r="K78" s="753">
        <v>0</v>
      </c>
      <c r="L78" s="752"/>
      <c r="M78" s="752"/>
      <c r="N78" s="752"/>
      <c r="O78" s="752"/>
      <c r="P78" s="752"/>
      <c r="Q78" s="752" t="s">
        <v>488</v>
      </c>
    </row>
    <row r="79" spans="1:17">
      <c r="A79" s="751">
        <v>45107</v>
      </c>
      <c r="B79" s="751">
        <v>45107</v>
      </c>
      <c r="C79" s="752" t="s">
        <v>485</v>
      </c>
      <c r="D79" s="751"/>
      <c r="E79" s="752"/>
      <c r="F79" s="752" t="s">
        <v>493</v>
      </c>
      <c r="G79" s="752" t="s">
        <v>487</v>
      </c>
      <c r="H79" s="752" t="s">
        <v>71</v>
      </c>
      <c r="I79" s="752" t="s">
        <v>277</v>
      </c>
      <c r="J79" s="753">
        <v>47784220</v>
      </c>
      <c r="K79" s="753">
        <v>0</v>
      </c>
      <c r="L79" s="752"/>
      <c r="M79" s="752"/>
      <c r="N79" s="752"/>
      <c r="O79" s="752"/>
      <c r="P79" s="752"/>
      <c r="Q79" s="752" t="s">
        <v>488</v>
      </c>
    </row>
    <row r="80" spans="1:17">
      <c r="A80" s="751">
        <v>45107</v>
      </c>
      <c r="B80" s="751">
        <v>45107</v>
      </c>
      <c r="C80" s="752" t="s">
        <v>485</v>
      </c>
      <c r="D80" s="751"/>
      <c r="E80" s="752"/>
      <c r="F80" s="752" t="s">
        <v>493</v>
      </c>
      <c r="G80" s="752" t="s">
        <v>487</v>
      </c>
      <c r="H80" s="752" t="s">
        <v>71</v>
      </c>
      <c r="I80" s="752" t="s">
        <v>283</v>
      </c>
      <c r="J80" s="753">
        <v>213972534</v>
      </c>
      <c r="K80" s="753">
        <v>0</v>
      </c>
      <c r="L80" s="752"/>
      <c r="M80" s="752"/>
      <c r="N80" s="752"/>
      <c r="O80" s="752"/>
      <c r="P80" s="752"/>
      <c r="Q80" s="752" t="s">
        <v>488</v>
      </c>
    </row>
    <row r="81" spans="1:17">
      <c r="A81" s="751">
        <v>45107</v>
      </c>
      <c r="B81" s="751">
        <v>45107</v>
      </c>
      <c r="C81" s="752" t="s">
        <v>485</v>
      </c>
      <c r="D81" s="751"/>
      <c r="E81" s="752"/>
      <c r="F81" s="752" t="s">
        <v>493</v>
      </c>
      <c r="G81" s="752" t="s">
        <v>487</v>
      </c>
      <c r="H81" s="752" t="s">
        <v>71</v>
      </c>
      <c r="I81" s="752" t="s">
        <v>287</v>
      </c>
      <c r="J81" s="753">
        <v>54949263</v>
      </c>
      <c r="K81" s="753">
        <v>0</v>
      </c>
      <c r="L81" s="752"/>
      <c r="M81" s="752"/>
      <c r="N81" s="752"/>
      <c r="O81" s="752"/>
      <c r="P81" s="752"/>
      <c r="Q81" s="752" t="s">
        <v>488</v>
      </c>
    </row>
    <row r="82" spans="1:17">
      <c r="A82" s="751">
        <v>45107</v>
      </c>
      <c r="B82" s="751">
        <v>45107</v>
      </c>
      <c r="C82" s="752" t="s">
        <v>485</v>
      </c>
      <c r="D82" s="751"/>
      <c r="E82" s="752"/>
      <c r="F82" s="752" t="s">
        <v>493</v>
      </c>
      <c r="G82" s="752" t="s">
        <v>487</v>
      </c>
      <c r="H82" s="752" t="s">
        <v>71</v>
      </c>
      <c r="I82" s="752" t="s">
        <v>289</v>
      </c>
      <c r="J82" s="753">
        <v>17428510</v>
      </c>
      <c r="K82" s="753">
        <v>0</v>
      </c>
      <c r="L82" s="752"/>
      <c r="M82" s="752"/>
      <c r="N82" s="752"/>
      <c r="O82" s="752"/>
      <c r="P82" s="752"/>
      <c r="Q82" s="752" t="s">
        <v>488</v>
      </c>
    </row>
    <row r="83" spans="1:17">
      <c r="A83" s="751">
        <v>45107</v>
      </c>
      <c r="B83" s="751">
        <v>45107</v>
      </c>
      <c r="C83" s="752" t="s">
        <v>485</v>
      </c>
      <c r="D83" s="751"/>
      <c r="E83" s="752"/>
      <c r="F83" s="752" t="s">
        <v>493</v>
      </c>
      <c r="G83" s="752" t="s">
        <v>487</v>
      </c>
      <c r="H83" s="752" t="s">
        <v>71</v>
      </c>
      <c r="I83" s="752" t="s">
        <v>291</v>
      </c>
      <c r="J83" s="753">
        <v>311607994</v>
      </c>
      <c r="K83" s="753">
        <v>0</v>
      </c>
      <c r="L83" s="752"/>
      <c r="M83" s="752"/>
      <c r="N83" s="752"/>
      <c r="O83" s="752"/>
      <c r="P83" s="752"/>
      <c r="Q83" s="752" t="s">
        <v>488</v>
      </c>
    </row>
    <row r="84" spans="1:17">
      <c r="A84" s="751">
        <v>45107</v>
      </c>
      <c r="B84" s="751">
        <v>45107</v>
      </c>
      <c r="C84" s="752" t="s">
        <v>485</v>
      </c>
      <c r="D84" s="751"/>
      <c r="E84" s="752"/>
      <c r="F84" s="752" t="s">
        <v>493</v>
      </c>
      <c r="G84" s="752" t="s">
        <v>487</v>
      </c>
      <c r="H84" s="752" t="s">
        <v>71</v>
      </c>
      <c r="I84" s="752" t="s">
        <v>293</v>
      </c>
      <c r="J84" s="753">
        <v>4363636</v>
      </c>
      <c r="K84" s="753">
        <v>0</v>
      </c>
      <c r="L84" s="752"/>
      <c r="M84" s="752"/>
      <c r="N84" s="752"/>
      <c r="O84" s="752"/>
      <c r="P84" s="752"/>
      <c r="Q84" s="752" t="s">
        <v>488</v>
      </c>
    </row>
    <row r="85" spans="1:17">
      <c r="A85" s="751">
        <v>45107</v>
      </c>
      <c r="B85" s="751">
        <v>45107</v>
      </c>
      <c r="C85" s="752" t="s">
        <v>485</v>
      </c>
      <c r="D85" s="751"/>
      <c r="E85" s="752"/>
      <c r="F85" s="752" t="s">
        <v>493</v>
      </c>
      <c r="G85" s="752" t="s">
        <v>487</v>
      </c>
      <c r="H85" s="752" t="s">
        <v>71</v>
      </c>
      <c r="I85" s="752" t="s">
        <v>295</v>
      </c>
      <c r="J85" s="753">
        <v>4505000</v>
      </c>
      <c r="K85" s="753">
        <v>0</v>
      </c>
      <c r="L85" s="752"/>
      <c r="M85" s="752"/>
      <c r="N85" s="752"/>
      <c r="O85" s="752"/>
      <c r="P85" s="752"/>
      <c r="Q85" s="752" t="s">
        <v>488</v>
      </c>
    </row>
    <row r="86" spans="1:17">
      <c r="A86" s="751">
        <v>45107</v>
      </c>
      <c r="B86" s="751">
        <v>45107</v>
      </c>
      <c r="C86" s="752" t="s">
        <v>485</v>
      </c>
      <c r="D86" s="751"/>
      <c r="E86" s="752"/>
      <c r="F86" s="752" t="s">
        <v>493</v>
      </c>
      <c r="G86" s="752" t="s">
        <v>487</v>
      </c>
      <c r="H86" s="752" t="s">
        <v>71</v>
      </c>
      <c r="I86" s="752" t="s">
        <v>297</v>
      </c>
      <c r="J86" s="753">
        <v>6297813</v>
      </c>
      <c r="K86" s="753">
        <v>0</v>
      </c>
      <c r="L86" s="752"/>
      <c r="M86" s="752"/>
      <c r="N86" s="752"/>
      <c r="O86" s="752"/>
      <c r="P86" s="752"/>
      <c r="Q86" s="752" t="s">
        <v>488</v>
      </c>
    </row>
    <row r="87" spans="1:17">
      <c r="A87" s="751">
        <v>45107</v>
      </c>
      <c r="B87" s="751">
        <v>45107</v>
      </c>
      <c r="C87" s="752" t="s">
        <v>485</v>
      </c>
      <c r="D87" s="751"/>
      <c r="E87" s="752"/>
      <c r="F87" s="752" t="s">
        <v>493</v>
      </c>
      <c r="G87" s="752" t="s">
        <v>487</v>
      </c>
      <c r="H87" s="752" t="s">
        <v>71</v>
      </c>
      <c r="I87" s="752" t="s">
        <v>299</v>
      </c>
      <c r="J87" s="753">
        <v>7773000</v>
      </c>
      <c r="K87" s="753">
        <v>0</v>
      </c>
      <c r="L87" s="752"/>
      <c r="M87" s="752"/>
      <c r="N87" s="752"/>
      <c r="O87" s="752"/>
      <c r="P87" s="752"/>
      <c r="Q87" s="752" t="s">
        <v>488</v>
      </c>
    </row>
    <row r="88" spans="1:17">
      <c r="A88" s="751">
        <v>45107</v>
      </c>
      <c r="B88" s="751">
        <v>45107</v>
      </c>
      <c r="C88" s="752" t="s">
        <v>485</v>
      </c>
      <c r="D88" s="751"/>
      <c r="E88" s="752"/>
      <c r="F88" s="752" t="s">
        <v>493</v>
      </c>
      <c r="G88" s="752" t="s">
        <v>487</v>
      </c>
      <c r="H88" s="752" t="s">
        <v>71</v>
      </c>
      <c r="I88" s="752" t="s">
        <v>301</v>
      </c>
      <c r="J88" s="753">
        <v>4126725</v>
      </c>
      <c r="K88" s="753">
        <v>0</v>
      </c>
      <c r="L88" s="752"/>
      <c r="M88" s="752"/>
      <c r="N88" s="752"/>
      <c r="O88" s="752"/>
      <c r="P88" s="752"/>
      <c r="Q88" s="752" t="s">
        <v>488</v>
      </c>
    </row>
    <row r="89" spans="1:17">
      <c r="A89" s="751">
        <v>45107</v>
      </c>
      <c r="B89" s="751">
        <v>45107</v>
      </c>
      <c r="C89" s="752" t="s">
        <v>485</v>
      </c>
      <c r="D89" s="751"/>
      <c r="E89" s="752"/>
      <c r="F89" s="752" t="s">
        <v>493</v>
      </c>
      <c r="G89" s="752" t="s">
        <v>473</v>
      </c>
      <c r="H89" s="752" t="s">
        <v>71</v>
      </c>
      <c r="I89" s="752" t="s">
        <v>303</v>
      </c>
      <c r="J89" s="753">
        <v>0</v>
      </c>
      <c r="K89" s="753">
        <v>933870857</v>
      </c>
      <c r="L89" s="752"/>
      <c r="M89" s="752"/>
      <c r="N89" s="752"/>
      <c r="O89" s="752"/>
      <c r="P89" s="752"/>
      <c r="Q89" s="752" t="s">
        <v>488</v>
      </c>
    </row>
    <row r="90" spans="1:17">
      <c r="A90" s="10"/>
      <c r="B90" s="10"/>
      <c r="C90" s="11"/>
      <c r="D90" s="10"/>
      <c r="E90" s="11"/>
      <c r="F90" s="11"/>
      <c r="G90" s="11"/>
      <c r="H90" s="11"/>
      <c r="I90" s="11"/>
      <c r="J90" s="12"/>
      <c r="K90" s="12"/>
      <c r="L90" s="11"/>
      <c r="M90" s="11"/>
      <c r="N90" s="11"/>
      <c r="O90" s="11"/>
      <c r="P90" s="11"/>
      <c r="Q90" s="11"/>
    </row>
    <row r="91" spans="1:17">
      <c r="A91" s="10"/>
      <c r="B91" s="10"/>
      <c r="C91" s="11"/>
      <c r="D91" s="10"/>
      <c r="E91" s="11"/>
      <c r="F91" s="11"/>
      <c r="G91" s="11"/>
      <c r="H91" s="11"/>
      <c r="I91" s="11"/>
      <c r="J91" s="12"/>
      <c r="K91" s="12"/>
      <c r="L91" s="11"/>
      <c r="M91" s="11"/>
      <c r="N91" s="11"/>
      <c r="O91" s="11"/>
      <c r="P91" s="11"/>
      <c r="Q91" s="11"/>
    </row>
    <row r="92" spans="1:17">
      <c r="A92" s="10"/>
      <c r="B92" s="10"/>
      <c r="C92" s="11"/>
      <c r="D92" s="10"/>
      <c r="E92" s="11"/>
      <c r="F92" s="11"/>
      <c r="G92" s="11"/>
      <c r="H92" s="11"/>
      <c r="I92" s="11"/>
      <c r="J92" s="12"/>
      <c r="K92" s="12"/>
      <c r="L92" s="11"/>
      <c r="M92" s="11"/>
      <c r="N92" s="11"/>
      <c r="O92" s="11"/>
      <c r="P92" s="11"/>
      <c r="Q92" s="11"/>
    </row>
    <row r="93" spans="1:17">
      <c r="A93" s="10"/>
      <c r="B93" s="10"/>
      <c r="C93" s="11"/>
      <c r="D93" s="10"/>
      <c r="E93" s="11"/>
      <c r="F93" s="11"/>
      <c r="G93" s="11"/>
      <c r="H93" s="11"/>
      <c r="I93" s="11"/>
      <c r="J93" s="12"/>
      <c r="K93" s="12"/>
      <c r="L93" s="11"/>
      <c r="M93" s="11"/>
      <c r="N93" s="11"/>
      <c r="O93" s="11"/>
      <c r="P93" s="11"/>
      <c r="Q93" s="11"/>
    </row>
    <row r="94" spans="1:17">
      <c r="A94" s="10"/>
      <c r="B94" s="10"/>
      <c r="C94" s="11"/>
      <c r="D94" s="10"/>
      <c r="E94" s="11"/>
      <c r="F94" s="11"/>
      <c r="G94" s="11"/>
      <c r="H94" s="11"/>
      <c r="I94" s="11"/>
      <c r="J94" s="12"/>
      <c r="K94" s="12"/>
      <c r="L94" s="11"/>
      <c r="M94" s="11"/>
      <c r="N94" s="11"/>
      <c r="O94" s="11"/>
      <c r="P94" s="11"/>
      <c r="Q94" s="11"/>
    </row>
    <row r="95" spans="1:17">
      <c r="A95" s="10"/>
      <c r="B95" s="10"/>
      <c r="C95" s="11"/>
      <c r="D95" s="10"/>
      <c r="E95" s="11"/>
      <c r="F95" s="11"/>
      <c r="G95" s="11"/>
      <c r="H95" s="11"/>
      <c r="I95" s="11"/>
      <c r="J95" s="12"/>
      <c r="K95" s="12"/>
      <c r="L95" s="11"/>
      <c r="M95" s="11"/>
      <c r="N95" s="11"/>
      <c r="O95" s="11"/>
      <c r="P95" s="11"/>
      <c r="Q95" s="11"/>
    </row>
    <row r="96" spans="1:17">
      <c r="A96" s="10"/>
      <c r="B96" s="10"/>
      <c r="C96" s="11"/>
      <c r="D96" s="10"/>
      <c r="E96" s="11"/>
      <c r="F96" s="11"/>
      <c r="G96" s="11"/>
      <c r="H96" s="11"/>
      <c r="I96" s="11"/>
      <c r="J96" s="12"/>
      <c r="K96" s="12"/>
      <c r="L96" s="11"/>
      <c r="M96" s="11"/>
      <c r="N96" s="11"/>
      <c r="O96" s="11"/>
      <c r="P96" s="11"/>
      <c r="Q96" s="11"/>
    </row>
    <row r="97" spans="1:17">
      <c r="A97" s="10"/>
      <c r="B97" s="10"/>
      <c r="C97" s="11"/>
      <c r="D97" s="10"/>
      <c r="E97" s="11"/>
      <c r="F97" s="11"/>
      <c r="G97" s="11"/>
      <c r="H97" s="11"/>
      <c r="I97" s="11"/>
      <c r="J97" s="12"/>
      <c r="K97" s="12"/>
      <c r="L97" s="11"/>
      <c r="M97" s="11"/>
      <c r="N97" s="11"/>
      <c r="O97" s="11"/>
      <c r="P97" s="11"/>
      <c r="Q97" s="11"/>
    </row>
    <row r="98" spans="1:17">
      <c r="A98" s="10"/>
      <c r="B98" s="10"/>
      <c r="C98" s="11"/>
      <c r="D98" s="10"/>
      <c r="E98" s="11"/>
      <c r="F98" s="11"/>
      <c r="G98" s="11"/>
      <c r="H98" s="11"/>
      <c r="I98" s="11"/>
      <c r="J98" s="12"/>
      <c r="K98" s="12"/>
      <c r="L98" s="11"/>
      <c r="M98" s="11"/>
      <c r="N98" s="11"/>
      <c r="O98" s="11"/>
      <c r="P98" s="11"/>
      <c r="Q98" s="11"/>
    </row>
    <row r="99" spans="1:17">
      <c r="A99" s="10"/>
      <c r="B99" s="10"/>
      <c r="C99" s="11"/>
      <c r="D99" s="10"/>
      <c r="E99" s="11"/>
      <c r="F99" s="11"/>
      <c r="G99" s="11"/>
      <c r="H99" s="11"/>
      <c r="I99" s="11"/>
      <c r="J99" s="12"/>
      <c r="K99" s="12"/>
      <c r="L99" s="11"/>
      <c r="M99" s="11"/>
      <c r="N99" s="11"/>
      <c r="O99" s="11"/>
      <c r="P99" s="11"/>
      <c r="Q99" s="11"/>
    </row>
    <row r="100" spans="1:17">
      <c r="A100" s="10"/>
      <c r="B100" s="10"/>
      <c r="C100" s="11"/>
      <c r="D100" s="10"/>
      <c r="E100" s="11"/>
      <c r="F100" s="11"/>
      <c r="G100" s="11"/>
      <c r="H100" s="11"/>
      <c r="I100" s="11"/>
      <c r="J100" s="12"/>
      <c r="K100" s="12"/>
      <c r="L100" s="11"/>
      <c r="M100" s="11"/>
      <c r="N100" s="11"/>
      <c r="O100" s="11"/>
      <c r="P100" s="11"/>
      <c r="Q100" s="11"/>
    </row>
    <row r="101" spans="1:17">
      <c r="A101" s="10"/>
      <c r="B101" s="10"/>
      <c r="C101" s="11"/>
      <c r="D101" s="10"/>
      <c r="E101" s="11"/>
      <c r="F101" s="11"/>
      <c r="G101" s="11"/>
      <c r="H101" s="11"/>
      <c r="I101" s="11"/>
      <c r="J101" s="12"/>
      <c r="K101" s="12"/>
      <c r="L101" s="11"/>
      <c r="M101" s="11"/>
      <c r="N101" s="11"/>
      <c r="O101" s="11"/>
      <c r="P101" s="11"/>
      <c r="Q101" s="11"/>
    </row>
    <row r="102" spans="1:17">
      <c r="A102" s="10"/>
      <c r="B102" s="10"/>
      <c r="C102" s="11"/>
      <c r="D102" s="10"/>
      <c r="E102" s="11"/>
      <c r="F102" s="11"/>
      <c r="G102" s="11"/>
      <c r="H102" s="11"/>
      <c r="I102" s="11"/>
      <c r="J102" s="12"/>
      <c r="K102" s="12"/>
      <c r="L102" s="11"/>
      <c r="M102" s="11"/>
      <c r="N102" s="11"/>
      <c r="O102" s="11"/>
      <c r="P102" s="11"/>
      <c r="Q102" s="11"/>
    </row>
    <row r="103" spans="1:17">
      <c r="A103" s="10"/>
      <c r="B103" s="10"/>
      <c r="C103" s="11"/>
      <c r="D103" s="10"/>
      <c r="E103" s="11"/>
      <c r="F103" s="11"/>
      <c r="G103" s="11"/>
      <c r="H103" s="11"/>
      <c r="I103" s="11"/>
      <c r="J103" s="12"/>
      <c r="K103" s="12"/>
      <c r="L103" s="11"/>
      <c r="M103" s="11"/>
      <c r="N103" s="11"/>
      <c r="O103" s="11"/>
      <c r="P103" s="11"/>
      <c r="Q103" s="11"/>
    </row>
    <row r="104" spans="1:17">
      <c r="A104" s="10"/>
      <c r="B104" s="10"/>
      <c r="C104" s="11"/>
      <c r="D104" s="10"/>
      <c r="E104" s="11"/>
      <c r="F104" s="11"/>
      <c r="G104" s="11"/>
      <c r="H104" s="11"/>
      <c r="I104" s="11"/>
      <c r="J104" s="12"/>
      <c r="K104" s="12"/>
      <c r="L104" s="11"/>
      <c r="M104" s="11"/>
      <c r="N104" s="11"/>
      <c r="O104" s="11"/>
      <c r="P104" s="11"/>
      <c r="Q104" s="11"/>
    </row>
    <row r="105" spans="1:17">
      <c r="A105" s="10"/>
      <c r="B105" s="10"/>
      <c r="C105" s="11"/>
      <c r="D105" s="10"/>
      <c r="E105" s="11"/>
      <c r="F105" s="11"/>
      <c r="G105" s="11"/>
      <c r="H105" s="11"/>
      <c r="I105" s="11"/>
      <c r="J105" s="12"/>
      <c r="K105" s="12"/>
      <c r="L105" s="11"/>
      <c r="M105" s="11"/>
      <c r="N105" s="11"/>
      <c r="O105" s="11"/>
      <c r="P105" s="11"/>
      <c r="Q105" s="11"/>
    </row>
    <row r="106" spans="1:17">
      <c r="A106" s="10"/>
      <c r="B106" s="10"/>
      <c r="C106" s="11"/>
      <c r="D106" s="10"/>
      <c r="E106" s="11"/>
      <c r="F106" s="11"/>
      <c r="G106" s="11"/>
      <c r="H106" s="11"/>
      <c r="I106" s="11"/>
      <c r="J106" s="12"/>
      <c r="K106" s="12"/>
      <c r="L106" s="11"/>
      <c r="M106" s="11"/>
      <c r="N106" s="11"/>
      <c r="O106" s="11"/>
      <c r="P106" s="11"/>
      <c r="Q106" s="11"/>
    </row>
    <row r="107" spans="1:17">
      <c r="A107" s="10"/>
      <c r="B107" s="10"/>
      <c r="C107" s="11"/>
      <c r="D107" s="10"/>
      <c r="E107" s="11"/>
      <c r="F107" s="11"/>
      <c r="G107" s="11"/>
      <c r="H107" s="11"/>
      <c r="I107" s="11"/>
      <c r="J107" s="12"/>
      <c r="K107" s="12"/>
      <c r="L107" s="11"/>
      <c r="M107" s="11"/>
      <c r="N107" s="11"/>
      <c r="O107" s="11"/>
      <c r="P107" s="11"/>
      <c r="Q107" s="11"/>
    </row>
    <row r="108" spans="1:17">
      <c r="A108" s="10"/>
      <c r="B108" s="10"/>
      <c r="C108" s="11"/>
      <c r="D108" s="10"/>
      <c r="E108" s="11"/>
      <c r="F108" s="11"/>
      <c r="G108" s="11"/>
      <c r="H108" s="11"/>
      <c r="I108" s="11"/>
      <c r="J108" s="12"/>
      <c r="K108" s="12"/>
      <c r="L108" s="11"/>
      <c r="M108" s="11"/>
      <c r="N108" s="11"/>
      <c r="O108" s="11"/>
      <c r="P108" s="11"/>
      <c r="Q108" s="11"/>
    </row>
    <row r="109" spans="1:17">
      <c r="A109" s="10"/>
      <c r="B109" s="10"/>
      <c r="C109" s="11"/>
      <c r="D109" s="10"/>
      <c r="E109" s="11"/>
      <c r="F109" s="11"/>
      <c r="G109" s="11"/>
      <c r="H109" s="11"/>
      <c r="I109" s="11"/>
      <c r="J109" s="12"/>
      <c r="K109" s="12"/>
      <c r="L109" s="11"/>
      <c r="M109" s="11"/>
      <c r="N109" s="11"/>
      <c r="O109" s="11"/>
      <c r="P109" s="11"/>
      <c r="Q109" s="11"/>
    </row>
    <row r="110" spans="1:17">
      <c r="A110" s="10"/>
      <c r="B110" s="10"/>
      <c r="C110" s="11"/>
      <c r="D110" s="10"/>
      <c r="E110" s="11"/>
      <c r="F110" s="11"/>
      <c r="G110" s="11"/>
      <c r="H110" s="11"/>
      <c r="I110" s="11"/>
      <c r="J110" s="12"/>
      <c r="K110" s="12"/>
      <c r="L110" s="11"/>
      <c r="M110" s="11"/>
      <c r="N110" s="11"/>
      <c r="O110" s="11"/>
      <c r="P110" s="11"/>
      <c r="Q110" s="11"/>
    </row>
    <row r="111" spans="1:17">
      <c r="A111" s="10"/>
      <c r="B111" s="10"/>
      <c r="C111" s="11"/>
      <c r="D111" s="10"/>
      <c r="E111" s="11"/>
      <c r="F111" s="11"/>
      <c r="G111" s="11"/>
      <c r="H111" s="11"/>
      <c r="I111" s="11"/>
      <c r="J111" s="12"/>
      <c r="K111" s="12"/>
      <c r="L111" s="11"/>
      <c r="M111" s="11"/>
      <c r="N111" s="11"/>
      <c r="O111" s="11"/>
      <c r="P111" s="11"/>
      <c r="Q111" s="11"/>
    </row>
    <row r="112" spans="1:17">
      <c r="A112" s="10"/>
      <c r="B112" s="10"/>
      <c r="C112" s="11"/>
      <c r="D112" s="10"/>
      <c r="E112" s="11"/>
      <c r="F112" s="11"/>
      <c r="G112" s="11"/>
      <c r="H112" s="11"/>
      <c r="I112" s="11"/>
      <c r="J112" s="12"/>
      <c r="K112" s="12"/>
      <c r="L112" s="11"/>
      <c r="M112" s="11"/>
      <c r="N112" s="11"/>
      <c r="O112" s="11"/>
      <c r="P112" s="11"/>
      <c r="Q112" s="11"/>
    </row>
    <row r="113" spans="1:17">
      <c r="A113" s="10"/>
      <c r="B113" s="10"/>
      <c r="C113" s="11"/>
      <c r="D113" s="10"/>
      <c r="E113" s="11"/>
      <c r="F113" s="11"/>
      <c r="G113" s="11"/>
      <c r="H113" s="11"/>
      <c r="I113" s="11"/>
      <c r="J113" s="12"/>
      <c r="K113" s="12"/>
      <c r="L113" s="11"/>
      <c r="M113" s="11"/>
      <c r="N113" s="11"/>
      <c r="O113" s="11"/>
      <c r="P113" s="11"/>
      <c r="Q113" s="11"/>
    </row>
    <row r="114" spans="1:17">
      <c r="A114" s="10"/>
      <c r="B114" s="10"/>
      <c r="C114" s="11"/>
      <c r="D114" s="10"/>
      <c r="E114" s="11"/>
      <c r="F114" s="11"/>
      <c r="G114" s="11"/>
      <c r="H114" s="11"/>
      <c r="I114" s="11"/>
      <c r="J114" s="12"/>
      <c r="K114" s="12"/>
      <c r="L114" s="11"/>
      <c r="M114" s="11"/>
      <c r="N114" s="11"/>
      <c r="O114" s="11"/>
      <c r="P114" s="11"/>
      <c r="Q114" s="11"/>
    </row>
    <row r="115" spans="1:17">
      <c r="A115" s="10"/>
      <c r="B115" s="10"/>
      <c r="C115" s="11"/>
      <c r="D115" s="10"/>
      <c r="E115" s="11"/>
      <c r="F115" s="11"/>
      <c r="G115" s="11"/>
      <c r="H115" s="11"/>
      <c r="I115" s="11"/>
      <c r="J115" s="12"/>
      <c r="K115" s="12"/>
      <c r="L115" s="11"/>
      <c r="M115" s="11"/>
      <c r="N115" s="11"/>
      <c r="O115" s="11"/>
      <c r="P115" s="11"/>
      <c r="Q115" s="11"/>
    </row>
    <row r="116" spans="1:17">
      <c r="A116" s="10"/>
      <c r="B116" s="10"/>
      <c r="C116" s="11"/>
      <c r="D116" s="10"/>
      <c r="E116" s="11"/>
      <c r="F116" s="11"/>
      <c r="G116" s="11"/>
      <c r="H116" s="11"/>
      <c r="I116" s="11"/>
      <c r="J116" s="12"/>
      <c r="K116" s="12"/>
      <c r="L116" s="11"/>
      <c r="M116" s="11"/>
      <c r="N116" s="11"/>
      <c r="O116" s="11"/>
      <c r="P116" s="11"/>
      <c r="Q116" s="11"/>
    </row>
    <row r="117" spans="1:17">
      <c r="A117" s="10"/>
      <c r="B117" s="10"/>
      <c r="C117" s="11"/>
      <c r="D117" s="10"/>
      <c r="E117" s="11"/>
      <c r="F117" s="11"/>
      <c r="G117" s="11"/>
      <c r="H117" s="11"/>
      <c r="I117" s="11"/>
      <c r="J117" s="12"/>
      <c r="K117" s="12"/>
      <c r="L117" s="11"/>
      <c r="M117" s="11"/>
      <c r="N117" s="11"/>
      <c r="O117" s="11"/>
      <c r="P117" s="11"/>
      <c r="Q117" s="11"/>
    </row>
    <row r="118" spans="1:17">
      <c r="A118" s="10"/>
      <c r="B118" s="10"/>
      <c r="C118" s="11"/>
      <c r="D118" s="10"/>
      <c r="E118" s="11"/>
      <c r="F118" s="11"/>
      <c r="G118" s="11"/>
      <c r="H118" s="11"/>
      <c r="I118" s="11"/>
      <c r="J118" s="12"/>
      <c r="K118" s="12"/>
      <c r="L118" s="11"/>
      <c r="M118" s="11"/>
      <c r="N118" s="11"/>
      <c r="O118" s="11"/>
      <c r="P118" s="11"/>
      <c r="Q118" s="11"/>
    </row>
    <row r="119" spans="1:17">
      <c r="A119" s="10"/>
      <c r="B119" s="10"/>
      <c r="C119" s="11"/>
      <c r="D119" s="10"/>
      <c r="E119" s="11"/>
      <c r="F119" s="11"/>
      <c r="G119" s="11"/>
      <c r="H119" s="11"/>
      <c r="I119" s="11"/>
      <c r="J119" s="12"/>
      <c r="K119" s="12"/>
      <c r="L119" s="11"/>
      <c r="M119" s="11"/>
      <c r="N119" s="11"/>
      <c r="O119" s="11"/>
      <c r="P119" s="11"/>
      <c r="Q119" s="11"/>
    </row>
    <row r="120" spans="1:17">
      <c r="A120" s="10"/>
      <c r="B120" s="10"/>
      <c r="C120" s="11"/>
      <c r="D120" s="10"/>
      <c r="E120" s="11"/>
      <c r="F120" s="11"/>
      <c r="G120" s="11"/>
      <c r="H120" s="11"/>
      <c r="I120" s="11"/>
      <c r="J120" s="12"/>
      <c r="K120" s="12"/>
      <c r="L120" s="11"/>
      <c r="M120" s="11"/>
      <c r="N120" s="11"/>
      <c r="O120" s="11"/>
      <c r="P120" s="11"/>
      <c r="Q120" s="11"/>
    </row>
    <row r="121" spans="1:17">
      <c r="A121" s="10"/>
      <c r="B121" s="10"/>
      <c r="C121" s="11"/>
      <c r="D121" s="10"/>
      <c r="E121" s="11"/>
      <c r="F121" s="11"/>
      <c r="G121" s="11"/>
      <c r="H121" s="11"/>
      <c r="I121" s="11"/>
      <c r="J121" s="12"/>
      <c r="K121" s="12"/>
      <c r="L121" s="11"/>
      <c r="M121" s="11"/>
      <c r="N121" s="11"/>
      <c r="O121" s="11"/>
      <c r="P121" s="11"/>
      <c r="Q121" s="11"/>
    </row>
    <row r="122" spans="1:17">
      <c r="A122" s="10"/>
      <c r="B122" s="10"/>
      <c r="C122" s="11"/>
      <c r="D122" s="10"/>
      <c r="E122" s="11"/>
      <c r="F122" s="11"/>
      <c r="G122" s="11"/>
      <c r="H122" s="11"/>
      <c r="I122" s="11"/>
      <c r="J122" s="12"/>
      <c r="K122" s="12"/>
      <c r="L122" s="11"/>
      <c r="M122" s="11"/>
      <c r="N122" s="11"/>
      <c r="O122" s="11"/>
      <c r="P122" s="11"/>
      <c r="Q122" s="11"/>
    </row>
    <row r="123" spans="1:17">
      <c r="A123" s="10"/>
      <c r="B123" s="10"/>
      <c r="C123" s="11"/>
      <c r="D123" s="10"/>
      <c r="E123" s="11"/>
      <c r="F123" s="11"/>
      <c r="G123" s="11"/>
      <c r="H123" s="11"/>
      <c r="I123" s="11"/>
      <c r="J123" s="12"/>
      <c r="K123" s="12"/>
      <c r="L123" s="11"/>
      <c r="M123" s="11"/>
      <c r="N123" s="11"/>
      <c r="O123" s="11"/>
      <c r="P123" s="11"/>
      <c r="Q123" s="11"/>
    </row>
    <row r="124" spans="1:17">
      <c r="A124" s="10"/>
      <c r="B124" s="10"/>
      <c r="C124" s="11"/>
      <c r="D124" s="10"/>
      <c r="E124" s="11"/>
      <c r="F124" s="11"/>
      <c r="G124" s="11"/>
      <c r="H124" s="11"/>
      <c r="I124" s="11"/>
      <c r="J124" s="12"/>
      <c r="K124" s="12"/>
      <c r="L124" s="11"/>
      <c r="M124" s="11"/>
      <c r="N124" s="11"/>
      <c r="O124" s="11"/>
      <c r="P124" s="11"/>
      <c r="Q124" s="11"/>
    </row>
    <row r="125" spans="1:17">
      <c r="A125" s="10"/>
      <c r="B125" s="10"/>
      <c r="C125" s="11"/>
      <c r="D125" s="10"/>
      <c r="E125" s="11"/>
      <c r="F125" s="11"/>
      <c r="G125" s="11"/>
      <c r="H125" s="11"/>
      <c r="I125" s="11"/>
      <c r="J125" s="12"/>
      <c r="K125" s="12"/>
      <c r="L125" s="11"/>
      <c r="M125" s="11"/>
      <c r="N125" s="11"/>
      <c r="O125" s="11"/>
      <c r="P125" s="11"/>
      <c r="Q125" s="11"/>
    </row>
    <row r="126" spans="1:17">
      <c r="A126" s="10"/>
      <c r="B126" s="10"/>
      <c r="C126" s="11"/>
      <c r="D126" s="10"/>
      <c r="E126" s="11"/>
      <c r="F126" s="11"/>
      <c r="G126" s="11"/>
      <c r="H126" s="11"/>
      <c r="I126" s="11"/>
      <c r="J126" s="12"/>
      <c r="K126" s="12"/>
      <c r="L126" s="11"/>
      <c r="M126" s="11"/>
      <c r="N126" s="11"/>
      <c r="O126" s="11"/>
      <c r="P126" s="11"/>
      <c r="Q126" s="11"/>
    </row>
    <row r="127" spans="1:17">
      <c r="A127" s="10"/>
      <c r="B127" s="10"/>
      <c r="C127" s="11"/>
      <c r="D127" s="10"/>
      <c r="E127" s="11"/>
      <c r="F127" s="11"/>
      <c r="G127" s="11"/>
      <c r="H127" s="11"/>
      <c r="I127" s="11"/>
      <c r="J127" s="12"/>
      <c r="K127" s="12"/>
      <c r="L127" s="11"/>
      <c r="M127" s="11"/>
      <c r="N127" s="11"/>
      <c r="O127" s="11"/>
      <c r="P127" s="11"/>
      <c r="Q127" s="11"/>
    </row>
    <row r="128" spans="1:17">
      <c r="A128" s="10"/>
      <c r="B128" s="10"/>
      <c r="C128" s="11"/>
      <c r="D128" s="10"/>
      <c r="E128" s="11"/>
      <c r="F128" s="11"/>
      <c r="G128" s="11"/>
      <c r="H128" s="11"/>
      <c r="I128" s="11"/>
      <c r="J128" s="12"/>
      <c r="K128" s="12"/>
      <c r="L128" s="11"/>
      <c r="M128" s="11"/>
      <c r="N128" s="11"/>
      <c r="O128" s="11"/>
      <c r="P128" s="11"/>
      <c r="Q128" s="11"/>
    </row>
    <row r="129" spans="1:17">
      <c r="A129" s="10"/>
      <c r="B129" s="10"/>
      <c r="C129" s="11"/>
      <c r="D129" s="10"/>
      <c r="E129" s="11"/>
      <c r="F129" s="11"/>
      <c r="G129" s="11"/>
      <c r="H129" s="11"/>
      <c r="I129" s="11"/>
      <c r="J129" s="12"/>
      <c r="K129" s="12"/>
      <c r="L129" s="11"/>
      <c r="M129" s="11"/>
      <c r="N129" s="11"/>
      <c r="O129" s="11"/>
      <c r="P129" s="11"/>
      <c r="Q129" s="11"/>
    </row>
    <row r="130" spans="1:17">
      <c r="A130" s="10"/>
      <c r="B130" s="10"/>
      <c r="C130" s="11"/>
      <c r="D130" s="10"/>
      <c r="E130" s="11"/>
      <c r="F130" s="11"/>
      <c r="G130" s="11"/>
      <c r="H130" s="11"/>
      <c r="I130" s="11"/>
      <c r="J130" s="12"/>
      <c r="K130" s="12"/>
      <c r="L130" s="11"/>
      <c r="M130" s="11"/>
      <c r="N130" s="11"/>
      <c r="O130" s="11"/>
      <c r="P130" s="11"/>
      <c r="Q130" s="11"/>
    </row>
    <row r="131" spans="1:17">
      <c r="A131" s="10"/>
      <c r="B131" s="10"/>
      <c r="C131" s="11"/>
      <c r="D131" s="10"/>
      <c r="E131" s="11"/>
      <c r="F131" s="11"/>
      <c r="G131" s="11"/>
      <c r="H131" s="11"/>
      <c r="I131" s="11"/>
      <c r="J131" s="12"/>
      <c r="K131" s="12"/>
      <c r="L131" s="11"/>
      <c r="M131" s="11"/>
      <c r="N131" s="11"/>
      <c r="O131" s="11"/>
      <c r="P131" s="11"/>
      <c r="Q131" s="11"/>
    </row>
    <row r="132" spans="1:17">
      <c r="A132" s="10"/>
      <c r="B132" s="10"/>
      <c r="C132" s="11"/>
      <c r="D132" s="10"/>
      <c r="E132" s="11"/>
      <c r="F132" s="11"/>
      <c r="G132" s="11"/>
      <c r="H132" s="11"/>
      <c r="I132" s="11"/>
      <c r="J132" s="12"/>
      <c r="K132" s="12"/>
      <c r="L132" s="11"/>
      <c r="M132" s="11"/>
      <c r="N132" s="11"/>
      <c r="O132" s="11"/>
      <c r="P132" s="11"/>
      <c r="Q132" s="11"/>
    </row>
    <row r="133" spans="1:17">
      <c r="A133" s="10"/>
      <c r="B133" s="10"/>
      <c r="C133" s="11"/>
      <c r="D133" s="10"/>
      <c r="E133" s="11"/>
      <c r="F133" s="11"/>
      <c r="G133" s="11"/>
      <c r="H133" s="11"/>
      <c r="I133" s="11"/>
      <c r="J133" s="12"/>
      <c r="K133" s="12"/>
      <c r="L133" s="11"/>
      <c r="M133" s="11"/>
      <c r="N133" s="11"/>
      <c r="O133" s="11"/>
      <c r="P133" s="11"/>
      <c r="Q133" s="11"/>
    </row>
    <row r="134" spans="1:17">
      <c r="A134" s="10"/>
      <c r="B134" s="10"/>
      <c r="C134" s="11"/>
      <c r="D134" s="10"/>
      <c r="E134" s="11"/>
      <c r="F134" s="11"/>
      <c r="G134" s="11"/>
      <c r="H134" s="11"/>
      <c r="I134" s="11"/>
      <c r="J134" s="12"/>
      <c r="K134" s="12"/>
      <c r="L134" s="11"/>
      <c r="M134" s="11"/>
      <c r="N134" s="11"/>
      <c r="O134" s="11"/>
      <c r="P134" s="11"/>
      <c r="Q134" s="11"/>
    </row>
    <row r="135" spans="1:17">
      <c r="A135" s="10"/>
      <c r="B135" s="10"/>
      <c r="C135" s="11"/>
      <c r="D135" s="10"/>
      <c r="E135" s="11"/>
      <c r="F135" s="11"/>
      <c r="G135" s="11"/>
      <c r="H135" s="11"/>
      <c r="I135" s="11"/>
      <c r="J135" s="12"/>
      <c r="K135" s="12"/>
      <c r="L135" s="11"/>
      <c r="M135" s="11"/>
      <c r="N135" s="11"/>
      <c r="O135" s="11"/>
      <c r="P135" s="11"/>
      <c r="Q135" s="11"/>
    </row>
    <row r="136" spans="1:17">
      <c r="A136" s="10"/>
      <c r="B136" s="10"/>
      <c r="C136" s="11"/>
      <c r="D136" s="10"/>
      <c r="E136" s="11"/>
      <c r="F136" s="11"/>
      <c r="G136" s="11"/>
      <c r="H136" s="11"/>
      <c r="I136" s="11"/>
      <c r="J136" s="12"/>
      <c r="K136" s="12"/>
      <c r="L136" s="11"/>
      <c r="M136" s="11"/>
      <c r="N136" s="11"/>
      <c r="O136" s="11"/>
      <c r="P136" s="11"/>
      <c r="Q136" s="11"/>
    </row>
    <row r="137" spans="1:17">
      <c r="A137" s="10"/>
      <c r="B137" s="10"/>
      <c r="C137" s="11"/>
      <c r="D137" s="10"/>
      <c r="E137" s="11"/>
      <c r="F137" s="11"/>
      <c r="G137" s="11"/>
      <c r="H137" s="11"/>
      <c r="I137" s="11"/>
      <c r="J137" s="12"/>
      <c r="K137" s="12"/>
      <c r="L137" s="11"/>
      <c r="M137" s="11"/>
      <c r="N137" s="11"/>
      <c r="O137" s="11"/>
      <c r="P137" s="11"/>
      <c r="Q137" s="11"/>
    </row>
    <row r="138" spans="1:17">
      <c r="A138" s="10"/>
      <c r="B138" s="10"/>
      <c r="C138" s="11"/>
      <c r="D138" s="10"/>
      <c r="E138" s="11"/>
      <c r="F138" s="11"/>
      <c r="G138" s="11"/>
      <c r="H138" s="11"/>
      <c r="I138" s="11"/>
      <c r="J138" s="12"/>
      <c r="K138" s="12"/>
      <c r="L138" s="11"/>
      <c r="M138" s="11"/>
      <c r="N138" s="11"/>
      <c r="O138" s="11"/>
      <c r="P138" s="11"/>
      <c r="Q138" s="11"/>
    </row>
    <row r="139" spans="1:17">
      <c r="A139" s="10"/>
      <c r="B139" s="10"/>
      <c r="C139" s="11"/>
      <c r="D139" s="10"/>
      <c r="E139" s="11"/>
      <c r="F139" s="11"/>
      <c r="G139" s="11"/>
      <c r="H139" s="11"/>
      <c r="I139" s="11"/>
      <c r="J139" s="12"/>
      <c r="K139" s="12"/>
      <c r="L139" s="11"/>
      <c r="M139" s="11"/>
      <c r="N139" s="11"/>
      <c r="O139" s="11"/>
      <c r="P139" s="11"/>
      <c r="Q139" s="11"/>
    </row>
    <row r="140" spans="1:17">
      <c r="A140" s="10"/>
      <c r="B140" s="10"/>
      <c r="C140" s="11"/>
      <c r="D140" s="10"/>
      <c r="E140" s="11"/>
      <c r="F140" s="11"/>
      <c r="G140" s="11"/>
      <c r="H140" s="11"/>
      <c r="I140" s="11"/>
      <c r="J140" s="12"/>
      <c r="K140" s="12"/>
      <c r="L140" s="11"/>
      <c r="M140" s="11"/>
      <c r="N140" s="11"/>
      <c r="O140" s="11"/>
      <c r="P140" s="11"/>
      <c r="Q140" s="11"/>
    </row>
    <row r="141" spans="1:17">
      <c r="A141" s="10"/>
      <c r="B141" s="10"/>
      <c r="C141" s="11"/>
      <c r="D141" s="10"/>
      <c r="E141" s="11"/>
      <c r="F141" s="11"/>
      <c r="G141" s="11"/>
      <c r="H141" s="11"/>
      <c r="I141" s="11"/>
      <c r="J141" s="12"/>
      <c r="K141" s="12"/>
      <c r="L141" s="11"/>
      <c r="M141" s="11"/>
      <c r="N141" s="11"/>
      <c r="O141" s="11"/>
      <c r="P141" s="11"/>
      <c r="Q141" s="11"/>
    </row>
    <row r="142" spans="1:17">
      <c r="A142" s="10"/>
      <c r="B142" s="10"/>
      <c r="C142" s="11"/>
      <c r="D142" s="10"/>
      <c r="E142" s="11"/>
      <c r="F142" s="11"/>
      <c r="G142" s="11"/>
      <c r="H142" s="11"/>
      <c r="I142" s="11"/>
      <c r="J142" s="12"/>
      <c r="K142" s="12"/>
      <c r="L142" s="11"/>
      <c r="M142" s="11"/>
      <c r="N142" s="11"/>
      <c r="O142" s="11"/>
      <c r="P142" s="11"/>
      <c r="Q142" s="11"/>
    </row>
    <row r="143" spans="1:17">
      <c r="A143" s="10"/>
      <c r="B143" s="10"/>
      <c r="C143" s="11"/>
      <c r="D143" s="10"/>
      <c r="E143" s="11"/>
      <c r="F143" s="11"/>
      <c r="G143" s="11"/>
      <c r="H143" s="11"/>
      <c r="I143" s="11"/>
      <c r="J143" s="12"/>
      <c r="K143" s="12"/>
      <c r="L143" s="11"/>
      <c r="M143" s="11"/>
      <c r="N143" s="11"/>
      <c r="O143" s="11"/>
      <c r="P143" s="11"/>
      <c r="Q143" s="11"/>
    </row>
    <row r="144" spans="1:17">
      <c r="A144" s="10"/>
      <c r="B144" s="10"/>
      <c r="C144" s="11"/>
      <c r="D144" s="10"/>
      <c r="E144" s="11"/>
      <c r="F144" s="11"/>
      <c r="G144" s="11"/>
      <c r="H144" s="11"/>
      <c r="I144" s="11"/>
      <c r="J144" s="12"/>
      <c r="K144" s="12"/>
      <c r="L144" s="11"/>
      <c r="M144" s="11"/>
      <c r="N144" s="11"/>
      <c r="O144" s="11"/>
      <c r="P144" s="11"/>
      <c r="Q144" s="11"/>
    </row>
    <row r="145" spans="1:17">
      <c r="A145" s="10"/>
      <c r="B145" s="10"/>
      <c r="C145" s="11"/>
      <c r="D145" s="10"/>
      <c r="E145" s="11"/>
      <c r="F145" s="11"/>
      <c r="G145" s="11"/>
      <c r="H145" s="11"/>
      <c r="I145" s="11"/>
      <c r="J145" s="12"/>
      <c r="K145" s="12"/>
      <c r="L145" s="11"/>
      <c r="M145" s="11"/>
      <c r="N145" s="11"/>
      <c r="O145" s="11"/>
      <c r="P145" s="11"/>
      <c r="Q145" s="11"/>
    </row>
    <row r="146" spans="1:17">
      <c r="A146" s="10"/>
      <c r="B146" s="10"/>
      <c r="C146" s="11"/>
      <c r="D146" s="10"/>
      <c r="E146" s="11"/>
      <c r="F146" s="11"/>
      <c r="G146" s="11"/>
      <c r="H146" s="11"/>
      <c r="I146" s="11"/>
      <c r="J146" s="12"/>
      <c r="K146" s="12"/>
      <c r="L146" s="11"/>
      <c r="M146" s="11"/>
      <c r="N146" s="11"/>
      <c r="O146" s="11"/>
      <c r="P146" s="11"/>
      <c r="Q146" s="11"/>
    </row>
    <row r="147" spans="1:17">
      <c r="A147" s="10"/>
      <c r="B147" s="10"/>
      <c r="C147" s="11"/>
      <c r="D147" s="10"/>
      <c r="E147" s="11"/>
      <c r="F147" s="11"/>
      <c r="G147" s="11"/>
      <c r="H147" s="11"/>
      <c r="I147" s="11"/>
      <c r="J147" s="12"/>
      <c r="K147" s="12"/>
      <c r="L147" s="11"/>
      <c r="M147" s="11"/>
      <c r="N147" s="11"/>
      <c r="O147" s="11"/>
      <c r="P147" s="11"/>
      <c r="Q147" s="11"/>
    </row>
    <row r="148" spans="1:17">
      <c r="A148" s="10"/>
      <c r="B148" s="10"/>
      <c r="C148" s="11"/>
      <c r="D148" s="10"/>
      <c r="E148" s="11"/>
      <c r="F148" s="11"/>
      <c r="G148" s="11"/>
      <c r="H148" s="11"/>
      <c r="I148" s="11"/>
      <c r="J148" s="12"/>
      <c r="K148" s="12"/>
      <c r="L148" s="11"/>
      <c r="M148" s="11"/>
      <c r="N148" s="11"/>
      <c r="O148" s="11"/>
      <c r="P148" s="11"/>
      <c r="Q148" s="11"/>
    </row>
    <row r="149" spans="1:17">
      <c r="A149" s="10"/>
      <c r="B149" s="10"/>
      <c r="C149" s="11"/>
      <c r="D149" s="10"/>
      <c r="E149" s="11"/>
      <c r="F149" s="11"/>
      <c r="G149" s="11"/>
      <c r="H149" s="11"/>
      <c r="I149" s="11"/>
      <c r="J149" s="12"/>
      <c r="K149" s="12"/>
      <c r="L149" s="11"/>
      <c r="M149" s="11"/>
      <c r="N149" s="11"/>
      <c r="O149" s="11"/>
      <c r="P149" s="11"/>
      <c r="Q149" s="11"/>
    </row>
    <row r="150" spans="1:17">
      <c r="A150" s="10"/>
      <c r="B150" s="10"/>
      <c r="C150" s="11"/>
      <c r="D150" s="10"/>
      <c r="E150" s="11"/>
      <c r="F150" s="11"/>
      <c r="G150" s="11"/>
      <c r="H150" s="11"/>
      <c r="I150" s="11"/>
      <c r="J150" s="12"/>
      <c r="K150" s="12"/>
      <c r="L150" s="11"/>
      <c r="M150" s="11"/>
      <c r="N150" s="11"/>
      <c r="O150" s="11"/>
      <c r="P150" s="11"/>
      <c r="Q150" s="11"/>
    </row>
    <row r="151" spans="1:17">
      <c r="A151" s="10"/>
      <c r="B151" s="10"/>
      <c r="C151" s="11"/>
      <c r="D151" s="10"/>
      <c r="E151" s="11"/>
      <c r="F151" s="11"/>
      <c r="G151" s="11"/>
      <c r="H151" s="11"/>
      <c r="I151" s="11"/>
      <c r="J151" s="12"/>
      <c r="K151" s="12"/>
      <c r="L151" s="11"/>
      <c r="M151" s="11"/>
      <c r="N151" s="11"/>
      <c r="O151" s="11"/>
      <c r="P151" s="11"/>
      <c r="Q151" s="11"/>
    </row>
    <row r="152" spans="1:17">
      <c r="A152" s="10"/>
      <c r="B152" s="10"/>
      <c r="C152" s="11"/>
      <c r="D152" s="10"/>
      <c r="E152" s="11"/>
      <c r="F152" s="11"/>
      <c r="G152" s="11"/>
      <c r="H152" s="11"/>
      <c r="I152" s="11"/>
      <c r="J152" s="12"/>
      <c r="K152" s="12"/>
      <c r="L152" s="11"/>
      <c r="M152" s="11"/>
      <c r="N152" s="11"/>
      <c r="O152" s="11"/>
      <c r="P152" s="11"/>
      <c r="Q152" s="11"/>
    </row>
    <row r="153" spans="1:17">
      <c r="A153" s="10"/>
      <c r="B153" s="10"/>
      <c r="C153" s="11"/>
      <c r="D153" s="10"/>
      <c r="E153" s="11"/>
      <c r="F153" s="11"/>
      <c r="G153" s="11"/>
      <c r="H153" s="11"/>
      <c r="I153" s="11"/>
      <c r="J153" s="12"/>
      <c r="K153" s="12"/>
      <c r="L153" s="11"/>
      <c r="M153" s="11"/>
      <c r="N153" s="11"/>
      <c r="O153" s="11"/>
      <c r="P153" s="11"/>
      <c r="Q153" s="11"/>
    </row>
    <row r="154" spans="1:17">
      <c r="A154" s="10"/>
      <c r="B154" s="10"/>
      <c r="C154" s="11"/>
      <c r="D154" s="10"/>
      <c r="E154" s="11"/>
      <c r="F154" s="11"/>
      <c r="G154" s="11"/>
      <c r="H154" s="11"/>
      <c r="I154" s="11"/>
      <c r="J154" s="12"/>
      <c r="K154" s="12"/>
      <c r="L154" s="11"/>
      <c r="M154" s="11"/>
      <c r="N154" s="11"/>
      <c r="O154" s="11"/>
      <c r="P154" s="11"/>
      <c r="Q154" s="11"/>
    </row>
    <row r="155" spans="1:17">
      <c r="A155" s="10"/>
      <c r="B155" s="10"/>
      <c r="C155" s="11"/>
      <c r="D155" s="10"/>
      <c r="E155" s="11"/>
      <c r="F155" s="11"/>
      <c r="G155" s="11"/>
      <c r="H155" s="11"/>
      <c r="I155" s="11"/>
      <c r="J155" s="12"/>
      <c r="K155" s="12"/>
      <c r="L155" s="11"/>
      <c r="M155" s="11"/>
      <c r="N155" s="11"/>
      <c r="O155" s="11"/>
      <c r="P155" s="11"/>
      <c r="Q155" s="11"/>
    </row>
    <row r="156" spans="1:17">
      <c r="A156" s="10"/>
      <c r="B156" s="10"/>
      <c r="C156" s="11"/>
      <c r="D156" s="10"/>
      <c r="E156" s="11"/>
      <c r="F156" s="11"/>
      <c r="G156" s="11"/>
      <c r="H156" s="11"/>
      <c r="I156" s="11"/>
      <c r="J156" s="12"/>
      <c r="K156" s="12"/>
      <c r="L156" s="11"/>
      <c r="M156" s="11"/>
      <c r="N156" s="11"/>
      <c r="O156" s="11"/>
      <c r="P156" s="11"/>
      <c r="Q156" s="11"/>
    </row>
    <row r="157" spans="1:17">
      <c r="A157" s="10"/>
      <c r="B157" s="10"/>
      <c r="C157" s="11"/>
      <c r="D157" s="10"/>
      <c r="E157" s="11"/>
      <c r="F157" s="11"/>
      <c r="G157" s="11"/>
      <c r="H157" s="11"/>
      <c r="I157" s="11"/>
      <c r="J157" s="12"/>
      <c r="K157" s="12"/>
      <c r="L157" s="11"/>
      <c r="M157" s="11"/>
      <c r="N157" s="11"/>
      <c r="O157" s="11"/>
      <c r="P157" s="11"/>
      <c r="Q157" s="11"/>
    </row>
    <row r="158" spans="1:17">
      <c r="A158" s="10"/>
      <c r="B158" s="10"/>
      <c r="C158" s="11"/>
      <c r="D158" s="10"/>
      <c r="E158" s="11"/>
      <c r="F158" s="11"/>
      <c r="G158" s="11"/>
      <c r="H158" s="11"/>
      <c r="I158" s="11"/>
      <c r="J158" s="12"/>
      <c r="K158" s="12"/>
      <c r="L158" s="11"/>
      <c r="M158" s="11"/>
      <c r="N158" s="11"/>
      <c r="O158" s="11"/>
      <c r="P158" s="11"/>
      <c r="Q158" s="11"/>
    </row>
    <row r="159" spans="1:17">
      <c r="A159" s="10"/>
      <c r="B159" s="10"/>
      <c r="C159" s="11"/>
      <c r="D159" s="10"/>
      <c r="E159" s="11"/>
      <c r="F159" s="11"/>
      <c r="G159" s="11"/>
      <c r="H159" s="11"/>
      <c r="I159" s="11"/>
      <c r="J159" s="12"/>
      <c r="K159" s="12"/>
      <c r="L159" s="11"/>
      <c r="M159" s="11"/>
      <c r="N159" s="11"/>
      <c r="O159" s="11"/>
      <c r="P159" s="11"/>
      <c r="Q159" s="11"/>
    </row>
    <row r="160" spans="1:17">
      <c r="A160" s="10"/>
      <c r="B160" s="10"/>
      <c r="C160" s="11"/>
      <c r="D160" s="10"/>
      <c r="E160" s="11"/>
      <c r="F160" s="11"/>
      <c r="G160" s="11"/>
      <c r="H160" s="11"/>
      <c r="I160" s="11"/>
      <c r="J160" s="12"/>
      <c r="K160" s="12"/>
      <c r="L160" s="11"/>
      <c r="M160" s="11"/>
      <c r="N160" s="11"/>
      <c r="O160" s="11"/>
      <c r="P160" s="11"/>
      <c r="Q160" s="11"/>
    </row>
    <row r="161" spans="1:17">
      <c r="A161" s="10"/>
      <c r="B161" s="10"/>
      <c r="C161" s="11"/>
      <c r="D161" s="10"/>
      <c r="E161" s="11"/>
      <c r="F161" s="11"/>
      <c r="G161" s="11"/>
      <c r="H161" s="11"/>
      <c r="I161" s="11"/>
      <c r="J161" s="12"/>
      <c r="K161" s="12"/>
      <c r="L161" s="11"/>
      <c r="M161" s="11"/>
      <c r="N161" s="11"/>
      <c r="O161" s="11"/>
      <c r="P161" s="11"/>
      <c r="Q161" s="11"/>
    </row>
    <row r="162" spans="1:17">
      <c r="A162" s="10"/>
      <c r="B162" s="10"/>
      <c r="C162" s="11"/>
      <c r="D162" s="10"/>
      <c r="E162" s="11"/>
      <c r="F162" s="11"/>
      <c r="G162" s="11"/>
      <c r="H162" s="11"/>
      <c r="I162" s="11"/>
      <c r="J162" s="12"/>
      <c r="K162" s="12"/>
      <c r="L162" s="11"/>
      <c r="M162" s="11"/>
      <c r="N162" s="11"/>
      <c r="O162" s="11"/>
      <c r="P162" s="11"/>
      <c r="Q162" s="11"/>
    </row>
    <row r="163" spans="1:17">
      <c r="A163" s="10"/>
      <c r="B163" s="10"/>
      <c r="C163" s="11"/>
      <c r="D163" s="10"/>
      <c r="E163" s="11"/>
      <c r="F163" s="11"/>
      <c r="G163" s="11"/>
      <c r="H163" s="11"/>
      <c r="I163" s="11"/>
      <c r="J163" s="12"/>
      <c r="K163" s="12"/>
      <c r="L163" s="11"/>
      <c r="M163" s="11"/>
      <c r="N163" s="11"/>
      <c r="O163" s="11"/>
      <c r="P163" s="11"/>
      <c r="Q163" s="11"/>
    </row>
    <row r="164" spans="1:17">
      <c r="A164" s="10"/>
      <c r="B164" s="10"/>
      <c r="C164" s="11"/>
      <c r="D164" s="10"/>
      <c r="E164" s="11"/>
      <c r="F164" s="11"/>
      <c r="G164" s="11"/>
      <c r="H164" s="11"/>
      <c r="I164" s="11"/>
      <c r="J164" s="12"/>
      <c r="K164" s="12"/>
      <c r="L164" s="11"/>
      <c r="M164" s="11"/>
      <c r="N164" s="11"/>
      <c r="O164" s="11"/>
      <c r="P164" s="11"/>
      <c r="Q164" s="11"/>
    </row>
    <row r="165" spans="1:17">
      <c r="A165" s="10"/>
      <c r="B165" s="10"/>
      <c r="C165" s="11"/>
      <c r="D165" s="10"/>
      <c r="E165" s="11"/>
      <c r="F165" s="11"/>
      <c r="G165" s="11"/>
      <c r="H165" s="11"/>
      <c r="I165" s="11"/>
      <c r="J165" s="12"/>
      <c r="K165" s="12"/>
      <c r="L165" s="11"/>
      <c r="M165" s="11"/>
      <c r="N165" s="11"/>
      <c r="O165" s="11"/>
      <c r="P165" s="11"/>
      <c r="Q165" s="11"/>
    </row>
    <row r="166" spans="1:17">
      <c r="A166" s="10"/>
      <c r="B166" s="10"/>
      <c r="C166" s="11"/>
      <c r="D166" s="10"/>
      <c r="E166" s="11"/>
      <c r="F166" s="11"/>
      <c r="G166" s="11"/>
      <c r="H166" s="11"/>
      <c r="I166" s="11"/>
      <c r="J166" s="12"/>
      <c r="K166" s="12"/>
      <c r="L166" s="11"/>
      <c r="M166" s="11"/>
      <c r="N166" s="11"/>
      <c r="O166" s="11"/>
      <c r="P166" s="11"/>
      <c r="Q166" s="11"/>
    </row>
    <row r="167" spans="1:17">
      <c r="A167" s="10"/>
      <c r="B167" s="10"/>
      <c r="C167" s="11"/>
      <c r="D167" s="10"/>
      <c r="E167" s="11"/>
      <c r="F167" s="11"/>
      <c r="G167" s="11"/>
      <c r="H167" s="11"/>
      <c r="I167" s="11"/>
      <c r="J167" s="12"/>
      <c r="K167" s="12"/>
      <c r="L167" s="11"/>
      <c r="M167" s="11"/>
      <c r="N167" s="11"/>
      <c r="O167" s="11"/>
      <c r="P167" s="11"/>
      <c r="Q167" s="11"/>
    </row>
    <row r="168" spans="1:17">
      <c r="A168" s="10"/>
      <c r="B168" s="10"/>
      <c r="C168" s="11"/>
      <c r="D168" s="10"/>
      <c r="E168" s="11"/>
      <c r="F168" s="11"/>
      <c r="G168" s="11"/>
      <c r="H168" s="11"/>
      <c r="I168" s="11"/>
      <c r="J168" s="12"/>
      <c r="K168" s="12"/>
      <c r="L168" s="11"/>
      <c r="M168" s="11"/>
      <c r="N168" s="11"/>
      <c r="O168" s="11"/>
      <c r="P168" s="11"/>
      <c r="Q168" s="11"/>
    </row>
    <row r="169" spans="1:17">
      <c r="A169" s="10"/>
      <c r="B169" s="10"/>
      <c r="C169" s="11"/>
      <c r="D169" s="10"/>
      <c r="E169" s="11"/>
      <c r="F169" s="11"/>
      <c r="G169" s="11"/>
      <c r="H169" s="11"/>
      <c r="I169" s="11"/>
      <c r="J169" s="12"/>
      <c r="K169" s="12"/>
      <c r="L169" s="11"/>
      <c r="M169" s="11"/>
      <c r="N169" s="11"/>
      <c r="O169" s="11"/>
      <c r="P169" s="11"/>
      <c r="Q169" s="11"/>
    </row>
    <row r="170" spans="1:17">
      <c r="A170" s="10"/>
      <c r="B170" s="10"/>
      <c r="C170" s="11"/>
      <c r="D170" s="10"/>
      <c r="E170" s="11"/>
      <c r="F170" s="11"/>
      <c r="G170" s="11"/>
      <c r="H170" s="11"/>
      <c r="I170" s="11"/>
      <c r="J170" s="12"/>
      <c r="K170" s="12"/>
      <c r="L170" s="11"/>
      <c r="M170" s="11"/>
      <c r="N170" s="11"/>
      <c r="O170" s="11"/>
      <c r="P170" s="11"/>
      <c r="Q170" s="11"/>
    </row>
    <row r="171" spans="1:17">
      <c r="A171" s="10"/>
      <c r="B171" s="10"/>
      <c r="C171" s="11"/>
      <c r="D171" s="10"/>
      <c r="E171" s="11"/>
      <c r="F171" s="11"/>
      <c r="G171" s="11"/>
      <c r="H171" s="11"/>
      <c r="I171" s="11"/>
      <c r="J171" s="12"/>
      <c r="K171" s="12"/>
      <c r="L171" s="11"/>
      <c r="M171" s="11"/>
      <c r="N171" s="11"/>
      <c r="O171" s="11"/>
      <c r="P171" s="11"/>
      <c r="Q171" s="11"/>
    </row>
    <row r="172" spans="1:17">
      <c r="A172" s="10"/>
      <c r="B172" s="10"/>
      <c r="C172" s="11"/>
      <c r="D172" s="10"/>
      <c r="E172" s="11"/>
      <c r="F172" s="11"/>
      <c r="G172" s="11"/>
      <c r="H172" s="11"/>
      <c r="I172" s="11"/>
      <c r="J172" s="12"/>
      <c r="K172" s="12"/>
      <c r="L172" s="11"/>
      <c r="M172" s="11"/>
      <c r="N172" s="11"/>
      <c r="O172" s="11"/>
      <c r="P172" s="11"/>
      <c r="Q172" s="11"/>
    </row>
    <row r="173" spans="1:17">
      <c r="A173" s="10"/>
      <c r="B173" s="10"/>
      <c r="C173" s="11"/>
      <c r="D173" s="10"/>
      <c r="E173" s="11"/>
      <c r="F173" s="11"/>
      <c r="G173" s="11"/>
      <c r="H173" s="11"/>
      <c r="I173" s="11"/>
      <c r="J173" s="12"/>
      <c r="K173" s="12"/>
      <c r="L173" s="11"/>
      <c r="M173" s="11"/>
      <c r="N173" s="11"/>
      <c r="O173" s="11"/>
      <c r="P173" s="11"/>
      <c r="Q173" s="11"/>
    </row>
    <row r="174" spans="1:17">
      <c r="A174" s="10"/>
      <c r="B174" s="10"/>
      <c r="C174" s="11"/>
      <c r="D174" s="10"/>
      <c r="E174" s="11"/>
      <c r="F174" s="11"/>
      <c r="G174" s="11"/>
      <c r="H174" s="11"/>
      <c r="I174" s="11"/>
      <c r="J174" s="12"/>
      <c r="K174" s="12"/>
      <c r="L174" s="11"/>
      <c r="M174" s="11"/>
      <c r="N174" s="11"/>
      <c r="O174" s="11"/>
      <c r="P174" s="11"/>
      <c r="Q174" s="11"/>
    </row>
    <row r="175" spans="1:17">
      <c r="A175" s="10"/>
      <c r="B175" s="10"/>
      <c r="C175" s="11"/>
      <c r="D175" s="10"/>
      <c r="E175" s="11"/>
      <c r="F175" s="11"/>
      <c r="G175" s="11"/>
      <c r="H175" s="11"/>
      <c r="I175" s="11"/>
      <c r="J175" s="12"/>
      <c r="K175" s="12"/>
      <c r="L175" s="11"/>
      <c r="M175" s="11"/>
      <c r="N175" s="11"/>
      <c r="O175" s="11"/>
      <c r="P175" s="11"/>
      <c r="Q175" s="11"/>
    </row>
    <row r="176" spans="1:17">
      <c r="A176" s="10"/>
      <c r="B176" s="10"/>
      <c r="C176" s="11"/>
      <c r="D176" s="10"/>
      <c r="E176" s="11"/>
      <c r="F176" s="11"/>
      <c r="G176" s="11"/>
      <c r="H176" s="11"/>
      <c r="I176" s="11"/>
      <c r="J176" s="12"/>
      <c r="K176" s="12"/>
      <c r="L176" s="11"/>
      <c r="M176" s="11"/>
      <c r="N176" s="11"/>
      <c r="O176" s="11"/>
      <c r="P176" s="11"/>
      <c r="Q176" s="11"/>
    </row>
    <row r="177" spans="1:17">
      <c r="A177" s="10"/>
      <c r="B177" s="10"/>
      <c r="C177" s="11"/>
      <c r="D177" s="10"/>
      <c r="E177" s="11"/>
      <c r="F177" s="11"/>
      <c r="G177" s="11"/>
      <c r="H177" s="11"/>
      <c r="I177" s="11"/>
      <c r="J177" s="12"/>
      <c r="K177" s="12"/>
      <c r="L177" s="11"/>
      <c r="M177" s="11"/>
      <c r="N177" s="11"/>
      <c r="O177" s="11"/>
      <c r="P177" s="11"/>
      <c r="Q177" s="11"/>
    </row>
    <row r="178" spans="1:17">
      <c r="A178" s="10"/>
      <c r="B178" s="10"/>
      <c r="C178" s="11"/>
      <c r="D178" s="10"/>
      <c r="E178" s="11"/>
      <c r="F178" s="11"/>
      <c r="G178" s="11"/>
      <c r="H178" s="11"/>
      <c r="I178" s="11"/>
      <c r="J178" s="12"/>
      <c r="K178" s="12"/>
      <c r="L178" s="11"/>
      <c r="M178" s="11"/>
      <c r="N178" s="11"/>
      <c r="O178" s="11"/>
      <c r="P178" s="11"/>
      <c r="Q178" s="11"/>
    </row>
    <row r="179" spans="1:17">
      <c r="A179" s="10"/>
      <c r="B179" s="10"/>
      <c r="C179" s="11"/>
      <c r="D179" s="10"/>
      <c r="E179" s="11"/>
      <c r="F179" s="11"/>
      <c r="G179" s="11"/>
      <c r="H179" s="11"/>
      <c r="I179" s="11"/>
      <c r="J179" s="12"/>
      <c r="K179" s="12"/>
      <c r="L179" s="11"/>
      <c r="M179" s="11"/>
      <c r="N179" s="11"/>
      <c r="O179" s="11"/>
      <c r="P179" s="11"/>
      <c r="Q179" s="11"/>
    </row>
    <row r="180" spans="1:17">
      <c r="A180" s="10"/>
      <c r="B180" s="10"/>
      <c r="C180" s="11"/>
      <c r="D180" s="10"/>
      <c r="E180" s="11"/>
      <c r="F180" s="11"/>
      <c r="G180" s="11"/>
      <c r="H180" s="11"/>
      <c r="I180" s="11"/>
      <c r="J180" s="12"/>
      <c r="K180" s="12"/>
      <c r="L180" s="11"/>
      <c r="M180" s="11"/>
      <c r="N180" s="11"/>
      <c r="O180" s="11"/>
      <c r="P180" s="11"/>
      <c r="Q180" s="11"/>
    </row>
    <row r="181" spans="1:17">
      <c r="A181" s="10"/>
      <c r="B181" s="10"/>
      <c r="C181" s="11"/>
      <c r="D181" s="10"/>
      <c r="E181" s="11"/>
      <c r="F181" s="11"/>
      <c r="G181" s="11"/>
      <c r="H181" s="11"/>
      <c r="I181" s="11"/>
      <c r="J181" s="12"/>
      <c r="K181" s="12"/>
      <c r="L181" s="11"/>
      <c r="M181" s="11"/>
      <c r="N181" s="11"/>
      <c r="O181" s="11"/>
      <c r="P181" s="11"/>
      <c r="Q181" s="11"/>
    </row>
    <row r="182" spans="1:17">
      <c r="A182" s="10"/>
      <c r="B182" s="10"/>
      <c r="C182" s="11"/>
      <c r="D182" s="10"/>
      <c r="E182" s="11"/>
      <c r="F182" s="11"/>
      <c r="G182" s="11"/>
      <c r="H182" s="11"/>
      <c r="I182" s="11"/>
      <c r="J182" s="12"/>
      <c r="K182" s="12"/>
      <c r="L182" s="11"/>
      <c r="M182" s="11"/>
      <c r="N182" s="11"/>
      <c r="O182" s="11"/>
      <c r="P182" s="11"/>
      <c r="Q182" s="11"/>
    </row>
    <row r="183" spans="1:17">
      <c r="A183" s="10"/>
      <c r="B183" s="10"/>
      <c r="C183" s="11"/>
      <c r="D183" s="10"/>
      <c r="E183" s="11"/>
      <c r="F183" s="11"/>
      <c r="G183" s="11"/>
      <c r="H183" s="11"/>
      <c r="I183" s="11"/>
      <c r="J183" s="12"/>
      <c r="K183" s="12"/>
      <c r="L183" s="11"/>
      <c r="M183" s="11"/>
      <c r="N183" s="11"/>
      <c r="O183" s="11"/>
      <c r="P183" s="11"/>
      <c r="Q183" s="11"/>
    </row>
    <row r="184" spans="1:17">
      <c r="A184" s="10"/>
      <c r="B184" s="10"/>
      <c r="C184" s="11"/>
      <c r="D184" s="10"/>
      <c r="E184" s="11"/>
      <c r="F184" s="11"/>
      <c r="G184" s="11"/>
      <c r="H184" s="11"/>
      <c r="I184" s="11"/>
      <c r="J184" s="12"/>
      <c r="K184" s="12"/>
      <c r="L184" s="11"/>
      <c r="M184" s="11"/>
      <c r="N184" s="11"/>
      <c r="O184" s="11"/>
      <c r="P184" s="11"/>
      <c r="Q184" s="11"/>
    </row>
    <row r="185" spans="1:17">
      <c r="A185" s="10"/>
      <c r="B185" s="10"/>
      <c r="C185" s="11"/>
      <c r="D185" s="10"/>
      <c r="E185" s="11"/>
      <c r="F185" s="11"/>
      <c r="G185" s="11"/>
      <c r="H185" s="11"/>
      <c r="I185" s="11"/>
      <c r="J185" s="12"/>
      <c r="K185" s="12"/>
      <c r="L185" s="11"/>
      <c r="M185" s="11"/>
      <c r="N185" s="11"/>
      <c r="O185" s="11"/>
      <c r="P185" s="11"/>
      <c r="Q185" s="11"/>
    </row>
    <row r="186" spans="1:17">
      <c r="A186" s="10"/>
      <c r="B186" s="10"/>
      <c r="C186" s="11"/>
      <c r="D186" s="10"/>
      <c r="E186" s="11"/>
      <c r="F186" s="11"/>
      <c r="G186" s="11"/>
      <c r="H186" s="11"/>
      <c r="I186" s="11"/>
      <c r="J186" s="12"/>
      <c r="K186" s="12"/>
      <c r="L186" s="11"/>
      <c r="M186" s="11"/>
      <c r="N186" s="11"/>
      <c r="O186" s="11"/>
      <c r="P186" s="11"/>
      <c r="Q186" s="11"/>
    </row>
    <row r="187" spans="1:17">
      <c r="A187" s="10"/>
      <c r="B187" s="10"/>
      <c r="C187" s="11"/>
      <c r="D187" s="10"/>
      <c r="E187" s="11"/>
      <c r="F187" s="11"/>
      <c r="G187" s="11"/>
      <c r="H187" s="11"/>
      <c r="I187" s="11"/>
      <c r="J187" s="12"/>
      <c r="K187" s="12"/>
      <c r="L187" s="11"/>
      <c r="M187" s="11"/>
      <c r="N187" s="11"/>
      <c r="O187" s="11"/>
      <c r="P187" s="11"/>
      <c r="Q187" s="11"/>
    </row>
    <row r="188" spans="1:17">
      <c r="A188" s="10"/>
      <c r="B188" s="10"/>
      <c r="C188" s="11"/>
      <c r="D188" s="10"/>
      <c r="E188" s="11"/>
      <c r="F188" s="11"/>
      <c r="G188" s="11"/>
      <c r="H188" s="11"/>
      <c r="I188" s="11"/>
      <c r="J188" s="12"/>
      <c r="K188" s="12"/>
      <c r="L188" s="11"/>
      <c r="M188" s="11"/>
      <c r="N188" s="11"/>
      <c r="O188" s="11"/>
      <c r="P188" s="11"/>
      <c r="Q188" s="11"/>
    </row>
    <row r="189" spans="1:17">
      <c r="A189" s="10"/>
      <c r="B189" s="10"/>
      <c r="C189" s="11"/>
      <c r="D189" s="10"/>
      <c r="E189" s="11"/>
      <c r="F189" s="11"/>
      <c r="G189" s="11"/>
      <c r="H189" s="11"/>
      <c r="I189" s="11"/>
      <c r="J189" s="12"/>
      <c r="K189" s="12"/>
      <c r="L189" s="11"/>
      <c r="M189" s="11"/>
      <c r="N189" s="11"/>
      <c r="O189" s="11"/>
      <c r="P189" s="11"/>
      <c r="Q189" s="11"/>
    </row>
    <row r="190" spans="1:17">
      <c r="A190" s="10"/>
      <c r="B190" s="10"/>
      <c r="C190" s="11"/>
      <c r="D190" s="10"/>
      <c r="E190" s="11"/>
      <c r="F190" s="11"/>
      <c r="G190" s="11"/>
      <c r="H190" s="11"/>
      <c r="I190" s="11"/>
      <c r="J190" s="12"/>
      <c r="K190" s="12"/>
      <c r="L190" s="11"/>
      <c r="M190" s="11"/>
      <c r="N190" s="11"/>
      <c r="O190" s="11"/>
      <c r="P190" s="11"/>
      <c r="Q190" s="11"/>
    </row>
    <row r="191" spans="1:17">
      <c r="A191" s="10"/>
      <c r="B191" s="10"/>
      <c r="C191" s="11"/>
      <c r="D191" s="10"/>
      <c r="E191" s="11"/>
      <c r="F191" s="11"/>
      <c r="G191" s="11"/>
      <c r="H191" s="11"/>
      <c r="I191" s="11"/>
      <c r="J191" s="12"/>
      <c r="K191" s="12"/>
      <c r="L191" s="11"/>
      <c r="M191" s="11"/>
      <c r="N191" s="11"/>
      <c r="O191" s="11"/>
      <c r="P191" s="11"/>
      <c r="Q191" s="11"/>
    </row>
    <row r="192" spans="1:17">
      <c r="A192" s="10"/>
      <c r="B192" s="10"/>
      <c r="C192" s="11"/>
      <c r="D192" s="10"/>
      <c r="E192" s="11"/>
      <c r="F192" s="11"/>
      <c r="G192" s="11"/>
      <c r="H192" s="11"/>
      <c r="I192" s="11"/>
      <c r="J192" s="12"/>
      <c r="K192" s="12"/>
      <c r="L192" s="11"/>
      <c r="M192" s="11"/>
      <c r="N192" s="11"/>
      <c r="O192" s="11"/>
      <c r="P192" s="11"/>
      <c r="Q192" s="11"/>
    </row>
    <row r="193" spans="1:17">
      <c r="A193" s="10"/>
      <c r="B193" s="10"/>
      <c r="C193" s="11"/>
      <c r="D193" s="10"/>
      <c r="E193" s="11"/>
      <c r="F193" s="11"/>
      <c r="G193" s="11"/>
      <c r="H193" s="11"/>
      <c r="I193" s="11"/>
      <c r="J193" s="12"/>
      <c r="K193" s="12"/>
      <c r="L193" s="11"/>
      <c r="M193" s="11"/>
      <c r="N193" s="11"/>
      <c r="O193" s="11"/>
      <c r="P193" s="11"/>
      <c r="Q193" s="11"/>
    </row>
    <row r="194" spans="1:17">
      <c r="A194" s="10"/>
      <c r="B194" s="10"/>
      <c r="C194" s="11"/>
      <c r="D194" s="10"/>
      <c r="E194" s="11"/>
      <c r="F194" s="11"/>
      <c r="G194" s="11"/>
      <c r="H194" s="11"/>
      <c r="I194" s="11"/>
      <c r="J194" s="12"/>
      <c r="K194" s="12"/>
      <c r="L194" s="11"/>
      <c r="M194" s="11"/>
      <c r="N194" s="11"/>
      <c r="O194" s="11"/>
      <c r="P194" s="11"/>
      <c r="Q194" s="11"/>
    </row>
    <row r="195" spans="1:17">
      <c r="A195" s="10"/>
      <c r="B195" s="10"/>
      <c r="C195" s="11"/>
      <c r="D195" s="10"/>
      <c r="E195" s="11"/>
      <c r="F195" s="11"/>
      <c r="G195" s="11"/>
      <c r="H195" s="11"/>
      <c r="I195" s="11"/>
      <c r="J195" s="12"/>
      <c r="K195" s="12"/>
      <c r="L195" s="11"/>
      <c r="M195" s="11"/>
      <c r="N195" s="11"/>
      <c r="O195" s="11"/>
      <c r="P195" s="11"/>
      <c r="Q195"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CAA35-020A-4754-A337-C1D8D067853C}">
  <sheetPr codeName="Sheet24"/>
  <dimension ref="A1:J23"/>
  <sheetViews>
    <sheetView topLeftCell="A5" workbookViewId="0">
      <selection activeCell="A13" sqref="A13"/>
    </sheetView>
  </sheetViews>
  <sheetFormatPr defaultColWidth="8.85546875" defaultRowHeight="12.75"/>
  <cols>
    <col min="1" max="1" width="8.85546875" style="2"/>
    <col min="2" max="2" width="40.85546875" style="2" bestFit="1" customWidth="1"/>
    <col min="3" max="4" width="13.85546875" style="2" bestFit="1" customWidth="1"/>
    <col min="5" max="6" width="12.85546875" style="2" bestFit="1" customWidth="1"/>
    <col min="7" max="8" width="13.85546875" style="2" bestFit="1" customWidth="1"/>
    <col min="9" max="9" width="11.85546875" style="2" bestFit="1" customWidth="1"/>
    <col min="10" max="16384" width="8.85546875" style="2"/>
  </cols>
  <sheetData>
    <row r="1" spans="1:10">
      <c r="A1" s="1" t="s">
        <v>0</v>
      </c>
      <c r="B1" s="850" t="s">
        <v>494</v>
      </c>
      <c r="C1" s="850"/>
      <c r="D1" s="850"/>
      <c r="E1" s="850"/>
      <c r="F1" s="850"/>
      <c r="G1" s="850"/>
      <c r="H1" s="850"/>
      <c r="I1" s="850"/>
      <c r="J1" s="850"/>
    </row>
    <row r="2" spans="1:10">
      <c r="A2" s="1" t="s">
        <v>2</v>
      </c>
      <c r="B2" s="852">
        <v>45473</v>
      </c>
      <c r="C2" s="850"/>
      <c r="D2" s="850"/>
      <c r="E2" s="850"/>
      <c r="F2" s="850"/>
      <c r="G2" s="850"/>
      <c r="H2" s="850"/>
      <c r="I2" s="850"/>
      <c r="J2" s="850"/>
    </row>
    <row r="3" spans="1:10">
      <c r="A3" s="3" t="s">
        <v>495</v>
      </c>
      <c r="B3" s="850"/>
      <c r="C3" s="850"/>
      <c r="D3" s="850"/>
      <c r="E3" s="850"/>
      <c r="F3" s="850"/>
      <c r="G3" s="850"/>
      <c r="H3" s="850"/>
      <c r="I3" s="850"/>
      <c r="J3" s="850"/>
    </row>
    <row r="5" spans="1:10">
      <c r="A5" s="850" t="s">
        <v>4</v>
      </c>
      <c r="B5" s="850" t="s">
        <v>5</v>
      </c>
      <c r="C5" s="850" t="s">
        <v>6</v>
      </c>
      <c r="D5" s="850"/>
      <c r="E5" s="850" t="s">
        <v>7</v>
      </c>
      <c r="F5" s="850"/>
      <c r="G5" s="850" t="s">
        <v>8</v>
      </c>
      <c r="H5" s="850"/>
      <c r="I5" s="850"/>
      <c r="J5" s="850"/>
    </row>
    <row r="6" spans="1:10">
      <c r="A6" s="850"/>
      <c r="B6" s="850"/>
      <c r="C6" s="850" t="s">
        <v>11</v>
      </c>
      <c r="D6" s="850" t="s">
        <v>12</v>
      </c>
      <c r="E6" s="850" t="s">
        <v>11</v>
      </c>
      <c r="F6" s="850" t="s">
        <v>12</v>
      </c>
      <c r="G6" s="850" t="s">
        <v>11</v>
      </c>
      <c r="H6" s="850" t="s">
        <v>12</v>
      </c>
      <c r="I6" s="850" t="s">
        <v>496</v>
      </c>
      <c r="J6" s="850" t="s">
        <v>497</v>
      </c>
    </row>
    <row r="7" spans="1:10" ht="13.5">
      <c r="A7" s="80" t="s">
        <v>17</v>
      </c>
      <c r="B7" s="81" t="s">
        <v>18</v>
      </c>
      <c r="C7" s="617">
        <v>15781400</v>
      </c>
      <c r="D7" s="82">
        <v>0</v>
      </c>
      <c r="E7" s="82">
        <v>13889</v>
      </c>
      <c r="F7" s="617">
        <v>4090000</v>
      </c>
      <c r="G7" s="617">
        <v>11705289</v>
      </c>
      <c r="H7" s="82">
        <v>0</v>
      </c>
      <c r="I7" s="857">
        <f t="shared" ref="I7:I23" si="0">G7-H7</f>
        <v>11705289</v>
      </c>
      <c r="J7" s="850"/>
    </row>
    <row r="8" spans="1:10" ht="13.5">
      <c r="A8" s="83" t="s">
        <v>19</v>
      </c>
      <c r="B8" s="84" t="s">
        <v>16</v>
      </c>
      <c r="C8" s="618">
        <v>15781400</v>
      </c>
      <c r="D8" s="85">
        <v>0</v>
      </c>
      <c r="E8" s="85">
        <v>13889</v>
      </c>
      <c r="F8" s="618">
        <v>4090000</v>
      </c>
      <c r="G8" s="618">
        <v>11705289</v>
      </c>
      <c r="H8" s="85">
        <v>0</v>
      </c>
      <c r="I8" s="857">
        <f t="shared" si="0"/>
        <v>11705289</v>
      </c>
      <c r="J8" s="850"/>
    </row>
    <row r="9" spans="1:10" ht="13.5">
      <c r="A9" s="80" t="s">
        <v>49</v>
      </c>
      <c r="B9" s="81" t="s">
        <v>50</v>
      </c>
      <c r="C9" s="617">
        <v>198100</v>
      </c>
      <c r="D9" s="82">
        <v>0</v>
      </c>
      <c r="E9" s="82">
        <v>0</v>
      </c>
      <c r="F9" s="617">
        <v>0</v>
      </c>
      <c r="G9" s="617">
        <v>198100</v>
      </c>
      <c r="H9" s="82">
        <v>0</v>
      </c>
      <c r="I9" s="857">
        <f t="shared" si="0"/>
        <v>198100</v>
      </c>
      <c r="J9" s="850"/>
    </row>
    <row r="10" spans="1:10" ht="13.5">
      <c r="A10" s="83" t="s">
        <v>51</v>
      </c>
      <c r="B10" s="84" t="s">
        <v>52</v>
      </c>
      <c r="C10" s="618">
        <v>198100</v>
      </c>
      <c r="D10" s="85">
        <v>0</v>
      </c>
      <c r="E10" s="85">
        <v>0</v>
      </c>
      <c r="F10" s="618">
        <v>0</v>
      </c>
      <c r="G10" s="618">
        <v>198100</v>
      </c>
      <c r="H10" s="85">
        <v>0</v>
      </c>
      <c r="I10" s="857">
        <f t="shared" si="0"/>
        <v>198100</v>
      </c>
      <c r="J10" s="850"/>
    </row>
    <row r="11" spans="1:10" ht="13.5">
      <c r="A11" s="80" t="s">
        <v>128</v>
      </c>
      <c r="B11" s="81" t="s">
        <v>129</v>
      </c>
      <c r="C11" s="617">
        <v>0</v>
      </c>
      <c r="D11" s="82">
        <v>0</v>
      </c>
      <c r="E11" s="82">
        <v>2000000</v>
      </c>
      <c r="F11" s="617">
        <v>2000000</v>
      </c>
      <c r="G11" s="617">
        <v>0</v>
      </c>
      <c r="H11" s="82">
        <v>0</v>
      </c>
      <c r="I11" s="857">
        <f t="shared" si="0"/>
        <v>0</v>
      </c>
      <c r="J11" s="850"/>
    </row>
    <row r="12" spans="1:10" ht="13.5">
      <c r="A12" s="83" t="s">
        <v>146</v>
      </c>
      <c r="B12" s="84" t="s">
        <v>147</v>
      </c>
      <c r="C12" s="618">
        <v>0</v>
      </c>
      <c r="D12" s="85">
        <v>0</v>
      </c>
      <c r="E12" s="85">
        <v>2000000</v>
      </c>
      <c r="F12" s="618">
        <v>2000000</v>
      </c>
      <c r="G12" s="618">
        <v>0</v>
      </c>
      <c r="H12" s="85">
        <v>0</v>
      </c>
      <c r="I12" s="857">
        <f t="shared" si="0"/>
        <v>0</v>
      </c>
      <c r="J12" s="850"/>
    </row>
    <row r="13" spans="1:10" ht="13.5">
      <c r="A13" s="80" t="s">
        <v>203</v>
      </c>
      <c r="B13" s="81" t="s">
        <v>204</v>
      </c>
      <c r="C13" s="617">
        <v>0</v>
      </c>
      <c r="D13" s="82">
        <v>20000000</v>
      </c>
      <c r="E13" s="82">
        <v>0</v>
      </c>
      <c r="F13" s="617">
        <v>0</v>
      </c>
      <c r="G13" s="617">
        <v>0</v>
      </c>
      <c r="H13" s="82">
        <v>20000000</v>
      </c>
      <c r="I13" s="857">
        <f t="shared" si="0"/>
        <v>-20000000</v>
      </c>
      <c r="J13" s="850"/>
    </row>
    <row r="14" spans="1:10" ht="13.5">
      <c r="A14" s="80" t="s">
        <v>205</v>
      </c>
      <c r="B14" s="81" t="s">
        <v>206</v>
      </c>
      <c r="C14" s="617">
        <v>0</v>
      </c>
      <c r="D14" s="82">
        <v>20000000</v>
      </c>
      <c r="E14" s="82">
        <v>0</v>
      </c>
      <c r="F14" s="617">
        <v>0</v>
      </c>
      <c r="G14" s="617">
        <v>0</v>
      </c>
      <c r="H14" s="82">
        <v>20000000</v>
      </c>
      <c r="I14" s="857">
        <f t="shared" si="0"/>
        <v>-20000000</v>
      </c>
      <c r="J14" s="850"/>
    </row>
    <row r="15" spans="1:10" ht="13.5">
      <c r="A15" s="83" t="s">
        <v>207</v>
      </c>
      <c r="B15" s="84" t="s">
        <v>208</v>
      </c>
      <c r="C15" s="618">
        <v>0</v>
      </c>
      <c r="D15" s="85">
        <v>20000000</v>
      </c>
      <c r="E15" s="85">
        <v>0</v>
      </c>
      <c r="F15" s="618">
        <v>0</v>
      </c>
      <c r="G15" s="618">
        <v>0</v>
      </c>
      <c r="H15" s="85">
        <v>20000000</v>
      </c>
      <c r="I15" s="857">
        <f t="shared" si="0"/>
        <v>-20000000</v>
      </c>
      <c r="J15" s="850"/>
    </row>
    <row r="16" spans="1:10" ht="13.5">
      <c r="A16" s="80" t="s">
        <v>213</v>
      </c>
      <c r="B16" s="81" t="s">
        <v>214</v>
      </c>
      <c r="C16" s="617">
        <v>4020500</v>
      </c>
      <c r="D16" s="82">
        <v>0</v>
      </c>
      <c r="E16" s="82">
        <v>7941623</v>
      </c>
      <c r="F16" s="617">
        <v>3865512</v>
      </c>
      <c r="G16" s="617">
        <v>8096611</v>
      </c>
      <c r="H16" s="82">
        <v>0</v>
      </c>
      <c r="I16" s="857">
        <f t="shared" si="0"/>
        <v>8096611</v>
      </c>
      <c r="J16" s="850"/>
    </row>
    <row r="17" spans="1:9" ht="13.5">
      <c r="A17" s="83" t="s">
        <v>215</v>
      </c>
      <c r="B17" s="84" t="s">
        <v>216</v>
      </c>
      <c r="C17" s="618">
        <v>157283</v>
      </c>
      <c r="D17" s="85">
        <v>0</v>
      </c>
      <c r="E17" s="85">
        <v>3863217</v>
      </c>
      <c r="F17" s="618">
        <v>0</v>
      </c>
      <c r="G17" s="618">
        <v>4020500</v>
      </c>
      <c r="H17" s="85">
        <v>0</v>
      </c>
      <c r="I17" s="857">
        <f t="shared" si="0"/>
        <v>4020500</v>
      </c>
    </row>
    <row r="18" spans="1:9" ht="13.5">
      <c r="A18" s="83" t="s">
        <v>217</v>
      </c>
      <c r="B18" s="84" t="s">
        <v>218</v>
      </c>
      <c r="C18" s="618">
        <v>3863217</v>
      </c>
      <c r="D18" s="85">
        <v>0</v>
      </c>
      <c r="E18" s="85">
        <v>4078406</v>
      </c>
      <c r="F18" s="618">
        <v>3865512</v>
      </c>
      <c r="G18" s="618">
        <v>4076111</v>
      </c>
      <c r="H18" s="85">
        <v>0</v>
      </c>
      <c r="I18" s="857">
        <f t="shared" si="0"/>
        <v>4076111</v>
      </c>
    </row>
    <row r="19" spans="1:9" ht="13.5">
      <c r="A19" s="80" t="s">
        <v>247</v>
      </c>
      <c r="B19" s="81" t="s">
        <v>248</v>
      </c>
      <c r="C19" s="617">
        <v>0</v>
      </c>
      <c r="D19" s="82">
        <v>0</v>
      </c>
      <c r="E19" s="82">
        <v>13889</v>
      </c>
      <c r="F19" s="617">
        <v>13889</v>
      </c>
      <c r="G19" s="617">
        <v>0</v>
      </c>
      <c r="H19" s="82">
        <v>0</v>
      </c>
      <c r="I19" s="857">
        <f t="shared" si="0"/>
        <v>0</v>
      </c>
    </row>
    <row r="20" spans="1:9" ht="13.5">
      <c r="A20" s="80" t="s">
        <v>374</v>
      </c>
      <c r="B20" s="81" t="s">
        <v>375</v>
      </c>
      <c r="C20" s="617">
        <v>0</v>
      </c>
      <c r="D20" s="82">
        <v>0</v>
      </c>
      <c r="E20" s="82">
        <v>4090000</v>
      </c>
      <c r="F20" s="617">
        <v>4090000</v>
      </c>
      <c r="G20" s="617">
        <v>0</v>
      </c>
      <c r="H20" s="82">
        <v>0</v>
      </c>
      <c r="I20" s="857">
        <f t="shared" si="0"/>
        <v>0</v>
      </c>
    </row>
    <row r="21" spans="1:9" ht="13.5">
      <c r="A21" s="83" t="s">
        <v>384</v>
      </c>
      <c r="B21" s="84" t="s">
        <v>385</v>
      </c>
      <c r="C21" s="618">
        <v>0</v>
      </c>
      <c r="D21" s="85">
        <v>0</v>
      </c>
      <c r="E21" s="85">
        <v>2000000</v>
      </c>
      <c r="F21" s="618">
        <v>2000000</v>
      </c>
      <c r="G21" s="618">
        <v>0</v>
      </c>
      <c r="H21" s="85">
        <v>0</v>
      </c>
      <c r="I21" s="857">
        <f t="shared" si="0"/>
        <v>0</v>
      </c>
    </row>
    <row r="22" spans="1:9" ht="13.5">
      <c r="A22" s="83" t="s">
        <v>386</v>
      </c>
      <c r="B22" s="84" t="s">
        <v>272</v>
      </c>
      <c r="C22" s="618">
        <v>0</v>
      </c>
      <c r="D22" s="85">
        <v>0</v>
      </c>
      <c r="E22" s="85">
        <v>2090000</v>
      </c>
      <c r="F22" s="618">
        <v>2090000</v>
      </c>
      <c r="G22" s="618">
        <v>0</v>
      </c>
      <c r="H22" s="85">
        <v>0</v>
      </c>
      <c r="I22" s="857">
        <f t="shared" si="0"/>
        <v>0</v>
      </c>
    </row>
    <row r="23" spans="1:9" ht="13.5">
      <c r="A23" s="80" t="s">
        <v>446</v>
      </c>
      <c r="B23" s="81" t="s">
        <v>447</v>
      </c>
      <c r="C23" s="617">
        <v>0</v>
      </c>
      <c r="D23" s="82">
        <v>0</v>
      </c>
      <c r="E23" s="82">
        <v>4092295</v>
      </c>
      <c r="F23" s="617">
        <v>4092295</v>
      </c>
      <c r="G23" s="617">
        <v>0</v>
      </c>
      <c r="H23" s="82">
        <v>0</v>
      </c>
      <c r="I23" s="857">
        <f t="shared" si="0"/>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6354D-BB3F-475A-9D27-948E4C35199C}">
  <sheetPr codeName="Sheet25"/>
  <dimension ref="A1:V41"/>
  <sheetViews>
    <sheetView topLeftCell="E4" zoomScale="85" zoomScaleNormal="85" workbookViewId="0">
      <selection activeCell="Q8" sqref="Q8"/>
    </sheetView>
  </sheetViews>
  <sheetFormatPr defaultColWidth="8.85546875" defaultRowHeight="12.75"/>
  <cols>
    <col min="1" max="1" width="8.85546875" style="2" bestFit="1" customWidth="1"/>
    <col min="2" max="2" width="13.140625" style="2" bestFit="1" customWidth="1"/>
    <col min="3" max="3" width="8.85546875" style="2"/>
    <col min="4" max="4" width="56" style="2" customWidth="1"/>
    <col min="5" max="6" width="8.85546875" style="2"/>
    <col min="7" max="8" width="12.85546875" style="2" bestFit="1" customWidth="1"/>
    <col min="9" max="11" width="8.85546875" style="2"/>
    <col min="12" max="12" width="13.42578125" style="2" bestFit="1" customWidth="1"/>
    <col min="13" max="16" width="8.85546875" style="2"/>
    <col min="17" max="17" width="13.140625" style="2" bestFit="1" customWidth="1"/>
    <col min="18" max="18" width="11.5703125" style="2" bestFit="1" customWidth="1"/>
    <col min="19" max="19" width="8.85546875" style="2"/>
    <col min="20" max="20" width="13.42578125" style="2" bestFit="1" customWidth="1"/>
    <col min="21" max="16384" width="8.85546875" style="2"/>
  </cols>
  <sheetData>
    <row r="1" spans="1:22">
      <c r="A1" s="1" t="s">
        <v>0</v>
      </c>
      <c r="B1" s="850" t="s">
        <v>494</v>
      </c>
      <c r="C1" s="850"/>
      <c r="D1" s="850"/>
      <c r="E1" s="850"/>
      <c r="F1" s="850"/>
      <c r="G1" s="850"/>
      <c r="H1" s="850"/>
      <c r="I1" s="850"/>
      <c r="J1" s="850"/>
      <c r="K1" s="850"/>
      <c r="L1" s="850"/>
      <c r="M1" s="850"/>
      <c r="N1" s="850"/>
      <c r="O1" s="850"/>
      <c r="P1" s="850"/>
      <c r="Q1" s="850"/>
      <c r="R1" s="850"/>
      <c r="S1" s="850"/>
      <c r="T1" s="850"/>
      <c r="U1" s="850"/>
      <c r="V1" s="850"/>
    </row>
    <row r="2" spans="1:22">
      <c r="A2" s="1" t="s">
        <v>2</v>
      </c>
      <c r="B2" s="852">
        <v>45473</v>
      </c>
      <c r="C2" s="850"/>
      <c r="D2" s="850"/>
      <c r="E2" s="850"/>
      <c r="F2" s="850"/>
      <c r="G2" s="850"/>
      <c r="H2" s="850"/>
      <c r="I2" s="850"/>
      <c r="J2" s="850"/>
      <c r="K2" s="850"/>
      <c r="L2" s="850"/>
      <c r="M2" s="850"/>
      <c r="N2" s="850"/>
      <c r="O2" s="850"/>
      <c r="P2" s="850"/>
      <c r="Q2" s="850"/>
      <c r="R2" s="850"/>
      <c r="S2" s="850"/>
      <c r="T2" s="850"/>
      <c r="U2" s="850"/>
      <c r="V2" s="850"/>
    </row>
    <row r="3" spans="1:22">
      <c r="A3" s="3" t="s">
        <v>498</v>
      </c>
      <c r="B3" s="850"/>
      <c r="C3" s="850"/>
      <c r="D3" s="850"/>
      <c r="E3" s="850"/>
      <c r="F3" s="850"/>
      <c r="G3" s="850"/>
      <c r="H3" s="850"/>
      <c r="I3" s="850"/>
      <c r="J3" s="850"/>
      <c r="K3" s="850"/>
      <c r="L3" s="850"/>
      <c r="M3" s="850"/>
      <c r="N3" s="850"/>
      <c r="O3" s="850"/>
      <c r="P3" s="850"/>
      <c r="Q3" s="850"/>
      <c r="R3" s="850"/>
      <c r="S3" s="850"/>
      <c r="T3" s="850"/>
      <c r="U3" s="850"/>
      <c r="V3" s="850"/>
    </row>
    <row r="4" spans="1:22">
      <c r="A4" s="850"/>
      <c r="B4" s="850"/>
      <c r="C4" s="850"/>
      <c r="D4" s="850"/>
      <c r="E4" s="850"/>
      <c r="F4" s="850"/>
      <c r="G4" s="850"/>
      <c r="H4" s="850"/>
      <c r="I4" s="850"/>
      <c r="J4" s="850"/>
      <c r="K4" s="850"/>
      <c r="L4" s="850">
        <f>SUBTOTAL(9,L6:L41)</f>
        <v>0</v>
      </c>
      <c r="M4" s="850"/>
      <c r="N4" s="850"/>
      <c r="O4" s="850"/>
      <c r="P4" s="850"/>
      <c r="Q4" s="850"/>
      <c r="R4" s="850"/>
      <c r="S4" s="850"/>
      <c r="T4" s="850"/>
      <c r="U4" s="850"/>
      <c r="V4" s="850"/>
    </row>
    <row r="5" spans="1:22" ht="15">
      <c r="A5" s="850" t="s">
        <v>449</v>
      </c>
      <c r="B5" s="850" t="s">
        <v>450</v>
      </c>
      <c r="C5" s="850" t="s">
        <v>451</v>
      </c>
      <c r="D5" s="850" t="s">
        <v>455</v>
      </c>
      <c r="E5" s="850" t="s">
        <v>456</v>
      </c>
      <c r="F5" s="850" t="s">
        <v>457</v>
      </c>
      <c r="G5" s="850" t="s">
        <v>459</v>
      </c>
      <c r="H5" s="850" t="s">
        <v>460</v>
      </c>
      <c r="I5" s="850" t="s">
        <v>461</v>
      </c>
      <c r="J5" s="850" t="s">
        <v>462</v>
      </c>
      <c r="K5" s="850" t="s">
        <v>466</v>
      </c>
      <c r="L5" s="850" t="s">
        <v>499</v>
      </c>
      <c r="M5" s="850"/>
      <c r="N5" s="850"/>
      <c r="O5" s="850"/>
      <c r="P5" s="850"/>
      <c r="Q5" s="256" t="s">
        <v>469</v>
      </c>
      <c r="R5" t="s">
        <v>500</v>
      </c>
      <c r="S5"/>
      <c r="T5" s="850" t="s">
        <v>501</v>
      </c>
      <c r="U5" s="850" t="s">
        <v>502</v>
      </c>
      <c r="V5" s="850"/>
    </row>
    <row r="6" spans="1:22" ht="15">
      <c r="A6" s="96">
        <v>45322</v>
      </c>
      <c r="B6" s="96">
        <v>45322</v>
      </c>
      <c r="C6" s="97" t="s">
        <v>503</v>
      </c>
      <c r="D6" s="97" t="s">
        <v>472</v>
      </c>
      <c r="E6" s="97" t="s">
        <v>446</v>
      </c>
      <c r="F6" s="97">
        <v>5151</v>
      </c>
      <c r="G6" s="98">
        <v>0</v>
      </c>
      <c r="H6" s="98">
        <v>1964</v>
      </c>
      <c r="I6" s="620"/>
      <c r="J6" s="620"/>
      <c r="K6" s="620" t="s">
        <v>488</v>
      </c>
      <c r="L6" s="858">
        <f t="shared" ref="L6:L41" si="0">G6-H6</f>
        <v>-1964</v>
      </c>
      <c r="M6" s="850"/>
      <c r="N6" s="850"/>
      <c r="O6" s="850"/>
      <c r="P6" s="850"/>
      <c r="Q6" s="257" t="s">
        <v>217</v>
      </c>
      <c r="R6" s="258">
        <v>-4076111</v>
      </c>
      <c r="S6" t="s">
        <v>217</v>
      </c>
      <c r="T6" s="848">
        <f>R6</f>
        <v>-4076111</v>
      </c>
      <c r="U6" s="850"/>
      <c r="V6" s="850"/>
    </row>
    <row r="7" spans="1:22" ht="15">
      <c r="A7" s="96">
        <v>45322</v>
      </c>
      <c r="B7" s="96">
        <v>45322</v>
      </c>
      <c r="C7" s="97" t="s">
        <v>503</v>
      </c>
      <c r="D7" s="97" t="s">
        <v>476</v>
      </c>
      <c r="E7" s="97" t="s">
        <v>446</v>
      </c>
      <c r="F7" s="97" t="s">
        <v>384</v>
      </c>
      <c r="G7" s="98">
        <v>2000000</v>
      </c>
      <c r="H7" s="98">
        <v>0</v>
      </c>
      <c r="I7" s="620"/>
      <c r="J7" s="620"/>
      <c r="K7" s="620" t="s">
        <v>488</v>
      </c>
      <c r="L7" s="858">
        <f t="shared" si="0"/>
        <v>2000000</v>
      </c>
      <c r="M7" s="850"/>
      <c r="N7" s="850"/>
      <c r="O7" s="850"/>
      <c r="P7" s="850"/>
      <c r="Q7" s="257" t="s">
        <v>384</v>
      </c>
      <c r="R7" s="258">
        <v>2000000</v>
      </c>
      <c r="S7" t="s">
        <v>384</v>
      </c>
      <c r="T7" s="848">
        <f t="shared" ref="T7:T9" si="1">R7</f>
        <v>2000000</v>
      </c>
      <c r="U7" s="859" t="s">
        <v>384</v>
      </c>
      <c r="V7" s="850"/>
    </row>
    <row r="8" spans="1:22" ht="15">
      <c r="A8" s="96">
        <v>45322</v>
      </c>
      <c r="B8" s="96">
        <v>45322</v>
      </c>
      <c r="C8" s="97" t="s">
        <v>503</v>
      </c>
      <c r="D8" s="97" t="s">
        <v>479</v>
      </c>
      <c r="E8" s="97" t="s">
        <v>446</v>
      </c>
      <c r="F8" s="97" t="s">
        <v>217</v>
      </c>
      <c r="G8" s="98">
        <v>0</v>
      </c>
      <c r="H8" s="98">
        <v>1998036</v>
      </c>
      <c r="I8" s="620"/>
      <c r="J8" s="620"/>
      <c r="K8" s="620" t="s">
        <v>488</v>
      </c>
      <c r="L8" s="858">
        <f t="shared" si="0"/>
        <v>-1998036</v>
      </c>
      <c r="M8" s="850"/>
      <c r="N8" s="850"/>
      <c r="O8" s="850"/>
      <c r="P8" s="850"/>
      <c r="Q8" s="257">
        <v>5151</v>
      </c>
      <c r="R8" s="258">
        <v>-13889</v>
      </c>
      <c r="S8" t="s">
        <v>247</v>
      </c>
      <c r="T8" s="848">
        <f t="shared" si="1"/>
        <v>-13889</v>
      </c>
      <c r="U8" s="859" t="s">
        <v>249</v>
      </c>
      <c r="V8" s="850"/>
    </row>
    <row r="9" spans="1:22" ht="15">
      <c r="A9" s="96">
        <v>45351</v>
      </c>
      <c r="B9" s="96">
        <v>45351</v>
      </c>
      <c r="C9" s="97" t="s">
        <v>504</v>
      </c>
      <c r="D9" s="97" t="s">
        <v>472</v>
      </c>
      <c r="E9" s="97" t="s">
        <v>446</v>
      </c>
      <c r="F9" s="97">
        <v>5151</v>
      </c>
      <c r="G9" s="98">
        <v>0</v>
      </c>
      <c r="H9" s="98">
        <v>1094</v>
      </c>
      <c r="I9" s="620"/>
      <c r="J9" s="620"/>
      <c r="K9" s="620" t="s">
        <v>488</v>
      </c>
      <c r="L9" s="858">
        <f t="shared" si="0"/>
        <v>-1094</v>
      </c>
      <c r="M9" s="850"/>
      <c r="N9" s="850"/>
      <c r="O9" s="850"/>
      <c r="P9" s="850"/>
      <c r="Q9" s="257">
        <v>6427.28</v>
      </c>
      <c r="R9" s="258">
        <v>2090000</v>
      </c>
      <c r="S9" t="s">
        <v>386</v>
      </c>
      <c r="T9" s="848">
        <f t="shared" si="1"/>
        <v>2090000</v>
      </c>
      <c r="U9" s="859" t="s">
        <v>505</v>
      </c>
      <c r="V9" s="850" t="s">
        <v>506</v>
      </c>
    </row>
    <row r="10" spans="1:22" ht="15">
      <c r="A10" s="96">
        <v>45351</v>
      </c>
      <c r="B10" s="96">
        <v>45351</v>
      </c>
      <c r="C10" s="97" t="s">
        <v>504</v>
      </c>
      <c r="D10" s="97" t="s">
        <v>476</v>
      </c>
      <c r="E10" s="97" t="s">
        <v>446</v>
      </c>
      <c r="F10" s="97">
        <v>6427.28</v>
      </c>
      <c r="G10" s="98">
        <v>55000</v>
      </c>
      <c r="H10" s="98">
        <v>0</v>
      </c>
      <c r="I10" s="620"/>
      <c r="J10" s="620"/>
      <c r="K10" s="620" t="s">
        <v>488</v>
      </c>
      <c r="L10" s="858">
        <f t="shared" si="0"/>
        <v>55000</v>
      </c>
      <c r="M10" s="850"/>
      <c r="N10" s="850"/>
      <c r="O10" s="850"/>
      <c r="P10" s="850"/>
      <c r="Q10" s="257" t="s">
        <v>481</v>
      </c>
      <c r="R10" s="258">
        <v>0</v>
      </c>
      <c r="S10" s="850"/>
      <c r="T10" s="850"/>
      <c r="U10" s="859"/>
      <c r="V10" s="850"/>
    </row>
    <row r="11" spans="1:22" ht="15">
      <c r="A11" s="96">
        <v>45351</v>
      </c>
      <c r="B11" s="96">
        <v>45351</v>
      </c>
      <c r="C11" s="97" t="s">
        <v>504</v>
      </c>
      <c r="D11" s="97" t="s">
        <v>479</v>
      </c>
      <c r="E11" s="97" t="s">
        <v>446</v>
      </c>
      <c r="F11" s="97" t="s">
        <v>217</v>
      </c>
      <c r="G11" s="98">
        <v>0</v>
      </c>
      <c r="H11" s="98">
        <v>53906</v>
      </c>
      <c r="I11" s="620"/>
      <c r="J11" s="620"/>
      <c r="K11" s="620" t="s">
        <v>488</v>
      </c>
      <c r="L11" s="858">
        <f t="shared" si="0"/>
        <v>-53906</v>
      </c>
      <c r="M11" s="850"/>
      <c r="N11" s="850"/>
      <c r="O11" s="850"/>
      <c r="P11" s="850"/>
      <c r="Q11"/>
      <c r="R11"/>
      <c r="S11"/>
      <c r="T11" s="850"/>
      <c r="U11" s="850"/>
      <c r="V11" s="850"/>
    </row>
    <row r="12" spans="1:22" ht="15">
      <c r="A12" s="96">
        <v>45382</v>
      </c>
      <c r="B12" s="96">
        <v>45382</v>
      </c>
      <c r="C12" s="97" t="s">
        <v>507</v>
      </c>
      <c r="D12" s="97" t="s">
        <v>472</v>
      </c>
      <c r="E12" s="97" t="s">
        <v>446</v>
      </c>
      <c r="F12" s="97">
        <v>5151</v>
      </c>
      <c r="G12" s="98">
        <v>0</v>
      </c>
      <c r="H12" s="98">
        <v>1166</v>
      </c>
      <c r="I12" s="620"/>
      <c r="J12" s="620"/>
      <c r="K12" s="620" t="s">
        <v>488</v>
      </c>
      <c r="L12" s="858">
        <f t="shared" si="0"/>
        <v>-1166</v>
      </c>
      <c r="M12" s="850"/>
      <c r="N12" s="850"/>
      <c r="O12" s="850"/>
      <c r="P12" s="850"/>
      <c r="Q12"/>
      <c r="R12"/>
      <c r="S12"/>
      <c r="T12" s="850"/>
      <c r="U12" s="850"/>
      <c r="V12" s="850"/>
    </row>
    <row r="13" spans="1:22" ht="15">
      <c r="A13" s="96">
        <v>45382</v>
      </c>
      <c r="B13" s="96">
        <v>45382</v>
      </c>
      <c r="C13" s="97" t="s">
        <v>507</v>
      </c>
      <c r="D13" s="97" t="s">
        <v>479</v>
      </c>
      <c r="E13" s="97" t="s">
        <v>446</v>
      </c>
      <c r="F13" s="97" t="s">
        <v>217</v>
      </c>
      <c r="G13" s="98">
        <v>1166</v>
      </c>
      <c r="H13" s="98">
        <v>0</v>
      </c>
      <c r="I13" s="620"/>
      <c r="J13" s="620"/>
      <c r="K13" s="620" t="s">
        <v>488</v>
      </c>
      <c r="L13" s="858">
        <f t="shared" si="0"/>
        <v>1166</v>
      </c>
      <c r="M13" s="850"/>
      <c r="N13" s="850"/>
      <c r="O13" s="850"/>
      <c r="P13" s="850"/>
      <c r="Q13"/>
      <c r="R13"/>
      <c r="S13"/>
      <c r="T13" s="850"/>
      <c r="U13" s="850"/>
      <c r="V13" s="850"/>
    </row>
    <row r="14" spans="1:22" ht="15">
      <c r="A14" s="96">
        <v>45412</v>
      </c>
      <c r="B14" s="96">
        <v>45412</v>
      </c>
      <c r="C14" s="97" t="s">
        <v>508</v>
      </c>
      <c r="D14" s="97" t="s">
        <v>472</v>
      </c>
      <c r="E14" s="97" t="s">
        <v>446</v>
      </c>
      <c r="F14" s="97">
        <v>5151</v>
      </c>
      <c r="G14" s="98">
        <v>0</v>
      </c>
      <c r="H14" s="98">
        <v>1129</v>
      </c>
      <c r="I14" s="620"/>
      <c r="J14" s="620"/>
      <c r="K14" s="620" t="s">
        <v>488</v>
      </c>
      <c r="L14" s="858">
        <f t="shared" si="0"/>
        <v>-1129</v>
      </c>
      <c r="M14" s="850"/>
      <c r="N14" s="850"/>
      <c r="O14" s="850"/>
      <c r="P14" s="850"/>
      <c r="Q14"/>
      <c r="R14"/>
      <c r="S14"/>
      <c r="T14" s="850"/>
      <c r="U14" s="850"/>
      <c r="V14" s="850"/>
    </row>
    <row r="15" spans="1:22" ht="15">
      <c r="A15" s="96">
        <v>45412</v>
      </c>
      <c r="B15" s="96">
        <v>45412</v>
      </c>
      <c r="C15" s="97" t="s">
        <v>508</v>
      </c>
      <c r="D15" s="97" t="s">
        <v>479</v>
      </c>
      <c r="E15" s="97" t="s">
        <v>446</v>
      </c>
      <c r="F15" s="97" t="s">
        <v>217</v>
      </c>
      <c r="G15" s="98">
        <v>1129</v>
      </c>
      <c r="H15" s="98">
        <v>0</v>
      </c>
      <c r="I15" s="620"/>
      <c r="J15" s="620"/>
      <c r="K15" s="620" t="s">
        <v>488</v>
      </c>
      <c r="L15" s="858">
        <f t="shared" si="0"/>
        <v>1129</v>
      </c>
      <c r="M15" s="850"/>
      <c r="N15" s="850"/>
      <c r="O15" s="850"/>
      <c r="P15" s="850"/>
      <c r="Q15"/>
      <c r="R15"/>
      <c r="S15"/>
      <c r="T15" s="850"/>
      <c r="U15" s="850"/>
      <c r="V15" s="850"/>
    </row>
    <row r="16" spans="1:22" ht="15">
      <c r="A16" s="96">
        <v>45443</v>
      </c>
      <c r="B16" s="96">
        <v>45443</v>
      </c>
      <c r="C16" s="97" t="s">
        <v>509</v>
      </c>
      <c r="D16" s="97" t="s">
        <v>472</v>
      </c>
      <c r="E16" s="97" t="s">
        <v>446</v>
      </c>
      <c r="F16" s="97">
        <v>5151</v>
      </c>
      <c r="G16" s="98">
        <v>0</v>
      </c>
      <c r="H16" s="98">
        <v>1153</v>
      </c>
      <c r="I16" s="620"/>
      <c r="J16" s="620"/>
      <c r="K16" s="620" t="s">
        <v>488</v>
      </c>
      <c r="L16" s="858">
        <f t="shared" si="0"/>
        <v>-1153</v>
      </c>
      <c r="M16" s="850"/>
      <c r="N16" s="850"/>
      <c r="O16" s="850"/>
      <c r="P16" s="850"/>
      <c r="Q16"/>
      <c r="R16"/>
      <c r="S16"/>
      <c r="T16" s="850"/>
      <c r="U16" s="850"/>
      <c r="V16" s="850"/>
    </row>
    <row r="17" spans="1:19" ht="15">
      <c r="A17" s="96">
        <v>45443</v>
      </c>
      <c r="B17" s="96">
        <v>45443</v>
      </c>
      <c r="C17" s="97" t="s">
        <v>509</v>
      </c>
      <c r="D17" s="97" t="s">
        <v>476</v>
      </c>
      <c r="E17" s="97" t="s">
        <v>446</v>
      </c>
      <c r="F17" s="97">
        <v>6427.28</v>
      </c>
      <c r="G17" s="98">
        <v>220000</v>
      </c>
      <c r="H17" s="98">
        <v>0</v>
      </c>
      <c r="I17" s="620"/>
      <c r="J17" s="620"/>
      <c r="K17" s="620" t="s">
        <v>488</v>
      </c>
      <c r="L17" s="858">
        <f t="shared" si="0"/>
        <v>220000</v>
      </c>
      <c r="M17" s="850"/>
      <c r="N17" s="850"/>
      <c r="O17" s="850"/>
      <c r="P17" s="850"/>
      <c r="Q17"/>
      <c r="R17"/>
      <c r="S17"/>
    </row>
    <row r="18" spans="1:19" ht="15">
      <c r="A18" s="96">
        <v>45443</v>
      </c>
      <c r="B18" s="96">
        <v>45443</v>
      </c>
      <c r="C18" s="97" t="s">
        <v>509</v>
      </c>
      <c r="D18" s="97" t="s">
        <v>479</v>
      </c>
      <c r="E18" s="97" t="s">
        <v>446</v>
      </c>
      <c r="F18" s="97" t="s">
        <v>217</v>
      </c>
      <c r="G18" s="98">
        <v>0</v>
      </c>
      <c r="H18" s="98">
        <v>218847</v>
      </c>
      <c r="I18" s="620"/>
      <c r="J18" s="620"/>
      <c r="K18" s="620" t="s">
        <v>488</v>
      </c>
      <c r="L18" s="858">
        <f t="shared" si="0"/>
        <v>-218847</v>
      </c>
      <c r="M18" s="850"/>
      <c r="N18" s="850"/>
      <c r="O18" s="850"/>
      <c r="P18" s="850"/>
      <c r="Q18"/>
      <c r="R18"/>
      <c r="S18"/>
    </row>
    <row r="19" spans="1:19" ht="15">
      <c r="A19" s="96">
        <v>45473</v>
      </c>
      <c r="B19" s="96">
        <v>45473</v>
      </c>
      <c r="C19" s="97" t="s">
        <v>510</v>
      </c>
      <c r="D19" s="97" t="s">
        <v>472</v>
      </c>
      <c r="E19" s="97" t="s">
        <v>446</v>
      </c>
      <c r="F19" s="97">
        <v>5151</v>
      </c>
      <c r="G19" s="98">
        <v>0</v>
      </c>
      <c r="H19" s="98">
        <v>1099</v>
      </c>
      <c r="I19" s="620"/>
      <c r="J19" s="620"/>
      <c r="K19" s="620" t="s">
        <v>488</v>
      </c>
      <c r="L19" s="858">
        <f t="shared" si="0"/>
        <v>-1099</v>
      </c>
      <c r="M19" s="850"/>
      <c r="N19" s="850"/>
      <c r="O19" s="850"/>
      <c r="P19" s="850"/>
      <c r="Q19"/>
      <c r="R19"/>
      <c r="S19"/>
    </row>
    <row r="20" spans="1:19" ht="15">
      <c r="A20" s="96">
        <v>45473</v>
      </c>
      <c r="B20" s="96">
        <v>45473</v>
      </c>
      <c r="C20" s="97" t="s">
        <v>510</v>
      </c>
      <c r="D20" s="97" t="s">
        <v>476</v>
      </c>
      <c r="E20" s="97" t="s">
        <v>446</v>
      </c>
      <c r="F20" s="97">
        <v>6427.28</v>
      </c>
      <c r="G20" s="98">
        <v>220000</v>
      </c>
      <c r="H20" s="98">
        <v>0</v>
      </c>
      <c r="I20" s="620"/>
      <c r="J20" s="620"/>
      <c r="K20" s="620" t="s">
        <v>488</v>
      </c>
      <c r="L20" s="858">
        <f t="shared" si="0"/>
        <v>220000</v>
      </c>
      <c r="M20" s="850"/>
      <c r="N20" s="850"/>
      <c r="O20" s="850"/>
      <c r="P20" s="850"/>
      <c r="Q20"/>
      <c r="R20"/>
      <c r="S20"/>
    </row>
    <row r="21" spans="1:19" ht="15">
      <c r="A21" s="96">
        <v>45473</v>
      </c>
      <c r="B21" s="96">
        <v>45473</v>
      </c>
      <c r="C21" s="97" t="s">
        <v>510</v>
      </c>
      <c r="D21" s="97" t="s">
        <v>479</v>
      </c>
      <c r="E21" s="97" t="s">
        <v>446</v>
      </c>
      <c r="F21" s="97" t="s">
        <v>217</v>
      </c>
      <c r="G21" s="98">
        <v>0</v>
      </c>
      <c r="H21" s="98">
        <v>218901</v>
      </c>
      <c r="I21" s="620"/>
      <c r="J21" s="620"/>
      <c r="K21" s="620" t="s">
        <v>488</v>
      </c>
      <c r="L21" s="858">
        <f t="shared" si="0"/>
        <v>-218901</v>
      </c>
      <c r="M21" s="850"/>
      <c r="N21" s="850"/>
      <c r="O21" s="850"/>
      <c r="P21" s="850"/>
      <c r="Q21"/>
      <c r="R21"/>
      <c r="S21"/>
    </row>
    <row r="22" spans="1:19" ht="15">
      <c r="A22" s="96">
        <v>45504</v>
      </c>
      <c r="B22" s="96">
        <v>45504</v>
      </c>
      <c r="C22" s="97" t="s">
        <v>511</v>
      </c>
      <c r="D22" s="97" t="s">
        <v>472</v>
      </c>
      <c r="E22" s="97" t="s">
        <v>446</v>
      </c>
      <c r="F22" s="97">
        <v>5151</v>
      </c>
      <c r="G22" s="98">
        <v>0</v>
      </c>
      <c r="H22" s="98">
        <v>1118</v>
      </c>
      <c r="I22" s="850"/>
      <c r="J22" s="850"/>
      <c r="K22" s="850"/>
      <c r="L22" s="858">
        <f t="shared" si="0"/>
        <v>-1118</v>
      </c>
      <c r="M22" s="850"/>
      <c r="N22" s="850"/>
      <c r="O22" s="850"/>
      <c r="P22" s="850"/>
      <c r="Q22"/>
      <c r="R22"/>
      <c r="S22"/>
    </row>
    <row r="23" spans="1:19">
      <c r="A23" s="96">
        <v>45504</v>
      </c>
      <c r="B23" s="96">
        <v>45504</v>
      </c>
      <c r="C23" s="97" t="s">
        <v>511</v>
      </c>
      <c r="D23" s="97" t="s">
        <v>476</v>
      </c>
      <c r="E23" s="97" t="s">
        <v>446</v>
      </c>
      <c r="F23" s="97">
        <v>6427.28</v>
      </c>
      <c r="G23" s="98">
        <v>220000</v>
      </c>
      <c r="H23" s="98">
        <v>0</v>
      </c>
      <c r="I23" s="850"/>
      <c r="J23" s="850"/>
      <c r="K23" s="850"/>
      <c r="L23" s="858">
        <f t="shared" si="0"/>
        <v>220000</v>
      </c>
      <c r="M23" s="850"/>
      <c r="N23" s="850"/>
      <c r="O23" s="850"/>
      <c r="P23" s="850"/>
      <c r="Q23" s="850"/>
      <c r="R23" s="850"/>
      <c r="S23" s="850"/>
    </row>
    <row r="24" spans="1:19">
      <c r="A24" s="96">
        <v>45504</v>
      </c>
      <c r="B24" s="96">
        <v>45504</v>
      </c>
      <c r="C24" s="97" t="s">
        <v>511</v>
      </c>
      <c r="D24" s="97" t="s">
        <v>479</v>
      </c>
      <c r="E24" s="97" t="s">
        <v>446</v>
      </c>
      <c r="F24" s="97" t="s">
        <v>217</v>
      </c>
      <c r="G24" s="98">
        <v>0</v>
      </c>
      <c r="H24" s="98">
        <v>218882</v>
      </c>
      <c r="I24" s="850"/>
      <c r="J24" s="850"/>
      <c r="K24" s="850"/>
      <c r="L24" s="858">
        <f t="shared" si="0"/>
        <v>-218882</v>
      </c>
      <c r="M24" s="850"/>
      <c r="N24" s="850"/>
      <c r="O24" s="850"/>
      <c r="P24" s="850"/>
      <c r="Q24" s="850"/>
      <c r="R24" s="850"/>
      <c r="S24" s="850"/>
    </row>
    <row r="25" spans="1:19">
      <c r="A25" s="96">
        <v>45535</v>
      </c>
      <c r="B25" s="96">
        <v>45535</v>
      </c>
      <c r="C25" s="97" t="s">
        <v>512</v>
      </c>
      <c r="D25" s="97" t="s">
        <v>472</v>
      </c>
      <c r="E25" s="97" t="s">
        <v>446</v>
      </c>
      <c r="F25" s="97">
        <v>5151</v>
      </c>
      <c r="G25" s="98">
        <v>0</v>
      </c>
      <c r="H25" s="98">
        <v>1092</v>
      </c>
      <c r="I25" s="850"/>
      <c r="J25" s="850"/>
      <c r="K25" s="850"/>
      <c r="L25" s="858">
        <f t="shared" si="0"/>
        <v>-1092</v>
      </c>
      <c r="M25" s="850"/>
      <c r="N25" s="850"/>
      <c r="O25" s="850"/>
      <c r="P25" s="850"/>
      <c r="Q25" s="850"/>
      <c r="R25" s="850"/>
      <c r="S25" s="850"/>
    </row>
    <row r="26" spans="1:19">
      <c r="A26" s="96">
        <v>45535</v>
      </c>
      <c r="B26" s="96">
        <v>45535</v>
      </c>
      <c r="C26" s="97" t="s">
        <v>512</v>
      </c>
      <c r="D26" s="97" t="s">
        <v>476</v>
      </c>
      <c r="E26" s="97" t="s">
        <v>446</v>
      </c>
      <c r="F26" s="97">
        <v>6427.28</v>
      </c>
      <c r="G26" s="98">
        <v>275000</v>
      </c>
      <c r="H26" s="98">
        <v>0</v>
      </c>
      <c r="I26" s="850"/>
      <c r="J26" s="850"/>
      <c r="K26" s="850"/>
      <c r="L26" s="858">
        <f t="shared" si="0"/>
        <v>275000</v>
      </c>
      <c r="M26" s="850"/>
      <c r="N26" s="850"/>
      <c r="O26" s="850"/>
      <c r="P26" s="850"/>
      <c r="Q26" s="850"/>
      <c r="R26" s="850"/>
      <c r="S26" s="850"/>
    </row>
    <row r="27" spans="1:19">
      <c r="A27" s="96">
        <v>45535</v>
      </c>
      <c r="B27" s="96">
        <v>45535</v>
      </c>
      <c r="C27" s="97" t="s">
        <v>512</v>
      </c>
      <c r="D27" s="97" t="s">
        <v>479</v>
      </c>
      <c r="E27" s="97" t="s">
        <v>446</v>
      </c>
      <c r="F27" s="97" t="s">
        <v>217</v>
      </c>
      <c r="G27" s="98">
        <v>0</v>
      </c>
      <c r="H27" s="98">
        <v>273908</v>
      </c>
      <c r="I27" s="850"/>
      <c r="J27" s="850"/>
      <c r="K27" s="850"/>
      <c r="L27" s="858">
        <f t="shared" si="0"/>
        <v>-273908</v>
      </c>
      <c r="M27" s="850"/>
      <c r="N27" s="850"/>
      <c r="O27" s="850"/>
      <c r="P27" s="850"/>
      <c r="Q27" s="850"/>
      <c r="R27" s="850"/>
      <c r="S27" s="850"/>
    </row>
    <row r="28" spans="1:19">
      <c r="A28" s="96">
        <v>45565</v>
      </c>
      <c r="B28" s="96">
        <v>45565</v>
      </c>
      <c r="C28" s="97" t="s">
        <v>513</v>
      </c>
      <c r="D28" s="97" t="s">
        <v>472</v>
      </c>
      <c r="E28" s="97" t="s">
        <v>446</v>
      </c>
      <c r="F28" s="97">
        <v>5151</v>
      </c>
      <c r="G28" s="98">
        <v>0</v>
      </c>
      <c r="H28" s="98">
        <v>1041</v>
      </c>
      <c r="I28" s="850"/>
      <c r="J28" s="850"/>
      <c r="K28" s="850"/>
      <c r="L28" s="858">
        <f t="shared" si="0"/>
        <v>-1041</v>
      </c>
      <c r="M28" s="850"/>
      <c r="N28" s="850"/>
      <c r="O28" s="850"/>
      <c r="P28" s="850"/>
      <c r="Q28" s="850"/>
      <c r="R28" s="850"/>
      <c r="S28" s="850"/>
    </row>
    <row r="29" spans="1:19">
      <c r="A29" s="96">
        <v>45565</v>
      </c>
      <c r="B29" s="96">
        <v>45565</v>
      </c>
      <c r="C29" s="97" t="s">
        <v>513</v>
      </c>
      <c r="D29" s="97" t="s">
        <v>476</v>
      </c>
      <c r="E29" s="97" t="s">
        <v>446</v>
      </c>
      <c r="F29" s="97">
        <v>6427.28</v>
      </c>
      <c r="G29" s="98">
        <v>220000</v>
      </c>
      <c r="H29" s="98">
        <v>0</v>
      </c>
      <c r="I29" s="850"/>
      <c r="J29" s="850"/>
      <c r="K29" s="850"/>
      <c r="L29" s="858">
        <f t="shared" si="0"/>
        <v>220000</v>
      </c>
      <c r="M29" s="850"/>
      <c r="N29" s="850"/>
      <c r="O29" s="850"/>
      <c r="P29" s="850"/>
      <c r="Q29" s="850"/>
      <c r="R29" s="850"/>
      <c r="S29" s="850"/>
    </row>
    <row r="30" spans="1:19">
      <c r="A30" s="96">
        <v>45565</v>
      </c>
      <c r="B30" s="96">
        <v>45565</v>
      </c>
      <c r="C30" s="97" t="s">
        <v>513</v>
      </c>
      <c r="D30" s="97" t="s">
        <v>479</v>
      </c>
      <c r="E30" s="97" t="s">
        <v>446</v>
      </c>
      <c r="F30" s="97" t="s">
        <v>217</v>
      </c>
      <c r="G30" s="98">
        <v>0</v>
      </c>
      <c r="H30" s="98">
        <v>218959</v>
      </c>
      <c r="I30" s="850"/>
      <c r="J30" s="850"/>
      <c r="K30" s="850"/>
      <c r="L30" s="858">
        <f t="shared" si="0"/>
        <v>-218959</v>
      </c>
      <c r="M30" s="850"/>
      <c r="N30" s="850"/>
      <c r="O30" s="850"/>
      <c r="P30" s="850"/>
      <c r="Q30" s="850"/>
      <c r="R30" s="850"/>
      <c r="S30" s="850"/>
    </row>
    <row r="31" spans="1:19">
      <c r="A31" s="96">
        <v>45596</v>
      </c>
      <c r="B31" s="96">
        <v>45596</v>
      </c>
      <c r="C31" s="97" t="s">
        <v>514</v>
      </c>
      <c r="D31" s="97" t="s">
        <v>472</v>
      </c>
      <c r="E31" s="97" t="s">
        <v>446</v>
      </c>
      <c r="F31" s="97">
        <v>5151</v>
      </c>
      <c r="G31" s="98">
        <v>0</v>
      </c>
      <c r="H31" s="98">
        <v>1048</v>
      </c>
      <c r="I31" s="850"/>
      <c r="J31" s="850"/>
      <c r="K31" s="850"/>
      <c r="L31" s="858">
        <f t="shared" si="0"/>
        <v>-1048</v>
      </c>
      <c r="M31" s="850"/>
      <c r="N31" s="850"/>
      <c r="O31" s="850"/>
      <c r="P31" s="850"/>
      <c r="Q31" s="850"/>
      <c r="R31" s="850"/>
      <c r="S31" s="850"/>
    </row>
    <row r="32" spans="1:19">
      <c r="A32" s="96">
        <v>45596</v>
      </c>
      <c r="B32" s="96">
        <v>45596</v>
      </c>
      <c r="C32" s="97" t="s">
        <v>514</v>
      </c>
      <c r="D32" s="97" t="s">
        <v>476</v>
      </c>
      <c r="E32" s="97" t="s">
        <v>446</v>
      </c>
      <c r="F32" s="97">
        <v>6427.28</v>
      </c>
      <c r="G32" s="98">
        <v>440000</v>
      </c>
      <c r="H32" s="98">
        <v>0</v>
      </c>
      <c r="I32" s="850"/>
      <c r="J32" s="850"/>
      <c r="K32" s="850"/>
      <c r="L32" s="858">
        <f t="shared" si="0"/>
        <v>440000</v>
      </c>
      <c r="M32" s="850"/>
      <c r="N32" s="850"/>
      <c r="O32" s="850"/>
      <c r="P32" s="850"/>
      <c r="Q32" s="850"/>
      <c r="R32" s="850"/>
      <c r="S32" s="850"/>
    </row>
    <row r="33" spans="1:12">
      <c r="A33" s="96">
        <v>45596</v>
      </c>
      <c r="B33" s="96">
        <v>45596</v>
      </c>
      <c r="C33" s="97" t="s">
        <v>514</v>
      </c>
      <c r="D33" s="97" t="s">
        <v>479</v>
      </c>
      <c r="E33" s="97" t="s">
        <v>446</v>
      </c>
      <c r="F33" s="97" t="s">
        <v>217</v>
      </c>
      <c r="G33" s="98">
        <v>0</v>
      </c>
      <c r="H33" s="98">
        <v>438952</v>
      </c>
      <c r="I33" s="850"/>
      <c r="J33" s="850"/>
      <c r="K33" s="850"/>
      <c r="L33" s="858">
        <f t="shared" si="0"/>
        <v>-438952</v>
      </c>
    </row>
    <row r="34" spans="1:12">
      <c r="A34" s="96">
        <v>45626</v>
      </c>
      <c r="B34" s="96">
        <v>45626</v>
      </c>
      <c r="C34" s="97" t="s">
        <v>515</v>
      </c>
      <c r="D34" s="97" t="s">
        <v>472</v>
      </c>
      <c r="E34" s="97" t="s">
        <v>446</v>
      </c>
      <c r="F34" s="97">
        <v>5151</v>
      </c>
      <c r="G34" s="98">
        <v>0</v>
      </c>
      <c r="H34" s="98">
        <v>986</v>
      </c>
      <c r="I34" s="850"/>
      <c r="J34" s="850"/>
      <c r="K34" s="850"/>
      <c r="L34" s="858">
        <f t="shared" si="0"/>
        <v>-986</v>
      </c>
    </row>
    <row r="35" spans="1:12">
      <c r="A35" s="96">
        <v>45626</v>
      </c>
      <c r="B35" s="96">
        <v>45626</v>
      </c>
      <c r="C35" s="97" t="s">
        <v>515</v>
      </c>
      <c r="D35" s="97" t="s">
        <v>476</v>
      </c>
      <c r="E35" s="97" t="s">
        <v>446</v>
      </c>
      <c r="F35" s="97">
        <v>6427.28</v>
      </c>
      <c r="G35" s="98">
        <v>220000</v>
      </c>
      <c r="H35" s="98">
        <v>0</v>
      </c>
      <c r="I35" s="850"/>
      <c r="J35" s="850"/>
      <c r="K35" s="850"/>
      <c r="L35" s="858">
        <f t="shared" si="0"/>
        <v>220000</v>
      </c>
    </row>
    <row r="36" spans="1:12">
      <c r="A36" s="96">
        <v>45626</v>
      </c>
      <c r="B36" s="96">
        <v>45626</v>
      </c>
      <c r="C36" s="97" t="s">
        <v>515</v>
      </c>
      <c r="D36" s="97" t="s">
        <v>479</v>
      </c>
      <c r="E36" s="97" t="s">
        <v>446</v>
      </c>
      <c r="F36" s="97" t="s">
        <v>217</v>
      </c>
      <c r="G36" s="98">
        <v>0</v>
      </c>
      <c r="H36" s="98">
        <v>219014</v>
      </c>
      <c r="I36" s="850"/>
      <c r="J36" s="850"/>
      <c r="K36" s="850"/>
      <c r="L36" s="858">
        <f t="shared" si="0"/>
        <v>-219014</v>
      </c>
    </row>
    <row r="37" spans="1:12">
      <c r="A37" s="96">
        <v>45657</v>
      </c>
      <c r="B37" s="96">
        <v>45657</v>
      </c>
      <c r="C37" s="97" t="s">
        <v>516</v>
      </c>
      <c r="D37" s="97" t="s">
        <v>472</v>
      </c>
      <c r="E37" s="97" t="s">
        <v>446</v>
      </c>
      <c r="F37" s="97">
        <v>5151</v>
      </c>
      <c r="G37" s="98">
        <v>0</v>
      </c>
      <c r="H37" s="98">
        <v>999</v>
      </c>
      <c r="I37" s="850"/>
      <c r="J37" s="850"/>
      <c r="K37" s="850"/>
      <c r="L37" s="858">
        <f t="shared" si="0"/>
        <v>-999</v>
      </c>
    </row>
    <row r="38" spans="1:12">
      <c r="A38" s="96">
        <v>45657</v>
      </c>
      <c r="B38" s="96">
        <v>45657</v>
      </c>
      <c r="C38" s="97" t="s">
        <v>516</v>
      </c>
      <c r="D38" s="97" t="s">
        <v>476</v>
      </c>
      <c r="E38" s="97" t="s">
        <v>446</v>
      </c>
      <c r="F38" s="97">
        <v>6427.28</v>
      </c>
      <c r="G38" s="98">
        <v>220000</v>
      </c>
      <c r="H38" s="98">
        <v>0</v>
      </c>
      <c r="I38" s="850"/>
      <c r="J38" s="850"/>
      <c r="K38" s="850"/>
      <c r="L38" s="858">
        <f t="shared" si="0"/>
        <v>220000</v>
      </c>
    </row>
    <row r="39" spans="1:12">
      <c r="A39" s="96">
        <v>45657</v>
      </c>
      <c r="B39" s="96">
        <v>45657</v>
      </c>
      <c r="C39" s="97" t="s">
        <v>516</v>
      </c>
      <c r="D39" s="97" t="s">
        <v>479</v>
      </c>
      <c r="E39" s="97" t="s">
        <v>446</v>
      </c>
      <c r="F39" s="97" t="s">
        <v>217</v>
      </c>
      <c r="G39" s="98">
        <v>0</v>
      </c>
      <c r="H39" s="98">
        <v>219001</v>
      </c>
      <c r="I39" s="850"/>
      <c r="J39" s="850"/>
      <c r="K39" s="850"/>
      <c r="L39" s="858">
        <f t="shared" si="0"/>
        <v>-219001</v>
      </c>
    </row>
    <row r="40" spans="1:12">
      <c r="A40" s="856"/>
      <c r="B40" s="856"/>
      <c r="C40" s="850"/>
      <c r="D40" s="850"/>
      <c r="E40" s="850"/>
      <c r="F40" s="850"/>
      <c r="G40" s="848"/>
      <c r="H40" s="848"/>
      <c r="I40" s="850"/>
      <c r="J40" s="850"/>
      <c r="K40" s="850"/>
      <c r="L40" s="858">
        <f t="shared" si="0"/>
        <v>0</v>
      </c>
    </row>
    <row r="41" spans="1:12">
      <c r="A41" s="856"/>
      <c r="B41" s="856"/>
      <c r="C41" s="850"/>
      <c r="D41" s="850"/>
      <c r="E41" s="850"/>
      <c r="F41" s="850"/>
      <c r="G41" s="848"/>
      <c r="H41" s="848"/>
      <c r="I41" s="850"/>
      <c r="J41" s="850"/>
      <c r="K41" s="850"/>
      <c r="L41" s="858">
        <f t="shared" si="0"/>
        <v>0</v>
      </c>
    </row>
  </sheetData>
  <autoFilter ref="A5:L41" xr:uid="{72D6354D-BB3F-475A-9D27-948E4C35199C}"/>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9A2A5-FEDC-4BE9-8691-EA363AA7C5C8}">
  <sheetPr codeName="Sheet20"/>
  <dimension ref="A1:K53"/>
  <sheetViews>
    <sheetView workbookViewId="0">
      <selection activeCell="H14" sqref="H14"/>
    </sheetView>
  </sheetViews>
  <sheetFormatPr defaultRowHeight="15"/>
  <cols>
    <col min="2" max="2" width="41.140625" bestFit="1" customWidth="1"/>
    <col min="3" max="3" width="14.140625" bestFit="1" customWidth="1"/>
    <col min="4" max="4" width="8.85546875" bestFit="1" customWidth="1"/>
    <col min="5" max="6" width="14.85546875" bestFit="1" customWidth="1"/>
    <col min="7" max="7" width="16.85546875" bestFit="1" customWidth="1"/>
    <col min="8" max="8" width="14.85546875" bestFit="1" customWidth="1"/>
    <col min="9" max="9" width="15" bestFit="1" customWidth="1"/>
  </cols>
  <sheetData>
    <row r="1" spans="1:11">
      <c r="A1" s="1" t="s">
        <v>0</v>
      </c>
      <c r="B1" s="850" t="s">
        <v>517</v>
      </c>
    </row>
    <row r="2" spans="1:11">
      <c r="A2" s="1" t="s">
        <v>2</v>
      </c>
      <c r="B2" s="852">
        <v>45657</v>
      </c>
    </row>
    <row r="3" spans="1:11">
      <c r="A3" s="3" t="s">
        <v>518</v>
      </c>
      <c r="B3" s="850"/>
    </row>
    <row r="5" spans="1:11">
      <c r="A5" t="s">
        <v>4</v>
      </c>
      <c r="B5" t="s">
        <v>5</v>
      </c>
      <c r="C5" t="s">
        <v>6</v>
      </c>
      <c r="E5" t="s">
        <v>7</v>
      </c>
      <c r="G5" t="s">
        <v>8</v>
      </c>
    </row>
    <row r="6" spans="1:11">
      <c r="C6" t="s">
        <v>11</v>
      </c>
      <c r="D6" t="s">
        <v>12</v>
      </c>
      <c r="E6" t="s">
        <v>11</v>
      </c>
      <c r="F6" t="s">
        <v>12</v>
      </c>
      <c r="G6" t="s">
        <v>11</v>
      </c>
      <c r="H6" t="s">
        <v>12</v>
      </c>
      <c r="I6" t="s">
        <v>499</v>
      </c>
      <c r="J6" t="s">
        <v>519</v>
      </c>
      <c r="K6" t="s">
        <v>520</v>
      </c>
    </row>
    <row r="7" spans="1:11">
      <c r="A7" s="80" t="s">
        <v>13</v>
      </c>
      <c r="B7" s="81" t="s">
        <v>14</v>
      </c>
      <c r="C7" s="617">
        <v>45205</v>
      </c>
      <c r="D7" s="82">
        <v>0</v>
      </c>
      <c r="E7" s="82">
        <v>30059589</v>
      </c>
      <c r="F7" s="617">
        <v>30000000</v>
      </c>
      <c r="G7" s="617">
        <v>104794</v>
      </c>
      <c r="H7" s="82">
        <v>0</v>
      </c>
      <c r="I7" s="258">
        <f>G7-H7</f>
        <v>104794</v>
      </c>
      <c r="K7">
        <f>LEN(A7)</f>
        <v>3</v>
      </c>
    </row>
    <row r="8" spans="1:11">
      <c r="A8" s="83" t="s">
        <v>15</v>
      </c>
      <c r="B8" s="84" t="s">
        <v>16</v>
      </c>
      <c r="C8" s="618">
        <v>45205</v>
      </c>
      <c r="D8" s="85">
        <v>0</v>
      </c>
      <c r="E8" s="85">
        <v>30059589</v>
      </c>
      <c r="F8" s="618">
        <v>30000000</v>
      </c>
      <c r="G8" s="618">
        <v>104794</v>
      </c>
      <c r="H8" s="85">
        <v>0</v>
      </c>
      <c r="I8" s="258">
        <f t="shared" ref="I8:I45" si="0">G8-H8</f>
        <v>104794</v>
      </c>
      <c r="J8" s="233" t="s">
        <v>15</v>
      </c>
      <c r="K8">
        <f t="shared" ref="K8:K53" si="1">LEN(A8)</f>
        <v>4</v>
      </c>
    </row>
    <row r="9" spans="1:11">
      <c r="A9" s="80" t="s">
        <v>17</v>
      </c>
      <c r="B9" s="81" t="s">
        <v>18</v>
      </c>
      <c r="C9" s="617">
        <v>96998270</v>
      </c>
      <c r="D9" s="82">
        <v>0</v>
      </c>
      <c r="E9" s="82">
        <v>13725113344</v>
      </c>
      <c r="F9" s="617">
        <v>13258517721</v>
      </c>
      <c r="G9" s="617">
        <v>563593893</v>
      </c>
      <c r="H9" s="82">
        <v>0</v>
      </c>
      <c r="I9" s="258">
        <f t="shared" si="0"/>
        <v>563593893</v>
      </c>
      <c r="K9">
        <f t="shared" si="1"/>
        <v>3</v>
      </c>
    </row>
    <row r="10" spans="1:11">
      <c r="A10" s="83" t="s">
        <v>19</v>
      </c>
      <c r="B10" s="84" t="s">
        <v>16</v>
      </c>
      <c r="C10" s="618">
        <v>96998270</v>
      </c>
      <c r="D10" s="85">
        <v>0</v>
      </c>
      <c r="E10" s="85">
        <v>13725113344</v>
      </c>
      <c r="F10" s="618">
        <v>13258517721</v>
      </c>
      <c r="G10" s="618">
        <v>563593893</v>
      </c>
      <c r="H10" s="85">
        <v>0</v>
      </c>
      <c r="I10" s="258">
        <f t="shared" si="0"/>
        <v>563593893</v>
      </c>
      <c r="J10" s="233" t="s">
        <v>19</v>
      </c>
      <c r="K10">
        <f t="shared" si="1"/>
        <v>4</v>
      </c>
    </row>
    <row r="11" spans="1:11">
      <c r="A11" s="80" t="s">
        <v>25</v>
      </c>
      <c r="B11" s="81" t="s">
        <v>26</v>
      </c>
      <c r="C11" s="617">
        <v>0</v>
      </c>
      <c r="D11" s="82">
        <v>0</v>
      </c>
      <c r="E11" s="82">
        <v>10694571</v>
      </c>
      <c r="F11" s="617">
        <v>7770947</v>
      </c>
      <c r="G11" s="617">
        <v>2923624</v>
      </c>
      <c r="H11" s="82">
        <v>0</v>
      </c>
      <c r="I11" s="258">
        <f t="shared" si="0"/>
        <v>2923624</v>
      </c>
      <c r="K11">
        <f t="shared" si="1"/>
        <v>3</v>
      </c>
    </row>
    <row r="12" spans="1:11">
      <c r="A12" s="83" t="s">
        <v>29</v>
      </c>
      <c r="B12" s="84" t="s">
        <v>30</v>
      </c>
      <c r="C12" s="618">
        <v>0</v>
      </c>
      <c r="D12" s="85">
        <v>0</v>
      </c>
      <c r="E12" s="85">
        <v>10694571</v>
      </c>
      <c r="F12" s="618">
        <v>7770947</v>
      </c>
      <c r="G12" s="618">
        <v>2923624</v>
      </c>
      <c r="H12" s="85">
        <v>0</v>
      </c>
      <c r="I12" s="258">
        <f t="shared" si="0"/>
        <v>2923624</v>
      </c>
      <c r="J12" s="233" t="s">
        <v>521</v>
      </c>
      <c r="K12">
        <f t="shared" si="1"/>
        <v>4</v>
      </c>
    </row>
    <row r="13" spans="1:11">
      <c r="A13" s="80" t="s">
        <v>33</v>
      </c>
      <c r="B13" s="81" t="s">
        <v>34</v>
      </c>
      <c r="C13" s="617">
        <v>2322654488</v>
      </c>
      <c r="D13" s="82">
        <v>0</v>
      </c>
      <c r="E13" s="82">
        <v>11697068213</v>
      </c>
      <c r="F13" s="617">
        <v>11265140293</v>
      </c>
      <c r="G13" s="617">
        <v>2754582408</v>
      </c>
      <c r="H13" s="82">
        <v>0</v>
      </c>
      <c r="I13" s="258">
        <f t="shared" si="0"/>
        <v>2754582408</v>
      </c>
      <c r="J13" s="233"/>
      <c r="K13">
        <f t="shared" si="1"/>
        <v>3</v>
      </c>
    </row>
    <row r="14" spans="1:11">
      <c r="A14" s="83" t="s">
        <v>35</v>
      </c>
      <c r="B14" s="84" t="s">
        <v>36</v>
      </c>
      <c r="C14" s="618">
        <v>2322654488</v>
      </c>
      <c r="D14" s="85">
        <v>0</v>
      </c>
      <c r="E14" s="85">
        <v>8297068213</v>
      </c>
      <c r="F14" s="618">
        <v>7865140293</v>
      </c>
      <c r="G14" s="618">
        <v>2754582408</v>
      </c>
      <c r="H14" s="85">
        <v>0</v>
      </c>
      <c r="I14" s="258">
        <f t="shared" si="0"/>
        <v>2754582408</v>
      </c>
      <c r="J14" s="233" t="s">
        <v>37</v>
      </c>
      <c r="K14">
        <f t="shared" si="1"/>
        <v>4</v>
      </c>
    </row>
    <row r="15" spans="1:11">
      <c r="A15" s="83" t="s">
        <v>45</v>
      </c>
      <c r="B15" s="84" t="s">
        <v>46</v>
      </c>
      <c r="C15" s="618">
        <v>0</v>
      </c>
      <c r="D15" s="85">
        <v>0</v>
      </c>
      <c r="E15" s="85">
        <v>3400000000</v>
      </c>
      <c r="F15" s="618">
        <v>3400000000</v>
      </c>
      <c r="G15" s="618">
        <v>0</v>
      </c>
      <c r="H15" s="85">
        <v>0</v>
      </c>
      <c r="I15" s="258">
        <f t="shared" si="0"/>
        <v>0</v>
      </c>
      <c r="K15">
        <f t="shared" si="1"/>
        <v>4</v>
      </c>
    </row>
    <row r="16" spans="1:11">
      <c r="A16" s="80" t="s">
        <v>47</v>
      </c>
      <c r="B16" s="81" t="s">
        <v>48</v>
      </c>
      <c r="C16" s="617">
        <v>0</v>
      </c>
      <c r="D16" s="82">
        <v>0</v>
      </c>
      <c r="E16" s="82">
        <v>4984110</v>
      </c>
      <c r="F16" s="617">
        <v>4984110</v>
      </c>
      <c r="G16" s="617">
        <v>0</v>
      </c>
      <c r="H16" s="82">
        <v>0</v>
      </c>
      <c r="I16" s="258">
        <f t="shared" si="0"/>
        <v>0</v>
      </c>
      <c r="K16">
        <f t="shared" si="1"/>
        <v>3</v>
      </c>
    </row>
    <row r="17" spans="1:11">
      <c r="A17" s="80" t="s">
        <v>49</v>
      </c>
      <c r="B17" s="81" t="s">
        <v>50</v>
      </c>
      <c r="C17" s="617">
        <v>680210</v>
      </c>
      <c r="D17" s="82">
        <v>0</v>
      </c>
      <c r="E17" s="82">
        <v>0</v>
      </c>
      <c r="F17" s="617">
        <v>5417</v>
      </c>
      <c r="G17" s="617">
        <v>674793</v>
      </c>
      <c r="H17" s="82">
        <v>0</v>
      </c>
      <c r="I17" s="258">
        <f t="shared" si="0"/>
        <v>674793</v>
      </c>
      <c r="J17" s="233" t="s">
        <v>51</v>
      </c>
      <c r="K17">
        <f t="shared" si="1"/>
        <v>3</v>
      </c>
    </row>
    <row r="18" spans="1:11">
      <c r="A18" s="83" t="s">
        <v>51</v>
      </c>
      <c r="B18" s="84" t="s">
        <v>52</v>
      </c>
      <c r="C18" s="618">
        <v>680210</v>
      </c>
      <c r="D18" s="85">
        <v>0</v>
      </c>
      <c r="E18" s="85">
        <v>0</v>
      </c>
      <c r="F18" s="618">
        <v>5417</v>
      </c>
      <c r="G18" s="618">
        <v>674793</v>
      </c>
      <c r="H18" s="85">
        <v>0</v>
      </c>
      <c r="I18" s="258">
        <f t="shared" si="0"/>
        <v>674793</v>
      </c>
      <c r="K18">
        <f t="shared" si="1"/>
        <v>4</v>
      </c>
    </row>
    <row r="19" spans="1:11">
      <c r="A19" s="80" t="s">
        <v>55</v>
      </c>
      <c r="B19" s="81" t="s">
        <v>56</v>
      </c>
      <c r="C19" s="617">
        <v>2972584</v>
      </c>
      <c r="D19" s="82">
        <v>0</v>
      </c>
      <c r="E19" s="82">
        <v>49650028</v>
      </c>
      <c r="F19" s="617">
        <v>48261369</v>
      </c>
      <c r="G19" s="617">
        <v>4361243</v>
      </c>
      <c r="H19" s="82">
        <v>0</v>
      </c>
      <c r="I19" s="258">
        <f t="shared" si="0"/>
        <v>4361243</v>
      </c>
      <c r="J19" t="s">
        <v>62</v>
      </c>
      <c r="K19">
        <f t="shared" si="1"/>
        <v>3</v>
      </c>
    </row>
    <row r="20" spans="1:11">
      <c r="A20" s="80" t="s">
        <v>57</v>
      </c>
      <c r="B20" s="81" t="s">
        <v>56</v>
      </c>
      <c r="C20" s="617">
        <v>2972584</v>
      </c>
      <c r="D20" s="82">
        <v>0</v>
      </c>
      <c r="E20" s="82">
        <v>49650028</v>
      </c>
      <c r="F20" s="617">
        <v>48261369</v>
      </c>
      <c r="G20" s="617">
        <v>4361243</v>
      </c>
      <c r="H20" s="82">
        <v>0</v>
      </c>
      <c r="I20" s="258">
        <f t="shared" si="0"/>
        <v>4361243</v>
      </c>
      <c r="J20" s="233"/>
      <c r="K20">
        <f t="shared" si="1"/>
        <v>4</v>
      </c>
    </row>
    <row r="21" spans="1:11">
      <c r="A21" s="83" t="s">
        <v>62</v>
      </c>
      <c r="B21" s="84" t="s">
        <v>56</v>
      </c>
      <c r="C21" s="618">
        <v>2972584</v>
      </c>
      <c r="D21" s="85">
        <v>0</v>
      </c>
      <c r="E21" s="85">
        <v>49650028</v>
      </c>
      <c r="F21" s="618">
        <v>48261369</v>
      </c>
      <c r="G21" s="618">
        <v>4361243</v>
      </c>
      <c r="H21" s="85">
        <v>0</v>
      </c>
      <c r="I21" s="258">
        <f t="shared" si="0"/>
        <v>4361243</v>
      </c>
      <c r="J21" s="233"/>
      <c r="K21">
        <f t="shared" si="1"/>
        <v>9</v>
      </c>
    </row>
    <row r="22" spans="1:11">
      <c r="A22" s="80" t="s">
        <v>97</v>
      </c>
      <c r="B22" s="81" t="s">
        <v>98</v>
      </c>
      <c r="C22" s="617">
        <v>0</v>
      </c>
      <c r="D22" s="82">
        <v>0</v>
      </c>
      <c r="E22" s="82">
        <v>1458000000</v>
      </c>
      <c r="F22" s="617">
        <v>0</v>
      </c>
      <c r="G22" s="617">
        <v>1458000000</v>
      </c>
      <c r="H22" s="82">
        <v>0</v>
      </c>
      <c r="I22" s="258">
        <f t="shared" si="0"/>
        <v>1458000000</v>
      </c>
      <c r="J22" s="233" t="s">
        <v>99</v>
      </c>
      <c r="K22">
        <f t="shared" si="1"/>
        <v>3</v>
      </c>
    </row>
    <row r="23" spans="1:11">
      <c r="A23" s="83" t="s">
        <v>99</v>
      </c>
      <c r="B23" s="84" t="s">
        <v>98</v>
      </c>
      <c r="C23" s="618">
        <v>0</v>
      </c>
      <c r="D23" s="85">
        <v>0</v>
      </c>
      <c r="E23" s="85">
        <v>1458000000</v>
      </c>
      <c r="F23" s="618">
        <v>0</v>
      </c>
      <c r="G23" s="618">
        <v>1458000000</v>
      </c>
      <c r="H23" s="85">
        <v>0</v>
      </c>
      <c r="I23" s="258">
        <f t="shared" si="0"/>
        <v>1458000000</v>
      </c>
      <c r="J23" s="233"/>
      <c r="K23">
        <f t="shared" si="1"/>
        <v>4</v>
      </c>
    </row>
    <row r="24" spans="1:11">
      <c r="A24" s="80" t="s">
        <v>112</v>
      </c>
      <c r="B24" s="81" t="s">
        <v>113</v>
      </c>
      <c r="C24" s="617">
        <v>7809375</v>
      </c>
      <c r="D24" s="82">
        <v>0</v>
      </c>
      <c r="E24" s="82">
        <v>144000000</v>
      </c>
      <c r="F24" s="617">
        <v>100462500</v>
      </c>
      <c r="G24" s="617">
        <v>51346875</v>
      </c>
      <c r="H24" s="82">
        <v>0</v>
      </c>
      <c r="I24" s="258">
        <f t="shared" si="0"/>
        <v>51346875</v>
      </c>
      <c r="J24" s="233" t="s">
        <v>522</v>
      </c>
      <c r="K24">
        <f t="shared" si="1"/>
        <v>3</v>
      </c>
    </row>
    <row r="25" spans="1:11">
      <c r="A25" s="83" t="s">
        <v>523</v>
      </c>
      <c r="B25" s="84" t="s">
        <v>524</v>
      </c>
      <c r="C25" s="618">
        <v>7809375</v>
      </c>
      <c r="D25" s="85">
        <v>0</v>
      </c>
      <c r="E25" s="85">
        <v>0</v>
      </c>
      <c r="F25" s="618">
        <v>4462500</v>
      </c>
      <c r="G25" s="618">
        <v>3346875</v>
      </c>
      <c r="H25" s="85">
        <v>0</v>
      </c>
      <c r="I25" s="258">
        <f t="shared" si="0"/>
        <v>3346875</v>
      </c>
      <c r="K25">
        <f t="shared" si="1"/>
        <v>4</v>
      </c>
    </row>
    <row r="26" spans="1:11">
      <c r="A26" s="80" t="s">
        <v>116</v>
      </c>
      <c r="B26" s="81" t="s">
        <v>113</v>
      </c>
      <c r="C26" s="617">
        <v>0</v>
      </c>
      <c r="D26" s="82">
        <v>0</v>
      </c>
      <c r="E26" s="82">
        <v>144000000</v>
      </c>
      <c r="F26" s="617">
        <v>96000000</v>
      </c>
      <c r="G26" s="617">
        <v>48000000</v>
      </c>
      <c r="H26" s="82">
        <v>0</v>
      </c>
      <c r="I26" s="258">
        <f t="shared" si="0"/>
        <v>48000000</v>
      </c>
      <c r="K26">
        <f t="shared" si="1"/>
        <v>4</v>
      </c>
    </row>
    <row r="27" spans="1:11">
      <c r="A27" s="83" t="s">
        <v>117</v>
      </c>
      <c r="B27" s="84" t="s">
        <v>525</v>
      </c>
      <c r="C27" s="618">
        <v>0</v>
      </c>
      <c r="D27" s="85">
        <v>0</v>
      </c>
      <c r="E27" s="85">
        <v>144000000</v>
      </c>
      <c r="F27" s="618">
        <v>96000000</v>
      </c>
      <c r="G27" s="618">
        <v>48000000</v>
      </c>
      <c r="H27" s="85">
        <v>0</v>
      </c>
      <c r="I27" s="258">
        <f t="shared" si="0"/>
        <v>48000000</v>
      </c>
      <c r="K27">
        <f t="shared" si="1"/>
        <v>7</v>
      </c>
    </row>
    <row r="28" spans="1:11">
      <c r="A28" s="80" t="s">
        <v>121</v>
      </c>
      <c r="B28" s="81" t="s">
        <v>122</v>
      </c>
      <c r="C28" s="617">
        <v>16000000</v>
      </c>
      <c r="D28" s="82">
        <v>0</v>
      </c>
      <c r="E28" s="82">
        <v>0</v>
      </c>
      <c r="F28" s="617">
        <v>0</v>
      </c>
      <c r="G28" s="617">
        <v>16000000</v>
      </c>
      <c r="H28" s="82">
        <v>0</v>
      </c>
      <c r="I28" s="258">
        <f t="shared" si="0"/>
        <v>16000000</v>
      </c>
      <c r="J28" s="233" t="s">
        <v>121</v>
      </c>
      <c r="K28">
        <f t="shared" si="1"/>
        <v>3</v>
      </c>
    </row>
    <row r="29" spans="1:11">
      <c r="A29" s="80" t="s">
        <v>128</v>
      </c>
      <c r="B29" s="81" t="s">
        <v>129</v>
      </c>
      <c r="C29" s="617">
        <v>0</v>
      </c>
      <c r="D29" s="82">
        <v>400000</v>
      </c>
      <c r="E29" s="82">
        <v>6863417</v>
      </c>
      <c r="F29" s="617">
        <v>6463417</v>
      </c>
      <c r="G29" s="617">
        <v>0</v>
      </c>
      <c r="H29" s="82">
        <v>0</v>
      </c>
      <c r="I29" s="258">
        <f t="shared" si="0"/>
        <v>0</v>
      </c>
      <c r="K29">
        <f t="shared" si="1"/>
        <v>3</v>
      </c>
    </row>
    <row r="30" spans="1:11">
      <c r="A30" s="80" t="s">
        <v>130</v>
      </c>
      <c r="B30" s="81" t="s">
        <v>131</v>
      </c>
      <c r="C30" s="617">
        <v>0</v>
      </c>
      <c r="D30" s="82">
        <v>0</v>
      </c>
      <c r="E30" s="82">
        <v>5417</v>
      </c>
      <c r="F30" s="617">
        <v>5417</v>
      </c>
      <c r="G30" s="617">
        <v>0</v>
      </c>
      <c r="H30" s="82">
        <v>0</v>
      </c>
      <c r="I30" s="258">
        <f t="shared" si="0"/>
        <v>0</v>
      </c>
      <c r="K30">
        <f t="shared" si="1"/>
        <v>4</v>
      </c>
    </row>
    <row r="31" spans="1:11">
      <c r="A31" s="83" t="s">
        <v>132</v>
      </c>
      <c r="B31" s="84" t="s">
        <v>133</v>
      </c>
      <c r="C31" s="618">
        <v>0</v>
      </c>
      <c r="D31" s="85">
        <v>0</v>
      </c>
      <c r="E31" s="85">
        <v>5417</v>
      </c>
      <c r="F31" s="618">
        <v>5417</v>
      </c>
      <c r="G31" s="618">
        <v>0</v>
      </c>
      <c r="H31" s="85">
        <v>0</v>
      </c>
      <c r="I31" s="258">
        <f t="shared" si="0"/>
        <v>0</v>
      </c>
      <c r="K31">
        <f t="shared" si="1"/>
        <v>5</v>
      </c>
    </row>
    <row r="32" spans="1:11">
      <c r="A32" s="83" t="s">
        <v>134</v>
      </c>
      <c r="B32" s="84" t="s">
        <v>135</v>
      </c>
      <c r="C32" s="618">
        <v>0</v>
      </c>
      <c r="D32" s="85">
        <v>400000</v>
      </c>
      <c r="E32" s="85">
        <v>4858000</v>
      </c>
      <c r="F32" s="618">
        <v>4458000</v>
      </c>
      <c r="G32" s="618">
        <v>0</v>
      </c>
      <c r="H32" s="85">
        <v>0</v>
      </c>
      <c r="I32" s="258">
        <f t="shared" si="0"/>
        <v>0</v>
      </c>
      <c r="J32" s="233" t="s">
        <v>526</v>
      </c>
      <c r="K32">
        <f t="shared" si="1"/>
        <v>4</v>
      </c>
    </row>
    <row r="33" spans="1:11">
      <c r="A33" s="83" t="s">
        <v>146</v>
      </c>
      <c r="B33" s="84" t="s">
        <v>147</v>
      </c>
      <c r="C33" s="618">
        <v>0</v>
      </c>
      <c r="D33" s="85">
        <v>0</v>
      </c>
      <c r="E33" s="85">
        <v>2000000</v>
      </c>
      <c r="F33" s="618">
        <v>2000000</v>
      </c>
      <c r="G33" s="618">
        <v>0</v>
      </c>
      <c r="H33" s="85">
        <v>0</v>
      </c>
      <c r="I33" s="258">
        <f t="shared" si="0"/>
        <v>0</v>
      </c>
      <c r="J33" s="233"/>
      <c r="K33">
        <f t="shared" si="1"/>
        <v>4</v>
      </c>
    </row>
    <row r="34" spans="1:11">
      <c r="A34" s="80" t="s">
        <v>156</v>
      </c>
      <c r="B34" s="81" t="s">
        <v>157</v>
      </c>
      <c r="C34" s="617">
        <v>0</v>
      </c>
      <c r="D34" s="82">
        <v>0</v>
      </c>
      <c r="E34" s="82">
        <v>1458000</v>
      </c>
      <c r="F34" s="617">
        <v>1458000</v>
      </c>
      <c r="G34" s="617">
        <v>0</v>
      </c>
      <c r="H34" s="82">
        <v>0</v>
      </c>
      <c r="I34" s="258">
        <f t="shared" si="0"/>
        <v>0</v>
      </c>
      <c r="K34">
        <f t="shared" si="1"/>
        <v>3</v>
      </c>
    </row>
    <row r="35" spans="1:11">
      <c r="A35" s="83" t="s">
        <v>168</v>
      </c>
      <c r="B35" s="84" t="s">
        <v>157</v>
      </c>
      <c r="C35" s="618">
        <v>0</v>
      </c>
      <c r="D35" s="85">
        <v>0</v>
      </c>
      <c r="E35" s="85">
        <v>1458000</v>
      </c>
      <c r="F35" s="618">
        <v>1458000</v>
      </c>
      <c r="G35" s="618">
        <v>0</v>
      </c>
      <c r="H35" s="85">
        <v>0</v>
      </c>
      <c r="I35" s="258">
        <f t="shared" si="0"/>
        <v>0</v>
      </c>
      <c r="K35">
        <f t="shared" si="1"/>
        <v>4</v>
      </c>
    </row>
    <row r="36" spans="1:11">
      <c r="A36" s="80" t="s">
        <v>203</v>
      </c>
      <c r="B36" s="81" t="s">
        <v>204</v>
      </c>
      <c r="C36" s="617">
        <v>0</v>
      </c>
      <c r="D36" s="82">
        <v>2500000000</v>
      </c>
      <c r="E36" s="82">
        <v>0</v>
      </c>
      <c r="F36" s="617">
        <v>2400000000</v>
      </c>
      <c r="G36" s="617">
        <v>0</v>
      </c>
      <c r="H36" s="82">
        <v>4900000000</v>
      </c>
      <c r="I36" s="258">
        <f t="shared" si="0"/>
        <v>-4900000000</v>
      </c>
      <c r="K36">
        <f t="shared" si="1"/>
        <v>3</v>
      </c>
    </row>
    <row r="37" spans="1:11">
      <c r="A37" s="80" t="s">
        <v>205</v>
      </c>
      <c r="B37" s="81" t="s">
        <v>206</v>
      </c>
      <c r="C37" s="617">
        <v>0</v>
      </c>
      <c r="D37" s="82">
        <v>2500000000</v>
      </c>
      <c r="E37" s="82">
        <v>0</v>
      </c>
      <c r="F37" s="617">
        <v>2400000000</v>
      </c>
      <c r="G37" s="617">
        <v>0</v>
      </c>
      <c r="H37" s="82">
        <v>4900000000</v>
      </c>
      <c r="I37" s="258">
        <f t="shared" si="0"/>
        <v>-4900000000</v>
      </c>
      <c r="K37">
        <f t="shared" si="1"/>
        <v>4</v>
      </c>
    </row>
    <row r="38" spans="1:11">
      <c r="A38" s="83" t="s">
        <v>207</v>
      </c>
      <c r="B38" s="84" t="s">
        <v>208</v>
      </c>
      <c r="C38" s="618">
        <v>0</v>
      </c>
      <c r="D38" s="85">
        <v>2500000000</v>
      </c>
      <c r="E38" s="85">
        <v>0</v>
      </c>
      <c r="F38" s="618">
        <v>2400000000</v>
      </c>
      <c r="G38" s="618">
        <v>0</v>
      </c>
      <c r="H38" s="85">
        <v>4900000000</v>
      </c>
      <c r="I38" s="258">
        <f t="shared" si="0"/>
        <v>-4900000000</v>
      </c>
      <c r="J38" s="233" t="s">
        <v>207</v>
      </c>
      <c r="K38">
        <f t="shared" si="1"/>
        <v>5</v>
      </c>
    </row>
    <row r="39" spans="1:11">
      <c r="A39" s="80" t="s">
        <v>213</v>
      </c>
      <c r="B39" s="81" t="s">
        <v>214</v>
      </c>
      <c r="C39" s="617">
        <v>53239868</v>
      </c>
      <c r="D39" s="82">
        <v>0</v>
      </c>
      <c r="E39" s="82">
        <v>31916882</v>
      </c>
      <c r="F39" s="617">
        <v>36744380</v>
      </c>
      <c r="G39" s="617">
        <v>48412370</v>
      </c>
      <c r="H39" s="82">
        <v>0</v>
      </c>
      <c r="I39" s="258">
        <f t="shared" si="0"/>
        <v>48412370</v>
      </c>
      <c r="K39">
        <f t="shared" si="1"/>
        <v>3</v>
      </c>
    </row>
    <row r="40" spans="1:11">
      <c r="A40" s="83" t="s">
        <v>215</v>
      </c>
      <c r="B40" s="84" t="s">
        <v>216</v>
      </c>
      <c r="C40" s="618">
        <v>33027922</v>
      </c>
      <c r="D40" s="85">
        <v>0</v>
      </c>
      <c r="E40" s="85">
        <v>20211946</v>
      </c>
      <c r="F40" s="618">
        <v>0</v>
      </c>
      <c r="G40" s="618">
        <v>53239868</v>
      </c>
      <c r="H40" s="85">
        <v>0</v>
      </c>
      <c r="I40" s="258">
        <f t="shared" si="0"/>
        <v>53239868</v>
      </c>
      <c r="J40" s="233" t="s">
        <v>215</v>
      </c>
      <c r="K40">
        <f t="shared" si="1"/>
        <v>4</v>
      </c>
    </row>
    <row r="41" spans="1:11">
      <c r="A41" s="83" t="s">
        <v>217</v>
      </c>
      <c r="B41" s="84" t="s">
        <v>218</v>
      </c>
      <c r="C41" s="618">
        <v>20211946</v>
      </c>
      <c r="D41" s="85">
        <v>0</v>
      </c>
      <c r="E41" s="85">
        <v>11704936</v>
      </c>
      <c r="F41" s="618">
        <v>36744380</v>
      </c>
      <c r="G41" s="618">
        <v>0</v>
      </c>
      <c r="H41" s="85">
        <v>4827498</v>
      </c>
      <c r="I41" s="258">
        <f t="shared" si="0"/>
        <v>-4827498</v>
      </c>
      <c r="J41" s="233" t="s">
        <v>217</v>
      </c>
      <c r="K41">
        <f t="shared" si="1"/>
        <v>4</v>
      </c>
    </row>
    <row r="42" spans="1:11">
      <c r="A42" s="80" t="s">
        <v>219</v>
      </c>
      <c r="B42" s="81" t="s">
        <v>220</v>
      </c>
      <c r="C42" s="617">
        <v>0</v>
      </c>
      <c r="D42" s="82">
        <v>0</v>
      </c>
      <c r="E42" s="82">
        <v>54172</v>
      </c>
      <c r="F42" s="617">
        <v>54172</v>
      </c>
      <c r="G42" s="617">
        <v>0</v>
      </c>
      <c r="H42" s="82">
        <v>0</v>
      </c>
      <c r="I42" s="258">
        <f t="shared" si="0"/>
        <v>0</v>
      </c>
      <c r="K42">
        <f t="shared" si="1"/>
        <v>3</v>
      </c>
    </row>
    <row r="43" spans="1:11">
      <c r="A43" s="83" t="s">
        <v>221</v>
      </c>
      <c r="B43" s="84" t="s">
        <v>222</v>
      </c>
      <c r="C43" s="618">
        <v>0</v>
      </c>
      <c r="D43" s="85">
        <v>0</v>
      </c>
      <c r="E43" s="85">
        <v>54172</v>
      </c>
      <c r="F43" s="618">
        <v>54172</v>
      </c>
      <c r="G43" s="618">
        <v>0</v>
      </c>
      <c r="H43" s="85">
        <v>0</v>
      </c>
      <c r="I43" s="258">
        <f t="shared" si="0"/>
        <v>0</v>
      </c>
      <c r="K43">
        <f t="shared" si="1"/>
        <v>4</v>
      </c>
    </row>
    <row r="44" spans="1:11">
      <c r="A44" s="80" t="s">
        <v>247</v>
      </c>
      <c r="B44" s="81" t="s">
        <v>248</v>
      </c>
      <c r="C44" s="617">
        <v>0</v>
      </c>
      <c r="D44" s="82">
        <v>0</v>
      </c>
      <c r="E44" s="82">
        <v>152938995</v>
      </c>
      <c r="F44" s="617">
        <v>152938995</v>
      </c>
      <c r="G44" s="617">
        <v>0</v>
      </c>
      <c r="H44" s="82">
        <v>0</v>
      </c>
      <c r="I44" s="258">
        <f t="shared" si="0"/>
        <v>0</v>
      </c>
      <c r="K44">
        <f t="shared" si="1"/>
        <v>3</v>
      </c>
    </row>
    <row r="45" spans="1:11">
      <c r="A45" s="80" t="s">
        <v>305</v>
      </c>
      <c r="B45" s="81" t="s">
        <v>306</v>
      </c>
      <c r="C45" s="617">
        <v>0</v>
      </c>
      <c r="D45" s="82">
        <v>0</v>
      </c>
      <c r="E45" s="82">
        <v>11800</v>
      </c>
      <c r="F45" s="617">
        <v>11800</v>
      </c>
      <c r="G45" s="617">
        <v>0</v>
      </c>
      <c r="H45" s="82">
        <v>0</v>
      </c>
      <c r="I45" s="258">
        <f t="shared" si="0"/>
        <v>0</v>
      </c>
      <c r="K45">
        <f t="shared" si="1"/>
        <v>3</v>
      </c>
    </row>
    <row r="46" spans="1:11">
      <c r="A46" s="80" t="s">
        <v>374</v>
      </c>
      <c r="B46" s="81" t="s">
        <v>375</v>
      </c>
      <c r="C46" s="617">
        <v>0</v>
      </c>
      <c r="D46" s="82">
        <v>0</v>
      </c>
      <c r="E46" s="82">
        <v>102892500</v>
      </c>
      <c r="F46" s="617">
        <v>102892500</v>
      </c>
      <c r="G46" s="617">
        <v>0</v>
      </c>
      <c r="H46" s="82">
        <v>0</v>
      </c>
      <c r="K46">
        <f t="shared" si="1"/>
        <v>3</v>
      </c>
    </row>
    <row r="47" spans="1:11">
      <c r="A47" s="83" t="s">
        <v>381</v>
      </c>
      <c r="B47" s="84" t="s">
        <v>382</v>
      </c>
      <c r="C47" s="618">
        <v>0</v>
      </c>
      <c r="D47" s="85">
        <v>0</v>
      </c>
      <c r="E47" s="85">
        <v>4462500</v>
      </c>
      <c r="F47" s="618">
        <v>4462500</v>
      </c>
      <c r="G47" s="618">
        <v>0</v>
      </c>
      <c r="H47" s="85">
        <v>0</v>
      </c>
      <c r="K47">
        <f t="shared" si="1"/>
        <v>4</v>
      </c>
    </row>
    <row r="48" spans="1:11">
      <c r="A48" s="83" t="s">
        <v>384</v>
      </c>
      <c r="B48" s="84" t="s">
        <v>385</v>
      </c>
      <c r="C48" s="618">
        <v>0</v>
      </c>
      <c r="D48" s="85">
        <v>0</v>
      </c>
      <c r="E48" s="85">
        <v>2000000</v>
      </c>
      <c r="F48" s="618">
        <v>2000000</v>
      </c>
      <c r="G48" s="618">
        <v>0</v>
      </c>
      <c r="H48" s="85">
        <v>0</v>
      </c>
      <c r="K48">
        <f t="shared" si="1"/>
        <v>4</v>
      </c>
    </row>
    <row r="49" spans="1:11">
      <c r="A49" s="80" t="s">
        <v>386</v>
      </c>
      <c r="B49" s="81" t="s">
        <v>272</v>
      </c>
      <c r="C49" s="617">
        <v>0</v>
      </c>
      <c r="D49" s="82">
        <v>0</v>
      </c>
      <c r="E49" s="82">
        <v>96330000</v>
      </c>
      <c r="F49" s="617">
        <v>96330000</v>
      </c>
      <c r="G49" s="617">
        <v>0</v>
      </c>
      <c r="H49" s="82">
        <v>0</v>
      </c>
      <c r="K49">
        <f t="shared" si="1"/>
        <v>4</v>
      </c>
    </row>
    <row r="50" spans="1:11">
      <c r="A50" s="83" t="s">
        <v>393</v>
      </c>
      <c r="B50" s="84" t="s">
        <v>394</v>
      </c>
      <c r="C50" s="618">
        <v>0</v>
      </c>
      <c r="D50" s="85">
        <v>0</v>
      </c>
      <c r="E50" s="85">
        <v>330000</v>
      </c>
      <c r="F50" s="618">
        <v>330000</v>
      </c>
      <c r="G50" s="618">
        <v>0</v>
      </c>
      <c r="H50" s="85">
        <v>0</v>
      </c>
      <c r="K50">
        <f t="shared" si="1"/>
        <v>7</v>
      </c>
    </row>
    <row r="51" spans="1:11">
      <c r="A51" s="83" t="s">
        <v>424</v>
      </c>
      <c r="B51" s="84" t="s">
        <v>288</v>
      </c>
      <c r="C51" s="618">
        <v>0</v>
      </c>
      <c r="D51" s="85">
        <v>0</v>
      </c>
      <c r="E51" s="85">
        <v>96000000</v>
      </c>
      <c r="F51" s="618">
        <v>96000000</v>
      </c>
      <c r="G51" s="618">
        <v>0</v>
      </c>
      <c r="H51" s="85">
        <v>0</v>
      </c>
      <c r="K51">
        <f t="shared" si="1"/>
        <v>7</v>
      </c>
    </row>
    <row r="52" spans="1:11">
      <c r="A52" s="83" t="s">
        <v>434</v>
      </c>
      <c r="B52" s="84" t="s">
        <v>302</v>
      </c>
      <c r="C52" s="618">
        <v>0</v>
      </c>
      <c r="D52" s="85">
        <v>0</v>
      </c>
      <c r="E52" s="85">
        <v>100000</v>
      </c>
      <c r="F52" s="618">
        <v>100000</v>
      </c>
      <c r="G52" s="618">
        <v>0</v>
      </c>
      <c r="H52" s="85">
        <v>0</v>
      </c>
      <c r="K52">
        <f t="shared" si="1"/>
        <v>4</v>
      </c>
    </row>
    <row r="53" spans="1:11">
      <c r="A53" s="80" t="s">
        <v>446</v>
      </c>
      <c r="B53" s="81" t="s">
        <v>447</v>
      </c>
      <c r="C53" s="617">
        <v>0</v>
      </c>
      <c r="D53" s="82">
        <v>0</v>
      </c>
      <c r="E53" s="82">
        <v>119436734</v>
      </c>
      <c r="F53" s="617">
        <v>119436734</v>
      </c>
      <c r="G53" s="617">
        <v>0</v>
      </c>
      <c r="H53" s="82">
        <v>0</v>
      </c>
      <c r="K53">
        <f t="shared" si="1"/>
        <v>3</v>
      </c>
    </row>
  </sheetData>
  <autoFilter ref="A6:K53" xr:uid="{CC59A2A5-FEDC-4BE9-8691-EA363AA7C5C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8F351-8E28-4A92-9FE9-B3045003288E}">
  <sheetPr codeName="Sheet21"/>
  <dimension ref="A1:R64"/>
  <sheetViews>
    <sheetView workbookViewId="0">
      <selection activeCell="E5" sqref="E5"/>
    </sheetView>
  </sheetViews>
  <sheetFormatPr defaultRowHeight="15"/>
  <cols>
    <col min="1" max="1" width="13.85546875" bestFit="1" customWidth="1"/>
    <col min="2" max="2" width="12.85546875" bestFit="1" customWidth="1"/>
    <col min="3" max="3" width="10.5703125" bestFit="1" customWidth="1"/>
    <col min="4" max="4" width="7.85546875" bestFit="1" customWidth="1"/>
    <col min="5" max="5" width="8.85546875" bestFit="1" customWidth="1"/>
    <col min="6" max="6" width="9.5703125" bestFit="1" customWidth="1"/>
    <col min="7" max="7" width="12.5703125" bestFit="1" customWidth="1"/>
    <col min="8" max="8" width="13.85546875" bestFit="1" customWidth="1"/>
    <col min="9" max="9" width="12.140625" bestFit="1" customWidth="1"/>
    <col min="10" max="10" width="12.42578125" bestFit="1" customWidth="1"/>
    <col min="11" max="11" width="20.140625" bestFit="1" customWidth="1"/>
    <col min="12" max="12" width="14.42578125" bestFit="1" customWidth="1"/>
    <col min="14" max="14" width="12.42578125" bestFit="1" customWidth="1"/>
    <col min="15" max="15" width="12.5703125" bestFit="1" customWidth="1"/>
    <col min="17" max="17" width="14.42578125" bestFit="1" customWidth="1"/>
  </cols>
  <sheetData>
    <row r="1" spans="1:18">
      <c r="A1" s="1" t="s">
        <v>0</v>
      </c>
      <c r="B1" s="850" t="s">
        <v>517</v>
      </c>
    </row>
    <row r="2" spans="1:18">
      <c r="A2" s="1" t="s">
        <v>2</v>
      </c>
      <c r="B2" s="852">
        <v>45657</v>
      </c>
    </row>
    <row r="3" spans="1:18">
      <c r="A3" s="3" t="s">
        <v>527</v>
      </c>
      <c r="B3" s="850"/>
    </row>
    <row r="4" spans="1:18">
      <c r="L4" s="255">
        <f>SUBTOTAL(9,L6:L64)</f>
        <v>0</v>
      </c>
    </row>
    <row r="5" spans="1:18">
      <c r="A5" t="s">
        <v>449</v>
      </c>
      <c r="B5" t="s">
        <v>450</v>
      </c>
      <c r="C5" t="s">
        <v>451</v>
      </c>
      <c r="D5" t="s">
        <v>455</v>
      </c>
      <c r="E5" t="s">
        <v>456</v>
      </c>
      <c r="F5" t="s">
        <v>457</v>
      </c>
      <c r="G5" t="s">
        <v>459</v>
      </c>
      <c r="H5" t="s">
        <v>460</v>
      </c>
      <c r="I5" t="s">
        <v>461</v>
      </c>
      <c r="J5" t="s">
        <v>462</v>
      </c>
      <c r="K5" t="s">
        <v>466</v>
      </c>
      <c r="L5" t="s">
        <v>499</v>
      </c>
      <c r="N5" s="256" t="s">
        <v>469</v>
      </c>
      <c r="O5" t="s">
        <v>500</v>
      </c>
      <c r="R5" t="s">
        <v>528</v>
      </c>
    </row>
    <row r="6" spans="1:18">
      <c r="A6" s="96">
        <v>45322</v>
      </c>
      <c r="B6" s="96">
        <v>45322</v>
      </c>
      <c r="C6" s="97" t="s">
        <v>503</v>
      </c>
      <c r="D6" s="97" t="s">
        <v>472</v>
      </c>
      <c r="E6" s="97" t="s">
        <v>446</v>
      </c>
      <c r="F6" s="1289" t="s">
        <v>249</v>
      </c>
      <c r="G6" s="98">
        <v>0</v>
      </c>
      <c r="H6" s="98">
        <v>6456821</v>
      </c>
      <c r="I6" s="97"/>
      <c r="J6" s="97"/>
      <c r="K6" s="97" t="s">
        <v>488</v>
      </c>
      <c r="L6" s="255">
        <f>G6-H6</f>
        <v>-6456821</v>
      </c>
      <c r="N6" s="257" t="s">
        <v>217</v>
      </c>
      <c r="O6" s="258">
        <v>4827498</v>
      </c>
      <c r="P6" t="s">
        <v>217</v>
      </c>
      <c r="Q6" s="255">
        <v>-20211946</v>
      </c>
    </row>
    <row r="7" spans="1:18">
      <c r="A7" s="96">
        <v>45322</v>
      </c>
      <c r="B7" s="96">
        <v>45322</v>
      </c>
      <c r="C7" s="97" t="s">
        <v>503</v>
      </c>
      <c r="D7" s="97" t="s">
        <v>476</v>
      </c>
      <c r="E7" s="97" t="s">
        <v>446</v>
      </c>
      <c r="F7" s="97" t="s">
        <v>381</v>
      </c>
      <c r="G7" s="98">
        <v>371875</v>
      </c>
      <c r="H7" s="98">
        <v>0</v>
      </c>
      <c r="I7" s="97"/>
      <c r="J7" s="97"/>
      <c r="K7" s="97" t="s">
        <v>488</v>
      </c>
      <c r="L7" s="255">
        <f t="shared" ref="L7:L64" si="0">G7-H7</f>
        <v>371875</v>
      </c>
      <c r="N7" s="257" t="s">
        <v>221</v>
      </c>
      <c r="O7" s="258">
        <v>-54172</v>
      </c>
      <c r="P7" t="s">
        <v>221</v>
      </c>
      <c r="Q7" s="255">
        <v>-41095</v>
      </c>
      <c r="R7" s="233" t="s">
        <v>245</v>
      </c>
    </row>
    <row r="8" spans="1:18">
      <c r="A8" s="96">
        <v>45322</v>
      </c>
      <c r="B8" s="96">
        <v>45322</v>
      </c>
      <c r="C8" s="97" t="s">
        <v>503</v>
      </c>
      <c r="D8" s="97" t="s">
        <v>476</v>
      </c>
      <c r="E8" s="97" t="s">
        <v>446</v>
      </c>
      <c r="F8" s="97" t="s">
        <v>384</v>
      </c>
      <c r="G8" s="98">
        <v>2000000</v>
      </c>
      <c r="H8" s="98">
        <v>0</v>
      </c>
      <c r="I8" s="97"/>
      <c r="J8" s="97"/>
      <c r="K8" s="97" t="s">
        <v>488</v>
      </c>
      <c r="L8" s="255">
        <f t="shared" si="0"/>
        <v>2000000</v>
      </c>
      <c r="N8" s="257" t="s">
        <v>381</v>
      </c>
      <c r="O8" s="258">
        <v>4462500</v>
      </c>
      <c r="P8" t="s">
        <v>247</v>
      </c>
      <c r="Q8" s="255">
        <v>-87929459</v>
      </c>
      <c r="R8" s="233" t="s">
        <v>249</v>
      </c>
    </row>
    <row r="9" spans="1:18">
      <c r="A9" s="96">
        <v>45322</v>
      </c>
      <c r="B9" s="96">
        <v>45322</v>
      </c>
      <c r="C9" s="97" t="s">
        <v>503</v>
      </c>
      <c r="D9" s="97" t="s">
        <v>476</v>
      </c>
      <c r="E9" s="97" t="s">
        <v>446</v>
      </c>
      <c r="F9" s="97" t="s">
        <v>424</v>
      </c>
      <c r="G9" s="98">
        <v>8000000</v>
      </c>
      <c r="H9" s="98">
        <v>0</v>
      </c>
      <c r="I9" s="97"/>
      <c r="J9" s="97"/>
      <c r="K9" s="97" t="s">
        <v>488</v>
      </c>
      <c r="L9" s="255">
        <f t="shared" si="0"/>
        <v>8000000</v>
      </c>
      <c r="N9" s="257" t="s">
        <v>384</v>
      </c>
      <c r="O9" s="258">
        <v>2000000</v>
      </c>
      <c r="P9" t="s">
        <v>381</v>
      </c>
      <c r="Q9" s="255">
        <v>4462500</v>
      </c>
      <c r="R9" s="233" t="s">
        <v>381</v>
      </c>
    </row>
    <row r="10" spans="1:18">
      <c r="A10" s="96">
        <v>45322</v>
      </c>
      <c r="B10" s="96">
        <v>45322</v>
      </c>
      <c r="C10" s="97" t="s">
        <v>503</v>
      </c>
      <c r="D10" s="97" t="s">
        <v>479</v>
      </c>
      <c r="E10" s="97" t="s">
        <v>446</v>
      </c>
      <c r="F10" s="97" t="s">
        <v>217</v>
      </c>
      <c r="G10" s="98">
        <v>0</v>
      </c>
      <c r="H10" s="98">
        <v>3915054</v>
      </c>
      <c r="I10" s="97"/>
      <c r="J10" s="97"/>
      <c r="K10" s="97" t="s">
        <v>488</v>
      </c>
      <c r="L10" s="255">
        <f t="shared" si="0"/>
        <v>-3915054</v>
      </c>
      <c r="N10" s="257" t="s">
        <v>393</v>
      </c>
      <c r="O10" s="258">
        <v>330000</v>
      </c>
      <c r="P10" t="s">
        <v>384</v>
      </c>
      <c r="Q10" s="255">
        <v>2000000</v>
      </c>
      <c r="R10" s="233" t="s">
        <v>384</v>
      </c>
    </row>
    <row r="11" spans="1:18">
      <c r="A11" s="96">
        <v>45351</v>
      </c>
      <c r="B11" s="96">
        <v>45351</v>
      </c>
      <c r="C11" s="97" t="s">
        <v>504</v>
      </c>
      <c r="D11" s="97" t="s">
        <v>472</v>
      </c>
      <c r="E11" s="97" t="s">
        <v>446</v>
      </c>
      <c r="F11" s="1289" t="s">
        <v>249</v>
      </c>
      <c r="G11" s="98">
        <v>0</v>
      </c>
      <c r="H11" s="98">
        <v>7538740</v>
      </c>
      <c r="I11" s="97"/>
      <c r="J11" s="97"/>
      <c r="K11" s="97" t="s">
        <v>488</v>
      </c>
      <c r="L11" s="255">
        <f t="shared" si="0"/>
        <v>-7538740</v>
      </c>
      <c r="N11" s="257" t="s">
        <v>424</v>
      </c>
      <c r="O11" s="258">
        <v>96000000</v>
      </c>
      <c r="P11" t="s">
        <v>393</v>
      </c>
      <c r="Q11" s="255">
        <v>220000</v>
      </c>
      <c r="R11" s="233" t="s">
        <v>393</v>
      </c>
    </row>
    <row r="12" spans="1:18">
      <c r="A12" s="96">
        <v>45351</v>
      </c>
      <c r="B12" s="96">
        <v>45351</v>
      </c>
      <c r="C12" s="97" t="s">
        <v>504</v>
      </c>
      <c r="D12" s="97" t="s">
        <v>476</v>
      </c>
      <c r="E12" s="97" t="s">
        <v>446</v>
      </c>
      <c r="F12" s="97" t="s">
        <v>381</v>
      </c>
      <c r="G12" s="98">
        <v>371875</v>
      </c>
      <c r="H12" s="98">
        <v>0</v>
      </c>
      <c r="I12" s="97"/>
      <c r="J12" s="97"/>
      <c r="K12" s="97" t="s">
        <v>488</v>
      </c>
      <c r="L12" s="255">
        <f t="shared" si="0"/>
        <v>371875</v>
      </c>
      <c r="N12" s="257" t="s">
        <v>305</v>
      </c>
      <c r="O12" s="258">
        <v>11800</v>
      </c>
      <c r="P12" t="s">
        <v>424</v>
      </c>
      <c r="Q12" s="255">
        <v>99000000</v>
      </c>
      <c r="R12" s="233" t="s">
        <v>424</v>
      </c>
    </row>
    <row r="13" spans="1:18">
      <c r="A13" s="96">
        <v>45351</v>
      </c>
      <c r="B13" s="96">
        <v>45351</v>
      </c>
      <c r="C13" s="97" t="s">
        <v>504</v>
      </c>
      <c r="D13" s="97" t="s">
        <v>476</v>
      </c>
      <c r="E13" s="97" t="s">
        <v>446</v>
      </c>
      <c r="F13" s="97" t="s">
        <v>393</v>
      </c>
      <c r="G13" s="98">
        <v>55000</v>
      </c>
      <c r="H13" s="98">
        <v>0</v>
      </c>
      <c r="I13" s="97"/>
      <c r="J13" s="97"/>
      <c r="K13" s="97" t="s">
        <v>488</v>
      </c>
      <c r="L13" s="255">
        <f t="shared" si="0"/>
        <v>55000</v>
      </c>
      <c r="N13" s="257" t="s">
        <v>249</v>
      </c>
      <c r="O13" s="258">
        <v>-107677626</v>
      </c>
      <c r="P13" t="s">
        <v>432</v>
      </c>
      <c r="Q13" s="255">
        <v>2500000</v>
      </c>
      <c r="R13" s="233" t="s">
        <v>432</v>
      </c>
    </row>
    <row r="14" spans="1:18">
      <c r="A14" s="96">
        <v>45351</v>
      </c>
      <c r="B14" s="96">
        <v>45351</v>
      </c>
      <c r="C14" s="97" t="s">
        <v>504</v>
      </c>
      <c r="D14" s="97" t="s">
        <v>476</v>
      </c>
      <c r="E14" s="97" t="s">
        <v>446</v>
      </c>
      <c r="F14" s="97" t="s">
        <v>424</v>
      </c>
      <c r="G14" s="98">
        <v>8000000</v>
      </c>
      <c r="H14" s="98">
        <v>0</v>
      </c>
      <c r="I14" s="97"/>
      <c r="J14" s="97"/>
      <c r="K14" s="97" t="s">
        <v>488</v>
      </c>
      <c r="L14" s="255">
        <f t="shared" si="0"/>
        <v>8000000</v>
      </c>
      <c r="N14" s="257" t="s">
        <v>434</v>
      </c>
      <c r="O14" s="258">
        <v>100000</v>
      </c>
    </row>
    <row r="15" spans="1:18">
      <c r="A15" s="96">
        <v>45351</v>
      </c>
      <c r="B15" s="96">
        <v>45351</v>
      </c>
      <c r="C15" s="97" t="s">
        <v>504</v>
      </c>
      <c r="D15" s="97" t="s">
        <v>479</v>
      </c>
      <c r="E15" s="97" t="s">
        <v>446</v>
      </c>
      <c r="F15" s="97" t="s">
        <v>217</v>
      </c>
      <c r="G15" s="98">
        <v>0</v>
      </c>
      <c r="H15" s="98">
        <v>888135</v>
      </c>
      <c r="I15" s="97"/>
      <c r="J15" s="97"/>
      <c r="K15" s="97" t="s">
        <v>488</v>
      </c>
      <c r="L15" s="255">
        <f t="shared" si="0"/>
        <v>-888135</v>
      </c>
      <c r="N15" s="257" t="s">
        <v>481</v>
      </c>
      <c r="O15">
        <v>0</v>
      </c>
    </row>
    <row r="16" spans="1:18">
      <c r="A16" s="96">
        <v>45382</v>
      </c>
      <c r="B16" s="96">
        <v>45382</v>
      </c>
      <c r="C16" s="97" t="s">
        <v>507</v>
      </c>
      <c r="D16" s="97" t="s">
        <v>468</v>
      </c>
      <c r="E16" s="97" t="s">
        <v>446</v>
      </c>
      <c r="F16" s="97" t="s">
        <v>221</v>
      </c>
      <c r="G16" s="98">
        <v>0</v>
      </c>
      <c r="H16" s="98">
        <v>7472</v>
      </c>
      <c r="I16" s="97"/>
      <c r="J16" s="97"/>
      <c r="K16" s="97" t="s">
        <v>488</v>
      </c>
      <c r="L16" s="255">
        <f t="shared" si="0"/>
        <v>-7472</v>
      </c>
    </row>
    <row r="17" spans="1:12">
      <c r="A17" s="96">
        <v>45382</v>
      </c>
      <c r="B17" s="96">
        <v>45382</v>
      </c>
      <c r="C17" s="97" t="s">
        <v>507</v>
      </c>
      <c r="D17" s="97" t="s">
        <v>472</v>
      </c>
      <c r="E17" s="97" t="s">
        <v>446</v>
      </c>
      <c r="F17" s="1289" t="s">
        <v>249</v>
      </c>
      <c r="G17" s="98">
        <v>0</v>
      </c>
      <c r="H17" s="98">
        <v>10067457</v>
      </c>
      <c r="I17" s="97"/>
      <c r="J17" s="97"/>
      <c r="K17" s="97" t="s">
        <v>488</v>
      </c>
      <c r="L17" s="255">
        <f t="shared" si="0"/>
        <v>-10067457</v>
      </c>
    </row>
    <row r="18" spans="1:12">
      <c r="A18" s="96">
        <v>45382</v>
      </c>
      <c r="B18" s="96">
        <v>45382</v>
      </c>
      <c r="C18" s="97" t="s">
        <v>507</v>
      </c>
      <c r="D18" s="97" t="s">
        <v>476</v>
      </c>
      <c r="E18" s="97" t="s">
        <v>446</v>
      </c>
      <c r="F18" s="97" t="s">
        <v>381</v>
      </c>
      <c r="G18" s="98">
        <v>371875</v>
      </c>
      <c r="H18" s="98">
        <v>0</v>
      </c>
      <c r="I18" s="97"/>
      <c r="J18" s="97"/>
      <c r="K18" s="97" t="s">
        <v>488</v>
      </c>
      <c r="L18" s="255">
        <f t="shared" si="0"/>
        <v>371875</v>
      </c>
    </row>
    <row r="19" spans="1:12">
      <c r="A19" s="96">
        <v>45382</v>
      </c>
      <c r="B19" s="96">
        <v>45382</v>
      </c>
      <c r="C19" s="97" t="s">
        <v>507</v>
      </c>
      <c r="D19" s="97" t="s">
        <v>476</v>
      </c>
      <c r="E19" s="97" t="s">
        <v>446</v>
      </c>
      <c r="F19" s="97" t="s">
        <v>424</v>
      </c>
      <c r="G19" s="98">
        <v>8000000</v>
      </c>
      <c r="H19" s="98">
        <v>0</v>
      </c>
      <c r="I19" s="97"/>
      <c r="J19" s="97"/>
      <c r="K19" s="97" t="s">
        <v>488</v>
      </c>
      <c r="L19" s="255">
        <f t="shared" si="0"/>
        <v>8000000</v>
      </c>
    </row>
    <row r="20" spans="1:12">
      <c r="A20" s="96">
        <v>45382</v>
      </c>
      <c r="B20" s="96">
        <v>45382</v>
      </c>
      <c r="C20" s="97" t="s">
        <v>507</v>
      </c>
      <c r="D20" s="97" t="s">
        <v>479</v>
      </c>
      <c r="E20" s="97" t="s">
        <v>446</v>
      </c>
      <c r="F20" s="97" t="s">
        <v>217</v>
      </c>
      <c r="G20" s="98">
        <v>1703054</v>
      </c>
      <c r="H20" s="98">
        <v>0</v>
      </c>
      <c r="I20" s="97"/>
      <c r="J20" s="97"/>
      <c r="K20" s="97" t="s">
        <v>488</v>
      </c>
      <c r="L20" s="255">
        <f t="shared" si="0"/>
        <v>1703054</v>
      </c>
    </row>
    <row r="21" spans="1:12">
      <c r="A21" s="96">
        <v>45412</v>
      </c>
      <c r="B21" s="96">
        <v>45412</v>
      </c>
      <c r="C21" s="97" t="s">
        <v>508</v>
      </c>
      <c r="D21" s="97" t="s">
        <v>472</v>
      </c>
      <c r="E21" s="97" t="s">
        <v>446</v>
      </c>
      <c r="F21" s="1289" t="s">
        <v>249</v>
      </c>
      <c r="G21" s="98">
        <v>0</v>
      </c>
      <c r="H21" s="98">
        <v>9262354</v>
      </c>
      <c r="I21" s="97"/>
      <c r="J21" s="97"/>
      <c r="K21" s="97" t="s">
        <v>488</v>
      </c>
      <c r="L21" s="255">
        <f t="shared" si="0"/>
        <v>-9262354</v>
      </c>
    </row>
    <row r="22" spans="1:12">
      <c r="A22" s="96">
        <v>45412</v>
      </c>
      <c r="B22" s="96">
        <v>45412</v>
      </c>
      <c r="C22" s="97" t="s">
        <v>508</v>
      </c>
      <c r="D22" s="97" t="s">
        <v>476</v>
      </c>
      <c r="E22" s="97" t="s">
        <v>446</v>
      </c>
      <c r="F22" s="97" t="s">
        <v>381</v>
      </c>
      <c r="G22" s="98">
        <v>371875</v>
      </c>
      <c r="H22" s="98">
        <v>0</v>
      </c>
      <c r="I22" s="97"/>
      <c r="J22" s="97"/>
      <c r="K22" s="97" t="s">
        <v>488</v>
      </c>
      <c r="L22" s="255">
        <f t="shared" si="0"/>
        <v>371875</v>
      </c>
    </row>
    <row r="23" spans="1:12">
      <c r="A23" s="96">
        <v>45412</v>
      </c>
      <c r="B23" s="96">
        <v>45412</v>
      </c>
      <c r="C23" s="97" t="s">
        <v>508</v>
      </c>
      <c r="D23" s="97" t="s">
        <v>476</v>
      </c>
      <c r="E23" s="97" t="s">
        <v>446</v>
      </c>
      <c r="F23" s="97" t="s">
        <v>424</v>
      </c>
      <c r="G23" s="98">
        <v>8000000</v>
      </c>
      <c r="H23" s="98">
        <v>0</v>
      </c>
      <c r="I23" s="97"/>
      <c r="J23" s="97"/>
      <c r="K23" s="97" t="s">
        <v>488</v>
      </c>
      <c r="L23" s="255">
        <f t="shared" si="0"/>
        <v>8000000</v>
      </c>
    </row>
    <row r="24" spans="1:12">
      <c r="A24" s="96">
        <v>45412</v>
      </c>
      <c r="B24" s="96">
        <v>45412</v>
      </c>
      <c r="C24" s="97" t="s">
        <v>508</v>
      </c>
      <c r="D24" s="97" t="s">
        <v>479</v>
      </c>
      <c r="E24" s="97" t="s">
        <v>446</v>
      </c>
      <c r="F24" s="97" t="s">
        <v>217</v>
      </c>
      <c r="G24" s="98">
        <v>890479</v>
      </c>
      <c r="H24" s="98">
        <v>0</v>
      </c>
      <c r="I24" s="97"/>
      <c r="J24" s="97"/>
      <c r="K24" s="97" t="s">
        <v>488</v>
      </c>
      <c r="L24" s="255">
        <f t="shared" si="0"/>
        <v>890479</v>
      </c>
    </row>
    <row r="25" spans="1:12">
      <c r="A25" s="96">
        <v>45443</v>
      </c>
      <c r="B25" s="96">
        <v>45443</v>
      </c>
      <c r="C25" s="97" t="s">
        <v>509</v>
      </c>
      <c r="D25" s="97" t="s">
        <v>472</v>
      </c>
      <c r="E25" s="97" t="s">
        <v>446</v>
      </c>
      <c r="F25" s="1289" t="s">
        <v>249</v>
      </c>
      <c r="G25" s="98">
        <v>0</v>
      </c>
      <c r="H25" s="98">
        <v>3970338</v>
      </c>
      <c r="I25" s="97"/>
      <c r="J25" s="97"/>
      <c r="K25" s="97" t="s">
        <v>488</v>
      </c>
      <c r="L25" s="255">
        <f t="shared" si="0"/>
        <v>-3970338</v>
      </c>
    </row>
    <row r="26" spans="1:12">
      <c r="A26" s="96">
        <v>45443</v>
      </c>
      <c r="B26" s="96">
        <v>45443</v>
      </c>
      <c r="C26" s="97" t="s">
        <v>509</v>
      </c>
      <c r="D26" s="97" t="s">
        <v>476</v>
      </c>
      <c r="E26" s="97" t="s">
        <v>446</v>
      </c>
      <c r="F26" s="97" t="s">
        <v>381</v>
      </c>
      <c r="G26" s="98">
        <v>371875</v>
      </c>
      <c r="H26" s="98">
        <v>0</v>
      </c>
      <c r="I26" s="97"/>
      <c r="J26" s="97"/>
      <c r="K26" s="97" t="s">
        <v>488</v>
      </c>
      <c r="L26" s="255">
        <f t="shared" si="0"/>
        <v>371875</v>
      </c>
    </row>
    <row r="27" spans="1:12">
      <c r="A27" s="96">
        <v>45443</v>
      </c>
      <c r="B27" s="96">
        <v>45443</v>
      </c>
      <c r="C27" s="97" t="s">
        <v>509</v>
      </c>
      <c r="D27" s="97" t="s">
        <v>476</v>
      </c>
      <c r="E27" s="97" t="s">
        <v>446</v>
      </c>
      <c r="F27" s="97" t="s">
        <v>424</v>
      </c>
      <c r="G27" s="98">
        <v>8000000</v>
      </c>
      <c r="H27" s="98">
        <v>0</v>
      </c>
      <c r="I27" s="97"/>
      <c r="J27" s="97"/>
      <c r="K27" s="97" t="s">
        <v>488</v>
      </c>
      <c r="L27" s="255">
        <f t="shared" si="0"/>
        <v>8000000</v>
      </c>
    </row>
    <row r="28" spans="1:12">
      <c r="A28" s="96">
        <v>45443</v>
      </c>
      <c r="B28" s="96">
        <v>45443</v>
      </c>
      <c r="C28" s="97" t="s">
        <v>509</v>
      </c>
      <c r="D28" s="97" t="s">
        <v>479</v>
      </c>
      <c r="E28" s="97" t="s">
        <v>446</v>
      </c>
      <c r="F28" s="97" t="s">
        <v>217</v>
      </c>
      <c r="G28" s="98">
        <v>0</v>
      </c>
      <c r="H28" s="98">
        <v>4401537</v>
      </c>
      <c r="I28" s="97"/>
      <c r="J28" s="97"/>
      <c r="K28" s="97" t="s">
        <v>488</v>
      </c>
      <c r="L28" s="255">
        <f t="shared" si="0"/>
        <v>-4401537</v>
      </c>
    </row>
    <row r="29" spans="1:12">
      <c r="A29" s="96">
        <v>45473</v>
      </c>
      <c r="B29" s="96">
        <v>45473</v>
      </c>
      <c r="C29" s="97" t="s">
        <v>510</v>
      </c>
      <c r="D29" s="97" t="s">
        <v>472</v>
      </c>
      <c r="E29" s="97" t="s">
        <v>446</v>
      </c>
      <c r="F29" s="1289" t="s">
        <v>249</v>
      </c>
      <c r="G29" s="98">
        <v>0</v>
      </c>
      <c r="H29" s="98">
        <v>10792514</v>
      </c>
      <c r="I29" s="97"/>
      <c r="J29" s="97"/>
      <c r="K29" s="97" t="s">
        <v>488</v>
      </c>
      <c r="L29" s="255">
        <f t="shared" si="0"/>
        <v>-10792514</v>
      </c>
    </row>
    <row r="30" spans="1:12">
      <c r="A30" s="96">
        <v>45473</v>
      </c>
      <c r="B30" s="96">
        <v>45473</v>
      </c>
      <c r="C30" s="97" t="s">
        <v>510</v>
      </c>
      <c r="D30" s="97" t="s">
        <v>476</v>
      </c>
      <c r="E30" s="97" t="s">
        <v>446</v>
      </c>
      <c r="F30" s="97" t="s">
        <v>381</v>
      </c>
      <c r="G30" s="98">
        <v>371875</v>
      </c>
      <c r="H30" s="98">
        <v>0</v>
      </c>
      <c r="I30" s="97"/>
      <c r="J30" s="97"/>
      <c r="K30" s="97" t="s">
        <v>488</v>
      </c>
      <c r="L30" s="255">
        <f t="shared" si="0"/>
        <v>371875</v>
      </c>
    </row>
    <row r="31" spans="1:12">
      <c r="A31" s="96">
        <v>45473</v>
      </c>
      <c r="B31" s="96">
        <v>45473</v>
      </c>
      <c r="C31" s="97" t="s">
        <v>510</v>
      </c>
      <c r="D31" s="97" t="s">
        <v>476</v>
      </c>
      <c r="E31" s="97" t="s">
        <v>446</v>
      </c>
      <c r="F31" s="97" t="s">
        <v>424</v>
      </c>
      <c r="G31" s="98">
        <v>8000000</v>
      </c>
      <c r="H31" s="98">
        <v>0</v>
      </c>
      <c r="I31" s="97"/>
      <c r="J31" s="97"/>
      <c r="K31" s="97" t="s">
        <v>488</v>
      </c>
      <c r="L31" s="255">
        <f t="shared" si="0"/>
        <v>8000000</v>
      </c>
    </row>
    <row r="32" spans="1:12">
      <c r="A32" s="96">
        <v>45473</v>
      </c>
      <c r="B32" s="96">
        <v>45473</v>
      </c>
      <c r="C32" s="97" t="s">
        <v>510</v>
      </c>
      <c r="D32" s="97" t="s">
        <v>479</v>
      </c>
      <c r="E32" s="97" t="s">
        <v>446</v>
      </c>
      <c r="F32" s="97" t="s">
        <v>217</v>
      </c>
      <c r="G32" s="98">
        <v>2420639</v>
      </c>
      <c r="H32" s="98">
        <v>0</v>
      </c>
      <c r="I32" s="97"/>
      <c r="J32" s="97"/>
      <c r="K32" s="97" t="s">
        <v>488</v>
      </c>
      <c r="L32" s="255">
        <f t="shared" si="0"/>
        <v>2420639</v>
      </c>
    </row>
    <row r="33" spans="1:12">
      <c r="A33" s="96">
        <v>45504</v>
      </c>
      <c r="B33" s="96">
        <v>45504</v>
      </c>
      <c r="C33" s="97" t="s">
        <v>511</v>
      </c>
      <c r="D33" s="97" t="s">
        <v>468</v>
      </c>
      <c r="E33" s="97" t="s">
        <v>446</v>
      </c>
      <c r="F33" s="97" t="s">
        <v>221</v>
      </c>
      <c r="G33" s="98">
        <v>0</v>
      </c>
      <c r="H33" s="98">
        <v>24284</v>
      </c>
      <c r="I33" s="97"/>
      <c r="J33" s="97"/>
      <c r="K33" s="97" t="s">
        <v>488</v>
      </c>
      <c r="L33" s="255">
        <f t="shared" si="0"/>
        <v>-24284</v>
      </c>
    </row>
    <row r="34" spans="1:12">
      <c r="A34" s="96">
        <v>45504</v>
      </c>
      <c r="B34" s="96">
        <v>45504</v>
      </c>
      <c r="C34" s="97" t="s">
        <v>511</v>
      </c>
      <c r="D34" s="97" t="s">
        <v>472</v>
      </c>
      <c r="E34" s="97" t="s">
        <v>446</v>
      </c>
      <c r="F34" s="1289" t="s">
        <v>249</v>
      </c>
      <c r="G34" s="98">
        <v>0</v>
      </c>
      <c r="H34" s="98">
        <v>11317857</v>
      </c>
      <c r="I34" s="97"/>
      <c r="J34" s="97"/>
      <c r="K34" s="97" t="s">
        <v>488</v>
      </c>
      <c r="L34" s="255">
        <f t="shared" si="0"/>
        <v>-11317857</v>
      </c>
    </row>
    <row r="35" spans="1:12">
      <c r="A35" s="96">
        <v>45504</v>
      </c>
      <c r="B35" s="96">
        <v>45504</v>
      </c>
      <c r="C35" s="97" t="s">
        <v>511</v>
      </c>
      <c r="D35" s="97" t="s">
        <v>476</v>
      </c>
      <c r="E35" s="97" t="s">
        <v>446</v>
      </c>
      <c r="F35" s="97" t="s">
        <v>381</v>
      </c>
      <c r="G35" s="98">
        <v>371875</v>
      </c>
      <c r="H35" s="98">
        <v>0</v>
      </c>
      <c r="I35" s="97"/>
      <c r="J35" s="97"/>
      <c r="K35" s="97" t="s">
        <v>488</v>
      </c>
      <c r="L35" s="255">
        <f t="shared" si="0"/>
        <v>371875</v>
      </c>
    </row>
    <row r="36" spans="1:12">
      <c r="A36" s="96">
        <v>45504</v>
      </c>
      <c r="B36" s="96">
        <v>45504</v>
      </c>
      <c r="C36" s="97" t="s">
        <v>511</v>
      </c>
      <c r="D36" s="97" t="s">
        <v>476</v>
      </c>
      <c r="E36" s="97" t="s">
        <v>446</v>
      </c>
      <c r="F36" s="97" t="s">
        <v>424</v>
      </c>
      <c r="G36" s="98">
        <v>8000000</v>
      </c>
      <c r="H36" s="98">
        <v>0</v>
      </c>
      <c r="I36" s="97"/>
      <c r="J36" s="97"/>
      <c r="K36" s="97" t="s">
        <v>488</v>
      </c>
      <c r="L36" s="255">
        <f t="shared" si="0"/>
        <v>8000000</v>
      </c>
    </row>
    <row r="37" spans="1:12">
      <c r="A37" s="96">
        <v>45504</v>
      </c>
      <c r="B37" s="96">
        <v>45504</v>
      </c>
      <c r="C37" s="97" t="s">
        <v>511</v>
      </c>
      <c r="D37" s="97" t="s">
        <v>479</v>
      </c>
      <c r="E37" s="97" t="s">
        <v>446</v>
      </c>
      <c r="F37" s="97" t="s">
        <v>217</v>
      </c>
      <c r="G37" s="98">
        <v>2970266</v>
      </c>
      <c r="H37" s="98">
        <v>0</v>
      </c>
      <c r="I37" s="97"/>
      <c r="J37" s="97"/>
      <c r="K37" s="97" t="s">
        <v>488</v>
      </c>
      <c r="L37" s="255">
        <f t="shared" si="0"/>
        <v>2970266</v>
      </c>
    </row>
    <row r="38" spans="1:12">
      <c r="A38" s="96">
        <v>45535</v>
      </c>
      <c r="B38" s="96">
        <v>45535</v>
      </c>
      <c r="C38" s="97" t="s">
        <v>512</v>
      </c>
      <c r="D38" s="97" t="s">
        <v>472</v>
      </c>
      <c r="E38" s="97" t="s">
        <v>446</v>
      </c>
      <c r="F38" s="1289" t="s">
        <v>249</v>
      </c>
      <c r="G38" s="98">
        <v>0</v>
      </c>
      <c r="H38" s="98">
        <v>11666901</v>
      </c>
      <c r="I38" s="97"/>
      <c r="J38" s="97"/>
      <c r="K38" s="97" t="s">
        <v>488</v>
      </c>
      <c r="L38" s="255">
        <f t="shared" si="0"/>
        <v>-11666901</v>
      </c>
    </row>
    <row r="39" spans="1:12">
      <c r="A39" s="96">
        <v>45535</v>
      </c>
      <c r="B39" s="96">
        <v>45535</v>
      </c>
      <c r="C39" s="97" t="s">
        <v>512</v>
      </c>
      <c r="D39" s="97" t="s">
        <v>476</v>
      </c>
      <c r="E39" s="97" t="s">
        <v>446</v>
      </c>
      <c r="F39" s="97" t="s">
        <v>381</v>
      </c>
      <c r="G39" s="98">
        <v>371875</v>
      </c>
      <c r="H39" s="98">
        <v>0</v>
      </c>
      <c r="I39" s="97"/>
      <c r="J39" s="97"/>
      <c r="K39" s="97" t="s">
        <v>488</v>
      </c>
      <c r="L39" s="255">
        <f t="shared" si="0"/>
        <v>371875</v>
      </c>
    </row>
    <row r="40" spans="1:12">
      <c r="A40" s="96">
        <v>45535</v>
      </c>
      <c r="B40" s="96">
        <v>45535</v>
      </c>
      <c r="C40" s="97" t="s">
        <v>512</v>
      </c>
      <c r="D40" s="97" t="s">
        <v>476</v>
      </c>
      <c r="E40" s="97" t="s">
        <v>446</v>
      </c>
      <c r="F40" s="97" t="s">
        <v>393</v>
      </c>
      <c r="G40" s="98">
        <v>55000</v>
      </c>
      <c r="H40" s="98">
        <v>0</v>
      </c>
      <c r="I40" s="97"/>
      <c r="J40" s="97"/>
      <c r="K40" s="97" t="s">
        <v>488</v>
      </c>
      <c r="L40" s="255">
        <f t="shared" si="0"/>
        <v>55000</v>
      </c>
    </row>
    <row r="41" spans="1:12">
      <c r="A41" s="96">
        <v>45535</v>
      </c>
      <c r="B41" s="96">
        <v>45535</v>
      </c>
      <c r="C41" s="97" t="s">
        <v>512</v>
      </c>
      <c r="D41" s="97" t="s">
        <v>476</v>
      </c>
      <c r="E41" s="97" t="s">
        <v>446</v>
      </c>
      <c r="F41" s="97" t="s">
        <v>424</v>
      </c>
      <c r="G41" s="98">
        <v>8000000</v>
      </c>
      <c r="H41" s="98">
        <v>0</v>
      </c>
      <c r="I41" s="97"/>
      <c r="J41" s="97"/>
      <c r="K41" s="97" t="s">
        <v>488</v>
      </c>
      <c r="L41" s="255">
        <f t="shared" si="0"/>
        <v>8000000</v>
      </c>
    </row>
    <row r="42" spans="1:12">
      <c r="A42" s="96">
        <v>45535</v>
      </c>
      <c r="B42" s="96">
        <v>45535</v>
      </c>
      <c r="C42" s="97" t="s">
        <v>512</v>
      </c>
      <c r="D42" s="97" t="s">
        <v>479</v>
      </c>
      <c r="E42" s="97" t="s">
        <v>446</v>
      </c>
      <c r="F42" s="97" t="s">
        <v>217</v>
      </c>
      <c r="G42" s="98">
        <v>3240026</v>
      </c>
      <c r="H42" s="98">
        <v>0</v>
      </c>
      <c r="I42" s="97"/>
      <c r="J42" s="97"/>
      <c r="K42" s="97" t="s">
        <v>488</v>
      </c>
      <c r="L42" s="255">
        <f t="shared" si="0"/>
        <v>3240026</v>
      </c>
    </row>
    <row r="43" spans="1:12">
      <c r="A43" s="96">
        <v>45565</v>
      </c>
      <c r="B43" s="96">
        <v>45565</v>
      </c>
      <c r="C43" s="97" t="s">
        <v>513</v>
      </c>
      <c r="D43" s="97" t="s">
        <v>472</v>
      </c>
      <c r="E43" s="97" t="s">
        <v>446</v>
      </c>
      <c r="F43" s="1289" t="s">
        <v>249</v>
      </c>
      <c r="G43" s="98">
        <v>0</v>
      </c>
      <c r="H43" s="98">
        <v>11317175</v>
      </c>
      <c r="I43" s="97"/>
      <c r="J43" s="97"/>
      <c r="K43" s="97" t="s">
        <v>488</v>
      </c>
      <c r="L43" s="255">
        <f t="shared" si="0"/>
        <v>-11317175</v>
      </c>
    </row>
    <row r="44" spans="1:12">
      <c r="A44" s="96">
        <v>45565</v>
      </c>
      <c r="B44" s="96">
        <v>45565</v>
      </c>
      <c r="C44" s="97" t="s">
        <v>513</v>
      </c>
      <c r="D44" s="97" t="s">
        <v>476</v>
      </c>
      <c r="E44" s="97" t="s">
        <v>446</v>
      </c>
      <c r="F44" s="97" t="s">
        <v>381</v>
      </c>
      <c r="G44" s="98">
        <v>371875</v>
      </c>
      <c r="H44" s="98">
        <v>0</v>
      </c>
      <c r="I44" s="97"/>
      <c r="J44" s="97"/>
      <c r="K44" s="97" t="s">
        <v>488</v>
      </c>
      <c r="L44" s="255">
        <f t="shared" si="0"/>
        <v>371875</v>
      </c>
    </row>
    <row r="45" spans="1:12">
      <c r="A45" s="96">
        <v>45565</v>
      </c>
      <c r="B45" s="96">
        <v>45565</v>
      </c>
      <c r="C45" s="97" t="s">
        <v>513</v>
      </c>
      <c r="D45" s="97" t="s">
        <v>476</v>
      </c>
      <c r="E45" s="97" t="s">
        <v>446</v>
      </c>
      <c r="F45" s="97" t="s">
        <v>424</v>
      </c>
      <c r="G45" s="98">
        <v>8000000</v>
      </c>
      <c r="H45" s="98">
        <v>0</v>
      </c>
      <c r="I45" s="97"/>
      <c r="J45" s="97"/>
      <c r="K45" s="97" t="s">
        <v>488</v>
      </c>
      <c r="L45" s="255">
        <f t="shared" si="0"/>
        <v>8000000</v>
      </c>
    </row>
    <row r="46" spans="1:12">
      <c r="A46" s="96">
        <v>45565</v>
      </c>
      <c r="B46" s="96">
        <v>45565</v>
      </c>
      <c r="C46" s="97" t="s">
        <v>513</v>
      </c>
      <c r="D46" s="97" t="s">
        <v>479</v>
      </c>
      <c r="E46" s="97" t="s">
        <v>446</v>
      </c>
      <c r="F46" s="97" t="s">
        <v>217</v>
      </c>
      <c r="G46" s="98">
        <v>2945300</v>
      </c>
      <c r="H46" s="98">
        <v>0</v>
      </c>
      <c r="I46" s="97"/>
      <c r="J46" s="97"/>
      <c r="K46" s="97" t="s">
        <v>488</v>
      </c>
      <c r="L46" s="255">
        <f t="shared" si="0"/>
        <v>2945300</v>
      </c>
    </row>
    <row r="47" spans="1:12">
      <c r="A47" s="96">
        <v>45596</v>
      </c>
      <c r="B47" s="96">
        <v>45596</v>
      </c>
      <c r="C47" s="97" t="s">
        <v>514</v>
      </c>
      <c r="D47" s="97" t="s">
        <v>472</v>
      </c>
      <c r="E47" s="97" t="s">
        <v>446</v>
      </c>
      <c r="F47" s="1289" t="s">
        <v>249</v>
      </c>
      <c r="G47" s="98">
        <v>0</v>
      </c>
      <c r="H47" s="98">
        <v>10959403</v>
      </c>
      <c r="I47" s="97"/>
      <c r="J47" s="97"/>
      <c r="K47" s="97" t="s">
        <v>488</v>
      </c>
      <c r="L47" s="255">
        <f t="shared" si="0"/>
        <v>-10959403</v>
      </c>
    </row>
    <row r="48" spans="1:12">
      <c r="A48" s="96">
        <v>45596</v>
      </c>
      <c r="B48" s="96">
        <v>45596</v>
      </c>
      <c r="C48" s="97" t="s">
        <v>514</v>
      </c>
      <c r="D48" s="97" t="s">
        <v>474</v>
      </c>
      <c r="E48" s="97" t="s">
        <v>446</v>
      </c>
      <c r="F48" s="97" t="s">
        <v>305</v>
      </c>
      <c r="G48" s="98">
        <v>4858</v>
      </c>
      <c r="H48" s="98">
        <v>0</v>
      </c>
      <c r="I48" s="97"/>
      <c r="J48" s="97"/>
      <c r="K48" s="97" t="s">
        <v>488</v>
      </c>
      <c r="L48" s="255">
        <f t="shared" si="0"/>
        <v>4858</v>
      </c>
    </row>
    <row r="49" spans="1:12">
      <c r="A49" s="96">
        <v>45596</v>
      </c>
      <c r="B49" s="96">
        <v>45596</v>
      </c>
      <c r="C49" s="97" t="s">
        <v>514</v>
      </c>
      <c r="D49" s="97" t="s">
        <v>476</v>
      </c>
      <c r="E49" s="97" t="s">
        <v>446</v>
      </c>
      <c r="F49" s="97" t="s">
        <v>381</v>
      </c>
      <c r="G49" s="98">
        <v>371875</v>
      </c>
      <c r="H49" s="98">
        <v>0</v>
      </c>
      <c r="I49" s="97"/>
      <c r="J49" s="97"/>
      <c r="K49" s="97" t="s">
        <v>488</v>
      </c>
      <c r="L49" s="255">
        <f t="shared" si="0"/>
        <v>371875</v>
      </c>
    </row>
    <row r="50" spans="1:12">
      <c r="A50" s="96">
        <v>45596</v>
      </c>
      <c r="B50" s="96">
        <v>45596</v>
      </c>
      <c r="C50" s="97" t="s">
        <v>514</v>
      </c>
      <c r="D50" s="97" t="s">
        <v>476</v>
      </c>
      <c r="E50" s="97" t="s">
        <v>446</v>
      </c>
      <c r="F50" s="97" t="s">
        <v>393</v>
      </c>
      <c r="G50" s="98">
        <v>220000</v>
      </c>
      <c r="H50" s="98">
        <v>0</v>
      </c>
      <c r="I50" s="97"/>
      <c r="J50" s="97"/>
      <c r="K50" s="97" t="s">
        <v>488</v>
      </c>
      <c r="L50" s="255">
        <f t="shared" si="0"/>
        <v>220000</v>
      </c>
    </row>
    <row r="51" spans="1:12">
      <c r="A51" s="96">
        <v>45596</v>
      </c>
      <c r="B51" s="96">
        <v>45596</v>
      </c>
      <c r="C51" s="97" t="s">
        <v>514</v>
      </c>
      <c r="D51" s="97" t="s">
        <v>476</v>
      </c>
      <c r="E51" s="97" t="s">
        <v>446</v>
      </c>
      <c r="F51" s="97" t="s">
        <v>424</v>
      </c>
      <c r="G51" s="98">
        <v>8000000</v>
      </c>
      <c r="H51" s="98">
        <v>0</v>
      </c>
      <c r="I51" s="97"/>
      <c r="J51" s="97"/>
      <c r="K51" s="97" t="s">
        <v>488</v>
      </c>
      <c r="L51" s="255">
        <f t="shared" si="0"/>
        <v>8000000</v>
      </c>
    </row>
    <row r="52" spans="1:12">
      <c r="A52" s="96">
        <v>45596</v>
      </c>
      <c r="B52" s="96">
        <v>45596</v>
      </c>
      <c r="C52" s="97" t="s">
        <v>514</v>
      </c>
      <c r="D52" s="97" t="s">
        <v>479</v>
      </c>
      <c r="E52" s="97" t="s">
        <v>446</v>
      </c>
      <c r="F52" s="97" t="s">
        <v>217</v>
      </c>
      <c r="G52" s="98">
        <v>2362670</v>
      </c>
      <c r="H52" s="98">
        <v>0</v>
      </c>
      <c r="I52" s="97"/>
      <c r="J52" s="97"/>
      <c r="K52" s="97" t="s">
        <v>488</v>
      </c>
      <c r="L52" s="255">
        <f t="shared" si="0"/>
        <v>2362670</v>
      </c>
    </row>
    <row r="53" spans="1:12">
      <c r="A53" s="96">
        <v>45626</v>
      </c>
      <c r="B53" s="96">
        <v>45626</v>
      </c>
      <c r="C53" s="97" t="s">
        <v>515</v>
      </c>
      <c r="D53" s="97" t="s">
        <v>468</v>
      </c>
      <c r="E53" s="97" t="s">
        <v>446</v>
      </c>
      <c r="F53" s="97" t="s">
        <v>221</v>
      </c>
      <c r="G53" s="98">
        <v>0</v>
      </c>
      <c r="H53" s="98">
        <v>22416</v>
      </c>
      <c r="I53" s="97"/>
      <c r="J53" s="97"/>
      <c r="K53" s="97" t="s">
        <v>488</v>
      </c>
      <c r="L53" s="255">
        <f t="shared" si="0"/>
        <v>-22416</v>
      </c>
    </row>
    <row r="54" spans="1:12">
      <c r="A54" s="96">
        <v>45626</v>
      </c>
      <c r="B54" s="96">
        <v>45626</v>
      </c>
      <c r="C54" s="97" t="s">
        <v>515</v>
      </c>
      <c r="D54" s="97" t="s">
        <v>472</v>
      </c>
      <c r="E54" s="97" t="s">
        <v>446</v>
      </c>
      <c r="F54" s="1289" t="s">
        <v>249</v>
      </c>
      <c r="G54" s="98">
        <v>0</v>
      </c>
      <c r="H54" s="98">
        <v>7030066</v>
      </c>
      <c r="I54" s="97"/>
      <c r="J54" s="97"/>
      <c r="K54" s="97" t="s">
        <v>488</v>
      </c>
      <c r="L54" s="255">
        <f t="shared" si="0"/>
        <v>-7030066</v>
      </c>
    </row>
    <row r="55" spans="1:12">
      <c r="A55" s="96">
        <v>45626</v>
      </c>
      <c r="B55" s="96">
        <v>45626</v>
      </c>
      <c r="C55" s="97" t="s">
        <v>515</v>
      </c>
      <c r="D55" s="97" t="s">
        <v>474</v>
      </c>
      <c r="E55" s="97" t="s">
        <v>446</v>
      </c>
      <c r="F55" s="97" t="s">
        <v>305</v>
      </c>
      <c r="G55" s="98">
        <v>484</v>
      </c>
      <c r="H55" s="98">
        <v>0</v>
      </c>
      <c r="I55" s="97"/>
      <c r="J55" s="97"/>
      <c r="K55" s="97" t="s">
        <v>488</v>
      </c>
      <c r="L55" s="255">
        <f t="shared" si="0"/>
        <v>484</v>
      </c>
    </row>
    <row r="56" spans="1:12">
      <c r="A56" s="96">
        <v>45626</v>
      </c>
      <c r="B56" s="96">
        <v>45626</v>
      </c>
      <c r="C56" s="97" t="s">
        <v>515</v>
      </c>
      <c r="D56" s="97" t="s">
        <v>476</v>
      </c>
      <c r="E56" s="97" t="s">
        <v>446</v>
      </c>
      <c r="F56" s="97" t="s">
        <v>381</v>
      </c>
      <c r="G56" s="98">
        <v>371875</v>
      </c>
      <c r="H56" s="98">
        <v>0</v>
      </c>
      <c r="I56" s="97"/>
      <c r="J56" s="97"/>
      <c r="K56" s="97" t="s">
        <v>488</v>
      </c>
      <c r="L56" s="255">
        <f t="shared" si="0"/>
        <v>371875</v>
      </c>
    </row>
    <row r="57" spans="1:12">
      <c r="A57" s="96">
        <v>45626</v>
      </c>
      <c r="B57" s="96">
        <v>45626</v>
      </c>
      <c r="C57" s="97" t="s">
        <v>515</v>
      </c>
      <c r="D57" s="97" t="s">
        <v>476</v>
      </c>
      <c r="E57" s="97" t="s">
        <v>446</v>
      </c>
      <c r="F57" s="97" t="s">
        <v>424</v>
      </c>
      <c r="G57" s="98">
        <v>8000000</v>
      </c>
      <c r="H57" s="98">
        <v>0</v>
      </c>
      <c r="I57" s="97"/>
      <c r="J57" s="97"/>
      <c r="K57" s="97" t="s">
        <v>488</v>
      </c>
      <c r="L57" s="255">
        <f t="shared" si="0"/>
        <v>8000000</v>
      </c>
    </row>
    <row r="58" spans="1:12">
      <c r="A58" s="96">
        <v>45626</v>
      </c>
      <c r="B58" s="96">
        <v>45626</v>
      </c>
      <c r="C58" s="97" t="s">
        <v>515</v>
      </c>
      <c r="D58" s="97" t="s">
        <v>479</v>
      </c>
      <c r="E58" s="97" t="s">
        <v>446</v>
      </c>
      <c r="F58" s="97" t="s">
        <v>217</v>
      </c>
      <c r="G58" s="98">
        <v>0</v>
      </c>
      <c r="H58" s="98">
        <v>1319877</v>
      </c>
      <c r="I58" s="97"/>
      <c r="J58" s="97"/>
      <c r="K58" s="97" t="s">
        <v>488</v>
      </c>
      <c r="L58" s="255">
        <f t="shared" si="0"/>
        <v>-1319877</v>
      </c>
    </row>
    <row r="59" spans="1:12">
      <c r="A59" s="96">
        <v>45657</v>
      </c>
      <c r="B59" s="96">
        <v>45657</v>
      </c>
      <c r="C59" s="97" t="s">
        <v>516</v>
      </c>
      <c r="D59" s="97" t="s">
        <v>472</v>
      </c>
      <c r="E59" s="97" t="s">
        <v>446</v>
      </c>
      <c r="F59" s="1289" t="s">
        <v>249</v>
      </c>
      <c r="G59" s="98">
        <v>0</v>
      </c>
      <c r="H59" s="98">
        <v>7298000</v>
      </c>
      <c r="I59" s="97"/>
      <c r="J59" s="97"/>
      <c r="K59" s="97" t="s">
        <v>488</v>
      </c>
      <c r="L59" s="255">
        <f t="shared" si="0"/>
        <v>-7298000</v>
      </c>
    </row>
    <row r="60" spans="1:12">
      <c r="A60" s="96">
        <v>45657</v>
      </c>
      <c r="B60" s="96">
        <v>45657</v>
      </c>
      <c r="C60" s="97" t="s">
        <v>516</v>
      </c>
      <c r="D60" s="97" t="s">
        <v>474</v>
      </c>
      <c r="E60" s="97" t="s">
        <v>446</v>
      </c>
      <c r="F60" s="97" t="s">
        <v>305</v>
      </c>
      <c r="G60" s="98">
        <v>6458</v>
      </c>
      <c r="H60" s="98">
        <v>0</v>
      </c>
      <c r="I60" s="97"/>
      <c r="J60" s="97"/>
      <c r="K60" s="97" t="s">
        <v>488</v>
      </c>
      <c r="L60" s="255">
        <f t="shared" si="0"/>
        <v>6458</v>
      </c>
    </row>
    <row r="61" spans="1:12">
      <c r="A61" s="96">
        <v>45657</v>
      </c>
      <c r="B61" s="96">
        <v>45657</v>
      </c>
      <c r="C61" s="97" t="s">
        <v>516</v>
      </c>
      <c r="D61" s="97" t="s">
        <v>476</v>
      </c>
      <c r="E61" s="97" t="s">
        <v>446</v>
      </c>
      <c r="F61" s="97" t="s">
        <v>381</v>
      </c>
      <c r="G61" s="98">
        <v>371875</v>
      </c>
      <c r="H61" s="98">
        <v>0</v>
      </c>
      <c r="I61" s="97"/>
      <c r="J61" s="97"/>
      <c r="K61" s="97" t="s">
        <v>488</v>
      </c>
      <c r="L61" s="255">
        <f t="shared" si="0"/>
        <v>371875</v>
      </c>
    </row>
    <row r="62" spans="1:12">
      <c r="A62" s="96">
        <v>45657</v>
      </c>
      <c r="B62" s="96">
        <v>45657</v>
      </c>
      <c r="C62" s="97" t="s">
        <v>516</v>
      </c>
      <c r="D62" s="97" t="s">
        <v>476</v>
      </c>
      <c r="E62" s="97" t="s">
        <v>446</v>
      </c>
      <c r="F62" s="97" t="s">
        <v>424</v>
      </c>
      <c r="G62" s="98">
        <v>8000000</v>
      </c>
      <c r="H62" s="98">
        <v>0</v>
      </c>
      <c r="I62" s="97"/>
      <c r="J62" s="97"/>
      <c r="K62" s="97" t="s">
        <v>488</v>
      </c>
      <c r="L62" s="255">
        <f t="shared" si="0"/>
        <v>8000000</v>
      </c>
    </row>
    <row r="63" spans="1:12">
      <c r="A63" s="96">
        <v>45657</v>
      </c>
      <c r="B63" s="96">
        <v>45657</v>
      </c>
      <c r="C63" s="97" t="s">
        <v>516</v>
      </c>
      <c r="D63" s="97" t="s">
        <v>476</v>
      </c>
      <c r="E63" s="97" t="s">
        <v>446</v>
      </c>
      <c r="F63" s="97" t="s">
        <v>434</v>
      </c>
      <c r="G63" s="98">
        <v>100000</v>
      </c>
      <c r="H63" s="98">
        <v>0</v>
      </c>
      <c r="I63" s="97"/>
      <c r="J63" s="97"/>
      <c r="K63" s="97" t="s">
        <v>488</v>
      </c>
      <c r="L63" s="255">
        <f t="shared" si="0"/>
        <v>100000</v>
      </c>
    </row>
    <row r="64" spans="1:12">
      <c r="A64" s="96">
        <v>45657</v>
      </c>
      <c r="B64" s="96">
        <v>45657</v>
      </c>
      <c r="C64" s="97" t="s">
        <v>516</v>
      </c>
      <c r="D64" s="97" t="s">
        <v>479</v>
      </c>
      <c r="E64" s="97" t="s">
        <v>446</v>
      </c>
      <c r="F64" s="97" t="s">
        <v>217</v>
      </c>
      <c r="G64" s="98">
        <v>0</v>
      </c>
      <c r="H64" s="98">
        <v>1180333</v>
      </c>
      <c r="I64" s="97"/>
      <c r="J64" s="97"/>
      <c r="K64" s="97" t="s">
        <v>488</v>
      </c>
      <c r="L64" s="255">
        <f t="shared" si="0"/>
        <v>-1180333</v>
      </c>
    </row>
  </sheetData>
  <autoFilter ref="A5:L64" xr:uid="{B1E8F351-8E28-4A92-9FE9-B3045003288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6C60-B332-4290-A010-DE4961F7DBBD}">
  <sheetPr codeName="Sheet17">
    <tabColor rgb="FF7030A0"/>
    <outlinePr summaryBelow="0" summaryRight="0"/>
  </sheetPr>
  <dimension ref="B1:BR141"/>
  <sheetViews>
    <sheetView zoomScale="55" zoomScaleNormal="55" workbookViewId="0">
      <pane xSplit="6" ySplit="10" topLeftCell="R11" activePane="bottomRight" state="frozen"/>
      <selection pane="topRight" activeCell="G1" sqref="G1"/>
      <selection pane="bottomLeft" activeCell="A11" sqref="A11"/>
      <selection pane="bottomRight" activeCell="E46" sqref="E46"/>
    </sheetView>
  </sheetViews>
  <sheetFormatPr defaultColWidth="8.85546875" defaultRowHeight="12.75" outlineLevelRow="1"/>
  <cols>
    <col min="1" max="1" width="1.140625" style="2" customWidth="1"/>
    <col min="2" max="2" width="48.42578125" style="2" customWidth="1"/>
    <col min="3" max="3" width="20.5703125" style="2" customWidth="1"/>
    <col min="4" max="4" width="23.140625" style="2" customWidth="1"/>
    <col min="5" max="5" width="17" style="2" bestFit="1" customWidth="1"/>
    <col min="6" max="6" width="8.85546875" style="2" customWidth="1"/>
    <col min="7" max="7" width="33.140625" style="2" customWidth="1"/>
    <col min="8" max="8" width="22.140625" style="2" customWidth="1"/>
    <col min="9" max="9" width="18.42578125" style="2" customWidth="1"/>
    <col min="10" max="10" width="12.85546875" style="2" customWidth="1"/>
    <col min="11" max="11" width="34.140625" style="2" customWidth="1"/>
    <col min="12" max="12" width="27.140625" style="2" customWidth="1"/>
    <col min="13" max="14" width="16" style="2" customWidth="1"/>
    <col min="15" max="15" width="20.5703125" style="2" customWidth="1"/>
    <col min="16" max="16" width="20.140625" style="2" customWidth="1"/>
    <col min="17" max="17" width="8.85546875" style="2" customWidth="1"/>
    <col min="18" max="18" width="12.140625" style="2" customWidth="1"/>
    <col min="19" max="20" width="20.140625" style="2" customWidth="1"/>
    <col min="21" max="21" width="8.85546875" style="2" customWidth="1"/>
    <col min="22" max="22" width="14" style="2" customWidth="1"/>
    <col min="23" max="24" width="20.140625" style="2" customWidth="1"/>
    <col min="25" max="25" width="8.85546875" style="2" customWidth="1"/>
    <col min="26" max="26" width="18" style="2" customWidth="1"/>
    <col min="27" max="27" width="20.5703125" style="2" customWidth="1"/>
    <col min="28" max="28" width="19.140625" style="2" bestFit="1" customWidth="1"/>
    <col min="29" max="29" width="11.85546875" style="2" customWidth="1"/>
    <col min="30" max="30" width="12.85546875" style="2" customWidth="1"/>
    <col min="31" max="31" width="17.42578125" style="2" customWidth="1"/>
    <col min="32" max="32" width="14.5703125" style="2" customWidth="1"/>
    <col min="33" max="33" width="8.85546875" style="2" customWidth="1"/>
    <col min="34" max="34" width="14.140625" style="2" customWidth="1"/>
    <col min="35" max="35" width="18" style="2" customWidth="1"/>
    <col min="36" max="36" width="14.5703125" style="2" customWidth="1"/>
    <col min="37" max="37" width="8.85546875" style="2" customWidth="1"/>
    <col min="38" max="38" width="15.140625" style="2" customWidth="1"/>
    <col min="39" max="39" width="18" style="2" customWidth="1"/>
    <col min="40" max="40" width="14.5703125" style="2" customWidth="1"/>
    <col min="41" max="41" width="8.85546875" style="2" customWidth="1"/>
    <col min="42" max="42" width="12.140625" style="2" customWidth="1"/>
    <col min="43" max="43" width="17.42578125" style="2" customWidth="1"/>
    <col min="44" max="44" width="14.5703125" style="2" customWidth="1"/>
    <col min="45" max="45" width="8.85546875" style="2" customWidth="1"/>
    <col min="46" max="46" width="12.140625" style="2" customWidth="1"/>
    <col min="47" max="47" width="16.42578125" style="2" customWidth="1"/>
    <col min="48" max="48" width="14.5703125" style="2" customWidth="1"/>
    <col min="49" max="49" width="14.140625" style="2" customWidth="1"/>
    <col min="50" max="50" width="12.140625" style="2" customWidth="1"/>
    <col min="51" max="51" width="18" style="2" customWidth="1"/>
    <col min="52" max="52" width="14.5703125" style="2" customWidth="1"/>
    <col min="53" max="53" width="8.85546875" style="2" customWidth="1"/>
    <col min="54" max="54" width="14.5703125" style="2" customWidth="1"/>
    <col min="55" max="55" width="24.140625" style="2" bestFit="1" customWidth="1"/>
    <col min="56" max="56" width="17.85546875" style="2" bestFit="1" customWidth="1"/>
    <col min="57" max="57" width="8.85546875" style="2"/>
    <col min="58" max="58" width="4.85546875" style="2" bestFit="1" customWidth="1"/>
    <col min="59" max="59" width="18.140625" style="2" bestFit="1" customWidth="1"/>
    <col min="60" max="60" width="17" style="2" bestFit="1" customWidth="1"/>
    <col min="61" max="61" width="7.85546875" style="2" customWidth="1"/>
    <col min="62" max="62" width="11.85546875" style="2" bestFit="1" customWidth="1"/>
    <col min="63" max="63" width="18.140625" style="2" bestFit="1" customWidth="1"/>
    <col min="64" max="64" width="7.85546875" style="2" bestFit="1" customWidth="1"/>
    <col min="65" max="65" width="8.85546875" style="2"/>
    <col min="66" max="66" width="16.85546875" style="2" bestFit="1" customWidth="1"/>
    <col min="67" max="67" width="18" style="2" bestFit="1" customWidth="1"/>
    <col min="68" max="68" width="11.85546875" style="2" customWidth="1"/>
    <col min="69" max="69" width="14.5703125" style="2" customWidth="1"/>
    <col min="70" max="16384" width="8.85546875" style="2"/>
  </cols>
  <sheetData>
    <row r="1" spans="2:29">
      <c r="B1" s="1" t="s">
        <v>0</v>
      </c>
      <c r="C1" s="850" t="s">
        <v>1</v>
      </c>
      <c r="D1" s="850"/>
      <c r="E1" s="850"/>
      <c r="F1" s="850"/>
      <c r="G1" s="850"/>
      <c r="H1" s="850"/>
      <c r="I1" s="850"/>
      <c r="J1" s="850"/>
      <c r="K1" s="850"/>
      <c r="L1" s="850"/>
      <c r="M1" s="850"/>
      <c r="N1" s="850"/>
      <c r="O1" s="850"/>
      <c r="P1" s="850"/>
      <c r="Q1" s="850"/>
      <c r="R1" s="850"/>
      <c r="S1" s="850"/>
      <c r="T1" s="850"/>
      <c r="U1" s="850"/>
      <c r="V1" s="850"/>
      <c r="W1" s="850"/>
      <c r="X1" s="850"/>
      <c r="Y1" s="850"/>
      <c r="Z1" s="850"/>
      <c r="AA1" s="850"/>
      <c r="AB1" s="850"/>
      <c r="AC1" s="850"/>
    </row>
    <row r="2" spans="2:29">
      <c r="B2" s="1" t="s">
        <v>2</v>
      </c>
      <c r="C2" s="852">
        <v>45473</v>
      </c>
      <c r="D2" s="850"/>
      <c r="E2" s="850"/>
      <c r="F2" s="850"/>
      <c r="G2" s="850"/>
      <c r="H2" s="850"/>
      <c r="I2" s="850"/>
      <c r="J2" s="850"/>
      <c r="K2" s="850"/>
      <c r="L2" s="850"/>
      <c r="M2" s="850"/>
      <c r="N2" s="850"/>
      <c r="O2" s="850"/>
      <c r="P2" s="850"/>
      <c r="Q2" s="850"/>
      <c r="R2" s="850"/>
      <c r="S2" s="850"/>
      <c r="T2" s="850"/>
      <c r="U2" s="850"/>
      <c r="V2" s="850"/>
      <c r="W2" s="850"/>
      <c r="X2" s="850"/>
      <c r="Y2" s="850"/>
      <c r="Z2" s="850"/>
      <c r="AA2" s="850"/>
      <c r="AB2" s="850"/>
      <c r="AC2" s="850"/>
    </row>
    <row r="3" spans="2:29">
      <c r="B3" s="3" t="s">
        <v>529</v>
      </c>
      <c r="C3" s="850"/>
      <c r="D3" s="850"/>
      <c r="E3" s="850"/>
      <c r="F3" s="850"/>
      <c r="G3" s="850"/>
      <c r="H3" s="850"/>
      <c r="I3" s="850"/>
      <c r="J3" s="850"/>
      <c r="K3" s="850"/>
      <c r="L3" s="850"/>
      <c r="M3" s="850"/>
      <c r="N3" s="850"/>
      <c r="O3" s="850"/>
      <c r="P3" s="850"/>
      <c r="Q3" s="850"/>
      <c r="R3" s="850"/>
      <c r="S3" s="850"/>
      <c r="T3" s="850"/>
      <c r="U3" s="850"/>
      <c r="V3" s="850"/>
      <c r="W3" s="850"/>
      <c r="X3" s="850"/>
      <c r="Y3" s="850"/>
      <c r="Z3" s="850"/>
      <c r="AA3" s="850"/>
      <c r="AB3" s="850"/>
      <c r="AC3" s="850"/>
    </row>
    <row r="6" spans="2:29">
      <c r="B6" s="172"/>
      <c r="C6" s="172" t="s">
        <v>530</v>
      </c>
      <c r="D6" s="324"/>
      <c r="E6" s="324"/>
      <c r="F6" s="324"/>
      <c r="G6" s="324"/>
      <c r="H6" s="324"/>
      <c r="I6" s="324"/>
      <c r="J6" s="324"/>
      <c r="K6" s="324"/>
      <c r="L6" s="324"/>
      <c r="M6" s="324"/>
      <c r="N6" s="324"/>
      <c r="O6" s="324"/>
      <c r="P6" s="324"/>
      <c r="Q6" s="324"/>
      <c r="R6" s="324"/>
      <c r="S6" s="324"/>
      <c r="T6" s="850"/>
      <c r="U6" s="850"/>
      <c r="V6" s="850"/>
      <c r="W6" s="850"/>
      <c r="X6" s="850"/>
      <c r="Y6" s="850"/>
      <c r="Z6" s="850"/>
      <c r="AA6" s="850"/>
      <c r="AB6" s="850"/>
      <c r="AC6" s="850"/>
    </row>
    <row r="7" spans="2:29" outlineLevel="1">
      <c r="B7" s="1"/>
      <c r="C7" s="850"/>
      <c r="D7" s="850"/>
      <c r="E7" s="850"/>
      <c r="F7" s="850"/>
      <c r="G7" s="850"/>
      <c r="H7" s="850"/>
      <c r="I7" s="850"/>
      <c r="J7" s="850"/>
      <c r="K7" s="850"/>
      <c r="L7" s="850"/>
      <c r="M7" s="850"/>
      <c r="N7" s="850"/>
      <c r="O7" s="850"/>
      <c r="P7" s="850"/>
      <c r="Q7" s="850"/>
      <c r="R7" s="850"/>
      <c r="S7" s="850"/>
      <c r="T7" s="850"/>
      <c r="U7" s="850"/>
      <c r="V7" s="850"/>
      <c r="W7" s="850"/>
      <c r="X7" s="850"/>
      <c r="Y7" s="850"/>
      <c r="Z7" s="850"/>
      <c r="AA7" s="850"/>
      <c r="AB7" s="850"/>
      <c r="AC7" s="850"/>
    </row>
    <row r="8" spans="2:29" outlineLevel="1">
      <c r="B8" s="325" t="s">
        <v>531</v>
      </c>
      <c r="C8" s="850"/>
      <c r="D8" s="850"/>
      <c r="E8" s="850"/>
      <c r="F8" s="850"/>
      <c r="G8" s="850"/>
      <c r="H8" s="850"/>
      <c r="I8" s="850"/>
      <c r="J8" s="850"/>
      <c r="K8" s="850"/>
      <c r="L8" s="850"/>
      <c r="M8" s="850"/>
      <c r="N8" s="850"/>
      <c r="O8" s="850"/>
      <c r="P8" s="850"/>
      <c r="Q8" s="850"/>
      <c r="R8" s="850"/>
      <c r="S8" s="850"/>
      <c r="T8" s="850"/>
      <c r="U8" s="850"/>
      <c r="V8" s="850"/>
      <c r="W8" s="850"/>
      <c r="X8" s="850"/>
      <c r="Y8" s="850"/>
      <c r="Z8" s="850"/>
      <c r="AA8" s="850"/>
      <c r="AB8" s="850"/>
      <c r="AC8" s="850"/>
    </row>
    <row r="9" spans="2:29" outlineLevel="1">
      <c r="B9" s="1"/>
      <c r="C9" s="850"/>
      <c r="D9" s="850"/>
      <c r="E9" s="850"/>
      <c r="F9" s="850"/>
      <c r="G9" s="850"/>
      <c r="H9" s="850"/>
      <c r="I9" s="850"/>
      <c r="J9" s="850"/>
      <c r="K9" s="850"/>
      <c r="L9" s="850"/>
      <c r="M9" s="850"/>
      <c r="N9" s="850"/>
      <c r="O9" s="850"/>
      <c r="P9" s="850"/>
      <c r="Q9" s="850"/>
      <c r="R9" s="850"/>
      <c r="S9" s="850"/>
      <c r="T9" s="850"/>
      <c r="U9" s="850"/>
      <c r="V9" s="850"/>
      <c r="W9" s="850"/>
      <c r="X9" s="850"/>
      <c r="Y9" s="850"/>
      <c r="Z9" s="850"/>
      <c r="AA9" s="850"/>
      <c r="AB9" s="850"/>
      <c r="AC9" s="850"/>
    </row>
    <row r="10" spans="2:29" outlineLevel="1">
      <c r="B10" s="1" t="s">
        <v>532</v>
      </c>
      <c r="C10" s="850"/>
      <c r="D10" s="850"/>
      <c r="E10" s="850"/>
      <c r="F10" s="850"/>
      <c r="G10" s="850"/>
      <c r="H10" s="850"/>
      <c r="I10" s="850"/>
      <c r="J10" s="850"/>
      <c r="K10" s="850"/>
      <c r="L10" s="850"/>
      <c r="M10" s="850"/>
      <c r="N10" s="850"/>
      <c r="O10" s="850"/>
      <c r="P10" s="850"/>
      <c r="Q10" s="850"/>
      <c r="R10" s="850"/>
      <c r="S10" s="850"/>
      <c r="T10" s="850"/>
      <c r="U10" s="850"/>
      <c r="V10" s="850"/>
      <c r="W10" s="850"/>
      <c r="X10" s="850"/>
      <c r="Y10" s="850"/>
      <c r="Z10" s="850"/>
      <c r="AA10" s="850"/>
      <c r="AB10" s="850"/>
      <c r="AC10" s="850"/>
    </row>
    <row r="11" spans="2:29" outlineLevel="1">
      <c r="B11" s="850"/>
      <c r="C11" s="1" t="s">
        <v>533</v>
      </c>
      <c r="D11" s="313">
        <v>44539</v>
      </c>
      <c r="E11" s="922"/>
      <c r="F11" s="850"/>
      <c r="G11" s="312" t="s">
        <v>534</v>
      </c>
      <c r="H11" s="312">
        <v>44566</v>
      </c>
      <c r="I11" s="850"/>
      <c r="J11" s="850"/>
      <c r="K11" s="312" t="s">
        <v>535</v>
      </c>
      <c r="L11" s="312">
        <v>44832</v>
      </c>
      <c r="M11" s="850"/>
      <c r="N11" s="850"/>
      <c r="O11" s="312" t="s">
        <v>536</v>
      </c>
      <c r="P11" s="312">
        <v>44904</v>
      </c>
      <c r="Q11" s="850"/>
      <c r="R11" s="850"/>
      <c r="S11" s="1" t="s">
        <v>537</v>
      </c>
      <c r="T11" s="850"/>
      <c r="U11" s="850"/>
      <c r="V11" s="850"/>
      <c r="W11" s="1" t="s">
        <v>538</v>
      </c>
      <c r="X11" s="312">
        <v>45274</v>
      </c>
      <c r="Y11" s="850"/>
      <c r="Z11" s="850"/>
      <c r="AA11" s="1" t="s">
        <v>539</v>
      </c>
      <c r="AB11" s="312">
        <v>45596</v>
      </c>
      <c r="AC11" s="850"/>
    </row>
    <row r="12" spans="2:29" outlineLevel="1">
      <c r="B12" s="850" t="s">
        <v>540</v>
      </c>
      <c r="C12" s="1" t="s">
        <v>541</v>
      </c>
      <c r="D12" s="850"/>
      <c r="E12" s="850"/>
      <c r="F12" s="850"/>
      <c r="G12" s="1" t="s">
        <v>542</v>
      </c>
      <c r="H12" s="848">
        <f>8500000*10000</f>
        <v>85000000000</v>
      </c>
      <c r="I12" s="850"/>
      <c r="J12" s="850"/>
      <c r="K12" s="1" t="s">
        <v>543</v>
      </c>
      <c r="L12" s="848">
        <f>200000000000</f>
        <v>200000000000</v>
      </c>
      <c r="M12" s="850"/>
      <c r="N12" s="850"/>
      <c r="O12" s="1" t="s">
        <v>544</v>
      </c>
      <c r="P12" s="848"/>
      <c r="Q12" s="848"/>
      <c r="R12" s="850"/>
      <c r="S12" s="1" t="s">
        <v>545</v>
      </c>
      <c r="T12" s="848">
        <v>1754073365</v>
      </c>
      <c r="U12" s="850"/>
      <c r="V12" s="850"/>
      <c r="W12" s="850" t="s">
        <v>546</v>
      </c>
      <c r="X12" s="850"/>
      <c r="Y12" s="850"/>
      <c r="Z12" s="850"/>
      <c r="AA12" s="850" t="s">
        <v>547</v>
      </c>
      <c r="AB12" s="850"/>
      <c r="AC12" s="850"/>
    </row>
    <row r="13" spans="2:29" outlineLevel="1">
      <c r="B13" s="1" t="s">
        <v>548</v>
      </c>
      <c r="C13" s="1" t="s">
        <v>549</v>
      </c>
      <c r="D13" s="1" t="s">
        <v>550</v>
      </c>
      <c r="E13" s="1" t="s">
        <v>551</v>
      </c>
      <c r="F13" s="850"/>
      <c r="G13" s="1" t="s">
        <v>549</v>
      </c>
      <c r="H13" s="1" t="s">
        <v>550</v>
      </c>
      <c r="I13" s="1" t="s">
        <v>551</v>
      </c>
      <c r="J13" s="850"/>
      <c r="K13" s="1" t="s">
        <v>549</v>
      </c>
      <c r="L13" s="1" t="s">
        <v>550</v>
      </c>
      <c r="M13" s="1" t="s">
        <v>551</v>
      </c>
      <c r="N13" s="850"/>
      <c r="O13" s="1" t="s">
        <v>549</v>
      </c>
      <c r="P13" s="1" t="s">
        <v>550</v>
      </c>
      <c r="Q13" s="1" t="s">
        <v>551</v>
      </c>
      <c r="R13" s="850"/>
      <c r="S13" s="1" t="s">
        <v>549</v>
      </c>
      <c r="T13" s="1" t="s">
        <v>550</v>
      </c>
      <c r="U13" s="1" t="s">
        <v>551</v>
      </c>
      <c r="V13" s="850"/>
      <c r="W13" s="1" t="s">
        <v>549</v>
      </c>
      <c r="X13" s="1" t="s">
        <v>550</v>
      </c>
      <c r="Y13" s="1" t="s">
        <v>551</v>
      </c>
      <c r="Z13" s="850"/>
      <c r="AA13" s="1" t="s">
        <v>549</v>
      </c>
      <c r="AB13" s="1" t="s">
        <v>550</v>
      </c>
      <c r="AC13" s="1" t="s">
        <v>551</v>
      </c>
    </row>
    <row r="14" spans="2:29" outlineLevel="1">
      <c r="B14" s="850" t="s">
        <v>552</v>
      </c>
      <c r="C14" s="848">
        <v>376200000</v>
      </c>
      <c r="D14" s="848">
        <v>1368000000</v>
      </c>
      <c r="E14" s="1004">
        <f>D14/$D$18</f>
        <v>5.0000003654971032E-3</v>
      </c>
      <c r="F14" s="850"/>
      <c r="G14" s="848">
        <v>376200000</v>
      </c>
      <c r="H14" s="848">
        <v>1368000000</v>
      </c>
      <c r="I14" s="1004">
        <f>H14/$H$18</f>
        <v>3.8148356840399153E-3</v>
      </c>
      <c r="J14" s="850"/>
      <c r="K14" s="848">
        <v>376200000</v>
      </c>
      <c r="L14" s="848">
        <v>1368000000</v>
      </c>
      <c r="M14" s="1004">
        <f>L14/$L$18</f>
        <v>2.4489796795195014E-3</v>
      </c>
      <c r="N14" s="850"/>
      <c r="O14" s="848">
        <v>376200000</v>
      </c>
      <c r="P14" s="848">
        <v>1368000000</v>
      </c>
      <c r="Q14" s="1004">
        <f>P14/$P$18</f>
        <v>2.4489796795195014E-3</v>
      </c>
      <c r="R14" s="850"/>
      <c r="S14" s="848">
        <f>O14</f>
        <v>376200000</v>
      </c>
      <c r="T14" s="857">
        <f>P14</f>
        <v>1368000000</v>
      </c>
      <c r="U14" s="1004">
        <f>T14/$T$18</f>
        <v>2.4489796795195014E-3</v>
      </c>
      <c r="V14" s="850"/>
      <c r="W14" s="857">
        <f>S14</f>
        <v>376200000</v>
      </c>
      <c r="X14" s="857">
        <f>P14</f>
        <v>1368000000</v>
      </c>
      <c r="Y14" s="1004">
        <f>X14/$X$18</f>
        <v>2.4489796795195014E-3</v>
      </c>
      <c r="Z14" s="850"/>
      <c r="AA14" s="857">
        <f>W14</f>
        <v>376200000</v>
      </c>
      <c r="AB14" s="857">
        <f>X14</f>
        <v>1368000000</v>
      </c>
      <c r="AC14" s="1004">
        <f>AB14/$X$18</f>
        <v>2.4489796795195014E-3</v>
      </c>
    </row>
    <row r="15" spans="2:29" outlineLevel="1">
      <c r="B15" s="850" t="s">
        <v>553</v>
      </c>
      <c r="C15" s="848">
        <v>2958450000</v>
      </c>
      <c r="D15" s="848">
        <v>10758000000</v>
      </c>
      <c r="E15" s="1004">
        <f>D15/$D$18</f>
        <v>3.9320178312878533E-2</v>
      </c>
      <c r="F15" s="850"/>
      <c r="G15" s="848">
        <v>2958450000</v>
      </c>
      <c r="H15" s="848">
        <v>10758000000</v>
      </c>
      <c r="I15" s="1004">
        <f>H15/$H$18</f>
        <v>3.0000001673173547E-2</v>
      </c>
      <c r="J15" s="850"/>
      <c r="K15" s="848">
        <v>2958450000</v>
      </c>
      <c r="L15" s="848">
        <v>10758000000</v>
      </c>
      <c r="M15" s="1004">
        <f>L15/$L$18</f>
        <v>1.9258862128852923E-2</v>
      </c>
      <c r="N15" s="850"/>
      <c r="O15" s="848">
        <v>2877289192.7943673</v>
      </c>
      <c r="P15" s="848">
        <v>3758000000</v>
      </c>
      <c r="Q15" s="1004">
        <f>P15/$P$18</f>
        <v>6.727533359381789E-3</v>
      </c>
      <c r="R15" s="850"/>
      <c r="S15" s="848">
        <f>O15</f>
        <v>2877289192.7943673</v>
      </c>
      <c r="T15" s="857">
        <f t="shared" ref="T15:T16" si="0">P15</f>
        <v>3758000000</v>
      </c>
      <c r="U15" s="1004">
        <f>T15/$T$18</f>
        <v>6.727533359381789E-3</v>
      </c>
      <c r="V15" s="850"/>
      <c r="W15" s="857"/>
      <c r="X15" s="857">
        <f>P15-230000*10000</f>
        <v>1458000000</v>
      </c>
      <c r="Y15" s="1004">
        <f>X15/$X$18</f>
        <v>2.6100967636984163E-3</v>
      </c>
      <c r="Z15" s="850"/>
      <c r="AA15" s="857">
        <v>0</v>
      </c>
      <c r="AB15" s="857">
        <v>0</v>
      </c>
      <c r="AC15" s="1004">
        <f>AB15/$X$18</f>
        <v>0</v>
      </c>
    </row>
    <row r="16" spans="2:29" outlineLevel="1">
      <c r="B16" s="850" t="s">
        <v>554</v>
      </c>
      <c r="C16" s="848">
        <v>132805330000</v>
      </c>
      <c r="D16" s="848">
        <v>261473980000</v>
      </c>
      <c r="E16" s="1004">
        <f>D16/$D$18</f>
        <v>0.95567982132162432</v>
      </c>
      <c r="F16" s="848"/>
      <c r="G16" s="848">
        <v>217805330000</v>
      </c>
      <c r="H16" s="848">
        <v>346473980000</v>
      </c>
      <c r="I16" s="1004">
        <f>H16/$H$18</f>
        <v>0.96618516264278653</v>
      </c>
      <c r="J16" s="850"/>
      <c r="K16" s="848">
        <v>417805330000</v>
      </c>
      <c r="L16" s="848">
        <v>546473980000</v>
      </c>
      <c r="M16" s="1004">
        <f>L16/$L$18</f>
        <v>0.97829215819162763</v>
      </c>
      <c r="N16" s="857"/>
      <c r="O16" s="848">
        <v>425505330000</v>
      </c>
      <c r="P16" s="848">
        <v>553473980000</v>
      </c>
      <c r="Q16" s="1004">
        <f>P16/$P$18</f>
        <v>0.99082348696109868</v>
      </c>
      <c r="R16" s="850"/>
      <c r="S16" s="848">
        <f>O16-T12</f>
        <v>423751256635</v>
      </c>
      <c r="T16" s="857">
        <f t="shared" si="0"/>
        <v>553473980000</v>
      </c>
      <c r="U16" s="1004">
        <f>T16/$T$18</f>
        <v>0.99082348696109868</v>
      </c>
      <c r="V16" s="857"/>
      <c r="W16" s="857">
        <f>S16+3450000000</f>
        <v>427201256635</v>
      </c>
      <c r="X16" s="857">
        <f>P16+230000*10000</f>
        <v>555773980000</v>
      </c>
      <c r="Y16" s="1004">
        <f>X16/$X$18</f>
        <v>0.9949409235567821</v>
      </c>
      <c r="Z16" s="850"/>
      <c r="AA16" s="857">
        <f>W16</f>
        <v>427201256635</v>
      </c>
      <c r="AB16" s="857">
        <f>X16</f>
        <v>555773980000</v>
      </c>
      <c r="AC16" s="1004">
        <f>AB16/$X$18</f>
        <v>0.9949409235567821</v>
      </c>
    </row>
    <row r="17" spans="2:29" outlineLevel="1">
      <c r="B17" s="850" t="s">
        <v>555</v>
      </c>
      <c r="C17" s="848"/>
      <c r="D17" s="848"/>
      <c r="E17" s="1004"/>
      <c r="F17" s="848"/>
      <c r="G17" s="848"/>
      <c r="H17" s="848"/>
      <c r="I17" s="1004"/>
      <c r="J17" s="850"/>
      <c r="K17" s="848"/>
      <c r="L17" s="848"/>
      <c r="M17" s="1004"/>
      <c r="N17" s="857"/>
      <c r="O17" s="848"/>
      <c r="P17" s="848"/>
      <c r="Q17" s="1004"/>
      <c r="R17" s="850"/>
      <c r="S17" s="848"/>
      <c r="T17" s="857"/>
      <c r="U17" s="1004"/>
      <c r="V17" s="857"/>
      <c r="W17" s="857"/>
      <c r="X17" s="857"/>
      <c r="Y17" s="1004"/>
      <c r="Z17" s="850"/>
      <c r="AA17" s="857">
        <f>X15</f>
        <v>1458000000</v>
      </c>
      <c r="AB17" s="857">
        <f>X15</f>
        <v>1458000000</v>
      </c>
      <c r="AC17" s="1004">
        <f>AB17/$X$18</f>
        <v>2.6100967636984163E-3</v>
      </c>
    </row>
    <row r="18" spans="2:29" ht="13.5" outlineLevel="1" thickBot="1">
      <c r="B18" s="850"/>
      <c r="C18" s="1528">
        <f>SUM(C14:C16)</f>
        <v>136139980000</v>
      </c>
      <c r="D18" s="1528">
        <f>SUM(D14:D16)</f>
        <v>273599980000</v>
      </c>
      <c r="E18" s="850"/>
      <c r="F18" s="850"/>
      <c r="G18" s="1528">
        <f>SUM(G14:G16)</f>
        <v>221139980000</v>
      </c>
      <c r="H18" s="1528">
        <f>SUM(H14:H16)</f>
        <v>358599980000</v>
      </c>
      <c r="I18" s="850"/>
      <c r="J18" s="850"/>
      <c r="K18" s="1528">
        <f>SUM(K14:K16)</f>
        <v>421139980000</v>
      </c>
      <c r="L18" s="1528">
        <f>SUM(L14:L16)</f>
        <v>558599980000</v>
      </c>
      <c r="M18" s="850"/>
      <c r="N18" s="857"/>
      <c r="O18" s="1528">
        <f>SUM(O14:O16)</f>
        <v>428758819192.79437</v>
      </c>
      <c r="P18" s="1528">
        <f>SUM(P14:P16)</f>
        <v>558599980000</v>
      </c>
      <c r="Q18" s="850"/>
      <c r="R18" s="850"/>
      <c r="S18" s="1529">
        <f>SUM(S14:S16)</f>
        <v>427004745827.79437</v>
      </c>
      <c r="T18" s="1528">
        <f>P18</f>
        <v>558599980000</v>
      </c>
      <c r="U18" s="850"/>
      <c r="V18" s="850"/>
      <c r="W18" s="1528">
        <f>SUM(W14:W16)</f>
        <v>427577456635</v>
      </c>
      <c r="X18" s="1528">
        <f>SUM(X14:X16)</f>
        <v>558599980000</v>
      </c>
      <c r="Y18" s="850"/>
      <c r="Z18" s="850"/>
      <c r="AA18" s="1528">
        <f>SUM(AA14:AA16)</f>
        <v>427577456635</v>
      </c>
      <c r="AB18" s="1528">
        <f>SUM(AB14:AB16)</f>
        <v>557141980000</v>
      </c>
      <c r="AC18" s="850"/>
    </row>
    <row r="19" spans="2:29" ht="13.5" outlineLevel="1" thickTop="1">
      <c r="B19" s="850"/>
      <c r="C19" s="850"/>
      <c r="D19" s="850"/>
      <c r="E19" s="850"/>
      <c r="F19" s="850"/>
      <c r="G19" s="850"/>
      <c r="H19" s="850"/>
      <c r="I19" s="850"/>
      <c r="J19" s="850"/>
      <c r="K19" s="850"/>
      <c r="L19" s="850"/>
      <c r="M19" s="850"/>
      <c r="N19" s="850"/>
      <c r="O19" s="857"/>
      <c r="P19" s="850"/>
      <c r="Q19" s="850"/>
      <c r="R19" s="850"/>
      <c r="S19" s="850"/>
      <c r="T19" s="850"/>
      <c r="U19" s="850"/>
      <c r="V19" s="850"/>
      <c r="W19" s="850"/>
      <c r="X19" s="850"/>
      <c r="Y19" s="850"/>
      <c r="Z19" s="850"/>
      <c r="AA19" s="850"/>
      <c r="AB19" s="850"/>
      <c r="AC19" s="850"/>
    </row>
    <row r="20" spans="2:29" outlineLevel="1">
      <c r="B20" s="325" t="s">
        <v>556</v>
      </c>
      <c r="C20" s="850"/>
      <c r="D20" s="850"/>
      <c r="E20" s="850"/>
      <c r="F20" s="850"/>
      <c r="G20" s="850"/>
      <c r="H20" s="850"/>
      <c r="I20" s="850"/>
      <c r="J20" s="850"/>
      <c r="K20" s="850"/>
      <c r="L20" s="850"/>
      <c r="M20" s="850"/>
      <c r="N20" s="850"/>
      <c r="O20" s="856" t="s">
        <v>557</v>
      </c>
      <c r="P20" s="850"/>
      <c r="Q20" s="850"/>
      <c r="R20" s="850"/>
      <c r="S20" s="850"/>
      <c r="T20" s="850"/>
      <c r="U20" s="850"/>
      <c r="V20" s="850"/>
      <c r="W20" s="848" t="s">
        <v>532</v>
      </c>
      <c r="X20" s="850"/>
      <c r="Y20" s="850"/>
      <c r="Z20" s="850"/>
      <c r="AA20" s="848" t="s">
        <v>558</v>
      </c>
      <c r="AB20" s="850"/>
      <c r="AC20" s="850"/>
    </row>
    <row r="21" spans="2:29" outlineLevel="1">
      <c r="B21" s="1" t="s">
        <v>559</v>
      </c>
      <c r="C21" s="850"/>
      <c r="D21" s="850"/>
      <c r="E21" s="850"/>
      <c r="F21" s="850"/>
      <c r="G21" s="850"/>
      <c r="H21" s="850"/>
      <c r="I21" s="850"/>
      <c r="J21" s="850"/>
      <c r="K21" s="850"/>
      <c r="L21" s="850"/>
      <c r="M21" s="850"/>
      <c r="N21" s="850"/>
      <c r="O21" s="848">
        <v>297702045051</v>
      </c>
      <c r="P21" s="850"/>
      <c r="Q21" s="850"/>
      <c r="R21" s="850"/>
      <c r="S21" s="850"/>
      <c r="T21" s="850"/>
      <c r="U21" s="850"/>
      <c r="V21" s="850"/>
      <c r="W21" s="848">
        <v>302706900504</v>
      </c>
      <c r="X21" s="850"/>
      <c r="Y21" s="850"/>
      <c r="Z21" s="850"/>
      <c r="AA21" s="848">
        <f>'A0.LS'!AH102</f>
        <v>339734388099</v>
      </c>
      <c r="AB21" s="857"/>
      <c r="AC21" s="850"/>
    </row>
    <row r="22" spans="2:29" outlineLevel="1">
      <c r="B22" s="1" t="s">
        <v>560</v>
      </c>
      <c r="C22" s="850"/>
      <c r="D22" s="850"/>
      <c r="E22" s="850"/>
      <c r="F22" s="850"/>
      <c r="G22" s="850"/>
      <c r="H22" s="850"/>
      <c r="I22" s="850"/>
      <c r="J22" s="850"/>
      <c r="K22" s="850"/>
      <c r="L22" s="850"/>
      <c r="M22" s="850"/>
      <c r="N22" s="850"/>
      <c r="O22" s="848">
        <v>-658291890</v>
      </c>
      <c r="P22" s="850"/>
      <c r="Q22" s="850"/>
      <c r="R22" s="850"/>
      <c r="S22" s="850"/>
      <c r="T22" s="850"/>
      <c r="U22" s="850"/>
      <c r="V22" s="850"/>
      <c r="W22" s="848">
        <v>-3157604415</v>
      </c>
      <c r="X22" s="850"/>
      <c r="Y22" s="850"/>
      <c r="Z22" s="850"/>
      <c r="AA22" s="848">
        <f>'A0.LS'!AH104</f>
        <v>-62298913444</v>
      </c>
      <c r="AB22" s="850"/>
      <c r="AC22" s="850"/>
    </row>
    <row r="23" spans="2:29" outlineLevel="1">
      <c r="B23" s="1" t="s">
        <v>561</v>
      </c>
      <c r="C23" s="850"/>
      <c r="D23" s="850"/>
      <c r="E23" s="850"/>
      <c r="F23" s="850"/>
      <c r="G23" s="850"/>
      <c r="H23" s="850"/>
      <c r="I23" s="850"/>
      <c r="J23" s="850"/>
      <c r="K23" s="850"/>
      <c r="L23" s="850"/>
      <c r="M23" s="850"/>
      <c r="N23" s="850"/>
      <c r="O23" s="848">
        <f>SUM(O21:O22)</f>
        <v>297043753161</v>
      </c>
      <c r="P23" s="850"/>
      <c r="Q23" s="850"/>
      <c r="R23" s="850"/>
      <c r="S23" s="850"/>
      <c r="T23" s="850"/>
      <c r="U23" s="850"/>
      <c r="V23" s="850"/>
      <c r="W23" s="848">
        <f>SUM(W21:W22)</f>
        <v>299549296089</v>
      </c>
      <c r="X23" s="850"/>
      <c r="Y23" s="850"/>
      <c r="Z23" s="850"/>
      <c r="AA23" s="848">
        <f>SUM(AA21:AA22)</f>
        <v>277435474655</v>
      </c>
      <c r="AB23" s="850"/>
      <c r="AC23" s="850"/>
    </row>
    <row r="24" spans="2:29" outlineLevel="1">
      <c r="B24" s="850"/>
      <c r="C24" s="850"/>
      <c r="D24" s="850"/>
      <c r="E24" s="850"/>
      <c r="F24" s="850"/>
      <c r="G24" s="850"/>
      <c r="H24" s="850"/>
      <c r="I24" s="850"/>
      <c r="J24" s="850"/>
      <c r="K24" s="850"/>
      <c r="L24" s="850"/>
      <c r="M24" s="850"/>
      <c r="N24" s="850"/>
      <c r="O24" s="850"/>
      <c r="P24" s="850"/>
      <c r="Q24" s="850"/>
      <c r="R24" s="850"/>
      <c r="S24" s="850"/>
      <c r="T24" s="850"/>
      <c r="U24" s="850"/>
      <c r="V24" s="850"/>
      <c r="W24" s="848"/>
      <c r="X24" s="850"/>
      <c r="Y24" s="850"/>
      <c r="Z24" s="850"/>
      <c r="AA24" s="850"/>
      <c r="AB24" s="850"/>
      <c r="AC24" s="850"/>
    </row>
    <row r="25" spans="2:29" outlineLevel="1">
      <c r="B25" s="1" t="s">
        <v>562</v>
      </c>
      <c r="C25" s="850"/>
      <c r="D25" s="850"/>
      <c r="E25" s="850"/>
      <c r="F25" s="850"/>
      <c r="G25" s="850"/>
      <c r="H25" s="850"/>
      <c r="I25" s="850"/>
      <c r="J25" s="850"/>
      <c r="K25" s="850"/>
      <c r="L25" s="850"/>
      <c r="M25" s="850"/>
      <c r="N25" s="850"/>
      <c r="O25" s="850"/>
      <c r="P25" s="850"/>
      <c r="Q25" s="850"/>
      <c r="R25" s="850"/>
      <c r="S25" s="850"/>
      <c r="T25" s="850"/>
      <c r="U25" s="850"/>
      <c r="V25" s="850"/>
      <c r="W25" s="848"/>
      <c r="X25" s="850"/>
      <c r="Y25" s="850"/>
      <c r="Z25" s="850"/>
      <c r="AA25" s="850"/>
      <c r="AB25" s="850"/>
      <c r="AC25" s="850"/>
    </row>
    <row r="26" spans="2:29" outlineLevel="1">
      <c r="B26" s="171"/>
      <c r="C26" s="171" t="s">
        <v>563</v>
      </c>
      <c r="D26" s="171"/>
      <c r="E26" s="171" t="s">
        <v>564</v>
      </c>
      <c r="F26" s="171"/>
      <c r="G26" s="850"/>
      <c r="H26" s="850"/>
      <c r="I26" s="850"/>
      <c r="J26" s="850"/>
      <c r="K26" s="850"/>
      <c r="L26" s="850"/>
      <c r="M26" s="850"/>
      <c r="N26" s="850"/>
      <c r="O26" s="850"/>
      <c r="P26" s="850"/>
      <c r="Q26" s="850"/>
      <c r="R26" s="850"/>
      <c r="S26" s="850"/>
      <c r="T26" s="850"/>
      <c r="U26" s="850"/>
      <c r="V26" s="850"/>
      <c r="W26" s="848"/>
      <c r="X26" s="850"/>
      <c r="Y26" s="850"/>
      <c r="Z26" s="850"/>
      <c r="AA26" s="850"/>
      <c r="AB26" s="850"/>
      <c r="AC26" s="850"/>
    </row>
    <row r="27" spans="2:29" outlineLevel="1">
      <c r="B27" s="171" t="s">
        <v>565</v>
      </c>
      <c r="C27" s="171" t="s">
        <v>566</v>
      </c>
      <c r="D27" s="171" t="s">
        <v>567</v>
      </c>
      <c r="E27" s="171" t="s">
        <v>566</v>
      </c>
      <c r="F27" s="171" t="s">
        <v>567</v>
      </c>
      <c r="G27" s="850"/>
      <c r="H27" s="850"/>
      <c r="I27" s="850"/>
      <c r="J27" s="850"/>
      <c r="K27" s="850"/>
      <c r="L27" s="850"/>
      <c r="M27" s="850"/>
      <c r="N27" s="850"/>
      <c r="O27" s="850"/>
      <c r="P27" s="850"/>
      <c r="Q27" s="850"/>
      <c r="R27" s="850"/>
      <c r="S27" s="850"/>
      <c r="T27" s="850"/>
      <c r="U27" s="850"/>
      <c r="V27" s="850"/>
      <c r="W27" s="848"/>
      <c r="X27" s="850"/>
      <c r="Y27" s="850"/>
      <c r="Z27" s="850"/>
      <c r="AA27" s="850"/>
      <c r="AB27" s="850"/>
      <c r="AC27" s="850"/>
    </row>
    <row r="28" spans="2:29" outlineLevel="1">
      <c r="B28" s="850" t="s">
        <v>568</v>
      </c>
      <c r="C28" s="857">
        <f>SUM(X14:X15)</f>
        <v>2826000000</v>
      </c>
      <c r="D28" s="1157">
        <f>SUM(Y14:Y15)</f>
        <v>5.0590764432179181E-3</v>
      </c>
      <c r="E28" s="857">
        <f>SUM(AB14:AB15)</f>
        <v>1368000000</v>
      </c>
      <c r="F28" s="1157">
        <f>SUM(AC14:AC15)</f>
        <v>2.4489796795195014E-3</v>
      </c>
      <c r="G28" s="850"/>
      <c r="H28" s="850"/>
      <c r="I28" s="850"/>
      <c r="J28" s="850"/>
      <c r="K28" s="850"/>
      <c r="L28" s="850"/>
      <c r="M28" s="850"/>
      <c r="N28" s="850"/>
      <c r="O28" s="848"/>
      <c r="P28" s="850"/>
      <c r="Q28" s="850"/>
      <c r="R28" s="850"/>
      <c r="S28" s="850"/>
      <c r="T28" s="850"/>
      <c r="U28" s="850"/>
      <c r="V28" s="850"/>
      <c r="W28" s="850"/>
      <c r="X28" s="850"/>
      <c r="Y28" s="850"/>
      <c r="Z28" s="850"/>
      <c r="AA28" s="850"/>
      <c r="AB28" s="850"/>
      <c r="AC28" s="850"/>
    </row>
    <row r="29" spans="2:29" outlineLevel="1">
      <c r="B29" s="850" t="s">
        <v>569</v>
      </c>
      <c r="C29" s="857">
        <f>X16</f>
        <v>555773980000</v>
      </c>
      <c r="D29" s="1157">
        <f>Y16</f>
        <v>0.9949409235567821</v>
      </c>
      <c r="E29" s="857">
        <f>SUM(AB16:AB17)</f>
        <v>557231980000</v>
      </c>
      <c r="F29" s="1157">
        <f>SUM(AC16:AC17)</f>
        <v>0.99755102032048049</v>
      </c>
      <c r="G29" s="850"/>
      <c r="H29" s="850"/>
      <c r="I29" s="850"/>
      <c r="J29" s="850"/>
      <c r="K29" s="850"/>
      <c r="L29" s="850"/>
      <c r="M29" s="850"/>
      <c r="N29" s="850"/>
      <c r="O29" s="857"/>
      <c r="P29" s="850"/>
      <c r="Q29" s="850"/>
      <c r="R29" s="850"/>
      <c r="S29" s="850"/>
      <c r="T29" s="850"/>
      <c r="U29" s="850"/>
      <c r="V29" s="850"/>
      <c r="W29" s="850"/>
      <c r="X29" s="850"/>
      <c r="Y29" s="850"/>
      <c r="Z29" s="850"/>
      <c r="AA29" s="850"/>
      <c r="AB29" s="850"/>
      <c r="AC29" s="850"/>
    </row>
    <row r="30" spans="2:29" outlineLevel="1">
      <c r="B30" s="850"/>
      <c r="C30" s="850"/>
      <c r="D30" s="850"/>
      <c r="E30" s="850"/>
      <c r="F30" s="850"/>
      <c r="G30" s="850"/>
      <c r="H30" s="850"/>
      <c r="I30" s="850"/>
      <c r="J30" s="850"/>
      <c r="K30" s="850"/>
      <c r="L30" s="850"/>
      <c r="M30" s="850"/>
      <c r="N30" s="850"/>
      <c r="O30" s="850"/>
      <c r="P30" s="850"/>
      <c r="Q30" s="850"/>
      <c r="R30" s="850"/>
      <c r="S30" s="850"/>
      <c r="T30" s="850"/>
      <c r="U30" s="850"/>
      <c r="V30" s="850"/>
      <c r="W30" s="850"/>
      <c r="X30" s="850"/>
      <c r="Y30" s="850"/>
      <c r="Z30" s="850"/>
      <c r="AA30" s="850"/>
      <c r="AB30" s="850"/>
      <c r="AC30" s="850"/>
    </row>
    <row r="31" spans="2:29" outlineLevel="1">
      <c r="B31" s="850"/>
      <c r="C31" s="171" t="s">
        <v>570</v>
      </c>
      <c r="D31" s="850"/>
      <c r="E31" s="850"/>
      <c r="F31" s="850"/>
      <c r="G31" s="850"/>
      <c r="H31" s="850"/>
      <c r="I31" s="850"/>
      <c r="J31" s="850"/>
      <c r="K31" s="850"/>
      <c r="L31" s="850"/>
      <c r="M31" s="850"/>
      <c r="N31" s="850"/>
      <c r="O31" s="850"/>
      <c r="P31" s="850"/>
      <c r="Q31" s="850"/>
      <c r="R31" s="850"/>
      <c r="S31" s="850"/>
      <c r="T31" s="850"/>
      <c r="U31" s="850"/>
      <c r="V31" s="850"/>
      <c r="W31" s="850"/>
      <c r="X31" s="850"/>
      <c r="Y31" s="850"/>
      <c r="Z31" s="850"/>
      <c r="AA31" s="850"/>
      <c r="AB31" s="850"/>
      <c r="AC31" s="850"/>
    </row>
    <row r="32" spans="2:29" outlineLevel="1">
      <c r="B32" s="850" t="s">
        <v>571</v>
      </c>
      <c r="C32" s="857">
        <f>AA23</f>
        <v>277435474655</v>
      </c>
      <c r="D32" s="857"/>
      <c r="E32" s="850"/>
      <c r="F32" s="850"/>
      <c r="G32" s="850"/>
      <c r="H32" s="850"/>
      <c r="I32" s="850"/>
      <c r="J32" s="850"/>
      <c r="K32" s="850"/>
      <c r="L32" s="850"/>
      <c r="M32" s="850"/>
      <c r="N32" s="850"/>
      <c r="O32" s="850"/>
      <c r="P32" s="850"/>
      <c r="Q32" s="850"/>
      <c r="R32" s="850"/>
      <c r="S32" s="850"/>
      <c r="T32" s="850"/>
      <c r="U32" s="850"/>
      <c r="V32" s="850"/>
      <c r="W32" s="850"/>
      <c r="X32" s="850"/>
      <c r="Y32" s="850"/>
      <c r="Z32" s="850"/>
      <c r="AA32" s="850"/>
      <c r="AB32" s="850"/>
      <c r="AC32" s="850"/>
    </row>
    <row r="33" spans="2:24" outlineLevel="1">
      <c r="B33" s="850" t="s">
        <v>572</v>
      </c>
      <c r="C33" s="1157">
        <f>F28</f>
        <v>2.4489796795195014E-3</v>
      </c>
      <c r="D33" s="1157"/>
      <c r="E33" s="850"/>
      <c r="F33" s="850"/>
      <c r="G33" s="850"/>
      <c r="H33" s="850"/>
      <c r="I33" s="850"/>
      <c r="J33" s="850"/>
      <c r="K33" s="850"/>
      <c r="L33" s="850"/>
      <c r="M33" s="850"/>
      <c r="N33" s="850"/>
      <c r="O33" s="850"/>
      <c r="P33" s="850"/>
      <c r="Q33" s="850"/>
      <c r="R33" s="850"/>
      <c r="S33" s="850"/>
      <c r="T33" s="850"/>
      <c r="U33" s="850"/>
      <c r="V33" s="850"/>
      <c r="W33" s="850"/>
      <c r="X33" s="850"/>
    </row>
    <row r="34" spans="2:24" outlineLevel="1">
      <c r="B34" s="850" t="s">
        <v>573</v>
      </c>
      <c r="C34" s="848">
        <f>C32*C33</f>
        <v>679433839.80794263</v>
      </c>
      <c r="D34" s="848"/>
      <c r="E34" s="857"/>
      <c r="F34" s="850"/>
      <c r="G34" s="850"/>
      <c r="H34" s="850"/>
      <c r="I34" s="850"/>
      <c r="J34" s="850"/>
      <c r="K34" s="850"/>
      <c r="L34" s="850"/>
      <c r="M34" s="850"/>
      <c r="N34" s="850"/>
      <c r="O34" s="850"/>
      <c r="P34" s="850"/>
      <c r="Q34" s="850"/>
      <c r="R34" s="850"/>
      <c r="S34" s="850"/>
      <c r="T34" s="850"/>
      <c r="U34" s="850"/>
      <c r="V34" s="850"/>
      <c r="W34" s="850"/>
      <c r="X34" s="850"/>
    </row>
    <row r="35" spans="2:24" outlineLevel="1">
      <c r="B35" s="850" t="s">
        <v>574</v>
      </c>
      <c r="C35" s="848">
        <v>1458000000</v>
      </c>
      <c r="D35" s="850"/>
      <c r="E35" s="850"/>
      <c r="F35" s="850"/>
      <c r="G35" s="850"/>
      <c r="H35" s="850"/>
      <c r="I35" s="850"/>
      <c r="J35" s="850"/>
      <c r="K35" s="850"/>
      <c r="L35" s="850"/>
      <c r="M35" s="850"/>
      <c r="N35" s="850"/>
      <c r="O35" s="850"/>
      <c r="P35" s="850"/>
      <c r="Q35" s="850"/>
      <c r="R35" s="850"/>
      <c r="S35" s="850"/>
      <c r="T35" s="850"/>
      <c r="U35" s="850"/>
      <c r="V35" s="850"/>
      <c r="W35" s="850"/>
      <c r="X35" s="850"/>
    </row>
    <row r="36" spans="2:24" outlineLevel="1">
      <c r="B36" s="850" t="s">
        <v>575</v>
      </c>
      <c r="C36" s="857">
        <f>C34-C35</f>
        <v>-778566160.19205737</v>
      </c>
      <c r="D36" s="850"/>
      <c r="E36" s="850"/>
      <c r="F36" s="850"/>
      <c r="G36" s="850"/>
      <c r="H36" s="850"/>
      <c r="I36" s="850"/>
      <c r="J36" s="850"/>
      <c r="K36" s="850"/>
      <c r="L36" s="850"/>
      <c r="M36" s="850"/>
      <c r="N36" s="850"/>
      <c r="O36" s="850"/>
      <c r="P36" s="850"/>
      <c r="Q36" s="850"/>
      <c r="R36" s="850"/>
      <c r="S36" s="850"/>
      <c r="T36" s="850"/>
      <c r="U36" s="850"/>
      <c r="V36" s="850"/>
      <c r="W36" s="850"/>
      <c r="X36" s="850"/>
    </row>
    <row r="37" spans="2:24" outlineLevel="1">
      <c r="B37" s="850"/>
      <c r="C37" s="850"/>
      <c r="D37" s="850"/>
      <c r="E37" s="850"/>
      <c r="F37" s="850"/>
      <c r="G37" s="850"/>
      <c r="H37" s="850"/>
      <c r="I37" s="850"/>
      <c r="J37" s="850"/>
      <c r="K37" s="850"/>
      <c r="L37" s="850"/>
      <c r="M37" s="850"/>
      <c r="N37" s="850"/>
      <c r="O37" s="850"/>
      <c r="P37" s="850"/>
      <c r="Q37" s="850"/>
      <c r="R37" s="850"/>
      <c r="S37" s="850"/>
      <c r="T37" s="850"/>
      <c r="U37" s="850"/>
      <c r="V37" s="850"/>
      <c r="W37" s="850"/>
      <c r="X37" s="850"/>
    </row>
    <row r="38" spans="2:24" outlineLevel="1">
      <c r="B38" s="325" t="s">
        <v>576</v>
      </c>
      <c r="C38" s="850"/>
      <c r="D38" s="850"/>
      <c r="E38" s="850"/>
      <c r="F38" s="850"/>
      <c r="G38" s="850"/>
      <c r="H38" s="850"/>
      <c r="I38" s="850"/>
      <c r="J38" s="850"/>
      <c r="K38" s="850"/>
      <c r="L38" s="850"/>
      <c r="M38" s="850"/>
      <c r="N38" s="850"/>
      <c r="O38" s="850"/>
      <c r="P38" s="850"/>
      <c r="Q38" s="850"/>
      <c r="R38" s="850"/>
      <c r="S38" s="850"/>
      <c r="T38" s="850"/>
      <c r="U38" s="850"/>
      <c r="V38" s="850"/>
      <c r="W38" s="850"/>
      <c r="X38" s="850"/>
    </row>
    <row r="39" spans="2:24" outlineLevel="1">
      <c r="B39" s="325"/>
      <c r="C39" s="850"/>
      <c r="D39" s="850"/>
      <c r="E39" s="850"/>
      <c r="F39" s="850"/>
      <c r="G39" s="850"/>
      <c r="H39" s="850"/>
      <c r="I39" s="850"/>
      <c r="J39" s="850"/>
      <c r="K39" s="850"/>
      <c r="L39" s="850"/>
      <c r="M39" s="850"/>
      <c r="N39" s="850"/>
      <c r="O39" s="850"/>
      <c r="P39" s="850"/>
      <c r="Q39" s="850"/>
      <c r="R39" s="850"/>
      <c r="S39" s="850"/>
      <c r="T39" s="850"/>
      <c r="U39" s="850"/>
      <c r="V39" s="850"/>
      <c r="W39" s="850"/>
      <c r="X39" s="850"/>
    </row>
    <row r="40" spans="2:24" outlineLevel="1">
      <c r="B40" s="850" t="s">
        <v>577</v>
      </c>
      <c r="C40" s="848">
        <f>-'A0.LS'!AH358</f>
        <v>-22113821434</v>
      </c>
      <c r="D40" s="850"/>
      <c r="E40" s="850"/>
      <c r="F40" s="850"/>
      <c r="G40" s="850"/>
      <c r="H40" s="850"/>
      <c r="I40" s="850"/>
      <c r="J40" s="850"/>
      <c r="K40" s="850"/>
      <c r="L40" s="850"/>
      <c r="M40" s="850"/>
      <c r="N40" s="850"/>
      <c r="O40" s="850"/>
      <c r="P40" s="850"/>
      <c r="Q40" s="850"/>
      <c r="R40" s="850"/>
      <c r="S40" s="850"/>
      <c r="T40" s="850"/>
      <c r="U40" s="850"/>
      <c r="V40" s="850"/>
      <c r="W40" s="850"/>
      <c r="X40" s="850"/>
    </row>
    <row r="41" spans="2:24" outlineLevel="1">
      <c r="B41" s="850" t="s">
        <v>578</v>
      </c>
      <c r="C41" s="1157">
        <f>F29</f>
        <v>0.99755102032048049</v>
      </c>
      <c r="D41" s="1157"/>
      <c r="E41" s="850"/>
      <c r="F41" s="850"/>
      <c r="G41" s="850"/>
      <c r="H41" s="850"/>
      <c r="I41" s="850"/>
      <c r="J41" s="850"/>
      <c r="K41" s="850"/>
      <c r="L41" s="850"/>
      <c r="M41" s="850"/>
      <c r="N41" s="850"/>
      <c r="O41" s="850"/>
      <c r="P41" s="850"/>
      <c r="Q41" s="850"/>
      <c r="R41" s="850"/>
      <c r="S41" s="850"/>
      <c r="T41" s="850"/>
      <c r="U41" s="850"/>
      <c r="V41" s="850"/>
      <c r="W41" s="850"/>
      <c r="X41" s="850"/>
    </row>
    <row r="42" spans="2:24" outlineLevel="1">
      <c r="B42" s="850" t="s">
        <v>579</v>
      </c>
      <c r="C42" s="1157">
        <f>F28</f>
        <v>2.4489796795195014E-3</v>
      </c>
      <c r="D42" s="1157"/>
      <c r="E42" s="850"/>
      <c r="F42" s="850"/>
      <c r="G42" s="850"/>
      <c r="H42" s="850"/>
      <c r="I42" s="850"/>
      <c r="J42" s="850"/>
      <c r="K42" s="850"/>
      <c r="L42" s="850"/>
      <c r="M42" s="850"/>
      <c r="N42" s="850"/>
      <c r="O42" s="850"/>
      <c r="P42" s="850"/>
      <c r="Q42" s="850"/>
      <c r="R42" s="850"/>
      <c r="S42" s="850"/>
      <c r="T42" s="850"/>
      <c r="U42" s="850"/>
      <c r="V42" s="850"/>
      <c r="W42" s="850"/>
      <c r="X42" s="850"/>
    </row>
    <row r="43" spans="2:24" outlineLevel="1">
      <c r="B43" s="850" t="s">
        <v>580</v>
      </c>
      <c r="C43" s="856">
        <v>45292</v>
      </c>
      <c r="D43" s="856"/>
      <c r="E43" s="850"/>
      <c r="F43" s="850"/>
      <c r="G43" s="850"/>
      <c r="H43" s="850"/>
      <c r="I43" s="850"/>
      <c r="J43" s="850"/>
      <c r="K43" s="850"/>
      <c r="L43" s="850"/>
      <c r="M43" s="850"/>
      <c r="N43" s="850"/>
      <c r="O43" s="850"/>
      <c r="P43" s="850"/>
      <c r="Q43" s="850"/>
      <c r="R43" s="850"/>
      <c r="S43" s="850"/>
      <c r="T43" s="850"/>
      <c r="U43" s="850"/>
      <c r="V43" s="850"/>
      <c r="W43" s="850"/>
      <c r="X43" s="850"/>
    </row>
    <row r="44" spans="2:24" outlineLevel="1">
      <c r="B44" s="850" t="s">
        <v>581</v>
      </c>
      <c r="C44" s="856">
        <v>45657</v>
      </c>
      <c r="D44" s="856"/>
      <c r="E44" s="850"/>
      <c r="F44" s="850"/>
      <c r="G44" s="850"/>
      <c r="H44" s="850"/>
      <c r="I44" s="850"/>
      <c r="J44" s="850"/>
      <c r="K44" s="850"/>
      <c r="L44" s="850"/>
      <c r="M44" s="850"/>
      <c r="N44" s="850"/>
      <c r="O44" s="850"/>
      <c r="P44" s="850"/>
      <c r="Q44" s="850"/>
      <c r="R44" s="850"/>
      <c r="S44" s="850"/>
      <c r="T44" s="850"/>
      <c r="U44" s="850"/>
      <c r="V44" s="850"/>
      <c r="W44" s="850"/>
      <c r="X44" s="850"/>
    </row>
    <row r="45" spans="2:24" outlineLevel="1">
      <c r="B45" s="850" t="s">
        <v>582</v>
      </c>
      <c r="C45" s="850">
        <f>C44-C43</f>
        <v>365</v>
      </c>
      <c r="D45" s="850"/>
      <c r="E45" s="850">
        <f>SUM(C45:D45)</f>
        <v>365</v>
      </c>
      <c r="F45" s="850"/>
      <c r="G45" s="850"/>
      <c r="H45" s="850"/>
      <c r="I45" s="850"/>
      <c r="J45" s="850"/>
      <c r="K45" s="850"/>
      <c r="L45" s="850"/>
      <c r="M45" s="850"/>
      <c r="N45" s="850"/>
      <c r="O45" s="850"/>
      <c r="P45" s="850"/>
      <c r="Q45" s="850"/>
      <c r="R45" s="850"/>
      <c r="S45" s="850"/>
      <c r="T45" s="850"/>
      <c r="U45" s="850"/>
      <c r="V45" s="850"/>
      <c r="W45" s="850"/>
      <c r="X45" s="850"/>
    </row>
    <row r="46" spans="2:24" outlineLevel="1">
      <c r="B46" s="850" t="s">
        <v>583</v>
      </c>
      <c r="C46" s="848">
        <f>C45*$C$40*C42/$E$45</f>
        <v>-54156299.328388803</v>
      </c>
      <c r="D46" s="848">
        <f>D45*$C$40*D42/$E$45</f>
        <v>0</v>
      </c>
      <c r="E46" s="848">
        <f>SUM(C46:D46)</f>
        <v>-54156299.328388803</v>
      </c>
      <c r="F46" s="850"/>
      <c r="G46" s="850"/>
      <c r="H46" s="850"/>
      <c r="I46" s="850"/>
      <c r="J46" s="850"/>
      <c r="K46" s="850"/>
      <c r="L46" s="850"/>
      <c r="M46" s="850"/>
      <c r="N46" s="850"/>
      <c r="O46" s="850"/>
      <c r="P46" s="850"/>
      <c r="Q46" s="850"/>
      <c r="R46" s="850"/>
      <c r="S46" s="850"/>
      <c r="T46" s="850"/>
      <c r="U46" s="850"/>
      <c r="V46" s="850"/>
      <c r="W46" s="850"/>
      <c r="X46" s="850"/>
    </row>
    <row r="47" spans="2:24" outlineLevel="1">
      <c r="B47" s="850"/>
      <c r="C47" s="850"/>
      <c r="D47" s="850"/>
      <c r="E47" s="850"/>
      <c r="F47" s="850"/>
      <c r="G47" s="850"/>
      <c r="H47" s="850"/>
      <c r="I47" s="850"/>
      <c r="J47" s="850"/>
      <c r="K47" s="850"/>
      <c r="L47" s="850"/>
      <c r="M47" s="850"/>
      <c r="N47" s="850"/>
      <c r="O47" s="850"/>
      <c r="P47" s="850"/>
      <c r="Q47" s="850"/>
      <c r="R47" s="850"/>
      <c r="S47" s="850"/>
      <c r="T47" s="850"/>
      <c r="U47" s="850"/>
      <c r="V47" s="850"/>
      <c r="W47" s="850"/>
      <c r="X47" s="850"/>
    </row>
    <row r="48" spans="2:24">
      <c r="B48" s="172"/>
      <c r="C48" s="172" t="s">
        <v>584</v>
      </c>
      <c r="D48" s="324"/>
      <c r="E48" s="324"/>
      <c r="F48" s="324"/>
      <c r="G48" s="324"/>
      <c r="H48" s="324"/>
      <c r="I48" s="324"/>
      <c r="J48" s="324"/>
      <c r="K48" s="324"/>
      <c r="L48" s="324"/>
      <c r="M48" s="324"/>
      <c r="N48" s="324"/>
      <c r="O48" s="324"/>
      <c r="P48" s="324"/>
      <c r="Q48" s="324"/>
      <c r="R48" s="324"/>
      <c r="S48" s="324"/>
      <c r="T48" s="850"/>
      <c r="U48" s="850"/>
      <c r="V48" s="850"/>
      <c r="W48" s="850"/>
      <c r="X48" s="850"/>
    </row>
    <row r="49" spans="2:70" outlineLevel="1">
      <c r="B49" s="850"/>
      <c r="C49" s="850"/>
      <c r="D49" s="850"/>
      <c r="E49" s="850"/>
      <c r="F49" s="850"/>
      <c r="G49" s="850"/>
      <c r="H49" s="850"/>
      <c r="I49" s="850"/>
      <c r="J49" s="850"/>
      <c r="K49" s="850"/>
      <c r="L49" s="850"/>
      <c r="M49" s="850"/>
      <c r="N49" s="850"/>
      <c r="O49" s="850"/>
      <c r="P49" s="850"/>
      <c r="Q49" s="850"/>
      <c r="R49" s="850"/>
      <c r="S49" s="850"/>
      <c r="T49" s="850"/>
      <c r="U49" s="850"/>
      <c r="V49" s="850"/>
      <c r="W49" s="850"/>
      <c r="X49" s="850"/>
      <c r="Y49" s="850"/>
      <c r="Z49" s="850"/>
      <c r="AA49" s="850"/>
      <c r="AB49" s="850"/>
      <c r="AC49" s="850"/>
      <c r="AD49" s="850"/>
      <c r="AE49" s="850"/>
      <c r="AF49" s="850"/>
      <c r="AG49" s="850"/>
      <c r="AH49" s="850"/>
      <c r="AI49" s="850"/>
      <c r="AJ49" s="850"/>
      <c r="AK49" s="850"/>
      <c r="AL49" s="850"/>
      <c r="AM49" s="850"/>
      <c r="AN49" s="850"/>
      <c r="AO49" s="850"/>
      <c r="AP49" s="850"/>
      <c r="AQ49" s="850"/>
      <c r="AR49" s="850"/>
      <c r="AS49" s="850"/>
      <c r="AT49" s="850"/>
      <c r="AU49" s="850"/>
      <c r="AV49" s="850"/>
      <c r="AW49" s="850"/>
      <c r="AX49" s="850"/>
      <c r="AY49" s="850"/>
      <c r="AZ49" s="850"/>
      <c r="BA49" s="850"/>
      <c r="BB49" s="850"/>
      <c r="BC49" s="850"/>
      <c r="BD49" s="850"/>
      <c r="BE49" s="850"/>
      <c r="BF49" s="850"/>
      <c r="BG49" s="850"/>
      <c r="BH49" s="850"/>
      <c r="BI49" s="850"/>
      <c r="BJ49" s="850"/>
      <c r="BK49" s="850"/>
      <c r="BL49" s="850"/>
      <c r="BM49" s="850"/>
      <c r="BN49" s="850"/>
      <c r="BO49" s="850"/>
      <c r="BP49" s="850"/>
      <c r="BQ49" s="850"/>
      <c r="BR49" s="850"/>
    </row>
    <row r="50" spans="2:70" ht="15" outlineLevel="1">
      <c r="B50" s="850"/>
      <c r="C50" s="1" t="s">
        <v>585</v>
      </c>
      <c r="D50" s="312">
        <v>44855</v>
      </c>
      <c r="E50" s="850"/>
      <c r="F50" s="850"/>
      <c r="G50" s="1" t="s">
        <v>586</v>
      </c>
      <c r="H50" s="312">
        <v>44939</v>
      </c>
      <c r="I50" s="850"/>
      <c r="J50" s="850"/>
      <c r="K50" s="1" t="s">
        <v>587</v>
      </c>
      <c r="L50" s="312">
        <v>44965</v>
      </c>
      <c r="M50" s="850"/>
      <c r="N50" s="850"/>
      <c r="O50" s="1" t="s">
        <v>588</v>
      </c>
      <c r="P50" s="312">
        <v>44991</v>
      </c>
      <c r="Q50" s="850"/>
      <c r="R50" s="850"/>
      <c r="S50" s="1" t="s">
        <v>589</v>
      </c>
      <c r="T50" s="312">
        <v>45022</v>
      </c>
      <c r="U50" s="850"/>
      <c r="V50" s="850"/>
      <c r="W50" s="1" t="s">
        <v>590</v>
      </c>
      <c r="X50" s="312">
        <v>45054</v>
      </c>
      <c r="Y50" s="850"/>
      <c r="Z50" s="850"/>
      <c r="AA50" s="1" t="s">
        <v>591</v>
      </c>
      <c r="AB50" s="312">
        <v>45084</v>
      </c>
      <c r="AC50" s="850"/>
      <c r="AD50" s="850"/>
      <c r="AE50" s="1" t="s">
        <v>592</v>
      </c>
      <c r="AF50" s="312">
        <v>45113</v>
      </c>
      <c r="AG50" s="850"/>
      <c r="AH50" s="850"/>
      <c r="AI50" s="1" t="s">
        <v>593</v>
      </c>
      <c r="AJ50" s="312">
        <v>45176</v>
      </c>
      <c r="AK50" s="850"/>
      <c r="AL50" s="850"/>
      <c r="AM50" s="1" t="s">
        <v>594</v>
      </c>
      <c r="AN50" s="312">
        <v>45204</v>
      </c>
      <c r="AO50" s="850"/>
      <c r="AP50" s="850"/>
      <c r="AQ50" s="1" t="s">
        <v>595</v>
      </c>
      <c r="AR50" s="312">
        <v>45235</v>
      </c>
      <c r="AS50" s="850"/>
      <c r="AT50" s="850"/>
      <c r="AU50" s="1" t="s">
        <v>595</v>
      </c>
      <c r="AV50" s="312">
        <v>45235</v>
      </c>
      <c r="AW50" s="312"/>
      <c r="AX50" s="850"/>
      <c r="AY50" s="1" t="s">
        <v>596</v>
      </c>
      <c r="AZ50" s="312">
        <v>45265</v>
      </c>
      <c r="BA50" s="850"/>
      <c r="BB50" s="850"/>
      <c r="BC50" s="1" t="s">
        <v>597</v>
      </c>
      <c r="BD50" s="312">
        <v>45288</v>
      </c>
      <c r="BE50" s="850"/>
      <c r="BF50" s="850"/>
      <c r="BG50" s="688">
        <v>45303</v>
      </c>
      <c r="BH50"/>
      <c r="BI50"/>
      <c r="BJ50"/>
      <c r="BK50"/>
      <c r="BL50"/>
      <c r="BM50" s="1" t="s">
        <v>598</v>
      </c>
      <c r="BN50" s="312">
        <v>45443</v>
      </c>
      <c r="BO50" s="850"/>
      <c r="BP50" s="850"/>
      <c r="BQ50" s="850"/>
      <c r="BR50" s="850"/>
    </row>
    <row r="51" spans="2:70" outlineLevel="1">
      <c r="B51" s="850"/>
      <c r="C51" s="1" t="s">
        <v>599</v>
      </c>
      <c r="D51" s="312"/>
      <c r="E51" s="850"/>
      <c r="F51" s="850"/>
      <c r="G51" s="1" t="s">
        <v>600</v>
      </c>
      <c r="H51" s="850"/>
      <c r="I51" s="850"/>
      <c r="J51" s="850"/>
      <c r="K51" s="1" t="s">
        <v>601</v>
      </c>
      <c r="L51" s="850"/>
      <c r="M51" s="850"/>
      <c r="N51" s="850"/>
      <c r="O51" s="1" t="s">
        <v>602</v>
      </c>
      <c r="P51" s="850"/>
      <c r="Q51" s="850"/>
      <c r="R51" s="850"/>
      <c r="S51" s="1" t="s">
        <v>603</v>
      </c>
      <c r="T51" s="850"/>
      <c r="U51" s="850"/>
      <c r="V51" s="850"/>
      <c r="W51" s="1" t="s">
        <v>604</v>
      </c>
      <c r="X51" s="850"/>
      <c r="Y51" s="850"/>
      <c r="Z51" s="850"/>
      <c r="AA51" s="1" t="s">
        <v>605</v>
      </c>
      <c r="AB51" s="850"/>
      <c r="AC51" s="850"/>
      <c r="AD51" s="850"/>
      <c r="AE51" s="1" t="s">
        <v>606</v>
      </c>
      <c r="AF51" s="850"/>
      <c r="AG51" s="850"/>
      <c r="AH51" s="850"/>
      <c r="AI51" s="1" t="s">
        <v>607</v>
      </c>
      <c r="AJ51" s="850"/>
      <c r="AK51" s="850"/>
      <c r="AL51" s="850"/>
      <c r="AM51" s="1" t="s">
        <v>608</v>
      </c>
      <c r="AN51" s="850"/>
      <c r="AO51" s="850"/>
      <c r="AP51" s="850"/>
      <c r="AQ51" s="1" t="s">
        <v>609</v>
      </c>
      <c r="AR51" s="850"/>
      <c r="AS51" s="850"/>
      <c r="AT51" s="850"/>
      <c r="AU51" s="1" t="s">
        <v>610</v>
      </c>
      <c r="AV51" s="850"/>
      <c r="AW51" s="850"/>
      <c r="AX51" s="850"/>
      <c r="AY51" s="1" t="s">
        <v>611</v>
      </c>
      <c r="AZ51" s="850"/>
      <c r="BA51" s="850"/>
      <c r="BB51" s="850"/>
      <c r="BC51" s="1" t="s">
        <v>612</v>
      </c>
      <c r="BD51" s="850"/>
      <c r="BE51" s="850"/>
      <c r="BF51" s="850"/>
      <c r="BG51" s="1" t="s">
        <v>613</v>
      </c>
      <c r="BH51" s="850"/>
      <c r="BI51" s="850"/>
      <c r="BJ51" s="850"/>
      <c r="BK51" s="850"/>
      <c r="BL51" s="850"/>
      <c r="BM51" s="1" t="s">
        <v>614</v>
      </c>
      <c r="BN51" s="850"/>
      <c r="BO51" s="850"/>
      <c r="BP51" s="850"/>
      <c r="BQ51" s="850"/>
      <c r="BR51" s="850"/>
    </row>
    <row r="52" spans="2:70" ht="45" outlineLevel="1">
      <c r="B52" s="1" t="s">
        <v>615</v>
      </c>
      <c r="C52" s="1" t="s">
        <v>549</v>
      </c>
      <c r="D52" s="1" t="s">
        <v>550</v>
      </c>
      <c r="E52" s="208" t="s">
        <v>551</v>
      </c>
      <c r="F52" s="850"/>
      <c r="G52" s="1" t="s">
        <v>549</v>
      </c>
      <c r="H52" s="1" t="s">
        <v>550</v>
      </c>
      <c r="I52" s="208" t="s">
        <v>551</v>
      </c>
      <c r="J52" s="850"/>
      <c r="K52" s="1" t="s">
        <v>549</v>
      </c>
      <c r="L52" s="1" t="s">
        <v>550</v>
      </c>
      <c r="M52" s="208" t="s">
        <v>551</v>
      </c>
      <c r="N52" s="850"/>
      <c r="O52" s="1" t="s">
        <v>549</v>
      </c>
      <c r="P52" s="1" t="s">
        <v>550</v>
      </c>
      <c r="Q52" s="208" t="s">
        <v>551</v>
      </c>
      <c r="R52" s="850"/>
      <c r="S52" s="1" t="s">
        <v>549</v>
      </c>
      <c r="T52" s="1" t="s">
        <v>550</v>
      </c>
      <c r="U52" s="208" t="s">
        <v>551</v>
      </c>
      <c r="V52" s="850"/>
      <c r="W52" s="1" t="s">
        <v>549</v>
      </c>
      <c r="X52" s="1" t="s">
        <v>550</v>
      </c>
      <c r="Y52" s="208" t="s">
        <v>551</v>
      </c>
      <c r="Z52" s="850"/>
      <c r="AA52" s="1" t="s">
        <v>549</v>
      </c>
      <c r="AB52" s="1" t="s">
        <v>550</v>
      </c>
      <c r="AC52" s="1" t="s">
        <v>551</v>
      </c>
      <c r="AD52" s="850"/>
      <c r="AE52" s="1" t="s">
        <v>549</v>
      </c>
      <c r="AF52" s="1" t="s">
        <v>550</v>
      </c>
      <c r="AG52" s="1" t="s">
        <v>551</v>
      </c>
      <c r="AH52" s="850"/>
      <c r="AI52" s="1" t="s">
        <v>549</v>
      </c>
      <c r="AJ52" s="1" t="s">
        <v>550</v>
      </c>
      <c r="AK52" s="1" t="s">
        <v>551</v>
      </c>
      <c r="AL52" s="850"/>
      <c r="AM52" s="1" t="s">
        <v>549</v>
      </c>
      <c r="AN52" s="1" t="s">
        <v>550</v>
      </c>
      <c r="AO52" s="1" t="s">
        <v>551</v>
      </c>
      <c r="AP52" s="1"/>
      <c r="AQ52" s="1" t="s">
        <v>549</v>
      </c>
      <c r="AR52" s="1" t="s">
        <v>550</v>
      </c>
      <c r="AS52" s="1" t="s">
        <v>551</v>
      </c>
      <c r="AT52" s="1"/>
      <c r="AU52" s="1" t="s">
        <v>549</v>
      </c>
      <c r="AV52" s="1" t="s">
        <v>550</v>
      </c>
      <c r="AW52" s="1"/>
      <c r="AX52" s="1" t="s">
        <v>551</v>
      </c>
      <c r="AY52" s="1" t="s">
        <v>549</v>
      </c>
      <c r="AZ52" s="1" t="s">
        <v>550</v>
      </c>
      <c r="BA52" s="1" t="s">
        <v>551</v>
      </c>
      <c r="BB52" s="850"/>
      <c r="BC52" s="1" t="s">
        <v>549</v>
      </c>
      <c r="BD52" s="1" t="s">
        <v>550</v>
      </c>
      <c r="BE52" s="1" t="s">
        <v>551</v>
      </c>
      <c r="BF52" s="850"/>
      <c r="BG52" s="689" t="s">
        <v>616</v>
      </c>
      <c r="BH52" s="689" t="s">
        <v>550</v>
      </c>
      <c r="BI52" s="689" t="s">
        <v>567</v>
      </c>
      <c r="BJ52" s="689" t="s">
        <v>617</v>
      </c>
      <c r="BK52" s="689" t="s">
        <v>618</v>
      </c>
      <c r="BL52" s="689" t="s">
        <v>619</v>
      </c>
      <c r="BM52" s="643" t="s">
        <v>616</v>
      </c>
      <c r="BN52" s="643" t="s">
        <v>550</v>
      </c>
      <c r="BO52" s="643" t="s">
        <v>567</v>
      </c>
      <c r="BP52" s="643" t="s">
        <v>617</v>
      </c>
      <c r="BQ52" s="643" t="s">
        <v>618</v>
      </c>
      <c r="BR52" s="643" t="s">
        <v>619</v>
      </c>
    </row>
    <row r="53" spans="2:70" ht="14.25" outlineLevel="1">
      <c r="B53" s="850" t="s">
        <v>620</v>
      </c>
      <c r="C53" s="848">
        <v>98000000</v>
      </c>
      <c r="D53" s="857">
        <f t="shared" ref="D53:D59" si="1">C53</f>
        <v>98000000</v>
      </c>
      <c r="E53" s="1004">
        <f>D53/$D$60</f>
        <v>0.98</v>
      </c>
      <c r="F53" s="850"/>
      <c r="G53" s="848">
        <v>98000000</v>
      </c>
      <c r="H53" s="857">
        <f t="shared" ref="H53:H59" si="2">G53</f>
        <v>98000000</v>
      </c>
      <c r="I53" s="1004">
        <f t="shared" ref="I53:I59" si="3">H53/$H$60</f>
        <v>3.9199999999999999E-2</v>
      </c>
      <c r="J53" s="857">
        <f t="shared" ref="J53:J59" si="4">H53-C53</f>
        <v>0</v>
      </c>
      <c r="K53" s="848">
        <f>298000000+200000000</f>
        <v>498000000</v>
      </c>
      <c r="L53" s="857">
        <f>H53+200000000</f>
        <v>298000000</v>
      </c>
      <c r="M53" s="1004">
        <f t="shared" ref="M53:M59" si="5">L53/$L$60</f>
        <v>0.1192</v>
      </c>
      <c r="N53" s="857">
        <f t="shared" ref="N53:N59" si="6">L53-G53</f>
        <v>200000000</v>
      </c>
      <c r="O53" s="848">
        <f>K53+400000000</f>
        <v>898000000</v>
      </c>
      <c r="P53" s="857">
        <f>L53+200000000</f>
        <v>498000000</v>
      </c>
      <c r="Q53" s="1004">
        <f t="shared" ref="Q53:Q59" si="7">P53/$P$60</f>
        <v>0.19919999999999999</v>
      </c>
      <c r="R53" s="857">
        <f>P53-L53</f>
        <v>200000000</v>
      </c>
      <c r="S53" s="848">
        <f>O53+400000000</f>
        <v>1298000000</v>
      </c>
      <c r="T53" s="857">
        <f>P53+200000000</f>
        <v>698000000</v>
      </c>
      <c r="U53" s="1004">
        <f t="shared" ref="U53:U59" si="8">T53/$T$60</f>
        <v>0.2792</v>
      </c>
      <c r="V53" s="857">
        <f t="shared" ref="V53:V59" si="9">T53-O53</f>
        <v>-200000000</v>
      </c>
      <c r="W53" s="848">
        <f>S53+400000000</f>
        <v>1698000000</v>
      </c>
      <c r="X53" s="857">
        <f>T53+200000000</f>
        <v>898000000</v>
      </c>
      <c r="Y53" s="1004">
        <f t="shared" ref="Y53:Y59" si="10">X53/$X$60</f>
        <v>0.35920000000000002</v>
      </c>
      <c r="Z53" s="857">
        <f>X53-T53</f>
        <v>200000000</v>
      </c>
      <c r="AA53" s="848">
        <f>W53+400000000</f>
        <v>2098000000</v>
      </c>
      <c r="AB53" s="857">
        <f>X53+200000000</f>
        <v>1098000000</v>
      </c>
      <c r="AC53" s="1004">
        <f t="shared" ref="AC53:AC59" si="11">AB53/$AB$60</f>
        <v>0.43919999999999998</v>
      </c>
      <c r="AD53" s="857">
        <f>AB53-X53</f>
        <v>200000000</v>
      </c>
      <c r="AE53" s="848">
        <f>AA53+400000000</f>
        <v>2498000000</v>
      </c>
      <c r="AF53" s="857">
        <f>AB53+200000000</f>
        <v>1298000000</v>
      </c>
      <c r="AG53" s="1004">
        <f t="shared" ref="AG53:AG59" si="12">AF53/$AF$60</f>
        <v>0.51919999999999999</v>
      </c>
      <c r="AH53" s="857">
        <f t="shared" ref="AH53:AH59" si="13">AF53-AA53</f>
        <v>-800000000</v>
      </c>
      <c r="AI53" s="848">
        <f>AE53+400000000</f>
        <v>2898000000</v>
      </c>
      <c r="AJ53" s="857">
        <f>AF53+200000000</f>
        <v>1498000000</v>
      </c>
      <c r="AK53" s="1004">
        <f t="shared" ref="AK53:AK59" si="14">AJ53/$AJ$60</f>
        <v>0.65130434782608693</v>
      </c>
      <c r="AL53" s="857">
        <f t="shared" ref="AL53:AL59" si="15">AJ53-AE53</f>
        <v>-1000000000</v>
      </c>
      <c r="AM53" s="848">
        <f>AI53+400000000</f>
        <v>3298000000</v>
      </c>
      <c r="AN53" s="857">
        <f>AJ53+200000000</f>
        <v>1698000000</v>
      </c>
      <c r="AO53" s="1004">
        <f t="shared" ref="AO53:AO59" si="16">AN53/$AN$60</f>
        <v>0.73826086956521741</v>
      </c>
      <c r="AP53" s="857">
        <f t="shared" ref="AP53:AP59" si="17">AN53-AI53</f>
        <v>-1200000000</v>
      </c>
      <c r="AQ53" s="848">
        <f>AM53+400000000</f>
        <v>3698000000</v>
      </c>
      <c r="AR53" s="857">
        <f>AN53+200000000</f>
        <v>1898000000</v>
      </c>
      <c r="AS53" s="1004">
        <f t="shared" ref="AS53:AS59" si="18">AR53/$AR$60</f>
        <v>0.82521739130434779</v>
      </c>
      <c r="AT53" s="857">
        <f t="shared" ref="AT53:AT59" si="19">AR53-AM53</f>
        <v>-1400000000</v>
      </c>
      <c r="AU53" s="848">
        <f>AQ53+400000000</f>
        <v>4098000000</v>
      </c>
      <c r="AV53" s="857">
        <f>AR53+200000000</f>
        <v>2098000000</v>
      </c>
      <c r="AW53" s="857">
        <f t="shared" ref="AW53:AW59" si="20">AU53-AP53</f>
        <v>5298000000</v>
      </c>
      <c r="AX53" s="1220">
        <f t="shared" ref="AX53:AX59" si="21">AV53/$AV$60</f>
        <v>0.83919999999999995</v>
      </c>
      <c r="AY53" s="848">
        <f>AU53+400000000</f>
        <v>4498000000</v>
      </c>
      <c r="AZ53" s="857">
        <f>AV53+200000000</f>
        <v>2298000000</v>
      </c>
      <c r="BA53" s="1004">
        <f t="shared" ref="BA53:BA59" si="22">AZ53/$AZ$60</f>
        <v>0.91920000000000002</v>
      </c>
      <c r="BB53" s="857">
        <f>AZ53-AU53</f>
        <v>-1800000000</v>
      </c>
      <c r="BC53" s="848">
        <f>AY53+400000000</f>
        <v>4898000000</v>
      </c>
      <c r="BD53" s="857">
        <f>AZ53+200000000</f>
        <v>2498000000</v>
      </c>
      <c r="BE53" s="1004">
        <f t="shared" ref="BE53:BE59" si="23">BD53/$BD$60</f>
        <v>0.99919999999999998</v>
      </c>
      <c r="BF53" s="850"/>
      <c r="BG53" s="690">
        <v>249800</v>
      </c>
      <c r="BH53" s="691">
        <v>2498000000</v>
      </c>
      <c r="BI53" s="692">
        <v>0.50979591836734695</v>
      </c>
      <c r="BJ53" s="691">
        <v>0</v>
      </c>
      <c r="BK53" s="691">
        <v>0</v>
      </c>
      <c r="BL53" s="691">
        <v>0</v>
      </c>
      <c r="BM53" s="644">
        <v>489800</v>
      </c>
      <c r="BN53" s="645">
        <v>4898000000</v>
      </c>
      <c r="BO53" s="646">
        <v>0.99959183669999996</v>
      </c>
      <c r="BP53" s="1497">
        <v>180000</v>
      </c>
      <c r="BQ53" s="1497">
        <v>-1800000000</v>
      </c>
      <c r="BR53" s="1497">
        <v>0</v>
      </c>
    </row>
    <row r="54" spans="2:70" ht="14.25" outlineLevel="1">
      <c r="B54" s="850" t="s">
        <v>621</v>
      </c>
      <c r="C54" s="848">
        <v>1000000</v>
      </c>
      <c r="D54" s="857">
        <f t="shared" si="1"/>
        <v>1000000</v>
      </c>
      <c r="E54" s="1004">
        <f>D54/$D$60</f>
        <v>0.01</v>
      </c>
      <c r="F54" s="850"/>
      <c r="G54" s="848">
        <v>1000000</v>
      </c>
      <c r="H54" s="857">
        <f t="shared" si="2"/>
        <v>1000000</v>
      </c>
      <c r="I54" s="1004">
        <f t="shared" si="3"/>
        <v>4.0000000000000002E-4</v>
      </c>
      <c r="J54" s="857">
        <f t="shared" si="4"/>
        <v>0</v>
      </c>
      <c r="K54" s="848">
        <v>1000000</v>
      </c>
      <c r="L54" s="857">
        <f t="shared" ref="L54:L59" si="24">K54</f>
        <v>1000000</v>
      </c>
      <c r="M54" s="1004">
        <f t="shared" si="5"/>
        <v>4.0000000000000002E-4</v>
      </c>
      <c r="N54" s="857">
        <f t="shared" si="6"/>
        <v>0</v>
      </c>
      <c r="O54" s="848">
        <v>1000000</v>
      </c>
      <c r="P54" s="857">
        <f t="shared" ref="P54:P59" si="25">O54</f>
        <v>1000000</v>
      </c>
      <c r="Q54" s="1004">
        <f t="shared" si="7"/>
        <v>4.0000000000000002E-4</v>
      </c>
      <c r="R54" s="857">
        <f t="shared" ref="R54:R59" si="26">P54-K54</f>
        <v>0</v>
      </c>
      <c r="S54" s="848">
        <v>1000000</v>
      </c>
      <c r="T54" s="857">
        <f t="shared" ref="T54:T59" si="27">S54</f>
        <v>1000000</v>
      </c>
      <c r="U54" s="1004">
        <f t="shared" si="8"/>
        <v>4.0000000000000002E-4</v>
      </c>
      <c r="V54" s="857">
        <f t="shared" si="9"/>
        <v>0</v>
      </c>
      <c r="W54" s="848">
        <v>1000000</v>
      </c>
      <c r="X54" s="857">
        <f t="shared" ref="X54:X59" si="28">W54</f>
        <v>1000000</v>
      </c>
      <c r="Y54" s="1004">
        <f t="shared" si="10"/>
        <v>4.0000000000000002E-4</v>
      </c>
      <c r="Z54" s="857">
        <f t="shared" ref="Z54:Z59" si="29">X54-S54</f>
        <v>0</v>
      </c>
      <c r="AA54" s="848">
        <v>1000000</v>
      </c>
      <c r="AB54" s="857">
        <f t="shared" ref="AB54:AB59" si="30">AA54</f>
        <v>1000000</v>
      </c>
      <c r="AC54" s="1004">
        <f t="shared" si="11"/>
        <v>4.0000000000000002E-4</v>
      </c>
      <c r="AD54" s="857">
        <f t="shared" ref="AD54:AD59" si="31">AB54-W54</f>
        <v>0</v>
      </c>
      <c r="AE54" s="848">
        <v>1000000</v>
      </c>
      <c r="AF54" s="857">
        <f t="shared" ref="AF54:AF59" si="32">AE54</f>
        <v>1000000</v>
      </c>
      <c r="AG54" s="1004">
        <f t="shared" si="12"/>
        <v>4.0000000000000002E-4</v>
      </c>
      <c r="AH54" s="857">
        <f t="shared" si="13"/>
        <v>0</v>
      </c>
      <c r="AI54" s="848">
        <v>1000000</v>
      </c>
      <c r="AJ54" s="857">
        <f t="shared" ref="AJ54:AJ59" si="33">AI54</f>
        <v>1000000</v>
      </c>
      <c r="AK54" s="1004">
        <f t="shared" si="14"/>
        <v>4.3478260869565219E-4</v>
      </c>
      <c r="AL54" s="857">
        <f t="shared" si="15"/>
        <v>0</v>
      </c>
      <c r="AM54" s="848">
        <v>1000000</v>
      </c>
      <c r="AN54" s="857">
        <f t="shared" ref="AN54:AN59" si="34">AM54</f>
        <v>1000000</v>
      </c>
      <c r="AO54" s="1004">
        <f t="shared" si="16"/>
        <v>4.3478260869565219E-4</v>
      </c>
      <c r="AP54" s="857">
        <f t="shared" si="17"/>
        <v>0</v>
      </c>
      <c r="AQ54" s="848">
        <v>1000000</v>
      </c>
      <c r="AR54" s="857">
        <f t="shared" ref="AR54:AR59" si="35">AQ54</f>
        <v>1000000</v>
      </c>
      <c r="AS54" s="1004">
        <f t="shared" si="18"/>
        <v>4.3478260869565219E-4</v>
      </c>
      <c r="AT54" s="857">
        <f t="shared" si="19"/>
        <v>0</v>
      </c>
      <c r="AU54" s="848">
        <v>1000000</v>
      </c>
      <c r="AV54" s="857">
        <f t="shared" ref="AV54:AV59" si="36">AU54</f>
        <v>1000000</v>
      </c>
      <c r="AW54" s="857">
        <f t="shared" si="20"/>
        <v>1000000</v>
      </c>
      <c r="AX54" s="1004">
        <f t="shared" si="21"/>
        <v>4.0000000000000002E-4</v>
      </c>
      <c r="AY54" s="848">
        <v>1000000</v>
      </c>
      <c r="AZ54" s="857">
        <f t="shared" ref="AZ54:AZ59" si="37">AY54</f>
        <v>1000000</v>
      </c>
      <c r="BA54" s="1004">
        <f t="shared" si="22"/>
        <v>4.0000000000000002E-4</v>
      </c>
      <c r="BB54" s="857">
        <f t="shared" ref="BB54:BB59" si="38">AZ54-AU54</f>
        <v>0</v>
      </c>
      <c r="BC54" s="848">
        <v>1000000</v>
      </c>
      <c r="BD54" s="857">
        <f t="shared" ref="BD54:BD59" si="39">BC54</f>
        <v>1000000</v>
      </c>
      <c r="BE54" s="1004">
        <f t="shared" si="23"/>
        <v>4.0000000000000002E-4</v>
      </c>
      <c r="BF54" s="850"/>
      <c r="BG54" s="690">
        <v>100</v>
      </c>
      <c r="BH54" s="691">
        <f t="shared" ref="BH54:BH59" si="40">BG54*10000</f>
        <v>1000000</v>
      </c>
      <c r="BI54" s="692">
        <v>2.0408163265306123E-4</v>
      </c>
      <c r="BJ54" s="691">
        <v>0</v>
      </c>
      <c r="BK54" s="691">
        <v>0</v>
      </c>
      <c r="BL54" s="691">
        <v>0</v>
      </c>
      <c r="BM54" s="644">
        <v>100</v>
      </c>
      <c r="BN54" s="645">
        <v>1000000</v>
      </c>
      <c r="BO54" s="646">
        <v>2.040816327E-4</v>
      </c>
      <c r="BP54" s="1497">
        <v>0</v>
      </c>
      <c r="BQ54" s="1497">
        <v>0</v>
      </c>
      <c r="BR54" s="1497">
        <v>0</v>
      </c>
    </row>
    <row r="55" spans="2:70" ht="14.25" outlineLevel="1">
      <c r="B55" s="850" t="s">
        <v>622</v>
      </c>
      <c r="C55" s="848">
        <v>1000000</v>
      </c>
      <c r="D55" s="857">
        <f t="shared" si="1"/>
        <v>1000000</v>
      </c>
      <c r="E55" s="1004">
        <f>D55/$D$60</f>
        <v>0.01</v>
      </c>
      <c r="F55" s="850"/>
      <c r="G55" s="848">
        <v>481000000</v>
      </c>
      <c r="H55" s="857">
        <f t="shared" si="2"/>
        <v>481000000</v>
      </c>
      <c r="I55" s="1004">
        <f t="shared" si="3"/>
        <v>0.19239999999999999</v>
      </c>
      <c r="J55" s="857">
        <f t="shared" si="4"/>
        <v>480000000</v>
      </c>
      <c r="K55" s="848">
        <v>441000000</v>
      </c>
      <c r="L55" s="857">
        <f t="shared" si="24"/>
        <v>441000000</v>
      </c>
      <c r="M55" s="1004">
        <f t="shared" si="5"/>
        <v>0.1764</v>
      </c>
      <c r="N55" s="857">
        <f t="shared" si="6"/>
        <v>-40000000</v>
      </c>
      <c r="O55" s="848">
        <v>401000000</v>
      </c>
      <c r="P55" s="857">
        <f t="shared" si="25"/>
        <v>401000000</v>
      </c>
      <c r="Q55" s="1004">
        <f t="shared" si="7"/>
        <v>0.16039999999999999</v>
      </c>
      <c r="R55" s="857">
        <f t="shared" si="26"/>
        <v>-40000000</v>
      </c>
      <c r="S55" s="848">
        <v>361000000</v>
      </c>
      <c r="T55" s="857">
        <f t="shared" si="27"/>
        <v>361000000</v>
      </c>
      <c r="U55" s="1004">
        <f t="shared" si="8"/>
        <v>0.1444</v>
      </c>
      <c r="V55" s="857">
        <f t="shared" si="9"/>
        <v>-40000000</v>
      </c>
      <c r="W55" s="848">
        <v>321000000</v>
      </c>
      <c r="X55" s="857">
        <f t="shared" si="28"/>
        <v>321000000</v>
      </c>
      <c r="Y55" s="1004">
        <f t="shared" si="10"/>
        <v>0.12839999999999999</v>
      </c>
      <c r="Z55" s="857">
        <f t="shared" si="29"/>
        <v>-40000000</v>
      </c>
      <c r="AA55" s="848">
        <v>281000000</v>
      </c>
      <c r="AB55" s="857">
        <f t="shared" si="30"/>
        <v>281000000</v>
      </c>
      <c r="AC55" s="1004">
        <f t="shared" si="11"/>
        <v>0.1124</v>
      </c>
      <c r="AD55" s="857">
        <f t="shared" si="31"/>
        <v>-40000000</v>
      </c>
      <c r="AE55" s="848">
        <v>241000000</v>
      </c>
      <c r="AF55" s="857">
        <f t="shared" si="32"/>
        <v>241000000</v>
      </c>
      <c r="AG55" s="1004">
        <f t="shared" si="12"/>
        <v>9.64E-2</v>
      </c>
      <c r="AH55" s="857">
        <f t="shared" si="13"/>
        <v>-40000000</v>
      </c>
      <c r="AI55" s="848">
        <v>161000000</v>
      </c>
      <c r="AJ55" s="857">
        <f t="shared" si="33"/>
        <v>161000000</v>
      </c>
      <c r="AK55" s="1004">
        <f t="shared" si="14"/>
        <v>7.0000000000000007E-2</v>
      </c>
      <c r="AL55" s="857">
        <f t="shared" si="15"/>
        <v>-80000000</v>
      </c>
      <c r="AM55" s="848">
        <v>121000000</v>
      </c>
      <c r="AN55" s="857">
        <f t="shared" si="34"/>
        <v>121000000</v>
      </c>
      <c r="AO55" s="1004">
        <f t="shared" si="16"/>
        <v>5.2608695652173916E-2</v>
      </c>
      <c r="AP55" s="857">
        <f t="shared" si="17"/>
        <v>-40000000</v>
      </c>
      <c r="AQ55" s="848">
        <v>81000000</v>
      </c>
      <c r="AR55" s="857">
        <f t="shared" si="35"/>
        <v>81000000</v>
      </c>
      <c r="AS55" s="1004">
        <f t="shared" si="18"/>
        <v>3.5217391304347825E-2</v>
      </c>
      <c r="AT55" s="857">
        <f t="shared" si="19"/>
        <v>-40000000</v>
      </c>
      <c r="AU55" s="848">
        <v>81000000</v>
      </c>
      <c r="AV55" s="857">
        <f t="shared" si="36"/>
        <v>81000000</v>
      </c>
      <c r="AW55" s="857">
        <f t="shared" si="20"/>
        <v>121000000</v>
      </c>
      <c r="AX55" s="1004">
        <f t="shared" si="21"/>
        <v>3.2399999999999998E-2</v>
      </c>
      <c r="AY55" s="848">
        <v>41000000</v>
      </c>
      <c r="AZ55" s="857">
        <f t="shared" si="37"/>
        <v>41000000</v>
      </c>
      <c r="BA55" s="1004">
        <f t="shared" si="22"/>
        <v>1.6400000000000001E-2</v>
      </c>
      <c r="BB55" s="857">
        <f t="shared" si="38"/>
        <v>-40000000</v>
      </c>
      <c r="BC55" s="848">
        <v>1000000</v>
      </c>
      <c r="BD55" s="857">
        <f t="shared" si="39"/>
        <v>1000000</v>
      </c>
      <c r="BE55" s="1004">
        <f t="shared" si="23"/>
        <v>4.0000000000000002E-4</v>
      </c>
      <c r="BF55" s="850"/>
      <c r="BG55" s="690">
        <v>48100</v>
      </c>
      <c r="BH55" s="691">
        <f t="shared" si="40"/>
        <v>481000000</v>
      </c>
      <c r="BI55" s="692">
        <v>9.8163265306122446E-2</v>
      </c>
      <c r="BJ55" s="691">
        <v>48000</v>
      </c>
      <c r="BK55" s="691">
        <v>-960000000</v>
      </c>
      <c r="BL55" s="691">
        <v>-480000000</v>
      </c>
      <c r="BM55" s="644">
        <v>100</v>
      </c>
      <c r="BN55" s="645">
        <v>1000000</v>
      </c>
      <c r="BO55" s="646">
        <v>2.040816327E-4</v>
      </c>
      <c r="BP55" s="1497">
        <v>-36000</v>
      </c>
      <c r="BQ55" s="1497">
        <v>360000000</v>
      </c>
      <c r="BR55" s="1497">
        <v>0</v>
      </c>
    </row>
    <row r="56" spans="2:70" ht="14.25" outlineLevel="1">
      <c r="B56" s="850" t="s">
        <v>623</v>
      </c>
      <c r="C56" s="848">
        <v>0</v>
      </c>
      <c r="D56" s="857">
        <f t="shared" si="1"/>
        <v>0</v>
      </c>
      <c r="E56" s="850"/>
      <c r="F56" s="850"/>
      <c r="G56" s="848">
        <v>480000000</v>
      </c>
      <c r="H56" s="857">
        <f t="shared" si="2"/>
        <v>480000000</v>
      </c>
      <c r="I56" s="1004">
        <f t="shared" si="3"/>
        <v>0.192</v>
      </c>
      <c r="J56" s="857">
        <f t="shared" si="4"/>
        <v>480000000</v>
      </c>
      <c r="K56" s="848">
        <v>440000000</v>
      </c>
      <c r="L56" s="857">
        <f t="shared" si="24"/>
        <v>440000000</v>
      </c>
      <c r="M56" s="1004">
        <f t="shared" si="5"/>
        <v>0.17599999999999999</v>
      </c>
      <c r="N56" s="857">
        <f t="shared" si="6"/>
        <v>-40000000</v>
      </c>
      <c r="O56" s="848">
        <v>400000000</v>
      </c>
      <c r="P56" s="857">
        <f t="shared" si="25"/>
        <v>400000000</v>
      </c>
      <c r="Q56" s="1004">
        <f t="shared" si="7"/>
        <v>0.16</v>
      </c>
      <c r="R56" s="857">
        <f t="shared" si="26"/>
        <v>-40000000</v>
      </c>
      <c r="S56" s="848">
        <v>360000000</v>
      </c>
      <c r="T56" s="857">
        <f t="shared" si="27"/>
        <v>360000000</v>
      </c>
      <c r="U56" s="1004">
        <f t="shared" si="8"/>
        <v>0.14399999999999999</v>
      </c>
      <c r="V56" s="857">
        <f t="shared" si="9"/>
        <v>-40000000</v>
      </c>
      <c r="W56" s="848">
        <v>320000000</v>
      </c>
      <c r="X56" s="857">
        <f t="shared" si="28"/>
        <v>320000000</v>
      </c>
      <c r="Y56" s="1004">
        <f t="shared" si="10"/>
        <v>0.128</v>
      </c>
      <c r="Z56" s="857">
        <f t="shared" si="29"/>
        <v>-40000000</v>
      </c>
      <c r="AA56" s="848">
        <v>280000000</v>
      </c>
      <c r="AB56" s="857">
        <f t="shared" si="30"/>
        <v>280000000</v>
      </c>
      <c r="AC56" s="1004">
        <f t="shared" si="11"/>
        <v>0.112</v>
      </c>
      <c r="AD56" s="857">
        <f t="shared" si="31"/>
        <v>-40000000</v>
      </c>
      <c r="AE56" s="848">
        <v>240000000</v>
      </c>
      <c r="AF56" s="857">
        <f t="shared" si="32"/>
        <v>240000000</v>
      </c>
      <c r="AG56" s="1004">
        <f t="shared" si="12"/>
        <v>9.6000000000000002E-2</v>
      </c>
      <c r="AH56" s="857">
        <f t="shared" si="13"/>
        <v>-40000000</v>
      </c>
      <c r="AI56" s="848">
        <v>160000000</v>
      </c>
      <c r="AJ56" s="857">
        <f t="shared" si="33"/>
        <v>160000000</v>
      </c>
      <c r="AK56" s="1004">
        <f t="shared" si="14"/>
        <v>6.9565217391304349E-2</v>
      </c>
      <c r="AL56" s="857">
        <f t="shared" si="15"/>
        <v>-80000000</v>
      </c>
      <c r="AM56" s="848">
        <v>120000000</v>
      </c>
      <c r="AN56" s="857">
        <f t="shared" si="34"/>
        <v>120000000</v>
      </c>
      <c r="AO56" s="1004">
        <f t="shared" si="16"/>
        <v>5.2173913043478258E-2</v>
      </c>
      <c r="AP56" s="857">
        <f t="shared" si="17"/>
        <v>-40000000</v>
      </c>
      <c r="AQ56" s="848">
        <v>80000000</v>
      </c>
      <c r="AR56" s="857">
        <f t="shared" si="35"/>
        <v>80000000</v>
      </c>
      <c r="AS56" s="1004">
        <f t="shared" si="18"/>
        <v>3.4782608695652174E-2</v>
      </c>
      <c r="AT56" s="857">
        <f t="shared" si="19"/>
        <v>-40000000</v>
      </c>
      <c r="AU56" s="848">
        <v>80000000</v>
      </c>
      <c r="AV56" s="857">
        <f t="shared" si="36"/>
        <v>80000000</v>
      </c>
      <c r="AW56" s="857">
        <f t="shared" si="20"/>
        <v>120000000</v>
      </c>
      <c r="AX56" s="1004">
        <f t="shared" si="21"/>
        <v>3.2000000000000001E-2</v>
      </c>
      <c r="AY56" s="848">
        <v>40000000</v>
      </c>
      <c r="AZ56" s="857">
        <f t="shared" si="37"/>
        <v>40000000</v>
      </c>
      <c r="BA56" s="1004">
        <f t="shared" si="22"/>
        <v>1.6E-2</v>
      </c>
      <c r="BB56" s="857">
        <f t="shared" si="38"/>
        <v>-40000000</v>
      </c>
      <c r="BC56" s="848">
        <v>0</v>
      </c>
      <c r="BD56" s="857">
        <f t="shared" si="39"/>
        <v>0</v>
      </c>
      <c r="BE56" s="1004">
        <f t="shared" si="23"/>
        <v>0</v>
      </c>
      <c r="BF56" s="850"/>
      <c r="BG56" s="690">
        <v>48000</v>
      </c>
      <c r="BH56" s="691">
        <f t="shared" si="40"/>
        <v>480000000</v>
      </c>
      <c r="BI56" s="692">
        <v>9.7959183673469383E-2</v>
      </c>
      <c r="BJ56" s="691">
        <v>48000</v>
      </c>
      <c r="BK56" s="691">
        <v>-960000000</v>
      </c>
      <c r="BL56" s="691">
        <v>-480000000</v>
      </c>
      <c r="BM56" s="644">
        <v>0</v>
      </c>
      <c r="BN56" s="645">
        <v>0</v>
      </c>
      <c r="BO56" s="646" t="s">
        <v>624</v>
      </c>
      <c r="BP56" s="1497">
        <v>-36000</v>
      </c>
      <c r="BQ56" s="1497">
        <v>360000000</v>
      </c>
      <c r="BR56" s="1497">
        <v>0</v>
      </c>
    </row>
    <row r="57" spans="2:70" ht="14.25" outlineLevel="1">
      <c r="B57" s="850" t="s">
        <v>625</v>
      </c>
      <c r="C57" s="848">
        <v>0</v>
      </c>
      <c r="D57" s="857">
        <f t="shared" si="1"/>
        <v>0</v>
      </c>
      <c r="E57" s="850"/>
      <c r="F57" s="850"/>
      <c r="G57" s="848">
        <v>480000000</v>
      </c>
      <c r="H57" s="857">
        <f t="shared" si="2"/>
        <v>480000000</v>
      </c>
      <c r="I57" s="1004">
        <f t="shared" si="3"/>
        <v>0.192</v>
      </c>
      <c r="J57" s="857">
        <f t="shared" si="4"/>
        <v>480000000</v>
      </c>
      <c r="K57" s="848">
        <v>440000000</v>
      </c>
      <c r="L57" s="857">
        <f t="shared" si="24"/>
        <v>440000000</v>
      </c>
      <c r="M57" s="1004">
        <f t="shared" si="5"/>
        <v>0.17599999999999999</v>
      </c>
      <c r="N57" s="857">
        <f t="shared" si="6"/>
        <v>-40000000</v>
      </c>
      <c r="O57" s="848">
        <v>400000000</v>
      </c>
      <c r="P57" s="857">
        <f t="shared" si="25"/>
        <v>400000000</v>
      </c>
      <c r="Q57" s="1004">
        <f t="shared" si="7"/>
        <v>0.16</v>
      </c>
      <c r="R57" s="857">
        <f t="shared" si="26"/>
        <v>-40000000</v>
      </c>
      <c r="S57" s="848">
        <v>360000000</v>
      </c>
      <c r="T57" s="857">
        <f t="shared" si="27"/>
        <v>360000000</v>
      </c>
      <c r="U57" s="1004">
        <f t="shared" si="8"/>
        <v>0.14399999999999999</v>
      </c>
      <c r="V57" s="857">
        <f t="shared" si="9"/>
        <v>-40000000</v>
      </c>
      <c r="W57" s="848">
        <v>320000000</v>
      </c>
      <c r="X57" s="857">
        <f t="shared" si="28"/>
        <v>320000000</v>
      </c>
      <c r="Y57" s="1004">
        <f t="shared" si="10"/>
        <v>0.128</v>
      </c>
      <c r="Z57" s="857">
        <f t="shared" si="29"/>
        <v>-40000000</v>
      </c>
      <c r="AA57" s="848">
        <v>280000000</v>
      </c>
      <c r="AB57" s="857">
        <f t="shared" si="30"/>
        <v>280000000</v>
      </c>
      <c r="AC57" s="1004">
        <f t="shared" si="11"/>
        <v>0.112</v>
      </c>
      <c r="AD57" s="857">
        <f t="shared" si="31"/>
        <v>-40000000</v>
      </c>
      <c r="AE57" s="848">
        <v>240000000</v>
      </c>
      <c r="AF57" s="857">
        <f t="shared" si="32"/>
        <v>240000000</v>
      </c>
      <c r="AG57" s="1004">
        <f t="shared" si="12"/>
        <v>9.6000000000000002E-2</v>
      </c>
      <c r="AH57" s="857">
        <f t="shared" si="13"/>
        <v>-40000000</v>
      </c>
      <c r="AI57" s="848">
        <v>160000000</v>
      </c>
      <c r="AJ57" s="857">
        <f t="shared" si="33"/>
        <v>160000000</v>
      </c>
      <c r="AK57" s="1004">
        <f t="shared" si="14"/>
        <v>6.9565217391304349E-2</v>
      </c>
      <c r="AL57" s="857">
        <f t="shared" si="15"/>
        <v>-80000000</v>
      </c>
      <c r="AM57" s="848">
        <v>120000000</v>
      </c>
      <c r="AN57" s="857">
        <f t="shared" si="34"/>
        <v>120000000</v>
      </c>
      <c r="AO57" s="1004">
        <f t="shared" si="16"/>
        <v>5.2173913043478258E-2</v>
      </c>
      <c r="AP57" s="857">
        <f t="shared" si="17"/>
        <v>-40000000</v>
      </c>
      <c r="AQ57" s="848">
        <v>80000000</v>
      </c>
      <c r="AR57" s="857">
        <f t="shared" si="35"/>
        <v>80000000</v>
      </c>
      <c r="AS57" s="1004">
        <f t="shared" si="18"/>
        <v>3.4782608695652174E-2</v>
      </c>
      <c r="AT57" s="857">
        <f t="shared" si="19"/>
        <v>-40000000</v>
      </c>
      <c r="AU57" s="848">
        <v>80000000</v>
      </c>
      <c r="AV57" s="857">
        <f t="shared" si="36"/>
        <v>80000000</v>
      </c>
      <c r="AW57" s="857">
        <f t="shared" si="20"/>
        <v>120000000</v>
      </c>
      <c r="AX57" s="1004">
        <f t="shared" si="21"/>
        <v>3.2000000000000001E-2</v>
      </c>
      <c r="AY57" s="848">
        <v>40000000</v>
      </c>
      <c r="AZ57" s="857">
        <f t="shared" si="37"/>
        <v>40000000</v>
      </c>
      <c r="BA57" s="1004">
        <f t="shared" si="22"/>
        <v>1.6E-2</v>
      </c>
      <c r="BB57" s="857">
        <f t="shared" si="38"/>
        <v>-40000000</v>
      </c>
      <c r="BC57" s="848">
        <v>0</v>
      </c>
      <c r="BD57" s="857">
        <f t="shared" si="39"/>
        <v>0</v>
      </c>
      <c r="BE57" s="1004">
        <f t="shared" si="23"/>
        <v>0</v>
      </c>
      <c r="BF57" s="850"/>
      <c r="BG57" s="690">
        <v>48000</v>
      </c>
      <c r="BH57" s="691">
        <f t="shared" si="40"/>
        <v>480000000</v>
      </c>
      <c r="BI57" s="692">
        <v>9.7959183673469383E-2</v>
      </c>
      <c r="BJ57" s="691">
        <v>48000</v>
      </c>
      <c r="BK57" s="691">
        <v>-960000000</v>
      </c>
      <c r="BL57" s="691">
        <v>-480000000</v>
      </c>
      <c r="BM57" s="644">
        <v>0</v>
      </c>
      <c r="BN57" s="645">
        <v>0</v>
      </c>
      <c r="BO57" s="646" t="s">
        <v>624</v>
      </c>
      <c r="BP57" s="1497">
        <v>-36000</v>
      </c>
      <c r="BQ57" s="1497">
        <v>360000000</v>
      </c>
      <c r="BR57" s="1497">
        <v>0</v>
      </c>
    </row>
    <row r="58" spans="2:70" ht="14.25" outlineLevel="1">
      <c r="B58" s="850" t="s">
        <v>626</v>
      </c>
      <c r="C58" s="848">
        <v>0</v>
      </c>
      <c r="D58" s="857">
        <f t="shared" si="1"/>
        <v>0</v>
      </c>
      <c r="E58" s="850"/>
      <c r="F58" s="850"/>
      <c r="G58" s="848">
        <v>480000000</v>
      </c>
      <c r="H58" s="857">
        <f t="shared" si="2"/>
        <v>480000000</v>
      </c>
      <c r="I58" s="1004">
        <f t="shared" si="3"/>
        <v>0.192</v>
      </c>
      <c r="J58" s="857">
        <f t="shared" si="4"/>
        <v>480000000</v>
      </c>
      <c r="K58" s="848">
        <v>440000000</v>
      </c>
      <c r="L58" s="857">
        <f t="shared" si="24"/>
        <v>440000000</v>
      </c>
      <c r="M58" s="1004">
        <f t="shared" si="5"/>
        <v>0.17599999999999999</v>
      </c>
      <c r="N58" s="857">
        <f t="shared" si="6"/>
        <v>-40000000</v>
      </c>
      <c r="O58" s="848">
        <v>400000000</v>
      </c>
      <c r="P58" s="857">
        <f t="shared" si="25"/>
        <v>400000000</v>
      </c>
      <c r="Q58" s="1004">
        <f t="shared" si="7"/>
        <v>0.16</v>
      </c>
      <c r="R58" s="857">
        <f t="shared" si="26"/>
        <v>-40000000</v>
      </c>
      <c r="S58" s="848">
        <v>360000000</v>
      </c>
      <c r="T58" s="857">
        <f t="shared" si="27"/>
        <v>360000000</v>
      </c>
      <c r="U58" s="1004">
        <f t="shared" si="8"/>
        <v>0.14399999999999999</v>
      </c>
      <c r="V58" s="857">
        <f t="shared" si="9"/>
        <v>-40000000</v>
      </c>
      <c r="W58" s="848">
        <v>320000000</v>
      </c>
      <c r="X58" s="857">
        <f t="shared" si="28"/>
        <v>320000000</v>
      </c>
      <c r="Y58" s="1004">
        <f t="shared" si="10"/>
        <v>0.128</v>
      </c>
      <c r="Z58" s="857">
        <f t="shared" si="29"/>
        <v>-40000000</v>
      </c>
      <c r="AA58" s="848">
        <v>280000000</v>
      </c>
      <c r="AB58" s="857">
        <f t="shared" si="30"/>
        <v>280000000</v>
      </c>
      <c r="AC58" s="1004">
        <f t="shared" si="11"/>
        <v>0.112</v>
      </c>
      <c r="AD58" s="857">
        <f t="shared" si="31"/>
        <v>-40000000</v>
      </c>
      <c r="AE58" s="848">
        <v>240000000</v>
      </c>
      <c r="AF58" s="857">
        <f t="shared" si="32"/>
        <v>240000000</v>
      </c>
      <c r="AG58" s="1004">
        <f t="shared" si="12"/>
        <v>9.6000000000000002E-2</v>
      </c>
      <c r="AH58" s="857">
        <f t="shared" si="13"/>
        <v>-40000000</v>
      </c>
      <c r="AI58" s="848">
        <v>160000000</v>
      </c>
      <c r="AJ58" s="857">
        <f t="shared" si="33"/>
        <v>160000000</v>
      </c>
      <c r="AK58" s="1004">
        <f t="shared" si="14"/>
        <v>6.9565217391304349E-2</v>
      </c>
      <c r="AL58" s="857">
        <f t="shared" si="15"/>
        <v>-80000000</v>
      </c>
      <c r="AM58" s="848">
        <v>120000000</v>
      </c>
      <c r="AN58" s="857">
        <f t="shared" si="34"/>
        <v>120000000</v>
      </c>
      <c r="AO58" s="1004">
        <f t="shared" si="16"/>
        <v>5.2173913043478258E-2</v>
      </c>
      <c r="AP58" s="857">
        <f t="shared" si="17"/>
        <v>-40000000</v>
      </c>
      <c r="AQ58" s="848">
        <v>80000000</v>
      </c>
      <c r="AR58" s="857">
        <f t="shared" si="35"/>
        <v>80000000</v>
      </c>
      <c r="AS58" s="1004">
        <f t="shared" si="18"/>
        <v>3.4782608695652174E-2</v>
      </c>
      <c r="AT58" s="857">
        <f t="shared" si="19"/>
        <v>-40000000</v>
      </c>
      <c r="AU58" s="848">
        <v>80000000</v>
      </c>
      <c r="AV58" s="857">
        <f t="shared" si="36"/>
        <v>80000000</v>
      </c>
      <c r="AW58" s="857">
        <f t="shared" si="20"/>
        <v>120000000</v>
      </c>
      <c r="AX58" s="1004">
        <f t="shared" si="21"/>
        <v>3.2000000000000001E-2</v>
      </c>
      <c r="AY58" s="848">
        <v>40000000</v>
      </c>
      <c r="AZ58" s="857">
        <f t="shared" si="37"/>
        <v>40000000</v>
      </c>
      <c r="BA58" s="1004">
        <f t="shared" si="22"/>
        <v>1.6E-2</v>
      </c>
      <c r="BB58" s="857">
        <f t="shared" si="38"/>
        <v>-40000000</v>
      </c>
      <c r="BC58" s="848">
        <v>0</v>
      </c>
      <c r="BD58" s="857">
        <f t="shared" si="39"/>
        <v>0</v>
      </c>
      <c r="BE58" s="1004">
        <f t="shared" si="23"/>
        <v>0</v>
      </c>
      <c r="BF58" s="850"/>
      <c r="BG58" s="690">
        <v>48000</v>
      </c>
      <c r="BH58" s="691">
        <f t="shared" si="40"/>
        <v>480000000</v>
      </c>
      <c r="BI58" s="692">
        <v>9.7959183673469383E-2</v>
      </c>
      <c r="BJ58" s="691">
        <v>48000</v>
      </c>
      <c r="BK58" s="691">
        <v>-960000000</v>
      </c>
      <c r="BL58" s="691">
        <v>-480000000</v>
      </c>
      <c r="BM58" s="644">
        <v>0</v>
      </c>
      <c r="BN58" s="645">
        <v>0</v>
      </c>
      <c r="BO58" s="646" t="s">
        <v>624</v>
      </c>
      <c r="BP58" s="1497">
        <v>-36000</v>
      </c>
      <c r="BQ58" s="1497">
        <v>360000000</v>
      </c>
      <c r="BR58" s="1497">
        <v>0</v>
      </c>
    </row>
    <row r="59" spans="2:70" ht="14.25" outlineLevel="1">
      <c r="B59" s="850" t="s">
        <v>627</v>
      </c>
      <c r="C59" s="848">
        <v>0</v>
      </c>
      <c r="D59" s="857">
        <f t="shared" si="1"/>
        <v>0</v>
      </c>
      <c r="E59" s="850"/>
      <c r="F59" s="850"/>
      <c r="G59" s="848">
        <v>480000000</v>
      </c>
      <c r="H59" s="857">
        <f t="shared" si="2"/>
        <v>480000000</v>
      </c>
      <c r="I59" s="1004">
        <f t="shared" si="3"/>
        <v>0.192</v>
      </c>
      <c r="J59" s="857">
        <f t="shared" si="4"/>
        <v>480000000</v>
      </c>
      <c r="K59" s="848">
        <v>440000000</v>
      </c>
      <c r="L59" s="857">
        <f t="shared" si="24"/>
        <v>440000000</v>
      </c>
      <c r="M59" s="1004">
        <f t="shared" si="5"/>
        <v>0.17599999999999999</v>
      </c>
      <c r="N59" s="857">
        <f t="shared" si="6"/>
        <v>-40000000</v>
      </c>
      <c r="O59" s="848">
        <v>400000000</v>
      </c>
      <c r="P59" s="857">
        <f t="shared" si="25"/>
        <v>400000000</v>
      </c>
      <c r="Q59" s="1004">
        <f t="shared" si="7"/>
        <v>0.16</v>
      </c>
      <c r="R59" s="857">
        <f t="shared" si="26"/>
        <v>-40000000</v>
      </c>
      <c r="S59" s="848">
        <v>360000000</v>
      </c>
      <c r="T59" s="857">
        <f t="shared" si="27"/>
        <v>360000000</v>
      </c>
      <c r="U59" s="1004">
        <f t="shared" si="8"/>
        <v>0.14399999999999999</v>
      </c>
      <c r="V59" s="857">
        <f t="shared" si="9"/>
        <v>-40000000</v>
      </c>
      <c r="W59" s="848">
        <v>320000000</v>
      </c>
      <c r="X59" s="857">
        <f t="shared" si="28"/>
        <v>320000000</v>
      </c>
      <c r="Y59" s="1004">
        <f t="shared" si="10"/>
        <v>0.128</v>
      </c>
      <c r="Z59" s="857">
        <f t="shared" si="29"/>
        <v>-40000000</v>
      </c>
      <c r="AA59" s="848">
        <v>280000000</v>
      </c>
      <c r="AB59" s="857">
        <f t="shared" si="30"/>
        <v>280000000</v>
      </c>
      <c r="AC59" s="1004">
        <f t="shared" si="11"/>
        <v>0.112</v>
      </c>
      <c r="AD59" s="857">
        <f t="shared" si="31"/>
        <v>-40000000</v>
      </c>
      <c r="AE59" s="848">
        <v>240000000</v>
      </c>
      <c r="AF59" s="857">
        <f t="shared" si="32"/>
        <v>240000000</v>
      </c>
      <c r="AG59" s="1004">
        <f t="shared" si="12"/>
        <v>9.6000000000000002E-2</v>
      </c>
      <c r="AH59" s="857">
        <f t="shared" si="13"/>
        <v>-40000000</v>
      </c>
      <c r="AI59" s="848">
        <v>160000000</v>
      </c>
      <c r="AJ59" s="857">
        <f t="shared" si="33"/>
        <v>160000000</v>
      </c>
      <c r="AK59" s="1004">
        <f t="shared" si="14"/>
        <v>6.9565217391304349E-2</v>
      </c>
      <c r="AL59" s="857">
        <f t="shared" si="15"/>
        <v>-80000000</v>
      </c>
      <c r="AM59" s="848">
        <v>120000000</v>
      </c>
      <c r="AN59" s="857">
        <f t="shared" si="34"/>
        <v>120000000</v>
      </c>
      <c r="AO59" s="1004">
        <f t="shared" si="16"/>
        <v>5.2173913043478258E-2</v>
      </c>
      <c r="AP59" s="857">
        <f t="shared" si="17"/>
        <v>-40000000</v>
      </c>
      <c r="AQ59" s="848">
        <v>80000000</v>
      </c>
      <c r="AR59" s="857">
        <f t="shared" si="35"/>
        <v>80000000</v>
      </c>
      <c r="AS59" s="1004">
        <f t="shared" si="18"/>
        <v>3.4782608695652174E-2</v>
      </c>
      <c r="AT59" s="857">
        <f t="shared" si="19"/>
        <v>-40000000</v>
      </c>
      <c r="AU59" s="848">
        <v>80000000</v>
      </c>
      <c r="AV59" s="857">
        <f t="shared" si="36"/>
        <v>80000000</v>
      </c>
      <c r="AW59" s="857">
        <f t="shared" si="20"/>
        <v>120000000</v>
      </c>
      <c r="AX59" s="1004">
        <f t="shared" si="21"/>
        <v>3.2000000000000001E-2</v>
      </c>
      <c r="AY59" s="848">
        <v>40000000</v>
      </c>
      <c r="AZ59" s="857">
        <f t="shared" si="37"/>
        <v>40000000</v>
      </c>
      <c r="BA59" s="1004">
        <f t="shared" si="22"/>
        <v>1.6E-2</v>
      </c>
      <c r="BB59" s="857">
        <f t="shared" si="38"/>
        <v>-40000000</v>
      </c>
      <c r="BC59" s="848">
        <v>0</v>
      </c>
      <c r="BD59" s="857">
        <f t="shared" si="39"/>
        <v>0</v>
      </c>
      <c r="BE59" s="1004">
        <f t="shared" si="23"/>
        <v>0</v>
      </c>
      <c r="BF59" s="850"/>
      <c r="BG59" s="690">
        <v>48000</v>
      </c>
      <c r="BH59" s="691">
        <f t="shared" si="40"/>
        <v>480000000</v>
      </c>
      <c r="BI59" s="692">
        <v>9.7959183673469383E-2</v>
      </c>
      <c r="BJ59" s="691">
        <v>48000</v>
      </c>
      <c r="BK59" s="691">
        <v>-960000000</v>
      </c>
      <c r="BL59" s="691">
        <v>-480000000</v>
      </c>
      <c r="BM59" s="644">
        <v>0</v>
      </c>
      <c r="BN59" s="645">
        <v>0</v>
      </c>
      <c r="BO59" s="646" t="s">
        <v>624</v>
      </c>
      <c r="BP59" s="1497">
        <v>-36000</v>
      </c>
      <c r="BQ59" s="1497">
        <v>360000000</v>
      </c>
      <c r="BR59" s="1497">
        <v>0</v>
      </c>
    </row>
    <row r="60" spans="2:70" ht="15" outlineLevel="1" thickBot="1">
      <c r="B60" s="1" t="s">
        <v>628</v>
      </c>
      <c r="C60" s="1528">
        <f>SUM(C53:C59)</f>
        <v>100000000</v>
      </c>
      <c r="D60" s="1528">
        <f>SUM(D53:D59)</f>
        <v>100000000</v>
      </c>
      <c r="E60" s="850"/>
      <c r="F60" s="850"/>
      <c r="G60" s="1528">
        <f>SUM(G53:G59)</f>
        <v>2500000000</v>
      </c>
      <c r="H60" s="1528">
        <f>SUM(H53:H59)</f>
        <v>2500000000</v>
      </c>
      <c r="I60" s="850"/>
      <c r="J60" s="850"/>
      <c r="K60" s="1528">
        <f>SUM(K53:K59)</f>
        <v>2700000000</v>
      </c>
      <c r="L60" s="1528">
        <f>SUM(L53:L59)</f>
        <v>2500000000</v>
      </c>
      <c r="M60" s="850"/>
      <c r="N60" s="850"/>
      <c r="O60" s="1528">
        <f>SUM(O53:O59)</f>
        <v>2900000000</v>
      </c>
      <c r="P60" s="1528">
        <f>SUM(P53:P59)</f>
        <v>2500000000</v>
      </c>
      <c r="Q60" s="850"/>
      <c r="R60" s="850"/>
      <c r="S60" s="1528">
        <f>SUM(S53:S59)</f>
        <v>3100000000</v>
      </c>
      <c r="T60" s="1528">
        <f>SUM(T53:T59)</f>
        <v>2500000000</v>
      </c>
      <c r="U60" s="850"/>
      <c r="V60" s="850"/>
      <c r="W60" s="1528">
        <f>SUM(W53:W59)</f>
        <v>3300000000</v>
      </c>
      <c r="X60" s="1528">
        <f>SUM(X53:X59)</f>
        <v>2500000000</v>
      </c>
      <c r="Y60" s="850"/>
      <c r="Z60" s="850"/>
      <c r="AA60" s="1528">
        <f>SUM(AA53:AA59)</f>
        <v>3500000000</v>
      </c>
      <c r="AB60" s="1528">
        <f>SUM(AB53:AB59)</f>
        <v>2500000000</v>
      </c>
      <c r="AC60" s="850"/>
      <c r="AD60" s="850"/>
      <c r="AE60" s="1528">
        <f>SUM(AE53:AE59)</f>
        <v>3700000000</v>
      </c>
      <c r="AF60" s="1528">
        <f>SUM(AF53:AF59)</f>
        <v>2500000000</v>
      </c>
      <c r="AG60" s="850"/>
      <c r="AH60" s="850"/>
      <c r="AI60" s="1528">
        <f>SUM(AI53:AI59)</f>
        <v>3700000000</v>
      </c>
      <c r="AJ60" s="1528">
        <f>SUM(AJ53:AJ59)</f>
        <v>2300000000</v>
      </c>
      <c r="AK60" s="850"/>
      <c r="AL60" s="850"/>
      <c r="AM60" s="1528">
        <f>SUM(AM53:AM59)</f>
        <v>3900000000</v>
      </c>
      <c r="AN60" s="1528">
        <f>SUM(AN53:AN59)</f>
        <v>2300000000</v>
      </c>
      <c r="AO60" s="850"/>
      <c r="AP60" s="850"/>
      <c r="AQ60" s="1528">
        <f>SUM(AQ53:AQ59)</f>
        <v>4100000000</v>
      </c>
      <c r="AR60" s="1528">
        <f>SUM(AR53:AR59)</f>
        <v>2300000000</v>
      </c>
      <c r="AS60" s="850"/>
      <c r="AT60" s="850"/>
      <c r="AU60" s="1528">
        <f>SUM(AU53:AU59)</f>
        <v>4500000000</v>
      </c>
      <c r="AV60" s="1528">
        <f>SUM(AV53:AV59)</f>
        <v>2500000000</v>
      </c>
      <c r="AW60" s="234"/>
      <c r="AX60" s="850"/>
      <c r="AY60" s="1528">
        <f>SUM(AY53:AY59)</f>
        <v>4700000000</v>
      </c>
      <c r="AZ60" s="1528">
        <f>SUM(AZ53:AZ59)</f>
        <v>2500000000</v>
      </c>
      <c r="BA60" s="850"/>
      <c r="BB60" s="850"/>
      <c r="BC60" s="1528">
        <f>SUM(BC53:BC59)</f>
        <v>4900000000</v>
      </c>
      <c r="BD60" s="1528">
        <f>SUM(BD53:BD59)</f>
        <v>2500000000</v>
      </c>
      <c r="BE60" s="850"/>
      <c r="BF60" s="850"/>
      <c r="BG60" s="693">
        <f>SUM(BG53:BG59)</f>
        <v>490000</v>
      </c>
      <c r="BH60" s="693">
        <f>SUM(BH53:BH59)</f>
        <v>4900000000</v>
      </c>
      <c r="BI60" s="693">
        <f>SUM(BI53:BI59)</f>
        <v>0.99999999999999978</v>
      </c>
      <c r="BJ60" s="693">
        <f>SUM(BJ53:BJ59)</f>
        <v>240000</v>
      </c>
      <c r="BK60" s="694"/>
      <c r="BL60" s="694"/>
      <c r="BM60" s="850"/>
      <c r="BN60" s="1528">
        <f>SUM(BN53:BN59)</f>
        <v>4900000000</v>
      </c>
      <c r="BO60" s="850"/>
      <c r="BP60" s="850"/>
      <c r="BQ60" s="850"/>
      <c r="BR60" s="850"/>
    </row>
    <row r="61" spans="2:70" ht="13.5" outlineLevel="1" thickTop="1">
      <c r="B61" s="850"/>
      <c r="C61" s="850"/>
      <c r="D61" s="850"/>
      <c r="E61" s="850"/>
      <c r="F61" s="850"/>
      <c r="G61" s="850"/>
      <c r="H61" s="850"/>
      <c r="I61" s="850"/>
      <c r="J61" s="850"/>
      <c r="K61" s="850"/>
      <c r="L61" s="850"/>
      <c r="M61" s="850"/>
      <c r="N61" s="850"/>
      <c r="O61" s="850"/>
      <c r="P61" s="850"/>
      <c r="Q61" s="850"/>
      <c r="R61" s="850"/>
      <c r="S61" s="850"/>
      <c r="T61" s="850"/>
      <c r="U61" s="850"/>
      <c r="V61" s="850"/>
      <c r="W61" s="850"/>
      <c r="X61" s="850"/>
      <c r="Y61" s="850"/>
      <c r="Z61" s="850"/>
      <c r="AA61" s="850"/>
      <c r="AB61" s="850"/>
      <c r="AC61" s="850"/>
      <c r="AD61" s="850"/>
      <c r="AE61" s="850"/>
      <c r="AF61" s="850"/>
      <c r="AG61" s="850"/>
      <c r="AH61" s="850"/>
      <c r="AI61" s="850"/>
      <c r="AJ61" s="850"/>
      <c r="AK61" s="850"/>
      <c r="AL61" s="850"/>
      <c r="AM61" s="850"/>
      <c r="AN61" s="850"/>
      <c r="AO61" s="850"/>
      <c r="AP61" s="850"/>
      <c r="AQ61" s="850"/>
      <c r="AR61" s="850"/>
      <c r="AS61" s="850"/>
      <c r="AT61" s="850"/>
      <c r="AU61" s="850"/>
      <c r="AV61" s="850"/>
      <c r="AW61" s="850"/>
      <c r="AX61" s="850"/>
      <c r="AY61" s="850"/>
      <c r="AZ61" s="850"/>
      <c r="BA61" s="850"/>
      <c r="BB61" s="850"/>
      <c r="BC61" s="850"/>
      <c r="BD61" s="850"/>
      <c r="BE61" s="850"/>
      <c r="BF61" s="850"/>
      <c r="BG61" s="850"/>
      <c r="BH61" s="850"/>
      <c r="BI61" s="850"/>
      <c r="BJ61" s="850"/>
      <c r="BK61" s="850"/>
      <c r="BL61" s="850"/>
      <c r="BM61" s="850"/>
      <c r="BN61" s="850"/>
      <c r="BO61" s="850"/>
      <c r="BP61" s="850"/>
      <c r="BQ61" s="850"/>
      <c r="BR61" s="850"/>
    </row>
    <row r="62" spans="2:70" outlineLevel="1">
      <c r="B62" s="325" t="s">
        <v>629</v>
      </c>
      <c r="C62" s="850"/>
      <c r="D62" s="850"/>
      <c r="E62" s="850"/>
      <c r="F62" s="850"/>
      <c r="G62" s="850"/>
      <c r="H62" s="850"/>
      <c r="I62" s="850"/>
      <c r="J62" s="850"/>
      <c r="K62" s="850"/>
      <c r="L62" s="850"/>
      <c r="M62" s="850"/>
      <c r="N62" s="850"/>
      <c r="O62" s="850"/>
      <c r="P62" s="850"/>
      <c r="Q62" s="850"/>
      <c r="R62" s="850"/>
      <c r="S62" s="850"/>
      <c r="T62" s="850"/>
      <c r="U62" s="850"/>
      <c r="V62" s="850"/>
      <c r="W62" s="850"/>
      <c r="X62" s="850"/>
      <c r="Y62" s="850"/>
      <c r="Z62" s="850"/>
      <c r="AA62" s="850"/>
      <c r="AB62" s="850"/>
      <c r="AC62" s="850"/>
      <c r="AD62" s="850"/>
      <c r="AE62" s="850"/>
      <c r="AF62" s="850"/>
      <c r="AG62" s="850"/>
      <c r="AH62" s="850"/>
      <c r="AI62" s="850"/>
      <c r="AJ62" s="850"/>
      <c r="AK62" s="850"/>
      <c r="AL62" s="850"/>
      <c r="AM62" s="850"/>
      <c r="AN62" s="850"/>
      <c r="AO62" s="850"/>
      <c r="AP62" s="850"/>
      <c r="AQ62" s="850"/>
      <c r="AR62" s="850"/>
      <c r="AS62" s="850"/>
      <c r="AT62" s="850"/>
      <c r="AU62" s="850"/>
      <c r="AV62" s="850"/>
      <c r="AW62" s="850"/>
      <c r="AX62" s="850"/>
      <c r="AY62" s="850"/>
      <c r="AZ62" s="850"/>
      <c r="BA62" s="850"/>
      <c r="BB62" s="850"/>
      <c r="BC62" s="850"/>
      <c r="BD62" s="850"/>
      <c r="BE62" s="850"/>
      <c r="BF62" s="850"/>
      <c r="BG62" s="850"/>
      <c r="BH62" s="850"/>
      <c r="BI62" s="850"/>
      <c r="BJ62" s="850"/>
      <c r="BK62" s="850"/>
      <c r="BL62" s="850"/>
      <c r="BM62" s="850"/>
      <c r="BN62" s="850"/>
      <c r="BO62" s="850"/>
      <c r="BP62" s="850"/>
      <c r="BQ62" s="850"/>
      <c r="BR62" s="850"/>
    </row>
    <row r="63" spans="2:70" outlineLevel="1">
      <c r="B63" s="1" t="s">
        <v>559</v>
      </c>
      <c r="C63" s="850"/>
      <c r="D63" s="850"/>
      <c r="E63" s="850"/>
      <c r="F63" s="850"/>
      <c r="G63" s="850"/>
      <c r="H63" s="850"/>
      <c r="I63" s="850"/>
      <c r="J63" s="850"/>
      <c r="K63" s="850"/>
      <c r="L63" s="850"/>
      <c r="M63" s="850"/>
      <c r="N63" s="850"/>
      <c r="O63" s="850"/>
      <c r="P63" s="850"/>
      <c r="Q63" s="850"/>
      <c r="R63" s="850"/>
      <c r="S63" s="850"/>
      <c r="T63" s="850"/>
      <c r="U63" s="850"/>
      <c r="V63" s="850"/>
      <c r="W63" s="850"/>
      <c r="X63" s="850"/>
      <c r="Y63" s="850"/>
      <c r="Z63" s="850"/>
      <c r="AA63" s="850"/>
      <c r="AB63" s="850"/>
      <c r="AC63" s="850"/>
      <c r="AD63" s="850"/>
      <c r="AE63" s="850"/>
      <c r="AF63" s="850"/>
      <c r="AG63" s="850"/>
      <c r="AH63" s="850"/>
      <c r="AI63" s="850"/>
      <c r="AJ63" s="850"/>
      <c r="AK63" s="850"/>
      <c r="AL63" s="850"/>
      <c r="AM63" s="850"/>
      <c r="AN63" s="850"/>
      <c r="AO63" s="850"/>
      <c r="AP63" s="850"/>
      <c r="AQ63" s="850"/>
      <c r="AR63" s="850"/>
      <c r="AS63" s="850"/>
      <c r="AT63" s="850"/>
      <c r="AU63" s="850"/>
      <c r="AV63" s="850"/>
      <c r="AW63" s="850"/>
      <c r="AX63" s="850"/>
      <c r="AY63" s="850"/>
      <c r="AZ63" s="850"/>
      <c r="BA63" s="850"/>
      <c r="BB63" s="850" t="s">
        <v>630</v>
      </c>
      <c r="BC63" s="848">
        <v>2447160132</v>
      </c>
      <c r="BD63" s="850"/>
      <c r="BE63" s="850"/>
      <c r="BF63" s="850"/>
      <c r="BG63" s="850" t="s">
        <v>630</v>
      </c>
      <c r="BH63" s="848">
        <v>4844845078</v>
      </c>
      <c r="BI63" s="850"/>
      <c r="BJ63" s="850"/>
      <c r="BK63" s="850"/>
      <c r="BL63" s="850"/>
      <c r="BM63" s="850"/>
      <c r="BN63" s="848">
        <v>4844845078</v>
      </c>
      <c r="BO63" s="850"/>
      <c r="BP63" s="850"/>
      <c r="BQ63" s="850"/>
      <c r="BR63" s="850"/>
    </row>
    <row r="64" spans="2:70" outlineLevel="1">
      <c r="B64" s="1" t="s">
        <v>560</v>
      </c>
      <c r="C64" s="850"/>
      <c r="D64" s="850"/>
      <c r="E64" s="850"/>
      <c r="F64" s="850"/>
      <c r="G64" s="850"/>
      <c r="H64" s="850"/>
      <c r="I64" s="850"/>
      <c r="J64" s="850"/>
      <c r="K64" s="850"/>
      <c r="L64" s="850"/>
      <c r="M64" s="850"/>
      <c r="N64" s="850"/>
      <c r="O64" s="850"/>
      <c r="P64" s="850"/>
      <c r="Q64" s="850"/>
      <c r="R64" s="850"/>
      <c r="S64" s="850"/>
      <c r="T64" s="850"/>
      <c r="U64" s="850"/>
      <c r="V64" s="850"/>
      <c r="W64" s="850"/>
      <c r="X64" s="850"/>
      <c r="Y64" s="850"/>
      <c r="Z64" s="850"/>
      <c r="AA64" s="850"/>
      <c r="AB64" s="850"/>
      <c r="AC64" s="850"/>
      <c r="AD64" s="850"/>
      <c r="AE64" s="850"/>
      <c r="AF64" s="850"/>
      <c r="AG64" s="850"/>
      <c r="AH64" s="850"/>
      <c r="AI64" s="850"/>
      <c r="AJ64" s="850"/>
      <c r="AK64" s="850"/>
      <c r="AL64" s="850"/>
      <c r="AM64" s="850"/>
      <c r="AN64" s="850"/>
      <c r="AO64" s="850"/>
      <c r="AP64" s="850"/>
      <c r="AQ64" s="850"/>
      <c r="AR64" s="850"/>
      <c r="AS64" s="850"/>
      <c r="AT64" s="850"/>
      <c r="AU64" s="850"/>
      <c r="AV64" s="850"/>
      <c r="AW64" s="850"/>
      <c r="AX64" s="850"/>
      <c r="AY64" s="850"/>
      <c r="AZ64" s="850"/>
      <c r="BA64" s="850"/>
      <c r="BB64" s="850" t="s">
        <v>631</v>
      </c>
      <c r="BC64" s="848">
        <f>-400000</f>
        <v>-400000</v>
      </c>
      <c r="BD64" s="850"/>
      <c r="BE64" s="850"/>
      <c r="BF64" s="850"/>
      <c r="BG64" s="850" t="s">
        <v>631</v>
      </c>
      <c r="BH64" s="848">
        <f>-2000000</f>
        <v>-2000000</v>
      </c>
      <c r="BI64" s="850"/>
      <c r="BJ64" s="850"/>
      <c r="BK64" s="850"/>
      <c r="BL64" s="850"/>
      <c r="BM64" s="850"/>
      <c r="BN64" s="848">
        <f>-1800000</f>
        <v>-1800000</v>
      </c>
      <c r="BO64" s="850"/>
      <c r="BP64" s="850"/>
      <c r="BQ64" s="850"/>
      <c r="BR64" s="850"/>
    </row>
    <row r="65" spans="2:70" outlineLevel="1">
      <c r="B65" s="1" t="s">
        <v>561</v>
      </c>
      <c r="C65" s="850"/>
      <c r="D65" s="850"/>
      <c r="E65" s="850"/>
      <c r="F65" s="850"/>
      <c r="G65" s="850"/>
      <c r="H65" s="850"/>
      <c r="I65" s="850"/>
      <c r="J65" s="850"/>
      <c r="K65" s="850"/>
      <c r="L65" s="850"/>
      <c r="M65" s="850"/>
      <c r="N65" s="850"/>
      <c r="O65" s="850"/>
      <c r="P65" s="850"/>
      <c r="Q65" s="850"/>
      <c r="R65" s="850"/>
      <c r="S65" s="850"/>
      <c r="T65" s="850"/>
      <c r="U65" s="850"/>
      <c r="V65" s="850"/>
      <c r="W65" s="850"/>
      <c r="X65" s="850"/>
      <c r="Y65" s="850"/>
      <c r="Z65" s="850"/>
      <c r="AA65" s="850"/>
      <c r="AB65" s="850"/>
      <c r="AC65" s="850"/>
      <c r="AD65" s="850"/>
      <c r="AE65" s="850"/>
      <c r="AF65" s="850"/>
      <c r="AG65" s="850"/>
      <c r="AH65" s="850"/>
      <c r="AI65" s="850"/>
      <c r="AJ65" s="850"/>
      <c r="AK65" s="850"/>
      <c r="AL65" s="850"/>
      <c r="AM65" s="850"/>
      <c r="AN65" s="850"/>
      <c r="AO65" s="850"/>
      <c r="AP65" s="850"/>
      <c r="AQ65" s="850"/>
      <c r="AR65" s="850"/>
      <c r="AS65" s="850"/>
      <c r="AT65" s="850"/>
      <c r="AU65" s="850"/>
      <c r="AV65" s="850"/>
      <c r="AW65" s="850"/>
      <c r="AX65" s="850"/>
      <c r="AY65" s="850"/>
      <c r="AZ65" s="850"/>
      <c r="BA65" s="850"/>
      <c r="BB65" s="850" t="s">
        <v>632</v>
      </c>
      <c r="BC65" s="857">
        <f>BC63+BC64</f>
        <v>2446760132</v>
      </c>
      <c r="BD65" s="850"/>
      <c r="BE65" s="850"/>
      <c r="BF65" s="850"/>
      <c r="BG65" s="850" t="s">
        <v>632</v>
      </c>
      <c r="BH65" s="848">
        <f>SUM(BH63:BH64)</f>
        <v>4842845078</v>
      </c>
      <c r="BI65" s="850"/>
      <c r="BJ65" s="850"/>
      <c r="BK65" s="850"/>
      <c r="BL65" s="850"/>
      <c r="BM65" s="850"/>
      <c r="BN65" s="848">
        <f>SUM(BN63:BN64)</f>
        <v>4843045078</v>
      </c>
      <c r="BO65" s="857"/>
      <c r="BP65" s="850"/>
      <c r="BQ65" s="850"/>
      <c r="BR65" s="850"/>
    </row>
    <row r="66" spans="2:70" outlineLevel="1">
      <c r="B66" s="850"/>
      <c r="C66" s="850"/>
      <c r="D66" s="850"/>
      <c r="E66" s="850"/>
      <c r="F66" s="850"/>
      <c r="G66" s="850"/>
      <c r="H66" s="850"/>
      <c r="I66" s="850"/>
      <c r="J66" s="850"/>
      <c r="K66" s="850"/>
      <c r="L66" s="850"/>
      <c r="M66" s="850"/>
      <c r="N66" s="850"/>
      <c r="O66" s="850"/>
      <c r="P66" s="850"/>
      <c r="Q66" s="850"/>
      <c r="R66" s="850"/>
      <c r="S66" s="850"/>
      <c r="T66" s="850"/>
      <c r="U66" s="850"/>
      <c r="V66" s="850"/>
      <c r="W66" s="850"/>
      <c r="X66" s="850"/>
      <c r="Y66" s="850"/>
      <c r="Z66" s="850"/>
      <c r="AA66" s="850"/>
      <c r="AB66" s="850"/>
      <c r="AC66" s="850"/>
      <c r="AD66" s="850"/>
      <c r="AE66" s="850"/>
      <c r="AF66" s="850"/>
      <c r="AG66" s="850"/>
      <c r="AH66" s="850"/>
      <c r="AI66" s="850"/>
      <c r="AJ66" s="850"/>
      <c r="AK66" s="850"/>
      <c r="AL66" s="850"/>
      <c r="AM66" s="850"/>
      <c r="AN66" s="850"/>
      <c r="AO66" s="850"/>
      <c r="AP66" s="850"/>
      <c r="AQ66" s="850"/>
      <c r="AR66" s="850"/>
      <c r="AS66" s="850"/>
      <c r="AT66" s="850"/>
      <c r="AU66" s="850"/>
      <c r="AV66" s="850"/>
      <c r="AW66" s="850"/>
      <c r="AX66" s="850"/>
      <c r="AY66" s="850"/>
      <c r="AZ66" s="850"/>
      <c r="BA66" s="850"/>
      <c r="BB66" s="850"/>
      <c r="BC66" s="850"/>
      <c r="BD66" s="850"/>
      <c r="BE66" s="850"/>
      <c r="BF66" s="850"/>
      <c r="BG66" s="850"/>
      <c r="BH66" s="850"/>
      <c r="BI66" s="850"/>
      <c r="BJ66" s="850"/>
      <c r="BK66" s="850"/>
      <c r="BL66" s="850"/>
      <c r="BM66" s="850"/>
      <c r="BN66" s="850"/>
      <c r="BO66" s="850"/>
      <c r="BP66" s="850"/>
      <c r="BQ66" s="850"/>
      <c r="BR66" s="850"/>
    </row>
    <row r="67" spans="2:70" outlineLevel="1">
      <c r="B67" s="1" t="s">
        <v>633</v>
      </c>
      <c r="C67" s="850"/>
      <c r="D67" s="850"/>
      <c r="E67" s="850"/>
      <c r="F67" s="850"/>
      <c r="G67" s="850"/>
      <c r="H67" s="850"/>
      <c r="I67" s="850"/>
      <c r="J67" s="850"/>
      <c r="K67" s="850"/>
      <c r="L67" s="850"/>
      <c r="M67" s="850"/>
      <c r="N67" s="850"/>
      <c r="O67" s="850"/>
      <c r="P67" s="850"/>
      <c r="Q67" s="850"/>
      <c r="R67" s="850"/>
      <c r="S67" s="850"/>
      <c r="T67" s="850"/>
      <c r="U67" s="850"/>
      <c r="V67" s="850"/>
      <c r="W67" s="848"/>
      <c r="X67" s="850"/>
      <c r="Y67" s="850"/>
      <c r="Z67" s="850"/>
      <c r="AA67" s="850"/>
      <c r="AB67" s="850"/>
      <c r="AC67" s="850"/>
      <c r="AD67" s="850"/>
      <c r="AE67" s="850"/>
      <c r="AF67" s="850"/>
      <c r="AG67" s="850"/>
      <c r="AH67" s="850"/>
      <c r="AI67" s="850"/>
      <c r="AJ67" s="850"/>
      <c r="AK67" s="850"/>
      <c r="AL67" s="850"/>
      <c r="AM67" s="850"/>
      <c r="AN67" s="850"/>
      <c r="AO67" s="850"/>
      <c r="AP67" s="850"/>
      <c r="AQ67" s="850"/>
      <c r="AR67" s="850"/>
      <c r="AS67" s="850"/>
      <c r="AT67" s="850"/>
      <c r="AU67" s="850"/>
      <c r="AV67" s="850"/>
      <c r="AW67" s="850"/>
      <c r="AX67" s="850"/>
      <c r="AY67" s="850"/>
      <c r="AZ67" s="850"/>
      <c r="BA67" s="850"/>
      <c r="BB67" s="850"/>
      <c r="BC67" s="850"/>
      <c r="BD67" s="850"/>
      <c r="BE67" s="850"/>
      <c r="BF67" s="850"/>
      <c r="BG67" s="850"/>
      <c r="BH67" s="850"/>
      <c r="BI67" s="850"/>
      <c r="BJ67" s="850"/>
      <c r="BK67" s="850"/>
      <c r="BL67" s="850"/>
      <c r="BM67" s="850"/>
      <c r="BN67" s="850"/>
      <c r="BO67" s="850"/>
      <c r="BP67" s="850"/>
      <c r="BQ67" s="850"/>
      <c r="BR67" s="850"/>
    </row>
    <row r="68" spans="2:70" outlineLevel="1">
      <c r="B68" s="850"/>
      <c r="C68" s="850"/>
      <c r="D68" s="850"/>
      <c r="E68" s="850"/>
      <c r="F68" s="850"/>
      <c r="G68" s="850"/>
      <c r="H68" s="850"/>
      <c r="I68" s="850"/>
      <c r="J68" s="850"/>
      <c r="K68" s="850"/>
      <c r="L68" s="850"/>
      <c r="M68" s="850"/>
      <c r="N68" s="850"/>
      <c r="O68" s="850"/>
      <c r="P68" s="850"/>
      <c r="Q68" s="850"/>
      <c r="R68" s="850"/>
      <c r="S68" s="850"/>
      <c r="T68" s="850"/>
      <c r="U68" s="850"/>
      <c r="V68" s="850"/>
      <c r="W68" s="850"/>
      <c r="X68" s="850"/>
      <c r="Y68" s="850"/>
      <c r="Z68" s="850"/>
      <c r="AA68" s="850"/>
      <c r="AB68" s="850"/>
      <c r="AC68" s="850"/>
      <c r="AD68" s="850"/>
      <c r="AE68" s="850"/>
      <c r="AF68" s="850"/>
      <c r="AG68" s="850"/>
      <c r="AH68" s="850"/>
      <c r="AI68" s="850"/>
      <c r="AJ68" s="850"/>
      <c r="AK68" s="850"/>
      <c r="AL68" s="850"/>
      <c r="AM68" s="850"/>
      <c r="AN68" s="850"/>
      <c r="AO68" s="850"/>
      <c r="AP68" s="850"/>
      <c r="AQ68" s="850"/>
      <c r="AR68" s="850"/>
      <c r="AS68" s="850"/>
      <c r="AT68" s="850"/>
      <c r="AU68" s="850"/>
      <c r="AV68" s="850"/>
      <c r="AW68" s="850"/>
      <c r="AX68" s="850"/>
      <c r="AY68" s="850"/>
      <c r="AZ68" s="850"/>
      <c r="BA68" s="850"/>
      <c r="BB68" s="850"/>
      <c r="BC68" s="850"/>
      <c r="BD68" s="850"/>
      <c r="BE68" s="850"/>
      <c r="BF68" s="850"/>
      <c r="BG68" s="850"/>
      <c r="BH68" s="850"/>
      <c r="BI68" s="850"/>
      <c r="BJ68" s="850"/>
      <c r="BK68" s="850"/>
      <c r="BL68" s="850"/>
      <c r="BM68" s="850"/>
      <c r="BN68" s="850"/>
      <c r="BO68" s="850"/>
      <c r="BP68" s="850"/>
      <c r="BQ68" s="850"/>
      <c r="BR68" s="850"/>
    </row>
    <row r="69" spans="2:70" outlineLevel="1">
      <c r="B69" s="171"/>
      <c r="C69" s="171" t="s">
        <v>563</v>
      </c>
      <c r="D69" s="171"/>
      <c r="E69" s="171" t="s">
        <v>564</v>
      </c>
      <c r="F69" s="171"/>
      <c r="G69" s="850"/>
      <c r="H69" s="850"/>
      <c r="I69" s="850"/>
      <c r="J69" s="850"/>
      <c r="K69" s="850"/>
      <c r="L69" s="850"/>
      <c r="M69" s="850"/>
      <c r="N69" s="850"/>
      <c r="O69" s="850"/>
      <c r="P69" s="850"/>
      <c r="Q69" s="850"/>
      <c r="R69" s="850"/>
      <c r="S69" s="850"/>
      <c r="T69" s="850"/>
      <c r="U69" s="850"/>
      <c r="V69" s="850"/>
      <c r="W69" s="850"/>
      <c r="X69" s="850"/>
      <c r="Y69" s="850"/>
      <c r="Z69" s="850"/>
      <c r="AA69" s="850"/>
      <c r="AB69" s="850"/>
      <c r="AC69" s="850"/>
      <c r="AD69" s="850"/>
      <c r="AE69" s="850"/>
      <c r="AF69" s="850"/>
      <c r="AG69" s="850"/>
      <c r="AH69" s="850"/>
      <c r="AI69" s="850"/>
      <c r="AJ69" s="850"/>
      <c r="AK69" s="850"/>
      <c r="AL69" s="850"/>
      <c r="AM69" s="850"/>
      <c r="AN69" s="850"/>
      <c r="AO69" s="850"/>
      <c r="AP69" s="850"/>
      <c r="AQ69" s="850"/>
      <c r="AR69" s="850"/>
      <c r="AS69" s="850"/>
      <c r="AT69" s="850"/>
      <c r="AU69" s="850"/>
      <c r="AV69" s="850"/>
      <c r="AW69" s="850"/>
      <c r="AX69" s="850"/>
      <c r="AY69" s="850"/>
      <c r="AZ69" s="850"/>
      <c r="BA69" s="850"/>
      <c r="BB69" s="850"/>
      <c r="BC69" s="850"/>
      <c r="BD69" s="850"/>
      <c r="BE69" s="850"/>
      <c r="BF69" s="850"/>
      <c r="BG69" s="850"/>
      <c r="BH69" s="850"/>
      <c r="BI69" s="850"/>
      <c r="BJ69" s="850"/>
      <c r="BK69" s="850"/>
      <c r="BL69" s="850"/>
      <c r="BM69" s="850"/>
      <c r="BN69" s="850"/>
      <c r="BO69" s="850"/>
      <c r="BP69" s="850"/>
      <c r="BQ69" s="850"/>
      <c r="BR69" s="850"/>
    </row>
    <row r="70" spans="2:70" outlineLevel="1">
      <c r="B70" s="171" t="s">
        <v>565</v>
      </c>
      <c r="C70" s="171" t="s">
        <v>566</v>
      </c>
      <c r="D70" s="171" t="s">
        <v>567</v>
      </c>
      <c r="E70" s="171" t="s">
        <v>566</v>
      </c>
      <c r="F70" s="171" t="s">
        <v>567</v>
      </c>
      <c r="G70" s="850"/>
      <c r="H70" s="850"/>
      <c r="I70" s="850"/>
      <c r="J70" s="850"/>
      <c r="K70" s="850"/>
      <c r="L70" s="850"/>
      <c r="M70" s="850"/>
      <c r="N70" s="850"/>
      <c r="O70" s="850"/>
      <c r="P70" s="850"/>
      <c r="Q70" s="850"/>
      <c r="R70" s="850"/>
      <c r="S70" s="850"/>
      <c r="T70" s="850"/>
      <c r="U70" s="850"/>
      <c r="V70" s="850"/>
      <c r="W70" s="850"/>
      <c r="X70" s="850"/>
      <c r="Y70" s="850"/>
      <c r="Z70" s="850"/>
      <c r="AA70" s="850"/>
      <c r="AB70" s="850"/>
      <c r="AC70" s="850"/>
      <c r="AD70" s="850"/>
      <c r="AE70" s="850"/>
      <c r="AF70" s="850"/>
      <c r="AG70" s="850"/>
      <c r="AH70" s="850"/>
      <c r="AI70" s="850"/>
      <c r="AJ70" s="850"/>
      <c r="AK70" s="850"/>
      <c r="AL70" s="850"/>
      <c r="AM70" s="850"/>
      <c r="AN70" s="850"/>
      <c r="AO70" s="850"/>
      <c r="AP70" s="850"/>
      <c r="AQ70" s="850"/>
      <c r="AR70" s="850"/>
      <c r="AS70" s="850"/>
      <c r="AT70" s="850"/>
      <c r="AU70" s="850"/>
      <c r="AV70" s="850"/>
      <c r="AW70" s="850"/>
      <c r="AX70" s="850"/>
      <c r="AY70" s="850"/>
      <c r="AZ70" s="850"/>
      <c r="BA70" s="850"/>
      <c r="BB70" s="850"/>
      <c r="BC70" s="850"/>
      <c r="BD70" s="850"/>
      <c r="BE70" s="850"/>
      <c r="BF70" s="850"/>
      <c r="BG70" s="850"/>
      <c r="BH70" s="850"/>
      <c r="BI70" s="850"/>
      <c r="BJ70" s="850"/>
      <c r="BK70" s="850"/>
      <c r="BL70" s="850"/>
      <c r="BM70" s="850"/>
      <c r="BN70" s="850"/>
      <c r="BO70" s="850"/>
      <c r="BP70" s="850"/>
      <c r="BQ70" s="850"/>
      <c r="BR70" s="850"/>
    </row>
    <row r="71" spans="2:70" outlineLevel="1">
      <c r="B71" s="850" t="s">
        <v>569</v>
      </c>
      <c r="C71" s="857">
        <f>BD53</f>
        <v>2498000000</v>
      </c>
      <c r="D71" s="1157">
        <f>C71/SUM(C71:C72)</f>
        <v>0.99919999999999998</v>
      </c>
      <c r="E71" s="857">
        <f>BH53</f>
        <v>2498000000</v>
      </c>
      <c r="F71" s="1157">
        <f>E71/SUM(E71:E72)</f>
        <v>0.50979591836734695</v>
      </c>
      <c r="G71" s="850"/>
      <c r="H71" s="850"/>
      <c r="I71" s="850"/>
      <c r="J71" s="850"/>
      <c r="K71" s="850"/>
      <c r="L71" s="850"/>
      <c r="M71" s="850"/>
      <c r="N71" s="850"/>
      <c r="O71" s="850"/>
      <c r="P71" s="850"/>
      <c r="Q71" s="850"/>
      <c r="R71" s="850"/>
      <c r="S71" s="850"/>
      <c r="T71" s="850"/>
      <c r="U71" s="850"/>
      <c r="V71" s="850"/>
      <c r="W71" s="850"/>
      <c r="X71" s="850"/>
      <c r="Y71" s="850"/>
      <c r="Z71" s="850"/>
      <c r="AA71" s="850"/>
      <c r="AB71" s="850"/>
      <c r="AC71" s="850"/>
      <c r="AD71" s="850"/>
      <c r="AE71" s="850"/>
      <c r="AF71" s="850"/>
      <c r="AG71" s="850"/>
      <c r="AH71" s="850"/>
      <c r="AI71" s="850"/>
      <c r="AJ71" s="850"/>
      <c r="AK71" s="850"/>
      <c r="AL71" s="850"/>
      <c r="AM71" s="850"/>
      <c r="AN71" s="850"/>
      <c r="AO71" s="850"/>
      <c r="AP71" s="850"/>
      <c r="AQ71" s="850"/>
      <c r="AR71" s="850"/>
      <c r="AS71" s="850"/>
      <c r="AT71" s="850"/>
      <c r="AU71" s="850"/>
      <c r="AV71" s="850"/>
      <c r="AW71" s="850"/>
      <c r="AX71" s="850"/>
      <c r="AY71" s="850"/>
      <c r="AZ71" s="850"/>
      <c r="BA71" s="850"/>
      <c r="BB71" s="850"/>
      <c r="BC71" s="850"/>
      <c r="BD71" s="850"/>
      <c r="BE71" s="850"/>
      <c r="BF71" s="850"/>
      <c r="BG71" s="850"/>
      <c r="BH71" s="850"/>
      <c r="BI71" s="850"/>
      <c r="BJ71" s="850"/>
      <c r="BK71" s="850"/>
      <c r="BL71" s="850"/>
      <c r="BM71" s="850"/>
      <c r="BN71" s="850"/>
      <c r="BO71" s="850"/>
      <c r="BP71" s="850"/>
      <c r="BQ71" s="850"/>
      <c r="BR71" s="850"/>
    </row>
    <row r="72" spans="2:70" outlineLevel="1">
      <c r="B72" s="850" t="s">
        <v>568</v>
      </c>
      <c r="C72" s="857">
        <f>SUM(BD54:BD59)</f>
        <v>2000000</v>
      </c>
      <c r="D72" s="1157">
        <f>1-D71</f>
        <v>8.0000000000002292E-4</v>
      </c>
      <c r="E72" s="857">
        <f>SUM(BH54:BH59)</f>
        <v>2402000000</v>
      </c>
      <c r="F72" s="1157">
        <f>1-F71</f>
        <v>0.49020408163265305</v>
      </c>
      <c r="G72" s="850"/>
      <c r="H72" s="850"/>
      <c r="I72" s="850"/>
      <c r="J72" s="850"/>
      <c r="K72" s="850"/>
      <c r="L72" s="850"/>
      <c r="M72" s="850"/>
      <c r="N72" s="850"/>
      <c r="O72" s="850"/>
      <c r="P72" s="850"/>
      <c r="Q72" s="850"/>
      <c r="R72" s="850"/>
      <c r="S72" s="850"/>
      <c r="T72" s="850"/>
      <c r="U72" s="850"/>
      <c r="V72" s="850"/>
      <c r="W72" s="850"/>
      <c r="X72" s="850"/>
      <c r="Y72" s="850"/>
      <c r="Z72" s="850"/>
      <c r="AA72" s="850"/>
      <c r="AB72" s="850"/>
      <c r="AC72" s="850"/>
      <c r="AD72" s="850"/>
      <c r="AE72" s="850"/>
      <c r="AF72" s="850"/>
      <c r="AG72" s="850"/>
      <c r="AH72" s="850"/>
      <c r="AI72" s="850"/>
      <c r="AJ72" s="850"/>
      <c r="AK72" s="850"/>
      <c r="AL72" s="850"/>
      <c r="AM72" s="850"/>
      <c r="AN72" s="850"/>
      <c r="AO72" s="850"/>
      <c r="AP72" s="850"/>
      <c r="AQ72" s="850"/>
      <c r="AR72" s="850"/>
      <c r="AS72" s="850"/>
      <c r="AT72" s="850"/>
      <c r="AU72" s="850"/>
      <c r="AV72" s="850"/>
      <c r="AW72" s="850"/>
      <c r="AX72" s="850"/>
      <c r="AY72" s="850"/>
      <c r="AZ72" s="850"/>
      <c r="BA72" s="850"/>
      <c r="BB72" s="850"/>
      <c r="BC72" s="850"/>
      <c r="BD72" s="850"/>
      <c r="BE72" s="850"/>
      <c r="BF72" s="850"/>
      <c r="BG72" s="850"/>
      <c r="BH72" s="850"/>
      <c r="BI72" s="850"/>
      <c r="BJ72" s="850"/>
      <c r="BK72" s="850"/>
      <c r="BL72" s="850"/>
      <c r="BM72" s="850"/>
      <c r="BN72" s="850"/>
      <c r="BO72" s="850"/>
      <c r="BP72" s="850"/>
      <c r="BQ72" s="850"/>
      <c r="BR72" s="850"/>
    </row>
    <row r="73" spans="2:70" outlineLevel="1">
      <c r="B73" s="850" t="s">
        <v>634</v>
      </c>
      <c r="C73" s="857">
        <f>BC65</f>
        <v>2446760132</v>
      </c>
      <c r="D73" s="850"/>
      <c r="E73" s="857">
        <f>BH65</f>
        <v>4842845078</v>
      </c>
      <c r="F73" s="850"/>
      <c r="G73" s="850"/>
      <c r="H73" s="850"/>
      <c r="I73" s="850"/>
      <c r="J73" s="850"/>
      <c r="K73" s="850"/>
      <c r="L73" s="850"/>
      <c r="M73" s="850"/>
      <c r="N73" s="850"/>
      <c r="O73" s="850"/>
      <c r="P73" s="850"/>
      <c r="Q73" s="850"/>
      <c r="R73" s="850"/>
      <c r="S73" s="850"/>
      <c r="T73" s="850"/>
      <c r="U73" s="850"/>
      <c r="V73" s="850"/>
      <c r="W73" s="850"/>
      <c r="X73" s="850"/>
      <c r="Y73" s="850"/>
      <c r="Z73" s="850"/>
      <c r="AA73" s="850"/>
      <c r="AB73" s="850"/>
      <c r="AC73" s="850"/>
      <c r="AD73" s="850"/>
      <c r="AE73" s="850"/>
      <c r="AF73" s="850"/>
      <c r="AG73" s="850"/>
      <c r="AH73" s="850"/>
      <c r="AI73" s="850"/>
      <c r="AJ73" s="850"/>
      <c r="AK73" s="850"/>
      <c r="AL73" s="850"/>
      <c r="AM73" s="850"/>
      <c r="AN73" s="850"/>
      <c r="AO73" s="850"/>
      <c r="AP73" s="850"/>
      <c r="AQ73" s="850"/>
      <c r="AR73" s="850"/>
      <c r="AS73" s="850"/>
      <c r="AT73" s="850"/>
      <c r="AU73" s="850"/>
      <c r="AV73" s="850"/>
      <c r="AW73" s="850"/>
      <c r="AX73" s="850"/>
      <c r="AY73" s="850"/>
      <c r="AZ73" s="850"/>
      <c r="BA73" s="850"/>
      <c r="BB73" s="850"/>
      <c r="BC73" s="850"/>
      <c r="BD73" s="850"/>
      <c r="BE73" s="850"/>
      <c r="BF73" s="850"/>
      <c r="BG73" s="850"/>
      <c r="BH73" s="850"/>
      <c r="BI73" s="850"/>
      <c r="BJ73" s="850"/>
      <c r="BK73" s="850"/>
      <c r="BL73" s="850"/>
      <c r="BM73" s="850"/>
      <c r="BN73" s="850"/>
      <c r="BO73" s="850"/>
      <c r="BP73" s="850"/>
      <c r="BQ73" s="850"/>
      <c r="BR73" s="850"/>
    </row>
    <row r="74" spans="2:70" outlineLevel="1">
      <c r="B74" s="850" t="s">
        <v>635</v>
      </c>
      <c r="C74" s="848">
        <f>C73*D72</f>
        <v>1957408.105600056</v>
      </c>
      <c r="D74" s="848"/>
      <c r="E74" s="848">
        <f>E73*F72</f>
        <v>2373982423.9502039</v>
      </c>
      <c r="F74" s="850"/>
      <c r="G74" s="850"/>
      <c r="H74" s="850"/>
      <c r="I74" s="850"/>
      <c r="J74" s="850"/>
      <c r="K74" s="850"/>
      <c r="L74" s="850"/>
      <c r="M74" s="850"/>
      <c r="N74" s="850"/>
      <c r="O74" s="850"/>
      <c r="P74" s="850"/>
      <c r="Q74" s="850"/>
      <c r="R74" s="850"/>
      <c r="S74" s="850"/>
      <c r="T74" s="850"/>
      <c r="U74" s="850"/>
      <c r="V74" s="850"/>
      <c r="W74" s="850"/>
      <c r="X74" s="850"/>
      <c r="Y74" s="850"/>
      <c r="Z74" s="850"/>
      <c r="AA74" s="850"/>
      <c r="AB74" s="850"/>
      <c r="AC74" s="850"/>
      <c r="AD74" s="850"/>
      <c r="AE74" s="850"/>
      <c r="AF74" s="850"/>
      <c r="AG74" s="850"/>
      <c r="AH74" s="850"/>
      <c r="AI74" s="850"/>
      <c r="AJ74" s="850"/>
      <c r="AK74" s="850"/>
      <c r="AL74" s="850"/>
      <c r="AM74" s="850"/>
      <c r="AN74" s="850"/>
      <c r="AO74" s="850"/>
      <c r="AP74" s="850"/>
      <c r="AQ74" s="850"/>
      <c r="AR74" s="850"/>
      <c r="AS74" s="850"/>
      <c r="AT74" s="850"/>
      <c r="AU74" s="850"/>
      <c r="AV74" s="850"/>
      <c r="AW74" s="850"/>
      <c r="AX74" s="850"/>
      <c r="AY74" s="850"/>
      <c r="AZ74" s="850"/>
      <c r="BA74" s="850"/>
      <c r="BB74" s="850"/>
      <c r="BC74" s="850"/>
      <c r="BD74" s="850"/>
      <c r="BE74" s="850"/>
      <c r="BF74" s="850"/>
      <c r="BG74" s="850"/>
      <c r="BH74" s="850"/>
      <c r="BI74" s="850"/>
      <c r="BJ74" s="850"/>
      <c r="BK74" s="850"/>
      <c r="BL74" s="850"/>
      <c r="BM74" s="850"/>
      <c r="BN74" s="850"/>
      <c r="BO74" s="850"/>
      <c r="BP74" s="850"/>
      <c r="BQ74" s="850"/>
      <c r="BR74" s="850"/>
    </row>
    <row r="75" spans="2:70" ht="13.5" outlineLevel="1" thickBot="1">
      <c r="B75" s="1530" t="s">
        <v>636</v>
      </c>
      <c r="C75" s="1530"/>
      <c r="D75" s="1531">
        <f>E74-C74</f>
        <v>2372025015.844604</v>
      </c>
      <c r="E75" s="1530"/>
      <c r="F75" s="1530"/>
      <c r="G75" s="850"/>
      <c r="H75" s="850"/>
      <c r="I75" s="850"/>
      <c r="J75" s="850"/>
      <c r="K75" s="850"/>
      <c r="L75" s="850"/>
      <c r="M75" s="850"/>
      <c r="N75" s="850"/>
      <c r="O75" s="850"/>
      <c r="P75" s="850"/>
      <c r="Q75" s="850"/>
      <c r="R75" s="850"/>
      <c r="S75" s="850"/>
      <c r="T75" s="850"/>
      <c r="U75" s="850"/>
      <c r="V75" s="850"/>
      <c r="W75" s="850"/>
      <c r="X75" s="850"/>
      <c r="Y75" s="850"/>
      <c r="Z75" s="850"/>
      <c r="AA75" s="850"/>
      <c r="AB75" s="850"/>
      <c r="AC75" s="850"/>
      <c r="AD75" s="850"/>
      <c r="AE75" s="850"/>
      <c r="AF75" s="850"/>
      <c r="AG75" s="850"/>
      <c r="AH75" s="850"/>
      <c r="AI75" s="850"/>
      <c r="AJ75" s="850"/>
      <c r="AK75" s="850"/>
      <c r="AL75" s="850"/>
      <c r="AM75" s="850"/>
      <c r="AN75" s="850"/>
      <c r="AO75" s="850"/>
      <c r="AP75" s="850"/>
      <c r="AQ75" s="850"/>
      <c r="AR75" s="850"/>
      <c r="AS75" s="850"/>
      <c r="AT75" s="850"/>
      <c r="AU75" s="850"/>
      <c r="AV75" s="850"/>
      <c r="AW75" s="850"/>
      <c r="AX75" s="850"/>
      <c r="AY75" s="850"/>
      <c r="AZ75" s="850"/>
      <c r="BA75" s="850"/>
      <c r="BB75" s="850"/>
      <c r="BC75" s="850"/>
      <c r="BD75" s="850"/>
      <c r="BE75" s="850"/>
      <c r="BF75" s="850"/>
      <c r="BG75" s="850"/>
      <c r="BH75" s="850"/>
      <c r="BI75" s="850"/>
      <c r="BJ75" s="850"/>
      <c r="BK75" s="850"/>
      <c r="BL75" s="850"/>
      <c r="BM75" s="850"/>
      <c r="BN75" s="850"/>
      <c r="BO75" s="850"/>
      <c r="BP75" s="850"/>
      <c r="BQ75" s="850"/>
      <c r="BR75" s="850"/>
    </row>
    <row r="76" spans="2:70" outlineLevel="1">
      <c r="B76" s="850" t="s">
        <v>637</v>
      </c>
      <c r="C76" s="850"/>
      <c r="D76" s="857">
        <f>E72-C72</f>
        <v>2400000000</v>
      </c>
      <c r="E76" s="850"/>
      <c r="F76" s="850"/>
      <c r="G76" s="850"/>
      <c r="H76" s="850"/>
      <c r="I76" s="850"/>
      <c r="J76" s="850"/>
      <c r="K76" s="850"/>
      <c r="L76" s="850"/>
      <c r="M76" s="850"/>
      <c r="N76" s="850"/>
      <c r="O76" s="850"/>
      <c r="P76" s="850"/>
      <c r="Q76" s="850"/>
      <c r="R76" s="850"/>
      <c r="S76" s="850"/>
      <c r="T76" s="850"/>
      <c r="U76" s="850"/>
      <c r="V76" s="850"/>
      <c r="W76" s="850"/>
      <c r="X76" s="850"/>
      <c r="Y76" s="850"/>
      <c r="Z76" s="850"/>
      <c r="AA76" s="850"/>
      <c r="AB76" s="850"/>
      <c r="AC76" s="850"/>
      <c r="AD76" s="850"/>
      <c r="AE76" s="850"/>
      <c r="AF76" s="850"/>
      <c r="AG76" s="850"/>
      <c r="AH76" s="850"/>
      <c r="AI76" s="850"/>
      <c r="AJ76" s="850"/>
      <c r="AK76" s="850"/>
      <c r="AL76" s="850"/>
      <c r="AM76" s="850"/>
      <c r="AN76" s="850"/>
      <c r="AO76" s="850"/>
      <c r="AP76" s="850"/>
      <c r="AQ76" s="850"/>
      <c r="AR76" s="850"/>
      <c r="AS76" s="850"/>
      <c r="AT76" s="850"/>
      <c r="AU76" s="850"/>
      <c r="AV76" s="850"/>
      <c r="AW76" s="850"/>
      <c r="AX76" s="850"/>
      <c r="AY76" s="850"/>
      <c r="AZ76" s="850"/>
      <c r="BA76" s="850"/>
      <c r="BB76" s="850"/>
      <c r="BC76" s="850"/>
      <c r="BD76" s="850"/>
      <c r="BE76" s="850"/>
      <c r="BF76" s="850"/>
      <c r="BG76" s="850"/>
      <c r="BH76" s="850"/>
      <c r="BI76" s="850"/>
      <c r="BJ76" s="850"/>
      <c r="BK76" s="850"/>
      <c r="BL76" s="850"/>
      <c r="BM76" s="850"/>
      <c r="BN76" s="850"/>
      <c r="BO76" s="850"/>
      <c r="BP76" s="850"/>
      <c r="BQ76" s="850"/>
      <c r="BR76" s="850"/>
    </row>
    <row r="77" spans="2:70" outlineLevel="1">
      <c r="B77" s="850" t="s">
        <v>638</v>
      </c>
      <c r="C77" s="850"/>
      <c r="D77" s="857">
        <f>D75-D76</f>
        <v>-27974984.155395985</v>
      </c>
      <c r="E77" s="850"/>
      <c r="F77" s="850"/>
      <c r="G77" s="850"/>
      <c r="H77" s="850"/>
      <c r="I77" s="850"/>
      <c r="J77" s="850"/>
      <c r="K77" s="850"/>
      <c r="L77" s="850"/>
      <c r="M77" s="850"/>
      <c r="N77" s="850"/>
      <c r="O77" s="850"/>
      <c r="P77" s="850"/>
      <c r="Q77" s="850"/>
      <c r="R77" s="850"/>
      <c r="S77" s="850"/>
      <c r="T77" s="850"/>
      <c r="U77" s="850"/>
      <c r="V77" s="850"/>
      <c r="W77" s="850"/>
      <c r="X77" s="850"/>
      <c r="Y77" s="850"/>
      <c r="Z77" s="850"/>
      <c r="AA77" s="850"/>
      <c r="AB77" s="850"/>
      <c r="AC77" s="850"/>
      <c r="AD77" s="850"/>
      <c r="AE77" s="850"/>
      <c r="AF77" s="850"/>
      <c r="AG77" s="850"/>
      <c r="AH77" s="850"/>
      <c r="AI77" s="850"/>
      <c r="AJ77" s="850"/>
      <c r="AK77" s="850"/>
      <c r="AL77" s="850"/>
      <c r="AM77" s="850"/>
      <c r="AN77" s="850"/>
      <c r="AO77" s="850"/>
      <c r="AP77" s="850"/>
      <c r="AQ77" s="850"/>
      <c r="AR77" s="850"/>
      <c r="AS77" s="850"/>
      <c r="AT77" s="850"/>
      <c r="AU77" s="850"/>
      <c r="AV77" s="850"/>
      <c r="AW77" s="850"/>
      <c r="AX77" s="850"/>
      <c r="AY77" s="850"/>
      <c r="AZ77" s="850"/>
      <c r="BA77" s="850"/>
      <c r="BB77" s="850"/>
      <c r="BC77" s="850"/>
      <c r="BD77" s="850"/>
      <c r="BE77" s="850"/>
      <c r="BF77" s="850"/>
      <c r="BG77" s="850"/>
      <c r="BH77" s="850"/>
      <c r="BI77" s="850"/>
      <c r="BJ77" s="850"/>
      <c r="BK77" s="850"/>
      <c r="BL77" s="850"/>
      <c r="BM77" s="850"/>
      <c r="BN77" s="850"/>
      <c r="BO77" s="850"/>
      <c r="BP77" s="850"/>
      <c r="BQ77" s="850"/>
      <c r="BR77" s="850"/>
    </row>
    <row r="78" spans="2:70" outlineLevel="1">
      <c r="B78" s="850"/>
      <c r="C78" s="850"/>
      <c r="D78" s="850"/>
      <c r="E78" s="850"/>
      <c r="F78" s="850"/>
      <c r="G78" s="850"/>
      <c r="H78" s="850"/>
      <c r="I78" s="850"/>
      <c r="J78" s="850"/>
      <c r="K78" s="850"/>
      <c r="L78" s="850"/>
      <c r="M78" s="850"/>
      <c r="N78" s="850"/>
      <c r="O78" s="850"/>
      <c r="P78" s="850"/>
      <c r="Q78" s="850"/>
      <c r="R78" s="850"/>
      <c r="S78" s="850"/>
      <c r="T78" s="850"/>
      <c r="U78" s="850"/>
      <c r="V78" s="850"/>
      <c r="W78" s="850"/>
      <c r="X78" s="850"/>
      <c r="Y78" s="850"/>
      <c r="Z78" s="850"/>
      <c r="AA78" s="850"/>
      <c r="AB78" s="850"/>
      <c r="AC78" s="850"/>
      <c r="AD78" s="850"/>
      <c r="AE78" s="850"/>
      <c r="AF78" s="850"/>
      <c r="AG78" s="850"/>
      <c r="AH78" s="850"/>
      <c r="AI78" s="850"/>
      <c r="AJ78" s="850"/>
      <c r="AK78" s="850"/>
      <c r="AL78" s="850"/>
      <c r="AM78" s="850"/>
      <c r="AN78" s="850"/>
      <c r="AO78" s="850"/>
      <c r="AP78" s="850"/>
      <c r="AQ78" s="850"/>
      <c r="AR78" s="850"/>
      <c r="AS78" s="850"/>
      <c r="AT78" s="850"/>
      <c r="AU78" s="850"/>
      <c r="AV78" s="850"/>
      <c r="AW78" s="850"/>
      <c r="AX78" s="850"/>
      <c r="AY78" s="850"/>
      <c r="AZ78" s="850"/>
      <c r="BA78" s="850"/>
      <c r="BB78" s="850"/>
      <c r="BC78" s="850"/>
      <c r="BD78" s="850"/>
      <c r="BE78" s="850"/>
      <c r="BF78" s="850"/>
      <c r="BG78" s="850"/>
      <c r="BH78" s="850"/>
      <c r="BI78" s="850"/>
      <c r="BJ78" s="850"/>
      <c r="BK78" s="850"/>
      <c r="BL78" s="850"/>
      <c r="BM78" s="850"/>
      <c r="BN78" s="850"/>
      <c r="BO78" s="850"/>
      <c r="BP78" s="850"/>
      <c r="BQ78" s="850"/>
      <c r="BR78" s="850"/>
    </row>
    <row r="79" spans="2:70" outlineLevel="1">
      <c r="B79" s="1" t="s">
        <v>639</v>
      </c>
      <c r="C79" s="850"/>
      <c r="D79" s="850"/>
      <c r="E79" s="850"/>
      <c r="F79" s="850"/>
      <c r="G79" s="850"/>
      <c r="H79" s="850"/>
      <c r="I79" s="850"/>
      <c r="J79" s="850"/>
      <c r="K79" s="850"/>
      <c r="L79" s="850"/>
      <c r="M79" s="850"/>
      <c r="N79" s="850"/>
      <c r="O79" s="850"/>
      <c r="P79" s="850"/>
      <c r="Q79" s="850"/>
      <c r="R79" s="850"/>
      <c r="S79" s="850"/>
      <c r="T79" s="850"/>
      <c r="U79" s="850"/>
      <c r="V79" s="850"/>
      <c r="W79" s="848"/>
      <c r="X79" s="850"/>
      <c r="Y79" s="850"/>
      <c r="Z79" s="850"/>
      <c r="AA79" s="850"/>
      <c r="AB79" s="850"/>
      <c r="AC79" s="850"/>
      <c r="AD79" s="850"/>
      <c r="AE79" s="850"/>
      <c r="AF79" s="850"/>
      <c r="AG79" s="850"/>
      <c r="AH79" s="850"/>
      <c r="AI79" s="850"/>
      <c r="AJ79" s="850"/>
      <c r="AK79" s="850"/>
      <c r="AL79" s="850"/>
      <c r="AM79" s="850"/>
      <c r="AN79" s="850"/>
      <c r="AO79" s="850"/>
      <c r="AP79" s="850"/>
      <c r="AQ79" s="850"/>
      <c r="AR79" s="850"/>
      <c r="AS79" s="850"/>
      <c r="AT79" s="850"/>
      <c r="AU79" s="850"/>
      <c r="AV79" s="850"/>
      <c r="AW79" s="850"/>
      <c r="AX79" s="850"/>
      <c r="AY79" s="850"/>
      <c r="AZ79" s="850"/>
      <c r="BA79" s="850"/>
      <c r="BB79" s="850"/>
      <c r="BC79" s="850"/>
      <c r="BD79" s="850"/>
      <c r="BE79" s="850"/>
      <c r="BF79" s="850"/>
      <c r="BG79" s="850"/>
      <c r="BH79" s="850"/>
      <c r="BI79" s="850"/>
      <c r="BJ79" s="850"/>
      <c r="BK79" s="850"/>
      <c r="BL79" s="850"/>
      <c r="BM79" s="850"/>
      <c r="BN79" s="850"/>
      <c r="BO79" s="850"/>
      <c r="BP79" s="850"/>
      <c r="BQ79" s="850"/>
      <c r="BR79" s="850"/>
    </row>
    <row r="80" spans="2:70" outlineLevel="1">
      <c r="B80" s="850"/>
      <c r="C80" s="850"/>
      <c r="D80" s="850"/>
      <c r="E80" s="850"/>
      <c r="F80" s="850"/>
      <c r="G80" s="850"/>
      <c r="H80" s="850"/>
      <c r="I80" s="850"/>
      <c r="J80" s="850"/>
      <c r="K80" s="850"/>
      <c r="L80" s="850"/>
      <c r="M80" s="850"/>
      <c r="N80" s="850"/>
      <c r="O80" s="850"/>
      <c r="P80" s="850"/>
      <c r="Q80" s="850"/>
      <c r="R80" s="850"/>
      <c r="S80" s="850"/>
      <c r="T80" s="850"/>
      <c r="U80" s="850"/>
      <c r="V80" s="850"/>
      <c r="W80" s="850"/>
      <c r="X80" s="850"/>
      <c r="Y80" s="850"/>
      <c r="Z80" s="850"/>
      <c r="AA80" s="850"/>
      <c r="AB80" s="850"/>
      <c r="AC80" s="850"/>
      <c r="AD80" s="850"/>
      <c r="AE80" s="850"/>
      <c r="AF80" s="850"/>
      <c r="AG80" s="850"/>
      <c r="AH80" s="850"/>
      <c r="AI80" s="850"/>
      <c r="AJ80" s="850"/>
      <c r="AK80" s="850"/>
      <c r="AL80" s="850"/>
      <c r="AM80" s="850"/>
      <c r="AN80" s="850"/>
      <c r="AO80" s="850"/>
      <c r="AP80" s="850"/>
      <c r="AQ80" s="850"/>
      <c r="AR80" s="850"/>
      <c r="AS80" s="850"/>
      <c r="AT80" s="850"/>
      <c r="AU80" s="850"/>
      <c r="AV80" s="850"/>
      <c r="AW80" s="850"/>
      <c r="AX80" s="850"/>
      <c r="AY80" s="850"/>
      <c r="AZ80" s="850"/>
      <c r="BA80" s="850"/>
      <c r="BB80" s="850"/>
      <c r="BC80" s="850"/>
      <c r="BD80" s="850"/>
      <c r="BE80" s="850"/>
      <c r="BF80" s="850"/>
      <c r="BG80" s="850"/>
      <c r="BH80" s="850"/>
      <c r="BI80" s="850"/>
      <c r="BJ80" s="850"/>
      <c r="BK80" s="850"/>
      <c r="BL80" s="850"/>
      <c r="BM80" s="850"/>
      <c r="BN80" s="850"/>
      <c r="BO80" s="850"/>
      <c r="BP80" s="850"/>
      <c r="BQ80" s="850"/>
      <c r="BR80" s="850"/>
    </row>
    <row r="81" spans="2:23" outlineLevel="1">
      <c r="B81" s="850" t="s">
        <v>640</v>
      </c>
      <c r="C81" s="848">
        <v>3000000000</v>
      </c>
      <c r="D81" s="850"/>
      <c r="E81" s="850"/>
      <c r="F81" s="850"/>
      <c r="G81" s="850"/>
      <c r="H81" s="850"/>
      <c r="I81" s="850"/>
      <c r="J81" s="850"/>
      <c r="K81" s="850"/>
      <c r="L81" s="850"/>
      <c r="M81" s="850"/>
      <c r="N81" s="850"/>
      <c r="O81" s="850"/>
      <c r="P81" s="850"/>
      <c r="Q81" s="850"/>
      <c r="R81" s="850"/>
      <c r="S81" s="850"/>
      <c r="T81" s="850"/>
      <c r="U81" s="850"/>
      <c r="V81" s="850"/>
      <c r="W81" s="850"/>
    </row>
    <row r="82" spans="2:23" outlineLevel="1">
      <c r="B82" s="850" t="s">
        <v>641</v>
      </c>
      <c r="C82" s="848">
        <f>BN65</f>
        <v>4843045078</v>
      </c>
      <c r="D82" s="850"/>
      <c r="E82" s="850"/>
      <c r="F82" s="850"/>
      <c r="G82" s="850"/>
      <c r="H82" s="850"/>
      <c r="I82" s="850"/>
      <c r="J82" s="850"/>
      <c r="K82" s="850"/>
      <c r="L82" s="850"/>
      <c r="M82" s="850"/>
      <c r="N82" s="850"/>
      <c r="O82" s="850"/>
      <c r="P82" s="850"/>
      <c r="Q82" s="850"/>
      <c r="R82" s="850"/>
      <c r="S82" s="850"/>
      <c r="T82" s="850"/>
      <c r="U82" s="850"/>
      <c r="V82" s="850"/>
      <c r="W82" s="850"/>
    </row>
    <row r="83" spans="2:23" outlineLevel="1">
      <c r="B83" s="850" t="s">
        <v>642</v>
      </c>
      <c r="C83" s="1157">
        <f>BO53-BI53</f>
        <v>0.48979591833265301</v>
      </c>
      <c r="D83" s="850"/>
      <c r="E83" s="850"/>
      <c r="F83" s="850"/>
      <c r="G83" s="850"/>
      <c r="H83" s="850"/>
      <c r="I83" s="850"/>
      <c r="J83" s="850"/>
      <c r="K83" s="850"/>
      <c r="L83" s="850"/>
      <c r="M83" s="850"/>
      <c r="N83" s="850"/>
      <c r="O83" s="850"/>
      <c r="P83" s="850"/>
      <c r="Q83" s="850"/>
      <c r="R83" s="850"/>
      <c r="S83" s="850"/>
      <c r="T83" s="850"/>
      <c r="U83" s="850"/>
      <c r="V83" s="850"/>
      <c r="W83" s="850"/>
    </row>
    <row r="84" spans="2:23" outlineLevel="1">
      <c r="B84" s="850" t="s">
        <v>643</v>
      </c>
      <c r="C84" s="848">
        <f>C82*C83</f>
        <v>2372103711.505445</v>
      </c>
      <c r="D84" s="850"/>
      <c r="E84" s="850"/>
      <c r="F84" s="850"/>
      <c r="G84" s="850"/>
      <c r="H84" s="850"/>
      <c r="I84" s="850"/>
      <c r="J84" s="850"/>
      <c r="K84" s="850"/>
      <c r="L84" s="850"/>
      <c r="M84" s="850"/>
      <c r="N84" s="850"/>
      <c r="O84" s="850"/>
      <c r="P84" s="850"/>
      <c r="Q84" s="850"/>
      <c r="R84" s="850"/>
      <c r="S84" s="850"/>
      <c r="T84" s="850"/>
      <c r="U84" s="850"/>
      <c r="V84" s="850"/>
      <c r="W84" s="850"/>
    </row>
    <row r="85" spans="2:23" outlineLevel="1">
      <c r="B85" s="850" t="s">
        <v>644</v>
      </c>
      <c r="C85" s="848">
        <f>C84-C81</f>
        <v>-627896288.494555</v>
      </c>
      <c r="D85" s="850"/>
      <c r="E85" s="850"/>
      <c r="F85" s="850"/>
      <c r="G85" s="850"/>
      <c r="H85" s="850"/>
      <c r="I85" s="850"/>
      <c r="J85" s="850"/>
      <c r="K85" s="850"/>
      <c r="L85" s="850"/>
      <c r="M85" s="850"/>
      <c r="N85" s="850"/>
      <c r="O85" s="850"/>
      <c r="P85" s="850"/>
      <c r="Q85" s="850"/>
      <c r="R85" s="850"/>
      <c r="S85" s="850"/>
      <c r="T85" s="850"/>
      <c r="U85" s="850"/>
      <c r="V85" s="850"/>
      <c r="W85" s="850"/>
    </row>
    <row r="86" spans="2:23" outlineLevel="1">
      <c r="B86" s="850"/>
      <c r="C86" s="850"/>
      <c r="D86" s="850"/>
      <c r="E86" s="850"/>
      <c r="F86" s="850"/>
      <c r="G86" s="850"/>
      <c r="H86" s="850"/>
      <c r="I86" s="850"/>
      <c r="J86" s="850"/>
      <c r="K86" s="850"/>
      <c r="L86" s="850"/>
      <c r="M86" s="850"/>
      <c r="N86" s="850"/>
      <c r="O86" s="850"/>
      <c r="P86" s="850"/>
      <c r="Q86" s="850"/>
      <c r="R86" s="850"/>
      <c r="S86" s="850"/>
      <c r="T86" s="850"/>
      <c r="U86" s="850"/>
      <c r="V86" s="850"/>
      <c r="W86" s="850"/>
    </row>
    <row r="87" spans="2:23" outlineLevel="1">
      <c r="B87" s="325" t="s">
        <v>645</v>
      </c>
      <c r="C87" s="850"/>
      <c r="D87" s="850"/>
      <c r="E87" s="850"/>
      <c r="F87" s="850"/>
      <c r="G87" s="850"/>
      <c r="H87" s="850"/>
      <c r="I87" s="850"/>
      <c r="J87" s="850"/>
      <c r="K87" s="850"/>
      <c r="L87" s="850"/>
      <c r="M87" s="850"/>
      <c r="N87" s="850"/>
      <c r="O87" s="850"/>
      <c r="P87" s="850"/>
      <c r="Q87" s="850"/>
      <c r="R87" s="850"/>
      <c r="S87" s="850"/>
      <c r="T87" s="850"/>
      <c r="U87" s="850"/>
      <c r="V87" s="850"/>
      <c r="W87" s="850"/>
    </row>
    <row r="88" spans="2:23" outlineLevel="1">
      <c r="B88" s="325"/>
      <c r="C88" s="850"/>
      <c r="D88" s="850"/>
      <c r="E88" s="850"/>
      <c r="F88" s="850"/>
      <c r="G88" s="850"/>
      <c r="H88" s="850"/>
      <c r="I88" s="850"/>
      <c r="J88" s="850"/>
      <c r="K88" s="850"/>
      <c r="L88" s="850"/>
      <c r="M88" s="850"/>
      <c r="N88" s="850"/>
      <c r="O88" s="850"/>
      <c r="P88" s="850"/>
      <c r="Q88" s="850"/>
      <c r="R88" s="850"/>
      <c r="S88" s="848"/>
      <c r="T88" s="850"/>
      <c r="U88" s="850"/>
      <c r="V88" s="850"/>
      <c r="W88" s="850"/>
    </row>
    <row r="89" spans="2:23" outlineLevel="1">
      <c r="B89" s="850" t="s">
        <v>646</v>
      </c>
      <c r="C89" s="848">
        <f>-'A0.LS'!AT358</f>
        <v>-726200216</v>
      </c>
      <c r="D89" s="850"/>
      <c r="E89" s="850"/>
      <c r="F89" s="850"/>
      <c r="G89" s="850"/>
      <c r="H89" s="850"/>
      <c r="I89" s="850"/>
      <c r="J89" s="850"/>
      <c r="K89" s="850"/>
      <c r="L89" s="850"/>
      <c r="M89" s="850"/>
      <c r="N89" s="850"/>
      <c r="O89" s="850"/>
      <c r="P89" s="850"/>
      <c r="Q89" s="850"/>
      <c r="R89" s="850"/>
      <c r="S89" s="850"/>
      <c r="T89" s="850"/>
      <c r="U89" s="850"/>
      <c r="V89" s="850"/>
      <c r="W89" s="850"/>
    </row>
    <row r="90" spans="2:23" outlineLevel="1">
      <c r="B90" s="850" t="s">
        <v>578</v>
      </c>
      <c r="C90" s="1157">
        <f>BE53</f>
        <v>0.99919999999999998</v>
      </c>
      <c r="D90" s="850"/>
      <c r="E90" s="850"/>
      <c r="F90" s="850"/>
      <c r="G90" s="850"/>
      <c r="H90" s="850"/>
      <c r="I90" s="850"/>
      <c r="J90" s="850"/>
      <c r="K90" s="850"/>
      <c r="L90" s="850"/>
      <c r="M90" s="850"/>
      <c r="N90" s="850"/>
      <c r="O90" s="850"/>
      <c r="P90" s="850"/>
      <c r="Q90" s="850"/>
      <c r="R90" s="850"/>
      <c r="S90" s="850"/>
      <c r="T90" s="850"/>
      <c r="U90" s="850"/>
      <c r="V90" s="850"/>
      <c r="W90" s="850"/>
    </row>
    <row r="91" spans="2:23" outlineLevel="1">
      <c r="B91" s="850" t="s">
        <v>579</v>
      </c>
      <c r="C91" s="1157">
        <f>BE54+BE55</f>
        <v>8.0000000000000004E-4</v>
      </c>
      <c r="D91" s="850"/>
      <c r="E91" s="850"/>
      <c r="F91" s="850"/>
      <c r="G91" s="850"/>
      <c r="H91" s="850"/>
      <c r="I91" s="850"/>
      <c r="J91" s="850"/>
      <c r="K91" s="850"/>
      <c r="L91" s="850"/>
      <c r="M91" s="850"/>
      <c r="N91" s="850"/>
      <c r="O91" s="850"/>
      <c r="P91" s="850"/>
      <c r="Q91" s="850"/>
      <c r="R91" s="850"/>
      <c r="S91" s="850"/>
      <c r="T91" s="850"/>
      <c r="U91" s="850"/>
      <c r="V91" s="850"/>
      <c r="W91" s="850"/>
    </row>
    <row r="92" spans="2:23" outlineLevel="1">
      <c r="B92" s="850" t="s">
        <v>580</v>
      </c>
      <c r="C92" s="856">
        <v>44927</v>
      </c>
      <c r="D92" s="850"/>
      <c r="E92" s="850"/>
      <c r="F92" s="850"/>
      <c r="G92" s="850"/>
      <c r="H92" s="850"/>
      <c r="I92" s="850"/>
      <c r="J92" s="850"/>
      <c r="K92" s="850"/>
      <c r="L92" s="850"/>
      <c r="M92" s="850"/>
      <c r="N92" s="850"/>
      <c r="O92" s="850"/>
      <c r="P92" s="850"/>
      <c r="Q92" s="850"/>
      <c r="R92" s="850"/>
      <c r="S92" s="850"/>
      <c r="T92" s="850"/>
      <c r="U92" s="850"/>
      <c r="V92" s="850"/>
      <c r="W92" s="850"/>
    </row>
    <row r="93" spans="2:23" outlineLevel="1">
      <c r="B93" s="850" t="s">
        <v>581</v>
      </c>
      <c r="C93" s="856">
        <v>45291</v>
      </c>
      <c r="D93" s="850"/>
      <c r="E93" s="850"/>
      <c r="F93" s="850"/>
      <c r="G93" s="850"/>
      <c r="H93" s="850"/>
      <c r="I93" s="850"/>
      <c r="J93" s="850"/>
      <c r="K93" s="850"/>
      <c r="L93" s="850"/>
      <c r="M93" s="850"/>
      <c r="N93" s="850"/>
      <c r="O93" s="850"/>
      <c r="P93" s="850"/>
      <c r="Q93" s="850"/>
      <c r="R93" s="850"/>
      <c r="S93" s="850"/>
      <c r="T93" s="850"/>
      <c r="U93" s="850"/>
      <c r="V93" s="850"/>
      <c r="W93" s="850"/>
    </row>
    <row r="94" spans="2:23" outlineLevel="1">
      <c r="B94" s="850" t="s">
        <v>582</v>
      </c>
      <c r="C94" s="850">
        <f>C93-C92+1</f>
        <v>365</v>
      </c>
      <c r="D94" s="850"/>
      <c r="E94" s="850"/>
      <c r="F94" s="850"/>
      <c r="G94" s="850"/>
      <c r="H94" s="850"/>
      <c r="I94" s="850"/>
      <c r="J94" s="850"/>
      <c r="K94" s="850"/>
      <c r="L94" s="850"/>
      <c r="M94" s="850"/>
      <c r="N94" s="850"/>
      <c r="O94" s="850"/>
      <c r="P94" s="850"/>
      <c r="Q94" s="850"/>
      <c r="R94" s="850"/>
      <c r="S94" s="850"/>
      <c r="T94" s="850"/>
      <c r="U94" s="850"/>
      <c r="V94" s="850"/>
      <c r="W94" s="850"/>
    </row>
    <row r="95" spans="2:23" outlineLevel="1">
      <c r="B95" s="850" t="s">
        <v>583</v>
      </c>
      <c r="C95" s="848">
        <f>C89*C91</f>
        <v>-580960.17280000006</v>
      </c>
      <c r="D95" s="850"/>
      <c r="E95" s="850"/>
      <c r="F95" s="850"/>
      <c r="G95" s="850"/>
      <c r="H95" s="850"/>
      <c r="I95" s="850"/>
      <c r="J95" s="850"/>
      <c r="K95" s="850"/>
      <c r="L95" s="850"/>
      <c r="M95" s="850"/>
      <c r="N95" s="850"/>
      <c r="O95" s="850"/>
      <c r="P95" s="850"/>
      <c r="Q95" s="850"/>
      <c r="R95" s="850"/>
      <c r="S95" s="850"/>
      <c r="T95" s="850"/>
      <c r="U95" s="850"/>
      <c r="V95" s="850"/>
      <c r="W95" s="850"/>
    </row>
    <row r="96" spans="2:23" outlineLevel="1">
      <c r="B96" s="850"/>
      <c r="C96" s="850"/>
      <c r="D96" s="850"/>
      <c r="E96" s="850"/>
      <c r="F96" s="850"/>
      <c r="G96" s="850"/>
      <c r="H96" s="850"/>
      <c r="I96" s="850"/>
      <c r="J96" s="850"/>
      <c r="K96" s="850"/>
      <c r="L96" s="850"/>
      <c r="M96" s="850"/>
      <c r="N96" s="850"/>
      <c r="O96" s="850"/>
      <c r="P96" s="850"/>
      <c r="Q96" s="850"/>
      <c r="R96" s="850"/>
      <c r="S96" s="850"/>
      <c r="T96" s="850"/>
      <c r="U96" s="850"/>
      <c r="V96" s="850"/>
      <c r="W96" s="850"/>
    </row>
    <row r="97" spans="2:19" outlineLevel="1">
      <c r="B97" s="1" t="s">
        <v>647</v>
      </c>
      <c r="C97" s="850"/>
      <c r="D97" s="857">
        <f>BC53-BD53</f>
        <v>2400000000</v>
      </c>
      <c r="E97" s="850"/>
      <c r="F97" s="850"/>
      <c r="G97" s="850"/>
      <c r="H97" s="850"/>
      <c r="I97" s="850"/>
      <c r="J97" s="850"/>
      <c r="K97" s="850"/>
      <c r="L97" s="850"/>
      <c r="M97" s="850"/>
      <c r="N97" s="850"/>
      <c r="O97" s="850"/>
      <c r="P97" s="850"/>
      <c r="Q97" s="850"/>
      <c r="R97" s="850"/>
      <c r="S97" s="850"/>
    </row>
    <row r="98" spans="2:19" outlineLevel="1">
      <c r="B98" s="344" t="s">
        <v>648</v>
      </c>
      <c r="C98" s="850"/>
      <c r="D98" s="850"/>
      <c r="E98" s="850"/>
      <c r="F98" s="850"/>
      <c r="G98" s="850"/>
      <c r="H98" s="850"/>
      <c r="I98" s="850"/>
      <c r="J98" s="850"/>
      <c r="K98" s="850"/>
      <c r="L98" s="850"/>
      <c r="M98" s="850"/>
      <c r="N98" s="850"/>
      <c r="O98" s="850"/>
      <c r="P98" s="850"/>
      <c r="Q98" s="850"/>
      <c r="R98" s="850"/>
      <c r="S98" s="850"/>
    </row>
    <row r="99" spans="2:19" outlineLevel="1">
      <c r="B99" s="850"/>
      <c r="C99" s="850"/>
      <c r="D99" s="850"/>
      <c r="E99" s="850"/>
      <c r="F99" s="850"/>
      <c r="G99" s="850"/>
      <c r="H99" s="850"/>
      <c r="I99" s="850"/>
      <c r="J99" s="850"/>
      <c r="K99" s="850"/>
      <c r="L99" s="850"/>
      <c r="M99" s="850"/>
      <c r="N99" s="850"/>
      <c r="O99" s="850"/>
      <c r="P99" s="850"/>
      <c r="Q99" s="850"/>
      <c r="R99" s="850"/>
      <c r="S99" s="850"/>
    </row>
    <row r="100" spans="2:19" outlineLevel="1">
      <c r="B100" s="1" t="s">
        <v>649</v>
      </c>
      <c r="C100" s="850"/>
      <c r="D100" s="850"/>
      <c r="E100" s="850"/>
      <c r="F100" s="850"/>
      <c r="G100" s="850"/>
      <c r="H100" s="850"/>
      <c r="I100" s="850"/>
      <c r="J100" s="850"/>
      <c r="K100" s="850"/>
      <c r="L100" s="850"/>
      <c r="M100" s="850"/>
      <c r="N100" s="850"/>
      <c r="O100" s="850"/>
      <c r="P100" s="850"/>
      <c r="Q100" s="850"/>
      <c r="R100" s="850"/>
      <c r="S100" s="850"/>
    </row>
    <row r="101" spans="2:19" outlineLevel="1">
      <c r="B101" s="850" t="s">
        <v>650</v>
      </c>
      <c r="C101" s="857">
        <f>C89</f>
        <v>-726200216</v>
      </c>
      <c r="D101" s="850"/>
      <c r="E101" s="850"/>
      <c r="F101" s="850"/>
      <c r="G101" s="850"/>
      <c r="H101" s="850"/>
      <c r="I101" s="850"/>
      <c r="J101" s="850"/>
      <c r="K101" s="850"/>
      <c r="L101" s="850"/>
      <c r="M101" s="850"/>
      <c r="N101" s="850"/>
      <c r="O101" s="850"/>
      <c r="P101" s="850"/>
      <c r="Q101" s="850"/>
      <c r="R101" s="850"/>
      <c r="S101" s="850"/>
    </row>
    <row r="102" spans="2:19" outlineLevel="1">
      <c r="B102" s="850" t="s">
        <v>651</v>
      </c>
      <c r="C102" s="1157">
        <f>BE54</f>
        <v>4.0000000000000002E-4</v>
      </c>
      <c r="D102" s="850"/>
      <c r="E102" s="850"/>
      <c r="F102" s="850"/>
      <c r="G102" s="850"/>
      <c r="H102" s="850"/>
      <c r="I102" s="850"/>
      <c r="J102" s="850"/>
      <c r="K102" s="850"/>
      <c r="L102" s="850"/>
      <c r="M102" s="850"/>
      <c r="N102" s="850"/>
      <c r="O102" s="850"/>
      <c r="P102" s="850"/>
      <c r="Q102" s="850"/>
      <c r="R102" s="850"/>
      <c r="S102" s="850"/>
    </row>
    <row r="103" spans="2:19" outlineLevel="1">
      <c r="B103" s="850" t="s">
        <v>652</v>
      </c>
      <c r="C103" s="848">
        <f>C101*C102</f>
        <v>-290480.08640000003</v>
      </c>
      <c r="D103" s="850"/>
      <c r="E103" s="850"/>
      <c r="F103" s="850"/>
      <c r="G103" s="850"/>
      <c r="H103" s="850"/>
      <c r="I103" s="850"/>
      <c r="J103" s="850"/>
      <c r="K103" s="850"/>
      <c r="L103" s="850"/>
      <c r="M103" s="850"/>
      <c r="N103" s="850"/>
      <c r="O103" s="850"/>
      <c r="P103" s="850"/>
      <c r="Q103" s="850"/>
      <c r="R103" s="850"/>
      <c r="S103" s="850"/>
    </row>
    <row r="104" spans="2:19" outlineLevel="1">
      <c r="B104" s="850"/>
      <c r="C104" s="850"/>
      <c r="D104" s="850"/>
      <c r="E104" s="850"/>
      <c r="F104" s="850"/>
      <c r="G104" s="850"/>
      <c r="H104" s="850"/>
      <c r="I104" s="850"/>
      <c r="J104" s="850"/>
      <c r="K104" s="850"/>
      <c r="L104" s="850"/>
      <c r="M104" s="850"/>
      <c r="N104" s="850"/>
      <c r="O104" s="850"/>
      <c r="P104" s="850"/>
      <c r="Q104" s="850"/>
      <c r="R104" s="850"/>
      <c r="S104" s="850"/>
    </row>
    <row r="105" spans="2:19">
      <c r="B105" s="172"/>
      <c r="C105" s="172" t="s">
        <v>653</v>
      </c>
      <c r="D105" s="324"/>
      <c r="E105" s="324"/>
      <c r="F105" s="324"/>
      <c r="G105" s="324"/>
      <c r="H105" s="324"/>
      <c r="I105" s="324"/>
      <c r="J105" s="324"/>
      <c r="K105" s="324"/>
      <c r="L105" s="324"/>
      <c r="M105" s="324"/>
      <c r="N105" s="324"/>
      <c r="O105" s="324"/>
      <c r="P105" s="324"/>
      <c r="Q105" s="324"/>
      <c r="R105" s="324"/>
      <c r="S105" s="324"/>
    </row>
    <row r="106" spans="2:19" outlineLevel="1">
      <c r="B106" s="850"/>
      <c r="C106" s="850"/>
      <c r="D106" s="850"/>
      <c r="E106" s="850"/>
      <c r="F106" s="850"/>
      <c r="G106" s="850"/>
      <c r="H106" s="850"/>
      <c r="I106" s="850"/>
      <c r="J106" s="850"/>
      <c r="K106" s="850"/>
      <c r="L106" s="850"/>
      <c r="M106" s="850"/>
      <c r="N106" s="850"/>
      <c r="O106" s="850"/>
      <c r="P106" s="850"/>
      <c r="Q106" s="850"/>
      <c r="R106" s="850"/>
      <c r="S106" s="850"/>
    </row>
    <row r="107" spans="2:19" outlineLevel="1">
      <c r="B107" s="850"/>
      <c r="C107" s="1" t="s">
        <v>585</v>
      </c>
      <c r="D107" s="850"/>
      <c r="E107" s="850"/>
      <c r="F107" s="850"/>
      <c r="G107" s="850"/>
      <c r="H107" s="850"/>
      <c r="I107" s="850"/>
      <c r="J107" s="850"/>
      <c r="K107" s="850"/>
      <c r="L107" s="850"/>
      <c r="M107" s="850"/>
      <c r="N107" s="850"/>
      <c r="O107" s="850"/>
      <c r="P107" s="850"/>
      <c r="Q107" s="850"/>
      <c r="R107" s="850"/>
      <c r="S107" s="850"/>
    </row>
    <row r="108" spans="2:19" outlineLevel="1">
      <c r="B108" s="850"/>
      <c r="C108" s="1" t="s">
        <v>599</v>
      </c>
      <c r="D108" s="850"/>
      <c r="E108" s="850"/>
      <c r="F108" s="850"/>
      <c r="G108" s="850"/>
      <c r="H108" s="850"/>
      <c r="I108" s="850"/>
      <c r="J108" s="850"/>
      <c r="K108" s="850"/>
      <c r="L108" s="850"/>
      <c r="M108" s="850"/>
      <c r="N108" s="850"/>
      <c r="O108" s="850"/>
      <c r="P108" s="850"/>
      <c r="Q108" s="850"/>
      <c r="R108" s="850"/>
      <c r="S108" s="850"/>
    </row>
    <row r="109" spans="2:19" outlineLevel="1">
      <c r="B109" s="1" t="s">
        <v>654</v>
      </c>
      <c r="C109" s="1" t="s">
        <v>549</v>
      </c>
      <c r="D109" s="1" t="s">
        <v>550</v>
      </c>
      <c r="E109" s="208" t="s">
        <v>551</v>
      </c>
      <c r="F109" s="850"/>
      <c r="G109" s="850"/>
      <c r="H109" s="850"/>
      <c r="I109" s="850"/>
      <c r="J109" s="850"/>
      <c r="K109" s="850"/>
      <c r="L109" s="850"/>
      <c r="M109" s="850"/>
      <c r="N109" s="850"/>
      <c r="O109" s="850"/>
      <c r="P109" s="850"/>
      <c r="Q109" s="850"/>
      <c r="R109" s="850"/>
      <c r="S109" s="850"/>
    </row>
    <row r="110" spans="2:19" outlineLevel="1">
      <c r="B110" s="850" t="s">
        <v>621</v>
      </c>
      <c r="C110" s="848">
        <v>10000000</v>
      </c>
      <c r="D110" s="848">
        <v>10000000</v>
      </c>
      <c r="E110" s="1004">
        <f>D110/$D$113</f>
        <v>0.5</v>
      </c>
      <c r="F110" s="850"/>
      <c r="G110" s="850"/>
      <c r="H110" s="850"/>
      <c r="I110" s="850"/>
      <c r="J110" s="850"/>
      <c r="K110" s="850"/>
      <c r="L110" s="850"/>
      <c r="M110" s="850"/>
      <c r="N110" s="850"/>
      <c r="O110" s="850"/>
      <c r="P110" s="850"/>
      <c r="Q110" s="850"/>
      <c r="R110" s="850"/>
      <c r="S110" s="850"/>
    </row>
    <row r="111" spans="2:19" outlineLevel="1">
      <c r="B111" s="850" t="s">
        <v>620</v>
      </c>
      <c r="C111" s="848">
        <v>5000000</v>
      </c>
      <c r="D111" s="848">
        <v>5000000</v>
      </c>
      <c r="E111" s="1004">
        <f t="shared" ref="E111:E112" si="41">D111/$D$113</f>
        <v>0.25</v>
      </c>
      <c r="F111" s="850"/>
      <c r="G111" s="850"/>
      <c r="H111" s="850"/>
      <c r="I111" s="850"/>
      <c r="J111" s="850"/>
      <c r="K111" s="850"/>
      <c r="L111" s="850"/>
      <c r="M111" s="850"/>
      <c r="N111" s="850"/>
      <c r="O111" s="850"/>
      <c r="P111" s="850"/>
      <c r="Q111" s="850"/>
      <c r="R111" s="850"/>
      <c r="S111" s="850"/>
    </row>
    <row r="112" spans="2:19" outlineLevel="1">
      <c r="B112" s="850" t="s">
        <v>622</v>
      </c>
      <c r="C112" s="848">
        <v>5000000</v>
      </c>
      <c r="D112" s="848">
        <v>5000000</v>
      </c>
      <c r="E112" s="1004">
        <f t="shared" si="41"/>
        <v>0.25</v>
      </c>
      <c r="F112" s="850"/>
      <c r="G112" s="850"/>
      <c r="H112" s="850"/>
      <c r="I112" s="850"/>
      <c r="J112" s="850"/>
      <c r="K112" s="850"/>
      <c r="L112" s="850"/>
      <c r="M112" s="850"/>
      <c r="N112" s="850"/>
      <c r="O112" s="850"/>
      <c r="P112" s="850"/>
      <c r="Q112" s="850"/>
      <c r="R112" s="850"/>
      <c r="S112" s="850"/>
    </row>
    <row r="113" spans="2:19" ht="13.5" outlineLevel="1" thickBot="1">
      <c r="B113" s="850"/>
      <c r="C113" s="1528">
        <f>SUM(C110:C112)</f>
        <v>20000000</v>
      </c>
      <c r="D113" s="1528">
        <f>SUM(D110:D112)</f>
        <v>20000000</v>
      </c>
      <c r="E113" s="850"/>
      <c r="F113" s="850"/>
      <c r="G113" s="850"/>
      <c r="H113" s="850"/>
      <c r="I113" s="850"/>
      <c r="J113" s="850"/>
      <c r="K113" s="850"/>
      <c r="L113" s="850"/>
      <c r="M113" s="850"/>
      <c r="N113" s="850"/>
      <c r="O113" s="850"/>
      <c r="P113" s="850"/>
      <c r="Q113" s="850"/>
      <c r="R113" s="850"/>
      <c r="S113" s="850"/>
    </row>
    <row r="114" spans="2:19" ht="13.5" outlineLevel="1" thickTop="1">
      <c r="B114" s="850"/>
      <c r="C114" s="850"/>
      <c r="D114" s="850"/>
      <c r="E114" s="850"/>
      <c r="F114" s="850"/>
      <c r="G114" s="850"/>
      <c r="H114" s="850"/>
      <c r="I114" s="850"/>
      <c r="J114" s="850"/>
      <c r="K114" s="850"/>
      <c r="L114" s="850"/>
      <c r="M114" s="850"/>
      <c r="N114" s="850"/>
      <c r="O114" s="850"/>
      <c r="P114" s="850"/>
      <c r="Q114" s="850"/>
      <c r="R114" s="850"/>
      <c r="S114" s="850"/>
    </row>
    <row r="115" spans="2:19" outlineLevel="1">
      <c r="B115" s="1" t="s">
        <v>655</v>
      </c>
      <c r="C115" s="848">
        <f>-'A0.LS'!AL358</f>
        <v>-4076111</v>
      </c>
      <c r="D115" s="850"/>
      <c r="E115" s="850"/>
      <c r="F115" s="850"/>
      <c r="G115" s="850"/>
      <c r="H115" s="850"/>
      <c r="I115" s="850"/>
      <c r="J115" s="850"/>
      <c r="K115" s="850"/>
      <c r="L115" s="850"/>
      <c r="M115" s="850"/>
      <c r="N115" s="850"/>
      <c r="O115" s="850"/>
      <c r="P115" s="850"/>
      <c r="Q115" s="850"/>
      <c r="R115" s="850"/>
      <c r="S115" s="850"/>
    </row>
    <row r="116" spans="2:19" outlineLevel="1">
      <c r="B116" s="1" t="s">
        <v>656</v>
      </c>
      <c r="C116" s="848">
        <f>C115*E111</f>
        <v>-1019027.75</v>
      </c>
      <c r="D116" s="850"/>
      <c r="E116" s="850"/>
      <c r="F116" s="850"/>
      <c r="G116" s="850"/>
      <c r="H116" s="850"/>
      <c r="I116" s="850"/>
      <c r="J116" s="850"/>
      <c r="K116" s="850"/>
      <c r="L116" s="850"/>
      <c r="M116" s="850"/>
      <c r="N116" s="850"/>
      <c r="O116" s="850"/>
      <c r="P116" s="850"/>
      <c r="Q116" s="850"/>
      <c r="R116" s="850"/>
      <c r="S116" s="850"/>
    </row>
    <row r="117" spans="2:19" outlineLevel="1">
      <c r="B117" s="1" t="s">
        <v>657</v>
      </c>
      <c r="C117" s="848">
        <f>C115*E110</f>
        <v>-2038055.5</v>
      </c>
      <c r="D117" s="850"/>
      <c r="E117" s="850"/>
      <c r="F117" s="850"/>
      <c r="G117" s="850"/>
      <c r="H117" s="850"/>
      <c r="I117" s="850"/>
      <c r="J117" s="850"/>
      <c r="K117" s="850"/>
      <c r="L117" s="850"/>
      <c r="M117" s="850"/>
      <c r="N117" s="850"/>
      <c r="O117" s="850"/>
      <c r="P117" s="850"/>
      <c r="Q117" s="850"/>
      <c r="R117" s="850"/>
      <c r="S117" s="850"/>
    </row>
    <row r="118" spans="2:19" outlineLevel="1">
      <c r="B118" s="1" t="s">
        <v>568</v>
      </c>
      <c r="C118" s="848">
        <f>E112*C115</f>
        <v>-1019027.75</v>
      </c>
      <c r="D118" s="850"/>
      <c r="E118" s="850"/>
      <c r="F118" s="850"/>
      <c r="G118" s="850"/>
      <c r="H118" s="850"/>
      <c r="I118" s="850"/>
      <c r="J118" s="850"/>
      <c r="K118" s="850"/>
      <c r="L118" s="850"/>
      <c r="M118" s="850"/>
      <c r="N118" s="850"/>
      <c r="O118" s="850"/>
      <c r="P118" s="850"/>
      <c r="Q118" s="850"/>
      <c r="R118" s="850"/>
      <c r="S118" s="850"/>
    </row>
    <row r="119" spans="2:19" outlineLevel="1">
      <c r="B119" s="850"/>
      <c r="C119" s="850"/>
      <c r="D119" s="850"/>
      <c r="E119" s="850"/>
      <c r="F119" s="850"/>
      <c r="G119" s="850"/>
      <c r="H119" s="850"/>
      <c r="I119" s="850"/>
      <c r="J119" s="850"/>
      <c r="K119" s="850"/>
      <c r="L119" s="850"/>
      <c r="M119" s="850"/>
      <c r="N119" s="850"/>
      <c r="O119" s="850"/>
      <c r="P119" s="850"/>
      <c r="Q119" s="850"/>
      <c r="R119" s="850"/>
      <c r="S119" s="850"/>
    </row>
    <row r="120" spans="2:19" outlineLevel="1">
      <c r="B120" s="850"/>
      <c r="C120" s="850"/>
      <c r="D120" s="850"/>
      <c r="E120" s="850"/>
      <c r="F120" s="850"/>
      <c r="G120" s="850"/>
      <c r="H120" s="850"/>
      <c r="I120" s="850"/>
      <c r="J120" s="850"/>
      <c r="K120" s="850"/>
      <c r="L120" s="850"/>
      <c r="M120" s="850"/>
      <c r="N120" s="850"/>
      <c r="O120" s="850"/>
      <c r="P120" s="850"/>
      <c r="Q120" s="850"/>
      <c r="R120" s="850"/>
      <c r="S120" s="850"/>
    </row>
    <row r="121" spans="2:19" outlineLevel="1">
      <c r="B121" s="850"/>
      <c r="C121" s="850"/>
      <c r="D121" s="850"/>
      <c r="E121" s="850"/>
      <c r="F121" s="850"/>
      <c r="G121" s="850"/>
      <c r="H121" s="850"/>
      <c r="I121" s="850"/>
      <c r="J121" s="850"/>
      <c r="K121" s="850"/>
      <c r="L121" s="850"/>
      <c r="M121" s="850"/>
      <c r="N121" s="850"/>
      <c r="O121" s="850"/>
      <c r="P121" s="850"/>
      <c r="Q121" s="850"/>
      <c r="R121" s="850"/>
      <c r="S121" s="850"/>
    </row>
    <row r="122" spans="2:19" outlineLevel="1">
      <c r="B122" s="850"/>
      <c r="C122" s="850"/>
      <c r="D122" s="850"/>
      <c r="E122" s="850"/>
      <c r="F122" s="850"/>
      <c r="G122" s="850"/>
      <c r="H122" s="850"/>
      <c r="I122" s="850"/>
      <c r="J122" s="850"/>
      <c r="K122" s="850"/>
      <c r="L122" s="850"/>
      <c r="M122" s="850"/>
      <c r="N122" s="850"/>
      <c r="O122" s="850"/>
      <c r="P122" s="850"/>
      <c r="Q122" s="850"/>
      <c r="R122" s="850"/>
      <c r="S122" s="850"/>
    </row>
    <row r="123" spans="2:19" outlineLevel="1">
      <c r="B123" s="850">
        <v>221</v>
      </c>
      <c r="C123" s="848">
        <v>432104256635</v>
      </c>
      <c r="D123" s="850"/>
      <c r="E123" s="850"/>
      <c r="F123" s="850"/>
      <c r="G123" s="850"/>
      <c r="H123" s="850"/>
      <c r="I123" s="850"/>
      <c r="J123" s="850"/>
      <c r="K123" s="850"/>
      <c r="L123" s="850"/>
      <c r="M123" s="850"/>
      <c r="N123" s="850"/>
      <c r="O123" s="850"/>
      <c r="P123" s="850"/>
      <c r="Q123" s="850"/>
      <c r="R123" s="850"/>
      <c r="S123" s="850"/>
    </row>
    <row r="124" spans="2:19" outlineLevel="1">
      <c r="B124" s="922" t="s">
        <v>530</v>
      </c>
      <c r="C124" s="857">
        <f>W16</f>
        <v>427201256635</v>
      </c>
      <c r="D124" s="848">
        <f>SUM('A5.Consol FY24'!I14+'A5.Consol FY24'!I37+'A5.Consol FY24'!I46+'A5.Consol FY24'!I51)</f>
        <v>-428955330000</v>
      </c>
      <c r="E124" s="857">
        <f>SUM(C124:D124)</f>
        <v>-1754073365</v>
      </c>
      <c r="F124" s="850"/>
      <c r="G124" s="850"/>
      <c r="H124" s="850"/>
      <c r="I124" s="850"/>
      <c r="J124" s="850"/>
      <c r="K124" s="850"/>
      <c r="L124" s="850"/>
      <c r="M124" s="850"/>
      <c r="N124" s="850"/>
      <c r="O124" s="850"/>
      <c r="P124" s="850"/>
      <c r="Q124" s="850"/>
      <c r="R124" s="850"/>
      <c r="S124" s="850"/>
    </row>
    <row r="125" spans="2:19" outlineLevel="1">
      <c r="B125" s="922" t="s">
        <v>555</v>
      </c>
      <c r="C125" s="857">
        <f>BC53</f>
        <v>4898000000</v>
      </c>
      <c r="D125" s="848">
        <f>'A5.Consol FY24'!I106</f>
        <v>-2498000000</v>
      </c>
      <c r="E125" s="857">
        <f t="shared" ref="E125" si="42">SUM(C125:D125)</f>
        <v>2400000000</v>
      </c>
      <c r="F125" s="850"/>
      <c r="G125" s="850"/>
      <c r="H125" s="850"/>
      <c r="I125" s="850"/>
      <c r="J125" s="850"/>
      <c r="K125" s="850"/>
      <c r="L125" s="850"/>
      <c r="M125" s="850"/>
      <c r="N125" s="850"/>
      <c r="O125" s="850"/>
      <c r="P125" s="850"/>
      <c r="Q125" s="850"/>
      <c r="R125" s="850"/>
      <c r="S125" s="850"/>
    </row>
    <row r="126" spans="2:19" outlineLevel="1">
      <c r="B126" s="922" t="s">
        <v>494</v>
      </c>
      <c r="C126" s="857">
        <f>D111</f>
        <v>5000000</v>
      </c>
      <c r="D126" s="848"/>
      <c r="E126" s="857"/>
      <c r="F126" s="850"/>
      <c r="G126" s="850"/>
      <c r="H126" s="850"/>
      <c r="I126" s="850"/>
      <c r="J126" s="850"/>
      <c r="K126" s="850"/>
      <c r="L126" s="850"/>
      <c r="M126" s="850"/>
      <c r="N126" s="850"/>
      <c r="O126" s="850"/>
      <c r="P126" s="850"/>
      <c r="Q126" s="850"/>
      <c r="R126" s="850"/>
      <c r="S126" s="850"/>
    </row>
    <row r="127" spans="2:19" outlineLevel="1">
      <c r="B127" s="850"/>
      <c r="C127" s="848">
        <f>SUMIFS('A5.Consol FY24'!L:L,'A5.Consol FY24'!F:F,"221")</f>
        <v>-872109256635</v>
      </c>
      <c r="D127" s="850"/>
      <c r="E127" s="850"/>
      <c r="F127" s="850"/>
      <c r="G127" s="850"/>
      <c r="H127" s="850"/>
      <c r="I127" s="850"/>
      <c r="J127" s="850"/>
      <c r="K127" s="850"/>
      <c r="L127" s="850"/>
      <c r="M127" s="850"/>
      <c r="N127" s="850"/>
      <c r="O127" s="850"/>
      <c r="P127" s="850"/>
      <c r="Q127" s="850"/>
      <c r="R127" s="850"/>
      <c r="S127" s="850"/>
    </row>
    <row r="128" spans="2:19" outlineLevel="1">
      <c r="B128" s="850"/>
      <c r="C128" s="850"/>
      <c r="D128" s="850"/>
      <c r="E128" s="850"/>
      <c r="F128" s="850"/>
      <c r="G128" s="850"/>
      <c r="H128" s="850"/>
      <c r="I128" s="850"/>
      <c r="J128" s="850"/>
      <c r="K128" s="850"/>
      <c r="L128" s="850"/>
      <c r="M128" s="850"/>
      <c r="N128" s="850"/>
      <c r="O128" s="850"/>
      <c r="P128" s="850"/>
      <c r="Q128" s="850"/>
      <c r="R128" s="850"/>
      <c r="S128" s="850"/>
    </row>
    <row r="129" spans="2:19">
      <c r="B129" s="172"/>
      <c r="C129" s="172" t="s">
        <v>658</v>
      </c>
      <c r="D129" s="324"/>
      <c r="E129" s="324"/>
      <c r="F129" s="324"/>
      <c r="G129" s="324"/>
      <c r="H129" s="324"/>
      <c r="I129" s="324"/>
      <c r="J129" s="324"/>
      <c r="K129" s="324"/>
      <c r="L129" s="324"/>
      <c r="M129" s="324"/>
      <c r="N129" s="324"/>
      <c r="O129" s="324"/>
      <c r="P129" s="324"/>
      <c r="Q129" s="324"/>
      <c r="R129" s="324"/>
      <c r="S129" s="324"/>
    </row>
    <row r="132" spans="2:19">
      <c r="B132" s="850" t="s">
        <v>659</v>
      </c>
      <c r="C132" s="857">
        <f>E46+C95-C103+C118</f>
        <v>-55465807.164788797</v>
      </c>
      <c r="D132" s="848"/>
      <c r="E132" s="850"/>
      <c r="F132" s="850"/>
      <c r="G132" s="850"/>
      <c r="H132" s="850"/>
      <c r="I132" s="850"/>
      <c r="J132" s="850"/>
      <c r="K132" s="850"/>
      <c r="L132" s="850"/>
      <c r="M132" s="850"/>
      <c r="N132" s="850"/>
      <c r="O132" s="850"/>
      <c r="P132" s="850"/>
      <c r="Q132" s="850"/>
      <c r="R132" s="850"/>
      <c r="S132" s="850"/>
    </row>
    <row r="133" spans="2:19">
      <c r="B133" s="850" t="s">
        <v>660</v>
      </c>
      <c r="C133" s="848">
        <f>'A0.LS'!AX356</f>
        <v>-55175327</v>
      </c>
      <c r="D133" s="848"/>
      <c r="E133" s="850"/>
      <c r="F133" s="850"/>
      <c r="G133" s="850"/>
      <c r="H133" s="850"/>
      <c r="I133" s="850"/>
      <c r="J133" s="850"/>
      <c r="K133" s="850"/>
      <c r="L133" s="850"/>
      <c r="M133" s="850"/>
      <c r="N133" s="850"/>
      <c r="O133" s="850"/>
      <c r="P133" s="850"/>
      <c r="Q133" s="850"/>
      <c r="R133" s="850"/>
      <c r="S133" s="850"/>
    </row>
    <row r="134" spans="2:19">
      <c r="B134" s="1012" t="s">
        <v>661</v>
      </c>
      <c r="C134" s="857">
        <f>C132-C133</f>
        <v>-290480.1647887975</v>
      </c>
      <c r="D134" s="848"/>
      <c r="E134" s="850"/>
      <c r="F134" s="850"/>
      <c r="G134" s="850"/>
      <c r="H134" s="850"/>
      <c r="I134" s="850"/>
      <c r="J134" s="850"/>
      <c r="K134" s="850"/>
      <c r="L134" s="850"/>
      <c r="M134" s="850"/>
      <c r="N134" s="850"/>
      <c r="O134" s="850"/>
      <c r="P134" s="850"/>
      <c r="Q134" s="850"/>
      <c r="R134" s="850"/>
      <c r="S134" s="850"/>
    </row>
    <row r="136" spans="2:19">
      <c r="B136" s="850"/>
      <c r="C136" s="857"/>
      <c r="D136" s="850"/>
      <c r="E136" s="850"/>
      <c r="F136" s="850"/>
      <c r="G136" s="850"/>
      <c r="H136" s="850"/>
      <c r="I136" s="850"/>
      <c r="J136" s="850"/>
      <c r="K136" s="850"/>
      <c r="L136" s="850"/>
      <c r="M136" s="850"/>
      <c r="N136" s="850"/>
      <c r="O136" s="850"/>
      <c r="P136" s="850"/>
      <c r="Q136" s="850"/>
      <c r="R136" s="850"/>
      <c r="S136" s="850"/>
    </row>
    <row r="137" spans="2:19">
      <c r="B137" s="850"/>
      <c r="C137" s="857"/>
      <c r="D137" s="850"/>
      <c r="E137" s="850"/>
      <c r="F137" s="850"/>
      <c r="G137" s="850"/>
      <c r="H137" s="850"/>
      <c r="I137" s="850"/>
      <c r="J137" s="850"/>
      <c r="K137" s="850"/>
      <c r="L137" s="850"/>
      <c r="M137" s="850"/>
      <c r="N137" s="850"/>
      <c r="O137" s="850"/>
      <c r="P137" s="850"/>
      <c r="Q137" s="850"/>
      <c r="R137" s="850"/>
      <c r="S137" s="850"/>
    </row>
    <row r="138" spans="2:19">
      <c r="B138" s="922"/>
      <c r="C138" s="848"/>
      <c r="D138" s="848"/>
      <c r="E138" s="850"/>
      <c r="F138" s="850"/>
      <c r="G138" s="850"/>
      <c r="H138" s="850"/>
      <c r="I138" s="850"/>
      <c r="J138" s="850"/>
      <c r="K138" s="850"/>
      <c r="L138" s="850"/>
      <c r="M138" s="850"/>
      <c r="N138" s="850"/>
      <c r="O138" s="850"/>
      <c r="P138" s="850"/>
      <c r="Q138" s="850"/>
      <c r="R138" s="850"/>
      <c r="S138" s="850"/>
    </row>
    <row r="139" spans="2:19">
      <c r="B139" s="922"/>
      <c r="C139" s="848"/>
      <c r="D139" s="848"/>
      <c r="E139" s="850"/>
      <c r="F139" s="850"/>
      <c r="G139" s="850"/>
      <c r="H139" s="850"/>
      <c r="I139" s="850"/>
      <c r="J139" s="850"/>
      <c r="K139" s="850"/>
      <c r="L139" s="850"/>
      <c r="M139" s="850"/>
      <c r="N139" s="850"/>
      <c r="O139" s="850"/>
      <c r="P139" s="850"/>
      <c r="Q139" s="850"/>
      <c r="R139" s="850"/>
      <c r="S139" s="850"/>
    </row>
    <row r="141" spans="2:19">
      <c r="B141" s="850"/>
      <c r="C141" s="857"/>
      <c r="D141" s="857"/>
      <c r="E141" s="850"/>
      <c r="F141" s="850"/>
      <c r="G141" s="850"/>
      <c r="H141" s="850"/>
      <c r="I141" s="850"/>
      <c r="J141" s="850"/>
      <c r="K141" s="850"/>
      <c r="L141" s="850"/>
      <c r="M141" s="850"/>
      <c r="N141" s="850"/>
      <c r="O141" s="850"/>
      <c r="P141" s="850"/>
      <c r="Q141" s="850"/>
      <c r="R141" s="850"/>
      <c r="S141" s="850"/>
    </row>
  </sheetData>
  <pageMargins left="0.75" right="0.75" top="1" bottom="1" header="0.5" footer="0.5"/>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98CB1-AC55-4D78-B0CA-F859E823F5A5}">
  <sheetPr codeName="Sheet3">
    <tabColor rgb="FF002060"/>
  </sheetPr>
  <dimension ref="A1:J30"/>
  <sheetViews>
    <sheetView zoomScale="57" zoomScaleNormal="85" workbookViewId="0">
      <selection activeCell="G7" sqref="G7"/>
    </sheetView>
  </sheetViews>
  <sheetFormatPr defaultColWidth="9.140625" defaultRowHeight="12.75"/>
  <cols>
    <col min="1" max="1" width="9.140625" style="2"/>
    <col min="2" max="2" width="11.42578125" style="2" bestFit="1" customWidth="1"/>
    <col min="3" max="3" width="36.85546875" style="2" bestFit="1" customWidth="1"/>
    <col min="4" max="4" width="11.42578125" style="2" customWidth="1"/>
    <col min="5" max="5" width="30.85546875" style="2" bestFit="1" customWidth="1"/>
    <col min="6" max="6" width="17.42578125" style="2" bestFit="1" customWidth="1"/>
    <col min="7" max="7" width="18.42578125" style="2" bestFit="1" customWidth="1"/>
    <col min="8" max="9" width="9.140625" style="2"/>
    <col min="10" max="10" width="9.140625" style="2" customWidth="1"/>
    <col min="11" max="16384" width="9.140625" style="2"/>
  </cols>
  <sheetData>
    <row r="1" spans="1:10">
      <c r="A1" s="1" t="s">
        <v>0</v>
      </c>
      <c r="B1" s="850" t="s">
        <v>1</v>
      </c>
      <c r="C1" s="850"/>
      <c r="D1" s="850"/>
      <c r="E1" s="850"/>
      <c r="F1" s="1279">
        <v>45291</v>
      </c>
      <c r="G1" s="1279">
        <v>45657</v>
      </c>
      <c r="H1" s="850"/>
      <c r="I1" s="850"/>
      <c r="J1" s="850"/>
    </row>
    <row r="2" spans="1:10" ht="15.75" thickBot="1">
      <c r="A2" s="1" t="s">
        <v>2</v>
      </c>
      <c r="B2" s="852">
        <v>45657</v>
      </c>
      <c r="C2" s="852"/>
      <c r="D2" s="1532" t="s">
        <v>662</v>
      </c>
      <c r="E2" s="1533" t="s">
        <v>663</v>
      </c>
      <c r="F2" s="1533">
        <v>200653312191</v>
      </c>
      <c r="G2" s="1533">
        <f>ROUND(('A2.PL'!G6+'A2.PL'!G12)*2,0)</f>
        <v>391307550046</v>
      </c>
      <c r="H2" s="1534"/>
      <c r="I2" s="1276" t="s">
        <v>664</v>
      </c>
      <c r="J2" s="850"/>
    </row>
    <row r="3" spans="1:10" ht="15.75" thickTop="1">
      <c r="A3" s="3" t="s">
        <v>665</v>
      </c>
      <c r="B3" s="850"/>
      <c r="C3" s="850"/>
      <c r="D3" s="1278">
        <v>0.05</v>
      </c>
      <c r="E3" t="s">
        <v>666</v>
      </c>
      <c r="F3" s="1277">
        <f>D3*F2</f>
        <v>10032665609.550001</v>
      </c>
      <c r="G3" s="1277">
        <f>$D$3*G2</f>
        <v>19565377502.299999</v>
      </c>
      <c r="H3" s="1277">
        <f>'[13]2. PL'!M25</f>
        <v>0</v>
      </c>
      <c r="I3" s="258">
        <f>H3*10^6</f>
        <v>0</v>
      </c>
      <c r="J3" s="850"/>
    </row>
    <row r="4" spans="1:10" ht="15">
      <c r="A4" s="3"/>
      <c r="B4" s="850"/>
      <c r="C4" s="850"/>
      <c r="D4" s="1278">
        <v>0.5</v>
      </c>
      <c r="E4" t="s">
        <v>667</v>
      </c>
      <c r="F4" s="1277">
        <f>F3*$D$4</f>
        <v>5016332804.7750006</v>
      </c>
      <c r="G4" s="1277">
        <f>G3*$D$4</f>
        <v>9782688751.1499996</v>
      </c>
      <c r="H4" s="1277">
        <f>H3*D4</f>
        <v>0</v>
      </c>
      <c r="I4" s="258">
        <f>I3*D4</f>
        <v>0</v>
      </c>
      <c r="J4" s="850"/>
    </row>
    <row r="5" spans="1:10" ht="15">
      <c r="A5" s="850"/>
      <c r="B5" s="850"/>
      <c r="C5" s="850"/>
      <c r="D5" s="1278">
        <v>0.5</v>
      </c>
      <c r="E5" t="s">
        <v>668</v>
      </c>
      <c r="F5" s="1277">
        <f>F4*$D$4</f>
        <v>2508166402.3875003</v>
      </c>
      <c r="G5" s="1277">
        <f>G4*D5</f>
        <v>4891344375.5749998</v>
      </c>
      <c r="H5" s="1277">
        <f>H4*D5</f>
        <v>0</v>
      </c>
      <c r="I5" s="258">
        <f>I4*D5</f>
        <v>0</v>
      </c>
      <c r="J5" s="850"/>
    </row>
    <row r="6" spans="1:10" ht="15">
      <c r="A6" s="850"/>
      <c r="B6" s="850"/>
      <c r="C6" s="850"/>
      <c r="D6" s="1278">
        <v>0.05</v>
      </c>
      <c r="E6" t="s">
        <v>669</v>
      </c>
      <c r="F6" s="1277">
        <f>D6*F4</f>
        <v>250816640.23875004</v>
      </c>
      <c r="G6" s="1277">
        <f>D6*G4</f>
        <v>489134437.5575</v>
      </c>
      <c r="H6" s="1277">
        <f>H5*D6</f>
        <v>0</v>
      </c>
      <c r="I6" s="258">
        <f>I5*D6</f>
        <v>0</v>
      </c>
      <c r="J6" s="850"/>
    </row>
    <row r="7" spans="1:10">
      <c r="A7" s="850"/>
      <c r="B7" s="850"/>
      <c r="C7" s="850"/>
      <c r="D7" s="850"/>
      <c r="E7" s="19"/>
      <c r="F7" s="19"/>
      <c r="G7" s="1280"/>
      <c r="H7" s="19"/>
      <c r="I7" s="19"/>
      <c r="J7" s="850"/>
    </row>
    <row r="8" spans="1:10">
      <c r="A8" s="898"/>
      <c r="B8" s="898"/>
      <c r="C8" s="898"/>
      <c r="D8" s="139"/>
      <c r="E8" s="139"/>
      <c r="F8" s="139"/>
      <c r="G8" s="139"/>
      <c r="H8" s="139"/>
      <c r="I8" s="139"/>
      <c r="J8" s="850"/>
    </row>
    <row r="9" spans="1:10">
      <c r="A9" s="1535"/>
      <c r="B9" s="1536" t="s">
        <v>670</v>
      </c>
      <c r="C9" s="1536" t="s">
        <v>671</v>
      </c>
      <c r="D9" s="1537" t="s">
        <v>672</v>
      </c>
      <c r="E9" s="1537" t="s">
        <v>673</v>
      </c>
      <c r="F9" s="1537" t="s">
        <v>674</v>
      </c>
      <c r="G9" s="1537" t="s">
        <v>675</v>
      </c>
      <c r="H9" s="1537" t="s">
        <v>676</v>
      </c>
      <c r="I9" s="1537" t="s">
        <v>677</v>
      </c>
      <c r="J9" s="850"/>
    </row>
    <row r="10" spans="1:10">
      <c r="A10" s="1655" t="s">
        <v>678</v>
      </c>
      <c r="B10" s="1535" t="s">
        <v>679</v>
      </c>
      <c r="C10" s="1535" t="s">
        <v>680</v>
      </c>
      <c r="D10" s="1535"/>
      <c r="E10" s="1535"/>
      <c r="F10" s="1535"/>
      <c r="G10" s="1535"/>
      <c r="H10" s="1535"/>
      <c r="I10" s="1538" t="s">
        <v>681</v>
      </c>
      <c r="J10" s="850"/>
    </row>
    <row r="11" spans="1:10">
      <c r="A11" s="1655"/>
      <c r="B11" s="1535" t="s">
        <v>682</v>
      </c>
      <c r="C11" s="1535" t="s">
        <v>683</v>
      </c>
      <c r="D11" s="1535"/>
      <c r="E11" s="1538" t="s">
        <v>681</v>
      </c>
      <c r="F11" s="1535"/>
      <c r="G11" s="1535"/>
      <c r="H11" s="1535"/>
      <c r="I11" s="1535"/>
      <c r="J11" s="850"/>
    </row>
    <row r="12" spans="1:10">
      <c r="A12" s="1655"/>
      <c r="B12" s="1535" t="s">
        <v>684</v>
      </c>
      <c r="C12" s="1535" t="s">
        <v>685</v>
      </c>
      <c r="D12" s="1535"/>
      <c r="E12" s="1535"/>
      <c r="F12" s="1538" t="s">
        <v>681</v>
      </c>
      <c r="G12" s="1535"/>
      <c r="H12" s="1535"/>
      <c r="I12" s="1535"/>
      <c r="J12" s="850"/>
    </row>
    <row r="13" spans="1:10">
      <c r="A13" s="1655"/>
      <c r="B13" s="1535" t="s">
        <v>686</v>
      </c>
      <c r="C13" s="1535" t="s">
        <v>687</v>
      </c>
      <c r="D13" s="1535"/>
      <c r="E13" s="1535"/>
      <c r="F13" s="1535"/>
      <c r="G13" s="1538" t="s">
        <v>681</v>
      </c>
      <c r="H13" s="1535"/>
      <c r="I13" s="1535"/>
      <c r="J13" s="850"/>
    </row>
    <row r="14" spans="1:10">
      <c r="A14" s="1655"/>
      <c r="B14" s="1535" t="s">
        <v>688</v>
      </c>
      <c r="C14" s="1535" t="s">
        <v>689</v>
      </c>
      <c r="D14" s="1535"/>
      <c r="E14" s="1535"/>
      <c r="F14" s="1535"/>
      <c r="G14" s="1535"/>
      <c r="H14" s="1535"/>
      <c r="I14" s="1538" t="s">
        <v>681</v>
      </c>
      <c r="J14" s="850"/>
    </row>
    <row r="15" spans="1:10">
      <c r="A15" s="1655"/>
      <c r="B15" s="1535" t="s">
        <v>690</v>
      </c>
      <c r="C15" s="1535" t="s">
        <v>691</v>
      </c>
      <c r="D15" s="1535"/>
      <c r="E15" s="1535"/>
      <c r="F15" s="1535"/>
      <c r="G15" s="1535"/>
      <c r="H15" s="1535"/>
      <c r="I15" s="1538" t="s">
        <v>681</v>
      </c>
      <c r="J15" s="850" t="s">
        <v>692</v>
      </c>
    </row>
    <row r="16" spans="1:10">
      <c r="A16" s="1655"/>
      <c r="B16" s="1535" t="s">
        <v>693</v>
      </c>
      <c r="C16" s="1535" t="s">
        <v>694</v>
      </c>
      <c r="D16" s="1535"/>
      <c r="E16" s="1535"/>
      <c r="F16" s="1535"/>
      <c r="G16" s="1538" t="s">
        <v>681</v>
      </c>
      <c r="H16" s="1535"/>
      <c r="I16" s="1535"/>
      <c r="J16" s="850"/>
    </row>
    <row r="17" spans="1:10">
      <c r="A17" s="1655"/>
      <c r="B17" s="1535" t="s">
        <v>695</v>
      </c>
      <c r="C17" s="1535" t="s">
        <v>696</v>
      </c>
      <c r="D17" s="1535"/>
      <c r="E17" s="1535"/>
      <c r="F17" s="1538" t="s">
        <v>681</v>
      </c>
      <c r="G17" s="1535"/>
      <c r="H17" s="1535"/>
      <c r="I17" s="1535"/>
      <c r="J17" s="850"/>
    </row>
    <row r="18" spans="1:10">
      <c r="A18" s="1655"/>
      <c r="B18" s="1535" t="s">
        <v>697</v>
      </c>
      <c r="C18" s="1535" t="s">
        <v>698</v>
      </c>
      <c r="D18" s="1535"/>
      <c r="E18" s="1535"/>
      <c r="F18" s="1538" t="s">
        <v>681</v>
      </c>
      <c r="G18" s="1535"/>
      <c r="H18" s="1535"/>
      <c r="I18" s="1535"/>
      <c r="J18" s="850"/>
    </row>
    <row r="19" spans="1:10">
      <c r="A19" s="1655"/>
      <c r="B19" s="1535" t="s">
        <v>699</v>
      </c>
      <c r="C19" s="1535" t="s">
        <v>700</v>
      </c>
      <c r="D19" s="1535"/>
      <c r="E19" s="1535"/>
      <c r="F19" s="1538" t="s">
        <v>681</v>
      </c>
      <c r="G19" s="1535"/>
      <c r="H19" s="1535"/>
      <c r="I19" s="1535"/>
      <c r="J19" s="850"/>
    </row>
    <row r="20" spans="1:10">
      <c r="A20" s="1655"/>
      <c r="B20" s="1535" t="s">
        <v>701</v>
      </c>
      <c r="C20" s="1535" t="s">
        <v>702</v>
      </c>
      <c r="D20" s="1538" t="s">
        <v>681</v>
      </c>
      <c r="E20" s="1535"/>
      <c r="F20" s="1535"/>
      <c r="G20" s="1535"/>
      <c r="H20" s="1535"/>
      <c r="I20" s="1535"/>
      <c r="J20" s="850"/>
    </row>
    <row r="21" spans="1:10">
      <c r="A21" s="1655"/>
      <c r="B21" s="1535" t="s">
        <v>703</v>
      </c>
      <c r="C21" s="1535" t="s">
        <v>220</v>
      </c>
      <c r="D21" s="1535"/>
      <c r="E21" s="1535"/>
      <c r="F21" s="1535"/>
      <c r="G21" s="1538" t="s">
        <v>681</v>
      </c>
      <c r="H21" s="1535"/>
      <c r="I21" s="1535"/>
      <c r="J21" s="850"/>
    </row>
    <row r="22" spans="1:10">
      <c r="A22" s="1655"/>
      <c r="B22" s="1535" t="s">
        <v>704</v>
      </c>
      <c r="C22" s="1535" t="s">
        <v>304</v>
      </c>
      <c r="D22" s="1535"/>
      <c r="E22" s="1535"/>
      <c r="F22" s="1535"/>
      <c r="G22" s="1538" t="s">
        <v>681</v>
      </c>
      <c r="H22" s="1535"/>
      <c r="I22" s="1535"/>
      <c r="J22" s="850"/>
    </row>
    <row r="23" spans="1:10">
      <c r="A23" s="1655"/>
      <c r="B23" s="1535" t="s">
        <v>705</v>
      </c>
      <c r="C23" s="1535" t="s">
        <v>248</v>
      </c>
      <c r="D23" s="1535"/>
      <c r="E23" s="1535"/>
      <c r="F23" s="1535"/>
      <c r="G23" s="1535"/>
      <c r="H23" s="1535"/>
      <c r="I23" s="1535"/>
      <c r="J23" s="850"/>
    </row>
    <row r="24" spans="1:10">
      <c r="A24" s="1655"/>
      <c r="B24" s="1535" t="s">
        <v>706</v>
      </c>
      <c r="C24" s="1535" t="s">
        <v>707</v>
      </c>
      <c r="D24" s="1535"/>
      <c r="E24" s="1535"/>
      <c r="F24" s="1538" t="s">
        <v>681</v>
      </c>
      <c r="G24" s="1535"/>
      <c r="H24" s="1535"/>
      <c r="I24" s="1535"/>
      <c r="J24" s="850"/>
    </row>
    <row r="25" spans="1:10">
      <c r="A25" s="1655"/>
      <c r="B25" s="1535" t="s">
        <v>708</v>
      </c>
      <c r="C25" s="1535" t="s">
        <v>709</v>
      </c>
      <c r="D25" s="1535"/>
      <c r="E25" s="1538" t="s">
        <v>681</v>
      </c>
      <c r="F25" s="1535"/>
      <c r="G25" s="1535"/>
      <c r="H25" s="1535"/>
      <c r="I25" s="1535"/>
      <c r="J25" s="850"/>
    </row>
    <row r="26" spans="1:10">
      <c r="A26" s="1655"/>
      <c r="B26" s="1535" t="s">
        <v>710</v>
      </c>
      <c r="C26" s="1535" t="s">
        <v>334</v>
      </c>
      <c r="D26" s="1535"/>
      <c r="E26" s="1535"/>
      <c r="F26" s="1535"/>
      <c r="G26" s="1538" t="s">
        <v>681</v>
      </c>
      <c r="H26" s="1535"/>
      <c r="I26" s="1535"/>
      <c r="J26" s="850"/>
    </row>
    <row r="27" spans="1:10">
      <c r="A27" s="1655"/>
      <c r="B27" s="1535" t="s">
        <v>711</v>
      </c>
      <c r="C27" s="1535" t="s">
        <v>375</v>
      </c>
      <c r="D27" s="1535"/>
      <c r="E27" s="1535"/>
      <c r="F27" s="1535"/>
      <c r="G27" s="1535"/>
      <c r="H27" s="1535"/>
      <c r="I27" s="1538" t="s">
        <v>681</v>
      </c>
      <c r="J27" s="850"/>
    </row>
    <row r="28" spans="1:10">
      <c r="A28" s="1655"/>
      <c r="B28" s="1535" t="s">
        <v>712</v>
      </c>
      <c r="C28" s="1535" t="s">
        <v>713</v>
      </c>
      <c r="D28" s="1535"/>
      <c r="E28" s="1538" t="s">
        <v>681</v>
      </c>
      <c r="F28" s="1535"/>
      <c r="G28" s="1535"/>
      <c r="H28" s="1535"/>
      <c r="I28" s="1535"/>
      <c r="J28" s="850"/>
    </row>
    <row r="29" spans="1:10" s="33" customFormat="1" ht="38.25">
      <c r="A29" s="1655"/>
      <c r="B29" s="1539" t="s">
        <v>714</v>
      </c>
      <c r="C29" s="1539"/>
      <c r="D29" s="1539"/>
      <c r="E29" s="1540" t="s">
        <v>715</v>
      </c>
      <c r="F29" s="1540" t="s">
        <v>716</v>
      </c>
      <c r="G29" s="1541"/>
      <c r="H29" s="1539"/>
      <c r="I29" s="1541" t="s">
        <v>717</v>
      </c>
      <c r="J29" s="860"/>
    </row>
    <row r="30" spans="1:10">
      <c r="A30" s="1006"/>
      <c r="B30" s="1006"/>
      <c r="C30" s="1006"/>
      <c r="D30" s="1006"/>
      <c r="E30" s="1006"/>
      <c r="F30" s="1006"/>
      <c r="G30" s="1006"/>
      <c r="H30" s="1006"/>
      <c r="I30" s="1006"/>
      <c r="J30" s="850"/>
    </row>
  </sheetData>
  <mergeCells count="1">
    <mergeCell ref="A10:A2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79968-A6F3-43D9-85FF-0CDA3E325223}">
  <sheetPr codeName="Sheet26"/>
  <dimension ref="A5:X167"/>
  <sheetViews>
    <sheetView zoomScale="70" zoomScaleNormal="70" workbookViewId="0">
      <selection activeCell="G6" sqref="G6"/>
    </sheetView>
  </sheetViews>
  <sheetFormatPr defaultRowHeight="15"/>
  <cols>
    <col min="1" max="2" width="10.140625" bestFit="1" customWidth="1"/>
    <col min="3" max="3" width="11.5703125" bestFit="1" customWidth="1"/>
    <col min="8" max="9" width="16.5703125" bestFit="1" customWidth="1"/>
    <col min="14" max="14" width="17.140625" bestFit="1" customWidth="1"/>
    <col min="18" max="18" width="13.140625" bestFit="1" customWidth="1"/>
    <col min="19" max="19" width="15.140625" bestFit="1" customWidth="1"/>
    <col min="21" max="21" width="40.5703125" bestFit="1" customWidth="1"/>
    <col min="22" max="22" width="16" bestFit="1" customWidth="1"/>
  </cols>
  <sheetData>
    <row r="5" spans="1:24">
      <c r="N5" s="258">
        <f>SUBTOTAL(9,N7:N73)</f>
        <v>0</v>
      </c>
    </row>
    <row r="6" spans="1:24">
      <c r="A6" s="850" t="s">
        <v>449</v>
      </c>
      <c r="B6" s="850" t="s">
        <v>450</v>
      </c>
      <c r="C6" s="850" t="s">
        <v>451</v>
      </c>
      <c r="D6" s="850" t="s">
        <v>454</v>
      </c>
      <c r="E6" s="850" t="s">
        <v>455</v>
      </c>
      <c r="F6" s="850" t="s">
        <v>456</v>
      </c>
      <c r="G6" s="850" t="s">
        <v>457</v>
      </c>
      <c r="H6" s="850" t="s">
        <v>459</v>
      </c>
      <c r="I6" s="850" t="s">
        <v>460</v>
      </c>
      <c r="J6" s="850" t="s">
        <v>461</v>
      </c>
      <c r="K6" s="850" t="s">
        <v>462</v>
      </c>
      <c r="L6" s="850" t="s">
        <v>464</v>
      </c>
      <c r="M6" s="850" t="s">
        <v>466</v>
      </c>
      <c r="N6" s="850" t="s">
        <v>499</v>
      </c>
      <c r="R6" s="256" t="s">
        <v>469</v>
      </c>
      <c r="S6" t="s">
        <v>500</v>
      </c>
      <c r="X6" s="292" t="s">
        <v>718</v>
      </c>
    </row>
    <row r="7" spans="1:24">
      <c r="A7" s="619">
        <v>45322</v>
      </c>
      <c r="B7" s="619">
        <v>45322</v>
      </c>
      <c r="C7" s="620" t="s">
        <v>503</v>
      </c>
      <c r="D7" s="620" t="s">
        <v>719</v>
      </c>
      <c r="E7" s="620" t="s">
        <v>468</v>
      </c>
      <c r="F7" s="620" t="s">
        <v>446</v>
      </c>
      <c r="G7" s="620" t="s">
        <v>720</v>
      </c>
      <c r="H7" s="621">
        <v>0</v>
      </c>
      <c r="I7" s="621">
        <v>6498264255</v>
      </c>
      <c r="J7" s="620"/>
      <c r="K7" s="620"/>
      <c r="L7" s="620"/>
      <c r="M7" s="620" t="s">
        <v>488</v>
      </c>
      <c r="N7" s="848">
        <f>H7-I7</f>
        <v>-6498264255</v>
      </c>
      <c r="R7" s="257" t="s">
        <v>217</v>
      </c>
      <c r="S7" s="258">
        <v>408740169</v>
      </c>
      <c r="T7" t="s">
        <v>217</v>
      </c>
      <c r="U7" t="str">
        <f>_xlfn.XLOOKUP(T7,'TB.Cty Con.FY24'!A:A,'TB.Cty Con.FY24'!B:B)</f>
        <v>Lợi nhuận sau thuế chưa phân phối năm nay</v>
      </c>
      <c r="V7" s="255">
        <v>-34651030</v>
      </c>
      <c r="W7" t="str">
        <f>_xlfn.XLOOKUP(T7,'A0.LS'!E:E,'A0.LS'!E:E)</f>
        <v>4212</v>
      </c>
      <c r="X7" t="s">
        <v>217</v>
      </c>
    </row>
    <row r="8" spans="1:24">
      <c r="A8" s="619">
        <v>45322</v>
      </c>
      <c r="B8" s="619">
        <v>45322</v>
      </c>
      <c r="C8" s="620" t="s">
        <v>503</v>
      </c>
      <c r="D8" s="620" t="s">
        <v>719</v>
      </c>
      <c r="E8" s="620" t="s">
        <v>472</v>
      </c>
      <c r="F8" s="620" t="s">
        <v>446</v>
      </c>
      <c r="G8" s="620">
        <v>5151</v>
      </c>
      <c r="H8" s="621">
        <v>0</v>
      </c>
      <c r="I8" s="621">
        <v>373193</v>
      </c>
      <c r="J8" s="620"/>
      <c r="K8" s="620"/>
      <c r="L8" s="620"/>
      <c r="M8" s="620" t="s">
        <v>488</v>
      </c>
      <c r="N8" s="848">
        <f t="shared" ref="N8:N71" si="0">H8-I8</f>
        <v>-373193</v>
      </c>
      <c r="R8" s="257" t="s">
        <v>720</v>
      </c>
      <c r="S8" s="258">
        <v>-40602301947</v>
      </c>
      <c r="T8" t="s">
        <v>720</v>
      </c>
      <c r="U8" t="str">
        <f>_xlfn.XLOOKUP(T8,'TB.Cty Con.FY24'!A:A,'TB.Cty Con.FY24'!B:B)</f>
        <v>Doanh thu bán hàng hóa</v>
      </c>
      <c r="V8" s="255">
        <v>-42377669111</v>
      </c>
      <c r="W8" t="str">
        <f>_xlfn.XLOOKUP(T8,'A0.LS'!E:E,'A0.LS'!E:E)</f>
        <v>5111</v>
      </c>
      <c r="X8" t="s">
        <v>720</v>
      </c>
    </row>
    <row r="9" spans="1:24">
      <c r="A9" s="619">
        <v>45322</v>
      </c>
      <c r="B9" s="619">
        <v>45322</v>
      </c>
      <c r="C9" s="620" t="s">
        <v>503</v>
      </c>
      <c r="D9" s="620" t="s">
        <v>719</v>
      </c>
      <c r="E9" s="620" t="s">
        <v>473</v>
      </c>
      <c r="F9" s="620" t="s">
        <v>446</v>
      </c>
      <c r="G9" s="620" t="s">
        <v>303</v>
      </c>
      <c r="H9" s="621">
        <v>6358361554</v>
      </c>
      <c r="I9" s="621">
        <v>0</v>
      </c>
      <c r="J9" s="620"/>
      <c r="K9" s="620"/>
      <c r="L9" s="620"/>
      <c r="M9" s="620" t="s">
        <v>488</v>
      </c>
      <c r="N9" s="848">
        <f t="shared" si="0"/>
        <v>6358361554</v>
      </c>
      <c r="R9" s="257" t="s">
        <v>247</v>
      </c>
      <c r="S9" s="258">
        <v>-97909889</v>
      </c>
      <c r="T9" t="s">
        <v>247</v>
      </c>
      <c r="U9" t="str">
        <f>_xlfn.XLOOKUP(T9,'TB.Cty Con.FY24'!A:A,'TB.Cty Con.FY24'!B:B)</f>
        <v>Doanh thu hoạt động tài chính</v>
      </c>
      <c r="V9" s="255">
        <v>-298917681</v>
      </c>
      <c r="W9" t="e">
        <f>_xlfn.XLOOKUP(T9,'A0.LS'!E:E,'A0.LS'!E:E)</f>
        <v>#N/A</v>
      </c>
      <c r="X9" s="233" t="s">
        <v>249</v>
      </c>
    </row>
    <row r="10" spans="1:24">
      <c r="A10" s="619">
        <v>45322</v>
      </c>
      <c r="B10" s="619">
        <v>45322</v>
      </c>
      <c r="C10" s="620" t="s">
        <v>503</v>
      </c>
      <c r="D10" s="620" t="s">
        <v>719</v>
      </c>
      <c r="E10" s="620" t="s">
        <v>475</v>
      </c>
      <c r="F10" s="620" t="s">
        <v>446</v>
      </c>
      <c r="G10" s="620" t="s">
        <v>369</v>
      </c>
      <c r="H10" s="621">
        <v>4125000</v>
      </c>
      <c r="I10" s="621">
        <v>0</v>
      </c>
      <c r="J10" s="620"/>
      <c r="K10" s="620"/>
      <c r="L10" s="620"/>
      <c r="M10" s="620" t="s">
        <v>488</v>
      </c>
      <c r="N10" s="848">
        <f t="shared" si="0"/>
        <v>4125000</v>
      </c>
      <c r="R10" s="257" t="s">
        <v>303</v>
      </c>
      <c r="S10" s="258">
        <v>39720549947</v>
      </c>
      <c r="T10" t="s">
        <v>303</v>
      </c>
      <c r="U10" t="str">
        <f>_xlfn.XLOOKUP(T10,'TB.Cty Con.FY24'!A:A,'TB.Cty Con.FY24'!B:B)</f>
        <v>Giá vốn hàng bán</v>
      </c>
      <c r="V10" s="255">
        <v>41399531070</v>
      </c>
      <c r="W10" t="str">
        <f>_xlfn.XLOOKUP(T10,'A0.LS'!E:E,'A0.LS'!E:E)</f>
        <v>632</v>
      </c>
      <c r="X10" t="s">
        <v>303</v>
      </c>
    </row>
    <row r="11" spans="1:24">
      <c r="A11" s="619">
        <v>45322</v>
      </c>
      <c r="B11" s="619">
        <v>45322</v>
      </c>
      <c r="C11" s="620" t="s">
        <v>503</v>
      </c>
      <c r="D11" s="620" t="s">
        <v>719</v>
      </c>
      <c r="E11" s="620" t="s">
        <v>476</v>
      </c>
      <c r="F11" s="620" t="s">
        <v>446</v>
      </c>
      <c r="G11" s="620" t="s">
        <v>721</v>
      </c>
      <c r="H11" s="621">
        <v>18871369</v>
      </c>
      <c r="I11" s="621">
        <v>0</v>
      </c>
      <c r="J11" s="620"/>
      <c r="K11" s="620"/>
      <c r="L11" s="620"/>
      <c r="M11" s="620" t="s">
        <v>488</v>
      </c>
      <c r="N11" s="848">
        <f t="shared" si="0"/>
        <v>18871369</v>
      </c>
      <c r="R11" s="257" t="s">
        <v>369</v>
      </c>
      <c r="S11" s="258">
        <v>34705000</v>
      </c>
      <c r="T11" t="s">
        <v>305</v>
      </c>
      <c r="U11" t="e">
        <f>_xlfn.XLOOKUP(T11,'TB.Cty Con.FY24'!A:A,'TB.Cty Con.FY24'!B:B)</f>
        <v>#N/A</v>
      </c>
      <c r="V11" s="255">
        <v>131507</v>
      </c>
      <c r="W11" t="str">
        <f>_xlfn.XLOOKUP(T11,'A0.LS'!E:E,'A0.LS'!E:E)</f>
        <v>635</v>
      </c>
      <c r="X11" t="s">
        <v>305</v>
      </c>
    </row>
    <row r="12" spans="1:24">
      <c r="A12" s="619">
        <v>45322</v>
      </c>
      <c r="B12" s="619">
        <v>45322</v>
      </c>
      <c r="C12" s="620" t="s">
        <v>503</v>
      </c>
      <c r="D12" s="620" t="s">
        <v>719</v>
      </c>
      <c r="E12" s="620" t="s">
        <v>476</v>
      </c>
      <c r="F12" s="620" t="s">
        <v>446</v>
      </c>
      <c r="G12" s="620" t="s">
        <v>722</v>
      </c>
      <c r="H12" s="621">
        <v>1435000</v>
      </c>
      <c r="I12" s="621">
        <v>0</v>
      </c>
      <c r="J12" s="620"/>
      <c r="K12" s="620"/>
      <c r="L12" s="620"/>
      <c r="M12" s="620" t="s">
        <v>488</v>
      </c>
      <c r="N12" s="848">
        <f t="shared" si="0"/>
        <v>1435000</v>
      </c>
      <c r="R12" s="257" t="s">
        <v>721</v>
      </c>
      <c r="S12" s="258">
        <v>247421326</v>
      </c>
      <c r="T12" t="s">
        <v>348</v>
      </c>
      <c r="U12" t="e">
        <f>_xlfn.XLOOKUP(T12,'TB.Cty Con.FY24'!A:A,'TB.Cty Con.FY24'!B:B)</f>
        <v>#N/A</v>
      </c>
      <c r="V12" s="255">
        <v>4020000</v>
      </c>
      <c r="W12" t="str">
        <f>_xlfn.XLOOKUP(T12,'A0.LS'!E:E,'A0.LS'!E:E)</f>
        <v>6417.02</v>
      </c>
      <c r="X12" t="s">
        <v>348</v>
      </c>
    </row>
    <row r="13" spans="1:24">
      <c r="A13" s="619">
        <v>45322</v>
      </c>
      <c r="B13" s="619">
        <v>45322</v>
      </c>
      <c r="C13" s="620" t="s">
        <v>503</v>
      </c>
      <c r="D13" s="620" t="s">
        <v>719</v>
      </c>
      <c r="E13" s="620" t="s">
        <v>476</v>
      </c>
      <c r="F13" s="620" t="s">
        <v>446</v>
      </c>
      <c r="G13" s="620" t="s">
        <v>384</v>
      </c>
      <c r="H13" s="621">
        <v>3000000</v>
      </c>
      <c r="I13" s="621">
        <v>0</v>
      </c>
      <c r="J13" s="620"/>
      <c r="K13" s="620"/>
      <c r="L13" s="620"/>
      <c r="M13" s="620" t="s">
        <v>488</v>
      </c>
      <c r="N13" s="848">
        <f t="shared" si="0"/>
        <v>3000000</v>
      </c>
      <c r="R13" s="257" t="s">
        <v>722</v>
      </c>
      <c r="S13" s="258">
        <v>17220000</v>
      </c>
      <c r="T13" t="s">
        <v>350</v>
      </c>
      <c r="U13" t="e">
        <f>_xlfn.XLOOKUP(T13,'TB.Cty Con.FY24'!A:A,'TB.Cty Con.FY24'!B:B)</f>
        <v>#N/A</v>
      </c>
      <c r="V13" s="255">
        <v>0</v>
      </c>
      <c r="W13" t="str">
        <f>_xlfn.XLOOKUP(T13,'A0.LS'!E:E,'A0.LS'!E:E)</f>
        <v>6417.03</v>
      </c>
      <c r="X13" t="s">
        <v>350</v>
      </c>
    </row>
    <row r="14" spans="1:24">
      <c r="A14" s="619">
        <v>45322</v>
      </c>
      <c r="B14" s="619">
        <v>45322</v>
      </c>
      <c r="C14" s="620" t="s">
        <v>503</v>
      </c>
      <c r="D14" s="620" t="s">
        <v>719</v>
      </c>
      <c r="E14" s="620" t="s">
        <v>476</v>
      </c>
      <c r="F14" s="620" t="s">
        <v>446</v>
      </c>
      <c r="G14" s="620" t="s">
        <v>387</v>
      </c>
      <c r="H14" s="621">
        <v>308000</v>
      </c>
      <c r="I14" s="621">
        <v>0</v>
      </c>
      <c r="J14" s="620"/>
      <c r="K14" s="620"/>
      <c r="L14" s="620"/>
      <c r="M14" s="620" t="s">
        <v>488</v>
      </c>
      <c r="N14" s="848">
        <f t="shared" si="0"/>
        <v>308000</v>
      </c>
      <c r="R14" s="257" t="s">
        <v>384</v>
      </c>
      <c r="S14" s="258">
        <v>3000000</v>
      </c>
      <c r="T14" t="s">
        <v>369</v>
      </c>
      <c r="U14" t="str">
        <f>_xlfn.XLOOKUP(T14,'TB.Cty Con.FY24'!A:A,'TB.Cty Con.FY24'!B:B)</f>
        <v>Chi phí bằng tiền khác</v>
      </c>
      <c r="V14" s="255">
        <v>49500000</v>
      </c>
      <c r="W14" t="str">
        <f>_xlfn.XLOOKUP(T14,'A0.LS'!E:E,'A0.LS'!E:E)</f>
        <v>6418</v>
      </c>
      <c r="X14" s="233" t="s">
        <v>723</v>
      </c>
    </row>
    <row r="15" spans="1:24">
      <c r="A15" s="619">
        <v>45322</v>
      </c>
      <c r="B15" s="619">
        <v>45322</v>
      </c>
      <c r="C15" s="620" t="s">
        <v>503</v>
      </c>
      <c r="D15" s="620" t="s">
        <v>719</v>
      </c>
      <c r="E15" s="620" t="s">
        <v>476</v>
      </c>
      <c r="F15" s="620" t="s">
        <v>446</v>
      </c>
      <c r="G15" s="620" t="s">
        <v>395</v>
      </c>
      <c r="H15" s="621">
        <v>13037261</v>
      </c>
      <c r="I15" s="621">
        <v>0</v>
      </c>
      <c r="J15" s="620"/>
      <c r="K15" s="620"/>
      <c r="L15" s="620"/>
      <c r="M15" s="620" t="s">
        <v>488</v>
      </c>
      <c r="N15" s="848">
        <f t="shared" si="0"/>
        <v>13037261</v>
      </c>
      <c r="R15" s="257" t="s">
        <v>387</v>
      </c>
      <c r="S15" s="258">
        <v>2708134</v>
      </c>
      <c r="T15" t="s">
        <v>721</v>
      </c>
      <c r="U15" t="str">
        <f>_xlfn.XLOOKUP(T15,'TB.Cty Con.FY24'!A:A,'TB.Cty Con.FY24'!B:B)</f>
        <v>Chi phí lương thưởng</v>
      </c>
      <c r="V15" s="255">
        <v>297414190</v>
      </c>
      <c r="W15" t="str">
        <f>_xlfn.XLOOKUP(T15,'A0.LS'!E:E,'A0.LS'!E:E)</f>
        <v>6421.01</v>
      </c>
      <c r="X15" t="s">
        <v>721</v>
      </c>
    </row>
    <row r="16" spans="1:24">
      <c r="A16" s="619">
        <v>45322</v>
      </c>
      <c r="B16" s="619">
        <v>45322</v>
      </c>
      <c r="C16" s="620" t="s">
        <v>503</v>
      </c>
      <c r="D16" s="620" t="s">
        <v>719</v>
      </c>
      <c r="E16" s="620" t="s">
        <v>476</v>
      </c>
      <c r="F16" s="620" t="s">
        <v>446</v>
      </c>
      <c r="G16" s="620" t="s">
        <v>397</v>
      </c>
      <c r="H16" s="621">
        <v>2721597</v>
      </c>
      <c r="I16" s="621">
        <v>0</v>
      </c>
      <c r="J16" s="620"/>
      <c r="K16" s="620"/>
      <c r="L16" s="620"/>
      <c r="M16" s="620" t="s">
        <v>488</v>
      </c>
      <c r="N16" s="848">
        <f t="shared" si="0"/>
        <v>2721597</v>
      </c>
      <c r="R16" s="257" t="s">
        <v>389</v>
      </c>
      <c r="S16" s="258">
        <v>80873761</v>
      </c>
      <c r="T16" t="s">
        <v>722</v>
      </c>
      <c r="U16" t="str">
        <f>_xlfn.XLOOKUP(T16,'TB.Cty Con.FY24'!A:A,'TB.Cty Con.FY24'!B:B)</f>
        <v>Các khoản trích nộp bảo hiểm</v>
      </c>
      <c r="V16" s="255">
        <v>22171000</v>
      </c>
      <c r="W16" t="str">
        <f>_xlfn.XLOOKUP(T16,'A0.LS'!E:E,'A0.LS'!E:E)</f>
        <v>6421.02</v>
      </c>
      <c r="X16" t="s">
        <v>722</v>
      </c>
    </row>
    <row r="17" spans="1:24">
      <c r="A17" s="619">
        <v>45322</v>
      </c>
      <c r="B17" s="619">
        <v>45322</v>
      </c>
      <c r="C17" s="620" t="s">
        <v>503</v>
      </c>
      <c r="D17" s="620" t="s">
        <v>719</v>
      </c>
      <c r="E17" s="620" t="s">
        <v>479</v>
      </c>
      <c r="F17" s="620" t="s">
        <v>446</v>
      </c>
      <c r="G17" s="620" t="s">
        <v>217</v>
      </c>
      <c r="H17" s="621">
        <v>96777667</v>
      </c>
      <c r="I17" s="621">
        <v>0</v>
      </c>
      <c r="J17" s="620"/>
      <c r="K17" s="620"/>
      <c r="L17" s="620"/>
      <c r="M17" s="620" t="s">
        <v>488</v>
      </c>
      <c r="N17" s="848">
        <f t="shared" si="0"/>
        <v>96777667</v>
      </c>
      <c r="R17" s="257" t="s">
        <v>395</v>
      </c>
      <c r="S17" s="258">
        <v>141053202</v>
      </c>
      <c r="T17" t="s">
        <v>724</v>
      </c>
      <c r="U17" t="e">
        <f>_xlfn.XLOOKUP(T17,'TB.Cty Con.FY24'!A:A,'TB.Cty Con.FY24'!B:B)</f>
        <v>#N/A</v>
      </c>
      <c r="V17" s="255">
        <v>300000</v>
      </c>
      <c r="W17" t="str">
        <f>_xlfn.XLOOKUP(T17,'A0.LS'!E:E,'A0.LS'!E:E)</f>
        <v>6421.03</v>
      </c>
      <c r="X17" t="s">
        <v>724</v>
      </c>
    </row>
    <row r="18" spans="1:24">
      <c r="A18" s="619">
        <v>45351</v>
      </c>
      <c r="B18" s="619">
        <v>45351</v>
      </c>
      <c r="C18" s="620" t="s">
        <v>504</v>
      </c>
      <c r="D18" s="620" t="s">
        <v>725</v>
      </c>
      <c r="E18" s="620" t="s">
        <v>468</v>
      </c>
      <c r="F18" s="620" t="s">
        <v>446</v>
      </c>
      <c r="G18" s="620" t="s">
        <v>720</v>
      </c>
      <c r="H18" s="621">
        <v>0</v>
      </c>
      <c r="I18" s="621">
        <v>4248545679</v>
      </c>
      <c r="J18" s="620"/>
      <c r="K18" s="620"/>
      <c r="L18" s="620"/>
      <c r="M18" s="620" t="s">
        <v>488</v>
      </c>
      <c r="N18" s="848">
        <f t="shared" si="0"/>
        <v>-4248545679</v>
      </c>
      <c r="R18" s="257" t="s">
        <v>397</v>
      </c>
      <c r="S18" s="258">
        <v>26570675</v>
      </c>
      <c r="T18" t="s">
        <v>381</v>
      </c>
      <c r="U18" t="e">
        <f>_xlfn.XLOOKUP(T18,'TB.Cty Con.FY24'!A:A,'TB.Cty Con.FY24'!B:B)</f>
        <v>#N/A</v>
      </c>
      <c r="V18" s="255">
        <v>7728305</v>
      </c>
      <c r="W18" t="str">
        <f>_xlfn.XLOOKUP(T18,'A0.LS'!E:E,'A0.LS'!E:E)</f>
        <v>6423</v>
      </c>
      <c r="X18" t="s">
        <v>381</v>
      </c>
    </row>
    <row r="19" spans="1:24">
      <c r="A19" s="619">
        <v>45351</v>
      </c>
      <c r="B19" s="619">
        <v>45351</v>
      </c>
      <c r="C19" s="620" t="s">
        <v>504</v>
      </c>
      <c r="D19" s="620" t="s">
        <v>725</v>
      </c>
      <c r="E19" s="620" t="s">
        <v>472</v>
      </c>
      <c r="F19" s="620" t="s">
        <v>446</v>
      </c>
      <c r="G19" s="620">
        <v>5151</v>
      </c>
      <c r="H19" s="621">
        <v>0</v>
      </c>
      <c r="I19" s="621">
        <v>11738859</v>
      </c>
      <c r="J19" s="620"/>
      <c r="K19" s="620"/>
      <c r="L19" s="620"/>
      <c r="M19" s="620" t="s">
        <v>488</v>
      </c>
      <c r="N19" s="848">
        <f t="shared" si="0"/>
        <v>-11738859</v>
      </c>
      <c r="R19" s="257" t="s">
        <v>444</v>
      </c>
      <c r="S19" s="258">
        <v>17369622</v>
      </c>
      <c r="T19" t="s">
        <v>384</v>
      </c>
      <c r="U19" t="str">
        <f>_xlfn.XLOOKUP(T19,'TB.Cty Con.FY24'!A:A,'TB.Cty Con.FY24'!B:B)</f>
        <v>Thuế, phí và lệ phí</v>
      </c>
      <c r="V19" s="255">
        <v>3000000</v>
      </c>
      <c r="W19" t="str">
        <f>_xlfn.XLOOKUP(T19,'A0.LS'!E:E,'A0.LS'!E:E)</f>
        <v>6425</v>
      </c>
      <c r="X19" t="s">
        <v>384</v>
      </c>
    </row>
    <row r="20" spans="1:24">
      <c r="A20" s="619">
        <v>45351</v>
      </c>
      <c r="B20" s="619">
        <v>45351</v>
      </c>
      <c r="C20" s="620" t="s">
        <v>504</v>
      </c>
      <c r="D20" s="620" t="s">
        <v>725</v>
      </c>
      <c r="E20" s="620" t="s">
        <v>473</v>
      </c>
      <c r="F20" s="620" t="s">
        <v>446</v>
      </c>
      <c r="G20" s="620" t="s">
        <v>303</v>
      </c>
      <c r="H20" s="621">
        <v>4117504911</v>
      </c>
      <c r="I20" s="621">
        <v>0</v>
      </c>
      <c r="J20" s="620"/>
      <c r="K20" s="620"/>
      <c r="L20" s="620"/>
      <c r="M20" s="620" t="s">
        <v>488</v>
      </c>
      <c r="N20" s="848">
        <f t="shared" si="0"/>
        <v>4117504911</v>
      </c>
      <c r="R20" s="257" t="s">
        <v>726</v>
      </c>
      <c r="S20" s="258"/>
      <c r="T20" t="s">
        <v>387</v>
      </c>
      <c r="U20" t="str">
        <f>_xlfn.XLOOKUP(T20,'TB.Cty Con.FY24'!A:A,'TB.Cty Con.FY24'!B:B)</f>
        <v>Phí ngân hàng</v>
      </c>
      <c r="V20" s="255">
        <v>4473124</v>
      </c>
      <c r="W20" t="str">
        <f>_xlfn.XLOOKUP(T20,'A0.LS'!E:E,'A0.LS'!E:E)</f>
        <v>6427.01</v>
      </c>
      <c r="X20" t="s">
        <v>387</v>
      </c>
    </row>
    <row r="21" spans="1:24">
      <c r="A21" s="619">
        <v>45351</v>
      </c>
      <c r="B21" s="619">
        <v>45351</v>
      </c>
      <c r="C21" s="620" t="s">
        <v>504</v>
      </c>
      <c r="D21" s="620" t="s">
        <v>725</v>
      </c>
      <c r="E21" s="620" t="s">
        <v>475</v>
      </c>
      <c r="F21" s="620" t="s">
        <v>446</v>
      </c>
      <c r="G21" s="620" t="s">
        <v>369</v>
      </c>
      <c r="H21" s="621">
        <v>4125000</v>
      </c>
      <c r="I21" s="621">
        <v>0</v>
      </c>
      <c r="J21" s="620"/>
      <c r="K21" s="620"/>
      <c r="L21" s="620"/>
      <c r="M21" s="620" t="s">
        <v>488</v>
      </c>
      <c r="N21" s="848">
        <f t="shared" si="0"/>
        <v>4125000</v>
      </c>
      <c r="R21" s="257" t="s">
        <v>481</v>
      </c>
      <c r="S21">
        <v>0</v>
      </c>
      <c r="T21" t="s">
        <v>389</v>
      </c>
      <c r="U21" t="str">
        <f>_xlfn.XLOOKUP(T21,'TB.Cty Con.FY24'!A:A,'TB.Cty Con.FY24'!B:B)</f>
        <v>Chi phí điện nước</v>
      </c>
      <c r="V21" s="255">
        <v>82206093</v>
      </c>
      <c r="W21" t="str">
        <f>_xlfn.XLOOKUP(T21,'A0.LS'!E:E,'A0.LS'!E:E)</f>
        <v>6427.02</v>
      </c>
      <c r="X21" t="s">
        <v>389</v>
      </c>
    </row>
    <row r="22" spans="1:24">
      <c r="A22" s="619">
        <v>45351</v>
      </c>
      <c r="B22" s="619">
        <v>45351</v>
      </c>
      <c r="C22" s="620" t="s">
        <v>504</v>
      </c>
      <c r="D22" s="620" t="s">
        <v>725</v>
      </c>
      <c r="E22" s="620" t="s">
        <v>476</v>
      </c>
      <c r="F22" s="620" t="s">
        <v>446</v>
      </c>
      <c r="G22" s="620" t="s">
        <v>721</v>
      </c>
      <c r="H22" s="621">
        <v>19333377</v>
      </c>
      <c r="I22" s="621">
        <v>0</v>
      </c>
      <c r="J22" s="620"/>
      <c r="K22" s="620"/>
      <c r="L22" s="620"/>
      <c r="M22" s="620" t="s">
        <v>488</v>
      </c>
      <c r="N22" s="848">
        <f t="shared" si="0"/>
        <v>19333377</v>
      </c>
      <c r="T22" t="s">
        <v>395</v>
      </c>
      <c r="U22" t="str">
        <f>_xlfn.XLOOKUP(T22,'TB.Cty Con.FY24'!A:A,'TB.Cty Con.FY24'!B:B)</f>
        <v>Chi phí thuê văn phòng</v>
      </c>
      <c r="V22" s="255">
        <v>666054925</v>
      </c>
      <c r="W22" t="str">
        <f>_xlfn.XLOOKUP(T22,'A0.LS'!E:E,'A0.LS'!E:E)</f>
        <v>6427.05</v>
      </c>
      <c r="X22" t="s">
        <v>395</v>
      </c>
    </row>
    <row r="23" spans="1:24">
      <c r="A23" s="619">
        <v>45351</v>
      </c>
      <c r="B23" s="619">
        <v>45351</v>
      </c>
      <c r="C23" s="620" t="s">
        <v>504</v>
      </c>
      <c r="D23" s="620" t="s">
        <v>725</v>
      </c>
      <c r="E23" s="620" t="s">
        <v>476</v>
      </c>
      <c r="F23" s="620" t="s">
        <v>446</v>
      </c>
      <c r="G23" s="620" t="s">
        <v>722</v>
      </c>
      <c r="H23" s="621">
        <v>1435000</v>
      </c>
      <c r="I23" s="621">
        <v>0</v>
      </c>
      <c r="J23" s="620"/>
      <c r="K23" s="620"/>
      <c r="L23" s="620"/>
      <c r="M23" s="620" t="s">
        <v>488</v>
      </c>
      <c r="N23" s="848">
        <f t="shared" si="0"/>
        <v>1435000</v>
      </c>
      <c r="T23" t="s">
        <v>397</v>
      </c>
      <c r="U23" t="str">
        <f>_xlfn.XLOOKUP(T23,'TB.Cty Con.FY24'!A:A,'TB.Cty Con.FY24'!B:B)</f>
        <v>Chi phí dịch vụ mua ngoài khác</v>
      </c>
      <c r="V23" s="255">
        <v>83439423</v>
      </c>
      <c r="W23" t="str">
        <f>_xlfn.XLOOKUP(T23,'A0.LS'!E:E,'A0.LS'!E:E)</f>
        <v>6427.06</v>
      </c>
      <c r="X23" t="s">
        <v>397</v>
      </c>
    </row>
    <row r="24" spans="1:24">
      <c r="A24" s="619">
        <v>45351</v>
      </c>
      <c r="B24" s="619">
        <v>45351</v>
      </c>
      <c r="C24" s="620" t="s">
        <v>504</v>
      </c>
      <c r="D24" s="620" t="s">
        <v>725</v>
      </c>
      <c r="E24" s="620" t="s">
        <v>476</v>
      </c>
      <c r="F24" s="620" t="s">
        <v>446</v>
      </c>
      <c r="G24" s="620" t="s">
        <v>387</v>
      </c>
      <c r="H24" s="621">
        <v>253000</v>
      </c>
      <c r="I24" s="621">
        <v>0</v>
      </c>
      <c r="J24" s="620"/>
      <c r="K24" s="620"/>
      <c r="L24" s="620"/>
      <c r="M24" s="620" t="s">
        <v>488</v>
      </c>
      <c r="N24" s="848">
        <f t="shared" si="0"/>
        <v>253000</v>
      </c>
      <c r="T24" t="s">
        <v>398</v>
      </c>
      <c r="U24" t="e">
        <f>_xlfn.XLOOKUP(T24,'TB.Cty Con.FY24'!A:A,'TB.Cty Con.FY24'!B:B)</f>
        <v>#N/A</v>
      </c>
      <c r="V24" s="255">
        <v>80157074</v>
      </c>
      <c r="W24" t="str">
        <f>_xlfn.XLOOKUP(T24,'A0.LS'!E:E,'A0.LS'!E:E)</f>
        <v>6427.07</v>
      </c>
      <c r="X24" t="s">
        <v>398</v>
      </c>
    </row>
    <row r="25" spans="1:24">
      <c r="A25" s="619">
        <v>45351</v>
      </c>
      <c r="B25" s="619">
        <v>45351</v>
      </c>
      <c r="C25" s="620" t="s">
        <v>504</v>
      </c>
      <c r="D25" s="620" t="s">
        <v>725</v>
      </c>
      <c r="E25" s="620" t="s">
        <v>476</v>
      </c>
      <c r="F25" s="620" t="s">
        <v>446</v>
      </c>
      <c r="G25" s="620" t="s">
        <v>389</v>
      </c>
      <c r="H25" s="621">
        <v>5558800</v>
      </c>
      <c r="I25" s="621">
        <v>0</v>
      </c>
      <c r="J25" s="620"/>
      <c r="K25" s="620"/>
      <c r="L25" s="620"/>
      <c r="M25" s="620" t="s">
        <v>488</v>
      </c>
      <c r="N25" s="848">
        <f t="shared" si="0"/>
        <v>5558800</v>
      </c>
      <c r="T25" t="s">
        <v>422</v>
      </c>
      <c r="U25" t="e">
        <f>_xlfn.XLOOKUP(T25,'TB.Cty Con.FY24'!A:A,'TB.Cty Con.FY24'!B:B)</f>
        <v>#N/A</v>
      </c>
      <c r="V25" s="255">
        <v>9000000</v>
      </c>
      <c r="W25" t="str">
        <f>_xlfn.XLOOKUP(T25,'A0.LS'!E:E,'A0.LS'!E:E)</f>
        <v>6427.20</v>
      </c>
      <c r="X25" t="s">
        <v>422</v>
      </c>
    </row>
    <row r="26" spans="1:24">
      <c r="A26" s="619">
        <v>45351</v>
      </c>
      <c r="B26" s="619">
        <v>45351</v>
      </c>
      <c r="C26" s="620" t="s">
        <v>504</v>
      </c>
      <c r="D26" s="620" t="s">
        <v>725</v>
      </c>
      <c r="E26" s="620" t="s">
        <v>476</v>
      </c>
      <c r="F26" s="620" t="s">
        <v>446</v>
      </c>
      <c r="G26" s="620" t="s">
        <v>395</v>
      </c>
      <c r="H26" s="621">
        <v>13037261</v>
      </c>
      <c r="I26" s="621">
        <v>0</v>
      </c>
      <c r="J26" s="620"/>
      <c r="K26" s="620"/>
      <c r="L26" s="620"/>
      <c r="M26" s="620" t="s">
        <v>488</v>
      </c>
      <c r="N26" s="848">
        <f t="shared" si="0"/>
        <v>13037261</v>
      </c>
      <c r="T26" t="s">
        <v>434</v>
      </c>
      <c r="U26" t="e">
        <f>_xlfn.XLOOKUP(T26,'TB.Cty Con.FY24'!A:A,'TB.Cty Con.FY24'!B:B)</f>
        <v>#N/A</v>
      </c>
      <c r="V26" s="255">
        <v>2111111</v>
      </c>
      <c r="W26" t="str">
        <f>_xlfn.XLOOKUP(T26,'A0.LS'!E:E,'A0.LS'!E:E)</f>
        <v>6428</v>
      </c>
      <c r="X26" t="s">
        <v>434</v>
      </c>
    </row>
    <row r="27" spans="1:24">
      <c r="A27" s="619">
        <v>45351</v>
      </c>
      <c r="B27" s="619">
        <v>45351</v>
      </c>
      <c r="C27" s="620" t="s">
        <v>504</v>
      </c>
      <c r="D27" s="620" t="s">
        <v>725</v>
      </c>
      <c r="E27" s="620" t="s">
        <v>476</v>
      </c>
      <c r="F27" s="620" t="s">
        <v>446</v>
      </c>
      <c r="G27" s="620" t="s">
        <v>397</v>
      </c>
      <c r="H27" s="621">
        <v>2721597</v>
      </c>
      <c r="I27" s="621">
        <v>0</v>
      </c>
      <c r="J27" s="620"/>
      <c r="K27" s="620"/>
      <c r="L27" s="620"/>
      <c r="M27" s="620" t="s">
        <v>488</v>
      </c>
      <c r="N27" s="848">
        <f t="shared" si="0"/>
        <v>2721597</v>
      </c>
    </row>
    <row r="28" spans="1:24">
      <c r="A28" s="619">
        <v>45351</v>
      </c>
      <c r="B28" s="619">
        <v>45351</v>
      </c>
      <c r="C28" s="620" t="s">
        <v>504</v>
      </c>
      <c r="D28" s="620" t="s">
        <v>725</v>
      </c>
      <c r="E28" s="620" t="s">
        <v>479</v>
      </c>
      <c r="F28" s="620" t="s">
        <v>446</v>
      </c>
      <c r="G28" s="620" t="s">
        <v>217</v>
      </c>
      <c r="H28" s="621">
        <v>96315592</v>
      </c>
      <c r="I28" s="621">
        <v>0</v>
      </c>
      <c r="J28" s="620"/>
      <c r="K28" s="620"/>
      <c r="L28" s="620"/>
      <c r="M28" s="620" t="s">
        <v>488</v>
      </c>
      <c r="N28" s="848">
        <f t="shared" si="0"/>
        <v>96315592</v>
      </c>
    </row>
    <row r="29" spans="1:24">
      <c r="A29" s="619">
        <v>45382</v>
      </c>
      <c r="B29" s="619">
        <v>45382</v>
      </c>
      <c r="C29" s="620" t="s">
        <v>507</v>
      </c>
      <c r="D29" s="620" t="s">
        <v>727</v>
      </c>
      <c r="E29" s="620" t="s">
        <v>468</v>
      </c>
      <c r="F29" s="620" t="s">
        <v>446</v>
      </c>
      <c r="G29" s="620" t="s">
        <v>720</v>
      </c>
      <c r="H29" s="621">
        <v>0</v>
      </c>
      <c r="I29" s="621">
        <v>5235583738</v>
      </c>
      <c r="J29" s="620"/>
      <c r="K29" s="620"/>
      <c r="L29" s="620"/>
      <c r="M29" s="620" t="s">
        <v>488</v>
      </c>
      <c r="N29" s="848">
        <f t="shared" si="0"/>
        <v>-5235583738</v>
      </c>
    </row>
    <row r="30" spans="1:24">
      <c r="A30" s="619">
        <v>45382</v>
      </c>
      <c r="B30" s="619">
        <v>45382</v>
      </c>
      <c r="C30" s="620" t="s">
        <v>507</v>
      </c>
      <c r="D30" s="620" t="s">
        <v>727</v>
      </c>
      <c r="E30" s="620" t="s">
        <v>472</v>
      </c>
      <c r="F30" s="620" t="s">
        <v>446</v>
      </c>
      <c r="G30" s="620">
        <v>5151</v>
      </c>
      <c r="H30" s="621">
        <v>0</v>
      </c>
      <c r="I30" s="621">
        <v>8346312</v>
      </c>
      <c r="J30" s="620"/>
      <c r="K30" s="620"/>
      <c r="L30" s="620"/>
      <c r="M30" s="620" t="s">
        <v>488</v>
      </c>
      <c r="N30" s="848">
        <f t="shared" si="0"/>
        <v>-8346312</v>
      </c>
    </row>
    <row r="31" spans="1:24">
      <c r="A31" s="619">
        <v>45382</v>
      </c>
      <c r="B31" s="619">
        <v>45382</v>
      </c>
      <c r="C31" s="620" t="s">
        <v>507</v>
      </c>
      <c r="D31" s="620" t="s">
        <v>727</v>
      </c>
      <c r="E31" s="620" t="s">
        <v>473</v>
      </c>
      <c r="F31" s="620" t="s">
        <v>446</v>
      </c>
      <c r="G31" s="620" t="s">
        <v>303</v>
      </c>
      <c r="H31" s="621">
        <v>5102590632</v>
      </c>
      <c r="I31" s="621">
        <v>0</v>
      </c>
      <c r="J31" s="620"/>
      <c r="K31" s="620"/>
      <c r="L31" s="620"/>
      <c r="M31" s="620" t="s">
        <v>488</v>
      </c>
      <c r="N31" s="848">
        <f t="shared" si="0"/>
        <v>5102590632</v>
      </c>
    </row>
    <row r="32" spans="1:24">
      <c r="A32" s="619">
        <v>45382</v>
      </c>
      <c r="B32" s="619">
        <v>45382</v>
      </c>
      <c r="C32" s="620" t="s">
        <v>507</v>
      </c>
      <c r="D32" s="620" t="s">
        <v>727</v>
      </c>
      <c r="E32" s="620" t="s">
        <v>475</v>
      </c>
      <c r="F32" s="620" t="s">
        <v>446</v>
      </c>
      <c r="G32" s="620" t="s">
        <v>369</v>
      </c>
      <c r="H32" s="621">
        <v>2145000</v>
      </c>
      <c r="I32" s="621">
        <v>0</v>
      </c>
      <c r="J32" s="620"/>
      <c r="K32" s="620"/>
      <c r="L32" s="620"/>
      <c r="M32" s="620" t="s">
        <v>488</v>
      </c>
      <c r="N32" s="848">
        <f t="shared" si="0"/>
        <v>2145000</v>
      </c>
    </row>
    <row r="33" spans="1:14">
      <c r="A33" s="619">
        <v>45382</v>
      </c>
      <c r="B33" s="619">
        <v>45382</v>
      </c>
      <c r="C33" s="620" t="s">
        <v>507</v>
      </c>
      <c r="D33" s="620" t="s">
        <v>727</v>
      </c>
      <c r="E33" s="620" t="s">
        <v>476</v>
      </c>
      <c r="F33" s="620" t="s">
        <v>446</v>
      </c>
      <c r="G33" s="620" t="s">
        <v>721</v>
      </c>
      <c r="H33" s="621">
        <v>18887131</v>
      </c>
      <c r="I33" s="621">
        <v>0</v>
      </c>
      <c r="J33" s="620"/>
      <c r="K33" s="620"/>
      <c r="L33" s="620"/>
      <c r="M33" s="620" t="s">
        <v>488</v>
      </c>
      <c r="N33" s="848">
        <f t="shared" si="0"/>
        <v>18887131</v>
      </c>
    </row>
    <row r="34" spans="1:14">
      <c r="A34" s="619">
        <v>45382</v>
      </c>
      <c r="B34" s="619">
        <v>45382</v>
      </c>
      <c r="C34" s="620" t="s">
        <v>507</v>
      </c>
      <c r="D34" s="620" t="s">
        <v>727</v>
      </c>
      <c r="E34" s="620" t="s">
        <v>476</v>
      </c>
      <c r="F34" s="620" t="s">
        <v>446</v>
      </c>
      <c r="G34" s="620" t="s">
        <v>722</v>
      </c>
      <c r="H34" s="621">
        <v>1435000</v>
      </c>
      <c r="I34" s="621">
        <v>0</v>
      </c>
      <c r="J34" s="620"/>
      <c r="K34" s="620"/>
      <c r="L34" s="620"/>
      <c r="M34" s="620" t="s">
        <v>488</v>
      </c>
      <c r="N34" s="848">
        <f t="shared" si="0"/>
        <v>1435000</v>
      </c>
    </row>
    <row r="35" spans="1:14">
      <c r="A35" s="619">
        <v>45382</v>
      </c>
      <c r="B35" s="619">
        <v>45382</v>
      </c>
      <c r="C35" s="620" t="s">
        <v>507</v>
      </c>
      <c r="D35" s="620" t="s">
        <v>727</v>
      </c>
      <c r="E35" s="620" t="s">
        <v>476</v>
      </c>
      <c r="F35" s="620" t="s">
        <v>446</v>
      </c>
      <c r="G35" s="620" t="s">
        <v>387</v>
      </c>
      <c r="H35" s="621">
        <v>583000</v>
      </c>
      <c r="I35" s="621">
        <v>0</v>
      </c>
      <c r="J35" s="620"/>
      <c r="K35" s="620"/>
      <c r="L35" s="620"/>
      <c r="M35" s="620" t="s">
        <v>488</v>
      </c>
      <c r="N35" s="848">
        <f t="shared" si="0"/>
        <v>583000</v>
      </c>
    </row>
    <row r="36" spans="1:14">
      <c r="A36" s="619">
        <v>45382</v>
      </c>
      <c r="B36" s="619">
        <v>45382</v>
      </c>
      <c r="C36" s="620" t="s">
        <v>507</v>
      </c>
      <c r="D36" s="620" t="s">
        <v>727</v>
      </c>
      <c r="E36" s="620" t="s">
        <v>476</v>
      </c>
      <c r="F36" s="620" t="s">
        <v>446</v>
      </c>
      <c r="G36" s="620" t="s">
        <v>389</v>
      </c>
      <c r="H36" s="621">
        <v>3120959</v>
      </c>
      <c r="I36" s="621">
        <v>0</v>
      </c>
      <c r="J36" s="620"/>
      <c r="K36" s="620"/>
      <c r="L36" s="620"/>
      <c r="M36" s="620" t="s">
        <v>488</v>
      </c>
      <c r="N36" s="848">
        <f>H36-I36</f>
        <v>3120959</v>
      </c>
    </row>
    <row r="37" spans="1:14">
      <c r="A37" s="619">
        <v>45382</v>
      </c>
      <c r="B37" s="619">
        <v>45382</v>
      </c>
      <c r="C37" s="620" t="s">
        <v>507</v>
      </c>
      <c r="D37" s="620" t="s">
        <v>727</v>
      </c>
      <c r="E37" s="620" t="s">
        <v>476</v>
      </c>
      <c r="F37" s="620" t="s">
        <v>446</v>
      </c>
      <c r="G37" s="620" t="s">
        <v>395</v>
      </c>
      <c r="H37" s="621">
        <v>13037261</v>
      </c>
      <c r="I37" s="621">
        <v>0</v>
      </c>
      <c r="J37" s="620"/>
      <c r="K37" s="620"/>
      <c r="L37" s="620"/>
      <c r="M37" s="620" t="s">
        <v>488</v>
      </c>
      <c r="N37" s="848">
        <f t="shared" si="0"/>
        <v>13037261</v>
      </c>
    </row>
    <row r="38" spans="1:14">
      <c r="A38" s="619">
        <v>45382</v>
      </c>
      <c r="B38" s="619">
        <v>45382</v>
      </c>
      <c r="C38" s="620" t="s">
        <v>507</v>
      </c>
      <c r="D38" s="620" t="s">
        <v>727</v>
      </c>
      <c r="E38" s="620" t="s">
        <v>476</v>
      </c>
      <c r="F38" s="620" t="s">
        <v>446</v>
      </c>
      <c r="G38" s="620" t="s">
        <v>397</v>
      </c>
      <c r="H38" s="621">
        <v>3864597</v>
      </c>
      <c r="I38" s="621">
        <v>0</v>
      </c>
      <c r="J38" s="620"/>
      <c r="K38" s="620"/>
      <c r="L38" s="620"/>
      <c r="M38" s="620" t="s">
        <v>488</v>
      </c>
      <c r="N38" s="848">
        <f t="shared" si="0"/>
        <v>3864597</v>
      </c>
    </row>
    <row r="39" spans="1:14">
      <c r="A39" s="619">
        <v>45382</v>
      </c>
      <c r="B39" s="619">
        <v>45382</v>
      </c>
      <c r="C39" s="620" t="s">
        <v>507</v>
      </c>
      <c r="D39" s="620" t="s">
        <v>727</v>
      </c>
      <c r="E39" s="620" t="s">
        <v>479</v>
      </c>
      <c r="F39" s="620" t="s">
        <v>446</v>
      </c>
      <c r="G39" s="620" t="s">
        <v>217</v>
      </c>
      <c r="H39" s="621">
        <v>98266470</v>
      </c>
      <c r="I39" s="621">
        <v>0</v>
      </c>
      <c r="J39" s="620"/>
      <c r="K39" s="620"/>
      <c r="L39" s="620"/>
      <c r="M39" s="620" t="s">
        <v>488</v>
      </c>
      <c r="N39" s="848">
        <f t="shared" si="0"/>
        <v>98266470</v>
      </c>
    </row>
    <row r="40" spans="1:14">
      <c r="A40" s="619">
        <v>45412</v>
      </c>
      <c r="B40" s="619">
        <v>45412</v>
      </c>
      <c r="C40" s="620" t="s">
        <v>508</v>
      </c>
      <c r="D40" s="620" t="s">
        <v>728</v>
      </c>
      <c r="E40" s="620" t="s">
        <v>468</v>
      </c>
      <c r="F40" s="620" t="s">
        <v>446</v>
      </c>
      <c r="G40" s="620" t="s">
        <v>720</v>
      </c>
      <c r="H40" s="621">
        <v>0</v>
      </c>
      <c r="I40" s="621">
        <v>5093577229</v>
      </c>
      <c r="J40" s="620"/>
      <c r="K40" s="620"/>
      <c r="L40" s="620"/>
      <c r="M40" s="620" t="s">
        <v>488</v>
      </c>
      <c r="N40" s="848">
        <f t="shared" si="0"/>
        <v>-5093577229</v>
      </c>
    </row>
    <row r="41" spans="1:14">
      <c r="A41" s="619">
        <v>45412</v>
      </c>
      <c r="B41" s="619">
        <v>45412</v>
      </c>
      <c r="C41" s="620" t="s">
        <v>508</v>
      </c>
      <c r="D41" s="620" t="s">
        <v>728</v>
      </c>
      <c r="E41" s="620" t="s">
        <v>472</v>
      </c>
      <c r="F41" s="620" t="s">
        <v>446</v>
      </c>
      <c r="G41" s="620">
        <v>5151</v>
      </c>
      <c r="H41" s="621">
        <v>0</v>
      </c>
      <c r="I41" s="621">
        <v>12099570</v>
      </c>
      <c r="J41" s="620"/>
      <c r="K41" s="620"/>
      <c r="L41" s="620"/>
      <c r="M41" s="620" t="s">
        <v>488</v>
      </c>
      <c r="N41" s="848">
        <f t="shared" si="0"/>
        <v>-12099570</v>
      </c>
    </row>
    <row r="42" spans="1:14">
      <c r="A42" s="619">
        <v>45412</v>
      </c>
      <c r="B42" s="619">
        <v>45412</v>
      </c>
      <c r="C42" s="620" t="s">
        <v>508</v>
      </c>
      <c r="D42" s="620" t="s">
        <v>728</v>
      </c>
      <c r="E42" s="620" t="s">
        <v>473</v>
      </c>
      <c r="F42" s="620" t="s">
        <v>446</v>
      </c>
      <c r="G42" s="620" t="s">
        <v>303</v>
      </c>
      <c r="H42" s="621">
        <v>4950761565</v>
      </c>
      <c r="I42" s="621">
        <v>0</v>
      </c>
      <c r="J42" s="620"/>
      <c r="K42" s="620"/>
      <c r="L42" s="620"/>
      <c r="M42" s="620" t="s">
        <v>488</v>
      </c>
      <c r="N42" s="848">
        <f t="shared" si="0"/>
        <v>4950761565</v>
      </c>
    </row>
    <row r="43" spans="1:14">
      <c r="A43" s="619">
        <v>45412</v>
      </c>
      <c r="B43" s="619">
        <v>45412</v>
      </c>
      <c r="C43" s="620" t="s">
        <v>508</v>
      </c>
      <c r="D43" s="620" t="s">
        <v>728</v>
      </c>
      <c r="E43" s="620" t="s">
        <v>475</v>
      </c>
      <c r="F43" s="620" t="s">
        <v>446</v>
      </c>
      <c r="G43" s="620" t="s">
        <v>369</v>
      </c>
      <c r="H43" s="621">
        <v>2145000</v>
      </c>
      <c r="I43" s="621">
        <v>0</v>
      </c>
      <c r="J43" s="620"/>
      <c r="K43" s="620"/>
      <c r="L43" s="620"/>
      <c r="M43" s="620" t="s">
        <v>488</v>
      </c>
      <c r="N43" s="848">
        <f t="shared" si="0"/>
        <v>2145000</v>
      </c>
    </row>
    <row r="44" spans="1:14">
      <c r="A44" s="619">
        <v>45412</v>
      </c>
      <c r="B44" s="619">
        <v>45412</v>
      </c>
      <c r="C44" s="620" t="s">
        <v>508</v>
      </c>
      <c r="D44" s="620" t="s">
        <v>728</v>
      </c>
      <c r="E44" s="620" t="s">
        <v>476</v>
      </c>
      <c r="F44" s="620" t="s">
        <v>446</v>
      </c>
      <c r="G44" s="620" t="s">
        <v>721</v>
      </c>
      <c r="H44" s="621">
        <v>19338932</v>
      </c>
      <c r="I44" s="621">
        <v>0</v>
      </c>
      <c r="J44" s="620"/>
      <c r="K44" s="620"/>
      <c r="L44" s="620"/>
      <c r="M44" s="620" t="s">
        <v>488</v>
      </c>
      <c r="N44" s="848">
        <f t="shared" si="0"/>
        <v>19338932</v>
      </c>
    </row>
    <row r="45" spans="1:14">
      <c r="A45" s="619">
        <v>45412</v>
      </c>
      <c r="B45" s="619">
        <v>45412</v>
      </c>
      <c r="C45" s="620" t="s">
        <v>508</v>
      </c>
      <c r="D45" s="620" t="s">
        <v>728</v>
      </c>
      <c r="E45" s="620" t="s">
        <v>476</v>
      </c>
      <c r="F45" s="620" t="s">
        <v>446</v>
      </c>
      <c r="G45" s="620" t="s">
        <v>722</v>
      </c>
      <c r="H45" s="621">
        <v>1435000</v>
      </c>
      <c r="I45" s="621">
        <v>0</v>
      </c>
      <c r="J45" s="620"/>
      <c r="K45" s="620"/>
      <c r="L45" s="620"/>
      <c r="M45" s="620" t="s">
        <v>488</v>
      </c>
      <c r="N45" s="848">
        <f t="shared" si="0"/>
        <v>1435000</v>
      </c>
    </row>
    <row r="46" spans="1:14">
      <c r="A46" s="619">
        <v>45412</v>
      </c>
      <c r="B46" s="619">
        <v>45412</v>
      </c>
      <c r="C46" s="620" t="s">
        <v>508</v>
      </c>
      <c r="D46" s="620" t="s">
        <v>728</v>
      </c>
      <c r="E46" s="620" t="s">
        <v>476</v>
      </c>
      <c r="F46" s="620" t="s">
        <v>446</v>
      </c>
      <c r="G46" s="620" t="s">
        <v>387</v>
      </c>
      <c r="H46" s="621">
        <v>264000</v>
      </c>
      <c r="I46" s="621">
        <v>0</v>
      </c>
      <c r="J46" s="620"/>
      <c r="K46" s="620"/>
      <c r="L46" s="620"/>
      <c r="M46" s="620" t="s">
        <v>488</v>
      </c>
      <c r="N46" s="848">
        <f t="shared" si="0"/>
        <v>264000</v>
      </c>
    </row>
    <row r="47" spans="1:14">
      <c r="A47" s="619">
        <v>45412</v>
      </c>
      <c r="B47" s="619">
        <v>45412</v>
      </c>
      <c r="C47" s="620" t="s">
        <v>508</v>
      </c>
      <c r="D47" s="620" t="s">
        <v>728</v>
      </c>
      <c r="E47" s="620" t="s">
        <v>476</v>
      </c>
      <c r="F47" s="620" t="s">
        <v>446</v>
      </c>
      <c r="G47" s="620" t="s">
        <v>389</v>
      </c>
      <c r="H47" s="621">
        <v>4247384</v>
      </c>
      <c r="I47" s="621">
        <v>0</v>
      </c>
      <c r="J47" s="620"/>
      <c r="K47" s="620"/>
      <c r="L47" s="620"/>
      <c r="M47" s="620" t="s">
        <v>488</v>
      </c>
      <c r="N47" s="848">
        <f t="shared" si="0"/>
        <v>4247384</v>
      </c>
    </row>
    <row r="48" spans="1:14">
      <c r="A48" s="619">
        <v>45412</v>
      </c>
      <c r="B48" s="619">
        <v>45412</v>
      </c>
      <c r="C48" s="620" t="s">
        <v>508</v>
      </c>
      <c r="D48" s="620" t="s">
        <v>728</v>
      </c>
      <c r="E48" s="620" t="s">
        <v>476</v>
      </c>
      <c r="F48" s="620" t="s">
        <v>446</v>
      </c>
      <c r="G48" s="620" t="s">
        <v>395</v>
      </c>
      <c r="H48" s="621">
        <v>10644400</v>
      </c>
      <c r="I48" s="621">
        <v>0</v>
      </c>
      <c r="J48" s="620"/>
      <c r="K48" s="620"/>
      <c r="L48" s="620"/>
      <c r="M48" s="620" t="s">
        <v>488</v>
      </c>
      <c r="N48" s="848">
        <f t="shared" si="0"/>
        <v>10644400</v>
      </c>
    </row>
    <row r="49" spans="1:14">
      <c r="A49" s="619">
        <v>45412</v>
      </c>
      <c r="B49" s="619">
        <v>45412</v>
      </c>
      <c r="C49" s="620" t="s">
        <v>508</v>
      </c>
      <c r="D49" s="620" t="s">
        <v>728</v>
      </c>
      <c r="E49" s="620" t="s">
        <v>476</v>
      </c>
      <c r="F49" s="620" t="s">
        <v>446</v>
      </c>
      <c r="G49" s="620" t="s">
        <v>397</v>
      </c>
      <c r="H49" s="621">
        <v>1381597</v>
      </c>
      <c r="I49" s="621">
        <v>0</v>
      </c>
      <c r="J49" s="620"/>
      <c r="K49" s="620"/>
      <c r="L49" s="620"/>
      <c r="M49" s="620" t="s">
        <v>488</v>
      </c>
      <c r="N49" s="848">
        <f t="shared" si="0"/>
        <v>1381597</v>
      </c>
    </row>
    <row r="50" spans="1:14">
      <c r="A50" s="619">
        <v>45412</v>
      </c>
      <c r="B50" s="619">
        <v>45412</v>
      </c>
      <c r="C50" s="620" t="s">
        <v>508</v>
      </c>
      <c r="D50" s="620" t="s">
        <v>728</v>
      </c>
      <c r="E50" s="620" t="s">
        <v>479</v>
      </c>
      <c r="F50" s="620" t="s">
        <v>446</v>
      </c>
      <c r="G50" s="620" t="s">
        <v>217</v>
      </c>
      <c r="H50" s="621">
        <v>115458921</v>
      </c>
      <c r="I50" s="621">
        <v>0</v>
      </c>
      <c r="J50" s="620"/>
      <c r="K50" s="620"/>
      <c r="L50" s="620"/>
      <c r="M50" s="620" t="s">
        <v>488</v>
      </c>
      <c r="N50" s="848">
        <f t="shared" si="0"/>
        <v>115458921</v>
      </c>
    </row>
    <row r="51" spans="1:14">
      <c r="A51" s="619">
        <v>45443</v>
      </c>
      <c r="B51" s="619">
        <v>45443</v>
      </c>
      <c r="C51" s="620" t="s">
        <v>509</v>
      </c>
      <c r="D51" s="620" t="s">
        <v>729</v>
      </c>
      <c r="E51" s="620" t="s">
        <v>468</v>
      </c>
      <c r="F51" s="620" t="s">
        <v>446</v>
      </c>
      <c r="G51" s="620" t="s">
        <v>720</v>
      </c>
      <c r="H51" s="621">
        <v>0</v>
      </c>
      <c r="I51" s="621">
        <v>2164908706</v>
      </c>
      <c r="J51" s="620"/>
      <c r="K51" s="620"/>
      <c r="L51" s="620"/>
      <c r="M51" s="620" t="s">
        <v>488</v>
      </c>
      <c r="N51" s="848">
        <f t="shared" si="0"/>
        <v>-2164908706</v>
      </c>
    </row>
    <row r="52" spans="1:14">
      <c r="A52" s="619">
        <v>45443</v>
      </c>
      <c r="B52" s="619">
        <v>45443</v>
      </c>
      <c r="C52" s="620" t="s">
        <v>509</v>
      </c>
      <c r="D52" s="620" t="s">
        <v>729</v>
      </c>
      <c r="E52" s="620" t="s">
        <v>472</v>
      </c>
      <c r="F52" s="620" t="s">
        <v>446</v>
      </c>
      <c r="G52" s="620">
        <v>5151</v>
      </c>
      <c r="H52" s="621">
        <v>0</v>
      </c>
      <c r="I52" s="621">
        <v>5586090</v>
      </c>
      <c r="J52" s="620"/>
      <c r="K52" s="620"/>
      <c r="L52" s="620"/>
      <c r="M52" s="620" t="s">
        <v>488</v>
      </c>
      <c r="N52" s="848">
        <f t="shared" si="0"/>
        <v>-5586090</v>
      </c>
    </row>
    <row r="53" spans="1:14">
      <c r="A53" s="619">
        <v>45443</v>
      </c>
      <c r="B53" s="619">
        <v>45443</v>
      </c>
      <c r="C53" s="620" t="s">
        <v>509</v>
      </c>
      <c r="D53" s="620" t="s">
        <v>729</v>
      </c>
      <c r="E53" s="620" t="s">
        <v>473</v>
      </c>
      <c r="F53" s="620" t="s">
        <v>446</v>
      </c>
      <c r="G53" s="620" t="s">
        <v>303</v>
      </c>
      <c r="H53" s="621">
        <v>2107493311</v>
      </c>
      <c r="I53" s="621">
        <v>0</v>
      </c>
      <c r="J53" s="620"/>
      <c r="K53" s="620"/>
      <c r="L53" s="620"/>
      <c r="M53" s="620" t="s">
        <v>488</v>
      </c>
      <c r="N53" s="848">
        <f t="shared" si="0"/>
        <v>2107493311</v>
      </c>
    </row>
    <row r="54" spans="1:14">
      <c r="A54" s="619">
        <v>45443</v>
      </c>
      <c r="B54" s="619">
        <v>45443</v>
      </c>
      <c r="C54" s="620" t="s">
        <v>509</v>
      </c>
      <c r="D54" s="620" t="s">
        <v>729</v>
      </c>
      <c r="E54" s="620" t="s">
        <v>475</v>
      </c>
      <c r="F54" s="620" t="s">
        <v>446</v>
      </c>
      <c r="G54" s="620" t="s">
        <v>369</v>
      </c>
      <c r="H54" s="621">
        <v>2145000</v>
      </c>
      <c r="I54" s="621">
        <v>0</v>
      </c>
      <c r="J54" s="620"/>
      <c r="K54" s="620"/>
      <c r="L54" s="620"/>
      <c r="M54" s="620" t="s">
        <v>488</v>
      </c>
      <c r="N54" s="848">
        <f t="shared" si="0"/>
        <v>2145000</v>
      </c>
    </row>
    <row r="55" spans="1:14">
      <c r="A55" s="619">
        <v>45443</v>
      </c>
      <c r="B55" s="619">
        <v>45443</v>
      </c>
      <c r="C55" s="620" t="s">
        <v>509</v>
      </c>
      <c r="D55" s="620" t="s">
        <v>729</v>
      </c>
      <c r="E55" s="620" t="s">
        <v>476</v>
      </c>
      <c r="F55" s="620" t="s">
        <v>446</v>
      </c>
      <c r="G55" s="620" t="s">
        <v>721</v>
      </c>
      <c r="H55" s="621">
        <v>18958333</v>
      </c>
      <c r="I55" s="621">
        <v>0</v>
      </c>
      <c r="J55" s="620"/>
      <c r="K55" s="620"/>
      <c r="L55" s="620"/>
      <c r="M55" s="620" t="s">
        <v>488</v>
      </c>
      <c r="N55" s="848">
        <f t="shared" si="0"/>
        <v>18958333</v>
      </c>
    </row>
    <row r="56" spans="1:14">
      <c r="A56" s="619">
        <v>45443</v>
      </c>
      <c r="B56" s="619">
        <v>45443</v>
      </c>
      <c r="C56" s="620" t="s">
        <v>509</v>
      </c>
      <c r="D56" s="620" t="s">
        <v>729</v>
      </c>
      <c r="E56" s="620" t="s">
        <v>476</v>
      </c>
      <c r="F56" s="620" t="s">
        <v>446</v>
      </c>
      <c r="G56" s="620" t="s">
        <v>722</v>
      </c>
      <c r="H56" s="621">
        <v>1435000</v>
      </c>
      <c r="I56" s="621">
        <v>0</v>
      </c>
      <c r="J56" s="620"/>
      <c r="K56" s="620"/>
      <c r="L56" s="620"/>
      <c r="M56" s="620" t="s">
        <v>488</v>
      </c>
      <c r="N56" s="848">
        <f t="shared" si="0"/>
        <v>1435000</v>
      </c>
    </row>
    <row r="57" spans="1:14">
      <c r="A57" s="619">
        <v>45443</v>
      </c>
      <c r="B57" s="619">
        <v>45443</v>
      </c>
      <c r="C57" s="620" t="s">
        <v>509</v>
      </c>
      <c r="D57" s="620" t="s">
        <v>729</v>
      </c>
      <c r="E57" s="620" t="s">
        <v>476</v>
      </c>
      <c r="F57" s="620" t="s">
        <v>446</v>
      </c>
      <c r="G57" s="620" t="s">
        <v>387</v>
      </c>
      <c r="H57" s="621">
        <v>154000</v>
      </c>
      <c r="I57" s="621">
        <v>0</v>
      </c>
      <c r="J57" s="620"/>
      <c r="K57" s="620"/>
      <c r="L57" s="620"/>
      <c r="M57" s="620" t="s">
        <v>488</v>
      </c>
      <c r="N57" s="848">
        <f t="shared" si="0"/>
        <v>154000</v>
      </c>
    </row>
    <row r="58" spans="1:14">
      <c r="A58" s="619">
        <v>45443</v>
      </c>
      <c r="B58" s="619">
        <v>45443</v>
      </c>
      <c r="C58" s="620" t="s">
        <v>509</v>
      </c>
      <c r="D58" s="620" t="s">
        <v>729</v>
      </c>
      <c r="E58" s="620" t="s">
        <v>476</v>
      </c>
      <c r="F58" s="620" t="s">
        <v>446</v>
      </c>
      <c r="G58" s="620" t="s">
        <v>389</v>
      </c>
      <c r="H58" s="621">
        <v>5983603</v>
      </c>
      <c r="I58" s="621">
        <v>0</v>
      </c>
      <c r="J58" s="620"/>
      <c r="K58" s="620"/>
      <c r="L58" s="620"/>
      <c r="M58" s="620" t="s">
        <v>488</v>
      </c>
      <c r="N58" s="848">
        <f t="shared" si="0"/>
        <v>5983603</v>
      </c>
    </row>
    <row r="59" spans="1:14">
      <c r="A59" s="619">
        <v>45443</v>
      </c>
      <c r="B59" s="619">
        <v>45443</v>
      </c>
      <c r="C59" s="620" t="s">
        <v>509</v>
      </c>
      <c r="D59" s="620" t="s">
        <v>729</v>
      </c>
      <c r="E59" s="620" t="s">
        <v>476</v>
      </c>
      <c r="F59" s="620" t="s">
        <v>446</v>
      </c>
      <c r="G59" s="620" t="s">
        <v>395</v>
      </c>
      <c r="H59" s="621">
        <v>10644400</v>
      </c>
      <c r="I59" s="621">
        <v>0</v>
      </c>
      <c r="J59" s="620"/>
      <c r="K59" s="620"/>
      <c r="L59" s="620"/>
      <c r="M59" s="620" t="s">
        <v>488</v>
      </c>
      <c r="N59" s="848">
        <f t="shared" si="0"/>
        <v>10644400</v>
      </c>
    </row>
    <row r="60" spans="1:14">
      <c r="A60" s="619">
        <v>45443</v>
      </c>
      <c r="B60" s="619">
        <v>45443</v>
      </c>
      <c r="C60" s="620" t="s">
        <v>509</v>
      </c>
      <c r="D60" s="620" t="s">
        <v>729</v>
      </c>
      <c r="E60" s="620" t="s">
        <v>476</v>
      </c>
      <c r="F60" s="620" t="s">
        <v>446</v>
      </c>
      <c r="G60" s="620" t="s">
        <v>397</v>
      </c>
      <c r="H60" s="621">
        <v>13377997</v>
      </c>
      <c r="I60" s="621">
        <v>0</v>
      </c>
      <c r="J60" s="620"/>
      <c r="K60" s="620"/>
      <c r="L60" s="620"/>
      <c r="M60" s="620" t="s">
        <v>488</v>
      </c>
      <c r="N60" s="848">
        <f t="shared" si="0"/>
        <v>13377997</v>
      </c>
    </row>
    <row r="61" spans="1:14">
      <c r="A61" s="619">
        <v>45443</v>
      </c>
      <c r="B61" s="619">
        <v>45443</v>
      </c>
      <c r="C61" s="620" t="s">
        <v>509</v>
      </c>
      <c r="D61" s="620" t="s">
        <v>729</v>
      </c>
      <c r="E61" s="620" t="s">
        <v>479</v>
      </c>
      <c r="F61" s="620" t="s">
        <v>446</v>
      </c>
      <c r="G61" s="620" t="s">
        <v>217</v>
      </c>
      <c r="H61" s="621">
        <v>10303152</v>
      </c>
      <c r="I61" s="621">
        <v>0</v>
      </c>
      <c r="J61" s="620"/>
      <c r="K61" s="620"/>
      <c r="L61" s="620"/>
      <c r="M61" s="620" t="s">
        <v>488</v>
      </c>
      <c r="N61" s="848">
        <f t="shared" si="0"/>
        <v>10303152</v>
      </c>
    </row>
    <row r="62" spans="1:14">
      <c r="A62" s="619">
        <v>45473</v>
      </c>
      <c r="B62" s="619">
        <v>45473</v>
      </c>
      <c r="C62" s="620" t="s">
        <v>510</v>
      </c>
      <c r="D62" s="620" t="s">
        <v>730</v>
      </c>
      <c r="E62" s="620" t="s">
        <v>468</v>
      </c>
      <c r="F62" s="620" t="s">
        <v>446</v>
      </c>
      <c r="G62" s="620" t="s">
        <v>720</v>
      </c>
      <c r="H62" s="621">
        <v>0</v>
      </c>
      <c r="I62" s="621">
        <v>3693965770</v>
      </c>
      <c r="J62" s="620"/>
      <c r="K62" s="620"/>
      <c r="L62" s="620"/>
      <c r="M62" s="620" t="s">
        <v>488</v>
      </c>
      <c r="N62" s="848">
        <f t="shared" si="0"/>
        <v>-3693965770</v>
      </c>
    </row>
    <row r="63" spans="1:14">
      <c r="A63" s="619">
        <v>45473</v>
      </c>
      <c r="B63" s="619">
        <v>45473</v>
      </c>
      <c r="C63" s="620" t="s">
        <v>510</v>
      </c>
      <c r="D63" s="620" t="s">
        <v>730</v>
      </c>
      <c r="E63" s="620" t="s">
        <v>472</v>
      </c>
      <c r="F63" s="620" t="s">
        <v>446</v>
      </c>
      <c r="G63" s="620">
        <v>5151</v>
      </c>
      <c r="H63" s="621">
        <v>0</v>
      </c>
      <c r="I63" s="621">
        <v>1592296</v>
      </c>
      <c r="J63" s="620"/>
      <c r="K63" s="620"/>
      <c r="L63" s="620"/>
      <c r="M63" s="620" t="s">
        <v>488</v>
      </c>
      <c r="N63" s="848">
        <f t="shared" si="0"/>
        <v>-1592296</v>
      </c>
    </row>
    <row r="64" spans="1:14">
      <c r="A64" s="619">
        <v>45473</v>
      </c>
      <c r="B64" s="619">
        <v>45473</v>
      </c>
      <c r="C64" s="620" t="s">
        <v>510</v>
      </c>
      <c r="D64" s="620" t="s">
        <v>730</v>
      </c>
      <c r="E64" s="620" t="s">
        <v>473</v>
      </c>
      <c r="F64" s="620" t="s">
        <v>446</v>
      </c>
      <c r="G64" s="620" t="s">
        <v>303</v>
      </c>
      <c r="H64" s="621">
        <v>3655228111</v>
      </c>
      <c r="I64" s="621">
        <v>0</v>
      </c>
      <c r="J64" s="620"/>
      <c r="K64" s="620"/>
      <c r="L64" s="620"/>
      <c r="M64" s="620" t="s">
        <v>488</v>
      </c>
      <c r="N64" s="848">
        <f t="shared" si="0"/>
        <v>3655228111</v>
      </c>
    </row>
    <row r="65" spans="1:14">
      <c r="A65" s="619">
        <v>45473</v>
      </c>
      <c r="B65" s="619">
        <v>45473</v>
      </c>
      <c r="C65" s="620" t="s">
        <v>510</v>
      </c>
      <c r="D65" s="620" t="s">
        <v>730</v>
      </c>
      <c r="E65" s="620" t="s">
        <v>475</v>
      </c>
      <c r="F65" s="620" t="s">
        <v>446</v>
      </c>
      <c r="G65" s="620" t="s">
        <v>369</v>
      </c>
      <c r="H65" s="621">
        <v>2860000</v>
      </c>
      <c r="I65" s="621">
        <v>0</v>
      </c>
      <c r="J65" s="620"/>
      <c r="K65" s="620"/>
      <c r="L65" s="620"/>
      <c r="M65" s="620" t="s">
        <v>488</v>
      </c>
      <c r="N65" s="848">
        <f t="shared" si="0"/>
        <v>2860000</v>
      </c>
    </row>
    <row r="66" spans="1:14">
      <c r="A66" s="619">
        <v>45473</v>
      </c>
      <c r="B66" s="619">
        <v>45473</v>
      </c>
      <c r="C66" s="620" t="s">
        <v>510</v>
      </c>
      <c r="D66" s="620" t="s">
        <v>730</v>
      </c>
      <c r="E66" s="620" t="s">
        <v>476</v>
      </c>
      <c r="F66" s="620" t="s">
        <v>446</v>
      </c>
      <c r="G66" s="620" t="s">
        <v>721</v>
      </c>
      <c r="H66" s="621">
        <v>18836763</v>
      </c>
      <c r="I66" s="621">
        <v>0</v>
      </c>
      <c r="J66" s="620"/>
      <c r="K66" s="620"/>
      <c r="L66" s="620"/>
      <c r="M66" s="620" t="s">
        <v>488</v>
      </c>
      <c r="N66" s="848">
        <f t="shared" si="0"/>
        <v>18836763</v>
      </c>
    </row>
    <row r="67" spans="1:14">
      <c r="A67" s="619">
        <v>45473</v>
      </c>
      <c r="B67" s="619">
        <v>45473</v>
      </c>
      <c r="C67" s="620" t="s">
        <v>510</v>
      </c>
      <c r="D67" s="620" t="s">
        <v>730</v>
      </c>
      <c r="E67" s="620" t="s">
        <v>476</v>
      </c>
      <c r="F67" s="620" t="s">
        <v>446</v>
      </c>
      <c r="G67" s="620" t="s">
        <v>722</v>
      </c>
      <c r="H67" s="621">
        <v>1435000</v>
      </c>
      <c r="I67" s="621">
        <v>0</v>
      </c>
      <c r="J67" s="620"/>
      <c r="K67" s="620"/>
      <c r="L67" s="620"/>
      <c r="M67" s="620" t="s">
        <v>488</v>
      </c>
      <c r="N67" s="848">
        <f t="shared" si="0"/>
        <v>1435000</v>
      </c>
    </row>
    <row r="68" spans="1:14">
      <c r="A68" s="619">
        <v>45473</v>
      </c>
      <c r="B68" s="619">
        <v>45473</v>
      </c>
      <c r="C68" s="620" t="s">
        <v>510</v>
      </c>
      <c r="D68" s="620" t="s">
        <v>730</v>
      </c>
      <c r="E68" s="620" t="s">
        <v>476</v>
      </c>
      <c r="F68" s="620" t="s">
        <v>446</v>
      </c>
      <c r="G68" s="620" t="s">
        <v>387</v>
      </c>
      <c r="H68" s="621">
        <v>154055</v>
      </c>
      <c r="I68" s="621">
        <v>0</v>
      </c>
      <c r="J68" s="620"/>
      <c r="K68" s="620"/>
      <c r="L68" s="620"/>
      <c r="M68" s="620" t="s">
        <v>488</v>
      </c>
      <c r="N68" s="848">
        <f t="shared" si="0"/>
        <v>154055</v>
      </c>
    </row>
    <row r="69" spans="1:14">
      <c r="A69" s="619">
        <v>45473</v>
      </c>
      <c r="B69" s="619">
        <v>45473</v>
      </c>
      <c r="C69" s="620" t="s">
        <v>510</v>
      </c>
      <c r="D69" s="620" t="s">
        <v>730</v>
      </c>
      <c r="E69" s="620" t="s">
        <v>476</v>
      </c>
      <c r="F69" s="620" t="s">
        <v>446</v>
      </c>
      <c r="G69" s="620" t="s">
        <v>389</v>
      </c>
      <c r="H69" s="621">
        <v>9269715</v>
      </c>
      <c r="I69" s="621">
        <v>0</v>
      </c>
      <c r="J69" s="620"/>
      <c r="K69" s="620"/>
      <c r="L69" s="620"/>
      <c r="M69" s="620" t="s">
        <v>488</v>
      </c>
      <c r="N69" s="848">
        <f t="shared" si="0"/>
        <v>9269715</v>
      </c>
    </row>
    <row r="70" spans="1:14">
      <c r="A70" s="619">
        <v>45473</v>
      </c>
      <c r="B70" s="619">
        <v>45473</v>
      </c>
      <c r="C70" s="620" t="s">
        <v>510</v>
      </c>
      <c r="D70" s="620" t="s">
        <v>730</v>
      </c>
      <c r="E70" s="620" t="s">
        <v>476</v>
      </c>
      <c r="F70" s="620" t="s">
        <v>446</v>
      </c>
      <c r="G70" s="620" t="s">
        <v>395</v>
      </c>
      <c r="H70" s="621">
        <v>10644400</v>
      </c>
      <c r="I70" s="621">
        <v>0</v>
      </c>
      <c r="J70" s="620"/>
      <c r="K70" s="620"/>
      <c r="L70" s="620"/>
      <c r="M70" s="620" t="s">
        <v>488</v>
      </c>
      <c r="N70" s="848">
        <f t="shared" si="0"/>
        <v>10644400</v>
      </c>
    </row>
    <row r="71" spans="1:14">
      <c r="A71" s="619">
        <v>45473</v>
      </c>
      <c r="B71" s="619">
        <v>45473</v>
      </c>
      <c r="C71" s="620" t="s">
        <v>510</v>
      </c>
      <c r="D71" s="620" t="s">
        <v>730</v>
      </c>
      <c r="E71" s="620" t="s">
        <v>476</v>
      </c>
      <c r="F71" s="620" t="s">
        <v>446</v>
      </c>
      <c r="G71" s="620" t="s">
        <v>397</v>
      </c>
      <c r="H71" s="621">
        <v>1381609</v>
      </c>
      <c r="I71" s="621">
        <v>0</v>
      </c>
      <c r="J71" s="620"/>
      <c r="K71" s="620"/>
      <c r="L71" s="620"/>
      <c r="M71" s="620" t="s">
        <v>488</v>
      </c>
      <c r="N71" s="848">
        <f t="shared" si="0"/>
        <v>1381609</v>
      </c>
    </row>
    <row r="72" spans="1:14">
      <c r="A72" s="619">
        <v>45473</v>
      </c>
      <c r="B72" s="619">
        <v>45473</v>
      </c>
      <c r="C72" s="620" t="s">
        <v>510</v>
      </c>
      <c r="D72" s="620" t="s">
        <v>730</v>
      </c>
      <c r="E72" s="620" t="s">
        <v>478</v>
      </c>
      <c r="F72" s="620" t="s">
        <v>446</v>
      </c>
      <c r="G72" s="620" t="s">
        <v>444</v>
      </c>
      <c r="H72" s="621">
        <v>651640</v>
      </c>
      <c r="I72" s="621">
        <v>0</v>
      </c>
      <c r="J72" s="620"/>
      <c r="K72" s="620"/>
      <c r="L72" s="620"/>
      <c r="M72" s="620" t="s">
        <v>488</v>
      </c>
      <c r="N72" s="848">
        <f t="shared" ref="N72:N73" si="1">H72-I72</f>
        <v>651640</v>
      </c>
    </row>
    <row r="73" spans="1:14">
      <c r="A73" s="619">
        <v>45473</v>
      </c>
      <c r="B73" s="619">
        <v>45473</v>
      </c>
      <c r="C73" s="620" t="s">
        <v>510</v>
      </c>
      <c r="D73" s="620" t="s">
        <v>730</v>
      </c>
      <c r="E73" s="620" t="s">
        <v>479</v>
      </c>
      <c r="F73" s="620" t="s">
        <v>446</v>
      </c>
      <c r="G73" s="620" t="s">
        <v>217</v>
      </c>
      <c r="H73" s="621">
        <v>0</v>
      </c>
      <c r="I73" s="621">
        <v>4903227</v>
      </c>
      <c r="J73" s="620"/>
      <c r="K73" s="620"/>
      <c r="L73" s="620"/>
      <c r="M73" s="620" t="s">
        <v>488</v>
      </c>
      <c r="N73" s="848">
        <f t="shared" si="1"/>
        <v>-4903227</v>
      </c>
    </row>
    <row r="74" spans="1:14">
      <c r="A74" s="619">
        <v>45504</v>
      </c>
      <c r="B74" s="619">
        <v>45504</v>
      </c>
      <c r="C74" s="620" t="s">
        <v>511</v>
      </c>
      <c r="D74" s="620" t="s">
        <v>731</v>
      </c>
      <c r="E74" s="620" t="s">
        <v>468</v>
      </c>
      <c r="F74" s="620" t="s">
        <v>446</v>
      </c>
      <c r="G74" s="620" t="s">
        <v>720</v>
      </c>
      <c r="H74" s="621">
        <v>0</v>
      </c>
      <c r="I74" s="621">
        <v>1405313644</v>
      </c>
      <c r="J74" s="850"/>
      <c r="K74" s="850"/>
      <c r="L74" s="850"/>
      <c r="M74" s="620" t="s">
        <v>488</v>
      </c>
      <c r="N74" s="848">
        <f t="shared" ref="N74:N137" si="2">H74-I74</f>
        <v>-1405313644</v>
      </c>
    </row>
    <row r="75" spans="1:14">
      <c r="A75" s="619">
        <v>45504</v>
      </c>
      <c r="B75" s="619">
        <v>45504</v>
      </c>
      <c r="C75" s="620" t="s">
        <v>511</v>
      </c>
      <c r="D75" s="620" t="s">
        <v>731</v>
      </c>
      <c r="E75" s="620" t="s">
        <v>472</v>
      </c>
      <c r="F75" s="620" t="s">
        <v>446</v>
      </c>
      <c r="G75" s="620">
        <v>5151</v>
      </c>
      <c r="H75" s="621">
        <v>0</v>
      </c>
      <c r="I75" s="621">
        <v>7259294</v>
      </c>
      <c r="J75" s="850"/>
      <c r="K75" s="850"/>
      <c r="L75" s="850"/>
      <c r="M75" s="620" t="s">
        <v>488</v>
      </c>
      <c r="N75" s="848">
        <f t="shared" si="2"/>
        <v>-7259294</v>
      </c>
    </row>
    <row r="76" spans="1:14">
      <c r="A76" s="619">
        <v>45504</v>
      </c>
      <c r="B76" s="619">
        <v>45504</v>
      </c>
      <c r="C76" s="620" t="s">
        <v>511</v>
      </c>
      <c r="D76" s="620" t="s">
        <v>731</v>
      </c>
      <c r="E76" s="620" t="s">
        <v>473</v>
      </c>
      <c r="F76" s="620" t="s">
        <v>446</v>
      </c>
      <c r="G76" s="620" t="s">
        <v>303</v>
      </c>
      <c r="H76" s="621">
        <v>1371169064</v>
      </c>
      <c r="I76" s="621">
        <v>0</v>
      </c>
      <c r="J76" s="850"/>
      <c r="K76" s="850"/>
      <c r="L76" s="850"/>
      <c r="M76" s="620" t="s">
        <v>488</v>
      </c>
      <c r="N76" s="848">
        <f t="shared" si="2"/>
        <v>1371169064</v>
      </c>
    </row>
    <row r="77" spans="1:14">
      <c r="A77" s="619">
        <v>45504</v>
      </c>
      <c r="B77" s="619">
        <v>45504</v>
      </c>
      <c r="C77" s="620" t="s">
        <v>511</v>
      </c>
      <c r="D77" s="620" t="s">
        <v>731</v>
      </c>
      <c r="E77" s="620" t="s">
        <v>475</v>
      </c>
      <c r="F77" s="620" t="s">
        <v>446</v>
      </c>
      <c r="G77" s="620" t="s">
        <v>369</v>
      </c>
      <c r="H77" s="621">
        <v>2860000</v>
      </c>
      <c r="I77" s="621">
        <v>0</v>
      </c>
      <c r="J77" s="850"/>
      <c r="K77" s="850"/>
      <c r="L77" s="850"/>
      <c r="M77" s="620" t="s">
        <v>488</v>
      </c>
      <c r="N77" s="848">
        <f t="shared" si="2"/>
        <v>2860000</v>
      </c>
    </row>
    <row r="78" spans="1:14">
      <c r="A78" s="619">
        <v>45504</v>
      </c>
      <c r="B78" s="619">
        <v>45504</v>
      </c>
      <c r="C78" s="620" t="s">
        <v>511</v>
      </c>
      <c r="D78" s="620" t="s">
        <v>731</v>
      </c>
      <c r="E78" s="620" t="s">
        <v>476</v>
      </c>
      <c r="F78" s="620" t="s">
        <v>446</v>
      </c>
      <c r="G78" s="620" t="s">
        <v>721</v>
      </c>
      <c r="H78" s="621">
        <v>18912133</v>
      </c>
      <c r="I78" s="621">
        <v>0</v>
      </c>
      <c r="J78" s="850"/>
      <c r="K78" s="850"/>
      <c r="L78" s="850"/>
      <c r="M78" s="620" t="s">
        <v>488</v>
      </c>
      <c r="N78" s="848">
        <f t="shared" si="2"/>
        <v>18912133</v>
      </c>
    </row>
    <row r="79" spans="1:14">
      <c r="A79" s="619">
        <v>45504</v>
      </c>
      <c r="B79" s="619">
        <v>45504</v>
      </c>
      <c r="C79" s="620" t="s">
        <v>511</v>
      </c>
      <c r="D79" s="620" t="s">
        <v>731</v>
      </c>
      <c r="E79" s="620" t="s">
        <v>476</v>
      </c>
      <c r="F79" s="620" t="s">
        <v>446</v>
      </c>
      <c r="G79" s="620" t="s">
        <v>722</v>
      </c>
      <c r="H79" s="621">
        <v>1435000</v>
      </c>
      <c r="I79" s="621">
        <v>0</v>
      </c>
      <c r="J79" s="850"/>
      <c r="K79" s="850"/>
      <c r="L79" s="850"/>
      <c r="M79" s="620" t="s">
        <v>488</v>
      </c>
      <c r="N79" s="848">
        <f t="shared" si="2"/>
        <v>1435000</v>
      </c>
    </row>
    <row r="80" spans="1:14">
      <c r="A80" s="619">
        <v>45504</v>
      </c>
      <c r="B80" s="619">
        <v>45504</v>
      </c>
      <c r="C80" s="620" t="s">
        <v>511</v>
      </c>
      <c r="D80" s="620" t="s">
        <v>731</v>
      </c>
      <c r="E80" s="620" t="s">
        <v>476</v>
      </c>
      <c r="F80" s="620" t="s">
        <v>446</v>
      </c>
      <c r="G80" s="620" t="s">
        <v>387</v>
      </c>
      <c r="H80" s="621">
        <v>221857</v>
      </c>
      <c r="I80" s="621">
        <v>0</v>
      </c>
      <c r="J80" s="850"/>
      <c r="K80" s="850"/>
      <c r="L80" s="850"/>
      <c r="M80" s="620" t="s">
        <v>488</v>
      </c>
      <c r="N80" s="848">
        <f t="shared" si="2"/>
        <v>221857</v>
      </c>
    </row>
    <row r="81" spans="1:14">
      <c r="A81" s="619">
        <v>45504</v>
      </c>
      <c r="B81" s="619">
        <v>45504</v>
      </c>
      <c r="C81" s="620" t="s">
        <v>511</v>
      </c>
      <c r="D81" s="620" t="s">
        <v>731</v>
      </c>
      <c r="E81" s="620" t="s">
        <v>476</v>
      </c>
      <c r="F81" s="620" t="s">
        <v>446</v>
      </c>
      <c r="G81" s="620" t="s">
        <v>389</v>
      </c>
      <c r="H81" s="621">
        <v>10684098</v>
      </c>
      <c r="I81" s="621">
        <v>0</v>
      </c>
      <c r="J81" s="850"/>
      <c r="K81" s="850"/>
      <c r="L81" s="850"/>
      <c r="M81" s="620" t="s">
        <v>488</v>
      </c>
      <c r="N81" s="848">
        <f t="shared" si="2"/>
        <v>10684098</v>
      </c>
    </row>
    <row r="82" spans="1:14">
      <c r="A82" s="619">
        <v>45504</v>
      </c>
      <c r="B82" s="619">
        <v>45504</v>
      </c>
      <c r="C82" s="620" t="s">
        <v>511</v>
      </c>
      <c r="D82" s="620" t="s">
        <v>731</v>
      </c>
      <c r="E82" s="620" t="s">
        <v>476</v>
      </c>
      <c r="F82" s="620" t="s">
        <v>446</v>
      </c>
      <c r="G82" s="620" t="s">
        <v>395</v>
      </c>
      <c r="H82" s="621">
        <v>11627233</v>
      </c>
      <c r="I82" s="621">
        <v>0</v>
      </c>
      <c r="J82" s="850"/>
      <c r="K82" s="850"/>
      <c r="L82" s="850"/>
      <c r="M82" s="620" t="s">
        <v>488</v>
      </c>
      <c r="N82" s="848">
        <f t="shared" si="2"/>
        <v>11627233</v>
      </c>
    </row>
    <row r="83" spans="1:14">
      <c r="A83" s="619">
        <v>45504</v>
      </c>
      <c r="B83" s="619">
        <v>45504</v>
      </c>
      <c r="C83" s="620" t="s">
        <v>511</v>
      </c>
      <c r="D83" s="620" t="s">
        <v>731</v>
      </c>
      <c r="E83" s="620" t="s">
        <v>476</v>
      </c>
      <c r="F83" s="620" t="s">
        <v>446</v>
      </c>
      <c r="G83" s="620" t="s">
        <v>397</v>
      </c>
      <c r="H83" s="621">
        <v>943901</v>
      </c>
      <c r="I83" s="621">
        <v>0</v>
      </c>
      <c r="J83" s="850"/>
      <c r="K83" s="850"/>
      <c r="L83" s="850"/>
      <c r="M83" s="620" t="s">
        <v>488</v>
      </c>
      <c r="N83" s="848">
        <f t="shared" si="2"/>
        <v>943901</v>
      </c>
    </row>
    <row r="84" spans="1:14">
      <c r="A84" s="619">
        <v>45504</v>
      </c>
      <c r="B84" s="619">
        <v>45504</v>
      </c>
      <c r="C84" s="620" t="s">
        <v>511</v>
      </c>
      <c r="D84" s="620" t="s">
        <v>731</v>
      </c>
      <c r="E84" s="620" t="s">
        <v>479</v>
      </c>
      <c r="F84" s="620" t="s">
        <v>446</v>
      </c>
      <c r="G84" s="620" t="s">
        <v>217</v>
      </c>
      <c r="H84" s="621">
        <v>0</v>
      </c>
      <c r="I84" s="621">
        <v>5280348</v>
      </c>
      <c r="J84" s="850"/>
      <c r="K84" s="850"/>
      <c r="L84" s="850"/>
      <c r="M84" s="620" t="s">
        <v>488</v>
      </c>
      <c r="N84" s="848">
        <f t="shared" si="2"/>
        <v>-5280348</v>
      </c>
    </row>
    <row r="85" spans="1:14">
      <c r="A85" s="619">
        <v>45535</v>
      </c>
      <c r="B85" s="619">
        <v>45535</v>
      </c>
      <c r="C85" s="620" t="s">
        <v>512</v>
      </c>
      <c r="D85" s="620" t="s">
        <v>732</v>
      </c>
      <c r="E85" s="620" t="s">
        <v>468</v>
      </c>
      <c r="F85" s="620" t="s">
        <v>446</v>
      </c>
      <c r="G85" s="620" t="s">
        <v>720</v>
      </c>
      <c r="H85" s="621">
        <v>0</v>
      </c>
      <c r="I85" s="621">
        <v>1276677670</v>
      </c>
      <c r="J85" s="850"/>
      <c r="K85" s="850"/>
      <c r="L85" s="850"/>
      <c r="M85" s="620" t="s">
        <v>488</v>
      </c>
      <c r="N85" s="848">
        <f t="shared" si="2"/>
        <v>-1276677670</v>
      </c>
    </row>
    <row r="86" spans="1:14">
      <c r="A86" s="619">
        <v>45535</v>
      </c>
      <c r="B86" s="619">
        <v>45535</v>
      </c>
      <c r="C86" s="620" t="s">
        <v>512</v>
      </c>
      <c r="D86" s="620" t="s">
        <v>732</v>
      </c>
      <c r="E86" s="620" t="s">
        <v>472</v>
      </c>
      <c r="F86" s="620" t="s">
        <v>446</v>
      </c>
      <c r="G86" s="620">
        <v>5151</v>
      </c>
      <c r="H86" s="621">
        <v>0</v>
      </c>
      <c r="I86" s="621">
        <v>7536444</v>
      </c>
      <c r="J86" s="850"/>
      <c r="K86" s="850"/>
      <c r="L86" s="850"/>
      <c r="M86" s="620" t="s">
        <v>488</v>
      </c>
      <c r="N86" s="848">
        <f t="shared" si="2"/>
        <v>-7536444</v>
      </c>
    </row>
    <row r="87" spans="1:14">
      <c r="A87" s="619">
        <v>45535</v>
      </c>
      <c r="B87" s="619">
        <v>45535</v>
      </c>
      <c r="C87" s="620" t="s">
        <v>512</v>
      </c>
      <c r="D87" s="620" t="s">
        <v>732</v>
      </c>
      <c r="E87" s="620" t="s">
        <v>473</v>
      </c>
      <c r="F87" s="620" t="s">
        <v>446</v>
      </c>
      <c r="G87" s="620" t="s">
        <v>303</v>
      </c>
      <c r="H87" s="621">
        <v>1245988515</v>
      </c>
      <c r="I87" s="621">
        <v>0</v>
      </c>
      <c r="J87" s="850"/>
      <c r="K87" s="850"/>
      <c r="L87" s="850"/>
      <c r="M87" s="620" t="s">
        <v>488</v>
      </c>
      <c r="N87" s="848">
        <f t="shared" si="2"/>
        <v>1245988515</v>
      </c>
    </row>
    <row r="88" spans="1:14">
      <c r="A88" s="619">
        <v>45535</v>
      </c>
      <c r="B88" s="619">
        <v>45535</v>
      </c>
      <c r="C88" s="620" t="s">
        <v>512</v>
      </c>
      <c r="D88" s="620" t="s">
        <v>732</v>
      </c>
      <c r="E88" s="620" t="s">
        <v>475</v>
      </c>
      <c r="F88" s="620" t="s">
        <v>446</v>
      </c>
      <c r="G88" s="620" t="s">
        <v>369</v>
      </c>
      <c r="H88" s="621">
        <v>2860000</v>
      </c>
      <c r="I88" s="621">
        <v>0</v>
      </c>
      <c r="J88" s="850"/>
      <c r="K88" s="850"/>
      <c r="L88" s="850"/>
      <c r="M88" s="620" t="s">
        <v>488</v>
      </c>
      <c r="N88" s="848">
        <f t="shared" si="2"/>
        <v>2860000</v>
      </c>
    </row>
    <row r="89" spans="1:14">
      <c r="A89" s="619">
        <v>45535</v>
      </c>
      <c r="B89" s="619">
        <v>45535</v>
      </c>
      <c r="C89" s="620" t="s">
        <v>512</v>
      </c>
      <c r="D89" s="620" t="s">
        <v>732</v>
      </c>
      <c r="E89" s="620" t="s">
        <v>476</v>
      </c>
      <c r="F89" s="620" t="s">
        <v>446</v>
      </c>
      <c r="G89" s="620" t="s">
        <v>721</v>
      </c>
      <c r="H89" s="621">
        <v>19479795</v>
      </c>
      <c r="I89" s="621">
        <v>0</v>
      </c>
      <c r="J89" s="850"/>
      <c r="K89" s="850"/>
      <c r="L89" s="850"/>
      <c r="M89" s="620" t="s">
        <v>488</v>
      </c>
      <c r="N89" s="848">
        <f t="shared" si="2"/>
        <v>19479795</v>
      </c>
    </row>
    <row r="90" spans="1:14">
      <c r="A90" s="619">
        <v>45535</v>
      </c>
      <c r="B90" s="619">
        <v>45535</v>
      </c>
      <c r="C90" s="620" t="s">
        <v>512</v>
      </c>
      <c r="D90" s="620" t="s">
        <v>732</v>
      </c>
      <c r="E90" s="620" t="s">
        <v>476</v>
      </c>
      <c r="F90" s="620" t="s">
        <v>446</v>
      </c>
      <c r="G90" s="620" t="s">
        <v>722</v>
      </c>
      <c r="H90" s="621">
        <v>1435000</v>
      </c>
      <c r="I90" s="621">
        <v>0</v>
      </c>
      <c r="J90" s="850"/>
      <c r="K90" s="850"/>
      <c r="L90" s="850"/>
      <c r="M90" s="620" t="s">
        <v>488</v>
      </c>
      <c r="N90" s="848">
        <f t="shared" si="2"/>
        <v>1435000</v>
      </c>
    </row>
    <row r="91" spans="1:14">
      <c r="A91" s="619">
        <v>45535</v>
      </c>
      <c r="B91" s="619">
        <v>45535</v>
      </c>
      <c r="C91" s="620" t="s">
        <v>512</v>
      </c>
      <c r="D91" s="620" t="s">
        <v>732</v>
      </c>
      <c r="E91" s="620" t="s">
        <v>476</v>
      </c>
      <c r="F91" s="620" t="s">
        <v>446</v>
      </c>
      <c r="G91" s="620" t="s">
        <v>387</v>
      </c>
      <c r="H91" s="621">
        <v>374002</v>
      </c>
      <c r="I91" s="621">
        <v>0</v>
      </c>
      <c r="J91" s="850"/>
      <c r="K91" s="850"/>
      <c r="L91" s="850"/>
      <c r="M91" s="620" t="s">
        <v>488</v>
      </c>
      <c r="N91" s="848">
        <f t="shared" si="2"/>
        <v>374002</v>
      </c>
    </row>
    <row r="92" spans="1:14">
      <c r="A92" s="619">
        <v>45535</v>
      </c>
      <c r="B92" s="619">
        <v>45535</v>
      </c>
      <c r="C92" s="620" t="s">
        <v>512</v>
      </c>
      <c r="D92" s="620" t="s">
        <v>732</v>
      </c>
      <c r="E92" s="620" t="s">
        <v>476</v>
      </c>
      <c r="F92" s="620" t="s">
        <v>446</v>
      </c>
      <c r="G92" s="620" t="s">
        <v>389</v>
      </c>
      <c r="H92" s="621">
        <v>11179555</v>
      </c>
      <c r="I92" s="621">
        <v>0</v>
      </c>
      <c r="J92" s="850"/>
      <c r="K92" s="850"/>
      <c r="L92" s="850"/>
      <c r="M92" s="620" t="s">
        <v>488</v>
      </c>
      <c r="N92" s="848">
        <f t="shared" si="2"/>
        <v>11179555</v>
      </c>
    </row>
    <row r="93" spans="1:14">
      <c r="A93" s="619">
        <v>45535</v>
      </c>
      <c r="B93" s="619">
        <v>45535</v>
      </c>
      <c r="C93" s="620" t="s">
        <v>512</v>
      </c>
      <c r="D93" s="620" t="s">
        <v>732</v>
      </c>
      <c r="E93" s="620" t="s">
        <v>476</v>
      </c>
      <c r="F93" s="620" t="s">
        <v>446</v>
      </c>
      <c r="G93" s="620" t="s">
        <v>395</v>
      </c>
      <c r="H93" s="621">
        <v>11627233</v>
      </c>
      <c r="I93" s="621">
        <v>0</v>
      </c>
      <c r="J93" s="850"/>
      <c r="K93" s="850"/>
      <c r="L93" s="850"/>
      <c r="M93" s="620" t="s">
        <v>488</v>
      </c>
      <c r="N93" s="848">
        <f t="shared" si="2"/>
        <v>11627233</v>
      </c>
    </row>
    <row r="94" spans="1:14">
      <c r="A94" s="619">
        <v>45535</v>
      </c>
      <c r="B94" s="619">
        <v>45535</v>
      </c>
      <c r="C94" s="620" t="s">
        <v>512</v>
      </c>
      <c r="D94" s="620" t="s">
        <v>732</v>
      </c>
      <c r="E94" s="620" t="s">
        <v>476</v>
      </c>
      <c r="F94" s="620" t="s">
        <v>446</v>
      </c>
      <c r="G94" s="620" t="s">
        <v>397</v>
      </c>
      <c r="H94" s="621">
        <v>35556</v>
      </c>
      <c r="I94" s="621">
        <v>0</v>
      </c>
      <c r="J94" s="850"/>
      <c r="K94" s="850"/>
      <c r="L94" s="850"/>
      <c r="M94" s="620" t="s">
        <v>488</v>
      </c>
      <c r="N94" s="848">
        <f t="shared" si="2"/>
        <v>35556</v>
      </c>
    </row>
    <row r="95" spans="1:14">
      <c r="A95" s="619">
        <v>45535</v>
      </c>
      <c r="B95" s="619">
        <v>45535</v>
      </c>
      <c r="C95" s="620" t="s">
        <v>512</v>
      </c>
      <c r="D95" s="620" t="s">
        <v>732</v>
      </c>
      <c r="E95" s="620" t="s">
        <v>479</v>
      </c>
      <c r="F95" s="620" t="s">
        <v>446</v>
      </c>
      <c r="G95" s="620" t="s">
        <v>217</v>
      </c>
      <c r="H95" s="621">
        <v>0</v>
      </c>
      <c r="I95" s="621">
        <v>8765542</v>
      </c>
      <c r="J95" s="850"/>
      <c r="K95" s="850"/>
      <c r="L95" s="850"/>
      <c r="M95" s="620" t="s">
        <v>488</v>
      </c>
      <c r="N95" s="848">
        <f t="shared" si="2"/>
        <v>-8765542</v>
      </c>
    </row>
    <row r="96" spans="1:14">
      <c r="A96" s="619">
        <v>45565</v>
      </c>
      <c r="B96" s="619">
        <v>45565</v>
      </c>
      <c r="C96" s="620" t="s">
        <v>513</v>
      </c>
      <c r="D96" s="620" t="s">
        <v>733</v>
      </c>
      <c r="E96" s="620" t="s">
        <v>468</v>
      </c>
      <c r="F96" s="620" t="s">
        <v>446</v>
      </c>
      <c r="G96" s="620" t="s">
        <v>720</v>
      </c>
      <c r="H96" s="621">
        <v>0</v>
      </c>
      <c r="I96" s="621">
        <v>1683857029</v>
      </c>
      <c r="J96" s="850"/>
      <c r="K96" s="850"/>
      <c r="L96" s="850"/>
      <c r="M96" s="620" t="s">
        <v>488</v>
      </c>
      <c r="N96" s="848">
        <f t="shared" si="2"/>
        <v>-1683857029</v>
      </c>
    </row>
    <row r="97" spans="1:14">
      <c r="A97" s="619">
        <v>45565</v>
      </c>
      <c r="B97" s="619">
        <v>45565</v>
      </c>
      <c r="C97" s="620" t="s">
        <v>513</v>
      </c>
      <c r="D97" s="620" t="s">
        <v>733</v>
      </c>
      <c r="E97" s="620" t="s">
        <v>472</v>
      </c>
      <c r="F97" s="620" t="s">
        <v>446</v>
      </c>
      <c r="G97" s="620">
        <v>5151</v>
      </c>
      <c r="H97" s="621">
        <v>0</v>
      </c>
      <c r="I97" s="621">
        <v>10401449</v>
      </c>
      <c r="J97" s="850"/>
      <c r="K97" s="850"/>
      <c r="L97" s="850"/>
      <c r="M97" s="620" t="s">
        <v>488</v>
      </c>
      <c r="N97" s="848">
        <f t="shared" si="2"/>
        <v>-10401449</v>
      </c>
    </row>
    <row r="98" spans="1:14">
      <c r="A98" s="619">
        <v>45565</v>
      </c>
      <c r="B98" s="619">
        <v>45565</v>
      </c>
      <c r="C98" s="620" t="s">
        <v>513</v>
      </c>
      <c r="D98" s="620" t="s">
        <v>733</v>
      </c>
      <c r="E98" s="620" t="s">
        <v>473</v>
      </c>
      <c r="F98" s="620" t="s">
        <v>446</v>
      </c>
      <c r="G98" s="620" t="s">
        <v>303</v>
      </c>
      <c r="H98" s="621">
        <v>1647343066</v>
      </c>
      <c r="I98" s="621">
        <v>0</v>
      </c>
      <c r="J98" s="850"/>
      <c r="K98" s="850"/>
      <c r="L98" s="850"/>
      <c r="M98" s="620" t="s">
        <v>488</v>
      </c>
      <c r="N98" s="848">
        <f t="shared" si="2"/>
        <v>1647343066</v>
      </c>
    </row>
    <row r="99" spans="1:14">
      <c r="A99" s="619">
        <v>45565</v>
      </c>
      <c r="B99" s="619">
        <v>45565</v>
      </c>
      <c r="C99" s="620" t="s">
        <v>513</v>
      </c>
      <c r="D99" s="620" t="s">
        <v>733</v>
      </c>
      <c r="E99" s="620" t="s">
        <v>475</v>
      </c>
      <c r="F99" s="620" t="s">
        <v>446</v>
      </c>
      <c r="G99" s="620" t="s">
        <v>369</v>
      </c>
      <c r="H99" s="621">
        <v>2860000</v>
      </c>
      <c r="I99" s="621">
        <v>0</v>
      </c>
      <c r="J99" s="850"/>
      <c r="K99" s="850"/>
      <c r="L99" s="850"/>
      <c r="M99" s="620" t="s">
        <v>488</v>
      </c>
      <c r="N99" s="848">
        <f t="shared" si="2"/>
        <v>2860000</v>
      </c>
    </row>
    <row r="100" spans="1:14">
      <c r="A100" s="619">
        <v>45565</v>
      </c>
      <c r="B100" s="619">
        <v>45565</v>
      </c>
      <c r="C100" s="620" t="s">
        <v>513</v>
      </c>
      <c r="D100" s="620" t="s">
        <v>733</v>
      </c>
      <c r="E100" s="620" t="s">
        <v>476</v>
      </c>
      <c r="F100" s="620" t="s">
        <v>446</v>
      </c>
      <c r="G100" s="620" t="s">
        <v>721</v>
      </c>
      <c r="H100" s="621">
        <v>18957395</v>
      </c>
      <c r="I100" s="621">
        <v>0</v>
      </c>
      <c r="J100" s="850"/>
      <c r="K100" s="850"/>
      <c r="L100" s="850"/>
      <c r="M100" s="620" t="s">
        <v>488</v>
      </c>
      <c r="N100" s="848">
        <f t="shared" si="2"/>
        <v>18957395</v>
      </c>
    </row>
    <row r="101" spans="1:14">
      <c r="A101" s="619">
        <v>45565</v>
      </c>
      <c r="B101" s="619">
        <v>45565</v>
      </c>
      <c r="C101" s="620" t="s">
        <v>513</v>
      </c>
      <c r="D101" s="620" t="s">
        <v>733</v>
      </c>
      <c r="E101" s="620" t="s">
        <v>476</v>
      </c>
      <c r="F101" s="620" t="s">
        <v>446</v>
      </c>
      <c r="G101" s="620" t="s">
        <v>722</v>
      </c>
      <c r="H101" s="621">
        <v>1435000</v>
      </c>
      <c r="I101" s="621">
        <v>0</v>
      </c>
      <c r="J101" s="850"/>
      <c r="K101" s="850"/>
      <c r="L101" s="850"/>
      <c r="M101" s="620" t="s">
        <v>488</v>
      </c>
      <c r="N101" s="848">
        <f t="shared" si="2"/>
        <v>1435000</v>
      </c>
    </row>
    <row r="102" spans="1:14">
      <c r="A102" s="619">
        <v>45565</v>
      </c>
      <c r="B102" s="619">
        <v>45565</v>
      </c>
      <c r="C102" s="620" t="s">
        <v>513</v>
      </c>
      <c r="D102" s="620" t="s">
        <v>733</v>
      </c>
      <c r="E102" s="620" t="s">
        <v>476</v>
      </c>
      <c r="F102" s="620" t="s">
        <v>446</v>
      </c>
      <c r="G102" s="620" t="s">
        <v>387</v>
      </c>
      <c r="H102" s="621">
        <v>99110</v>
      </c>
      <c r="I102" s="621">
        <v>0</v>
      </c>
      <c r="J102" s="850"/>
      <c r="K102" s="850"/>
      <c r="L102" s="850"/>
      <c r="M102" s="620" t="s">
        <v>488</v>
      </c>
      <c r="N102" s="848">
        <f t="shared" si="2"/>
        <v>99110</v>
      </c>
    </row>
    <row r="103" spans="1:14">
      <c r="A103" s="619">
        <v>45565</v>
      </c>
      <c r="B103" s="619">
        <v>45565</v>
      </c>
      <c r="C103" s="620" t="s">
        <v>513</v>
      </c>
      <c r="D103" s="620" t="s">
        <v>733</v>
      </c>
      <c r="E103" s="620" t="s">
        <v>476</v>
      </c>
      <c r="F103" s="620" t="s">
        <v>446</v>
      </c>
      <c r="G103" s="620" t="s">
        <v>389</v>
      </c>
      <c r="H103" s="621">
        <v>10307211</v>
      </c>
      <c r="I103" s="621">
        <v>0</v>
      </c>
      <c r="J103" s="850"/>
      <c r="K103" s="850"/>
      <c r="L103" s="850"/>
      <c r="M103" s="620" t="s">
        <v>488</v>
      </c>
      <c r="N103" s="848">
        <f t="shared" si="2"/>
        <v>10307211</v>
      </c>
    </row>
    <row r="104" spans="1:14">
      <c r="A104" s="619">
        <v>45565</v>
      </c>
      <c r="B104" s="619">
        <v>45565</v>
      </c>
      <c r="C104" s="620" t="s">
        <v>513</v>
      </c>
      <c r="D104" s="620" t="s">
        <v>733</v>
      </c>
      <c r="E104" s="620" t="s">
        <v>476</v>
      </c>
      <c r="F104" s="620" t="s">
        <v>446</v>
      </c>
      <c r="G104" s="620" t="s">
        <v>395</v>
      </c>
      <c r="H104" s="621">
        <v>11627233</v>
      </c>
      <c r="I104" s="621">
        <v>0</v>
      </c>
      <c r="J104" s="850"/>
      <c r="K104" s="850"/>
      <c r="L104" s="850"/>
      <c r="M104" s="620" t="s">
        <v>488</v>
      </c>
      <c r="N104" s="848">
        <f t="shared" si="2"/>
        <v>11627233</v>
      </c>
    </row>
    <row r="105" spans="1:14">
      <c r="A105" s="619">
        <v>45565</v>
      </c>
      <c r="B105" s="619">
        <v>45565</v>
      </c>
      <c r="C105" s="620" t="s">
        <v>513</v>
      </c>
      <c r="D105" s="620" t="s">
        <v>733</v>
      </c>
      <c r="E105" s="620" t="s">
        <v>476</v>
      </c>
      <c r="F105" s="620" t="s">
        <v>446</v>
      </c>
      <c r="G105" s="620" t="s">
        <v>397</v>
      </c>
      <c r="H105" s="621">
        <v>35556</v>
      </c>
      <c r="I105" s="621">
        <v>0</v>
      </c>
      <c r="J105" s="850"/>
      <c r="K105" s="850"/>
      <c r="L105" s="850"/>
      <c r="M105" s="620" t="s">
        <v>488</v>
      </c>
      <c r="N105" s="848">
        <f t="shared" si="2"/>
        <v>35556</v>
      </c>
    </row>
    <row r="106" spans="1:14">
      <c r="A106" s="619">
        <v>45565</v>
      </c>
      <c r="B106" s="619">
        <v>45565</v>
      </c>
      <c r="C106" s="620" t="s">
        <v>513</v>
      </c>
      <c r="D106" s="620" t="s">
        <v>733</v>
      </c>
      <c r="E106" s="620" t="s">
        <v>479</v>
      </c>
      <c r="F106" s="620" t="s">
        <v>446</v>
      </c>
      <c r="G106" s="620" t="s">
        <v>217</v>
      </c>
      <c r="H106" s="621">
        <v>1593907</v>
      </c>
      <c r="I106" s="621">
        <v>0</v>
      </c>
      <c r="J106" s="850"/>
      <c r="K106" s="850"/>
      <c r="L106" s="850"/>
      <c r="M106" s="620" t="s">
        <v>488</v>
      </c>
      <c r="N106" s="848">
        <f t="shared" si="2"/>
        <v>1593907</v>
      </c>
    </row>
    <row r="107" spans="1:14">
      <c r="A107" s="619">
        <v>45596</v>
      </c>
      <c r="B107" s="619">
        <v>45596</v>
      </c>
      <c r="C107" s="620" t="s">
        <v>514</v>
      </c>
      <c r="D107" s="620" t="s">
        <v>734</v>
      </c>
      <c r="E107" s="620" t="s">
        <v>468</v>
      </c>
      <c r="F107" s="620" t="s">
        <v>446</v>
      </c>
      <c r="G107" s="620" t="s">
        <v>720</v>
      </c>
      <c r="H107" s="621">
        <v>0</v>
      </c>
      <c r="I107" s="621">
        <v>2752309498</v>
      </c>
      <c r="J107" s="850"/>
      <c r="K107" s="850"/>
      <c r="L107" s="850"/>
      <c r="M107" s="620" t="s">
        <v>488</v>
      </c>
      <c r="N107" s="848">
        <f t="shared" si="2"/>
        <v>-2752309498</v>
      </c>
    </row>
    <row r="108" spans="1:14">
      <c r="A108" s="619">
        <v>45596</v>
      </c>
      <c r="B108" s="619">
        <v>45596</v>
      </c>
      <c r="C108" s="620" t="s">
        <v>514</v>
      </c>
      <c r="D108" s="620" t="s">
        <v>734</v>
      </c>
      <c r="E108" s="620" t="s">
        <v>472</v>
      </c>
      <c r="F108" s="620" t="s">
        <v>446</v>
      </c>
      <c r="G108" s="620">
        <v>5151</v>
      </c>
      <c r="H108" s="621">
        <v>0</v>
      </c>
      <c r="I108" s="621">
        <v>11103090</v>
      </c>
      <c r="J108" s="850"/>
      <c r="K108" s="850"/>
      <c r="L108" s="850"/>
      <c r="M108" s="620" t="s">
        <v>488</v>
      </c>
      <c r="N108" s="848">
        <f t="shared" si="2"/>
        <v>-11103090</v>
      </c>
    </row>
    <row r="109" spans="1:14">
      <c r="A109" s="619">
        <v>45596</v>
      </c>
      <c r="B109" s="619">
        <v>45596</v>
      </c>
      <c r="C109" s="620" t="s">
        <v>514</v>
      </c>
      <c r="D109" s="620" t="s">
        <v>734</v>
      </c>
      <c r="E109" s="620" t="s">
        <v>473</v>
      </c>
      <c r="F109" s="620" t="s">
        <v>446</v>
      </c>
      <c r="G109" s="620" t="s">
        <v>303</v>
      </c>
      <c r="H109" s="621">
        <v>2699007000</v>
      </c>
      <c r="I109" s="621">
        <v>0</v>
      </c>
      <c r="J109" s="850"/>
      <c r="K109" s="850"/>
      <c r="L109" s="850"/>
      <c r="M109" s="620" t="s">
        <v>488</v>
      </c>
      <c r="N109" s="848">
        <f t="shared" si="2"/>
        <v>2699007000</v>
      </c>
    </row>
    <row r="110" spans="1:14">
      <c r="A110" s="619">
        <v>45596</v>
      </c>
      <c r="B110" s="619">
        <v>45596</v>
      </c>
      <c r="C110" s="620" t="s">
        <v>514</v>
      </c>
      <c r="D110" s="620" t="s">
        <v>734</v>
      </c>
      <c r="E110" s="620" t="s">
        <v>475</v>
      </c>
      <c r="F110" s="620" t="s">
        <v>446</v>
      </c>
      <c r="G110" s="620" t="s">
        <v>369</v>
      </c>
      <c r="H110" s="621">
        <v>2860000</v>
      </c>
      <c r="I110" s="621">
        <v>0</v>
      </c>
      <c r="J110" s="850"/>
      <c r="K110" s="850"/>
      <c r="L110" s="850"/>
      <c r="M110" s="620" t="s">
        <v>488</v>
      </c>
      <c r="N110" s="848">
        <f t="shared" si="2"/>
        <v>2860000</v>
      </c>
    </row>
    <row r="111" spans="1:14">
      <c r="A111" s="619">
        <v>45596</v>
      </c>
      <c r="B111" s="619">
        <v>45596</v>
      </c>
      <c r="C111" s="620" t="s">
        <v>514</v>
      </c>
      <c r="D111" s="620" t="s">
        <v>734</v>
      </c>
      <c r="E111" s="620" t="s">
        <v>476</v>
      </c>
      <c r="F111" s="620" t="s">
        <v>446</v>
      </c>
      <c r="G111" s="620" t="s">
        <v>721</v>
      </c>
      <c r="H111" s="621">
        <v>18971150</v>
      </c>
      <c r="I111" s="621">
        <v>0</v>
      </c>
      <c r="J111" s="850"/>
      <c r="K111" s="850"/>
      <c r="L111" s="850"/>
      <c r="M111" s="620" t="s">
        <v>488</v>
      </c>
      <c r="N111" s="848">
        <f t="shared" si="2"/>
        <v>18971150</v>
      </c>
    </row>
    <row r="112" spans="1:14">
      <c r="A112" s="619">
        <v>45596</v>
      </c>
      <c r="B112" s="619">
        <v>45596</v>
      </c>
      <c r="C112" s="620" t="s">
        <v>514</v>
      </c>
      <c r="D112" s="620" t="s">
        <v>734</v>
      </c>
      <c r="E112" s="620" t="s">
        <v>476</v>
      </c>
      <c r="F112" s="620" t="s">
        <v>446</v>
      </c>
      <c r="G112" s="620" t="s">
        <v>722</v>
      </c>
      <c r="H112" s="621">
        <v>1435000</v>
      </c>
      <c r="I112" s="621">
        <v>0</v>
      </c>
      <c r="J112" s="850"/>
      <c r="K112" s="850"/>
      <c r="L112" s="850"/>
      <c r="M112" s="620" t="s">
        <v>488</v>
      </c>
      <c r="N112" s="848">
        <f t="shared" si="2"/>
        <v>1435000</v>
      </c>
    </row>
    <row r="113" spans="1:14">
      <c r="A113" s="619">
        <v>45596</v>
      </c>
      <c r="B113" s="619">
        <v>45596</v>
      </c>
      <c r="C113" s="620" t="s">
        <v>514</v>
      </c>
      <c r="D113" s="620" t="s">
        <v>734</v>
      </c>
      <c r="E113" s="620" t="s">
        <v>476</v>
      </c>
      <c r="F113" s="620" t="s">
        <v>446</v>
      </c>
      <c r="G113" s="620" t="s">
        <v>387</v>
      </c>
      <c r="H113" s="621">
        <v>99110</v>
      </c>
      <c r="I113" s="621">
        <v>0</v>
      </c>
      <c r="J113" s="850"/>
      <c r="K113" s="850"/>
      <c r="L113" s="850"/>
      <c r="M113" s="620" t="s">
        <v>488</v>
      </c>
      <c r="N113" s="848">
        <f t="shared" si="2"/>
        <v>99110</v>
      </c>
    </row>
    <row r="114" spans="1:14">
      <c r="A114" s="619">
        <v>45596</v>
      </c>
      <c r="B114" s="619">
        <v>45596</v>
      </c>
      <c r="C114" s="620" t="s">
        <v>514</v>
      </c>
      <c r="D114" s="620" t="s">
        <v>734</v>
      </c>
      <c r="E114" s="620" t="s">
        <v>476</v>
      </c>
      <c r="F114" s="620" t="s">
        <v>446</v>
      </c>
      <c r="G114" s="620" t="s">
        <v>389</v>
      </c>
      <c r="H114" s="621">
        <v>8054361</v>
      </c>
      <c r="I114" s="621">
        <v>0</v>
      </c>
      <c r="J114" s="850"/>
      <c r="K114" s="850"/>
      <c r="L114" s="850"/>
      <c r="M114" s="620" t="s">
        <v>488</v>
      </c>
      <c r="N114" s="848">
        <f t="shared" si="2"/>
        <v>8054361</v>
      </c>
    </row>
    <row r="115" spans="1:14">
      <c r="A115" s="619">
        <v>45596</v>
      </c>
      <c r="B115" s="619">
        <v>45596</v>
      </c>
      <c r="C115" s="620" t="s">
        <v>514</v>
      </c>
      <c r="D115" s="620" t="s">
        <v>734</v>
      </c>
      <c r="E115" s="620" t="s">
        <v>476</v>
      </c>
      <c r="F115" s="620" t="s">
        <v>446</v>
      </c>
      <c r="G115" s="620" t="s">
        <v>395</v>
      </c>
      <c r="H115" s="621">
        <v>11708840</v>
      </c>
      <c r="I115" s="621">
        <v>0</v>
      </c>
      <c r="J115" s="850"/>
      <c r="K115" s="850"/>
      <c r="L115" s="850"/>
      <c r="M115" s="620" t="s">
        <v>488</v>
      </c>
      <c r="N115" s="848">
        <f t="shared" si="2"/>
        <v>11708840</v>
      </c>
    </row>
    <row r="116" spans="1:14">
      <c r="A116" s="619">
        <v>45596</v>
      </c>
      <c r="B116" s="619">
        <v>45596</v>
      </c>
      <c r="C116" s="620" t="s">
        <v>514</v>
      </c>
      <c r="D116" s="620" t="s">
        <v>734</v>
      </c>
      <c r="E116" s="620" t="s">
        <v>476</v>
      </c>
      <c r="F116" s="620" t="s">
        <v>446</v>
      </c>
      <c r="G116" s="620" t="s">
        <v>397</v>
      </c>
      <c r="H116" s="621">
        <v>35556</v>
      </c>
      <c r="I116" s="621">
        <v>0</v>
      </c>
      <c r="J116" s="850"/>
      <c r="K116" s="850"/>
      <c r="L116" s="850"/>
      <c r="M116" s="620" t="s">
        <v>488</v>
      </c>
      <c r="N116" s="848">
        <f t="shared" si="2"/>
        <v>35556</v>
      </c>
    </row>
    <row r="117" spans="1:14">
      <c r="A117" s="619">
        <v>45596</v>
      </c>
      <c r="B117" s="619">
        <v>45596</v>
      </c>
      <c r="C117" s="620" t="s">
        <v>514</v>
      </c>
      <c r="D117" s="620" t="s">
        <v>734</v>
      </c>
      <c r="E117" s="620" t="s">
        <v>479</v>
      </c>
      <c r="F117" s="620" t="s">
        <v>446</v>
      </c>
      <c r="G117" s="620" t="s">
        <v>217</v>
      </c>
      <c r="H117" s="621">
        <v>21241571</v>
      </c>
      <c r="I117" s="621">
        <v>0</v>
      </c>
      <c r="J117" s="850"/>
      <c r="K117" s="850"/>
      <c r="L117" s="850"/>
      <c r="M117" s="620" t="s">
        <v>488</v>
      </c>
      <c r="N117" s="848">
        <f t="shared" si="2"/>
        <v>21241571</v>
      </c>
    </row>
    <row r="118" spans="1:14">
      <c r="A118" s="619">
        <v>45626</v>
      </c>
      <c r="B118" s="619">
        <v>45626</v>
      </c>
      <c r="C118" s="620" t="s">
        <v>515</v>
      </c>
      <c r="D118" s="620" t="s">
        <v>735</v>
      </c>
      <c r="E118" s="620" t="s">
        <v>468</v>
      </c>
      <c r="F118" s="620" t="s">
        <v>446</v>
      </c>
      <c r="G118" s="620" t="s">
        <v>720</v>
      </c>
      <c r="H118" s="621">
        <v>0</v>
      </c>
      <c r="I118" s="621">
        <v>5377853442</v>
      </c>
      <c r="J118" s="850"/>
      <c r="K118" s="850"/>
      <c r="L118" s="850"/>
      <c r="M118" s="620" t="s">
        <v>488</v>
      </c>
      <c r="N118" s="848">
        <f t="shared" si="2"/>
        <v>-5377853442</v>
      </c>
    </row>
    <row r="119" spans="1:14">
      <c r="A119" s="619">
        <v>45626</v>
      </c>
      <c r="B119" s="619">
        <v>45626</v>
      </c>
      <c r="C119" s="620" t="s">
        <v>515</v>
      </c>
      <c r="D119" s="620" t="s">
        <v>735</v>
      </c>
      <c r="E119" s="620" t="s">
        <v>472</v>
      </c>
      <c r="F119" s="620" t="s">
        <v>446</v>
      </c>
      <c r="G119" s="620">
        <v>5151</v>
      </c>
      <c r="H119" s="621">
        <v>0</v>
      </c>
      <c r="I119" s="621">
        <v>10766265</v>
      </c>
      <c r="J119" s="850"/>
      <c r="K119" s="850"/>
      <c r="L119" s="850"/>
      <c r="M119" s="620" t="s">
        <v>488</v>
      </c>
      <c r="N119" s="848">
        <f t="shared" si="2"/>
        <v>-10766265</v>
      </c>
    </row>
    <row r="120" spans="1:14">
      <c r="A120" s="619">
        <v>45626</v>
      </c>
      <c r="B120" s="619">
        <v>45626</v>
      </c>
      <c r="C120" s="620" t="s">
        <v>515</v>
      </c>
      <c r="D120" s="620" t="s">
        <v>735</v>
      </c>
      <c r="E120" s="620" t="s">
        <v>473</v>
      </c>
      <c r="F120" s="620" t="s">
        <v>446</v>
      </c>
      <c r="G120" s="620" t="s">
        <v>303</v>
      </c>
      <c r="H120" s="621">
        <v>5315693400</v>
      </c>
      <c r="I120" s="621">
        <v>0</v>
      </c>
      <c r="J120" s="850"/>
      <c r="K120" s="850"/>
      <c r="L120" s="850"/>
      <c r="M120" s="620" t="s">
        <v>488</v>
      </c>
      <c r="N120" s="848">
        <f t="shared" si="2"/>
        <v>5315693400</v>
      </c>
    </row>
    <row r="121" spans="1:14">
      <c r="A121" s="619">
        <v>45626</v>
      </c>
      <c r="B121" s="619">
        <v>45626</v>
      </c>
      <c r="C121" s="620" t="s">
        <v>515</v>
      </c>
      <c r="D121" s="620" t="s">
        <v>735</v>
      </c>
      <c r="E121" s="620" t="s">
        <v>475</v>
      </c>
      <c r="F121" s="620" t="s">
        <v>446</v>
      </c>
      <c r="G121" s="620" t="s">
        <v>369</v>
      </c>
      <c r="H121" s="621">
        <v>2860000</v>
      </c>
      <c r="I121" s="621">
        <v>0</v>
      </c>
      <c r="J121" s="850"/>
      <c r="K121" s="850"/>
      <c r="L121" s="850"/>
      <c r="M121" s="620" t="s">
        <v>488</v>
      </c>
      <c r="N121" s="848">
        <f t="shared" si="2"/>
        <v>2860000</v>
      </c>
    </row>
    <row r="122" spans="1:14">
      <c r="A122" s="619">
        <v>45626</v>
      </c>
      <c r="B122" s="619">
        <v>45626</v>
      </c>
      <c r="C122" s="620" t="s">
        <v>515</v>
      </c>
      <c r="D122" s="620" t="s">
        <v>735</v>
      </c>
      <c r="E122" s="620" t="s">
        <v>476</v>
      </c>
      <c r="F122" s="620" t="s">
        <v>446</v>
      </c>
      <c r="G122" s="620" t="s">
        <v>721</v>
      </c>
      <c r="H122" s="621">
        <v>18964505</v>
      </c>
      <c r="I122" s="621">
        <v>0</v>
      </c>
      <c r="J122" s="850"/>
      <c r="K122" s="850"/>
      <c r="L122" s="850"/>
      <c r="M122" s="620" t="s">
        <v>488</v>
      </c>
      <c r="N122" s="848">
        <f t="shared" si="2"/>
        <v>18964505</v>
      </c>
    </row>
    <row r="123" spans="1:14">
      <c r="A123" s="619">
        <v>45626</v>
      </c>
      <c r="B123" s="619">
        <v>45626</v>
      </c>
      <c r="C123" s="620" t="s">
        <v>515</v>
      </c>
      <c r="D123" s="620" t="s">
        <v>735</v>
      </c>
      <c r="E123" s="620" t="s">
        <v>476</v>
      </c>
      <c r="F123" s="620" t="s">
        <v>446</v>
      </c>
      <c r="G123" s="620" t="s">
        <v>722</v>
      </c>
      <c r="H123" s="621">
        <v>1435000</v>
      </c>
      <c r="I123" s="621">
        <v>0</v>
      </c>
      <c r="J123" s="850"/>
      <c r="K123" s="850"/>
      <c r="L123" s="850"/>
      <c r="M123" s="620" t="s">
        <v>488</v>
      </c>
      <c r="N123" s="848">
        <f t="shared" si="2"/>
        <v>1435000</v>
      </c>
    </row>
    <row r="124" spans="1:14">
      <c r="A124" s="619">
        <v>45626</v>
      </c>
      <c r="B124" s="619">
        <v>45626</v>
      </c>
      <c r="C124" s="620" t="s">
        <v>515</v>
      </c>
      <c r="D124" s="620" t="s">
        <v>735</v>
      </c>
      <c r="E124" s="620" t="s">
        <v>476</v>
      </c>
      <c r="F124" s="620" t="s">
        <v>446</v>
      </c>
      <c r="G124" s="620" t="s">
        <v>387</v>
      </c>
      <c r="H124" s="621">
        <v>99000</v>
      </c>
      <c r="I124" s="621">
        <v>0</v>
      </c>
      <c r="J124" s="850"/>
      <c r="K124" s="850"/>
      <c r="L124" s="850"/>
      <c r="M124" s="620" t="s">
        <v>488</v>
      </c>
      <c r="N124" s="848">
        <f t="shared" si="2"/>
        <v>99000</v>
      </c>
    </row>
    <row r="125" spans="1:14">
      <c r="A125" s="619">
        <v>45626</v>
      </c>
      <c r="B125" s="619">
        <v>45626</v>
      </c>
      <c r="C125" s="620" t="s">
        <v>515</v>
      </c>
      <c r="D125" s="620" t="s">
        <v>735</v>
      </c>
      <c r="E125" s="620" t="s">
        <v>476</v>
      </c>
      <c r="F125" s="620" t="s">
        <v>446</v>
      </c>
      <c r="G125" s="620" t="s">
        <v>389</v>
      </c>
      <c r="H125" s="621">
        <v>7213815</v>
      </c>
      <c r="I125" s="621">
        <v>0</v>
      </c>
      <c r="J125" s="850"/>
      <c r="K125" s="850"/>
      <c r="L125" s="850"/>
      <c r="M125" s="620" t="s">
        <v>488</v>
      </c>
      <c r="N125" s="848">
        <f t="shared" si="2"/>
        <v>7213815</v>
      </c>
    </row>
    <row r="126" spans="1:14">
      <c r="A126" s="619">
        <v>45626</v>
      </c>
      <c r="B126" s="619">
        <v>45626</v>
      </c>
      <c r="C126" s="620" t="s">
        <v>515</v>
      </c>
      <c r="D126" s="620" t="s">
        <v>735</v>
      </c>
      <c r="E126" s="620" t="s">
        <v>476</v>
      </c>
      <c r="F126" s="620" t="s">
        <v>446</v>
      </c>
      <c r="G126" s="620" t="s">
        <v>395</v>
      </c>
      <c r="H126" s="621">
        <v>11708840</v>
      </c>
      <c r="I126" s="621">
        <v>0</v>
      </c>
      <c r="J126" s="850"/>
      <c r="K126" s="850"/>
      <c r="L126" s="850"/>
      <c r="M126" s="620" t="s">
        <v>488</v>
      </c>
      <c r="N126" s="848">
        <f t="shared" si="2"/>
        <v>11708840</v>
      </c>
    </row>
    <row r="127" spans="1:14">
      <c r="A127" s="619">
        <v>45626</v>
      </c>
      <c r="B127" s="619">
        <v>45626</v>
      </c>
      <c r="C127" s="620" t="s">
        <v>515</v>
      </c>
      <c r="D127" s="620" t="s">
        <v>735</v>
      </c>
      <c r="E127" s="620" t="s">
        <v>476</v>
      </c>
      <c r="F127" s="620" t="s">
        <v>446</v>
      </c>
      <c r="G127" s="620" t="s">
        <v>397</v>
      </c>
      <c r="H127" s="621">
        <v>35556</v>
      </c>
      <c r="I127" s="621">
        <v>0</v>
      </c>
      <c r="J127" s="850"/>
      <c r="K127" s="850"/>
      <c r="L127" s="850"/>
      <c r="M127" s="620" t="s">
        <v>488</v>
      </c>
      <c r="N127" s="848">
        <f t="shared" si="2"/>
        <v>35556</v>
      </c>
    </row>
    <row r="128" spans="1:14">
      <c r="A128" s="619">
        <v>45626</v>
      </c>
      <c r="B128" s="619">
        <v>45626</v>
      </c>
      <c r="C128" s="620" t="s">
        <v>515</v>
      </c>
      <c r="D128" s="620" t="s">
        <v>735</v>
      </c>
      <c r="E128" s="620" t="s">
        <v>479</v>
      </c>
      <c r="F128" s="620" t="s">
        <v>446</v>
      </c>
      <c r="G128" s="620" t="s">
        <v>217</v>
      </c>
      <c r="H128" s="621">
        <v>30609591</v>
      </c>
      <c r="I128" s="621">
        <v>0</v>
      </c>
      <c r="J128" s="850"/>
      <c r="K128" s="850"/>
      <c r="L128" s="850"/>
      <c r="M128" s="620" t="s">
        <v>488</v>
      </c>
      <c r="N128" s="848">
        <f t="shared" si="2"/>
        <v>30609591</v>
      </c>
    </row>
    <row r="129" spans="1:14">
      <c r="A129" s="619">
        <v>45657</v>
      </c>
      <c r="B129" s="619">
        <v>45657</v>
      </c>
      <c r="C129" s="620" t="s">
        <v>516</v>
      </c>
      <c r="D129" s="620" t="s">
        <v>736</v>
      </c>
      <c r="E129" s="620" t="s">
        <v>468</v>
      </c>
      <c r="F129" s="620" t="s">
        <v>446</v>
      </c>
      <c r="G129" s="620" t="s">
        <v>720</v>
      </c>
      <c r="H129" s="621">
        <v>0</v>
      </c>
      <c r="I129" s="621">
        <v>1171445287</v>
      </c>
      <c r="J129" s="850"/>
      <c r="K129" s="850"/>
      <c r="L129" s="850"/>
      <c r="M129" s="620" t="s">
        <v>488</v>
      </c>
      <c r="N129" s="848">
        <f t="shared" si="2"/>
        <v>-1171445287</v>
      </c>
    </row>
    <row r="130" spans="1:14">
      <c r="A130" s="619">
        <v>45657</v>
      </c>
      <c r="B130" s="619">
        <v>45657</v>
      </c>
      <c r="C130" s="620" t="s">
        <v>516</v>
      </c>
      <c r="D130" s="620" t="s">
        <v>736</v>
      </c>
      <c r="E130" s="620" t="s">
        <v>472</v>
      </c>
      <c r="F130" s="620" t="s">
        <v>446</v>
      </c>
      <c r="G130" s="620">
        <v>5151</v>
      </c>
      <c r="H130" s="621">
        <v>0</v>
      </c>
      <c r="I130" s="621">
        <v>11107027</v>
      </c>
      <c r="J130" s="850"/>
      <c r="K130" s="850"/>
      <c r="L130" s="850"/>
      <c r="M130" s="620" t="s">
        <v>488</v>
      </c>
      <c r="N130" s="848">
        <f t="shared" si="2"/>
        <v>-11107027</v>
      </c>
    </row>
    <row r="131" spans="1:14">
      <c r="A131" s="619">
        <v>45657</v>
      </c>
      <c r="B131" s="619">
        <v>45657</v>
      </c>
      <c r="C131" s="620" t="s">
        <v>516</v>
      </c>
      <c r="D131" s="620" t="s">
        <v>736</v>
      </c>
      <c r="E131" s="620" t="s">
        <v>473</v>
      </c>
      <c r="F131" s="620" t="s">
        <v>446</v>
      </c>
      <c r="G131" s="620" t="s">
        <v>303</v>
      </c>
      <c r="H131" s="621">
        <v>1149408818</v>
      </c>
      <c r="I131" s="621">
        <v>0</v>
      </c>
      <c r="J131" s="850"/>
      <c r="K131" s="850"/>
      <c r="L131" s="850"/>
      <c r="M131" s="620" t="s">
        <v>488</v>
      </c>
      <c r="N131" s="848">
        <f t="shared" si="2"/>
        <v>1149408818</v>
      </c>
    </row>
    <row r="132" spans="1:14">
      <c r="A132" s="619">
        <v>45657</v>
      </c>
      <c r="B132" s="619">
        <v>45657</v>
      </c>
      <c r="C132" s="620" t="s">
        <v>516</v>
      </c>
      <c r="D132" s="620" t="s">
        <v>736</v>
      </c>
      <c r="E132" s="620" t="s">
        <v>475</v>
      </c>
      <c r="F132" s="620" t="s">
        <v>446</v>
      </c>
      <c r="G132" s="620" t="s">
        <v>369</v>
      </c>
      <c r="H132" s="621">
        <v>2860000</v>
      </c>
      <c r="I132" s="621">
        <v>0</v>
      </c>
      <c r="J132" s="850"/>
      <c r="K132" s="850"/>
      <c r="L132" s="850"/>
      <c r="M132" s="620" t="s">
        <v>488</v>
      </c>
      <c r="N132" s="848">
        <f t="shared" si="2"/>
        <v>2860000</v>
      </c>
    </row>
    <row r="133" spans="1:14">
      <c r="A133" s="619">
        <v>45657</v>
      </c>
      <c r="B133" s="619">
        <v>45657</v>
      </c>
      <c r="C133" s="620" t="s">
        <v>516</v>
      </c>
      <c r="D133" s="620" t="s">
        <v>736</v>
      </c>
      <c r="E133" s="620" t="s">
        <v>476</v>
      </c>
      <c r="F133" s="620" t="s">
        <v>446</v>
      </c>
      <c r="G133" s="620" t="s">
        <v>721</v>
      </c>
      <c r="H133" s="621">
        <v>37910443</v>
      </c>
      <c r="I133" s="621">
        <v>0</v>
      </c>
      <c r="J133" s="850"/>
      <c r="K133" s="850"/>
      <c r="L133" s="850"/>
      <c r="M133" s="620" t="s">
        <v>488</v>
      </c>
      <c r="N133" s="848">
        <f t="shared" si="2"/>
        <v>37910443</v>
      </c>
    </row>
    <row r="134" spans="1:14">
      <c r="A134" s="619">
        <v>45657</v>
      </c>
      <c r="B134" s="619">
        <v>45657</v>
      </c>
      <c r="C134" s="620" t="s">
        <v>516</v>
      </c>
      <c r="D134" s="620" t="s">
        <v>736</v>
      </c>
      <c r="E134" s="620" t="s">
        <v>476</v>
      </c>
      <c r="F134" s="620" t="s">
        <v>446</v>
      </c>
      <c r="G134" s="620" t="s">
        <v>722</v>
      </c>
      <c r="H134" s="621">
        <v>1435000</v>
      </c>
      <c r="I134" s="621">
        <v>0</v>
      </c>
      <c r="J134" s="850"/>
      <c r="K134" s="850"/>
      <c r="L134" s="850"/>
      <c r="M134" s="620" t="s">
        <v>488</v>
      </c>
      <c r="N134" s="848">
        <f t="shared" si="2"/>
        <v>1435000</v>
      </c>
    </row>
    <row r="135" spans="1:14">
      <c r="A135" s="619">
        <v>45657</v>
      </c>
      <c r="B135" s="619">
        <v>45657</v>
      </c>
      <c r="C135" s="620" t="s">
        <v>516</v>
      </c>
      <c r="D135" s="620" t="s">
        <v>736</v>
      </c>
      <c r="E135" s="620" t="s">
        <v>476</v>
      </c>
      <c r="F135" s="620" t="s">
        <v>446</v>
      </c>
      <c r="G135" s="620" t="s">
        <v>387</v>
      </c>
      <c r="H135" s="621">
        <v>99000</v>
      </c>
      <c r="I135" s="621">
        <v>0</v>
      </c>
      <c r="J135" s="850"/>
      <c r="K135" s="850"/>
      <c r="L135" s="850"/>
      <c r="M135" s="620" t="s">
        <v>488</v>
      </c>
      <c r="N135" s="848">
        <f t="shared" si="2"/>
        <v>99000</v>
      </c>
    </row>
    <row r="136" spans="1:14">
      <c r="A136" s="619">
        <v>45657</v>
      </c>
      <c r="B136" s="619">
        <v>45657</v>
      </c>
      <c r="C136" s="620" t="s">
        <v>516</v>
      </c>
      <c r="D136" s="620" t="s">
        <v>736</v>
      </c>
      <c r="E136" s="620" t="s">
        <v>476</v>
      </c>
      <c r="F136" s="620" t="s">
        <v>446</v>
      </c>
      <c r="G136" s="620" t="s">
        <v>389</v>
      </c>
      <c r="H136" s="621">
        <v>5254260</v>
      </c>
      <c r="I136" s="621">
        <v>0</v>
      </c>
      <c r="J136" s="850"/>
      <c r="K136" s="850"/>
      <c r="L136" s="850"/>
      <c r="M136" s="620" t="s">
        <v>488</v>
      </c>
      <c r="N136" s="848">
        <f t="shared" si="2"/>
        <v>5254260</v>
      </c>
    </row>
    <row r="137" spans="1:14">
      <c r="A137" s="619">
        <v>45657</v>
      </c>
      <c r="B137" s="619">
        <v>45657</v>
      </c>
      <c r="C137" s="620" t="s">
        <v>516</v>
      </c>
      <c r="D137" s="620" t="s">
        <v>736</v>
      </c>
      <c r="E137" s="620" t="s">
        <v>476</v>
      </c>
      <c r="F137" s="620" t="s">
        <v>446</v>
      </c>
      <c r="G137" s="620" t="s">
        <v>395</v>
      </c>
      <c r="H137" s="621">
        <v>11708840</v>
      </c>
      <c r="I137" s="621">
        <v>0</v>
      </c>
      <c r="J137" s="850"/>
      <c r="K137" s="850"/>
      <c r="L137" s="850"/>
      <c r="M137" s="620" t="s">
        <v>488</v>
      </c>
      <c r="N137" s="848">
        <f t="shared" si="2"/>
        <v>11708840</v>
      </c>
    </row>
    <row r="138" spans="1:14">
      <c r="A138" s="619">
        <v>45657</v>
      </c>
      <c r="B138" s="619">
        <v>45657</v>
      </c>
      <c r="C138" s="620" t="s">
        <v>516</v>
      </c>
      <c r="D138" s="620" t="s">
        <v>736</v>
      </c>
      <c r="E138" s="620" t="s">
        <v>476</v>
      </c>
      <c r="F138" s="620" t="s">
        <v>446</v>
      </c>
      <c r="G138" s="620" t="s">
        <v>397</v>
      </c>
      <c r="H138" s="621">
        <v>35556</v>
      </c>
      <c r="I138" s="621">
        <v>0</v>
      </c>
      <c r="J138" s="850"/>
      <c r="K138" s="850"/>
      <c r="L138" s="850"/>
      <c r="M138" s="620" t="s">
        <v>488</v>
      </c>
      <c r="N138" s="848">
        <f t="shared" ref="N138:N140" si="3">H138-I138</f>
        <v>35556</v>
      </c>
    </row>
    <row r="139" spans="1:14">
      <c r="A139" s="619">
        <v>45657</v>
      </c>
      <c r="B139" s="619">
        <v>45657</v>
      </c>
      <c r="C139" s="620" t="s">
        <v>516</v>
      </c>
      <c r="D139" s="620" t="s">
        <v>736</v>
      </c>
      <c r="E139" s="620" t="s">
        <v>478</v>
      </c>
      <c r="F139" s="620" t="s">
        <v>446</v>
      </c>
      <c r="G139" s="620" t="s">
        <v>444</v>
      </c>
      <c r="H139" s="621">
        <v>16717982</v>
      </c>
      <c r="I139" s="621">
        <v>0</v>
      </c>
      <c r="J139" s="850"/>
      <c r="K139" s="850"/>
      <c r="L139" s="850"/>
      <c r="M139" s="620" t="s">
        <v>488</v>
      </c>
      <c r="N139" s="848">
        <f t="shared" si="3"/>
        <v>16717982</v>
      </c>
    </row>
    <row r="140" spans="1:14">
      <c r="A140" s="619">
        <v>45657</v>
      </c>
      <c r="B140" s="619">
        <v>45657</v>
      </c>
      <c r="C140" s="620" t="s">
        <v>516</v>
      </c>
      <c r="D140" s="620" t="s">
        <v>736</v>
      </c>
      <c r="E140" s="620" t="s">
        <v>479</v>
      </c>
      <c r="F140" s="620" t="s">
        <v>446</v>
      </c>
      <c r="G140" s="620" t="s">
        <v>217</v>
      </c>
      <c r="H140" s="621">
        <v>0</v>
      </c>
      <c r="I140" s="621">
        <v>42877585</v>
      </c>
      <c r="J140" s="850"/>
      <c r="K140" s="850"/>
      <c r="L140" s="850"/>
      <c r="M140" s="620" t="s">
        <v>488</v>
      </c>
      <c r="N140" s="848">
        <f t="shared" si="3"/>
        <v>-42877585</v>
      </c>
    </row>
    <row r="141" spans="1:14">
      <c r="A141" s="856"/>
      <c r="B141" s="856"/>
      <c r="C141" s="850"/>
      <c r="D141" s="850"/>
      <c r="E141" s="850"/>
      <c r="F141" s="850"/>
      <c r="G141" s="850"/>
      <c r="H141" s="848"/>
      <c r="I141" s="848"/>
      <c r="J141" s="850"/>
      <c r="K141" s="850"/>
      <c r="L141" s="850"/>
      <c r="M141" s="850"/>
      <c r="N141" s="848"/>
    </row>
    <row r="142" spans="1:14">
      <c r="A142" s="856"/>
      <c r="B142" s="856"/>
      <c r="C142" s="850"/>
      <c r="D142" s="850"/>
      <c r="E142" s="850"/>
      <c r="F142" s="850"/>
      <c r="G142" s="850"/>
      <c r="H142" s="848"/>
      <c r="I142" s="848"/>
      <c r="J142" s="850"/>
      <c r="K142" s="850"/>
      <c r="L142" s="850"/>
      <c r="M142" s="850"/>
      <c r="N142" s="848"/>
    </row>
    <row r="143" spans="1:14">
      <c r="A143" s="856"/>
      <c r="B143" s="856"/>
      <c r="C143" s="850"/>
      <c r="D143" s="850"/>
      <c r="E143" s="850"/>
      <c r="F143" s="850"/>
      <c r="G143" s="850"/>
      <c r="H143" s="848"/>
      <c r="I143" s="848"/>
      <c r="J143" s="850"/>
      <c r="K143" s="850"/>
      <c r="L143" s="850"/>
      <c r="M143" s="850"/>
      <c r="N143" s="848"/>
    </row>
    <row r="144" spans="1:14">
      <c r="A144" s="856"/>
      <c r="B144" s="856"/>
      <c r="C144" s="850"/>
      <c r="D144" s="850"/>
      <c r="E144" s="850"/>
      <c r="F144" s="850"/>
      <c r="G144" s="850"/>
      <c r="H144" s="848"/>
      <c r="I144" s="848"/>
      <c r="J144" s="850"/>
      <c r="K144" s="850"/>
      <c r="L144" s="850"/>
      <c r="M144" s="850"/>
      <c r="N144" s="848"/>
    </row>
    <row r="145" spans="1:14">
      <c r="A145" s="856"/>
      <c r="B145" s="856"/>
      <c r="C145" s="850"/>
      <c r="D145" s="850"/>
      <c r="E145" s="850"/>
      <c r="F145" s="850"/>
      <c r="G145" s="850"/>
      <c r="H145" s="848"/>
      <c r="I145" s="848"/>
      <c r="J145" s="850"/>
      <c r="K145" s="850"/>
      <c r="L145" s="850"/>
      <c r="M145" s="850"/>
      <c r="N145" s="848"/>
    </row>
    <row r="146" spans="1:14">
      <c r="A146" s="856"/>
      <c r="B146" s="856"/>
      <c r="C146" s="850"/>
      <c r="D146" s="850"/>
      <c r="E146" s="850"/>
      <c r="F146" s="850"/>
      <c r="G146" s="850"/>
      <c r="H146" s="848"/>
      <c r="I146" s="848"/>
      <c r="J146" s="850"/>
      <c r="K146" s="850"/>
      <c r="L146" s="850"/>
      <c r="M146" s="850"/>
      <c r="N146" s="848"/>
    </row>
    <row r="147" spans="1:14">
      <c r="A147" s="856"/>
      <c r="B147" s="856"/>
      <c r="C147" s="850"/>
      <c r="D147" s="850"/>
      <c r="E147" s="850"/>
      <c r="F147" s="850"/>
      <c r="G147" s="850"/>
      <c r="H147" s="848"/>
      <c r="I147" s="848"/>
      <c r="J147" s="850"/>
      <c r="K147" s="850"/>
      <c r="L147" s="850"/>
      <c r="M147" s="850"/>
      <c r="N147" s="848"/>
    </row>
    <row r="148" spans="1:14">
      <c r="A148" s="856"/>
      <c r="B148" s="856"/>
      <c r="C148" s="850"/>
      <c r="D148" s="850"/>
      <c r="E148" s="850"/>
      <c r="F148" s="850"/>
      <c r="G148" s="850"/>
      <c r="H148" s="848"/>
      <c r="I148" s="848"/>
      <c r="J148" s="850"/>
      <c r="K148" s="850"/>
      <c r="L148" s="850"/>
      <c r="M148" s="850"/>
      <c r="N148" s="848"/>
    </row>
    <row r="149" spans="1:14">
      <c r="A149" s="856"/>
      <c r="B149" s="856"/>
      <c r="C149" s="850"/>
      <c r="D149" s="850"/>
      <c r="E149" s="850"/>
      <c r="F149" s="850"/>
      <c r="G149" s="850"/>
      <c r="H149" s="848"/>
      <c r="I149" s="848"/>
      <c r="J149" s="850"/>
      <c r="K149" s="850"/>
      <c r="L149" s="850"/>
      <c r="M149" s="850"/>
      <c r="N149" s="848"/>
    </row>
    <row r="150" spans="1:14">
      <c r="A150" s="856"/>
      <c r="B150" s="856"/>
      <c r="C150" s="850"/>
      <c r="D150" s="850"/>
      <c r="E150" s="850"/>
      <c r="F150" s="850"/>
      <c r="G150" s="850"/>
      <c r="H150" s="848"/>
      <c r="I150" s="848"/>
      <c r="J150" s="850"/>
      <c r="K150" s="850"/>
      <c r="L150" s="850"/>
      <c r="M150" s="850"/>
      <c r="N150" s="848"/>
    </row>
    <row r="151" spans="1:14">
      <c r="A151" s="856"/>
      <c r="B151" s="856"/>
      <c r="C151" s="850"/>
      <c r="D151" s="850"/>
      <c r="E151" s="850"/>
      <c r="F151" s="850"/>
      <c r="G151" s="850"/>
      <c r="H151" s="848"/>
      <c r="I151" s="848"/>
      <c r="J151" s="850"/>
      <c r="K151" s="850"/>
      <c r="L151" s="850"/>
      <c r="M151" s="850"/>
      <c r="N151" s="848"/>
    </row>
    <row r="152" spans="1:14">
      <c r="A152" s="856"/>
      <c r="B152" s="856"/>
      <c r="C152" s="850"/>
      <c r="D152" s="850"/>
      <c r="E152" s="850"/>
      <c r="F152" s="850"/>
      <c r="G152" s="850"/>
      <c r="H152" s="848"/>
      <c r="I152" s="848"/>
      <c r="J152" s="850"/>
      <c r="K152" s="850"/>
      <c r="L152" s="850"/>
      <c r="M152" s="850"/>
      <c r="N152" s="848"/>
    </row>
    <row r="153" spans="1:14">
      <c r="A153" s="856"/>
      <c r="B153" s="856"/>
      <c r="C153" s="850"/>
      <c r="D153" s="850"/>
      <c r="E153" s="850"/>
      <c r="F153" s="850"/>
      <c r="G153" s="850"/>
      <c r="H153" s="848"/>
      <c r="I153" s="848"/>
      <c r="J153" s="850"/>
      <c r="K153" s="850"/>
      <c r="L153" s="850"/>
      <c r="M153" s="850"/>
      <c r="N153" s="848"/>
    </row>
    <row r="154" spans="1:14">
      <c r="A154" s="856"/>
      <c r="B154" s="856"/>
      <c r="C154" s="850"/>
      <c r="D154" s="850"/>
      <c r="E154" s="850"/>
      <c r="F154" s="850"/>
      <c r="G154" s="850"/>
      <c r="H154" s="848"/>
      <c r="I154" s="848"/>
      <c r="J154" s="850"/>
      <c r="K154" s="850"/>
      <c r="L154" s="850"/>
      <c r="M154" s="850"/>
      <c r="N154" s="848"/>
    </row>
    <row r="155" spans="1:14">
      <c r="A155" s="856"/>
      <c r="B155" s="856"/>
      <c r="C155" s="850"/>
      <c r="D155" s="850"/>
      <c r="E155" s="850"/>
      <c r="F155" s="850"/>
      <c r="G155" s="850"/>
      <c r="H155" s="848"/>
      <c r="I155" s="848"/>
      <c r="J155" s="850"/>
      <c r="K155" s="850"/>
      <c r="L155" s="850"/>
      <c r="M155" s="850"/>
      <c r="N155" s="848"/>
    </row>
    <row r="156" spans="1:14">
      <c r="A156" s="856"/>
      <c r="B156" s="856"/>
      <c r="C156" s="850"/>
      <c r="D156" s="850"/>
      <c r="E156" s="850"/>
      <c r="F156" s="850"/>
      <c r="G156" s="850"/>
      <c r="H156" s="848"/>
      <c r="I156" s="848"/>
      <c r="J156" s="850"/>
      <c r="K156" s="850"/>
      <c r="L156" s="850"/>
      <c r="M156" s="850"/>
      <c r="N156" s="848"/>
    </row>
    <row r="157" spans="1:14">
      <c r="A157" s="856"/>
      <c r="B157" s="856"/>
      <c r="C157" s="850"/>
      <c r="D157" s="850"/>
      <c r="E157" s="850"/>
      <c r="F157" s="850"/>
      <c r="G157" s="850"/>
      <c r="H157" s="848"/>
      <c r="I157" s="848"/>
      <c r="J157" s="850"/>
      <c r="K157" s="850"/>
      <c r="L157" s="850"/>
      <c r="M157" s="850"/>
      <c r="N157" s="848"/>
    </row>
    <row r="158" spans="1:14">
      <c r="A158" s="856"/>
      <c r="B158" s="856"/>
      <c r="C158" s="850"/>
      <c r="D158" s="850"/>
      <c r="E158" s="850"/>
      <c r="F158" s="850"/>
      <c r="G158" s="850"/>
      <c r="H158" s="848"/>
      <c r="I158" s="848"/>
      <c r="J158" s="850"/>
      <c r="K158" s="850"/>
      <c r="L158" s="850"/>
      <c r="M158" s="850"/>
      <c r="N158" s="848"/>
    </row>
    <row r="159" spans="1:14">
      <c r="A159" s="856"/>
      <c r="B159" s="856"/>
      <c r="C159" s="850"/>
      <c r="D159" s="850"/>
      <c r="E159" s="850"/>
      <c r="F159" s="850"/>
      <c r="G159" s="850"/>
      <c r="H159" s="848"/>
      <c r="I159" s="848"/>
      <c r="J159" s="850"/>
      <c r="K159" s="850"/>
      <c r="L159" s="850"/>
      <c r="M159" s="850"/>
      <c r="N159" s="848"/>
    </row>
    <row r="160" spans="1:14">
      <c r="A160" s="856"/>
      <c r="B160" s="856"/>
      <c r="C160" s="850"/>
      <c r="D160" s="850"/>
      <c r="E160" s="850"/>
      <c r="F160" s="850"/>
      <c r="G160" s="850"/>
      <c r="H160" s="848"/>
      <c r="I160" s="848"/>
      <c r="J160" s="850"/>
      <c r="K160" s="850"/>
      <c r="L160" s="850"/>
      <c r="M160" s="850"/>
      <c r="N160" s="848"/>
    </row>
    <row r="161" spans="1:14">
      <c r="A161" s="856"/>
      <c r="B161" s="856"/>
      <c r="C161" s="850"/>
      <c r="D161" s="850"/>
      <c r="E161" s="850"/>
      <c r="F161" s="850"/>
      <c r="G161" s="850"/>
      <c r="H161" s="848"/>
      <c r="I161" s="848"/>
      <c r="J161" s="850"/>
      <c r="K161" s="850"/>
      <c r="L161" s="850"/>
      <c r="M161" s="850"/>
      <c r="N161" s="848"/>
    </row>
    <row r="162" spans="1:14">
      <c r="A162" s="856"/>
      <c r="B162" s="856"/>
      <c r="C162" s="850"/>
      <c r="D162" s="850"/>
      <c r="E162" s="850"/>
      <c r="F162" s="850"/>
      <c r="G162" s="850"/>
      <c r="H162" s="848"/>
      <c r="I162" s="848"/>
      <c r="J162" s="850"/>
      <c r="K162" s="850"/>
      <c r="L162" s="850"/>
      <c r="M162" s="850"/>
      <c r="N162" s="848"/>
    </row>
    <row r="163" spans="1:14">
      <c r="A163" s="856"/>
      <c r="B163" s="856"/>
      <c r="C163" s="850"/>
      <c r="D163" s="850"/>
      <c r="E163" s="850"/>
      <c r="F163" s="850"/>
      <c r="G163" s="850"/>
      <c r="H163" s="848"/>
      <c r="I163" s="848"/>
      <c r="J163" s="850"/>
      <c r="K163" s="850"/>
      <c r="L163" s="850"/>
      <c r="M163" s="850"/>
      <c r="N163" s="848"/>
    </row>
    <row r="164" spans="1:14">
      <c r="A164" s="856"/>
      <c r="B164" s="856"/>
      <c r="C164" s="850"/>
      <c r="D164" s="850"/>
      <c r="E164" s="850"/>
      <c r="F164" s="850"/>
      <c r="G164" s="850"/>
      <c r="H164" s="848"/>
      <c r="I164" s="848"/>
      <c r="J164" s="850"/>
      <c r="K164" s="850"/>
      <c r="L164" s="850"/>
      <c r="M164" s="850"/>
      <c r="N164" s="848"/>
    </row>
    <row r="165" spans="1:14">
      <c r="A165" s="856"/>
      <c r="B165" s="856"/>
      <c r="C165" s="850"/>
      <c r="D165" s="850"/>
      <c r="E165" s="850"/>
      <c r="F165" s="850"/>
      <c r="G165" s="850"/>
      <c r="H165" s="848"/>
      <c r="I165" s="848"/>
      <c r="J165" s="850"/>
      <c r="K165" s="850"/>
      <c r="L165" s="850"/>
      <c r="M165" s="850"/>
      <c r="N165" s="848"/>
    </row>
    <row r="166" spans="1:14">
      <c r="A166" s="856"/>
      <c r="B166" s="856"/>
      <c r="C166" s="850"/>
      <c r="D166" s="850"/>
      <c r="E166" s="850"/>
      <c r="F166" s="850"/>
      <c r="G166" s="850"/>
      <c r="H166" s="848"/>
      <c r="I166" s="848"/>
      <c r="J166" s="850"/>
      <c r="K166" s="850"/>
      <c r="L166" s="850"/>
      <c r="M166" s="850"/>
      <c r="N166" s="848"/>
    </row>
    <row r="167" spans="1:14">
      <c r="A167" s="856"/>
      <c r="B167" s="856"/>
      <c r="C167" s="850"/>
      <c r="D167" s="850"/>
      <c r="E167" s="850"/>
      <c r="F167" s="850"/>
      <c r="G167" s="850"/>
      <c r="H167" s="848"/>
      <c r="I167" s="848"/>
      <c r="J167" s="850"/>
      <c r="K167" s="850"/>
      <c r="L167" s="850"/>
      <c r="M167" s="850"/>
      <c r="N167" s="848"/>
    </row>
  </sheetData>
  <autoFilter ref="A6:N140" xr:uid="{C4579968-A6F3-43D9-85FF-0CDA3E325223}"/>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D3EC6-DBE5-4A9F-A3C8-F7932C0A2A38}">
  <sheetPr codeName="Sheet10"/>
  <dimension ref="A1:M200"/>
  <sheetViews>
    <sheetView zoomScale="70" zoomScaleNormal="70" workbookViewId="0">
      <pane xSplit="2" ySplit="6" topLeftCell="C48" activePane="bottomRight" state="frozen"/>
      <selection pane="topRight" activeCell="C1" sqref="C1"/>
      <selection pane="bottomLeft" activeCell="A7" sqref="A7"/>
      <selection pane="bottomRight" activeCell="G63" sqref="G63"/>
    </sheetView>
  </sheetViews>
  <sheetFormatPr defaultColWidth="9.140625" defaultRowHeight="12.75"/>
  <cols>
    <col min="1" max="1" width="9.140625" style="2"/>
    <col min="2" max="2" width="49.85546875" style="2" customWidth="1"/>
    <col min="3" max="3" width="12.85546875" style="2" bestFit="1" customWidth="1"/>
    <col min="4" max="4" width="21.85546875" style="2" customWidth="1"/>
    <col min="5" max="5" width="13.5703125" style="2" customWidth="1"/>
    <col min="6" max="7" width="12.85546875" style="2" bestFit="1" customWidth="1"/>
    <col min="8" max="8" width="14.140625" style="2" customWidth="1"/>
    <col min="9" max="9" width="17.85546875" style="2" bestFit="1" customWidth="1"/>
    <col min="10" max="11" width="9.140625" style="2"/>
    <col min="12" max="12" width="18.140625" style="2" bestFit="1" customWidth="1"/>
    <col min="13" max="13" width="16.5703125" style="2" bestFit="1" customWidth="1"/>
    <col min="14" max="16384" width="9.140625" style="2"/>
  </cols>
  <sheetData>
    <row r="1" spans="1:11">
      <c r="A1" s="1" t="s">
        <v>0</v>
      </c>
      <c r="B1" s="850" t="s">
        <v>737</v>
      </c>
      <c r="C1" s="850"/>
      <c r="D1" s="850"/>
      <c r="E1" s="850"/>
      <c r="F1" s="850"/>
      <c r="G1" s="850"/>
      <c r="H1" s="850"/>
      <c r="I1" s="850"/>
      <c r="J1" s="850"/>
      <c r="K1" s="850"/>
    </row>
    <row r="2" spans="1:11">
      <c r="A2" s="1" t="s">
        <v>2</v>
      </c>
      <c r="B2" s="852">
        <v>45657</v>
      </c>
      <c r="C2" s="850"/>
      <c r="D2" s="850"/>
      <c r="E2" s="850"/>
      <c r="F2" s="850"/>
      <c r="G2" s="850"/>
      <c r="H2" s="850"/>
      <c r="I2" s="850"/>
      <c r="J2" s="850"/>
      <c r="K2" s="850"/>
    </row>
    <row r="3" spans="1:11">
      <c r="A3" s="3" t="s">
        <v>738</v>
      </c>
      <c r="B3" s="850"/>
      <c r="C3" s="850"/>
      <c r="D3" s="850"/>
      <c r="E3" s="850"/>
      <c r="F3" s="850"/>
      <c r="G3" s="850"/>
      <c r="H3" s="850"/>
      <c r="I3" s="850"/>
      <c r="J3" s="850"/>
      <c r="K3" s="850"/>
    </row>
    <row r="5" spans="1:11" ht="14.25" customHeight="1">
      <c r="A5" s="87" t="s">
        <v>4</v>
      </c>
      <c r="B5" s="87" t="s">
        <v>5</v>
      </c>
      <c r="C5" s="88" t="s">
        <v>6</v>
      </c>
      <c r="D5" s="89"/>
      <c r="E5" s="88" t="s">
        <v>7</v>
      </c>
      <c r="F5" s="90"/>
      <c r="G5" s="88" t="s">
        <v>8</v>
      </c>
      <c r="H5" s="89"/>
      <c r="I5" s="1159"/>
      <c r="J5" s="850"/>
      <c r="K5" s="850"/>
    </row>
    <row r="6" spans="1:11" ht="42.75">
      <c r="A6" s="87" t="s">
        <v>4</v>
      </c>
      <c r="B6" s="87" t="s">
        <v>5</v>
      </c>
      <c r="C6" s="86" t="s">
        <v>11</v>
      </c>
      <c r="D6" s="79" t="s">
        <v>12</v>
      </c>
      <c r="E6" s="79" t="s">
        <v>11</v>
      </c>
      <c r="F6" s="86" t="s">
        <v>12</v>
      </c>
      <c r="G6" s="86" t="s">
        <v>11</v>
      </c>
      <c r="H6" s="79" t="s">
        <v>12</v>
      </c>
      <c r="I6" s="1159"/>
      <c r="J6" s="850" t="s">
        <v>520</v>
      </c>
      <c r="K6" s="850"/>
    </row>
    <row r="7" spans="1:11" ht="13.5">
      <c r="A7" s="80" t="s">
        <v>17</v>
      </c>
      <c r="B7" s="81" t="s">
        <v>18</v>
      </c>
      <c r="C7" s="617">
        <v>32815527555</v>
      </c>
      <c r="D7" s="82">
        <v>0</v>
      </c>
      <c r="E7" s="82">
        <v>1433188696936</v>
      </c>
      <c r="F7" s="617">
        <v>1424217246656</v>
      </c>
      <c r="G7" s="617">
        <v>41786977835</v>
      </c>
      <c r="H7" s="82">
        <v>0</v>
      </c>
      <c r="I7" s="1160">
        <f>G7-H7</f>
        <v>41786977835</v>
      </c>
      <c r="J7" s="850">
        <f>LEN(A7)</f>
        <v>3</v>
      </c>
      <c r="K7" s="850" t="e">
        <f>_xlfn.XLOOKUP(A7,'A0.LS'!E:E,'A0.LS'!E:E)</f>
        <v>#N/A</v>
      </c>
    </row>
    <row r="8" spans="1:11" ht="13.5">
      <c r="A8" s="83" t="s">
        <v>19</v>
      </c>
      <c r="B8" s="84" t="s">
        <v>16</v>
      </c>
      <c r="C8" s="618">
        <v>32815527555</v>
      </c>
      <c r="D8" s="85">
        <v>0</v>
      </c>
      <c r="E8" s="85">
        <v>1433188696936</v>
      </c>
      <c r="F8" s="618">
        <v>1424217246656</v>
      </c>
      <c r="G8" s="618">
        <v>41786977835</v>
      </c>
      <c r="H8" s="85">
        <v>0</v>
      </c>
      <c r="I8" s="1160">
        <f t="shared" ref="I8:I73" si="0">G8-H8</f>
        <v>41786977835</v>
      </c>
      <c r="J8" s="850">
        <f t="shared" ref="J8:J71" si="1">LEN(A8)</f>
        <v>4</v>
      </c>
      <c r="K8" s="850" t="str">
        <f>_xlfn.XLOOKUP(A8,'A0.LS'!E:E,'A0.LS'!E:E)</f>
        <v>1121</v>
      </c>
    </row>
    <row r="9" spans="1:11" ht="13.5">
      <c r="A9" s="80" t="s">
        <v>20</v>
      </c>
      <c r="B9" s="81" t="s">
        <v>21</v>
      </c>
      <c r="C9" s="617">
        <v>938467462</v>
      </c>
      <c r="D9" s="82">
        <v>0</v>
      </c>
      <c r="E9" s="82">
        <v>2329343846</v>
      </c>
      <c r="F9" s="617">
        <v>938467462</v>
      </c>
      <c r="G9" s="617">
        <v>2329343846</v>
      </c>
      <c r="H9" s="82">
        <v>0</v>
      </c>
      <c r="I9" s="1160">
        <f>G9-H9</f>
        <v>2329343846</v>
      </c>
      <c r="J9" s="850">
        <f t="shared" si="1"/>
        <v>3</v>
      </c>
      <c r="K9" s="850" t="e">
        <f>_xlfn.XLOOKUP(A9,'A0.LS'!E:E,'A0.LS'!E:E)</f>
        <v>#N/A</v>
      </c>
    </row>
    <row r="10" spans="1:11" ht="13.5">
      <c r="A10" s="80" t="s">
        <v>22</v>
      </c>
      <c r="B10" s="81" t="s">
        <v>16</v>
      </c>
      <c r="C10" s="617">
        <v>938467462</v>
      </c>
      <c r="D10" s="82">
        <v>0</v>
      </c>
      <c r="E10" s="82">
        <v>2329343846</v>
      </c>
      <c r="F10" s="617">
        <v>938467462</v>
      </c>
      <c r="G10" s="617">
        <v>2329343846</v>
      </c>
      <c r="H10" s="82">
        <v>0</v>
      </c>
      <c r="I10" s="1160">
        <f t="shared" si="0"/>
        <v>2329343846</v>
      </c>
      <c r="J10" s="850">
        <f t="shared" si="1"/>
        <v>4</v>
      </c>
      <c r="K10" s="850" t="e">
        <f>_xlfn.XLOOKUP(A10,'A0.LS'!E:E,'A0.LS'!E:E)</f>
        <v>#N/A</v>
      </c>
    </row>
    <row r="11" spans="1:11" ht="25.5">
      <c r="A11" s="83" t="s">
        <v>23</v>
      </c>
      <c r="B11" s="84" t="s">
        <v>24</v>
      </c>
      <c r="C11" s="618">
        <v>938467462</v>
      </c>
      <c r="D11" s="85">
        <v>0</v>
      </c>
      <c r="E11" s="85">
        <v>2329343846</v>
      </c>
      <c r="F11" s="618">
        <v>938467462</v>
      </c>
      <c r="G11" s="618">
        <v>2329343846</v>
      </c>
      <c r="H11" s="85">
        <v>0</v>
      </c>
      <c r="I11" s="1160">
        <f t="shared" si="0"/>
        <v>2329343846</v>
      </c>
      <c r="J11" s="850">
        <f t="shared" si="1"/>
        <v>5</v>
      </c>
      <c r="K11" s="850" t="str">
        <f>_xlfn.XLOOKUP(A11,'A0.LS'!E:E,'A0.LS'!E:E)</f>
        <v>11312</v>
      </c>
    </row>
    <row r="12" spans="1:11" ht="13.5">
      <c r="A12" s="80" t="s">
        <v>25</v>
      </c>
      <c r="B12" s="81" t="s">
        <v>26</v>
      </c>
      <c r="C12" s="617">
        <v>1240572482282</v>
      </c>
      <c r="D12" s="82">
        <v>0</v>
      </c>
      <c r="E12" s="82">
        <v>299128918582</v>
      </c>
      <c r="F12" s="617">
        <v>361809814671</v>
      </c>
      <c r="G12" s="617">
        <v>1177891586193</v>
      </c>
      <c r="H12" s="82">
        <v>0</v>
      </c>
      <c r="I12" s="1160">
        <f t="shared" si="0"/>
        <v>1177891586193</v>
      </c>
      <c r="J12" s="850">
        <f t="shared" si="1"/>
        <v>3</v>
      </c>
      <c r="K12" s="850" t="e">
        <f>_xlfn.XLOOKUP(A12,'A0.LS'!E:E,'A0.LS'!E:E)</f>
        <v>#N/A</v>
      </c>
    </row>
    <row r="13" spans="1:11" ht="13.5">
      <c r="A13" s="83" t="s">
        <v>27</v>
      </c>
      <c r="B13" s="84" t="s">
        <v>28</v>
      </c>
      <c r="C13" s="618">
        <v>42406863510</v>
      </c>
      <c r="D13" s="85">
        <v>0</v>
      </c>
      <c r="E13" s="85">
        <v>326440642</v>
      </c>
      <c r="F13" s="618">
        <v>1209472931</v>
      </c>
      <c r="G13" s="618">
        <v>41523831221</v>
      </c>
      <c r="H13" s="85">
        <v>0</v>
      </c>
      <c r="I13" s="1160">
        <f t="shared" si="0"/>
        <v>41523831221</v>
      </c>
      <c r="J13" s="850">
        <f t="shared" si="1"/>
        <v>4</v>
      </c>
      <c r="K13" s="850" t="str">
        <f>_xlfn.XLOOKUP(A13,'A0.LS'!E:E,'A0.LS'!E:E)</f>
        <v>1211</v>
      </c>
    </row>
    <row r="14" spans="1:11" ht="13.5">
      <c r="A14" s="80" t="s">
        <v>29</v>
      </c>
      <c r="B14" s="81" t="s">
        <v>30</v>
      </c>
      <c r="C14" s="617">
        <v>656333931505</v>
      </c>
      <c r="D14" s="82">
        <v>0</v>
      </c>
      <c r="E14" s="82">
        <v>282989397244</v>
      </c>
      <c r="F14" s="617">
        <v>218556475412</v>
      </c>
      <c r="G14" s="617">
        <v>720766853337</v>
      </c>
      <c r="H14" s="82">
        <v>0</v>
      </c>
      <c r="I14" s="1160">
        <f t="shared" si="0"/>
        <v>720766853337</v>
      </c>
      <c r="J14" s="850">
        <f t="shared" si="1"/>
        <v>4</v>
      </c>
      <c r="K14" s="850" t="str">
        <f>_xlfn.XLOOKUP(A14,'A0.LS'!E:E,'A0.LS'!E:E)</f>
        <v>1212</v>
      </c>
    </row>
    <row r="15" spans="1:11" ht="13.5">
      <c r="A15" s="83" t="s">
        <v>739</v>
      </c>
      <c r="B15" s="84" t="s">
        <v>740</v>
      </c>
      <c r="C15" s="618">
        <v>244809600000</v>
      </c>
      <c r="D15" s="85">
        <v>0</v>
      </c>
      <c r="E15" s="85">
        <v>49894763150</v>
      </c>
      <c r="F15" s="618">
        <v>100000000000</v>
      </c>
      <c r="G15" s="618">
        <v>194704363150</v>
      </c>
      <c r="H15" s="85">
        <v>0</v>
      </c>
      <c r="I15" s="1160">
        <f t="shared" si="0"/>
        <v>194704363150</v>
      </c>
      <c r="J15" s="850">
        <f t="shared" si="1"/>
        <v>7</v>
      </c>
      <c r="K15" s="850" t="e">
        <f>_xlfn.XLOOKUP(A15,'A0.LS'!E:E,'A0.LS'!E:E)</f>
        <v>#N/A</v>
      </c>
    </row>
    <row r="16" spans="1:11" ht="13.5">
      <c r="A16" s="83" t="s">
        <v>741</v>
      </c>
      <c r="B16" s="84" t="s">
        <v>742</v>
      </c>
      <c r="C16" s="618">
        <v>411524331505</v>
      </c>
      <c r="D16" s="85">
        <v>0</v>
      </c>
      <c r="E16" s="85">
        <v>233094634094</v>
      </c>
      <c r="F16" s="618">
        <v>118556475412</v>
      </c>
      <c r="G16" s="618">
        <v>526062490187</v>
      </c>
      <c r="H16" s="85">
        <v>0</v>
      </c>
      <c r="I16" s="1160">
        <f>G16-H16</f>
        <v>526062490187</v>
      </c>
      <c r="J16" s="850">
        <f t="shared" si="1"/>
        <v>8</v>
      </c>
      <c r="K16" s="850" t="e">
        <f>_xlfn.XLOOKUP(A16,'A0.LS'!E:E,'A0.LS'!E:E)</f>
        <v>#N/A</v>
      </c>
    </row>
    <row r="17" spans="1:11" ht="13.5">
      <c r="A17" s="83" t="s">
        <v>31</v>
      </c>
      <c r="B17" s="84" t="s">
        <v>32</v>
      </c>
      <c r="C17" s="618">
        <v>541831687267</v>
      </c>
      <c r="D17" s="85">
        <v>0</v>
      </c>
      <c r="E17" s="85">
        <v>15813080696</v>
      </c>
      <c r="F17" s="618">
        <v>142043866328</v>
      </c>
      <c r="G17" s="618">
        <v>415600901635</v>
      </c>
      <c r="H17" s="85">
        <v>0</v>
      </c>
      <c r="I17" s="1160">
        <f t="shared" si="0"/>
        <v>415600901635</v>
      </c>
      <c r="J17" s="850">
        <f t="shared" si="1"/>
        <v>4</v>
      </c>
      <c r="K17" s="850" t="str">
        <f>_xlfn.XLOOKUP(A17,'A0.LS'!E:E,'A0.LS'!E:E)</f>
        <v>1218</v>
      </c>
    </row>
    <row r="18" spans="1:11" ht="13.5">
      <c r="A18" s="80" t="s">
        <v>33</v>
      </c>
      <c r="B18" s="81" t="s">
        <v>34</v>
      </c>
      <c r="C18" s="617">
        <v>50382191780</v>
      </c>
      <c r="D18" s="82">
        <v>0</v>
      </c>
      <c r="E18" s="82">
        <v>30000000000</v>
      </c>
      <c r="F18" s="617">
        <v>0</v>
      </c>
      <c r="G18" s="617">
        <v>80382191780</v>
      </c>
      <c r="H18" s="82">
        <v>0</v>
      </c>
      <c r="I18" s="1160">
        <f t="shared" si="0"/>
        <v>80382191780</v>
      </c>
      <c r="J18" s="850">
        <f t="shared" si="1"/>
        <v>3</v>
      </c>
      <c r="K18" s="850" t="e">
        <f>_xlfn.XLOOKUP(A18,'A0.LS'!E:E,'A0.LS'!E:E)</f>
        <v>#N/A</v>
      </c>
    </row>
    <row r="19" spans="1:11" ht="13.5">
      <c r="A19" s="80" t="s">
        <v>35</v>
      </c>
      <c r="B19" s="81" t="s">
        <v>36</v>
      </c>
      <c r="C19" s="617">
        <v>50382191780</v>
      </c>
      <c r="D19" s="82">
        <v>0</v>
      </c>
      <c r="E19" s="82">
        <v>30000000000</v>
      </c>
      <c r="F19" s="617">
        <v>0</v>
      </c>
      <c r="G19" s="617">
        <v>80382191780</v>
      </c>
      <c r="H19" s="82">
        <v>0</v>
      </c>
      <c r="I19" s="1160">
        <f t="shared" si="0"/>
        <v>80382191780</v>
      </c>
      <c r="J19" s="850">
        <f t="shared" si="1"/>
        <v>4</v>
      </c>
      <c r="K19" s="850" t="e">
        <f>_xlfn.XLOOKUP(A19,'A0.LS'!E:E,'A0.LS'!E:E)</f>
        <v>#N/A</v>
      </c>
    </row>
    <row r="20" spans="1:11" ht="13.5">
      <c r="A20" s="83" t="s">
        <v>39</v>
      </c>
      <c r="B20" s="84" t="s">
        <v>40</v>
      </c>
      <c r="C20" s="618">
        <v>50382191780</v>
      </c>
      <c r="D20" s="85">
        <v>0</v>
      </c>
      <c r="E20" s="85">
        <v>0</v>
      </c>
      <c r="F20" s="618">
        <v>0</v>
      </c>
      <c r="G20" s="618">
        <v>50382191780</v>
      </c>
      <c r="H20" s="85">
        <v>0</v>
      </c>
      <c r="I20" s="1160">
        <f t="shared" si="0"/>
        <v>50382191780</v>
      </c>
      <c r="J20" s="850">
        <f t="shared" si="1"/>
        <v>7</v>
      </c>
      <c r="K20" s="850" t="str">
        <f>_xlfn.XLOOKUP(A20,'A0.LS'!E:E,'A0.LS'!E:E)</f>
        <v>1281.02</v>
      </c>
    </row>
    <row r="21" spans="1:11" ht="13.5">
      <c r="A21" s="83" t="s">
        <v>43</v>
      </c>
      <c r="B21" s="84" t="s">
        <v>44</v>
      </c>
      <c r="C21" s="618">
        <v>0</v>
      </c>
      <c r="D21" s="85">
        <v>0</v>
      </c>
      <c r="E21" s="85">
        <v>30000000000</v>
      </c>
      <c r="F21" s="618">
        <v>0</v>
      </c>
      <c r="G21" s="618">
        <v>30000000000</v>
      </c>
      <c r="H21" s="85">
        <v>0</v>
      </c>
      <c r="I21" s="1160">
        <f t="shared" si="0"/>
        <v>30000000000</v>
      </c>
      <c r="J21" s="850">
        <f t="shared" si="1"/>
        <v>7</v>
      </c>
      <c r="K21" s="850" t="str">
        <f>_xlfn.XLOOKUP(A21,'A0.LS'!E:E,'A0.LS'!E:E)</f>
        <v>1281.04</v>
      </c>
    </row>
    <row r="22" spans="1:11" ht="13.5">
      <c r="A22" s="80" t="s">
        <v>47</v>
      </c>
      <c r="B22" s="81" t="s">
        <v>48</v>
      </c>
      <c r="C22" s="617">
        <v>382235110</v>
      </c>
      <c r="D22" s="82">
        <v>0</v>
      </c>
      <c r="E22" s="82">
        <v>50125547</v>
      </c>
      <c r="F22" s="617">
        <v>230511682</v>
      </c>
      <c r="G22" s="617">
        <v>201848975</v>
      </c>
      <c r="H22" s="82">
        <v>0</v>
      </c>
      <c r="I22" s="1160">
        <f t="shared" si="0"/>
        <v>201848975</v>
      </c>
      <c r="J22" s="850">
        <f t="shared" si="1"/>
        <v>3</v>
      </c>
      <c r="K22" s="850" t="str">
        <f>_xlfn.XLOOKUP(A22,'A0.LS'!E:E,'A0.LS'!E:E)</f>
        <v>131</v>
      </c>
    </row>
    <row r="23" spans="1:11" ht="13.5">
      <c r="A23" s="80" t="s">
        <v>49</v>
      </c>
      <c r="B23" s="81" t="s">
        <v>50</v>
      </c>
      <c r="C23" s="617">
        <v>3927829420</v>
      </c>
      <c r="D23" s="82">
        <v>0</v>
      </c>
      <c r="E23" s="82">
        <v>33698416</v>
      </c>
      <c r="F23" s="617">
        <v>51427919</v>
      </c>
      <c r="G23" s="617">
        <v>3910099917</v>
      </c>
      <c r="H23" s="82">
        <v>0</v>
      </c>
      <c r="I23" s="1160">
        <f t="shared" si="0"/>
        <v>3910099917</v>
      </c>
      <c r="J23" s="850">
        <f t="shared" si="1"/>
        <v>3</v>
      </c>
      <c r="K23" s="850" t="e">
        <f>_xlfn.XLOOKUP(A23,'A0.LS'!E:E,'A0.LS'!E:E)</f>
        <v>#N/A</v>
      </c>
    </row>
    <row r="24" spans="1:11" ht="13.5">
      <c r="A24" s="83" t="s">
        <v>51</v>
      </c>
      <c r="B24" s="84" t="s">
        <v>52</v>
      </c>
      <c r="C24" s="618">
        <v>3927829420</v>
      </c>
      <c r="D24" s="85">
        <v>0</v>
      </c>
      <c r="E24" s="85">
        <v>33698416</v>
      </c>
      <c r="F24" s="618">
        <v>51427919</v>
      </c>
      <c r="G24" s="618">
        <v>3910099917</v>
      </c>
      <c r="H24" s="85">
        <v>0</v>
      </c>
      <c r="I24" s="1160">
        <f t="shared" si="0"/>
        <v>3910099917</v>
      </c>
      <c r="J24" s="850">
        <f t="shared" si="1"/>
        <v>4</v>
      </c>
      <c r="K24" s="850" t="str">
        <f>_xlfn.XLOOKUP(A24,'A0.LS'!E:E,'A0.LS'!E:E)</f>
        <v>1331</v>
      </c>
    </row>
    <row r="25" spans="1:11" ht="13.5">
      <c r="A25" s="80" t="s">
        <v>55</v>
      </c>
      <c r="B25" s="81" t="s">
        <v>56</v>
      </c>
      <c r="C25" s="617">
        <v>47855757679</v>
      </c>
      <c r="D25" s="82">
        <v>0</v>
      </c>
      <c r="E25" s="82">
        <v>4898284530</v>
      </c>
      <c r="F25" s="617">
        <v>17532565479</v>
      </c>
      <c r="G25" s="617">
        <v>35221476730</v>
      </c>
      <c r="H25" s="82">
        <v>0</v>
      </c>
      <c r="I25" s="1160">
        <f t="shared" si="0"/>
        <v>35221476730</v>
      </c>
      <c r="J25" s="850">
        <f t="shared" si="1"/>
        <v>3</v>
      </c>
      <c r="K25" s="850" t="e">
        <f>_xlfn.XLOOKUP(A25,'A0.LS'!E:E,'A0.LS'!E:E)</f>
        <v>#N/A</v>
      </c>
    </row>
    <row r="26" spans="1:11" ht="13.5">
      <c r="A26" s="80" t="s">
        <v>57</v>
      </c>
      <c r="B26" s="81" t="s">
        <v>56</v>
      </c>
      <c r="C26" s="617">
        <v>47855757679</v>
      </c>
      <c r="D26" s="82">
        <v>0</v>
      </c>
      <c r="E26" s="82">
        <v>4898284530</v>
      </c>
      <c r="F26" s="617">
        <v>17532565479</v>
      </c>
      <c r="G26" s="617">
        <v>35221476730</v>
      </c>
      <c r="H26" s="82">
        <v>0</v>
      </c>
      <c r="I26" s="1160">
        <f t="shared" si="0"/>
        <v>35221476730</v>
      </c>
      <c r="J26" s="850">
        <f t="shared" si="1"/>
        <v>4</v>
      </c>
      <c r="K26" s="850" t="e">
        <f>_xlfn.XLOOKUP(A26,'A0.LS'!E:E,'A0.LS'!E:E)</f>
        <v>#N/A</v>
      </c>
    </row>
    <row r="27" spans="1:11" ht="13.5">
      <c r="A27" s="83" t="s">
        <v>58</v>
      </c>
      <c r="B27" s="84" t="s">
        <v>59</v>
      </c>
      <c r="C27" s="618">
        <v>2443853123</v>
      </c>
      <c r="D27" s="85">
        <v>0</v>
      </c>
      <c r="E27" s="85">
        <v>1916626329</v>
      </c>
      <c r="F27" s="618">
        <v>2275958904</v>
      </c>
      <c r="G27" s="618">
        <v>2084520548</v>
      </c>
      <c r="H27" s="85">
        <v>0</v>
      </c>
      <c r="I27" s="1160">
        <f t="shared" si="0"/>
        <v>2084520548</v>
      </c>
      <c r="J27" s="850">
        <f t="shared" si="1"/>
        <v>9</v>
      </c>
      <c r="K27" s="850" t="str">
        <f>_xlfn.XLOOKUP(A27,'A0.LS'!E:E,'A0.LS'!E:E)</f>
        <v>1388.Bank</v>
      </c>
    </row>
    <row r="28" spans="1:11" ht="13.5">
      <c r="A28" s="83" t="s">
        <v>60</v>
      </c>
      <c r="B28" s="84" t="s">
        <v>61</v>
      </c>
      <c r="C28" s="618">
        <v>39466450</v>
      </c>
      <c r="D28" s="85">
        <v>0</v>
      </c>
      <c r="E28" s="85">
        <v>56549028</v>
      </c>
      <c r="F28" s="618">
        <v>39466450</v>
      </c>
      <c r="G28" s="618">
        <v>56549028</v>
      </c>
      <c r="H28" s="85">
        <v>0</v>
      </c>
      <c r="I28" s="1160">
        <f t="shared" si="0"/>
        <v>56549028</v>
      </c>
      <c r="J28" s="850">
        <f t="shared" si="1"/>
        <v>7</v>
      </c>
      <c r="K28" s="850" t="str">
        <f>_xlfn.XLOOKUP(A28,'A0.LS'!E:E,'A0.LS'!E:E)</f>
        <v>1388.CT</v>
      </c>
    </row>
    <row r="29" spans="1:11" ht="13.5">
      <c r="A29" s="83" t="s">
        <v>62</v>
      </c>
      <c r="B29" s="84" t="s">
        <v>63</v>
      </c>
      <c r="C29" s="618">
        <v>13836020209</v>
      </c>
      <c r="D29" s="85">
        <v>0</v>
      </c>
      <c r="E29" s="85">
        <v>1740432021</v>
      </c>
      <c r="F29" s="618">
        <v>14032462973</v>
      </c>
      <c r="G29" s="618">
        <v>1543989257</v>
      </c>
      <c r="H29" s="85">
        <v>0</v>
      </c>
      <c r="I29" s="1160">
        <f t="shared" si="0"/>
        <v>1543989257</v>
      </c>
      <c r="J29" s="850">
        <f t="shared" si="1"/>
        <v>9</v>
      </c>
      <c r="K29" s="850" t="str">
        <f>_xlfn.XLOOKUP(A29,'A0.LS'!E:E,'A0.LS'!E:E)</f>
        <v>1388.Khac</v>
      </c>
    </row>
    <row r="30" spans="1:11" ht="13.5">
      <c r="A30" s="83" t="s">
        <v>64</v>
      </c>
      <c r="B30" s="84" t="s">
        <v>63</v>
      </c>
      <c r="C30" s="618">
        <v>31526322962</v>
      </c>
      <c r="D30" s="85">
        <v>0</v>
      </c>
      <c r="E30" s="85">
        <v>0</v>
      </c>
      <c r="F30" s="618">
        <v>0</v>
      </c>
      <c r="G30" s="618">
        <v>31526322962</v>
      </c>
      <c r="H30" s="85">
        <v>0</v>
      </c>
      <c r="I30" s="1160">
        <f t="shared" si="0"/>
        <v>31526322962</v>
      </c>
      <c r="J30" s="850">
        <f t="shared" si="1"/>
        <v>8</v>
      </c>
      <c r="K30" s="850" t="str">
        <f>_xlfn.XLOOKUP(A30,'A0.LS'!E:E,'A0.LS'!E:E)</f>
        <v>1388.NAV</v>
      </c>
    </row>
    <row r="31" spans="1:11" ht="13.5">
      <c r="A31" s="83" t="s">
        <v>65</v>
      </c>
      <c r="B31" s="84" t="s">
        <v>66</v>
      </c>
      <c r="C31" s="618">
        <v>2919672</v>
      </c>
      <c r="D31" s="85">
        <v>0</v>
      </c>
      <c r="E31" s="85">
        <v>1184677152</v>
      </c>
      <c r="F31" s="618">
        <v>1184677152</v>
      </c>
      <c r="G31" s="618">
        <v>2919672</v>
      </c>
      <c r="H31" s="85">
        <v>0</v>
      </c>
      <c r="I31" s="1160">
        <f t="shared" si="0"/>
        <v>2919672</v>
      </c>
      <c r="J31" s="850">
        <f t="shared" si="1"/>
        <v>9</v>
      </c>
      <c r="K31" s="850" t="str">
        <f>_xlfn.XLOOKUP(A31,'A0.LS'!E:E,'A0.LS'!E:E)</f>
        <v>1388.User</v>
      </c>
    </row>
    <row r="32" spans="1:11" ht="13.5">
      <c r="A32" s="83" t="s">
        <v>67</v>
      </c>
      <c r="B32" s="84" t="s">
        <v>68</v>
      </c>
      <c r="C32" s="618">
        <v>7175263</v>
      </c>
      <c r="D32" s="85">
        <v>0</v>
      </c>
      <c r="E32" s="85">
        <v>0</v>
      </c>
      <c r="F32" s="618">
        <v>0</v>
      </c>
      <c r="G32" s="618">
        <v>7175263</v>
      </c>
      <c r="H32" s="85">
        <v>0</v>
      </c>
      <c r="I32" s="1160">
        <f t="shared" si="0"/>
        <v>7175263</v>
      </c>
      <c r="J32" s="850">
        <f t="shared" si="1"/>
        <v>7</v>
      </c>
      <c r="K32" s="850" t="str">
        <f>_xlfn.XLOOKUP(A32,'A0.LS'!E:E,'A0.LS'!E:E)</f>
        <v>1388.Vi</v>
      </c>
    </row>
    <row r="33" spans="1:13" ht="13.5">
      <c r="A33" s="80" t="s">
        <v>69</v>
      </c>
      <c r="B33" s="81" t="s">
        <v>70</v>
      </c>
      <c r="C33" s="617">
        <v>860588650</v>
      </c>
      <c r="D33" s="82">
        <v>0</v>
      </c>
      <c r="E33" s="82">
        <v>500000</v>
      </c>
      <c r="F33" s="617">
        <v>861088650</v>
      </c>
      <c r="G33" s="617">
        <v>0</v>
      </c>
      <c r="H33" s="82">
        <v>0</v>
      </c>
      <c r="I33" s="1160">
        <f t="shared" si="0"/>
        <v>0</v>
      </c>
      <c r="J33" s="850">
        <f t="shared" si="1"/>
        <v>3</v>
      </c>
      <c r="K33" s="850" t="str">
        <f>_xlfn.XLOOKUP(A33,'A0.LS'!E:E,'A0.LS'!E:E)</f>
        <v>141</v>
      </c>
      <c r="L33" s="850"/>
      <c r="M33" s="850"/>
    </row>
    <row r="34" spans="1:13" ht="13.5">
      <c r="A34" s="80" t="s">
        <v>71</v>
      </c>
      <c r="B34" s="81" t="s">
        <v>72</v>
      </c>
      <c r="C34" s="617">
        <v>0</v>
      </c>
      <c r="D34" s="82">
        <v>0</v>
      </c>
      <c r="E34" s="82">
        <v>823307200</v>
      </c>
      <c r="F34" s="617">
        <v>823307200</v>
      </c>
      <c r="G34" s="617">
        <v>0</v>
      </c>
      <c r="H34" s="82">
        <v>0</v>
      </c>
      <c r="I34" s="1160">
        <f t="shared" si="0"/>
        <v>0</v>
      </c>
      <c r="J34" s="850">
        <f t="shared" si="1"/>
        <v>3</v>
      </c>
      <c r="K34" s="850" t="e">
        <f>_xlfn.XLOOKUP(A34,'A0.LS'!E:E,'A0.LS'!E:E)</f>
        <v>#N/A</v>
      </c>
      <c r="L34" s="848">
        <v>-95319586636</v>
      </c>
      <c r="M34" s="857">
        <f>D34+L34</f>
        <v>-95319586636</v>
      </c>
    </row>
    <row r="35" spans="1:13" ht="13.5">
      <c r="A35" s="80" t="s">
        <v>73</v>
      </c>
      <c r="B35" s="81" t="s">
        <v>74</v>
      </c>
      <c r="C35" s="617">
        <v>258050000</v>
      </c>
      <c r="D35" s="82">
        <v>0</v>
      </c>
      <c r="E35" s="82">
        <v>0</v>
      </c>
      <c r="F35" s="617">
        <v>258050000</v>
      </c>
      <c r="G35" s="617">
        <v>0</v>
      </c>
      <c r="H35" s="82">
        <v>0</v>
      </c>
      <c r="I35" s="1160">
        <f t="shared" si="0"/>
        <v>0</v>
      </c>
      <c r="J35" s="850">
        <f t="shared" si="1"/>
        <v>3</v>
      </c>
      <c r="K35" s="850" t="e">
        <f>_xlfn.XLOOKUP(A35,'A0.LS'!E:E,'A0.LS'!E:E)</f>
        <v>#N/A</v>
      </c>
      <c r="L35" s="850"/>
      <c r="M35" s="848">
        <f>'A5.YE22'!J80</f>
        <v>538268720</v>
      </c>
    </row>
    <row r="36" spans="1:13" ht="13.5">
      <c r="A36" s="83" t="s">
        <v>75</v>
      </c>
      <c r="B36" s="84" t="s">
        <v>76</v>
      </c>
      <c r="C36" s="618">
        <v>258050000</v>
      </c>
      <c r="D36" s="85">
        <v>0</v>
      </c>
      <c r="E36" s="85">
        <v>0</v>
      </c>
      <c r="F36" s="618">
        <v>258050000</v>
      </c>
      <c r="G36" s="618">
        <v>0</v>
      </c>
      <c r="H36" s="85">
        <v>0</v>
      </c>
      <c r="I36" s="1160">
        <f t="shared" si="0"/>
        <v>0</v>
      </c>
      <c r="J36" s="850">
        <f t="shared" si="1"/>
        <v>4</v>
      </c>
      <c r="K36" s="850" t="str">
        <f>_xlfn.XLOOKUP(A36,'A0.LS'!E:E,'A0.LS'!E:E)</f>
        <v>1561</v>
      </c>
      <c r="L36" s="850"/>
      <c r="M36" s="850"/>
    </row>
    <row r="37" spans="1:13" ht="13.5">
      <c r="A37" s="80" t="s">
        <v>77</v>
      </c>
      <c r="B37" s="81" t="s">
        <v>78</v>
      </c>
      <c r="C37" s="617">
        <v>2403010140</v>
      </c>
      <c r="D37" s="82">
        <v>0</v>
      </c>
      <c r="E37" s="82">
        <v>0</v>
      </c>
      <c r="F37" s="617">
        <v>0</v>
      </c>
      <c r="G37" s="617">
        <v>2403010140</v>
      </c>
      <c r="H37" s="82">
        <v>0</v>
      </c>
      <c r="I37" s="1160">
        <f t="shared" si="0"/>
        <v>2403010140</v>
      </c>
      <c r="J37" s="850">
        <f t="shared" si="1"/>
        <v>3</v>
      </c>
      <c r="K37" s="850" t="e">
        <f>_xlfn.XLOOKUP(A37,'A0.LS'!E:E,'A0.LS'!E:E)</f>
        <v>#N/A</v>
      </c>
      <c r="L37" s="850"/>
      <c r="M37" s="850"/>
    </row>
    <row r="38" spans="1:13" ht="13.5">
      <c r="A38" s="83" t="s">
        <v>79</v>
      </c>
      <c r="B38" s="84" t="s">
        <v>80</v>
      </c>
      <c r="C38" s="618">
        <v>1148306140</v>
      </c>
      <c r="D38" s="85">
        <v>0</v>
      </c>
      <c r="E38" s="85">
        <v>0</v>
      </c>
      <c r="F38" s="618">
        <v>0</v>
      </c>
      <c r="G38" s="618">
        <v>1148306140</v>
      </c>
      <c r="H38" s="85">
        <v>0</v>
      </c>
      <c r="I38" s="1160">
        <f t="shared" si="0"/>
        <v>1148306140</v>
      </c>
      <c r="J38" s="850">
        <f t="shared" si="1"/>
        <v>4</v>
      </c>
      <c r="K38" s="850" t="str">
        <f>_xlfn.XLOOKUP(A38,'A0.LS'!E:E,'A0.LS'!E:E)</f>
        <v>2112</v>
      </c>
      <c r="L38" s="850"/>
      <c r="M38" s="850"/>
    </row>
    <row r="39" spans="1:13" ht="13.5">
      <c r="A39" s="83" t="s">
        <v>81</v>
      </c>
      <c r="B39" s="84" t="s">
        <v>82</v>
      </c>
      <c r="C39" s="618">
        <v>1051112727</v>
      </c>
      <c r="D39" s="85">
        <v>0</v>
      </c>
      <c r="E39" s="85">
        <v>0</v>
      </c>
      <c r="F39" s="618">
        <v>0</v>
      </c>
      <c r="G39" s="618">
        <v>1051112727</v>
      </c>
      <c r="H39" s="85">
        <v>0</v>
      </c>
      <c r="I39" s="1160">
        <f t="shared" si="0"/>
        <v>1051112727</v>
      </c>
      <c r="J39" s="850">
        <f t="shared" si="1"/>
        <v>4</v>
      </c>
      <c r="K39" s="850" t="str">
        <f>_xlfn.XLOOKUP(A39,'A0.LS'!E:E,'A0.LS'!E:E)</f>
        <v>2113</v>
      </c>
      <c r="L39" s="850"/>
      <c r="M39" s="850"/>
    </row>
    <row r="40" spans="1:13" ht="13.5">
      <c r="A40" s="83" t="s">
        <v>83</v>
      </c>
      <c r="B40" s="84" t="s">
        <v>84</v>
      </c>
      <c r="C40" s="618">
        <v>203591273</v>
      </c>
      <c r="D40" s="85">
        <v>0</v>
      </c>
      <c r="E40" s="85">
        <v>0</v>
      </c>
      <c r="F40" s="618">
        <v>0</v>
      </c>
      <c r="G40" s="618">
        <v>203591273</v>
      </c>
      <c r="H40" s="85">
        <v>0</v>
      </c>
      <c r="I40" s="1160">
        <f t="shared" si="0"/>
        <v>203591273</v>
      </c>
      <c r="J40" s="850">
        <f t="shared" si="1"/>
        <v>4</v>
      </c>
      <c r="K40" s="850" t="str">
        <f>_xlfn.XLOOKUP(A40,'A0.LS'!E:E,'A0.LS'!E:E)</f>
        <v>2114</v>
      </c>
      <c r="L40" s="850"/>
      <c r="M40" s="850"/>
    </row>
    <row r="41" spans="1:13" ht="13.5">
      <c r="A41" s="80" t="s">
        <v>85</v>
      </c>
      <c r="B41" s="81" t="s">
        <v>86</v>
      </c>
      <c r="C41" s="617">
        <v>53008591420</v>
      </c>
      <c r="D41" s="82">
        <v>0</v>
      </c>
      <c r="E41" s="82">
        <v>0</v>
      </c>
      <c r="F41" s="617">
        <v>0</v>
      </c>
      <c r="G41" s="617">
        <v>53008591420</v>
      </c>
      <c r="H41" s="82">
        <v>0</v>
      </c>
      <c r="I41" s="1160">
        <f t="shared" si="0"/>
        <v>53008591420</v>
      </c>
      <c r="J41" s="850">
        <f t="shared" si="1"/>
        <v>3</v>
      </c>
      <c r="K41" s="850" t="e">
        <f>_xlfn.XLOOKUP(A41,'A0.LS'!E:E,'A0.LS'!E:E)</f>
        <v>#N/A</v>
      </c>
      <c r="L41" s="850"/>
      <c r="M41" s="850"/>
    </row>
    <row r="42" spans="1:13" ht="13.5">
      <c r="A42" s="83" t="s">
        <v>87</v>
      </c>
      <c r="B42" s="84" t="s">
        <v>88</v>
      </c>
      <c r="C42" s="618">
        <v>53008591420</v>
      </c>
      <c r="D42" s="85">
        <v>0</v>
      </c>
      <c r="E42" s="85">
        <v>0</v>
      </c>
      <c r="F42" s="618">
        <v>0</v>
      </c>
      <c r="G42" s="618">
        <v>53008591420</v>
      </c>
      <c r="H42" s="85">
        <v>0</v>
      </c>
      <c r="I42" s="1160">
        <f t="shared" si="0"/>
        <v>53008591420</v>
      </c>
      <c r="J42" s="850">
        <f t="shared" si="1"/>
        <v>4</v>
      </c>
      <c r="K42" s="850" t="str">
        <f>_xlfn.XLOOKUP(A42,'A0.LS'!E:E,'A0.LS'!E:E)</f>
        <v>2135</v>
      </c>
      <c r="L42" s="850"/>
      <c r="M42" s="850"/>
    </row>
    <row r="43" spans="1:13" ht="13.5">
      <c r="A43" s="80" t="s">
        <v>89</v>
      </c>
      <c r="B43" s="81" t="s">
        <v>90</v>
      </c>
      <c r="C43" s="617">
        <v>0</v>
      </c>
      <c r="D43" s="82">
        <v>8407294421</v>
      </c>
      <c r="E43" s="82">
        <v>0</v>
      </c>
      <c r="F43" s="617">
        <v>340332667</v>
      </c>
      <c r="G43" s="617">
        <v>0</v>
      </c>
      <c r="H43" s="82">
        <v>8747627088</v>
      </c>
      <c r="I43" s="1160">
        <f t="shared" si="0"/>
        <v>-8747627088</v>
      </c>
      <c r="J43" s="850">
        <f t="shared" si="1"/>
        <v>3</v>
      </c>
      <c r="K43" s="850" t="e">
        <f>_xlfn.XLOOKUP(A43,'A0.LS'!E:E,'A0.LS'!E:E)</f>
        <v>#N/A</v>
      </c>
      <c r="L43" s="850"/>
      <c r="M43" s="850"/>
    </row>
    <row r="44" spans="1:13" ht="13.5">
      <c r="A44" s="83" t="s">
        <v>91</v>
      </c>
      <c r="B44" s="84" t="s">
        <v>92</v>
      </c>
      <c r="C44" s="618">
        <v>0</v>
      </c>
      <c r="D44" s="85">
        <v>1365982894</v>
      </c>
      <c r="E44" s="85">
        <v>0</v>
      </c>
      <c r="F44" s="618">
        <v>38788991</v>
      </c>
      <c r="G44" s="618">
        <v>0</v>
      </c>
      <c r="H44" s="85">
        <v>1404771885</v>
      </c>
      <c r="I44" s="1160">
        <f t="shared" si="0"/>
        <v>-1404771885</v>
      </c>
      <c r="J44" s="850">
        <f t="shared" si="1"/>
        <v>4</v>
      </c>
      <c r="K44" s="850" t="str">
        <f>_xlfn.XLOOKUP(A44,'A0.LS'!E:E,'A0.LS'!E:E)</f>
        <v>2141</v>
      </c>
      <c r="L44" s="850"/>
      <c r="M44" s="850"/>
    </row>
    <row r="45" spans="1:13" ht="13.5">
      <c r="A45" s="83" t="s">
        <v>93</v>
      </c>
      <c r="B45" s="84" t="s">
        <v>94</v>
      </c>
      <c r="C45" s="618">
        <v>0</v>
      </c>
      <c r="D45" s="85">
        <v>7041311527</v>
      </c>
      <c r="E45" s="85">
        <v>0</v>
      </c>
      <c r="F45" s="618">
        <v>301543676</v>
      </c>
      <c r="G45" s="618">
        <v>0</v>
      </c>
      <c r="H45" s="85">
        <v>7342855203</v>
      </c>
      <c r="I45" s="1160">
        <f t="shared" si="0"/>
        <v>-7342855203</v>
      </c>
      <c r="J45" s="850">
        <f t="shared" si="1"/>
        <v>4</v>
      </c>
      <c r="K45" s="850" t="str">
        <f>_xlfn.XLOOKUP(A45,'A0.LS'!E:E,'A0.LS'!E:E)</f>
        <v>2143</v>
      </c>
      <c r="L45" s="850"/>
      <c r="M45" s="850"/>
    </row>
    <row r="46" spans="1:13" ht="13.5">
      <c r="A46" s="80" t="s">
        <v>95</v>
      </c>
      <c r="B46" s="81" t="s">
        <v>96</v>
      </c>
      <c r="C46" s="617">
        <v>440010000000</v>
      </c>
      <c r="D46" s="82">
        <v>0</v>
      </c>
      <c r="E46" s="82">
        <v>0</v>
      </c>
      <c r="F46" s="617">
        <v>0</v>
      </c>
      <c r="G46" s="617">
        <v>440010000000</v>
      </c>
      <c r="H46" s="82">
        <v>0</v>
      </c>
      <c r="I46" s="1160">
        <f t="shared" si="0"/>
        <v>440010000000</v>
      </c>
      <c r="J46" s="850">
        <f t="shared" si="1"/>
        <v>3</v>
      </c>
      <c r="K46" s="850" t="str">
        <f>_xlfn.XLOOKUP(A46,'A0.LS'!E:E,'A0.LS'!E:E)</f>
        <v>221</v>
      </c>
      <c r="L46" s="850"/>
      <c r="M46" s="850"/>
    </row>
    <row r="47" spans="1:13" ht="13.5">
      <c r="A47" s="80" t="s">
        <v>97</v>
      </c>
      <c r="B47" s="81" t="s">
        <v>98</v>
      </c>
      <c r="C47" s="617">
        <v>115001000000</v>
      </c>
      <c r="D47" s="82">
        <v>0</v>
      </c>
      <c r="E47" s="82">
        <v>0</v>
      </c>
      <c r="F47" s="617">
        <v>50000000000</v>
      </c>
      <c r="G47" s="617">
        <v>65001000000</v>
      </c>
      <c r="H47" s="82">
        <v>0</v>
      </c>
      <c r="I47" s="1160">
        <f t="shared" si="0"/>
        <v>65001000000</v>
      </c>
      <c r="J47" s="850">
        <f t="shared" si="1"/>
        <v>3</v>
      </c>
      <c r="K47" s="850" t="e">
        <f>_xlfn.XLOOKUP(A47,'A0.LS'!E:E,'A0.LS'!E:E)</f>
        <v>#N/A</v>
      </c>
      <c r="L47" s="850"/>
      <c r="M47" s="850"/>
    </row>
    <row r="48" spans="1:13" ht="13.5">
      <c r="A48" s="83" t="s">
        <v>99</v>
      </c>
      <c r="B48" s="84" t="s">
        <v>98</v>
      </c>
      <c r="C48" s="618">
        <v>115001000000</v>
      </c>
      <c r="D48" s="85">
        <v>0</v>
      </c>
      <c r="E48" s="85">
        <v>0</v>
      </c>
      <c r="F48" s="618">
        <v>50000000000</v>
      </c>
      <c r="G48" s="618">
        <v>65001000000</v>
      </c>
      <c r="H48" s="85">
        <v>0</v>
      </c>
      <c r="I48" s="1160">
        <f t="shared" si="0"/>
        <v>65001000000</v>
      </c>
      <c r="J48" s="850">
        <f t="shared" si="1"/>
        <v>4</v>
      </c>
      <c r="K48" s="850" t="str">
        <f>_xlfn.XLOOKUP(A48,'A0.LS'!E:E,'A0.LS'!E:E)</f>
        <v>2288</v>
      </c>
      <c r="L48" s="850"/>
      <c r="M48" s="850"/>
    </row>
    <row r="49" spans="1:13" ht="13.5">
      <c r="A49" s="80" t="s">
        <v>100</v>
      </c>
      <c r="B49" s="81" t="s">
        <v>101</v>
      </c>
      <c r="C49" s="617">
        <v>0</v>
      </c>
      <c r="D49" s="82">
        <v>55086043558</v>
      </c>
      <c r="E49" s="82">
        <v>0</v>
      </c>
      <c r="F49" s="617">
        <v>0</v>
      </c>
      <c r="G49" s="617">
        <v>0</v>
      </c>
      <c r="H49" s="82">
        <v>55086043558</v>
      </c>
      <c r="I49" s="1160">
        <f t="shared" si="0"/>
        <v>-55086043558</v>
      </c>
      <c r="J49" s="850">
        <f t="shared" si="1"/>
        <v>3</v>
      </c>
      <c r="K49" s="850" t="e">
        <f>_xlfn.XLOOKUP(A49,'A0.LS'!E:E,'A0.LS'!E:E)</f>
        <v>#N/A</v>
      </c>
      <c r="L49" s="850"/>
      <c r="M49" s="850"/>
    </row>
    <row r="50" spans="1:13" ht="13.5">
      <c r="A50" s="83" t="s">
        <v>102</v>
      </c>
      <c r="B50" s="84" t="s">
        <v>103</v>
      </c>
      <c r="C50" s="618">
        <v>0</v>
      </c>
      <c r="D50" s="85">
        <v>127484513</v>
      </c>
      <c r="E50" s="85">
        <v>0</v>
      </c>
      <c r="F50" s="618">
        <v>0</v>
      </c>
      <c r="G50" s="618">
        <v>0</v>
      </c>
      <c r="H50" s="85">
        <v>127484513</v>
      </c>
      <c r="I50" s="1160">
        <f t="shared" si="0"/>
        <v>-127484513</v>
      </c>
      <c r="J50" s="850">
        <f t="shared" si="1"/>
        <v>4</v>
      </c>
      <c r="K50" s="850" t="str">
        <f>_xlfn.XLOOKUP(A50,'A0.LS'!E:E,'A0.LS'!E:E)</f>
        <v>2291</v>
      </c>
      <c r="L50" s="850"/>
      <c r="M50" s="850"/>
    </row>
    <row r="51" spans="1:13" ht="13.5">
      <c r="A51" s="83" t="s">
        <v>104</v>
      </c>
      <c r="B51" s="84" t="s">
        <v>105</v>
      </c>
      <c r="C51" s="618">
        <v>0</v>
      </c>
      <c r="D51" s="85">
        <v>54958559045</v>
      </c>
      <c r="E51" s="85">
        <v>0</v>
      </c>
      <c r="F51" s="618">
        <v>0</v>
      </c>
      <c r="G51" s="618">
        <v>0</v>
      </c>
      <c r="H51" s="85">
        <v>54958559045</v>
      </c>
      <c r="I51" s="1160">
        <f t="shared" si="0"/>
        <v>-54958559045</v>
      </c>
      <c r="J51" s="850">
        <f t="shared" si="1"/>
        <v>4</v>
      </c>
      <c r="K51" s="850" t="str">
        <f>_xlfn.XLOOKUP(A51,'A0.LS'!E:E,'A0.LS'!E:E)</f>
        <v>2292</v>
      </c>
      <c r="L51" s="850"/>
      <c r="M51" s="850"/>
    </row>
    <row r="52" spans="1:13" ht="13.5">
      <c r="A52" s="80" t="s">
        <v>106</v>
      </c>
      <c r="B52" s="81" t="s">
        <v>107</v>
      </c>
      <c r="C52" s="617">
        <v>5763484548</v>
      </c>
      <c r="D52" s="82">
        <v>0</v>
      </c>
      <c r="E52" s="82">
        <v>1240265065</v>
      </c>
      <c r="F52" s="617">
        <v>0</v>
      </c>
      <c r="G52" s="617">
        <v>7003749613</v>
      </c>
      <c r="H52" s="82">
        <v>0</v>
      </c>
      <c r="I52" s="1160">
        <f t="shared" si="0"/>
        <v>7003749613</v>
      </c>
      <c r="J52" s="850">
        <f t="shared" si="1"/>
        <v>3</v>
      </c>
      <c r="K52" s="850" t="e">
        <f>_xlfn.XLOOKUP(A52,'A0.LS'!E:E,'A0.LS'!E:E)</f>
        <v>#N/A</v>
      </c>
      <c r="L52" s="850"/>
      <c r="M52" s="850"/>
    </row>
    <row r="53" spans="1:13" ht="13.5">
      <c r="A53" s="83" t="s">
        <v>108</v>
      </c>
      <c r="B53" s="84" t="s">
        <v>109</v>
      </c>
      <c r="C53" s="618">
        <v>5763484548</v>
      </c>
      <c r="D53" s="85">
        <v>0</v>
      </c>
      <c r="E53" s="85">
        <v>1240265065</v>
      </c>
      <c r="F53" s="618">
        <v>0</v>
      </c>
      <c r="G53" s="618">
        <v>7003749613</v>
      </c>
      <c r="H53" s="85">
        <v>0</v>
      </c>
      <c r="I53" s="1160">
        <f t="shared" si="0"/>
        <v>7003749613</v>
      </c>
      <c r="J53" s="850">
        <f t="shared" si="1"/>
        <v>4</v>
      </c>
      <c r="K53" s="850" t="str">
        <f>_xlfn.XLOOKUP(A53,'A0.LS'!E:E,'A0.LS'!E:E)</f>
        <v>2412</v>
      </c>
      <c r="L53" s="850"/>
      <c r="M53" s="850"/>
    </row>
    <row r="54" spans="1:13" ht="13.5">
      <c r="A54" s="80" t="s">
        <v>112</v>
      </c>
      <c r="B54" s="81" t="s">
        <v>113</v>
      </c>
      <c r="C54" s="617">
        <v>1163413796</v>
      </c>
      <c r="D54" s="82">
        <v>0</v>
      </c>
      <c r="E54" s="82">
        <v>31552847</v>
      </c>
      <c r="F54" s="617">
        <v>159330332</v>
      </c>
      <c r="G54" s="617">
        <v>1035636311</v>
      </c>
      <c r="H54" s="82">
        <v>0</v>
      </c>
      <c r="I54" s="1160">
        <f t="shared" si="0"/>
        <v>1035636311</v>
      </c>
      <c r="J54" s="850">
        <f t="shared" si="1"/>
        <v>3</v>
      </c>
      <c r="K54" s="850" t="e">
        <f>_xlfn.XLOOKUP(A54,'A0.LS'!E:E,'A0.LS'!E:E)</f>
        <v>#N/A</v>
      </c>
      <c r="L54" s="850">
        <v>4211</v>
      </c>
      <c r="M54" s="848">
        <v>8848353821</v>
      </c>
    </row>
    <row r="55" spans="1:13" ht="13.5">
      <c r="A55" s="80" t="s">
        <v>523</v>
      </c>
      <c r="B55" s="81" t="s">
        <v>115</v>
      </c>
      <c r="C55" s="617">
        <v>31944836</v>
      </c>
      <c r="D55" s="82">
        <v>0</v>
      </c>
      <c r="E55" s="82">
        <v>0</v>
      </c>
      <c r="F55" s="617">
        <v>6595449</v>
      </c>
      <c r="G55" s="617">
        <v>25349387</v>
      </c>
      <c r="H55" s="82">
        <v>0</v>
      </c>
      <c r="I55" s="1160">
        <f t="shared" si="0"/>
        <v>25349387</v>
      </c>
      <c r="J55" s="850">
        <f t="shared" si="1"/>
        <v>4</v>
      </c>
      <c r="K55" s="850" t="e">
        <f>_xlfn.XLOOKUP(A55,'A0.LS'!E:E,'A0.LS'!E:E)</f>
        <v>#N/A</v>
      </c>
      <c r="L55" s="850">
        <v>6355</v>
      </c>
      <c r="M55" s="853">
        <f>F55</f>
        <v>6595449</v>
      </c>
    </row>
    <row r="56" spans="1:13" ht="25.5">
      <c r="A56" s="83" t="s">
        <v>522</v>
      </c>
      <c r="B56" s="84" t="s">
        <v>743</v>
      </c>
      <c r="C56" s="618">
        <v>31944836</v>
      </c>
      <c r="D56" s="85">
        <v>0</v>
      </c>
      <c r="E56" s="85">
        <v>0</v>
      </c>
      <c r="F56" s="618">
        <v>6595449</v>
      </c>
      <c r="G56" s="618">
        <v>25349387</v>
      </c>
      <c r="H56" s="85">
        <v>0</v>
      </c>
      <c r="I56" s="1160">
        <f>G56-H56</f>
        <v>25349387</v>
      </c>
      <c r="J56" s="850">
        <f t="shared" si="1"/>
        <v>7</v>
      </c>
      <c r="K56" s="850" t="str">
        <f>_xlfn.XLOOKUP(A56,'A0.LS'!E:E,'A0.LS'!E:E)</f>
        <v>2421.02</v>
      </c>
      <c r="L56" s="850"/>
      <c r="M56" s="850"/>
    </row>
    <row r="57" spans="1:13" ht="13.5">
      <c r="A57" s="80" t="s">
        <v>116</v>
      </c>
      <c r="B57" s="81" t="s">
        <v>113</v>
      </c>
      <c r="C57" s="617">
        <v>1131468960</v>
      </c>
      <c r="D57" s="82">
        <v>0</v>
      </c>
      <c r="E57" s="82">
        <v>31552847</v>
      </c>
      <c r="F57" s="617">
        <v>152734883</v>
      </c>
      <c r="G57" s="617">
        <v>1010286924</v>
      </c>
      <c r="H57" s="82">
        <v>0</v>
      </c>
      <c r="I57" s="1160">
        <f t="shared" si="0"/>
        <v>1010286924</v>
      </c>
      <c r="J57" s="850">
        <f t="shared" si="1"/>
        <v>4</v>
      </c>
      <c r="K57" s="850" t="e">
        <f>_xlfn.XLOOKUP(A57,'A0.LS'!E:E,'A0.LS'!E:E)</f>
        <v>#N/A</v>
      </c>
      <c r="L57" s="850"/>
      <c r="M57" s="850"/>
    </row>
    <row r="58" spans="1:13" ht="13.5">
      <c r="A58" s="83" t="s">
        <v>117</v>
      </c>
      <c r="B58" s="84" t="s">
        <v>118</v>
      </c>
      <c r="C58" s="618">
        <v>317414101</v>
      </c>
      <c r="D58" s="85">
        <v>0</v>
      </c>
      <c r="E58" s="85">
        <v>31552847</v>
      </c>
      <c r="F58" s="618">
        <v>111432839</v>
      </c>
      <c r="G58" s="618">
        <v>237534109</v>
      </c>
      <c r="H58" s="85">
        <v>0</v>
      </c>
      <c r="I58" s="1160">
        <f t="shared" si="0"/>
        <v>237534109</v>
      </c>
      <c r="J58" s="850">
        <f t="shared" si="1"/>
        <v>7</v>
      </c>
      <c r="K58" s="850" t="str">
        <f>_xlfn.XLOOKUP(A58,'A0.LS'!E:E,'A0.LS'!E:E)</f>
        <v>2422.01</v>
      </c>
      <c r="L58" s="850"/>
      <c r="M58" s="850"/>
    </row>
    <row r="59" spans="1:13" ht="13.5">
      <c r="A59" s="83" t="s">
        <v>119</v>
      </c>
      <c r="B59" s="84" t="s">
        <v>120</v>
      </c>
      <c r="C59" s="618">
        <v>814054859</v>
      </c>
      <c r="D59" s="85">
        <v>0</v>
      </c>
      <c r="E59" s="85">
        <v>0</v>
      </c>
      <c r="F59" s="618">
        <v>41302044</v>
      </c>
      <c r="G59" s="618">
        <v>772752815</v>
      </c>
      <c r="H59" s="85">
        <v>0</v>
      </c>
      <c r="I59" s="1160">
        <f t="shared" si="0"/>
        <v>772752815</v>
      </c>
      <c r="J59" s="850">
        <f t="shared" si="1"/>
        <v>7</v>
      </c>
      <c r="K59" s="850" t="str">
        <f>_xlfn.XLOOKUP(A59,'A0.LS'!E:E,'A0.LS'!E:E)</f>
        <v>2422.02</v>
      </c>
      <c r="L59" s="850"/>
      <c r="M59" s="850"/>
    </row>
    <row r="60" spans="1:13" ht="13.5">
      <c r="A60" s="80" t="s">
        <v>121</v>
      </c>
      <c r="B60" s="81" t="s">
        <v>122</v>
      </c>
      <c r="C60" s="617">
        <v>888560037</v>
      </c>
      <c r="D60" s="82">
        <v>0</v>
      </c>
      <c r="E60" s="82">
        <v>329258500</v>
      </c>
      <c r="F60" s="617">
        <v>0</v>
      </c>
      <c r="G60" s="617">
        <v>1217818537</v>
      </c>
      <c r="H60" s="82">
        <v>0</v>
      </c>
      <c r="I60" s="1160">
        <f t="shared" si="0"/>
        <v>1217818537</v>
      </c>
      <c r="J60" s="850">
        <f t="shared" si="1"/>
        <v>3</v>
      </c>
      <c r="K60" s="850" t="str">
        <f>_xlfn.XLOOKUP(A60,'A0.LS'!E:E,'A0.LS'!E:E)</f>
        <v>244</v>
      </c>
      <c r="L60" s="850"/>
      <c r="M60" s="850"/>
    </row>
    <row r="61" spans="1:13" ht="13.5">
      <c r="A61" s="80" t="s">
        <v>123</v>
      </c>
      <c r="B61" s="81" t="s">
        <v>124</v>
      </c>
      <c r="C61" s="617">
        <v>0</v>
      </c>
      <c r="D61" s="82">
        <v>5794685411</v>
      </c>
      <c r="E61" s="82">
        <v>1892996195</v>
      </c>
      <c r="F61" s="617">
        <v>1049212440</v>
      </c>
      <c r="G61" s="617">
        <v>0</v>
      </c>
      <c r="H61" s="82">
        <v>4950901656</v>
      </c>
      <c r="I61" s="1160">
        <f t="shared" si="0"/>
        <v>-4950901656</v>
      </c>
      <c r="J61" s="850">
        <f t="shared" si="1"/>
        <v>3</v>
      </c>
      <c r="K61" s="850"/>
      <c r="L61" s="850"/>
      <c r="M61" s="850"/>
    </row>
    <row r="62" spans="1:13" ht="13.5">
      <c r="A62" s="83" t="s">
        <v>125</v>
      </c>
      <c r="B62" s="84" t="s">
        <v>124</v>
      </c>
      <c r="C62" s="618">
        <v>0</v>
      </c>
      <c r="D62" s="85">
        <v>5795452411</v>
      </c>
      <c r="E62" s="85">
        <v>1796982535</v>
      </c>
      <c r="F62" s="618">
        <v>1049109440</v>
      </c>
      <c r="G62" s="618">
        <v>0</v>
      </c>
      <c r="H62" s="85">
        <v>5047579316</v>
      </c>
      <c r="I62" s="1160">
        <f>G62-H62</f>
        <v>-5047579316</v>
      </c>
      <c r="J62" s="850">
        <f t="shared" si="1"/>
        <v>6</v>
      </c>
      <c r="K62" s="850"/>
      <c r="L62" s="850"/>
      <c r="M62" s="850"/>
    </row>
    <row r="63" spans="1:13" ht="13.5">
      <c r="A63" s="83" t="s">
        <v>126</v>
      </c>
      <c r="B63" s="84" t="s">
        <v>127</v>
      </c>
      <c r="C63" s="618">
        <v>767000</v>
      </c>
      <c r="D63" s="85">
        <v>0</v>
      </c>
      <c r="E63" s="85">
        <v>96013660</v>
      </c>
      <c r="F63" s="618">
        <v>103000</v>
      </c>
      <c r="G63" s="618">
        <v>96677660</v>
      </c>
      <c r="H63" s="85">
        <v>0</v>
      </c>
      <c r="I63" s="1160">
        <f t="shared" si="0"/>
        <v>96677660</v>
      </c>
      <c r="J63" s="850">
        <f t="shared" si="1"/>
        <v>6</v>
      </c>
      <c r="K63" s="850" t="str">
        <f>_xlfn.XLOOKUP(A63,'A0.LS'!E:E,'A0.LS'!E:E)</f>
        <v>331.02</v>
      </c>
      <c r="L63" s="850"/>
      <c r="M63" s="850"/>
    </row>
    <row r="64" spans="1:13" ht="13.5">
      <c r="A64" s="80" t="s">
        <v>128</v>
      </c>
      <c r="B64" s="81" t="s">
        <v>129</v>
      </c>
      <c r="C64" s="617">
        <v>0</v>
      </c>
      <c r="D64" s="82">
        <v>491878568</v>
      </c>
      <c r="E64" s="82">
        <v>450162734</v>
      </c>
      <c r="F64" s="617">
        <v>384357186</v>
      </c>
      <c r="G64" s="617">
        <v>0</v>
      </c>
      <c r="H64" s="82">
        <v>426073020</v>
      </c>
      <c r="I64" s="1160">
        <f t="shared" si="0"/>
        <v>-426073020</v>
      </c>
      <c r="J64" s="850">
        <f t="shared" si="1"/>
        <v>3</v>
      </c>
      <c r="K64" s="850" t="e">
        <f>_xlfn.XLOOKUP(A64,'A0.LS'!E:E,'A0.LS'!E:E)</f>
        <v>#N/A</v>
      </c>
      <c r="L64" s="850"/>
      <c r="M64" s="850"/>
    </row>
    <row r="65" spans="1:11" ht="13.5">
      <c r="A65" s="80" t="s">
        <v>130</v>
      </c>
      <c r="B65" s="81" t="s">
        <v>131</v>
      </c>
      <c r="C65" s="617">
        <v>0</v>
      </c>
      <c r="D65" s="82">
        <v>46934689</v>
      </c>
      <c r="E65" s="82">
        <v>51427919</v>
      </c>
      <c r="F65" s="617">
        <v>4493230</v>
      </c>
      <c r="G65" s="617">
        <v>0</v>
      </c>
      <c r="H65" s="82">
        <v>0</v>
      </c>
      <c r="I65" s="1160">
        <f t="shared" si="0"/>
        <v>0</v>
      </c>
      <c r="J65" s="850">
        <f t="shared" si="1"/>
        <v>4</v>
      </c>
      <c r="K65" s="850" t="e">
        <f>_xlfn.XLOOKUP(A65,'A0.LS'!E:E,'A0.LS'!E:E)</f>
        <v>#N/A</v>
      </c>
    </row>
    <row r="66" spans="1:11" ht="13.5">
      <c r="A66" s="83" t="s">
        <v>132</v>
      </c>
      <c r="B66" s="84" t="s">
        <v>133</v>
      </c>
      <c r="C66" s="618">
        <v>0</v>
      </c>
      <c r="D66" s="85">
        <v>46934689</v>
      </c>
      <c r="E66" s="85">
        <v>51427919</v>
      </c>
      <c r="F66" s="618">
        <v>4493230</v>
      </c>
      <c r="G66" s="618">
        <v>0</v>
      </c>
      <c r="H66" s="85">
        <v>0</v>
      </c>
      <c r="I66" s="1160">
        <f t="shared" si="0"/>
        <v>0</v>
      </c>
      <c r="J66" s="850">
        <f t="shared" si="1"/>
        <v>5</v>
      </c>
      <c r="K66" s="850" t="str">
        <f>_xlfn.XLOOKUP(A66,'A0.LS'!E:E,'A0.LS'!E:E)</f>
        <v>33311</v>
      </c>
    </row>
    <row r="67" spans="1:11" ht="13.5">
      <c r="A67" s="80" t="s">
        <v>134</v>
      </c>
      <c r="B67" s="81" t="s">
        <v>135</v>
      </c>
      <c r="C67" s="617">
        <v>0</v>
      </c>
      <c r="D67" s="82">
        <v>427214774</v>
      </c>
      <c r="E67" s="82">
        <v>381505710</v>
      </c>
      <c r="F67" s="617">
        <v>379245540</v>
      </c>
      <c r="G67" s="617">
        <v>0</v>
      </c>
      <c r="H67" s="82">
        <v>424954604</v>
      </c>
      <c r="I67" s="1160">
        <f t="shared" si="0"/>
        <v>-424954604</v>
      </c>
      <c r="J67" s="850">
        <f t="shared" si="1"/>
        <v>4</v>
      </c>
      <c r="K67" s="850" t="e">
        <f>_xlfn.XLOOKUP(A67,'A0.LS'!E:E,'A0.LS'!E:E)</f>
        <v>#N/A</v>
      </c>
    </row>
    <row r="68" spans="1:11" ht="13.5">
      <c r="A68" s="83" t="s">
        <v>136</v>
      </c>
      <c r="B68" s="84" t="s">
        <v>137</v>
      </c>
      <c r="C68" s="618">
        <v>0</v>
      </c>
      <c r="D68" s="85">
        <v>104300714</v>
      </c>
      <c r="E68" s="85">
        <v>58591650</v>
      </c>
      <c r="F68" s="618">
        <v>40532467</v>
      </c>
      <c r="G68" s="618">
        <v>0</v>
      </c>
      <c r="H68" s="85">
        <v>86241531</v>
      </c>
      <c r="I68" s="1160">
        <f t="shared" si="0"/>
        <v>-86241531</v>
      </c>
      <c r="J68" s="850">
        <f t="shared" si="1"/>
        <v>7</v>
      </c>
      <c r="K68" s="850" t="str">
        <f>_xlfn.XLOOKUP(A68,'A0.LS'!E:E,'A0.LS'!E:E)</f>
        <v>3335.FH</v>
      </c>
    </row>
    <row r="69" spans="1:11" ht="13.5">
      <c r="A69" s="83" t="s">
        <v>138</v>
      </c>
      <c r="B69" s="84" t="s">
        <v>139</v>
      </c>
      <c r="C69" s="618">
        <v>0</v>
      </c>
      <c r="D69" s="85">
        <v>267778</v>
      </c>
      <c r="E69" s="85">
        <v>267778</v>
      </c>
      <c r="F69" s="618">
        <v>0</v>
      </c>
      <c r="G69" s="618">
        <v>0</v>
      </c>
      <c r="H69" s="85">
        <v>0</v>
      </c>
      <c r="I69" s="1160">
        <f t="shared" si="0"/>
        <v>0</v>
      </c>
      <c r="J69" s="850">
        <f t="shared" si="1"/>
        <v>7</v>
      </c>
      <c r="K69" s="850" t="str">
        <f>_xlfn.XLOOKUP(A69,'A0.LS'!E:E,'A0.LS'!E:E)</f>
        <v>3335.TN</v>
      </c>
    </row>
    <row r="70" spans="1:11" ht="13.5">
      <c r="A70" s="83" t="s">
        <v>140</v>
      </c>
      <c r="B70" s="84" t="s">
        <v>141</v>
      </c>
      <c r="C70" s="618">
        <v>0</v>
      </c>
      <c r="D70" s="85">
        <v>322646282</v>
      </c>
      <c r="E70" s="85">
        <v>322646282</v>
      </c>
      <c r="F70" s="618">
        <v>338713073</v>
      </c>
      <c r="G70" s="618">
        <v>0</v>
      </c>
      <c r="H70" s="85">
        <v>338713073</v>
      </c>
      <c r="I70" s="1160">
        <f t="shared" si="0"/>
        <v>-338713073</v>
      </c>
      <c r="J70" s="850">
        <f t="shared" si="1"/>
        <v>9</v>
      </c>
      <c r="K70" s="850" t="str">
        <f>_xlfn.XLOOKUP(A70,'A0.LS'!E:E,'A0.LS'!E:E)</f>
        <v>3335.User</v>
      </c>
    </row>
    <row r="71" spans="1:11" ht="13.5">
      <c r="A71" s="80" t="s">
        <v>142</v>
      </c>
      <c r="B71" s="81" t="s">
        <v>143</v>
      </c>
      <c r="C71" s="617">
        <v>0</v>
      </c>
      <c r="D71" s="82">
        <v>17729105</v>
      </c>
      <c r="E71" s="82">
        <v>17229105</v>
      </c>
      <c r="F71" s="617">
        <v>618416</v>
      </c>
      <c r="G71" s="617">
        <v>0</v>
      </c>
      <c r="H71" s="82">
        <v>1118416</v>
      </c>
      <c r="I71" s="1160">
        <f t="shared" si="0"/>
        <v>-1118416</v>
      </c>
      <c r="J71" s="850">
        <f t="shared" si="1"/>
        <v>4</v>
      </c>
      <c r="K71" s="850" t="e">
        <f>_xlfn.XLOOKUP(A71,'A0.LS'!E:E,'A0.LS'!E:E)</f>
        <v>#N/A</v>
      </c>
    </row>
    <row r="72" spans="1:11" ht="13.5">
      <c r="A72" s="83" t="s">
        <v>144</v>
      </c>
      <c r="B72" s="84" t="s">
        <v>145</v>
      </c>
      <c r="C72" s="618">
        <v>0</v>
      </c>
      <c r="D72" s="85">
        <v>17729105</v>
      </c>
      <c r="E72" s="85">
        <v>17229105</v>
      </c>
      <c r="F72" s="618">
        <v>618416</v>
      </c>
      <c r="G72" s="618">
        <v>0</v>
      </c>
      <c r="H72" s="85">
        <v>1118416</v>
      </c>
      <c r="I72" s="1160">
        <f t="shared" si="0"/>
        <v>-1118416</v>
      </c>
      <c r="J72" s="850">
        <f t="shared" ref="J72:J135" si="2">LEN(A72)</f>
        <v>5</v>
      </c>
      <c r="K72" s="850" t="str">
        <f>_xlfn.XLOOKUP(A72,'A0.LS'!E:E,'A0.LS'!E:E)</f>
        <v>33382</v>
      </c>
    </row>
    <row r="73" spans="1:11" ht="13.5">
      <c r="A73" s="80" t="s">
        <v>148</v>
      </c>
      <c r="B73" s="81" t="s">
        <v>149</v>
      </c>
      <c r="C73" s="617">
        <v>0</v>
      </c>
      <c r="D73" s="82">
        <v>720469971</v>
      </c>
      <c r="E73" s="82">
        <v>803106438</v>
      </c>
      <c r="F73" s="617">
        <v>1536661530</v>
      </c>
      <c r="G73" s="617">
        <v>0</v>
      </c>
      <c r="H73" s="82">
        <v>1454025063</v>
      </c>
      <c r="I73" s="1160">
        <f t="shared" si="0"/>
        <v>-1454025063</v>
      </c>
      <c r="J73" s="850">
        <f t="shared" si="2"/>
        <v>3</v>
      </c>
      <c r="K73" s="850" t="e">
        <f>_xlfn.XLOOKUP(A73,'A0.LS'!E:E,'A0.LS'!E:E)</f>
        <v>#N/A</v>
      </c>
    </row>
    <row r="74" spans="1:11" ht="13.5">
      <c r="A74" s="83" t="s">
        <v>150</v>
      </c>
      <c r="B74" s="84" t="s">
        <v>151</v>
      </c>
      <c r="C74" s="618">
        <v>0</v>
      </c>
      <c r="D74" s="85">
        <v>720469971</v>
      </c>
      <c r="E74" s="85">
        <v>798216438</v>
      </c>
      <c r="F74" s="618">
        <v>1531771530</v>
      </c>
      <c r="G74" s="618">
        <v>0</v>
      </c>
      <c r="H74" s="85">
        <v>1454025063</v>
      </c>
      <c r="I74" s="1160">
        <f t="shared" ref="I74:I137" si="3">G74-H74</f>
        <v>-1454025063</v>
      </c>
      <c r="J74" s="850">
        <f t="shared" si="2"/>
        <v>4</v>
      </c>
      <c r="K74" s="850" t="str">
        <f>_xlfn.XLOOKUP(A74,'A0.LS'!E:E,'A0.LS'!E:E)</f>
        <v>3341</v>
      </c>
    </row>
    <row r="75" spans="1:11" ht="13.5">
      <c r="A75" s="83" t="s">
        <v>152</v>
      </c>
      <c r="B75" s="84" t="s">
        <v>153</v>
      </c>
      <c r="C75" s="618">
        <v>0</v>
      </c>
      <c r="D75" s="85">
        <v>0</v>
      </c>
      <c r="E75" s="85">
        <v>4890000</v>
      </c>
      <c r="F75" s="618">
        <v>4890000</v>
      </c>
      <c r="G75" s="618">
        <v>0</v>
      </c>
      <c r="H75" s="85">
        <v>0</v>
      </c>
      <c r="I75" s="1160">
        <f t="shared" si="3"/>
        <v>0</v>
      </c>
      <c r="J75" s="850">
        <f t="shared" si="2"/>
        <v>4</v>
      </c>
      <c r="K75" s="850" t="e">
        <f>_xlfn.XLOOKUP(A75,'A0.LS'!E:E,'A0.LS'!E:E)</f>
        <v>#N/A</v>
      </c>
    </row>
    <row r="76" spans="1:11" ht="13.5">
      <c r="A76" s="80" t="s">
        <v>154</v>
      </c>
      <c r="B76" s="81" t="s">
        <v>155</v>
      </c>
      <c r="C76" s="617">
        <v>0</v>
      </c>
      <c r="D76" s="82">
        <v>990031028</v>
      </c>
      <c r="E76" s="82">
        <v>219457698</v>
      </c>
      <c r="F76" s="617">
        <v>279869871</v>
      </c>
      <c r="G76" s="617">
        <v>0</v>
      </c>
      <c r="H76" s="82">
        <v>1050443201</v>
      </c>
      <c r="I76" s="1160">
        <f t="shared" si="3"/>
        <v>-1050443201</v>
      </c>
      <c r="J76" s="850">
        <f t="shared" si="2"/>
        <v>3</v>
      </c>
      <c r="K76" s="850" t="str">
        <f>_xlfn.XLOOKUP(A76,'A0.LS'!E:E,'A0.LS'!E:E)</f>
        <v>335</v>
      </c>
    </row>
    <row r="77" spans="1:11" ht="13.5">
      <c r="A77" s="80" t="s">
        <v>156</v>
      </c>
      <c r="B77" s="81" t="s">
        <v>157</v>
      </c>
      <c r="C77" s="617">
        <v>0</v>
      </c>
      <c r="D77" s="82">
        <v>1519449750843</v>
      </c>
      <c r="E77" s="82">
        <v>1221348268865</v>
      </c>
      <c r="F77" s="617">
        <v>1129210673133</v>
      </c>
      <c r="G77" s="617">
        <v>0</v>
      </c>
      <c r="H77" s="82">
        <v>1427312155111</v>
      </c>
      <c r="I77" s="1160">
        <f t="shared" si="3"/>
        <v>-1427312155111</v>
      </c>
      <c r="J77" s="850">
        <f t="shared" si="2"/>
        <v>3</v>
      </c>
      <c r="K77" s="850" t="e">
        <f>_xlfn.XLOOKUP(A77,'A0.LS'!E:E,'A0.LS'!E:E)</f>
        <v>#N/A</v>
      </c>
    </row>
    <row r="78" spans="1:11" ht="13.5">
      <c r="A78" s="83" t="s">
        <v>158</v>
      </c>
      <c r="B78" s="84" t="s">
        <v>159</v>
      </c>
      <c r="C78" s="618">
        <v>0</v>
      </c>
      <c r="D78" s="85">
        <v>8832000</v>
      </c>
      <c r="E78" s="85">
        <v>8832000</v>
      </c>
      <c r="F78" s="618">
        <v>4308000</v>
      </c>
      <c r="G78" s="618">
        <v>0</v>
      </c>
      <c r="H78" s="85">
        <v>4308000</v>
      </c>
      <c r="I78" s="1160">
        <f t="shared" si="3"/>
        <v>-4308000</v>
      </c>
      <c r="J78" s="850">
        <f t="shared" si="2"/>
        <v>4</v>
      </c>
      <c r="K78" s="850" t="str">
        <f>_xlfn.XLOOKUP(A78,'A0.LS'!E:E,'A0.LS'!E:E)</f>
        <v>3382</v>
      </c>
    </row>
    <row r="79" spans="1:11" ht="13.5">
      <c r="A79" s="83" t="s">
        <v>160</v>
      </c>
      <c r="B79" s="84" t="s">
        <v>161</v>
      </c>
      <c r="C79" s="618">
        <v>0</v>
      </c>
      <c r="D79" s="85">
        <v>0</v>
      </c>
      <c r="E79" s="85">
        <v>36693000</v>
      </c>
      <c r="F79" s="618">
        <v>36693000</v>
      </c>
      <c r="G79" s="618">
        <v>0</v>
      </c>
      <c r="H79" s="85">
        <v>0</v>
      </c>
      <c r="I79" s="1160">
        <f t="shared" si="3"/>
        <v>0</v>
      </c>
      <c r="J79" s="850">
        <f t="shared" si="2"/>
        <v>4</v>
      </c>
      <c r="K79" s="850" t="str">
        <f>_xlfn.XLOOKUP(A79,'A0.LS'!E:E,'A0.LS'!E:E)</f>
        <v>3383</v>
      </c>
    </row>
    <row r="80" spans="1:11" ht="13.5">
      <c r="A80" s="83" t="s">
        <v>162</v>
      </c>
      <c r="B80" s="84" t="s">
        <v>163</v>
      </c>
      <c r="C80" s="618">
        <v>0</v>
      </c>
      <c r="D80" s="85">
        <v>0</v>
      </c>
      <c r="E80" s="85">
        <v>6462000</v>
      </c>
      <c r="F80" s="618">
        <v>6462000</v>
      </c>
      <c r="G80" s="618">
        <v>0</v>
      </c>
      <c r="H80" s="85">
        <v>0</v>
      </c>
      <c r="I80" s="1160">
        <f t="shared" si="3"/>
        <v>0</v>
      </c>
      <c r="J80" s="850">
        <f t="shared" si="2"/>
        <v>4</v>
      </c>
      <c r="K80" s="850" t="str">
        <f>_xlfn.XLOOKUP(A80,'A0.LS'!E:E,'A0.LS'!E:E)</f>
        <v>3384</v>
      </c>
    </row>
    <row r="81" spans="1:11" ht="13.5">
      <c r="A81" s="83" t="s">
        <v>164</v>
      </c>
      <c r="B81" s="84" t="s">
        <v>165</v>
      </c>
      <c r="C81" s="618">
        <v>0</v>
      </c>
      <c r="D81" s="85">
        <v>0</v>
      </c>
      <c r="E81" s="85">
        <v>2872000</v>
      </c>
      <c r="F81" s="618">
        <v>2872000</v>
      </c>
      <c r="G81" s="618">
        <v>0</v>
      </c>
      <c r="H81" s="85">
        <v>0</v>
      </c>
      <c r="I81" s="1160">
        <f t="shared" si="3"/>
        <v>0</v>
      </c>
      <c r="J81" s="850">
        <f t="shared" si="2"/>
        <v>4</v>
      </c>
      <c r="K81" s="850" t="str">
        <f>_xlfn.XLOOKUP(A81,'A0.LS'!E:E,'A0.LS'!E:E)</f>
        <v>3386</v>
      </c>
    </row>
    <row r="82" spans="1:11" ht="13.5">
      <c r="A82" s="83" t="s">
        <v>166</v>
      </c>
      <c r="B82" s="84" t="s">
        <v>167</v>
      </c>
      <c r="C82" s="618">
        <v>0</v>
      </c>
      <c r="D82" s="85">
        <v>30652000000</v>
      </c>
      <c r="E82" s="85">
        <v>316000000</v>
      </c>
      <c r="F82" s="618">
        <v>0</v>
      </c>
      <c r="G82" s="618">
        <v>0</v>
      </c>
      <c r="H82" s="85">
        <v>30336000000</v>
      </c>
      <c r="I82" s="1160">
        <f t="shared" si="3"/>
        <v>-30336000000</v>
      </c>
      <c r="J82" s="850">
        <f t="shared" si="2"/>
        <v>4</v>
      </c>
      <c r="K82" s="850" t="str">
        <f>_xlfn.XLOOKUP(A82,'A0.LS'!E:E,'A0.LS'!E:E)</f>
        <v>3387</v>
      </c>
    </row>
    <row r="83" spans="1:11" ht="13.5">
      <c r="A83" s="80" t="s">
        <v>168</v>
      </c>
      <c r="B83" s="81" t="s">
        <v>157</v>
      </c>
      <c r="C83" s="617">
        <v>0</v>
      </c>
      <c r="D83" s="82">
        <v>1488788918843</v>
      </c>
      <c r="E83" s="82">
        <v>1220977409865</v>
      </c>
      <c r="F83" s="617">
        <v>1129160338133</v>
      </c>
      <c r="G83" s="617">
        <v>0</v>
      </c>
      <c r="H83" s="82">
        <v>1396971847111</v>
      </c>
      <c r="I83" s="1160">
        <f t="shared" si="3"/>
        <v>-1396971847111</v>
      </c>
      <c r="J83" s="850">
        <f t="shared" si="2"/>
        <v>4</v>
      </c>
      <c r="K83" s="850" t="e">
        <f>_xlfn.XLOOKUP(A83,'A0.LS'!E:E,'A0.LS'!E:E)</f>
        <v>#N/A</v>
      </c>
    </row>
    <row r="84" spans="1:11" ht="13.5">
      <c r="A84" s="83" t="s">
        <v>169</v>
      </c>
      <c r="B84" s="84" t="s">
        <v>170</v>
      </c>
      <c r="C84" s="618">
        <v>0</v>
      </c>
      <c r="D84" s="85">
        <v>19002730</v>
      </c>
      <c r="E84" s="85">
        <v>2197487567</v>
      </c>
      <c r="F84" s="618">
        <v>2345149143</v>
      </c>
      <c r="G84" s="618">
        <v>0</v>
      </c>
      <c r="H84" s="85">
        <v>166664306</v>
      </c>
      <c r="I84" s="1160">
        <f t="shared" si="3"/>
        <v>-166664306</v>
      </c>
      <c r="J84" s="850">
        <f t="shared" si="2"/>
        <v>9</v>
      </c>
      <c r="K84" s="850" t="str">
        <f>_xlfn.XLOOKUP(A84,'A0.LS'!E:E,'A0.LS'!E:E)</f>
        <v>3388.Bank</v>
      </c>
    </row>
    <row r="85" spans="1:11" ht="13.5">
      <c r="A85" s="83" t="s">
        <v>171</v>
      </c>
      <c r="B85" s="84" t="s">
        <v>172</v>
      </c>
      <c r="C85" s="618">
        <v>0</v>
      </c>
      <c r="D85" s="85">
        <v>2652152851</v>
      </c>
      <c r="E85" s="85">
        <v>1353377267</v>
      </c>
      <c r="F85" s="618">
        <v>1390486628</v>
      </c>
      <c r="G85" s="618">
        <v>0</v>
      </c>
      <c r="H85" s="85">
        <v>2689262212</v>
      </c>
      <c r="I85" s="1160">
        <f t="shared" si="3"/>
        <v>-2689262212</v>
      </c>
      <c r="J85" s="850">
        <f t="shared" si="2"/>
        <v>9</v>
      </c>
      <c r="K85" s="850" t="str">
        <f>_xlfn.XLOOKUP(A85,'A0.LS'!E:E,'A0.LS'!E:E)</f>
        <v>3388.Cash</v>
      </c>
    </row>
    <row r="86" spans="1:11" ht="13.5">
      <c r="A86" s="83" t="s">
        <v>173</v>
      </c>
      <c r="B86" s="84" t="s">
        <v>174</v>
      </c>
      <c r="C86" s="618">
        <v>0</v>
      </c>
      <c r="D86" s="85">
        <v>141289705529</v>
      </c>
      <c r="E86" s="85">
        <v>8179449021</v>
      </c>
      <c r="F86" s="618">
        <v>450976</v>
      </c>
      <c r="G86" s="618">
        <v>0</v>
      </c>
      <c r="H86" s="85">
        <v>133110707484</v>
      </c>
      <c r="I86" s="1160">
        <f t="shared" si="3"/>
        <v>-133110707484</v>
      </c>
      <c r="J86" s="850">
        <f t="shared" si="2"/>
        <v>8</v>
      </c>
      <c r="K86" s="850" t="str">
        <f>_xlfn.XLOOKUP(A86,'A0.LS'!E:E,'A0.LS'!E:E)</f>
        <v>3388.CCQ</v>
      </c>
    </row>
    <row r="87" spans="1:11" ht="25.5">
      <c r="A87" s="83" t="s">
        <v>175</v>
      </c>
      <c r="B87" s="84" t="s">
        <v>176</v>
      </c>
      <c r="C87" s="618">
        <v>0</v>
      </c>
      <c r="D87" s="85">
        <v>24519946596</v>
      </c>
      <c r="E87" s="85">
        <v>738651851721</v>
      </c>
      <c r="F87" s="618">
        <v>734337369191</v>
      </c>
      <c r="G87" s="618">
        <v>0</v>
      </c>
      <c r="H87" s="85">
        <v>20205464066</v>
      </c>
      <c r="I87" s="1160">
        <f t="shared" si="3"/>
        <v>-20205464066</v>
      </c>
      <c r="J87" s="850">
        <f t="shared" si="2"/>
        <v>9</v>
      </c>
      <c r="K87" s="850" t="str">
        <f>_xlfn.XLOOKUP(A87,'A0.LS'!E:E,'A0.LS'!E:E)</f>
        <v>3388.CCTG</v>
      </c>
    </row>
    <row r="88" spans="1:11" ht="13.5">
      <c r="A88" s="83" t="s">
        <v>177</v>
      </c>
      <c r="B88" s="84" t="s">
        <v>178</v>
      </c>
      <c r="C88" s="618">
        <v>0</v>
      </c>
      <c r="D88" s="85">
        <v>43856695447</v>
      </c>
      <c r="E88" s="85">
        <v>1173524058</v>
      </c>
      <c r="F88" s="618">
        <v>0</v>
      </c>
      <c r="G88" s="618">
        <v>0</v>
      </c>
      <c r="H88" s="85">
        <v>42683171389</v>
      </c>
      <c r="I88" s="1160">
        <f t="shared" si="3"/>
        <v>-42683171389</v>
      </c>
      <c r="J88" s="850">
        <f t="shared" si="2"/>
        <v>7</v>
      </c>
      <c r="K88" s="850" t="str">
        <f>_xlfn.XLOOKUP(A88,'A0.LS'!E:E,'A0.LS'!E:E)</f>
        <v>3388.CK</v>
      </c>
    </row>
    <row r="89" spans="1:11" ht="13.5">
      <c r="A89" s="83" t="s">
        <v>179</v>
      </c>
      <c r="B89" s="84" t="s">
        <v>180</v>
      </c>
      <c r="C89" s="618">
        <v>0</v>
      </c>
      <c r="D89" s="85">
        <v>13164215</v>
      </c>
      <c r="E89" s="85">
        <v>85583584</v>
      </c>
      <c r="F89" s="618">
        <v>101728178</v>
      </c>
      <c r="G89" s="618">
        <v>0</v>
      </c>
      <c r="H89" s="85">
        <v>29308809</v>
      </c>
      <c r="I89" s="1160">
        <f t="shared" si="3"/>
        <v>-29308809</v>
      </c>
      <c r="J89" s="850">
        <f t="shared" si="2"/>
        <v>7</v>
      </c>
      <c r="K89" s="850" t="str">
        <f>_xlfn.XLOOKUP(A89,'A0.LS'!E:E,'A0.LS'!E:E)</f>
        <v>3388.CT</v>
      </c>
    </row>
    <row r="90" spans="1:11" ht="13.5">
      <c r="A90" s="83" t="s">
        <v>183</v>
      </c>
      <c r="B90" s="84" t="s">
        <v>184</v>
      </c>
      <c r="C90" s="618">
        <v>0</v>
      </c>
      <c r="D90" s="85">
        <v>60014933</v>
      </c>
      <c r="E90" s="85">
        <v>1228552600</v>
      </c>
      <c r="F90" s="618">
        <v>1184697850</v>
      </c>
      <c r="G90" s="618">
        <v>0</v>
      </c>
      <c r="H90" s="85">
        <v>16160183</v>
      </c>
      <c r="I90" s="1160">
        <f t="shared" si="3"/>
        <v>-16160183</v>
      </c>
      <c r="J90" s="850">
        <f t="shared" si="2"/>
        <v>9</v>
      </c>
      <c r="K90" s="850" t="str">
        <f>_xlfn.XLOOKUP(A90,'A0.LS'!E:E,'A0.LS'!E:E)</f>
        <v>3388.Gold</v>
      </c>
    </row>
    <row r="91" spans="1:11" ht="13.5">
      <c r="A91" s="83" t="s">
        <v>185</v>
      </c>
      <c r="B91" s="84" t="s">
        <v>186</v>
      </c>
      <c r="C91" s="618">
        <v>0</v>
      </c>
      <c r="D91" s="85">
        <v>157861754</v>
      </c>
      <c r="E91" s="85">
        <v>48068493</v>
      </c>
      <c r="F91" s="618">
        <v>59152055</v>
      </c>
      <c r="G91" s="618">
        <v>0</v>
      </c>
      <c r="H91" s="85">
        <v>168945316</v>
      </c>
      <c r="I91" s="1160">
        <f t="shared" si="3"/>
        <v>-168945316</v>
      </c>
      <c r="J91" s="850">
        <f t="shared" si="2"/>
        <v>9</v>
      </c>
      <c r="K91" s="850" t="str">
        <f>_xlfn.XLOOKUP(A91,'A0.LS'!E:E,'A0.LS'!E:E)</f>
        <v>3388.Khac</v>
      </c>
    </row>
    <row r="92" spans="1:11" ht="25.5">
      <c r="A92" s="83" t="s">
        <v>187</v>
      </c>
      <c r="B92" s="84" t="s">
        <v>188</v>
      </c>
      <c r="C92" s="618">
        <v>0</v>
      </c>
      <c r="D92" s="85">
        <v>2073908</v>
      </c>
      <c r="E92" s="85">
        <v>1741352</v>
      </c>
      <c r="F92" s="618">
        <v>1779910</v>
      </c>
      <c r="G92" s="618">
        <v>0</v>
      </c>
      <c r="H92" s="85">
        <v>2112466</v>
      </c>
      <c r="I92" s="1160">
        <f t="shared" si="3"/>
        <v>-2112466</v>
      </c>
      <c r="J92" s="850">
        <f t="shared" si="2"/>
        <v>13</v>
      </c>
      <c r="K92" s="850" t="str">
        <f>_xlfn.XLOOKUP(A92,'A0.LS'!E:E,'A0.LS'!E:E)</f>
        <v>3388.Lai CCTG</v>
      </c>
    </row>
    <row r="93" spans="1:11" ht="13.5">
      <c r="A93" s="83" t="s">
        <v>189</v>
      </c>
      <c r="B93" s="84" t="s">
        <v>190</v>
      </c>
      <c r="C93" s="618">
        <v>231156</v>
      </c>
      <c r="D93" s="85">
        <v>0</v>
      </c>
      <c r="E93" s="85">
        <v>10924648</v>
      </c>
      <c r="F93" s="618">
        <v>11091025</v>
      </c>
      <c r="G93" s="618">
        <v>64779</v>
      </c>
      <c r="H93" s="85">
        <v>0</v>
      </c>
      <c r="I93" s="1160">
        <f t="shared" si="3"/>
        <v>64779</v>
      </c>
      <c r="J93" s="850">
        <f t="shared" si="2"/>
        <v>9</v>
      </c>
      <c r="K93" s="850" t="str">
        <f>_xlfn.XLOOKUP(A93,'A0.LS'!E:E,'A0.LS'!E:E)</f>
        <v>3388.Nsav</v>
      </c>
    </row>
    <row r="94" spans="1:11" ht="25.5">
      <c r="A94" s="83" t="s">
        <v>191</v>
      </c>
      <c r="B94" s="84" t="s">
        <v>192</v>
      </c>
      <c r="C94" s="618">
        <v>0</v>
      </c>
      <c r="D94" s="85">
        <v>14027867761</v>
      </c>
      <c r="E94" s="85">
        <v>3811101439</v>
      </c>
      <c r="F94" s="618">
        <v>3777618395</v>
      </c>
      <c r="G94" s="618">
        <v>0</v>
      </c>
      <c r="H94" s="85">
        <v>13994384717</v>
      </c>
      <c r="I94" s="1160">
        <f t="shared" si="3"/>
        <v>-13994384717</v>
      </c>
      <c r="J94" s="850">
        <f t="shared" si="2"/>
        <v>12</v>
      </c>
      <c r="K94" s="850" t="str">
        <f>_xlfn.XLOOKUP(A94,'A0.LS'!E:E,'A0.LS'!E:E)</f>
        <v>3388.Pending</v>
      </c>
    </row>
    <row r="95" spans="1:11" ht="25.5">
      <c r="A95" s="83" t="s">
        <v>193</v>
      </c>
      <c r="B95" s="84" t="s">
        <v>194</v>
      </c>
      <c r="C95" s="618">
        <v>0</v>
      </c>
      <c r="D95" s="85">
        <v>29805411559</v>
      </c>
      <c r="E95" s="85">
        <v>12751761090</v>
      </c>
      <c r="F95" s="618">
        <v>1432942503</v>
      </c>
      <c r="G95" s="618">
        <v>0</v>
      </c>
      <c r="H95" s="85">
        <v>18486592972</v>
      </c>
      <c r="I95" s="1160">
        <f t="shared" si="3"/>
        <v>-18486592972</v>
      </c>
      <c r="J95" s="850">
        <f t="shared" si="2"/>
        <v>11</v>
      </c>
      <c r="K95" s="850" t="str">
        <f>_xlfn.XLOOKUP(A95,'A0.LS'!E:E,'A0.LS'!E:E)</f>
        <v>3388.Saving</v>
      </c>
    </row>
    <row r="96" spans="1:11" ht="25.5">
      <c r="A96" s="83" t="s">
        <v>197</v>
      </c>
      <c r="B96" s="84" t="s">
        <v>198</v>
      </c>
      <c r="C96" s="618">
        <v>0</v>
      </c>
      <c r="D96" s="85">
        <v>1232385252716</v>
      </c>
      <c r="E96" s="85">
        <v>451483987025</v>
      </c>
      <c r="F96" s="618">
        <v>384517872279</v>
      </c>
      <c r="G96" s="618">
        <v>0</v>
      </c>
      <c r="H96" s="85">
        <v>1165419137970</v>
      </c>
      <c r="I96" s="1160">
        <f t="shared" si="3"/>
        <v>-1165419137970</v>
      </c>
      <c r="J96" s="850">
        <f t="shared" si="2"/>
        <v>9</v>
      </c>
      <c r="K96" s="850" t="str">
        <f>_xlfn.XLOOKUP(A96,'A0.LS'!E:E,'A0.LS'!E:E)</f>
        <v>3388.TLKH</v>
      </c>
    </row>
    <row r="97" spans="1:11" ht="13.5">
      <c r="A97" s="80" t="s">
        <v>199</v>
      </c>
      <c r="B97" s="81" t="s">
        <v>200</v>
      </c>
      <c r="C97" s="617">
        <v>0</v>
      </c>
      <c r="D97" s="82">
        <v>4500000000</v>
      </c>
      <c r="E97" s="82">
        <v>0</v>
      </c>
      <c r="F97" s="617">
        <v>0</v>
      </c>
      <c r="G97" s="617">
        <v>0</v>
      </c>
      <c r="H97" s="82">
        <v>4500000000</v>
      </c>
      <c r="I97" s="1160">
        <f t="shared" si="3"/>
        <v>-4500000000</v>
      </c>
      <c r="J97" s="850">
        <f t="shared" si="2"/>
        <v>3</v>
      </c>
      <c r="K97" s="850" t="e">
        <f>_xlfn.XLOOKUP(A97,'A0.LS'!E:E,'A0.LS'!E:E)</f>
        <v>#N/A</v>
      </c>
    </row>
    <row r="98" spans="1:11" ht="13.5">
      <c r="A98" s="83" t="s">
        <v>201</v>
      </c>
      <c r="B98" s="84" t="s">
        <v>202</v>
      </c>
      <c r="C98" s="618">
        <v>0</v>
      </c>
      <c r="D98" s="85">
        <v>4500000000</v>
      </c>
      <c r="E98" s="85">
        <v>0</v>
      </c>
      <c r="F98" s="618">
        <v>0</v>
      </c>
      <c r="G98" s="618">
        <v>0</v>
      </c>
      <c r="H98" s="85">
        <v>4500000000</v>
      </c>
      <c r="I98" s="1160">
        <f t="shared" si="3"/>
        <v>-4500000000</v>
      </c>
      <c r="J98" s="850">
        <f t="shared" si="2"/>
        <v>4</v>
      </c>
      <c r="K98" s="850" t="str">
        <f>_xlfn.XLOOKUP(A98,'A0.LS'!E:E,'A0.LS'!E:E)</f>
        <v>3411</v>
      </c>
    </row>
    <row r="99" spans="1:11" ht="13.5">
      <c r="A99" s="80" t="s">
        <v>203</v>
      </c>
      <c r="B99" s="81" t="s">
        <v>204</v>
      </c>
      <c r="C99" s="617">
        <v>0</v>
      </c>
      <c r="D99" s="82">
        <v>649951918868</v>
      </c>
      <c r="E99" s="82">
        <v>0</v>
      </c>
      <c r="F99" s="617">
        <v>0</v>
      </c>
      <c r="G99" s="617">
        <v>0</v>
      </c>
      <c r="H99" s="82">
        <v>649951918868</v>
      </c>
      <c r="I99" s="1160">
        <f t="shared" si="3"/>
        <v>-649951918868</v>
      </c>
      <c r="J99" s="850">
        <f t="shared" si="2"/>
        <v>3</v>
      </c>
      <c r="K99" s="850" t="e">
        <f>_xlfn.XLOOKUP(A99,'A0.LS'!E:E,'A0.LS'!E:E)</f>
        <v>#N/A</v>
      </c>
    </row>
    <row r="100" spans="1:11" ht="13.5">
      <c r="A100" s="80" t="s">
        <v>205</v>
      </c>
      <c r="B100" s="81" t="s">
        <v>206</v>
      </c>
      <c r="C100" s="617">
        <v>0</v>
      </c>
      <c r="D100" s="82">
        <v>134641110000</v>
      </c>
      <c r="E100" s="82">
        <v>0</v>
      </c>
      <c r="F100" s="617">
        <v>0</v>
      </c>
      <c r="G100" s="617">
        <v>0</v>
      </c>
      <c r="H100" s="82">
        <v>134641110000</v>
      </c>
      <c r="I100" s="1160">
        <f t="shared" si="3"/>
        <v>-134641110000</v>
      </c>
      <c r="J100" s="850">
        <f t="shared" si="2"/>
        <v>4</v>
      </c>
      <c r="K100" s="850" t="e">
        <f>_xlfn.XLOOKUP(A100,'A0.LS'!E:E,'A0.LS'!E:E)</f>
        <v>#N/A</v>
      </c>
    </row>
    <row r="101" spans="1:11" ht="13.5">
      <c r="A101" s="83" t="s">
        <v>207</v>
      </c>
      <c r="B101" s="84" t="s">
        <v>208</v>
      </c>
      <c r="C101" s="618">
        <v>0</v>
      </c>
      <c r="D101" s="85">
        <v>102116430000</v>
      </c>
      <c r="E101" s="85">
        <v>0</v>
      </c>
      <c r="F101" s="618">
        <v>0</v>
      </c>
      <c r="G101" s="618">
        <v>0</v>
      </c>
      <c r="H101" s="85">
        <v>102116430000</v>
      </c>
      <c r="I101" s="1160">
        <f t="shared" si="3"/>
        <v>-102116430000</v>
      </c>
      <c r="J101" s="850">
        <f t="shared" si="2"/>
        <v>5</v>
      </c>
      <c r="K101" s="850" t="str">
        <f>_xlfn.XLOOKUP(A101,'A0.LS'!E:E,'A0.LS'!E:E)</f>
        <v>41111</v>
      </c>
    </row>
    <row r="102" spans="1:11" ht="13.5">
      <c r="A102" s="83" t="s">
        <v>209</v>
      </c>
      <c r="B102" s="84" t="s">
        <v>210</v>
      </c>
      <c r="C102" s="618">
        <v>0</v>
      </c>
      <c r="D102" s="85">
        <v>32524680000</v>
      </c>
      <c r="E102" s="85">
        <v>0</v>
      </c>
      <c r="F102" s="618">
        <v>0</v>
      </c>
      <c r="G102" s="618">
        <v>0</v>
      </c>
      <c r="H102" s="85">
        <v>32524680000</v>
      </c>
      <c r="I102" s="1160">
        <f t="shared" si="3"/>
        <v>-32524680000</v>
      </c>
      <c r="J102" s="850">
        <f t="shared" si="2"/>
        <v>5</v>
      </c>
      <c r="K102" s="850" t="str">
        <f>_xlfn.XLOOKUP(A102,'A0.LS'!E:E,'A0.LS'!E:E)</f>
        <v>41112</v>
      </c>
    </row>
    <row r="103" spans="1:11" ht="13.5">
      <c r="A103" s="83" t="s">
        <v>211</v>
      </c>
      <c r="B103" s="84" t="s">
        <v>212</v>
      </c>
      <c r="C103" s="618">
        <v>0</v>
      </c>
      <c r="D103" s="85">
        <v>515310808868</v>
      </c>
      <c r="E103" s="85">
        <v>0</v>
      </c>
      <c r="F103" s="618">
        <v>0</v>
      </c>
      <c r="G103" s="618">
        <v>0</v>
      </c>
      <c r="H103" s="85">
        <v>515310808868</v>
      </c>
      <c r="I103" s="1160">
        <f t="shared" si="3"/>
        <v>-515310808868</v>
      </c>
      <c r="J103" s="850">
        <f t="shared" si="2"/>
        <v>4</v>
      </c>
      <c r="K103" s="850" t="str">
        <f>_xlfn.XLOOKUP(A103,'A0.LS'!E:E,'A0.LS'!E:E)</f>
        <v>4112</v>
      </c>
    </row>
    <row r="104" spans="1:11" ht="13.5">
      <c r="A104" s="80" t="s">
        <v>213</v>
      </c>
      <c r="B104" s="81" t="s">
        <v>214</v>
      </c>
      <c r="C104" s="617">
        <v>249160882788</v>
      </c>
      <c r="D104" s="82">
        <v>0</v>
      </c>
      <c r="E104" s="82">
        <v>0</v>
      </c>
      <c r="F104" s="617">
        <v>7085026521</v>
      </c>
      <c r="G104" s="617">
        <v>242075856267</v>
      </c>
      <c r="H104" s="82">
        <v>0</v>
      </c>
      <c r="I104" s="1160">
        <f t="shared" si="3"/>
        <v>242075856267</v>
      </c>
      <c r="J104" s="850">
        <f t="shared" si="2"/>
        <v>3</v>
      </c>
      <c r="K104" s="850" t="e">
        <f>_xlfn.XLOOKUP(A104,'A0.LS'!E:E,'A0.LS'!E:E)</f>
        <v>#N/A</v>
      </c>
    </row>
    <row r="105" spans="1:11" ht="13.5">
      <c r="A105" s="83" t="s">
        <v>215</v>
      </c>
      <c r="B105" s="84" t="s">
        <v>216</v>
      </c>
      <c r="C105" s="618">
        <v>264087895199</v>
      </c>
      <c r="D105" s="85">
        <v>0</v>
      </c>
      <c r="E105" s="85">
        <v>0</v>
      </c>
      <c r="F105" s="618">
        <v>0</v>
      </c>
      <c r="G105" s="618">
        <v>264087895199</v>
      </c>
      <c r="H105" s="85">
        <v>0</v>
      </c>
      <c r="I105" s="1160">
        <f t="shared" si="3"/>
        <v>264087895199</v>
      </c>
      <c r="J105" s="850">
        <f t="shared" si="2"/>
        <v>4</v>
      </c>
      <c r="K105" s="850" t="str">
        <f>_xlfn.XLOOKUP(A105,'A0.LS'!E:E,'A0.LS'!E:E)</f>
        <v>4211</v>
      </c>
    </row>
    <row r="106" spans="1:11" ht="13.5">
      <c r="A106" s="83" t="s">
        <v>217</v>
      </c>
      <c r="B106" s="84" t="s">
        <v>218</v>
      </c>
      <c r="C106" s="618">
        <v>0</v>
      </c>
      <c r="D106" s="85">
        <v>14927012411</v>
      </c>
      <c r="E106" s="85">
        <v>0</v>
      </c>
      <c r="F106" s="618">
        <v>7085026521</v>
      </c>
      <c r="G106" s="618">
        <v>0</v>
      </c>
      <c r="H106" s="85">
        <v>22012038932</v>
      </c>
      <c r="I106" s="1160">
        <f t="shared" si="3"/>
        <v>-22012038932</v>
      </c>
      <c r="J106" s="850">
        <f t="shared" si="2"/>
        <v>4</v>
      </c>
      <c r="K106" s="850" t="str">
        <f>_xlfn.XLOOKUP(A106,'A0.LS'!E:E,'A0.LS'!E:E)</f>
        <v>4212</v>
      </c>
    </row>
    <row r="107" spans="1:11" ht="13.5">
      <c r="A107" s="80" t="s">
        <v>219</v>
      </c>
      <c r="B107" s="81" t="s">
        <v>220</v>
      </c>
      <c r="C107" s="617">
        <v>0</v>
      </c>
      <c r="D107" s="82">
        <v>0</v>
      </c>
      <c r="E107" s="82">
        <v>473705971</v>
      </c>
      <c r="F107" s="617">
        <v>473705971</v>
      </c>
      <c r="G107" s="617">
        <v>0</v>
      </c>
      <c r="H107" s="82">
        <v>0</v>
      </c>
      <c r="I107" s="1160">
        <f t="shared" si="3"/>
        <v>0</v>
      </c>
      <c r="J107" s="850">
        <f t="shared" si="2"/>
        <v>3</v>
      </c>
      <c r="K107" s="850" t="e">
        <f>_xlfn.XLOOKUP(A107,'A0.LS'!E:E,'A0.LS'!E:E)</f>
        <v>#N/A</v>
      </c>
    </row>
    <row r="108" spans="1:11" ht="13.5">
      <c r="A108" s="83" t="s">
        <v>720</v>
      </c>
      <c r="B108" s="84" t="s">
        <v>744</v>
      </c>
      <c r="C108" s="618">
        <v>0</v>
      </c>
      <c r="D108" s="85">
        <v>0</v>
      </c>
      <c r="E108" s="85">
        <v>1</v>
      </c>
      <c r="F108" s="618">
        <v>1</v>
      </c>
      <c r="G108" s="618">
        <v>0</v>
      </c>
      <c r="H108" s="85">
        <v>0</v>
      </c>
      <c r="I108" s="1160">
        <f t="shared" si="3"/>
        <v>0</v>
      </c>
      <c r="J108" s="850">
        <f t="shared" si="2"/>
        <v>4</v>
      </c>
      <c r="K108" s="850" t="str">
        <f>_xlfn.XLOOKUP(A108,'A0.LS'!E:E,'A0.LS'!E:E)</f>
        <v>5111</v>
      </c>
    </row>
    <row r="109" spans="1:11" ht="13.5">
      <c r="A109" s="80" t="s">
        <v>221</v>
      </c>
      <c r="B109" s="81" t="s">
        <v>222</v>
      </c>
      <c r="C109" s="617">
        <v>0</v>
      </c>
      <c r="D109" s="82">
        <v>0</v>
      </c>
      <c r="E109" s="82">
        <v>473005970</v>
      </c>
      <c r="F109" s="617">
        <v>473005970</v>
      </c>
      <c r="G109" s="617">
        <v>0</v>
      </c>
      <c r="H109" s="82">
        <v>0</v>
      </c>
      <c r="I109" s="1160">
        <f t="shared" si="3"/>
        <v>0</v>
      </c>
      <c r="J109" s="850">
        <f t="shared" si="2"/>
        <v>4</v>
      </c>
      <c r="K109" s="850" t="str">
        <f>_xlfn.XLOOKUP(A109,'A0.LS'!E:E,'A0.LS'!E:E)</f>
        <v>5113</v>
      </c>
    </row>
    <row r="110" spans="1:11" ht="13.5">
      <c r="A110" s="83" t="s">
        <v>223</v>
      </c>
      <c r="B110" s="84" t="s">
        <v>224</v>
      </c>
      <c r="C110" s="618">
        <v>0</v>
      </c>
      <c r="D110" s="85">
        <v>0</v>
      </c>
      <c r="E110" s="85">
        <v>4</v>
      </c>
      <c r="F110" s="618">
        <v>4</v>
      </c>
      <c r="G110" s="618">
        <v>0</v>
      </c>
      <c r="H110" s="85">
        <v>0</v>
      </c>
      <c r="I110" s="1160">
        <f t="shared" si="3"/>
        <v>0</v>
      </c>
      <c r="J110" s="850">
        <f t="shared" si="2"/>
        <v>7</v>
      </c>
      <c r="K110" s="850" t="str">
        <f>_xlfn.XLOOKUP(A110,'A0.LS'!E:E,'A0.LS'!E:E)</f>
        <v>5113.01</v>
      </c>
    </row>
    <row r="111" spans="1:11" ht="13.5">
      <c r="A111" s="83" t="s">
        <v>225</v>
      </c>
      <c r="B111" s="84" t="s">
        <v>226</v>
      </c>
      <c r="C111" s="618">
        <v>0</v>
      </c>
      <c r="D111" s="85">
        <v>0</v>
      </c>
      <c r="E111" s="85">
        <v>1782000</v>
      </c>
      <c r="F111" s="618">
        <v>1782000</v>
      </c>
      <c r="G111" s="618">
        <v>0</v>
      </c>
      <c r="H111" s="85">
        <v>0</v>
      </c>
      <c r="I111" s="1160">
        <f t="shared" si="3"/>
        <v>0</v>
      </c>
      <c r="J111" s="850">
        <f t="shared" si="2"/>
        <v>7</v>
      </c>
      <c r="K111" s="850" t="str">
        <f>_xlfn.XLOOKUP(A111,'A0.LS'!E:E,'A0.LS'!E:E)</f>
        <v>5113.02</v>
      </c>
    </row>
    <row r="112" spans="1:11" ht="13.5">
      <c r="A112" s="83" t="s">
        <v>227</v>
      </c>
      <c r="B112" s="84" t="s">
        <v>228</v>
      </c>
      <c r="C112" s="618">
        <v>0</v>
      </c>
      <c r="D112" s="85">
        <v>0</v>
      </c>
      <c r="E112" s="85">
        <v>4806000</v>
      </c>
      <c r="F112" s="618">
        <v>4806000</v>
      </c>
      <c r="G112" s="618">
        <v>0</v>
      </c>
      <c r="H112" s="85">
        <v>0</v>
      </c>
      <c r="I112" s="1160">
        <f t="shared" si="3"/>
        <v>0</v>
      </c>
      <c r="J112" s="850">
        <f t="shared" si="2"/>
        <v>7</v>
      </c>
      <c r="K112" s="850" t="str">
        <f>_xlfn.XLOOKUP(A112,'A0.LS'!E:E,'A0.LS'!E:E)</f>
        <v>5113.03</v>
      </c>
    </row>
    <row r="113" spans="1:11" ht="13.5">
      <c r="A113" s="83" t="s">
        <v>231</v>
      </c>
      <c r="B113" s="84" t="s">
        <v>232</v>
      </c>
      <c r="C113" s="618">
        <v>0</v>
      </c>
      <c r="D113" s="85">
        <v>0</v>
      </c>
      <c r="E113" s="85">
        <v>138361154</v>
      </c>
      <c r="F113" s="618">
        <v>138361154</v>
      </c>
      <c r="G113" s="618">
        <v>0</v>
      </c>
      <c r="H113" s="85">
        <v>0</v>
      </c>
      <c r="I113" s="1160">
        <f t="shared" si="3"/>
        <v>0</v>
      </c>
      <c r="J113" s="850">
        <f t="shared" si="2"/>
        <v>7</v>
      </c>
      <c r="K113" s="850" t="str">
        <f>_xlfn.XLOOKUP(A113,'A0.LS'!E:E,'A0.LS'!E:E)</f>
        <v>5113.08</v>
      </c>
    </row>
    <row r="114" spans="1:11" ht="13.5">
      <c r="A114" s="83" t="s">
        <v>233</v>
      </c>
      <c r="B114" s="84" t="s">
        <v>234</v>
      </c>
      <c r="C114" s="618">
        <v>0</v>
      </c>
      <c r="D114" s="85">
        <v>0</v>
      </c>
      <c r="E114" s="85">
        <v>1544000</v>
      </c>
      <c r="F114" s="618">
        <v>1544000</v>
      </c>
      <c r="G114" s="618">
        <v>0</v>
      </c>
      <c r="H114" s="85">
        <v>0</v>
      </c>
      <c r="I114" s="1160">
        <f t="shared" si="3"/>
        <v>0</v>
      </c>
      <c r="J114" s="850">
        <f t="shared" si="2"/>
        <v>7</v>
      </c>
      <c r="K114" s="850" t="str">
        <f>_xlfn.XLOOKUP(A114,'A0.LS'!E:E,'A0.LS'!E:E)</f>
        <v>5113.10</v>
      </c>
    </row>
    <row r="115" spans="1:11" ht="25.5">
      <c r="A115" s="83" t="s">
        <v>235</v>
      </c>
      <c r="B115" s="84" t="s">
        <v>236</v>
      </c>
      <c r="C115" s="618">
        <v>0</v>
      </c>
      <c r="D115" s="85">
        <v>0</v>
      </c>
      <c r="E115" s="85">
        <v>9573962</v>
      </c>
      <c r="F115" s="618">
        <v>9573962</v>
      </c>
      <c r="G115" s="618">
        <v>0</v>
      </c>
      <c r="H115" s="85">
        <v>0</v>
      </c>
      <c r="I115" s="1160">
        <f t="shared" si="3"/>
        <v>0</v>
      </c>
      <c r="J115" s="850">
        <f t="shared" si="2"/>
        <v>7</v>
      </c>
      <c r="K115" s="850" t="str">
        <f>_xlfn.XLOOKUP(A115,'A0.LS'!E:E,'A0.LS'!E:E)</f>
        <v>5113.12</v>
      </c>
    </row>
    <row r="116" spans="1:11" ht="13.5">
      <c r="A116" s="83" t="s">
        <v>241</v>
      </c>
      <c r="B116" s="84" t="s">
        <v>242</v>
      </c>
      <c r="C116" s="618">
        <v>0</v>
      </c>
      <c r="D116" s="85">
        <v>0</v>
      </c>
      <c r="E116" s="85">
        <v>938850</v>
      </c>
      <c r="F116" s="618">
        <v>938850</v>
      </c>
      <c r="G116" s="618">
        <v>0</v>
      </c>
      <c r="H116" s="85">
        <v>0</v>
      </c>
      <c r="I116" s="1160">
        <f t="shared" si="3"/>
        <v>0</v>
      </c>
      <c r="J116" s="850">
        <f t="shared" si="2"/>
        <v>7</v>
      </c>
      <c r="K116" s="850" t="str">
        <f>_xlfn.XLOOKUP(A116,'A0.LS'!E:E,'A0.LS'!E:E)</f>
        <v>5113.16</v>
      </c>
    </row>
    <row r="117" spans="1:11" ht="13.5">
      <c r="A117" s="83" t="s">
        <v>243</v>
      </c>
      <c r="B117" s="84" t="s">
        <v>244</v>
      </c>
      <c r="C117" s="618">
        <v>0</v>
      </c>
      <c r="D117" s="85">
        <v>0</v>
      </c>
      <c r="E117" s="85">
        <v>316000000</v>
      </c>
      <c r="F117" s="618">
        <v>316000000</v>
      </c>
      <c r="G117" s="618">
        <v>0</v>
      </c>
      <c r="H117" s="85">
        <v>0</v>
      </c>
      <c r="I117" s="1160">
        <f t="shared" si="3"/>
        <v>0</v>
      </c>
      <c r="J117" s="850">
        <f t="shared" si="2"/>
        <v>7</v>
      </c>
      <c r="K117" s="850" t="str">
        <f>_xlfn.XLOOKUP(A117,'A0.LS'!E:E,'A0.LS'!E:E)</f>
        <v>5113.17</v>
      </c>
    </row>
    <row r="118" spans="1:11" ht="13.5">
      <c r="A118" s="83" t="s">
        <v>245</v>
      </c>
      <c r="B118" s="84" t="s">
        <v>246</v>
      </c>
      <c r="C118" s="618">
        <v>0</v>
      </c>
      <c r="D118" s="85">
        <v>0</v>
      </c>
      <c r="E118" s="85">
        <v>700000</v>
      </c>
      <c r="F118" s="618">
        <v>700000</v>
      </c>
      <c r="G118" s="618">
        <v>0</v>
      </c>
      <c r="H118" s="85">
        <v>0</v>
      </c>
      <c r="I118" s="1160">
        <f t="shared" si="3"/>
        <v>0</v>
      </c>
      <c r="J118" s="850">
        <f t="shared" si="2"/>
        <v>4</v>
      </c>
      <c r="K118" s="850" t="str">
        <f>_xlfn.XLOOKUP(A118,'A0.LS'!E:E,'A0.LS'!E:E)</f>
        <v>5118</v>
      </c>
    </row>
    <row r="119" spans="1:11" ht="13.5">
      <c r="A119" s="80" t="s">
        <v>247</v>
      </c>
      <c r="B119" s="81" t="s">
        <v>248</v>
      </c>
      <c r="C119" s="617">
        <v>0</v>
      </c>
      <c r="D119" s="82">
        <v>0</v>
      </c>
      <c r="E119" s="82">
        <v>17226258811</v>
      </c>
      <c r="F119" s="617">
        <v>17226258811</v>
      </c>
      <c r="G119" s="617">
        <v>0</v>
      </c>
      <c r="H119" s="82">
        <v>0</v>
      </c>
      <c r="I119" s="1160">
        <f t="shared" si="3"/>
        <v>0</v>
      </c>
      <c r="J119" s="850">
        <f t="shared" si="2"/>
        <v>3</v>
      </c>
      <c r="K119" s="850" t="e">
        <f>_xlfn.XLOOKUP(A119,'A0.LS'!E:E,'A0.LS'!E:E)</f>
        <v>#N/A</v>
      </c>
    </row>
    <row r="120" spans="1:11" ht="13.5">
      <c r="A120" s="83" t="s">
        <v>249</v>
      </c>
      <c r="B120" s="84" t="s">
        <v>250</v>
      </c>
      <c r="C120" s="618">
        <v>0</v>
      </c>
      <c r="D120" s="85">
        <v>0</v>
      </c>
      <c r="E120" s="85">
        <v>5134892652</v>
      </c>
      <c r="F120" s="618">
        <v>5134892652</v>
      </c>
      <c r="G120" s="618">
        <v>0</v>
      </c>
      <c r="H120" s="85">
        <v>0</v>
      </c>
      <c r="I120" s="1160">
        <f t="shared" si="3"/>
        <v>0</v>
      </c>
      <c r="J120" s="850">
        <f t="shared" si="2"/>
        <v>4</v>
      </c>
      <c r="K120" s="850" t="str">
        <f>_xlfn.XLOOKUP(A120,'A0.LS'!E:E,'A0.LS'!E:E)</f>
        <v>5151</v>
      </c>
    </row>
    <row r="121" spans="1:11" ht="13.5">
      <c r="A121" s="83" t="s">
        <v>251</v>
      </c>
      <c r="B121" s="84" t="s">
        <v>252</v>
      </c>
      <c r="C121" s="618">
        <v>0</v>
      </c>
      <c r="D121" s="85">
        <v>0</v>
      </c>
      <c r="E121" s="85">
        <v>2275958904</v>
      </c>
      <c r="F121" s="618">
        <v>2275958904</v>
      </c>
      <c r="G121" s="618">
        <v>0</v>
      </c>
      <c r="H121" s="85">
        <v>0</v>
      </c>
      <c r="I121" s="1160">
        <f t="shared" si="3"/>
        <v>0</v>
      </c>
      <c r="J121" s="850">
        <f t="shared" si="2"/>
        <v>4</v>
      </c>
      <c r="K121" s="850" t="str">
        <f>_xlfn.XLOOKUP(A121,'A0.LS'!E:E,'A0.LS'!E:E)</f>
        <v>5152</v>
      </c>
    </row>
    <row r="122" spans="1:11" ht="13.5">
      <c r="A122" s="80" t="s">
        <v>253</v>
      </c>
      <c r="B122" s="81" t="s">
        <v>254</v>
      </c>
      <c r="C122" s="617">
        <v>0</v>
      </c>
      <c r="D122" s="82">
        <v>0</v>
      </c>
      <c r="E122" s="82">
        <v>9815407255</v>
      </c>
      <c r="F122" s="617">
        <v>9815407255</v>
      </c>
      <c r="G122" s="617">
        <v>0</v>
      </c>
      <c r="H122" s="82">
        <v>0</v>
      </c>
      <c r="I122" s="1160">
        <f t="shared" si="3"/>
        <v>0</v>
      </c>
      <c r="J122" s="850">
        <f t="shared" si="2"/>
        <v>4</v>
      </c>
      <c r="K122" s="850" t="e">
        <f>_xlfn.XLOOKUP(A122,'A0.LS'!E:E,'A0.LS'!E:E)</f>
        <v>#N/A</v>
      </c>
    </row>
    <row r="123" spans="1:11" ht="13.5">
      <c r="A123" s="83" t="s">
        <v>255</v>
      </c>
      <c r="B123" s="84" t="s">
        <v>256</v>
      </c>
      <c r="C123" s="618">
        <v>0</v>
      </c>
      <c r="D123" s="85">
        <v>0</v>
      </c>
      <c r="E123" s="85">
        <v>1418991685</v>
      </c>
      <c r="F123" s="618">
        <v>1418991685</v>
      </c>
      <c r="G123" s="618">
        <v>0</v>
      </c>
      <c r="H123" s="85">
        <v>0</v>
      </c>
      <c r="I123" s="1160">
        <f t="shared" si="3"/>
        <v>0</v>
      </c>
      <c r="J123" s="850">
        <f t="shared" si="2"/>
        <v>7</v>
      </c>
      <c r="K123" s="850" t="str">
        <f>_xlfn.XLOOKUP(A123,'A0.LS'!E:E,'A0.LS'!E:E)</f>
        <v>5153.01</v>
      </c>
    </row>
    <row r="124" spans="1:11" ht="13.5">
      <c r="A124" s="83" t="s">
        <v>257</v>
      </c>
      <c r="B124" s="84" t="s">
        <v>258</v>
      </c>
      <c r="C124" s="618">
        <v>0</v>
      </c>
      <c r="D124" s="85">
        <v>0</v>
      </c>
      <c r="E124" s="85">
        <v>6303504422</v>
      </c>
      <c r="F124" s="618">
        <v>6303504422</v>
      </c>
      <c r="G124" s="618">
        <v>0</v>
      </c>
      <c r="H124" s="85">
        <v>0</v>
      </c>
      <c r="I124" s="1160">
        <f t="shared" si="3"/>
        <v>0</v>
      </c>
      <c r="J124" s="850">
        <f t="shared" si="2"/>
        <v>7</v>
      </c>
      <c r="K124" s="850" t="str">
        <f>_xlfn.XLOOKUP(A124,'A0.LS'!E:E,'A0.LS'!E:E)</f>
        <v>5153.02</v>
      </c>
    </row>
    <row r="125" spans="1:11" ht="13.5">
      <c r="A125" s="83" t="s">
        <v>259</v>
      </c>
      <c r="B125" s="84" t="s">
        <v>260</v>
      </c>
      <c r="C125" s="618">
        <v>0</v>
      </c>
      <c r="D125" s="85">
        <v>0</v>
      </c>
      <c r="E125" s="85">
        <v>475223710</v>
      </c>
      <c r="F125" s="618">
        <v>475223710</v>
      </c>
      <c r="G125" s="618">
        <v>0</v>
      </c>
      <c r="H125" s="85">
        <v>0</v>
      </c>
      <c r="I125" s="1160">
        <f t="shared" si="3"/>
        <v>0</v>
      </c>
      <c r="J125" s="850">
        <f t="shared" si="2"/>
        <v>7</v>
      </c>
      <c r="K125" s="850" t="str">
        <f>_xlfn.XLOOKUP(A125,'A0.LS'!E:E,'A0.LS'!E:E)</f>
        <v>5153.03</v>
      </c>
    </row>
    <row r="126" spans="1:11" ht="13.5">
      <c r="A126" s="83" t="s">
        <v>745</v>
      </c>
      <c r="B126" s="84" t="s">
        <v>746</v>
      </c>
      <c r="C126" s="618">
        <v>0</v>
      </c>
      <c r="D126" s="85">
        <v>0</v>
      </c>
      <c r="E126" s="85">
        <v>1617687438</v>
      </c>
      <c r="F126" s="618">
        <v>1617687438</v>
      </c>
      <c r="G126" s="618">
        <v>0</v>
      </c>
      <c r="H126" s="85">
        <v>0</v>
      </c>
      <c r="I126" s="1160">
        <f t="shared" si="3"/>
        <v>0</v>
      </c>
      <c r="J126" s="850">
        <f t="shared" si="2"/>
        <v>7</v>
      </c>
      <c r="K126" s="850" t="e">
        <f>_xlfn.XLOOKUP(A126,'A0.LS'!E:E,'A0.LS'!E:E)</f>
        <v>#N/A</v>
      </c>
    </row>
    <row r="127" spans="1:11" ht="13.5">
      <c r="A127" s="80" t="s">
        <v>265</v>
      </c>
      <c r="B127" s="81" t="s">
        <v>266</v>
      </c>
      <c r="C127" s="617">
        <v>0</v>
      </c>
      <c r="D127" s="82">
        <v>0</v>
      </c>
      <c r="E127" s="82">
        <v>935413424</v>
      </c>
      <c r="F127" s="617">
        <v>935413424</v>
      </c>
      <c r="G127" s="617">
        <v>0</v>
      </c>
      <c r="H127" s="82">
        <v>0</v>
      </c>
      <c r="I127" s="1160">
        <f t="shared" si="3"/>
        <v>0</v>
      </c>
      <c r="J127" s="850">
        <f t="shared" si="2"/>
        <v>3</v>
      </c>
      <c r="K127" s="850" t="e">
        <f>_xlfn.XLOOKUP(A127,'A0.LS'!E:E,'A0.LS'!E:E)</f>
        <v>#N/A</v>
      </c>
    </row>
    <row r="128" spans="1:11" ht="13.5">
      <c r="A128" s="83" t="s">
        <v>269</v>
      </c>
      <c r="B128" s="84" t="s">
        <v>270</v>
      </c>
      <c r="C128" s="618">
        <v>0</v>
      </c>
      <c r="D128" s="85">
        <v>0</v>
      </c>
      <c r="E128" s="85">
        <v>301543676</v>
      </c>
      <c r="F128" s="618">
        <v>301543676</v>
      </c>
      <c r="G128" s="618">
        <v>0</v>
      </c>
      <c r="H128" s="85">
        <v>0</v>
      </c>
      <c r="I128" s="1160">
        <f t="shared" si="3"/>
        <v>0</v>
      </c>
      <c r="J128" s="850">
        <f t="shared" si="2"/>
        <v>4</v>
      </c>
      <c r="K128" s="850" t="str">
        <f>_xlfn.XLOOKUP(A128,'A0.LS'!E:E,'A0.LS'!E:E)</f>
        <v>6274</v>
      </c>
    </row>
    <row r="129" spans="1:11" ht="13.5">
      <c r="A129" s="80" t="s">
        <v>271</v>
      </c>
      <c r="B129" s="81" t="s">
        <v>272</v>
      </c>
      <c r="C129" s="617">
        <v>0</v>
      </c>
      <c r="D129" s="82">
        <v>0</v>
      </c>
      <c r="E129" s="82">
        <v>632487674</v>
      </c>
      <c r="F129" s="617">
        <v>632487674</v>
      </c>
      <c r="G129" s="617">
        <v>0</v>
      </c>
      <c r="H129" s="82">
        <v>0</v>
      </c>
      <c r="I129" s="1160">
        <f t="shared" si="3"/>
        <v>0</v>
      </c>
      <c r="J129" s="850">
        <f t="shared" si="2"/>
        <v>4</v>
      </c>
      <c r="K129" s="850" t="e">
        <f>_xlfn.XLOOKUP(A129,'A0.LS'!E:E,'A0.LS'!E:E)</f>
        <v>#N/A</v>
      </c>
    </row>
    <row r="130" spans="1:11" ht="13.5">
      <c r="A130" s="83" t="s">
        <v>273</v>
      </c>
      <c r="B130" s="84" t="s">
        <v>274</v>
      </c>
      <c r="C130" s="618">
        <v>0</v>
      </c>
      <c r="D130" s="85">
        <v>0</v>
      </c>
      <c r="E130" s="85">
        <v>82903958</v>
      </c>
      <c r="F130" s="618">
        <v>82903958</v>
      </c>
      <c r="G130" s="618">
        <v>0</v>
      </c>
      <c r="H130" s="85">
        <v>0</v>
      </c>
      <c r="I130" s="1160">
        <f t="shared" si="3"/>
        <v>0</v>
      </c>
      <c r="J130" s="850">
        <f t="shared" si="2"/>
        <v>7</v>
      </c>
      <c r="K130" s="850" t="str">
        <f>_xlfn.XLOOKUP(A130,'A0.LS'!E:E,'A0.LS'!E:E)</f>
        <v>6277.01</v>
      </c>
    </row>
    <row r="131" spans="1:11" ht="13.5">
      <c r="A131" s="83" t="s">
        <v>275</v>
      </c>
      <c r="B131" s="84" t="s">
        <v>276</v>
      </c>
      <c r="C131" s="618">
        <v>0</v>
      </c>
      <c r="D131" s="85">
        <v>0</v>
      </c>
      <c r="E131" s="85">
        <v>3991581</v>
      </c>
      <c r="F131" s="618">
        <v>3991581</v>
      </c>
      <c r="G131" s="618">
        <v>0</v>
      </c>
      <c r="H131" s="85">
        <v>0</v>
      </c>
      <c r="I131" s="1160">
        <f t="shared" si="3"/>
        <v>0</v>
      </c>
      <c r="J131" s="850">
        <f t="shared" si="2"/>
        <v>7</v>
      </c>
      <c r="K131" s="850" t="str">
        <f>_xlfn.XLOOKUP(A131,'A0.LS'!E:E,'A0.LS'!E:E)</f>
        <v>6277.02</v>
      </c>
    </row>
    <row r="132" spans="1:11" ht="13.5">
      <c r="A132" s="83" t="s">
        <v>277</v>
      </c>
      <c r="B132" s="84" t="s">
        <v>278</v>
      </c>
      <c r="C132" s="618">
        <v>0</v>
      </c>
      <c r="D132" s="85">
        <v>0</v>
      </c>
      <c r="E132" s="85">
        <v>17533826</v>
      </c>
      <c r="F132" s="618">
        <v>17533826</v>
      </c>
      <c r="G132" s="618">
        <v>0</v>
      </c>
      <c r="H132" s="85">
        <v>0</v>
      </c>
      <c r="I132" s="1160">
        <f t="shared" si="3"/>
        <v>0</v>
      </c>
      <c r="J132" s="850">
        <f t="shared" si="2"/>
        <v>7</v>
      </c>
      <c r="K132" s="850" t="str">
        <f>_xlfn.XLOOKUP(A132,'A0.LS'!E:E,'A0.LS'!E:E)</f>
        <v>6277.03</v>
      </c>
    </row>
    <row r="133" spans="1:11" ht="13.5">
      <c r="A133" s="83" t="s">
        <v>281</v>
      </c>
      <c r="B133" s="84" t="s">
        <v>282</v>
      </c>
      <c r="C133" s="618">
        <v>0</v>
      </c>
      <c r="D133" s="85">
        <v>0</v>
      </c>
      <c r="E133" s="85">
        <v>4418835</v>
      </c>
      <c r="F133" s="618">
        <v>4418835</v>
      </c>
      <c r="G133" s="618">
        <v>0</v>
      </c>
      <c r="H133" s="85">
        <v>0</v>
      </c>
      <c r="I133" s="1160">
        <f t="shared" si="3"/>
        <v>0</v>
      </c>
      <c r="J133" s="850">
        <f t="shared" si="2"/>
        <v>7</v>
      </c>
      <c r="K133" s="850" t="str">
        <f>_xlfn.XLOOKUP(A133,'A0.LS'!E:E,'A0.LS'!E:E)</f>
        <v>6277.06</v>
      </c>
    </row>
    <row r="134" spans="1:11" ht="13.5">
      <c r="A134" s="83" t="s">
        <v>283</v>
      </c>
      <c r="B134" s="84" t="s">
        <v>284</v>
      </c>
      <c r="C134" s="618">
        <v>0</v>
      </c>
      <c r="D134" s="85">
        <v>0</v>
      </c>
      <c r="E134" s="85">
        <v>293314210</v>
      </c>
      <c r="F134" s="618">
        <v>293314210</v>
      </c>
      <c r="G134" s="618">
        <v>0</v>
      </c>
      <c r="H134" s="85">
        <v>0</v>
      </c>
      <c r="I134" s="1160">
        <f t="shared" si="3"/>
        <v>0</v>
      </c>
      <c r="J134" s="850">
        <f t="shared" si="2"/>
        <v>7</v>
      </c>
      <c r="K134" s="850" t="str">
        <f>_xlfn.XLOOKUP(A134,'A0.LS'!E:E,'A0.LS'!E:E)</f>
        <v>6277.07</v>
      </c>
    </row>
    <row r="135" spans="1:11" ht="13.5">
      <c r="A135" s="83" t="s">
        <v>285</v>
      </c>
      <c r="B135" s="84" t="s">
        <v>286</v>
      </c>
      <c r="C135" s="618">
        <v>0</v>
      </c>
      <c r="D135" s="85">
        <v>0</v>
      </c>
      <c r="E135" s="85">
        <v>1285714</v>
      </c>
      <c r="F135" s="618">
        <v>1285714</v>
      </c>
      <c r="G135" s="618">
        <v>0</v>
      </c>
      <c r="H135" s="85">
        <v>0</v>
      </c>
      <c r="I135" s="1160">
        <f t="shared" si="3"/>
        <v>0</v>
      </c>
      <c r="J135" s="850">
        <f t="shared" si="2"/>
        <v>7</v>
      </c>
      <c r="K135" s="850" t="str">
        <f>_xlfn.XLOOKUP(A135,'A0.LS'!E:E,'A0.LS'!E:E)</f>
        <v>6277.09</v>
      </c>
    </row>
    <row r="136" spans="1:11" ht="13.5">
      <c r="A136" s="83" t="s">
        <v>287</v>
      </c>
      <c r="B136" s="84" t="s">
        <v>288</v>
      </c>
      <c r="C136" s="618">
        <v>0</v>
      </c>
      <c r="D136" s="85">
        <v>0</v>
      </c>
      <c r="E136" s="85">
        <v>17452500</v>
      </c>
      <c r="F136" s="618">
        <v>17452500</v>
      </c>
      <c r="G136" s="618">
        <v>0</v>
      </c>
      <c r="H136" s="85">
        <v>0</v>
      </c>
      <c r="I136" s="1160">
        <f t="shared" si="3"/>
        <v>0</v>
      </c>
      <c r="J136" s="850">
        <f t="shared" ref="J136:J199" si="4">LEN(A136)</f>
        <v>7</v>
      </c>
      <c r="K136" s="850" t="str">
        <f>_xlfn.XLOOKUP(A136,'A0.LS'!E:E,'A0.LS'!E:E)</f>
        <v>6277.10</v>
      </c>
    </row>
    <row r="137" spans="1:11" ht="13.5">
      <c r="A137" s="83" t="s">
        <v>289</v>
      </c>
      <c r="B137" s="84" t="s">
        <v>290</v>
      </c>
      <c r="C137" s="618">
        <v>0</v>
      </c>
      <c r="D137" s="85">
        <v>0</v>
      </c>
      <c r="E137" s="85">
        <v>14561623</v>
      </c>
      <c r="F137" s="618">
        <v>14561623</v>
      </c>
      <c r="G137" s="618">
        <v>0</v>
      </c>
      <c r="H137" s="85">
        <v>0</v>
      </c>
      <c r="I137" s="1160">
        <f t="shared" si="3"/>
        <v>0</v>
      </c>
      <c r="J137" s="850">
        <f t="shared" si="4"/>
        <v>7</v>
      </c>
      <c r="K137" s="850" t="str">
        <f>_xlfn.XLOOKUP(A137,'A0.LS'!E:E,'A0.LS'!E:E)</f>
        <v>6277.11</v>
      </c>
    </row>
    <row r="138" spans="1:11" ht="13.5">
      <c r="A138" s="83" t="s">
        <v>291</v>
      </c>
      <c r="B138" s="84" t="s">
        <v>292</v>
      </c>
      <c r="C138" s="618">
        <v>0</v>
      </c>
      <c r="D138" s="85">
        <v>0</v>
      </c>
      <c r="E138" s="85">
        <v>183013609</v>
      </c>
      <c r="F138" s="618">
        <v>183013609</v>
      </c>
      <c r="G138" s="618">
        <v>0</v>
      </c>
      <c r="H138" s="85">
        <v>0</v>
      </c>
      <c r="I138" s="1160">
        <f t="shared" ref="I138:I199" si="5">G138-H138</f>
        <v>0</v>
      </c>
      <c r="J138" s="850">
        <f t="shared" si="4"/>
        <v>7</v>
      </c>
      <c r="K138" s="850" t="str">
        <f>_xlfn.XLOOKUP(A138,'A0.LS'!E:E,'A0.LS'!E:E)</f>
        <v>6277.13</v>
      </c>
    </row>
    <row r="139" spans="1:11" ht="13.5">
      <c r="A139" s="83" t="s">
        <v>295</v>
      </c>
      <c r="B139" s="84" t="s">
        <v>296</v>
      </c>
      <c r="C139" s="618">
        <v>0</v>
      </c>
      <c r="D139" s="85">
        <v>0</v>
      </c>
      <c r="E139" s="85">
        <v>10000000</v>
      </c>
      <c r="F139" s="618">
        <v>10000000</v>
      </c>
      <c r="G139" s="618">
        <v>0</v>
      </c>
      <c r="H139" s="85">
        <v>0</v>
      </c>
      <c r="I139" s="1160">
        <f t="shared" si="5"/>
        <v>0</v>
      </c>
      <c r="J139" s="850">
        <f t="shared" si="4"/>
        <v>7</v>
      </c>
      <c r="K139" s="850" t="str">
        <f>_xlfn.XLOOKUP(A139,'A0.LS'!E:E,'A0.LS'!E:E)</f>
        <v>6277.15</v>
      </c>
    </row>
    <row r="140" spans="1:11" ht="13.5">
      <c r="A140" s="83" t="s">
        <v>297</v>
      </c>
      <c r="B140" s="84" t="s">
        <v>298</v>
      </c>
      <c r="C140" s="618">
        <v>0</v>
      </c>
      <c r="D140" s="85">
        <v>0</v>
      </c>
      <c r="E140" s="85">
        <v>81818</v>
      </c>
      <c r="F140" s="618">
        <v>81818</v>
      </c>
      <c r="G140" s="618">
        <v>0</v>
      </c>
      <c r="H140" s="85">
        <v>0</v>
      </c>
      <c r="I140" s="1160">
        <f t="shared" si="5"/>
        <v>0</v>
      </c>
      <c r="J140" s="850">
        <f t="shared" si="4"/>
        <v>7</v>
      </c>
      <c r="K140" s="850" t="str">
        <f>_xlfn.XLOOKUP(A140,'A0.LS'!E:E,'A0.LS'!E:E)</f>
        <v>6277.16</v>
      </c>
    </row>
    <row r="141" spans="1:11" ht="13.5">
      <c r="A141" s="83" t="s">
        <v>299</v>
      </c>
      <c r="B141" s="84" t="s">
        <v>300</v>
      </c>
      <c r="C141" s="618">
        <v>0</v>
      </c>
      <c r="D141" s="85">
        <v>0</v>
      </c>
      <c r="E141" s="85">
        <v>3930000</v>
      </c>
      <c r="F141" s="618">
        <v>3930000</v>
      </c>
      <c r="G141" s="618">
        <v>0</v>
      </c>
      <c r="H141" s="85">
        <v>0</v>
      </c>
      <c r="I141" s="1160">
        <f t="shared" si="5"/>
        <v>0</v>
      </c>
      <c r="J141" s="850">
        <f t="shared" si="4"/>
        <v>7</v>
      </c>
      <c r="K141" s="850" t="str">
        <f>_xlfn.XLOOKUP(A141,'A0.LS'!E:E,'A0.LS'!E:E)</f>
        <v>6277.17</v>
      </c>
    </row>
    <row r="142" spans="1:11" ht="13.5">
      <c r="A142" s="83" t="s">
        <v>301</v>
      </c>
      <c r="B142" s="84" t="s">
        <v>302</v>
      </c>
      <c r="C142" s="618">
        <v>0</v>
      </c>
      <c r="D142" s="85">
        <v>0</v>
      </c>
      <c r="E142" s="85">
        <v>1382074</v>
      </c>
      <c r="F142" s="618">
        <v>1382074</v>
      </c>
      <c r="G142" s="618">
        <v>0</v>
      </c>
      <c r="H142" s="85">
        <v>0</v>
      </c>
      <c r="I142" s="1160">
        <f t="shared" si="5"/>
        <v>0</v>
      </c>
      <c r="J142" s="850">
        <f t="shared" si="4"/>
        <v>4</v>
      </c>
      <c r="K142" s="850" t="str">
        <f>_xlfn.XLOOKUP(A142,'A0.LS'!E:E,'A0.LS'!E:E)</f>
        <v>6278</v>
      </c>
    </row>
    <row r="143" spans="1:11" ht="13.5">
      <c r="A143" s="80" t="s">
        <v>303</v>
      </c>
      <c r="B143" s="81" t="s">
        <v>304</v>
      </c>
      <c r="C143" s="617">
        <v>0</v>
      </c>
      <c r="D143" s="82">
        <v>0</v>
      </c>
      <c r="E143" s="82">
        <v>823307200</v>
      </c>
      <c r="F143" s="617">
        <v>823307200</v>
      </c>
      <c r="G143" s="617">
        <v>0</v>
      </c>
      <c r="H143" s="82">
        <v>0</v>
      </c>
      <c r="I143" s="1160">
        <f t="shared" si="5"/>
        <v>0</v>
      </c>
      <c r="J143" s="850">
        <f t="shared" si="4"/>
        <v>3</v>
      </c>
      <c r="K143" s="850" t="str">
        <f>_xlfn.XLOOKUP(A143,'A0.LS'!E:E,'A0.LS'!E:E)</f>
        <v>632</v>
      </c>
    </row>
    <row r="144" spans="1:11" ht="13.5">
      <c r="A144" s="80" t="s">
        <v>305</v>
      </c>
      <c r="B144" s="81" t="s">
        <v>306</v>
      </c>
      <c r="C144" s="617">
        <v>0</v>
      </c>
      <c r="D144" s="82">
        <v>0</v>
      </c>
      <c r="E144" s="82">
        <v>26729012821</v>
      </c>
      <c r="F144" s="617">
        <v>26729012821</v>
      </c>
      <c r="G144" s="617">
        <v>0</v>
      </c>
      <c r="H144" s="82">
        <v>0</v>
      </c>
      <c r="I144" s="1160">
        <f t="shared" si="5"/>
        <v>0</v>
      </c>
      <c r="J144" s="850">
        <f t="shared" si="4"/>
        <v>3</v>
      </c>
      <c r="K144" s="850" t="str">
        <f>_xlfn.XLOOKUP(A144,'A0.LS'!E:E,'A0.LS'!E:E)</f>
        <v>635</v>
      </c>
    </row>
    <row r="145" spans="1:11" ht="13.5">
      <c r="A145" s="83" t="s">
        <v>307</v>
      </c>
      <c r="B145" s="84" t="s">
        <v>308</v>
      </c>
      <c r="C145" s="618">
        <v>0</v>
      </c>
      <c r="D145" s="85">
        <v>0</v>
      </c>
      <c r="E145" s="85">
        <v>5950606597</v>
      </c>
      <c r="F145" s="618">
        <v>5950606597</v>
      </c>
      <c r="G145" s="618">
        <v>0</v>
      </c>
      <c r="H145" s="85">
        <v>0</v>
      </c>
      <c r="I145" s="1160">
        <f t="shared" si="5"/>
        <v>0</v>
      </c>
      <c r="J145" s="850">
        <f t="shared" si="4"/>
        <v>4</v>
      </c>
      <c r="K145" s="850" t="str">
        <f>_xlfn.XLOOKUP(A145,'A0.LS'!E:E,'A0.LS'!E:E)</f>
        <v>6351</v>
      </c>
    </row>
    <row r="146" spans="1:11" ht="13.5">
      <c r="A146" s="83" t="s">
        <v>309</v>
      </c>
      <c r="B146" s="84" t="s">
        <v>310</v>
      </c>
      <c r="C146" s="618">
        <v>0</v>
      </c>
      <c r="D146" s="85">
        <v>0</v>
      </c>
      <c r="E146" s="85">
        <v>18523879342</v>
      </c>
      <c r="F146" s="618">
        <v>18523879342</v>
      </c>
      <c r="G146" s="618">
        <v>0</v>
      </c>
      <c r="H146" s="85">
        <v>0</v>
      </c>
      <c r="I146" s="1160">
        <f t="shared" si="5"/>
        <v>0</v>
      </c>
      <c r="J146" s="850">
        <f t="shared" si="4"/>
        <v>4</v>
      </c>
      <c r="K146" s="850" t="str">
        <f>_xlfn.XLOOKUP(A146,'A0.LS'!E:E,'A0.LS'!E:E)</f>
        <v>6352</v>
      </c>
    </row>
    <row r="147" spans="1:11" ht="13.5">
      <c r="A147" s="80" t="s">
        <v>311</v>
      </c>
      <c r="B147" s="81" t="s">
        <v>312</v>
      </c>
      <c r="C147" s="617">
        <v>0</v>
      </c>
      <c r="D147" s="82">
        <v>0</v>
      </c>
      <c r="E147" s="82">
        <v>327345562</v>
      </c>
      <c r="F147" s="617">
        <v>327345562</v>
      </c>
      <c r="G147" s="617">
        <v>0</v>
      </c>
      <c r="H147" s="82">
        <v>0</v>
      </c>
      <c r="I147" s="1160">
        <f t="shared" si="5"/>
        <v>0</v>
      </c>
      <c r="J147" s="850">
        <f t="shared" si="4"/>
        <v>4</v>
      </c>
      <c r="K147" s="850" t="e">
        <f>_xlfn.XLOOKUP(A147,'A0.LS'!E:E,'A0.LS'!E:E)</f>
        <v>#N/A</v>
      </c>
    </row>
    <row r="148" spans="1:11" ht="13.5">
      <c r="A148" s="83" t="s">
        <v>313</v>
      </c>
      <c r="B148" s="84" t="s">
        <v>314</v>
      </c>
      <c r="C148" s="618">
        <v>0</v>
      </c>
      <c r="D148" s="85">
        <v>0</v>
      </c>
      <c r="E148" s="85">
        <v>316111041</v>
      </c>
      <c r="F148" s="618">
        <v>316111041</v>
      </c>
      <c r="G148" s="618">
        <v>0</v>
      </c>
      <c r="H148" s="85">
        <v>0</v>
      </c>
      <c r="I148" s="1160">
        <f t="shared" si="5"/>
        <v>0</v>
      </c>
      <c r="J148" s="850">
        <f t="shared" si="4"/>
        <v>7</v>
      </c>
      <c r="K148" s="850" t="str">
        <f>_xlfn.XLOOKUP(A148,'A0.LS'!E:E,'A0.LS'!E:E)</f>
        <v>6353.01</v>
      </c>
    </row>
    <row r="149" spans="1:11" ht="13.5">
      <c r="A149" s="83" t="s">
        <v>317</v>
      </c>
      <c r="B149" s="84" t="s">
        <v>318</v>
      </c>
      <c r="C149" s="618">
        <v>0</v>
      </c>
      <c r="D149" s="85">
        <v>0</v>
      </c>
      <c r="E149" s="85">
        <v>11153094</v>
      </c>
      <c r="F149" s="618">
        <v>11153094</v>
      </c>
      <c r="G149" s="618">
        <v>0</v>
      </c>
      <c r="H149" s="85">
        <v>0</v>
      </c>
      <c r="I149" s="1160">
        <f t="shared" si="5"/>
        <v>0</v>
      </c>
      <c r="J149" s="850">
        <f t="shared" si="4"/>
        <v>7</v>
      </c>
      <c r="K149" s="850" t="str">
        <f>_xlfn.XLOOKUP(A149,'A0.LS'!E:E,'A0.LS'!E:E)</f>
        <v>6353.03</v>
      </c>
    </row>
    <row r="150" spans="1:11" ht="13.5">
      <c r="A150" s="83" t="s">
        <v>747</v>
      </c>
      <c r="B150" s="84" t="s">
        <v>748</v>
      </c>
      <c r="C150" s="618">
        <v>0</v>
      </c>
      <c r="D150" s="85">
        <v>0</v>
      </c>
      <c r="E150" s="85">
        <v>81427</v>
      </c>
      <c r="F150" s="618">
        <v>81427</v>
      </c>
      <c r="G150" s="618">
        <v>0</v>
      </c>
      <c r="H150" s="85">
        <v>0</v>
      </c>
      <c r="I150" s="1160">
        <f t="shared" si="5"/>
        <v>0</v>
      </c>
      <c r="J150" s="850">
        <f t="shared" si="4"/>
        <v>7</v>
      </c>
      <c r="K150" s="850" t="str">
        <f>_xlfn.XLOOKUP(A150,'A0.LS'!E:E,'A0.LS'!E:E)</f>
        <v>6353.04</v>
      </c>
    </row>
    <row r="151" spans="1:11" ht="13.5">
      <c r="A151" s="80" t="s">
        <v>323</v>
      </c>
      <c r="B151" s="81" t="s">
        <v>324</v>
      </c>
      <c r="C151" s="617">
        <v>0</v>
      </c>
      <c r="D151" s="82">
        <v>0</v>
      </c>
      <c r="E151" s="82">
        <v>1926760227</v>
      </c>
      <c r="F151" s="617">
        <v>1926760227</v>
      </c>
      <c r="G151" s="617">
        <v>0</v>
      </c>
      <c r="H151" s="82">
        <v>0</v>
      </c>
      <c r="I151" s="1160">
        <f t="shared" si="5"/>
        <v>0</v>
      </c>
      <c r="J151" s="850">
        <f t="shared" si="4"/>
        <v>4</v>
      </c>
      <c r="K151" s="850" t="str">
        <f>_xlfn.XLOOKUP(A151,'A0.LS'!E:E,'A0.LS'!E:E)</f>
        <v>6356</v>
      </c>
    </row>
    <row r="152" spans="1:11" ht="13.5">
      <c r="A152" s="83" t="s">
        <v>325</v>
      </c>
      <c r="B152" s="84" t="s">
        <v>326</v>
      </c>
      <c r="C152" s="618">
        <v>0</v>
      </c>
      <c r="D152" s="85">
        <v>0</v>
      </c>
      <c r="E152" s="85">
        <v>59152055</v>
      </c>
      <c r="F152" s="618">
        <v>59152055</v>
      </c>
      <c r="G152" s="618">
        <v>0</v>
      </c>
      <c r="H152" s="85">
        <v>0</v>
      </c>
      <c r="I152" s="1160">
        <f t="shared" si="5"/>
        <v>0</v>
      </c>
      <c r="J152" s="850">
        <f t="shared" si="4"/>
        <v>7</v>
      </c>
      <c r="K152" s="850" t="str">
        <f>_xlfn.XLOOKUP(A152,'A0.LS'!E:E,'A0.LS'!E:E)</f>
        <v>6356.01</v>
      </c>
    </row>
    <row r="153" spans="1:11" ht="13.5">
      <c r="A153" s="83" t="s">
        <v>327</v>
      </c>
      <c r="B153" s="84" t="s">
        <v>328</v>
      </c>
      <c r="C153" s="618">
        <v>0</v>
      </c>
      <c r="D153" s="85">
        <v>0</v>
      </c>
      <c r="E153" s="85">
        <v>561875957</v>
      </c>
      <c r="F153" s="618">
        <v>561875957</v>
      </c>
      <c r="G153" s="618">
        <v>0</v>
      </c>
      <c r="H153" s="85">
        <v>0</v>
      </c>
      <c r="I153" s="1160">
        <f t="shared" si="5"/>
        <v>0</v>
      </c>
      <c r="J153" s="850">
        <f t="shared" si="4"/>
        <v>7</v>
      </c>
      <c r="K153" s="850" t="str">
        <f>_xlfn.XLOOKUP(A153,'A0.LS'!E:E,'A0.LS'!E:E)</f>
        <v>6356.02</v>
      </c>
    </row>
    <row r="154" spans="1:11" ht="13.5">
      <c r="A154" s="83" t="s">
        <v>329</v>
      </c>
      <c r="B154" s="84" t="s">
        <v>330</v>
      </c>
      <c r="C154" s="618">
        <v>0</v>
      </c>
      <c r="D154" s="85">
        <v>0</v>
      </c>
      <c r="E154" s="85">
        <v>1305732215</v>
      </c>
      <c r="F154" s="618">
        <v>1305732215</v>
      </c>
      <c r="G154" s="618">
        <v>0</v>
      </c>
      <c r="H154" s="85">
        <v>0</v>
      </c>
      <c r="I154" s="1160">
        <f t="shared" si="5"/>
        <v>0</v>
      </c>
      <c r="J154" s="850">
        <f t="shared" si="4"/>
        <v>7</v>
      </c>
      <c r="K154" s="850" t="str">
        <f>_xlfn.XLOOKUP(A154,'A0.LS'!E:E,'A0.LS'!E:E)</f>
        <v>6356.03</v>
      </c>
    </row>
    <row r="155" spans="1:11" ht="13.5">
      <c r="A155" s="83" t="s">
        <v>331</v>
      </c>
      <c r="B155" s="84" t="s">
        <v>332</v>
      </c>
      <c r="C155" s="618">
        <v>0</v>
      </c>
      <c r="D155" s="85">
        <v>0</v>
      </c>
      <c r="E155" s="85">
        <v>421093</v>
      </c>
      <c r="F155" s="618">
        <v>421093</v>
      </c>
      <c r="G155" s="618">
        <v>0</v>
      </c>
      <c r="H155" s="85">
        <v>0</v>
      </c>
      <c r="I155" s="1160">
        <f t="shared" si="5"/>
        <v>0</v>
      </c>
      <c r="J155" s="850">
        <f t="shared" si="4"/>
        <v>4</v>
      </c>
      <c r="K155" s="850" t="str">
        <f>_xlfn.XLOOKUP(A155,'A0.LS'!E:E,'A0.LS'!E:E)</f>
        <v>6358</v>
      </c>
    </row>
    <row r="156" spans="1:11" ht="13.5">
      <c r="A156" s="80" t="s">
        <v>333</v>
      </c>
      <c r="B156" s="81" t="s">
        <v>334</v>
      </c>
      <c r="C156" s="617">
        <v>0</v>
      </c>
      <c r="D156" s="82">
        <v>0</v>
      </c>
      <c r="E156" s="82">
        <v>828134318</v>
      </c>
      <c r="F156" s="617">
        <v>828134318</v>
      </c>
      <c r="G156" s="617">
        <v>0</v>
      </c>
      <c r="H156" s="82">
        <v>0</v>
      </c>
      <c r="I156" s="1160">
        <f t="shared" si="5"/>
        <v>0</v>
      </c>
      <c r="J156" s="850">
        <f t="shared" si="4"/>
        <v>3</v>
      </c>
      <c r="K156" s="850" t="e">
        <f>_xlfn.XLOOKUP(A156,'A0.LS'!E:E,'A0.LS'!E:E)</f>
        <v>#N/A</v>
      </c>
    </row>
    <row r="157" spans="1:11" ht="13.5">
      <c r="A157" s="80" t="s">
        <v>335</v>
      </c>
      <c r="B157" s="81" t="s">
        <v>336</v>
      </c>
      <c r="C157" s="617">
        <v>0</v>
      </c>
      <c r="D157" s="82">
        <v>0</v>
      </c>
      <c r="E157" s="82">
        <v>11541818</v>
      </c>
      <c r="F157" s="617">
        <v>11541818</v>
      </c>
      <c r="G157" s="617">
        <v>0</v>
      </c>
      <c r="H157" s="82">
        <v>0</v>
      </c>
      <c r="I157" s="1160">
        <f t="shared" si="5"/>
        <v>0</v>
      </c>
      <c r="J157" s="850">
        <f t="shared" si="4"/>
        <v>4</v>
      </c>
      <c r="K157" s="850" t="e">
        <f>_xlfn.XLOOKUP(A157,'A0.LS'!E:E,'A0.LS'!E:E)</f>
        <v>#N/A</v>
      </c>
    </row>
    <row r="158" spans="1:11" ht="13.5">
      <c r="A158" s="83" t="s">
        <v>337</v>
      </c>
      <c r="B158" s="84" t="s">
        <v>338</v>
      </c>
      <c r="C158" s="618">
        <v>0</v>
      </c>
      <c r="D158" s="85">
        <v>0</v>
      </c>
      <c r="E158" s="85">
        <v>11541818</v>
      </c>
      <c r="F158" s="618">
        <v>11541818</v>
      </c>
      <c r="G158" s="618">
        <v>0</v>
      </c>
      <c r="H158" s="85">
        <v>0</v>
      </c>
      <c r="I158" s="1160">
        <f t="shared" si="5"/>
        <v>0</v>
      </c>
      <c r="J158" s="850">
        <f t="shared" si="4"/>
        <v>5</v>
      </c>
      <c r="K158" s="850" t="str">
        <f>_xlfn.XLOOKUP(A158,'A0.LS'!E:E,'A0.LS'!E:E)</f>
        <v>64111</v>
      </c>
    </row>
    <row r="159" spans="1:11" ht="13.5">
      <c r="A159" s="80" t="s">
        <v>346</v>
      </c>
      <c r="B159" s="81" t="s">
        <v>272</v>
      </c>
      <c r="C159" s="617">
        <v>0</v>
      </c>
      <c r="D159" s="82">
        <v>0</v>
      </c>
      <c r="E159" s="82">
        <v>483898911</v>
      </c>
      <c r="F159" s="617">
        <v>483898911</v>
      </c>
      <c r="G159" s="617">
        <v>0</v>
      </c>
      <c r="H159" s="82">
        <v>0</v>
      </c>
      <c r="I159" s="1160">
        <f t="shared" si="5"/>
        <v>0</v>
      </c>
      <c r="J159" s="850">
        <f t="shared" si="4"/>
        <v>4</v>
      </c>
      <c r="K159" s="850" t="e">
        <f>_xlfn.XLOOKUP(A159,'A0.LS'!E:E,'A0.LS'!E:E)</f>
        <v>#N/A</v>
      </c>
    </row>
    <row r="160" spans="1:11" ht="13.5">
      <c r="A160" s="83" t="s">
        <v>348</v>
      </c>
      <c r="B160" s="84" t="s">
        <v>349</v>
      </c>
      <c r="C160" s="618">
        <v>0</v>
      </c>
      <c r="D160" s="85">
        <v>0</v>
      </c>
      <c r="E160" s="85">
        <v>380180667</v>
      </c>
      <c r="F160" s="618">
        <v>380180667</v>
      </c>
      <c r="G160" s="618">
        <v>0</v>
      </c>
      <c r="H160" s="85">
        <v>0</v>
      </c>
      <c r="I160" s="1160">
        <f t="shared" si="5"/>
        <v>0</v>
      </c>
      <c r="J160" s="850">
        <f t="shared" si="4"/>
        <v>7</v>
      </c>
      <c r="K160" s="850" t="str">
        <f>_xlfn.XLOOKUP(A160,'A0.LS'!E:E,'A0.LS'!E:E)</f>
        <v>6417.02</v>
      </c>
    </row>
    <row r="161" spans="1:11" ht="13.5">
      <c r="A161" s="83" t="s">
        <v>350</v>
      </c>
      <c r="B161" s="84" t="s">
        <v>351</v>
      </c>
      <c r="C161" s="618">
        <v>0</v>
      </c>
      <c r="D161" s="85">
        <v>0</v>
      </c>
      <c r="E161" s="85">
        <v>82756217</v>
      </c>
      <c r="F161" s="618">
        <v>82756217</v>
      </c>
      <c r="G161" s="618">
        <v>0</v>
      </c>
      <c r="H161" s="85">
        <v>0</v>
      </c>
      <c r="I161" s="1160">
        <f t="shared" si="5"/>
        <v>0</v>
      </c>
      <c r="J161" s="850">
        <f t="shared" si="4"/>
        <v>7</v>
      </c>
      <c r="K161" s="850" t="str">
        <f>_xlfn.XLOOKUP(A161,'A0.LS'!E:E,'A0.LS'!E:E)</f>
        <v>6417.03</v>
      </c>
    </row>
    <row r="162" spans="1:11" ht="13.5">
      <c r="A162" s="83" t="s">
        <v>354</v>
      </c>
      <c r="B162" s="84" t="s">
        <v>355</v>
      </c>
      <c r="C162" s="618">
        <v>0</v>
      </c>
      <c r="D162" s="85">
        <v>0</v>
      </c>
      <c r="E162" s="85">
        <v>1801572</v>
      </c>
      <c r="F162" s="618">
        <v>1801572</v>
      </c>
      <c r="G162" s="618">
        <v>0</v>
      </c>
      <c r="H162" s="85">
        <v>0</v>
      </c>
      <c r="I162" s="1160">
        <f t="shared" si="5"/>
        <v>0</v>
      </c>
      <c r="J162" s="850">
        <f t="shared" si="4"/>
        <v>7</v>
      </c>
      <c r="K162" s="850" t="str">
        <f>_xlfn.XLOOKUP(A162,'A0.LS'!E:E,'A0.LS'!E:E)</f>
        <v>6417.05</v>
      </c>
    </row>
    <row r="163" spans="1:11" ht="13.5">
      <c r="A163" s="83" t="s">
        <v>356</v>
      </c>
      <c r="B163" s="84" t="s">
        <v>280</v>
      </c>
      <c r="C163" s="618">
        <v>0</v>
      </c>
      <c r="D163" s="85">
        <v>0</v>
      </c>
      <c r="E163" s="85">
        <v>312525</v>
      </c>
      <c r="F163" s="618">
        <v>312525</v>
      </c>
      <c r="G163" s="618">
        <v>0</v>
      </c>
      <c r="H163" s="85">
        <v>0</v>
      </c>
      <c r="I163" s="1160">
        <f t="shared" si="5"/>
        <v>0</v>
      </c>
      <c r="J163" s="850">
        <f t="shared" si="4"/>
        <v>7</v>
      </c>
      <c r="K163" s="850" t="str">
        <f>_xlfn.XLOOKUP(A163,'A0.LS'!E:E,'A0.LS'!E:E)</f>
        <v>6417.06</v>
      </c>
    </row>
    <row r="164" spans="1:11" ht="13.5">
      <c r="A164" s="83" t="s">
        <v>361</v>
      </c>
      <c r="B164" s="84" t="s">
        <v>362</v>
      </c>
      <c r="C164" s="618">
        <v>0</v>
      </c>
      <c r="D164" s="85">
        <v>0</v>
      </c>
      <c r="E164" s="85">
        <v>18272254</v>
      </c>
      <c r="F164" s="618">
        <v>18272254</v>
      </c>
      <c r="G164" s="618">
        <v>0</v>
      </c>
      <c r="H164" s="85">
        <v>0</v>
      </c>
      <c r="I164" s="1160">
        <f t="shared" si="5"/>
        <v>0</v>
      </c>
      <c r="J164" s="850">
        <f t="shared" si="4"/>
        <v>7</v>
      </c>
      <c r="K164" s="850" t="str">
        <f>_xlfn.XLOOKUP(A164,'A0.LS'!E:E,'A0.LS'!E:E)</f>
        <v>6417.11</v>
      </c>
    </row>
    <row r="165" spans="1:11" ht="13.5">
      <c r="A165" s="83" t="s">
        <v>363</v>
      </c>
      <c r="B165" s="84" t="s">
        <v>364</v>
      </c>
      <c r="C165" s="618">
        <v>0</v>
      </c>
      <c r="D165" s="85">
        <v>0</v>
      </c>
      <c r="E165" s="85">
        <v>270000</v>
      </c>
      <c r="F165" s="618">
        <v>270000</v>
      </c>
      <c r="G165" s="618">
        <v>0</v>
      </c>
      <c r="H165" s="85">
        <v>0</v>
      </c>
      <c r="I165" s="1160">
        <f t="shared" si="5"/>
        <v>0</v>
      </c>
      <c r="J165" s="850">
        <f t="shared" si="4"/>
        <v>7</v>
      </c>
      <c r="K165" s="850" t="str">
        <f>_xlfn.XLOOKUP(A165,'A0.LS'!E:E,'A0.LS'!E:E)</f>
        <v>6417.12</v>
      </c>
    </row>
    <row r="166" spans="1:11" ht="13.5">
      <c r="A166" s="83" t="s">
        <v>367</v>
      </c>
      <c r="B166" s="84" t="s">
        <v>368</v>
      </c>
      <c r="C166" s="618">
        <v>0</v>
      </c>
      <c r="D166" s="85">
        <v>0</v>
      </c>
      <c r="E166" s="85">
        <v>305676</v>
      </c>
      <c r="F166" s="618">
        <v>305676</v>
      </c>
      <c r="G166" s="618">
        <v>0</v>
      </c>
      <c r="H166" s="85">
        <v>0</v>
      </c>
      <c r="I166" s="1160">
        <f t="shared" si="5"/>
        <v>0</v>
      </c>
      <c r="J166" s="850">
        <f t="shared" si="4"/>
        <v>7</v>
      </c>
      <c r="K166" s="850" t="str">
        <f>_xlfn.XLOOKUP(A166,'A0.LS'!E:E,'A0.LS'!E:E)</f>
        <v>6417.16</v>
      </c>
    </row>
    <row r="167" spans="1:11" ht="13.5">
      <c r="A167" s="80" t="s">
        <v>369</v>
      </c>
      <c r="B167" s="81" t="s">
        <v>302</v>
      </c>
      <c r="C167" s="617">
        <v>0</v>
      </c>
      <c r="D167" s="82">
        <v>0</v>
      </c>
      <c r="E167" s="82">
        <v>332693589</v>
      </c>
      <c r="F167" s="617">
        <v>332693589</v>
      </c>
      <c r="G167" s="617">
        <v>0</v>
      </c>
      <c r="H167" s="82">
        <v>0</v>
      </c>
      <c r="I167" s="1160">
        <f t="shared" si="5"/>
        <v>0</v>
      </c>
      <c r="J167" s="850">
        <f t="shared" si="4"/>
        <v>4</v>
      </c>
      <c r="K167" s="850" t="str">
        <f>_xlfn.XLOOKUP(A167,'A0.LS'!E:E,'A0.LS'!E:E)</f>
        <v>6418</v>
      </c>
    </row>
    <row r="168" spans="1:11" ht="13.5">
      <c r="A168" s="83" t="s">
        <v>370</v>
      </c>
      <c r="B168" s="84" t="s">
        <v>371</v>
      </c>
      <c r="C168" s="618">
        <v>0</v>
      </c>
      <c r="D168" s="85">
        <v>0</v>
      </c>
      <c r="E168" s="85">
        <v>332693589</v>
      </c>
      <c r="F168" s="618">
        <v>332693589</v>
      </c>
      <c r="G168" s="618">
        <v>0</v>
      </c>
      <c r="H168" s="85">
        <v>0</v>
      </c>
      <c r="I168" s="1160">
        <f t="shared" si="5"/>
        <v>0</v>
      </c>
      <c r="J168" s="850">
        <f t="shared" si="4"/>
        <v>7</v>
      </c>
      <c r="K168" s="850" t="str">
        <f>_xlfn.XLOOKUP(A168,'A0.LS'!E:E,'A0.LS'!E:E)</f>
        <v>6418.01</v>
      </c>
    </row>
    <row r="169" spans="1:11" ht="13.5">
      <c r="A169" s="80" t="s">
        <v>374</v>
      </c>
      <c r="B169" s="81" t="s">
        <v>375</v>
      </c>
      <c r="C169" s="617">
        <v>0</v>
      </c>
      <c r="D169" s="82">
        <v>0</v>
      </c>
      <c r="E169" s="82">
        <v>878432784</v>
      </c>
      <c r="F169" s="617">
        <v>878432784</v>
      </c>
      <c r="G169" s="617">
        <v>0</v>
      </c>
      <c r="H169" s="82">
        <v>0</v>
      </c>
      <c r="I169" s="1160">
        <f t="shared" si="5"/>
        <v>0</v>
      </c>
      <c r="J169" s="850">
        <f t="shared" si="4"/>
        <v>3</v>
      </c>
      <c r="K169" s="850" t="e">
        <f>_xlfn.XLOOKUP(A169,'A0.LS'!E:E,'A0.LS'!E:E)</f>
        <v>#N/A</v>
      </c>
    </row>
    <row r="170" spans="1:11" ht="13.5">
      <c r="A170" s="80" t="s">
        <v>376</v>
      </c>
      <c r="B170" s="81" t="s">
        <v>377</v>
      </c>
      <c r="C170" s="617">
        <v>0</v>
      </c>
      <c r="D170" s="82">
        <v>0</v>
      </c>
      <c r="E170" s="82">
        <v>339846980</v>
      </c>
      <c r="F170" s="617">
        <v>339846980</v>
      </c>
      <c r="G170" s="617">
        <v>0</v>
      </c>
      <c r="H170" s="82">
        <v>0</v>
      </c>
      <c r="I170" s="1160">
        <f t="shared" si="5"/>
        <v>0</v>
      </c>
      <c r="J170" s="850">
        <f t="shared" si="4"/>
        <v>4</v>
      </c>
      <c r="K170" s="850" t="e">
        <f>_xlfn.XLOOKUP(A170,'A0.LS'!E:E,'A0.LS'!E:E)</f>
        <v>#N/A</v>
      </c>
    </row>
    <row r="171" spans="1:11" ht="13.5">
      <c r="A171" s="83" t="s">
        <v>378</v>
      </c>
      <c r="B171" s="84" t="s">
        <v>338</v>
      </c>
      <c r="C171" s="618">
        <v>0</v>
      </c>
      <c r="D171" s="85">
        <v>0</v>
      </c>
      <c r="E171" s="85">
        <v>308843647</v>
      </c>
      <c r="F171" s="618">
        <v>308843647</v>
      </c>
      <c r="G171" s="618">
        <v>0</v>
      </c>
      <c r="H171" s="85">
        <v>0</v>
      </c>
      <c r="I171" s="1160">
        <f t="shared" si="5"/>
        <v>0</v>
      </c>
      <c r="J171" s="850">
        <f t="shared" si="4"/>
        <v>5</v>
      </c>
      <c r="K171" s="850" t="str">
        <f>_xlfn.XLOOKUP(A171,'A0.LS'!E:E,'A0.LS'!E:E)</f>
        <v>64211</v>
      </c>
    </row>
    <row r="172" spans="1:11" ht="13.5">
      <c r="A172" s="83" t="s">
        <v>379</v>
      </c>
      <c r="B172" s="84" t="s">
        <v>340</v>
      </c>
      <c r="C172" s="618">
        <v>0</v>
      </c>
      <c r="D172" s="85">
        <v>0</v>
      </c>
      <c r="E172" s="85">
        <v>6442000</v>
      </c>
      <c r="F172" s="618">
        <v>6442000</v>
      </c>
      <c r="G172" s="618">
        <v>0</v>
      </c>
      <c r="H172" s="85">
        <v>0</v>
      </c>
      <c r="I172" s="1160">
        <f t="shared" si="5"/>
        <v>0</v>
      </c>
      <c r="J172" s="850">
        <f t="shared" si="4"/>
        <v>5</v>
      </c>
      <c r="K172" s="850" t="str">
        <f>_xlfn.XLOOKUP(A172,'A0.LS'!E:E,'A0.LS'!E:E)</f>
        <v>64212</v>
      </c>
    </row>
    <row r="173" spans="1:11" ht="13.5">
      <c r="A173" s="83" t="s">
        <v>380</v>
      </c>
      <c r="B173" s="84" t="s">
        <v>342</v>
      </c>
      <c r="C173" s="618">
        <v>0</v>
      </c>
      <c r="D173" s="85">
        <v>0</v>
      </c>
      <c r="E173" s="85">
        <v>24561333</v>
      </c>
      <c r="F173" s="618">
        <v>24561333</v>
      </c>
      <c r="G173" s="618">
        <v>0</v>
      </c>
      <c r="H173" s="85">
        <v>0</v>
      </c>
      <c r="I173" s="1160">
        <f t="shared" si="5"/>
        <v>0</v>
      </c>
      <c r="J173" s="850">
        <f t="shared" si="4"/>
        <v>5</v>
      </c>
      <c r="K173" s="850" t="str">
        <f>_xlfn.XLOOKUP(A173,'A0.LS'!E:E,'A0.LS'!E:E)</f>
        <v>64213</v>
      </c>
    </row>
    <row r="174" spans="1:11" ht="13.5">
      <c r="A174" s="83" t="s">
        <v>381</v>
      </c>
      <c r="B174" s="84" t="s">
        <v>382</v>
      </c>
      <c r="C174" s="618">
        <v>0</v>
      </c>
      <c r="D174" s="85">
        <v>0</v>
      </c>
      <c r="E174" s="85">
        <v>6595449</v>
      </c>
      <c r="F174" s="618">
        <v>6595449</v>
      </c>
      <c r="G174" s="618">
        <v>0</v>
      </c>
      <c r="H174" s="85">
        <v>0</v>
      </c>
      <c r="I174" s="1160">
        <f t="shared" si="5"/>
        <v>0</v>
      </c>
      <c r="J174" s="850">
        <f t="shared" si="4"/>
        <v>4</v>
      </c>
      <c r="K174" s="850" t="str">
        <f>_xlfn.XLOOKUP(A174,'A0.LS'!E:E,'A0.LS'!E:E)</f>
        <v>6423</v>
      </c>
    </row>
    <row r="175" spans="1:11" ht="13.5">
      <c r="A175" s="83" t="s">
        <v>383</v>
      </c>
      <c r="B175" s="84" t="s">
        <v>270</v>
      </c>
      <c r="C175" s="618">
        <v>0</v>
      </c>
      <c r="D175" s="85">
        <v>0</v>
      </c>
      <c r="E175" s="85">
        <v>32041326</v>
      </c>
      <c r="F175" s="618">
        <v>32041326</v>
      </c>
      <c r="G175" s="618">
        <v>0</v>
      </c>
      <c r="H175" s="85">
        <v>0</v>
      </c>
      <c r="I175" s="1160">
        <f t="shared" si="5"/>
        <v>0</v>
      </c>
      <c r="J175" s="850">
        <f t="shared" si="4"/>
        <v>4</v>
      </c>
      <c r="K175" s="850" t="str">
        <f>_xlfn.XLOOKUP(A175,'A0.LS'!E:E,'A0.LS'!E:E)</f>
        <v>6424</v>
      </c>
    </row>
    <row r="176" spans="1:11" ht="13.5">
      <c r="A176" s="80" t="s">
        <v>386</v>
      </c>
      <c r="B176" s="81" t="s">
        <v>272</v>
      </c>
      <c r="C176" s="617">
        <v>0</v>
      </c>
      <c r="D176" s="82">
        <v>0</v>
      </c>
      <c r="E176" s="82">
        <v>424604756</v>
      </c>
      <c r="F176" s="617">
        <v>424604756</v>
      </c>
      <c r="G176" s="617">
        <v>0</v>
      </c>
      <c r="H176" s="82">
        <v>0</v>
      </c>
      <c r="I176" s="1160">
        <f t="shared" si="5"/>
        <v>0</v>
      </c>
      <c r="J176" s="850">
        <f t="shared" si="4"/>
        <v>4</v>
      </c>
      <c r="K176" s="850" t="e">
        <f>_xlfn.XLOOKUP(A176,'A0.LS'!E:E,'A0.LS'!E:E)</f>
        <v>#N/A</v>
      </c>
    </row>
    <row r="177" spans="1:11" ht="13.5">
      <c r="A177" s="83" t="s">
        <v>387</v>
      </c>
      <c r="B177" s="84" t="s">
        <v>388</v>
      </c>
      <c r="C177" s="618">
        <v>0</v>
      </c>
      <c r="D177" s="85">
        <v>0</v>
      </c>
      <c r="E177" s="85">
        <v>269278655</v>
      </c>
      <c r="F177" s="618">
        <v>269278655</v>
      </c>
      <c r="G177" s="618">
        <v>0</v>
      </c>
      <c r="H177" s="85">
        <v>0</v>
      </c>
      <c r="I177" s="1160">
        <f t="shared" si="5"/>
        <v>0</v>
      </c>
      <c r="J177" s="850">
        <f t="shared" si="4"/>
        <v>7</v>
      </c>
      <c r="K177" s="850" t="str">
        <f>_xlfn.XLOOKUP(A177,'A0.LS'!E:E,'A0.LS'!E:E)</f>
        <v>6427.01</v>
      </c>
    </row>
    <row r="178" spans="1:11" ht="13.5">
      <c r="A178" s="83" t="s">
        <v>389</v>
      </c>
      <c r="B178" s="84" t="s">
        <v>390</v>
      </c>
      <c r="C178" s="618">
        <v>0</v>
      </c>
      <c r="D178" s="85">
        <v>0</v>
      </c>
      <c r="E178" s="85">
        <v>815866</v>
      </c>
      <c r="F178" s="618">
        <v>815866</v>
      </c>
      <c r="G178" s="618">
        <v>0</v>
      </c>
      <c r="H178" s="85">
        <v>0</v>
      </c>
      <c r="I178" s="1160">
        <f t="shared" si="5"/>
        <v>0</v>
      </c>
      <c r="J178" s="850">
        <f t="shared" si="4"/>
        <v>7</v>
      </c>
      <c r="K178" s="850" t="str">
        <f>_xlfn.XLOOKUP(A178,'A0.LS'!E:E,'A0.LS'!E:E)</f>
        <v>6427.02</v>
      </c>
    </row>
    <row r="179" spans="1:11" ht="13.5">
      <c r="A179" s="83" t="s">
        <v>391</v>
      </c>
      <c r="B179" s="84" t="s">
        <v>392</v>
      </c>
      <c r="C179" s="618">
        <v>0</v>
      </c>
      <c r="D179" s="85">
        <v>0</v>
      </c>
      <c r="E179" s="85">
        <v>1983477</v>
      </c>
      <c r="F179" s="618">
        <v>1983477</v>
      </c>
      <c r="G179" s="618">
        <v>0</v>
      </c>
      <c r="H179" s="85">
        <v>0</v>
      </c>
      <c r="I179" s="1160">
        <f t="shared" si="5"/>
        <v>0</v>
      </c>
      <c r="J179" s="850">
        <f t="shared" si="4"/>
        <v>7</v>
      </c>
      <c r="K179" s="850" t="str">
        <f>_xlfn.XLOOKUP(A179,'A0.LS'!E:E,'A0.LS'!E:E)</f>
        <v>6427.03</v>
      </c>
    </row>
    <row r="180" spans="1:11" ht="13.5">
      <c r="A180" s="83" t="s">
        <v>393</v>
      </c>
      <c r="B180" s="84" t="s">
        <v>394</v>
      </c>
      <c r="C180" s="618">
        <v>0</v>
      </c>
      <c r="D180" s="85">
        <v>0</v>
      </c>
      <c r="E180" s="85">
        <v>8347635</v>
      </c>
      <c r="F180" s="618">
        <v>8347635</v>
      </c>
      <c r="G180" s="618">
        <v>0</v>
      </c>
      <c r="H180" s="85">
        <v>0</v>
      </c>
      <c r="I180" s="1160">
        <f t="shared" si="5"/>
        <v>0</v>
      </c>
      <c r="J180" s="850">
        <f t="shared" si="4"/>
        <v>7</v>
      </c>
      <c r="K180" s="850" t="str">
        <f>_xlfn.XLOOKUP(A180,'A0.LS'!E:E,'A0.LS'!E:E)</f>
        <v>6427.04</v>
      </c>
    </row>
    <row r="181" spans="1:11" ht="13.5">
      <c r="A181" s="83" t="s">
        <v>395</v>
      </c>
      <c r="B181" s="84" t="s">
        <v>396</v>
      </c>
      <c r="C181" s="618">
        <v>0</v>
      </c>
      <c r="D181" s="85">
        <v>0</v>
      </c>
      <c r="E181" s="85">
        <v>4776000</v>
      </c>
      <c r="F181" s="618">
        <v>4776000</v>
      </c>
      <c r="G181" s="618">
        <v>0</v>
      </c>
      <c r="H181" s="85">
        <v>0</v>
      </c>
      <c r="I181" s="1160">
        <f t="shared" si="5"/>
        <v>0</v>
      </c>
      <c r="J181" s="850">
        <f t="shared" si="4"/>
        <v>7</v>
      </c>
      <c r="K181" s="850" t="str">
        <f>_xlfn.XLOOKUP(A181,'A0.LS'!E:E,'A0.LS'!E:E)</f>
        <v>6427.05</v>
      </c>
    </row>
    <row r="182" spans="1:11" ht="13.5">
      <c r="A182" s="83" t="s">
        <v>398</v>
      </c>
      <c r="B182" s="84" t="s">
        <v>399</v>
      </c>
      <c r="C182" s="618">
        <v>0</v>
      </c>
      <c r="D182" s="85">
        <v>0</v>
      </c>
      <c r="E182" s="85">
        <v>3156447</v>
      </c>
      <c r="F182" s="618">
        <v>3156447</v>
      </c>
      <c r="G182" s="618">
        <v>0</v>
      </c>
      <c r="H182" s="85">
        <v>0</v>
      </c>
      <c r="I182" s="1160">
        <f t="shared" si="5"/>
        <v>0</v>
      </c>
      <c r="J182" s="850">
        <f t="shared" si="4"/>
        <v>7</v>
      </c>
      <c r="K182" s="850" t="str">
        <f>_xlfn.XLOOKUP(A182,'A0.LS'!E:E,'A0.LS'!E:E)</f>
        <v>6427.07</v>
      </c>
    </row>
    <row r="183" spans="1:11" ht="13.5">
      <c r="A183" s="83" t="s">
        <v>401</v>
      </c>
      <c r="B183" s="84" t="s">
        <v>402</v>
      </c>
      <c r="C183" s="618">
        <v>0</v>
      </c>
      <c r="D183" s="85">
        <v>0</v>
      </c>
      <c r="E183" s="85">
        <v>1108983</v>
      </c>
      <c r="F183" s="618">
        <v>1108983</v>
      </c>
      <c r="G183" s="618">
        <v>0</v>
      </c>
      <c r="H183" s="85">
        <v>0</v>
      </c>
      <c r="I183" s="1160">
        <f t="shared" si="5"/>
        <v>0</v>
      </c>
      <c r="J183" s="850">
        <f t="shared" si="4"/>
        <v>7</v>
      </c>
      <c r="K183" s="850" t="str">
        <f>_xlfn.XLOOKUP(A183,'A0.LS'!E:E,'A0.LS'!E:E)</f>
        <v>6427.09</v>
      </c>
    </row>
    <row r="184" spans="1:11" ht="13.5">
      <c r="A184" s="83" t="s">
        <v>405</v>
      </c>
      <c r="B184" s="84" t="s">
        <v>406</v>
      </c>
      <c r="C184" s="618">
        <v>0</v>
      </c>
      <c r="D184" s="85">
        <v>0</v>
      </c>
      <c r="E184" s="85">
        <v>12000000</v>
      </c>
      <c r="F184" s="618">
        <v>12000000</v>
      </c>
      <c r="G184" s="618">
        <v>0</v>
      </c>
      <c r="H184" s="85">
        <v>0</v>
      </c>
      <c r="I184" s="1160">
        <f t="shared" si="5"/>
        <v>0</v>
      </c>
      <c r="J184" s="850">
        <f t="shared" si="4"/>
        <v>7</v>
      </c>
      <c r="K184" s="850" t="str">
        <f>_xlfn.XLOOKUP(A184,'A0.LS'!E:E,'A0.LS'!E:E)</f>
        <v>6427.11</v>
      </c>
    </row>
    <row r="185" spans="1:11" ht="13.5">
      <c r="A185" s="83" t="s">
        <v>407</v>
      </c>
      <c r="B185" s="84" t="s">
        <v>408</v>
      </c>
      <c r="C185" s="618">
        <v>0</v>
      </c>
      <c r="D185" s="85">
        <v>0</v>
      </c>
      <c r="E185" s="85">
        <v>64393939</v>
      </c>
      <c r="F185" s="618">
        <v>64393939</v>
      </c>
      <c r="G185" s="618">
        <v>0</v>
      </c>
      <c r="H185" s="85">
        <v>0</v>
      </c>
      <c r="I185" s="1160">
        <f t="shared" si="5"/>
        <v>0</v>
      </c>
      <c r="J185" s="850">
        <f t="shared" si="4"/>
        <v>7</v>
      </c>
      <c r="K185" s="850" t="str">
        <f>_xlfn.XLOOKUP(A185,'A0.LS'!E:E,'A0.LS'!E:E)</f>
        <v>6427.12</v>
      </c>
    </row>
    <row r="186" spans="1:11" ht="13.5">
      <c r="A186" s="83" t="s">
        <v>413</v>
      </c>
      <c r="B186" s="84" t="s">
        <v>414</v>
      </c>
      <c r="C186" s="618">
        <v>0</v>
      </c>
      <c r="D186" s="85">
        <v>0</v>
      </c>
      <c r="E186" s="85">
        <v>22562519</v>
      </c>
      <c r="F186" s="618">
        <v>22562519</v>
      </c>
      <c r="G186" s="618">
        <v>0</v>
      </c>
      <c r="H186" s="85">
        <v>0</v>
      </c>
      <c r="I186" s="1160">
        <f t="shared" si="5"/>
        <v>0</v>
      </c>
      <c r="J186" s="850">
        <f t="shared" si="4"/>
        <v>7</v>
      </c>
      <c r="K186" s="850" t="str">
        <f>_xlfn.XLOOKUP(A186,'A0.LS'!E:E,'A0.LS'!E:E)</f>
        <v>6427.15</v>
      </c>
    </row>
    <row r="187" spans="1:11" ht="13.5">
      <c r="A187" s="83" t="s">
        <v>415</v>
      </c>
      <c r="B187" s="84" t="s">
        <v>416</v>
      </c>
      <c r="C187" s="618">
        <v>0</v>
      </c>
      <c r="D187" s="85">
        <v>0</v>
      </c>
      <c r="E187" s="85">
        <v>1636364</v>
      </c>
      <c r="F187" s="618">
        <v>1636364</v>
      </c>
      <c r="G187" s="618">
        <v>0</v>
      </c>
      <c r="H187" s="85">
        <v>0</v>
      </c>
      <c r="I187" s="1160">
        <f t="shared" si="5"/>
        <v>0</v>
      </c>
      <c r="J187" s="850">
        <f t="shared" si="4"/>
        <v>7</v>
      </c>
      <c r="K187" s="850" t="str">
        <f>_xlfn.XLOOKUP(A187,'A0.LS'!E:E,'A0.LS'!E:E)</f>
        <v>6427.16</v>
      </c>
    </row>
    <row r="188" spans="1:11" ht="13.5">
      <c r="A188" s="83" t="s">
        <v>419</v>
      </c>
      <c r="B188" s="84" t="s">
        <v>420</v>
      </c>
      <c r="C188" s="618">
        <v>0</v>
      </c>
      <c r="D188" s="85">
        <v>0</v>
      </c>
      <c r="E188" s="85">
        <v>1950000</v>
      </c>
      <c r="F188" s="618">
        <v>1950000</v>
      </c>
      <c r="G188" s="618">
        <v>0</v>
      </c>
      <c r="H188" s="85">
        <v>0</v>
      </c>
      <c r="I188" s="1160">
        <f t="shared" si="5"/>
        <v>0</v>
      </c>
      <c r="J188" s="850">
        <f t="shared" si="4"/>
        <v>7</v>
      </c>
      <c r="K188" s="850" t="str">
        <f>_xlfn.XLOOKUP(A188,'A0.LS'!E:E,'A0.LS'!E:E)</f>
        <v>6427.18</v>
      </c>
    </row>
    <row r="189" spans="1:11" ht="13.5">
      <c r="A189" s="83" t="s">
        <v>421</v>
      </c>
      <c r="B189" s="84" t="s">
        <v>364</v>
      </c>
      <c r="C189" s="618">
        <v>0</v>
      </c>
      <c r="D189" s="85">
        <v>0</v>
      </c>
      <c r="E189" s="85">
        <v>5634355</v>
      </c>
      <c r="F189" s="618">
        <v>5634355</v>
      </c>
      <c r="G189" s="618">
        <v>0</v>
      </c>
      <c r="H189" s="85">
        <v>0</v>
      </c>
      <c r="I189" s="1160">
        <f t="shared" si="5"/>
        <v>0</v>
      </c>
      <c r="J189" s="850">
        <f t="shared" si="4"/>
        <v>7</v>
      </c>
      <c r="K189" s="850" t="str">
        <f>_xlfn.XLOOKUP(A189,'A0.LS'!E:E,'A0.LS'!E:E)</f>
        <v>6427.19</v>
      </c>
    </row>
    <row r="190" spans="1:11" ht="13.5">
      <c r="A190" s="83" t="s">
        <v>424</v>
      </c>
      <c r="B190" s="84" t="s">
        <v>288</v>
      </c>
      <c r="C190" s="618">
        <v>0</v>
      </c>
      <c r="D190" s="85">
        <v>0</v>
      </c>
      <c r="E190" s="85">
        <v>17452500</v>
      </c>
      <c r="F190" s="618">
        <v>17452500</v>
      </c>
      <c r="G190" s="618">
        <v>0</v>
      </c>
      <c r="H190" s="85">
        <v>0</v>
      </c>
      <c r="I190" s="1160">
        <f t="shared" si="5"/>
        <v>0</v>
      </c>
      <c r="J190" s="850">
        <f t="shared" si="4"/>
        <v>7</v>
      </c>
      <c r="K190" s="850" t="str">
        <f>_xlfn.XLOOKUP(A190,'A0.LS'!E:E,'A0.LS'!E:E)</f>
        <v>6427.21</v>
      </c>
    </row>
    <row r="191" spans="1:11" ht="13.5">
      <c r="A191" s="83" t="s">
        <v>425</v>
      </c>
      <c r="B191" s="84" t="s">
        <v>426</v>
      </c>
      <c r="C191" s="618">
        <v>0</v>
      </c>
      <c r="D191" s="85">
        <v>0</v>
      </c>
      <c r="E191" s="85">
        <v>3710631</v>
      </c>
      <c r="F191" s="618">
        <v>3710631</v>
      </c>
      <c r="G191" s="618">
        <v>0</v>
      </c>
      <c r="H191" s="85">
        <v>0</v>
      </c>
      <c r="I191" s="1160">
        <f t="shared" si="5"/>
        <v>0</v>
      </c>
      <c r="J191" s="850">
        <f t="shared" si="4"/>
        <v>7</v>
      </c>
      <c r="K191" s="850" t="str">
        <f>_xlfn.XLOOKUP(A191,'A0.LS'!E:E,'A0.LS'!E:E)</f>
        <v>6427.22</v>
      </c>
    </row>
    <row r="192" spans="1:11" ht="13.5">
      <c r="A192" s="83" t="s">
        <v>427</v>
      </c>
      <c r="B192" s="84" t="s">
        <v>428</v>
      </c>
      <c r="C192" s="618">
        <v>0</v>
      </c>
      <c r="D192" s="85">
        <v>0</v>
      </c>
      <c r="E192" s="85">
        <v>5444052</v>
      </c>
      <c r="F192" s="618">
        <v>5444052</v>
      </c>
      <c r="G192" s="618">
        <v>0</v>
      </c>
      <c r="H192" s="85">
        <v>0</v>
      </c>
      <c r="I192" s="1160">
        <f t="shared" si="5"/>
        <v>0</v>
      </c>
      <c r="J192" s="850">
        <f t="shared" si="4"/>
        <v>7</v>
      </c>
      <c r="K192" s="850" t="str">
        <f>_xlfn.XLOOKUP(A192,'A0.LS'!E:E,'A0.LS'!E:E)</f>
        <v>6427.23</v>
      </c>
    </row>
    <row r="193" spans="1:11" ht="13.5">
      <c r="A193" s="83" t="s">
        <v>431</v>
      </c>
      <c r="B193" s="84" t="s">
        <v>355</v>
      </c>
      <c r="C193" s="618">
        <v>0</v>
      </c>
      <c r="D193" s="85">
        <v>0</v>
      </c>
      <c r="E193" s="85">
        <v>353333</v>
      </c>
      <c r="F193" s="618">
        <v>353333</v>
      </c>
      <c r="G193" s="618">
        <v>0</v>
      </c>
      <c r="H193" s="85">
        <v>0</v>
      </c>
      <c r="I193" s="1160">
        <f t="shared" si="5"/>
        <v>0</v>
      </c>
      <c r="J193" s="850">
        <f t="shared" si="4"/>
        <v>7</v>
      </c>
      <c r="K193" s="850" t="str">
        <f>_xlfn.XLOOKUP(A193,'A0.LS'!E:E,'A0.LS'!E:E)</f>
        <v>6427.26</v>
      </c>
    </row>
    <row r="194" spans="1:11" ht="13.5">
      <c r="A194" s="80" t="s">
        <v>434</v>
      </c>
      <c r="B194" s="81" t="s">
        <v>302</v>
      </c>
      <c r="C194" s="617">
        <v>0</v>
      </c>
      <c r="D194" s="82">
        <v>0</v>
      </c>
      <c r="E194" s="82">
        <v>75344273</v>
      </c>
      <c r="F194" s="617">
        <v>75344273</v>
      </c>
      <c r="G194" s="617">
        <v>0</v>
      </c>
      <c r="H194" s="82">
        <v>0</v>
      </c>
      <c r="I194" s="1160">
        <f t="shared" si="5"/>
        <v>0</v>
      </c>
      <c r="J194" s="850">
        <f t="shared" si="4"/>
        <v>4</v>
      </c>
      <c r="K194" s="850" t="str">
        <f>_xlfn.XLOOKUP(A194,'A0.LS'!E:E,'A0.LS'!E:E)</f>
        <v>6428</v>
      </c>
    </row>
    <row r="195" spans="1:11" ht="13.5">
      <c r="A195" s="83" t="s">
        <v>435</v>
      </c>
      <c r="B195" s="84" t="s">
        <v>436</v>
      </c>
      <c r="C195" s="618">
        <v>0</v>
      </c>
      <c r="D195" s="85">
        <v>0</v>
      </c>
      <c r="E195" s="85">
        <v>74322789</v>
      </c>
      <c r="F195" s="618">
        <v>74322789</v>
      </c>
      <c r="G195" s="618">
        <v>0</v>
      </c>
      <c r="H195" s="85">
        <v>0</v>
      </c>
      <c r="I195" s="1160">
        <f t="shared" si="5"/>
        <v>0</v>
      </c>
      <c r="J195" s="850">
        <f t="shared" si="4"/>
        <v>7</v>
      </c>
      <c r="K195" s="850" t="str">
        <f>_xlfn.XLOOKUP(A195,'A0.LS'!E:E,'A0.LS'!E:E)</f>
        <v>6428.01</v>
      </c>
    </row>
    <row r="196" spans="1:11" ht="13.5">
      <c r="A196" s="83" t="s">
        <v>437</v>
      </c>
      <c r="B196" s="84" t="s">
        <v>302</v>
      </c>
      <c r="C196" s="618">
        <v>0</v>
      </c>
      <c r="D196" s="85">
        <v>0</v>
      </c>
      <c r="E196" s="85">
        <v>1021484</v>
      </c>
      <c r="F196" s="618">
        <v>1021484</v>
      </c>
      <c r="G196" s="618">
        <v>0</v>
      </c>
      <c r="H196" s="85">
        <v>0</v>
      </c>
      <c r="I196" s="1160">
        <f t="shared" si="5"/>
        <v>0</v>
      </c>
      <c r="J196" s="850">
        <f t="shared" si="4"/>
        <v>7</v>
      </c>
      <c r="K196" s="850" t="str">
        <f>_xlfn.XLOOKUP(A196,'A0.LS'!E:E,'A0.LS'!E:E)</f>
        <v>6428.02</v>
      </c>
    </row>
    <row r="197" spans="1:11" ht="13.5">
      <c r="A197" s="80" t="s">
        <v>442</v>
      </c>
      <c r="B197" s="81" t="s">
        <v>443</v>
      </c>
      <c r="C197" s="617">
        <v>0</v>
      </c>
      <c r="D197" s="82">
        <v>0</v>
      </c>
      <c r="E197" s="82">
        <v>1000002</v>
      </c>
      <c r="F197" s="617">
        <v>1000002</v>
      </c>
      <c r="G197" s="617">
        <v>0</v>
      </c>
      <c r="H197" s="82">
        <v>0</v>
      </c>
      <c r="I197" s="1160">
        <f t="shared" si="5"/>
        <v>0</v>
      </c>
      <c r="J197" s="850">
        <f t="shared" si="4"/>
        <v>3</v>
      </c>
      <c r="K197" s="850" t="str">
        <f>_xlfn.XLOOKUP(A197,'A0.LS'!E:E,'A0.LS'!E:E)</f>
        <v>711</v>
      </c>
    </row>
    <row r="198" spans="1:11" ht="13.5">
      <c r="A198" s="80" t="s">
        <v>444</v>
      </c>
      <c r="B198" s="81" t="s">
        <v>445</v>
      </c>
      <c r="C198" s="617">
        <v>0</v>
      </c>
      <c r="D198" s="82">
        <v>0</v>
      </c>
      <c r="E198" s="82">
        <v>6763665</v>
      </c>
      <c r="F198" s="617">
        <v>6763665</v>
      </c>
      <c r="G198" s="617">
        <v>0</v>
      </c>
      <c r="H198" s="82">
        <v>0</v>
      </c>
      <c r="I198" s="1160">
        <f t="shared" si="5"/>
        <v>0</v>
      </c>
      <c r="J198" s="850">
        <f t="shared" si="4"/>
        <v>3</v>
      </c>
      <c r="K198" s="850" t="str">
        <f>_xlfn.XLOOKUP(A198,'A0.LS'!E:E,'A0.LS'!E:E)</f>
        <v>811</v>
      </c>
    </row>
    <row r="199" spans="1:11" ht="13.5">
      <c r="A199" s="80" t="s">
        <v>446</v>
      </c>
      <c r="B199" s="81" t="s">
        <v>447</v>
      </c>
      <c r="C199" s="617">
        <v>0</v>
      </c>
      <c r="D199" s="82">
        <v>0</v>
      </c>
      <c r="E199" s="82">
        <v>16831027538</v>
      </c>
      <c r="F199" s="617">
        <v>16831027538</v>
      </c>
      <c r="G199" s="617">
        <v>0</v>
      </c>
      <c r="H199" s="82">
        <v>0</v>
      </c>
      <c r="I199" s="1160">
        <f t="shared" si="5"/>
        <v>0</v>
      </c>
      <c r="J199" s="850">
        <f t="shared" si="4"/>
        <v>3</v>
      </c>
      <c r="K199" s="850" t="e">
        <f>_xlfn.XLOOKUP(A199,'A0.LS'!E:E,'A0.LS'!E:E)</f>
        <v>#N/A</v>
      </c>
    </row>
    <row r="200" spans="1:11">
      <c r="A200" s="850"/>
      <c r="B200" s="850"/>
      <c r="C200" s="850"/>
      <c r="D200" s="850"/>
      <c r="E200" s="850"/>
      <c r="F200" s="850"/>
      <c r="G200" s="850"/>
      <c r="H200" s="850"/>
      <c r="I200" s="850"/>
      <c r="J200" s="850" t="s">
        <v>681</v>
      </c>
      <c r="K200" s="850"/>
    </row>
  </sheetData>
  <autoFilter ref="A6:M200" xr:uid="{CCDD3EC6-DBE5-4A9F-A3C8-F7932C0A2A38}"/>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DE67-378C-4CEE-A501-6F7303F35195}">
  <sheetPr codeName="Sheet11"/>
  <dimension ref="A3:Z833"/>
  <sheetViews>
    <sheetView zoomScale="70" zoomScaleNormal="70" workbookViewId="0">
      <selection activeCell="S7" sqref="S7"/>
    </sheetView>
  </sheetViews>
  <sheetFormatPr defaultColWidth="9.140625" defaultRowHeight="12.75"/>
  <cols>
    <col min="1" max="5" width="9.140625" style="2"/>
    <col min="6" max="6" width="38.42578125" style="2" bestFit="1" customWidth="1"/>
    <col min="7" max="9" width="9.140625" style="2"/>
    <col min="10" max="11" width="13.140625" style="2" bestFit="1" customWidth="1"/>
    <col min="12" max="19" width="9.140625" style="2"/>
    <col min="20" max="20" width="16" style="2" bestFit="1" customWidth="1"/>
    <col min="21" max="23" width="9.140625" style="2"/>
    <col min="24" max="24" width="12.42578125" style="2" bestFit="1" customWidth="1"/>
    <col min="25" max="25" width="15.140625" style="2" bestFit="1" customWidth="1"/>
    <col min="26" max="26" width="15" style="2" bestFit="1" customWidth="1"/>
    <col min="27" max="16384" width="9.140625" style="2"/>
  </cols>
  <sheetData>
    <row r="3" spans="1:26" ht="33.75">
      <c r="A3" s="93" t="s">
        <v>449</v>
      </c>
      <c r="B3" s="93" t="s">
        <v>450</v>
      </c>
      <c r="C3" s="94" t="s">
        <v>451</v>
      </c>
      <c r="D3" s="93" t="s">
        <v>452</v>
      </c>
      <c r="E3" s="94" t="s">
        <v>453</v>
      </c>
      <c r="F3" s="94" t="s">
        <v>455</v>
      </c>
      <c r="G3" s="94" t="s">
        <v>456</v>
      </c>
      <c r="H3" s="94" t="s">
        <v>457</v>
      </c>
      <c r="I3" s="94" t="s">
        <v>749</v>
      </c>
      <c r="J3" s="95" t="s">
        <v>459</v>
      </c>
      <c r="K3" s="95" t="s">
        <v>460</v>
      </c>
      <c r="L3" s="94" t="s">
        <v>461</v>
      </c>
      <c r="M3" s="94" t="s">
        <v>462</v>
      </c>
      <c r="N3" s="94" t="s">
        <v>750</v>
      </c>
      <c r="O3" s="94" t="s">
        <v>751</v>
      </c>
      <c r="P3" s="94" t="s">
        <v>464</v>
      </c>
      <c r="Q3" s="94" t="s">
        <v>465</v>
      </c>
      <c r="R3" s="94" t="s">
        <v>752</v>
      </c>
      <c r="S3" s="94" t="s">
        <v>466</v>
      </c>
      <c r="T3" s="99" t="s">
        <v>499</v>
      </c>
      <c r="U3" s="850"/>
      <c r="V3" s="850"/>
      <c r="W3" s="850"/>
      <c r="X3" s="850"/>
      <c r="Y3" s="850"/>
      <c r="Z3" s="850"/>
    </row>
    <row r="4" spans="1:26">
      <c r="A4" s="96">
        <v>45322</v>
      </c>
      <c r="B4" s="96">
        <v>45322</v>
      </c>
      <c r="C4" s="97" t="s">
        <v>503</v>
      </c>
      <c r="D4" s="96"/>
      <c r="E4" s="97"/>
      <c r="F4" s="97" t="s">
        <v>468</v>
      </c>
      <c r="G4" s="97" t="s">
        <v>446</v>
      </c>
      <c r="H4" s="97" t="s">
        <v>720</v>
      </c>
      <c r="I4" s="97" t="s">
        <v>219</v>
      </c>
      <c r="J4" s="98">
        <v>0</v>
      </c>
      <c r="K4" s="98">
        <v>1444000000</v>
      </c>
      <c r="L4" s="97"/>
      <c r="M4" s="97"/>
      <c r="N4" s="97"/>
      <c r="O4" s="97"/>
      <c r="P4" s="97"/>
      <c r="Q4" s="97" t="s">
        <v>488</v>
      </c>
      <c r="R4" s="97"/>
      <c r="S4" s="97" t="s">
        <v>488</v>
      </c>
      <c r="T4" s="851">
        <f>J4-K4</f>
        <v>-1444000000</v>
      </c>
      <c r="U4" s="850"/>
      <c r="V4" s="850"/>
      <c r="W4" s="850"/>
      <c r="X4" s="850"/>
      <c r="Y4" s="850"/>
      <c r="Z4" s="850"/>
    </row>
    <row r="5" spans="1:26" ht="15">
      <c r="A5" s="96">
        <v>45322</v>
      </c>
      <c r="B5" s="96">
        <v>45322</v>
      </c>
      <c r="C5" s="97" t="s">
        <v>503</v>
      </c>
      <c r="D5" s="96"/>
      <c r="E5" s="97"/>
      <c r="F5" s="97" t="s">
        <v>468</v>
      </c>
      <c r="G5" s="97" t="s">
        <v>446</v>
      </c>
      <c r="H5" s="97" t="s">
        <v>223</v>
      </c>
      <c r="I5" s="97" t="s">
        <v>219</v>
      </c>
      <c r="J5" s="98">
        <v>0</v>
      </c>
      <c r="K5" s="98">
        <v>362519</v>
      </c>
      <c r="L5" s="97"/>
      <c r="M5" s="97"/>
      <c r="N5" s="97"/>
      <c r="O5" s="97"/>
      <c r="P5" s="97"/>
      <c r="Q5" s="97" t="s">
        <v>488</v>
      </c>
      <c r="R5" s="97"/>
      <c r="S5" s="97" t="s">
        <v>488</v>
      </c>
      <c r="T5" s="851">
        <f t="shared" ref="T5:T68" si="0">J5-K5</f>
        <v>-362519</v>
      </c>
      <c r="U5" s="850"/>
      <c r="V5" s="850"/>
      <c r="W5" s="850"/>
      <c r="X5" s="256" t="s">
        <v>749</v>
      </c>
      <c r="Y5" t="s">
        <v>305</v>
      </c>
      <c r="Z5" s="850"/>
    </row>
    <row r="6" spans="1:26">
      <c r="A6" s="96">
        <v>45322</v>
      </c>
      <c r="B6" s="96">
        <v>45322</v>
      </c>
      <c r="C6" s="97" t="s">
        <v>503</v>
      </c>
      <c r="D6" s="96"/>
      <c r="E6" s="97"/>
      <c r="F6" s="97" t="s">
        <v>468</v>
      </c>
      <c r="G6" s="97" t="s">
        <v>446</v>
      </c>
      <c r="H6" s="97" t="s">
        <v>225</v>
      </c>
      <c r="I6" s="97" t="s">
        <v>219</v>
      </c>
      <c r="J6" s="98">
        <v>0</v>
      </c>
      <c r="K6" s="98">
        <v>3456000</v>
      </c>
      <c r="L6" s="97"/>
      <c r="M6" s="97"/>
      <c r="N6" s="97"/>
      <c r="O6" s="97"/>
      <c r="P6" s="97"/>
      <c r="Q6" s="97" t="s">
        <v>488</v>
      </c>
      <c r="R6" s="97"/>
      <c r="S6" s="97" t="s">
        <v>488</v>
      </c>
      <c r="T6" s="851">
        <f t="shared" si="0"/>
        <v>-3456000</v>
      </c>
      <c r="U6" s="850"/>
      <c r="V6" s="850"/>
      <c r="W6" s="850"/>
      <c r="X6" s="850"/>
      <c r="Y6" s="850"/>
      <c r="Z6" s="850"/>
    </row>
    <row r="7" spans="1:26" ht="15">
      <c r="A7" s="96">
        <v>45322</v>
      </c>
      <c r="B7" s="96">
        <v>45322</v>
      </c>
      <c r="C7" s="97" t="s">
        <v>503</v>
      </c>
      <c r="D7" s="96"/>
      <c r="E7" s="97"/>
      <c r="F7" s="97" t="s">
        <v>468</v>
      </c>
      <c r="G7" s="97" t="s">
        <v>446</v>
      </c>
      <c r="H7" s="97" t="s">
        <v>227</v>
      </c>
      <c r="I7" s="97" t="s">
        <v>219</v>
      </c>
      <c r="J7" s="98">
        <v>0</v>
      </c>
      <c r="K7" s="98">
        <v>11538000</v>
      </c>
      <c r="L7" s="97"/>
      <c r="M7" s="97"/>
      <c r="N7" s="97"/>
      <c r="O7" s="97"/>
      <c r="P7" s="97"/>
      <c r="Q7" s="97" t="s">
        <v>488</v>
      </c>
      <c r="R7" s="97"/>
      <c r="S7" s="97" t="s">
        <v>488</v>
      </c>
      <c r="T7" s="851">
        <f t="shared" si="0"/>
        <v>-11538000</v>
      </c>
      <c r="U7" s="850"/>
      <c r="V7" s="850"/>
      <c r="W7" s="850"/>
      <c r="X7" s="256" t="s">
        <v>469</v>
      </c>
      <c r="Y7" t="s">
        <v>500</v>
      </c>
      <c r="Z7"/>
    </row>
    <row r="8" spans="1:26" ht="15">
      <c r="A8" s="96">
        <v>45322</v>
      </c>
      <c r="B8" s="96">
        <v>45322</v>
      </c>
      <c r="C8" s="97" t="s">
        <v>503</v>
      </c>
      <c r="D8" s="96"/>
      <c r="E8" s="97"/>
      <c r="F8" s="97" t="s">
        <v>468</v>
      </c>
      <c r="G8" s="97" t="s">
        <v>446</v>
      </c>
      <c r="H8" s="97" t="s">
        <v>229</v>
      </c>
      <c r="I8" s="97" t="s">
        <v>219</v>
      </c>
      <c r="J8" s="98">
        <v>0</v>
      </c>
      <c r="K8" s="98">
        <v>74228222</v>
      </c>
      <c r="L8" s="97"/>
      <c r="M8" s="97"/>
      <c r="N8" s="97"/>
      <c r="O8" s="97"/>
      <c r="P8" s="97"/>
      <c r="Q8" s="97" t="s">
        <v>488</v>
      </c>
      <c r="R8" s="97"/>
      <c r="S8" s="97" t="s">
        <v>488</v>
      </c>
      <c r="T8" s="851">
        <f t="shared" si="0"/>
        <v>-74228222</v>
      </c>
      <c r="U8" s="850"/>
      <c r="V8" s="850"/>
      <c r="W8" s="850"/>
      <c r="X8" s="257" t="s">
        <v>307</v>
      </c>
      <c r="Y8" s="258">
        <v>58810648534</v>
      </c>
      <c r="Z8"/>
    </row>
    <row r="9" spans="1:26" ht="15">
      <c r="A9" s="96">
        <v>45322</v>
      </c>
      <c r="B9" s="96">
        <v>45322</v>
      </c>
      <c r="C9" s="97" t="s">
        <v>503</v>
      </c>
      <c r="D9" s="96"/>
      <c r="E9" s="97"/>
      <c r="F9" s="97" t="s">
        <v>468</v>
      </c>
      <c r="G9" s="97" t="s">
        <v>446</v>
      </c>
      <c r="H9" s="97" t="s">
        <v>231</v>
      </c>
      <c r="I9" s="97" t="s">
        <v>219</v>
      </c>
      <c r="J9" s="98">
        <v>0</v>
      </c>
      <c r="K9" s="98">
        <v>194741592</v>
      </c>
      <c r="L9" s="97"/>
      <c r="M9" s="97"/>
      <c r="N9" s="97"/>
      <c r="O9" s="97"/>
      <c r="P9" s="97"/>
      <c r="Q9" s="97" t="s">
        <v>488</v>
      </c>
      <c r="R9" s="97"/>
      <c r="S9" s="97" t="s">
        <v>488</v>
      </c>
      <c r="T9" s="851">
        <f t="shared" si="0"/>
        <v>-194741592</v>
      </c>
      <c r="U9" s="850"/>
      <c r="V9" s="850"/>
      <c r="W9" s="850"/>
      <c r="X9" s="257" t="s">
        <v>309</v>
      </c>
      <c r="Y9" s="258">
        <v>-11442977914</v>
      </c>
      <c r="Z9"/>
    </row>
    <row r="10" spans="1:26" ht="15">
      <c r="A10" s="96">
        <v>45322</v>
      </c>
      <c r="B10" s="96">
        <v>45322</v>
      </c>
      <c r="C10" s="97" t="s">
        <v>503</v>
      </c>
      <c r="D10" s="96"/>
      <c r="E10" s="97"/>
      <c r="F10" s="97" t="s">
        <v>468</v>
      </c>
      <c r="G10" s="97" t="s">
        <v>446</v>
      </c>
      <c r="H10" s="97" t="s">
        <v>233</v>
      </c>
      <c r="I10" s="97" t="s">
        <v>219</v>
      </c>
      <c r="J10" s="98">
        <v>0</v>
      </c>
      <c r="K10" s="98">
        <v>1856000</v>
      </c>
      <c r="L10" s="97"/>
      <c r="M10" s="97"/>
      <c r="N10" s="97"/>
      <c r="O10" s="97"/>
      <c r="P10" s="97"/>
      <c r="Q10" s="97" t="s">
        <v>488</v>
      </c>
      <c r="R10" s="97"/>
      <c r="S10" s="97" t="s">
        <v>488</v>
      </c>
      <c r="T10" s="851">
        <f t="shared" si="0"/>
        <v>-1856000</v>
      </c>
      <c r="U10" s="850"/>
      <c r="V10" s="850"/>
      <c r="W10" s="850"/>
      <c r="X10" s="257" t="s">
        <v>313</v>
      </c>
      <c r="Y10" s="258">
        <v>3930683781</v>
      </c>
      <c r="Z10" s="258"/>
    </row>
    <row r="11" spans="1:26" ht="15">
      <c r="A11" s="96">
        <v>45322</v>
      </c>
      <c r="B11" s="96">
        <v>45322</v>
      </c>
      <c r="C11" s="97" t="s">
        <v>503</v>
      </c>
      <c r="D11" s="96"/>
      <c r="E11" s="97"/>
      <c r="F11" s="97" t="s">
        <v>468</v>
      </c>
      <c r="G11" s="97" t="s">
        <v>446</v>
      </c>
      <c r="H11" s="97" t="s">
        <v>235</v>
      </c>
      <c r="I11" s="97" t="s">
        <v>219</v>
      </c>
      <c r="J11" s="98">
        <v>0</v>
      </c>
      <c r="K11" s="98">
        <v>13631087</v>
      </c>
      <c r="L11" s="97"/>
      <c r="M11" s="97"/>
      <c r="N11" s="97"/>
      <c r="O11" s="97"/>
      <c r="P11" s="97"/>
      <c r="Q11" s="97" t="s">
        <v>488</v>
      </c>
      <c r="R11" s="97"/>
      <c r="S11" s="97" t="s">
        <v>488</v>
      </c>
      <c r="T11" s="851">
        <f t="shared" si="0"/>
        <v>-13631087</v>
      </c>
      <c r="U11" s="850"/>
      <c r="V11" s="850"/>
      <c r="W11" s="850"/>
      <c r="X11" s="257" t="s">
        <v>315</v>
      </c>
      <c r="Y11" s="258">
        <v>169175000</v>
      </c>
      <c r="Z11"/>
    </row>
    <row r="12" spans="1:26" ht="15">
      <c r="A12" s="96">
        <v>45322</v>
      </c>
      <c r="B12" s="96">
        <v>45322</v>
      </c>
      <c r="C12" s="97" t="s">
        <v>503</v>
      </c>
      <c r="D12" s="96"/>
      <c r="E12" s="97"/>
      <c r="F12" s="97" t="s">
        <v>468</v>
      </c>
      <c r="G12" s="97" t="s">
        <v>446</v>
      </c>
      <c r="H12" s="97" t="s">
        <v>237</v>
      </c>
      <c r="I12" s="97" t="s">
        <v>219</v>
      </c>
      <c r="J12" s="98">
        <v>0</v>
      </c>
      <c r="K12" s="98">
        <v>132981</v>
      </c>
      <c r="L12" s="97"/>
      <c r="M12" s="97"/>
      <c r="N12" s="97"/>
      <c r="O12" s="97"/>
      <c r="P12" s="97"/>
      <c r="Q12" s="97" t="s">
        <v>488</v>
      </c>
      <c r="R12" s="97"/>
      <c r="S12" s="97" t="s">
        <v>488</v>
      </c>
      <c r="T12" s="851">
        <f t="shared" si="0"/>
        <v>-132981</v>
      </c>
      <c r="U12" s="850"/>
      <c r="V12" s="850"/>
      <c r="W12" s="850"/>
      <c r="X12" s="257" t="s">
        <v>317</v>
      </c>
      <c r="Y12" s="258">
        <v>2071895434</v>
      </c>
      <c r="Z12"/>
    </row>
    <row r="13" spans="1:26" ht="15">
      <c r="A13" s="96">
        <v>45322</v>
      </c>
      <c r="B13" s="96">
        <v>45322</v>
      </c>
      <c r="C13" s="97" t="s">
        <v>503</v>
      </c>
      <c r="D13" s="96"/>
      <c r="E13" s="97"/>
      <c r="F13" s="97" t="s">
        <v>468</v>
      </c>
      <c r="G13" s="97" t="s">
        <v>446</v>
      </c>
      <c r="H13" s="97" t="s">
        <v>239</v>
      </c>
      <c r="I13" s="97" t="s">
        <v>219</v>
      </c>
      <c r="J13" s="98">
        <v>0</v>
      </c>
      <c r="K13" s="98">
        <v>440318</v>
      </c>
      <c r="L13" s="97"/>
      <c r="M13" s="97"/>
      <c r="N13" s="97"/>
      <c r="O13" s="97"/>
      <c r="P13" s="97"/>
      <c r="Q13" s="97" t="s">
        <v>488</v>
      </c>
      <c r="R13" s="97"/>
      <c r="S13" s="97" t="s">
        <v>488</v>
      </c>
      <c r="T13" s="851">
        <f t="shared" si="0"/>
        <v>-440318</v>
      </c>
      <c r="U13" s="850"/>
      <c r="V13" s="850"/>
      <c r="W13" s="850"/>
      <c r="X13" s="257" t="s">
        <v>325</v>
      </c>
      <c r="Y13" s="258">
        <v>43348494</v>
      </c>
      <c r="Z13"/>
    </row>
    <row r="14" spans="1:26" ht="15">
      <c r="A14" s="96">
        <v>45322</v>
      </c>
      <c r="B14" s="96">
        <v>45322</v>
      </c>
      <c r="C14" s="97" t="s">
        <v>503</v>
      </c>
      <c r="D14" s="96"/>
      <c r="E14" s="97"/>
      <c r="F14" s="97" t="s">
        <v>468</v>
      </c>
      <c r="G14" s="97" t="s">
        <v>446</v>
      </c>
      <c r="H14" s="97" t="s">
        <v>241</v>
      </c>
      <c r="I14" s="97" t="s">
        <v>219</v>
      </c>
      <c r="J14" s="98">
        <v>0</v>
      </c>
      <c r="K14" s="98">
        <v>6101313</v>
      </c>
      <c r="L14" s="97"/>
      <c r="M14" s="97"/>
      <c r="N14" s="97"/>
      <c r="O14" s="97"/>
      <c r="P14" s="97"/>
      <c r="Q14" s="97" t="s">
        <v>488</v>
      </c>
      <c r="R14" s="97"/>
      <c r="S14" s="97" t="s">
        <v>488</v>
      </c>
      <c r="T14" s="851">
        <f t="shared" si="0"/>
        <v>-6101313</v>
      </c>
      <c r="U14" s="850"/>
      <c r="V14" s="850"/>
      <c r="W14" s="850"/>
      <c r="X14" s="257" t="s">
        <v>327</v>
      </c>
      <c r="Y14" s="258">
        <v>3166800014</v>
      </c>
      <c r="Z14"/>
    </row>
    <row r="15" spans="1:26" ht="15">
      <c r="A15" s="96">
        <v>45322</v>
      </c>
      <c r="B15" s="96">
        <v>45322</v>
      </c>
      <c r="C15" s="97" t="s">
        <v>503</v>
      </c>
      <c r="D15" s="96"/>
      <c r="E15" s="97"/>
      <c r="F15" s="97" t="s">
        <v>468</v>
      </c>
      <c r="G15" s="97" t="s">
        <v>446</v>
      </c>
      <c r="H15" s="97" t="s">
        <v>243</v>
      </c>
      <c r="I15" s="97" t="s">
        <v>219</v>
      </c>
      <c r="J15" s="98">
        <v>0</v>
      </c>
      <c r="K15" s="98">
        <v>307459459</v>
      </c>
      <c r="L15" s="97"/>
      <c r="M15" s="97"/>
      <c r="N15" s="97"/>
      <c r="O15" s="97"/>
      <c r="P15" s="97"/>
      <c r="Q15" s="97" t="s">
        <v>488</v>
      </c>
      <c r="R15" s="97"/>
      <c r="S15" s="97" t="s">
        <v>488</v>
      </c>
      <c r="T15" s="851">
        <f t="shared" si="0"/>
        <v>-307459459</v>
      </c>
      <c r="U15" s="850"/>
      <c r="V15" s="850"/>
      <c r="W15" s="850"/>
      <c r="X15" s="257" t="s">
        <v>329</v>
      </c>
      <c r="Y15" s="258">
        <v>1466681265</v>
      </c>
      <c r="Z15"/>
    </row>
    <row r="16" spans="1:26" ht="15">
      <c r="A16" s="96">
        <v>45322</v>
      </c>
      <c r="B16" s="96">
        <v>45322</v>
      </c>
      <c r="C16" s="97" t="s">
        <v>503</v>
      </c>
      <c r="D16" s="96"/>
      <c r="E16" s="97"/>
      <c r="F16" s="97" t="s">
        <v>468</v>
      </c>
      <c r="G16" s="97" t="s">
        <v>446</v>
      </c>
      <c r="H16" s="97" t="s">
        <v>245</v>
      </c>
      <c r="I16" s="97" t="s">
        <v>219</v>
      </c>
      <c r="J16" s="98">
        <v>0</v>
      </c>
      <c r="K16" s="98">
        <v>400000</v>
      </c>
      <c r="L16" s="97"/>
      <c r="M16" s="97"/>
      <c r="N16" s="97"/>
      <c r="O16" s="97"/>
      <c r="P16" s="97"/>
      <c r="Q16" s="97" t="s">
        <v>488</v>
      </c>
      <c r="R16" s="97"/>
      <c r="S16" s="97" t="s">
        <v>488</v>
      </c>
      <c r="T16" s="851">
        <f t="shared" si="0"/>
        <v>-400000</v>
      </c>
      <c r="U16" s="850"/>
      <c r="V16" s="850"/>
      <c r="W16" s="850"/>
      <c r="X16" s="257" t="s">
        <v>331</v>
      </c>
      <c r="Y16" s="258">
        <v>703437</v>
      </c>
      <c r="Z16"/>
    </row>
    <row r="17" spans="1:26" ht="15">
      <c r="A17" s="96">
        <v>45322</v>
      </c>
      <c r="B17" s="96">
        <v>45322</v>
      </c>
      <c r="C17" s="97" t="s">
        <v>503</v>
      </c>
      <c r="D17" s="96"/>
      <c r="E17" s="97"/>
      <c r="F17" s="97" t="s">
        <v>472</v>
      </c>
      <c r="G17" s="97" t="s">
        <v>446</v>
      </c>
      <c r="H17" s="97" t="s">
        <v>249</v>
      </c>
      <c r="I17" s="97" t="s">
        <v>247</v>
      </c>
      <c r="J17" s="98">
        <v>0</v>
      </c>
      <c r="K17" s="98">
        <v>11411274436</v>
      </c>
      <c r="L17" s="97"/>
      <c r="M17" s="97"/>
      <c r="N17" s="97"/>
      <c r="O17" s="97"/>
      <c r="P17" s="97"/>
      <c r="Q17" s="97" t="s">
        <v>488</v>
      </c>
      <c r="R17" s="97"/>
      <c r="S17" s="97" t="s">
        <v>488</v>
      </c>
      <c r="T17" s="851">
        <f t="shared" si="0"/>
        <v>-11411274436</v>
      </c>
      <c r="U17" s="850"/>
      <c r="V17" s="850"/>
      <c r="W17" s="850"/>
      <c r="X17" s="257" t="s">
        <v>481</v>
      </c>
      <c r="Y17" s="258">
        <v>58216958045</v>
      </c>
      <c r="Z17"/>
    </row>
    <row r="18" spans="1:26" ht="15">
      <c r="A18" s="96">
        <v>45322</v>
      </c>
      <c r="B18" s="96">
        <v>45322</v>
      </c>
      <c r="C18" s="97" t="s">
        <v>503</v>
      </c>
      <c r="D18" s="96"/>
      <c r="E18" s="97"/>
      <c r="F18" s="97" t="s">
        <v>472</v>
      </c>
      <c r="G18" s="97" t="s">
        <v>446</v>
      </c>
      <c r="H18" s="97" t="s">
        <v>255</v>
      </c>
      <c r="I18" s="97" t="s">
        <v>247</v>
      </c>
      <c r="J18" s="98">
        <v>0</v>
      </c>
      <c r="K18" s="98">
        <v>1678922941</v>
      </c>
      <c r="L18" s="97"/>
      <c r="M18" s="97"/>
      <c r="N18" s="97"/>
      <c r="O18" s="97"/>
      <c r="P18" s="97"/>
      <c r="Q18" s="97" t="s">
        <v>488</v>
      </c>
      <c r="R18" s="97"/>
      <c r="S18" s="97" t="s">
        <v>488</v>
      </c>
      <c r="T18" s="851">
        <f t="shared" si="0"/>
        <v>-1678922941</v>
      </c>
      <c r="U18" s="850"/>
      <c r="V18" s="850"/>
      <c r="W18" s="850"/>
      <c r="X18"/>
      <c r="Y18"/>
      <c r="Z18"/>
    </row>
    <row r="19" spans="1:26" ht="15">
      <c r="A19" s="96">
        <v>45322</v>
      </c>
      <c r="B19" s="96">
        <v>45322</v>
      </c>
      <c r="C19" s="97" t="s">
        <v>503</v>
      </c>
      <c r="D19" s="96"/>
      <c r="E19" s="97"/>
      <c r="F19" s="97" t="s">
        <v>472</v>
      </c>
      <c r="G19" s="97" t="s">
        <v>446</v>
      </c>
      <c r="H19" s="97" t="s">
        <v>257</v>
      </c>
      <c r="I19" s="97" t="s">
        <v>247</v>
      </c>
      <c r="J19" s="98">
        <v>0</v>
      </c>
      <c r="K19" s="98">
        <v>4480000000</v>
      </c>
      <c r="L19" s="97"/>
      <c r="M19" s="97"/>
      <c r="N19" s="97"/>
      <c r="O19" s="97"/>
      <c r="P19" s="97"/>
      <c r="Q19" s="97" t="s">
        <v>488</v>
      </c>
      <c r="R19" s="97"/>
      <c r="S19" s="97" t="s">
        <v>488</v>
      </c>
      <c r="T19" s="851">
        <f t="shared" si="0"/>
        <v>-4480000000</v>
      </c>
      <c r="U19" s="850"/>
      <c r="V19" s="850"/>
      <c r="W19" s="850"/>
      <c r="X19"/>
      <c r="Y19"/>
      <c r="Z19"/>
    </row>
    <row r="20" spans="1:26" ht="15">
      <c r="A20" s="96">
        <v>45322</v>
      </c>
      <c r="B20" s="96">
        <v>45322</v>
      </c>
      <c r="C20" s="97" t="s">
        <v>503</v>
      </c>
      <c r="D20" s="96"/>
      <c r="E20" s="97"/>
      <c r="F20" s="97" t="s">
        <v>472</v>
      </c>
      <c r="G20" s="97" t="s">
        <v>446</v>
      </c>
      <c r="H20" s="97" t="s">
        <v>259</v>
      </c>
      <c r="I20" s="97" t="s">
        <v>247</v>
      </c>
      <c r="J20" s="98">
        <v>0</v>
      </c>
      <c r="K20" s="98">
        <v>2068795725</v>
      </c>
      <c r="L20" s="97"/>
      <c r="M20" s="97"/>
      <c r="N20" s="97"/>
      <c r="O20" s="97"/>
      <c r="P20" s="97"/>
      <c r="Q20" s="97" t="s">
        <v>488</v>
      </c>
      <c r="R20" s="97"/>
      <c r="S20" s="97" t="s">
        <v>488</v>
      </c>
      <c r="T20" s="851">
        <f t="shared" si="0"/>
        <v>-2068795725</v>
      </c>
      <c r="U20" s="850"/>
      <c r="V20" s="850"/>
      <c r="W20" s="850"/>
      <c r="X20"/>
      <c r="Y20"/>
      <c r="Z20"/>
    </row>
    <row r="21" spans="1:26" ht="15">
      <c r="A21" s="96">
        <v>45322</v>
      </c>
      <c r="B21" s="96">
        <v>45322</v>
      </c>
      <c r="C21" s="97" t="s">
        <v>503</v>
      </c>
      <c r="D21" s="96"/>
      <c r="E21" s="97"/>
      <c r="F21" s="97" t="s">
        <v>472</v>
      </c>
      <c r="G21" s="97" t="s">
        <v>446</v>
      </c>
      <c r="H21" s="97" t="s">
        <v>251</v>
      </c>
      <c r="I21" s="97" t="s">
        <v>247</v>
      </c>
      <c r="J21" s="98">
        <v>166632601</v>
      </c>
      <c r="K21" s="98">
        <v>0</v>
      </c>
      <c r="L21" s="97"/>
      <c r="M21" s="97"/>
      <c r="N21" s="97"/>
      <c r="O21" s="97"/>
      <c r="P21" s="97"/>
      <c r="Q21" s="97" t="s">
        <v>488</v>
      </c>
      <c r="R21" s="97"/>
      <c r="S21" s="97" t="s">
        <v>488</v>
      </c>
      <c r="T21" s="851">
        <f t="shared" si="0"/>
        <v>166632601</v>
      </c>
      <c r="U21" s="850"/>
      <c r="V21" s="850"/>
      <c r="W21" s="850"/>
      <c r="X21"/>
      <c r="Y21"/>
      <c r="Z21"/>
    </row>
    <row r="22" spans="1:26" ht="15">
      <c r="A22" s="96">
        <v>45322</v>
      </c>
      <c r="B22" s="96">
        <v>45322</v>
      </c>
      <c r="C22" s="97" t="s">
        <v>503</v>
      </c>
      <c r="D22" s="96"/>
      <c r="E22" s="97"/>
      <c r="F22" s="97" t="s">
        <v>473</v>
      </c>
      <c r="G22" s="97" t="s">
        <v>446</v>
      </c>
      <c r="H22" s="97" t="s">
        <v>303</v>
      </c>
      <c r="I22" s="97" t="s">
        <v>303</v>
      </c>
      <c r="J22" s="98">
        <v>1087727283</v>
      </c>
      <c r="K22" s="98">
        <v>0</v>
      </c>
      <c r="L22" s="97"/>
      <c r="M22" s="97"/>
      <c r="N22" s="97"/>
      <c r="O22" s="97"/>
      <c r="P22" s="97"/>
      <c r="Q22" s="97" t="s">
        <v>488</v>
      </c>
      <c r="R22" s="97"/>
      <c r="S22" s="97" t="s">
        <v>488</v>
      </c>
      <c r="T22" s="851">
        <f t="shared" si="0"/>
        <v>1087727283</v>
      </c>
      <c r="U22" s="850"/>
      <c r="V22" s="850"/>
      <c r="W22" s="850"/>
      <c r="X22"/>
      <c r="Y22"/>
      <c r="Z22"/>
    </row>
    <row r="23" spans="1:26" ht="15">
      <c r="A23" s="96">
        <v>45322</v>
      </c>
      <c r="B23" s="96">
        <v>45322</v>
      </c>
      <c r="C23" s="97" t="s">
        <v>503</v>
      </c>
      <c r="D23" s="96"/>
      <c r="E23" s="97"/>
      <c r="F23" s="97" t="s">
        <v>474</v>
      </c>
      <c r="G23" s="97" t="s">
        <v>446</v>
      </c>
      <c r="H23" s="97" t="s">
        <v>309</v>
      </c>
      <c r="I23" s="97" t="s">
        <v>305</v>
      </c>
      <c r="J23" s="98">
        <v>0</v>
      </c>
      <c r="K23" s="98">
        <v>535288272</v>
      </c>
      <c r="L23" s="97"/>
      <c r="M23" s="97"/>
      <c r="N23" s="97"/>
      <c r="O23" s="97"/>
      <c r="P23" s="97"/>
      <c r="Q23" s="97" t="s">
        <v>488</v>
      </c>
      <c r="R23" s="97"/>
      <c r="S23" s="97" t="s">
        <v>488</v>
      </c>
      <c r="T23" s="851">
        <f t="shared" si="0"/>
        <v>-535288272</v>
      </c>
      <c r="U23" s="850"/>
      <c r="V23" s="850"/>
      <c r="W23" s="850"/>
      <c r="X23"/>
      <c r="Y23"/>
      <c r="Z23"/>
    </row>
    <row r="24" spans="1:26" ht="15">
      <c r="A24" s="96">
        <v>45322</v>
      </c>
      <c r="B24" s="96">
        <v>45322</v>
      </c>
      <c r="C24" s="97" t="s">
        <v>503</v>
      </c>
      <c r="D24" s="96"/>
      <c r="E24" s="97"/>
      <c r="F24" s="97" t="s">
        <v>474</v>
      </c>
      <c r="G24" s="97" t="s">
        <v>446</v>
      </c>
      <c r="H24" s="97" t="s">
        <v>313</v>
      </c>
      <c r="I24" s="97" t="s">
        <v>305</v>
      </c>
      <c r="J24" s="98">
        <v>1046423961</v>
      </c>
      <c r="K24" s="98">
        <v>0</v>
      </c>
      <c r="L24" s="97"/>
      <c r="M24" s="97"/>
      <c r="N24" s="97"/>
      <c r="O24" s="97"/>
      <c r="P24" s="97"/>
      <c r="Q24" s="97" t="s">
        <v>488</v>
      </c>
      <c r="R24" s="97"/>
      <c r="S24" s="97" t="s">
        <v>488</v>
      </c>
      <c r="T24" s="851">
        <f t="shared" si="0"/>
        <v>1046423961</v>
      </c>
      <c r="U24" s="850"/>
      <c r="V24" s="850"/>
      <c r="W24" s="850"/>
      <c r="X24"/>
      <c r="Y24"/>
      <c r="Z24"/>
    </row>
    <row r="25" spans="1:26" ht="15">
      <c r="A25" s="96">
        <v>45322</v>
      </c>
      <c r="B25" s="96">
        <v>45322</v>
      </c>
      <c r="C25" s="97" t="s">
        <v>503</v>
      </c>
      <c r="D25" s="96"/>
      <c r="E25" s="97"/>
      <c r="F25" s="97" t="s">
        <v>474</v>
      </c>
      <c r="G25" s="97" t="s">
        <v>446</v>
      </c>
      <c r="H25" s="97" t="s">
        <v>317</v>
      </c>
      <c r="I25" s="97" t="s">
        <v>305</v>
      </c>
      <c r="J25" s="98">
        <v>295291042</v>
      </c>
      <c r="K25" s="98">
        <v>0</v>
      </c>
      <c r="L25" s="97"/>
      <c r="M25" s="97"/>
      <c r="N25" s="97"/>
      <c r="O25" s="97"/>
      <c r="P25" s="97"/>
      <c r="Q25" s="97" t="s">
        <v>488</v>
      </c>
      <c r="R25" s="97"/>
      <c r="S25" s="97" t="s">
        <v>488</v>
      </c>
      <c r="T25" s="851">
        <f t="shared" si="0"/>
        <v>295291042</v>
      </c>
      <c r="U25" s="850"/>
      <c r="V25" s="850"/>
      <c r="W25" s="850"/>
      <c r="X25"/>
      <c r="Y25"/>
      <c r="Z25" s="850"/>
    </row>
    <row r="26" spans="1:26" ht="15">
      <c r="A26" s="96">
        <v>45322</v>
      </c>
      <c r="B26" s="96">
        <v>45322</v>
      </c>
      <c r="C26" s="97" t="s">
        <v>503</v>
      </c>
      <c r="D26" s="96"/>
      <c r="E26" s="97"/>
      <c r="F26" s="97" t="s">
        <v>474</v>
      </c>
      <c r="G26" s="97" t="s">
        <v>446</v>
      </c>
      <c r="H26" s="97" t="s">
        <v>327</v>
      </c>
      <c r="I26" s="97" t="s">
        <v>305</v>
      </c>
      <c r="J26" s="98">
        <v>234841315</v>
      </c>
      <c r="K26" s="98">
        <v>0</v>
      </c>
      <c r="L26" s="97"/>
      <c r="M26" s="97"/>
      <c r="N26" s="97"/>
      <c r="O26" s="97"/>
      <c r="P26" s="97"/>
      <c r="Q26" s="97" t="s">
        <v>488</v>
      </c>
      <c r="R26" s="97"/>
      <c r="S26" s="97" t="s">
        <v>488</v>
      </c>
      <c r="T26" s="851">
        <f t="shared" si="0"/>
        <v>234841315</v>
      </c>
      <c r="U26" s="850"/>
      <c r="V26" s="850"/>
      <c r="W26" s="850"/>
      <c r="X26"/>
      <c r="Y26"/>
      <c r="Z26" s="850"/>
    </row>
    <row r="27" spans="1:26" ht="15">
      <c r="A27" s="96">
        <v>45322</v>
      </c>
      <c r="B27" s="96">
        <v>45322</v>
      </c>
      <c r="C27" s="97" t="s">
        <v>503</v>
      </c>
      <c r="D27" s="96"/>
      <c r="E27" s="97"/>
      <c r="F27" s="97" t="s">
        <v>474</v>
      </c>
      <c r="G27" s="97" t="s">
        <v>446</v>
      </c>
      <c r="H27" s="97" t="s">
        <v>329</v>
      </c>
      <c r="I27" s="97" t="s">
        <v>305</v>
      </c>
      <c r="J27" s="98">
        <v>277108158</v>
      </c>
      <c r="K27" s="98">
        <v>0</v>
      </c>
      <c r="L27" s="97"/>
      <c r="M27" s="97"/>
      <c r="N27" s="97"/>
      <c r="O27" s="97"/>
      <c r="P27" s="97"/>
      <c r="Q27" s="97" t="s">
        <v>488</v>
      </c>
      <c r="R27" s="97"/>
      <c r="S27" s="97" t="s">
        <v>488</v>
      </c>
      <c r="T27" s="851">
        <f t="shared" si="0"/>
        <v>277108158</v>
      </c>
      <c r="U27" s="850"/>
      <c r="V27" s="850"/>
      <c r="W27" s="850"/>
      <c r="X27"/>
      <c r="Y27"/>
      <c r="Z27" s="850"/>
    </row>
    <row r="28" spans="1:26" ht="15">
      <c r="A28" s="96">
        <v>45322</v>
      </c>
      <c r="B28" s="96">
        <v>45322</v>
      </c>
      <c r="C28" s="97" t="s">
        <v>503</v>
      </c>
      <c r="D28" s="96"/>
      <c r="E28" s="97"/>
      <c r="F28" s="97" t="s">
        <v>474</v>
      </c>
      <c r="G28" s="97" t="s">
        <v>446</v>
      </c>
      <c r="H28" s="97" t="s">
        <v>307</v>
      </c>
      <c r="I28" s="97" t="s">
        <v>305</v>
      </c>
      <c r="J28" s="98">
        <v>9103937807</v>
      </c>
      <c r="K28" s="98">
        <v>0</v>
      </c>
      <c r="L28" s="97"/>
      <c r="M28" s="97"/>
      <c r="N28" s="97"/>
      <c r="O28" s="97"/>
      <c r="P28" s="97"/>
      <c r="Q28" s="97" t="s">
        <v>488</v>
      </c>
      <c r="R28" s="97"/>
      <c r="S28" s="97" t="s">
        <v>488</v>
      </c>
      <c r="T28" s="851">
        <f t="shared" si="0"/>
        <v>9103937807</v>
      </c>
      <c r="U28" s="850"/>
      <c r="V28" s="850"/>
      <c r="W28" s="850"/>
      <c r="X28"/>
      <c r="Y28"/>
      <c r="Z28" s="850"/>
    </row>
    <row r="29" spans="1:26" ht="15">
      <c r="A29" s="96">
        <v>45322</v>
      </c>
      <c r="B29" s="96">
        <v>45322</v>
      </c>
      <c r="C29" s="97" t="s">
        <v>503</v>
      </c>
      <c r="D29" s="96"/>
      <c r="E29" s="97"/>
      <c r="F29" s="97" t="s">
        <v>475</v>
      </c>
      <c r="G29" s="97" t="s">
        <v>446</v>
      </c>
      <c r="H29" s="97" t="s">
        <v>337</v>
      </c>
      <c r="I29" s="97" t="s">
        <v>333</v>
      </c>
      <c r="J29" s="98">
        <v>15318585</v>
      </c>
      <c r="K29" s="98">
        <v>0</v>
      </c>
      <c r="L29" s="97"/>
      <c r="M29" s="97"/>
      <c r="N29" s="97"/>
      <c r="O29" s="97"/>
      <c r="P29" s="97"/>
      <c r="Q29" s="97" t="s">
        <v>488</v>
      </c>
      <c r="R29" s="97"/>
      <c r="S29" s="97" t="s">
        <v>488</v>
      </c>
      <c r="T29" s="851">
        <f t="shared" si="0"/>
        <v>15318585</v>
      </c>
      <c r="U29" s="850"/>
      <c r="V29" s="850"/>
      <c r="W29" s="850"/>
      <c r="X29"/>
      <c r="Y29"/>
      <c r="Z29" s="850"/>
    </row>
    <row r="30" spans="1:26" ht="15">
      <c r="A30" s="96">
        <v>45322</v>
      </c>
      <c r="B30" s="96">
        <v>45322</v>
      </c>
      <c r="C30" s="97" t="s">
        <v>503</v>
      </c>
      <c r="D30" s="96"/>
      <c r="E30" s="97"/>
      <c r="F30" s="97" t="s">
        <v>475</v>
      </c>
      <c r="G30" s="97" t="s">
        <v>446</v>
      </c>
      <c r="H30" s="97" t="s">
        <v>343</v>
      </c>
      <c r="I30" s="97" t="s">
        <v>333</v>
      </c>
      <c r="J30" s="98">
        <v>5814470</v>
      </c>
      <c r="K30" s="98">
        <v>0</v>
      </c>
      <c r="L30" s="97"/>
      <c r="M30" s="97"/>
      <c r="N30" s="97"/>
      <c r="O30" s="97"/>
      <c r="P30" s="97"/>
      <c r="Q30" s="97" t="s">
        <v>488</v>
      </c>
      <c r="R30" s="97"/>
      <c r="S30" s="97" t="s">
        <v>488</v>
      </c>
      <c r="T30" s="851">
        <f t="shared" si="0"/>
        <v>5814470</v>
      </c>
      <c r="U30" s="850"/>
      <c r="V30" s="850"/>
      <c r="W30" s="850"/>
      <c r="X30"/>
      <c r="Y30"/>
      <c r="Z30" s="850"/>
    </row>
    <row r="31" spans="1:26" ht="15">
      <c r="A31" s="96">
        <v>45322</v>
      </c>
      <c r="B31" s="96">
        <v>45322</v>
      </c>
      <c r="C31" s="97" t="s">
        <v>503</v>
      </c>
      <c r="D31" s="96"/>
      <c r="E31" s="97"/>
      <c r="F31" s="97" t="s">
        <v>475</v>
      </c>
      <c r="G31" s="97" t="s">
        <v>446</v>
      </c>
      <c r="H31" s="97" t="s">
        <v>345</v>
      </c>
      <c r="I31" s="97" t="s">
        <v>333</v>
      </c>
      <c r="J31" s="98">
        <v>3870417</v>
      </c>
      <c r="K31" s="98">
        <v>0</v>
      </c>
      <c r="L31" s="97"/>
      <c r="M31" s="97"/>
      <c r="N31" s="97"/>
      <c r="O31" s="97"/>
      <c r="P31" s="97"/>
      <c r="Q31" s="97" t="s">
        <v>488</v>
      </c>
      <c r="R31" s="97"/>
      <c r="S31" s="97" t="s">
        <v>488</v>
      </c>
      <c r="T31" s="851">
        <f t="shared" si="0"/>
        <v>3870417</v>
      </c>
      <c r="U31" s="850"/>
      <c r="V31" s="850"/>
      <c r="W31" s="850"/>
      <c r="X31"/>
      <c r="Y31"/>
      <c r="Z31" s="850"/>
    </row>
    <row r="32" spans="1:26" ht="15">
      <c r="A32" s="96">
        <v>45322</v>
      </c>
      <c r="B32" s="96">
        <v>45322</v>
      </c>
      <c r="C32" s="97" t="s">
        <v>503</v>
      </c>
      <c r="D32" s="96"/>
      <c r="E32" s="97"/>
      <c r="F32" s="97" t="s">
        <v>475</v>
      </c>
      <c r="G32" s="97" t="s">
        <v>446</v>
      </c>
      <c r="H32" s="97" t="s">
        <v>348</v>
      </c>
      <c r="I32" s="97" t="s">
        <v>333</v>
      </c>
      <c r="J32" s="98">
        <v>174908544</v>
      </c>
      <c r="K32" s="98">
        <v>0</v>
      </c>
      <c r="L32" s="97"/>
      <c r="M32" s="97"/>
      <c r="N32" s="97"/>
      <c r="O32" s="97"/>
      <c r="P32" s="97"/>
      <c r="Q32" s="97" t="s">
        <v>488</v>
      </c>
      <c r="R32" s="97"/>
      <c r="S32" s="97" t="s">
        <v>488</v>
      </c>
      <c r="T32" s="851">
        <f t="shared" si="0"/>
        <v>174908544</v>
      </c>
      <c r="U32" s="850"/>
      <c r="V32" s="850"/>
      <c r="W32" s="850"/>
      <c r="X32"/>
      <c r="Y32"/>
      <c r="Z32" s="850"/>
    </row>
    <row r="33" spans="1:25" ht="15">
      <c r="A33" s="96">
        <v>45322</v>
      </c>
      <c r="B33" s="96">
        <v>45322</v>
      </c>
      <c r="C33" s="97" t="s">
        <v>503</v>
      </c>
      <c r="D33" s="96"/>
      <c r="E33" s="97"/>
      <c r="F33" s="97" t="s">
        <v>475</v>
      </c>
      <c r="G33" s="97" t="s">
        <v>446</v>
      </c>
      <c r="H33" s="97" t="s">
        <v>350</v>
      </c>
      <c r="I33" s="97" t="s">
        <v>333</v>
      </c>
      <c r="J33" s="98">
        <v>33443210</v>
      </c>
      <c r="K33" s="98">
        <v>0</v>
      </c>
      <c r="L33" s="97"/>
      <c r="M33" s="97"/>
      <c r="N33" s="97"/>
      <c r="O33" s="97"/>
      <c r="P33" s="97"/>
      <c r="Q33" s="97" t="s">
        <v>488</v>
      </c>
      <c r="R33" s="97"/>
      <c r="S33" s="97" t="s">
        <v>488</v>
      </c>
      <c r="T33" s="851">
        <f t="shared" si="0"/>
        <v>33443210</v>
      </c>
      <c r="U33" s="850"/>
      <c r="V33" s="850"/>
      <c r="W33" s="850"/>
      <c r="X33"/>
      <c r="Y33"/>
    </row>
    <row r="34" spans="1:25" ht="15">
      <c r="A34" s="96">
        <v>45322</v>
      </c>
      <c r="B34" s="96">
        <v>45322</v>
      </c>
      <c r="C34" s="97" t="s">
        <v>503</v>
      </c>
      <c r="D34" s="96"/>
      <c r="E34" s="97"/>
      <c r="F34" s="97" t="s">
        <v>475</v>
      </c>
      <c r="G34" s="97" t="s">
        <v>446</v>
      </c>
      <c r="H34" s="97" t="s">
        <v>352</v>
      </c>
      <c r="I34" s="97" t="s">
        <v>333</v>
      </c>
      <c r="J34" s="98">
        <v>1200000</v>
      </c>
      <c r="K34" s="98">
        <v>0</v>
      </c>
      <c r="L34" s="97"/>
      <c r="M34" s="97"/>
      <c r="N34" s="97"/>
      <c r="O34" s="97"/>
      <c r="P34" s="97"/>
      <c r="Q34" s="97" t="s">
        <v>488</v>
      </c>
      <c r="R34" s="97"/>
      <c r="S34" s="97" t="s">
        <v>488</v>
      </c>
      <c r="T34" s="851">
        <f t="shared" si="0"/>
        <v>1200000</v>
      </c>
      <c r="U34" s="850"/>
      <c r="V34" s="850"/>
      <c r="W34" s="850"/>
      <c r="X34"/>
      <c r="Y34"/>
    </row>
    <row r="35" spans="1:25" ht="15">
      <c r="A35" s="96">
        <v>45322</v>
      </c>
      <c r="B35" s="96">
        <v>45322</v>
      </c>
      <c r="C35" s="97" t="s">
        <v>503</v>
      </c>
      <c r="D35" s="96"/>
      <c r="E35" s="97"/>
      <c r="F35" s="97" t="s">
        <v>475</v>
      </c>
      <c r="G35" s="97" t="s">
        <v>446</v>
      </c>
      <c r="H35" s="97" t="s">
        <v>354</v>
      </c>
      <c r="I35" s="97" t="s">
        <v>333</v>
      </c>
      <c r="J35" s="98">
        <v>2629091</v>
      </c>
      <c r="K35" s="98">
        <v>0</v>
      </c>
      <c r="L35" s="97"/>
      <c r="M35" s="97"/>
      <c r="N35" s="97"/>
      <c r="O35" s="97"/>
      <c r="P35" s="97"/>
      <c r="Q35" s="97" t="s">
        <v>488</v>
      </c>
      <c r="R35" s="97"/>
      <c r="S35" s="97" t="s">
        <v>488</v>
      </c>
      <c r="T35" s="851">
        <f t="shared" si="0"/>
        <v>2629091</v>
      </c>
      <c r="U35" s="850"/>
      <c r="V35" s="850"/>
      <c r="W35" s="850"/>
      <c r="X35"/>
      <c r="Y35"/>
    </row>
    <row r="36" spans="1:25" ht="15">
      <c r="A36" s="96">
        <v>45322</v>
      </c>
      <c r="B36" s="96">
        <v>45322</v>
      </c>
      <c r="C36" s="97" t="s">
        <v>503</v>
      </c>
      <c r="D36" s="96"/>
      <c r="E36" s="97"/>
      <c r="F36" s="97" t="s">
        <v>475</v>
      </c>
      <c r="G36" s="97" t="s">
        <v>446</v>
      </c>
      <c r="H36" s="97" t="s">
        <v>361</v>
      </c>
      <c r="I36" s="97" t="s">
        <v>333</v>
      </c>
      <c r="J36" s="98">
        <v>31076376</v>
      </c>
      <c r="K36" s="98">
        <v>0</v>
      </c>
      <c r="L36" s="97"/>
      <c r="M36" s="97"/>
      <c r="N36" s="97"/>
      <c r="O36" s="97"/>
      <c r="P36" s="97"/>
      <c r="Q36" s="97" t="s">
        <v>488</v>
      </c>
      <c r="R36" s="97"/>
      <c r="S36" s="97" t="s">
        <v>488</v>
      </c>
      <c r="T36" s="851">
        <f t="shared" si="0"/>
        <v>31076376</v>
      </c>
      <c r="U36" s="850"/>
      <c r="V36" s="850"/>
      <c r="W36" s="850"/>
      <c r="X36"/>
      <c r="Y36"/>
    </row>
    <row r="37" spans="1:25" ht="15">
      <c r="A37" s="96">
        <v>45322</v>
      </c>
      <c r="B37" s="96">
        <v>45322</v>
      </c>
      <c r="C37" s="97" t="s">
        <v>503</v>
      </c>
      <c r="D37" s="96"/>
      <c r="E37" s="97"/>
      <c r="F37" s="97" t="s">
        <v>475</v>
      </c>
      <c r="G37" s="97" t="s">
        <v>446</v>
      </c>
      <c r="H37" s="97" t="s">
        <v>363</v>
      </c>
      <c r="I37" s="97" t="s">
        <v>333</v>
      </c>
      <c r="J37" s="98">
        <v>3125252</v>
      </c>
      <c r="K37" s="98">
        <v>0</v>
      </c>
      <c r="L37" s="97"/>
      <c r="M37" s="97"/>
      <c r="N37" s="97"/>
      <c r="O37" s="97"/>
      <c r="P37" s="97"/>
      <c r="Q37" s="97" t="s">
        <v>488</v>
      </c>
      <c r="R37" s="97"/>
      <c r="S37" s="97" t="s">
        <v>488</v>
      </c>
      <c r="T37" s="851">
        <f t="shared" si="0"/>
        <v>3125252</v>
      </c>
      <c r="U37" s="850"/>
      <c r="V37" s="850"/>
      <c r="W37" s="850"/>
      <c r="X37"/>
      <c r="Y37"/>
    </row>
    <row r="38" spans="1:25" ht="15">
      <c r="A38" s="96">
        <v>45322</v>
      </c>
      <c r="B38" s="96">
        <v>45322</v>
      </c>
      <c r="C38" s="97" t="s">
        <v>503</v>
      </c>
      <c r="D38" s="96"/>
      <c r="E38" s="97"/>
      <c r="F38" s="97" t="s">
        <v>475</v>
      </c>
      <c r="G38" s="97" t="s">
        <v>446</v>
      </c>
      <c r="H38" s="97" t="s">
        <v>370</v>
      </c>
      <c r="I38" s="97" t="s">
        <v>333</v>
      </c>
      <c r="J38" s="98">
        <v>21923338</v>
      </c>
      <c r="K38" s="98">
        <v>0</v>
      </c>
      <c r="L38" s="97"/>
      <c r="M38" s="97"/>
      <c r="N38" s="97"/>
      <c r="O38" s="97"/>
      <c r="P38" s="97"/>
      <c r="Q38" s="97" t="s">
        <v>488</v>
      </c>
      <c r="R38" s="97"/>
      <c r="S38" s="97" t="s">
        <v>488</v>
      </c>
      <c r="T38" s="851">
        <f t="shared" si="0"/>
        <v>21923338</v>
      </c>
      <c r="U38" s="850"/>
      <c r="V38" s="850"/>
      <c r="W38" s="850"/>
      <c r="X38"/>
      <c r="Y38"/>
    </row>
    <row r="39" spans="1:25" ht="15">
      <c r="A39" s="96">
        <v>45322</v>
      </c>
      <c r="B39" s="96">
        <v>45322</v>
      </c>
      <c r="C39" s="97" t="s">
        <v>503</v>
      </c>
      <c r="D39" s="96"/>
      <c r="E39" s="97"/>
      <c r="F39" s="97" t="s">
        <v>475</v>
      </c>
      <c r="G39" s="97" t="s">
        <v>446</v>
      </c>
      <c r="H39" s="97" t="s">
        <v>372</v>
      </c>
      <c r="I39" s="97" t="s">
        <v>333</v>
      </c>
      <c r="J39" s="98">
        <v>2611111</v>
      </c>
      <c r="K39" s="98">
        <v>0</v>
      </c>
      <c r="L39" s="97"/>
      <c r="M39" s="97"/>
      <c r="N39" s="97"/>
      <c r="O39" s="97"/>
      <c r="P39" s="97"/>
      <c r="Q39" s="97" t="s">
        <v>488</v>
      </c>
      <c r="R39" s="97"/>
      <c r="S39" s="97" t="s">
        <v>488</v>
      </c>
      <c r="T39" s="851">
        <f t="shared" si="0"/>
        <v>2611111</v>
      </c>
      <c r="U39" s="850"/>
      <c r="V39" s="850"/>
      <c r="W39" s="850"/>
      <c r="X39"/>
      <c r="Y39"/>
    </row>
    <row r="40" spans="1:25" ht="15">
      <c r="A40" s="96">
        <v>45322</v>
      </c>
      <c r="B40" s="96">
        <v>45322</v>
      </c>
      <c r="C40" s="97" t="s">
        <v>503</v>
      </c>
      <c r="D40" s="96"/>
      <c r="E40" s="97"/>
      <c r="F40" s="97" t="s">
        <v>476</v>
      </c>
      <c r="G40" s="97" t="s">
        <v>446</v>
      </c>
      <c r="H40" s="97" t="s">
        <v>378</v>
      </c>
      <c r="I40" s="97" t="s">
        <v>374</v>
      </c>
      <c r="J40" s="98">
        <v>244326249</v>
      </c>
      <c r="K40" s="98">
        <v>0</v>
      </c>
      <c r="L40" s="97"/>
      <c r="M40" s="97"/>
      <c r="N40" s="97"/>
      <c r="O40" s="97"/>
      <c r="P40" s="97"/>
      <c r="Q40" s="97" t="s">
        <v>488</v>
      </c>
      <c r="R40" s="97"/>
      <c r="S40" s="97" t="s">
        <v>488</v>
      </c>
      <c r="T40" s="851">
        <f t="shared" si="0"/>
        <v>244326249</v>
      </c>
      <c r="U40" s="850"/>
      <c r="V40" s="850"/>
      <c r="W40" s="850"/>
      <c r="X40"/>
      <c r="Y40"/>
    </row>
    <row r="41" spans="1:25" ht="15">
      <c r="A41" s="96">
        <v>45322</v>
      </c>
      <c r="B41" s="96">
        <v>45322</v>
      </c>
      <c r="C41" s="97" t="s">
        <v>503</v>
      </c>
      <c r="D41" s="96"/>
      <c r="E41" s="97"/>
      <c r="F41" s="97" t="s">
        <v>476</v>
      </c>
      <c r="G41" s="97" t="s">
        <v>446</v>
      </c>
      <c r="H41" s="97" t="s">
        <v>379</v>
      </c>
      <c r="I41" s="97" t="s">
        <v>374</v>
      </c>
      <c r="J41" s="98">
        <v>16958000</v>
      </c>
      <c r="K41" s="98">
        <v>0</v>
      </c>
      <c r="L41" s="97"/>
      <c r="M41" s="97"/>
      <c r="N41" s="97"/>
      <c r="O41" s="97"/>
      <c r="P41" s="97"/>
      <c r="Q41" s="97" t="s">
        <v>488</v>
      </c>
      <c r="R41" s="97"/>
      <c r="S41" s="97" t="s">
        <v>488</v>
      </c>
      <c r="T41" s="851">
        <f t="shared" si="0"/>
        <v>16958000</v>
      </c>
      <c r="U41" s="850"/>
      <c r="V41" s="850"/>
      <c r="W41" s="850"/>
      <c r="X41"/>
      <c r="Y41"/>
    </row>
    <row r="42" spans="1:25" ht="15">
      <c r="A42" s="96">
        <v>45322</v>
      </c>
      <c r="B42" s="96">
        <v>45322</v>
      </c>
      <c r="C42" s="97" t="s">
        <v>503</v>
      </c>
      <c r="D42" s="96"/>
      <c r="E42" s="97"/>
      <c r="F42" s="97" t="s">
        <v>476</v>
      </c>
      <c r="G42" s="97" t="s">
        <v>446</v>
      </c>
      <c r="H42" s="97" t="s">
        <v>380</v>
      </c>
      <c r="I42" s="97" t="s">
        <v>374</v>
      </c>
      <c r="J42" s="98">
        <v>39601478</v>
      </c>
      <c r="K42" s="98">
        <v>0</v>
      </c>
      <c r="L42" s="97"/>
      <c r="M42" s="97"/>
      <c r="N42" s="97"/>
      <c r="O42" s="97"/>
      <c r="P42" s="97"/>
      <c r="Q42" s="97" t="s">
        <v>488</v>
      </c>
      <c r="R42" s="97"/>
      <c r="S42" s="97" t="s">
        <v>488</v>
      </c>
      <c r="T42" s="851">
        <f t="shared" si="0"/>
        <v>39601478</v>
      </c>
      <c r="U42" s="850"/>
      <c r="V42" s="850"/>
      <c r="W42" s="850"/>
      <c r="X42"/>
      <c r="Y42"/>
    </row>
    <row r="43" spans="1:25" ht="15">
      <c r="A43" s="96">
        <v>45322</v>
      </c>
      <c r="B43" s="96">
        <v>45322</v>
      </c>
      <c r="C43" s="97" t="s">
        <v>503</v>
      </c>
      <c r="D43" s="96"/>
      <c r="E43" s="97"/>
      <c r="F43" s="97" t="s">
        <v>476</v>
      </c>
      <c r="G43" s="97" t="s">
        <v>446</v>
      </c>
      <c r="H43" s="97" t="s">
        <v>381</v>
      </c>
      <c r="I43" s="97" t="s">
        <v>374</v>
      </c>
      <c r="J43" s="98">
        <v>51183742</v>
      </c>
      <c r="K43" s="98">
        <v>0</v>
      </c>
      <c r="L43" s="97"/>
      <c r="M43" s="97"/>
      <c r="N43" s="97"/>
      <c r="O43" s="97"/>
      <c r="P43" s="97"/>
      <c r="Q43" s="97" t="s">
        <v>488</v>
      </c>
      <c r="R43" s="97"/>
      <c r="S43" s="97" t="s">
        <v>488</v>
      </c>
      <c r="T43" s="851">
        <f t="shared" si="0"/>
        <v>51183742</v>
      </c>
      <c r="U43" s="850"/>
      <c r="V43" s="850"/>
      <c r="W43" s="850"/>
      <c r="X43"/>
      <c r="Y43"/>
    </row>
    <row r="44" spans="1:25" ht="15">
      <c r="A44" s="96">
        <v>45322</v>
      </c>
      <c r="B44" s="96">
        <v>45322</v>
      </c>
      <c r="C44" s="97" t="s">
        <v>503</v>
      </c>
      <c r="D44" s="96"/>
      <c r="E44" s="97"/>
      <c r="F44" s="97" t="s">
        <v>476</v>
      </c>
      <c r="G44" s="97" t="s">
        <v>446</v>
      </c>
      <c r="H44" s="97" t="s">
        <v>383</v>
      </c>
      <c r="I44" s="97" t="s">
        <v>374</v>
      </c>
      <c r="J44" s="98">
        <v>39554350</v>
      </c>
      <c r="K44" s="98">
        <v>0</v>
      </c>
      <c r="L44" s="97"/>
      <c r="M44" s="97"/>
      <c r="N44" s="97"/>
      <c r="O44" s="97"/>
      <c r="P44" s="97"/>
      <c r="Q44" s="97" t="s">
        <v>488</v>
      </c>
      <c r="R44" s="97"/>
      <c r="S44" s="97" t="s">
        <v>488</v>
      </c>
      <c r="T44" s="851">
        <f t="shared" si="0"/>
        <v>39554350</v>
      </c>
      <c r="U44" s="850"/>
      <c r="V44" s="850"/>
      <c r="W44" s="850"/>
      <c r="X44"/>
      <c r="Y44"/>
    </row>
    <row r="45" spans="1:25" ht="15">
      <c r="A45" s="96">
        <v>45322</v>
      </c>
      <c r="B45" s="96">
        <v>45322</v>
      </c>
      <c r="C45" s="97" t="s">
        <v>503</v>
      </c>
      <c r="D45" s="96"/>
      <c r="E45" s="97"/>
      <c r="F45" s="97" t="s">
        <v>476</v>
      </c>
      <c r="G45" s="97" t="s">
        <v>446</v>
      </c>
      <c r="H45" s="97" t="s">
        <v>384</v>
      </c>
      <c r="I45" s="97" t="s">
        <v>374</v>
      </c>
      <c r="J45" s="98">
        <v>4500000</v>
      </c>
      <c r="K45" s="98">
        <v>0</v>
      </c>
      <c r="L45" s="97"/>
      <c r="M45" s="97"/>
      <c r="N45" s="97"/>
      <c r="O45" s="97"/>
      <c r="P45" s="97"/>
      <c r="Q45" s="97" t="s">
        <v>488</v>
      </c>
      <c r="R45" s="97"/>
      <c r="S45" s="97" t="s">
        <v>488</v>
      </c>
      <c r="T45" s="851">
        <f t="shared" si="0"/>
        <v>4500000</v>
      </c>
      <c r="U45" s="850"/>
      <c r="V45" s="850"/>
      <c r="W45" s="850"/>
      <c r="X45"/>
      <c r="Y45"/>
    </row>
    <row r="46" spans="1:25" ht="15">
      <c r="A46" s="96">
        <v>45322</v>
      </c>
      <c r="B46" s="96">
        <v>45322</v>
      </c>
      <c r="C46" s="97" t="s">
        <v>503</v>
      </c>
      <c r="D46" s="96"/>
      <c r="E46" s="97"/>
      <c r="F46" s="97" t="s">
        <v>476</v>
      </c>
      <c r="G46" s="97" t="s">
        <v>446</v>
      </c>
      <c r="H46" s="97" t="s">
        <v>387</v>
      </c>
      <c r="I46" s="97" t="s">
        <v>374</v>
      </c>
      <c r="J46" s="98">
        <v>206123465</v>
      </c>
      <c r="K46" s="98">
        <v>0</v>
      </c>
      <c r="L46" s="97"/>
      <c r="M46" s="97"/>
      <c r="N46" s="97"/>
      <c r="O46" s="97"/>
      <c r="P46" s="97"/>
      <c r="Q46" s="97" t="s">
        <v>488</v>
      </c>
      <c r="R46" s="97"/>
      <c r="S46" s="97" t="s">
        <v>488</v>
      </c>
      <c r="T46" s="851">
        <f t="shared" si="0"/>
        <v>206123465</v>
      </c>
      <c r="U46" s="850"/>
      <c r="V46" s="850"/>
      <c r="W46" s="850"/>
      <c r="X46"/>
      <c r="Y46"/>
    </row>
    <row r="47" spans="1:25" ht="15">
      <c r="A47" s="96">
        <v>45322</v>
      </c>
      <c r="B47" s="96">
        <v>45322</v>
      </c>
      <c r="C47" s="97" t="s">
        <v>503</v>
      </c>
      <c r="D47" s="96"/>
      <c r="E47" s="97"/>
      <c r="F47" s="97" t="s">
        <v>476</v>
      </c>
      <c r="G47" s="97" t="s">
        <v>446</v>
      </c>
      <c r="H47" s="97" t="s">
        <v>389</v>
      </c>
      <c r="I47" s="97" t="s">
        <v>374</v>
      </c>
      <c r="J47" s="98">
        <v>12609887</v>
      </c>
      <c r="K47" s="98">
        <v>0</v>
      </c>
      <c r="L47" s="97"/>
      <c r="M47" s="97"/>
      <c r="N47" s="97"/>
      <c r="O47" s="97"/>
      <c r="P47" s="97"/>
      <c r="Q47" s="97" t="s">
        <v>488</v>
      </c>
      <c r="R47" s="97"/>
      <c r="S47" s="97" t="s">
        <v>488</v>
      </c>
      <c r="T47" s="851">
        <f t="shared" si="0"/>
        <v>12609887</v>
      </c>
      <c r="U47" s="850"/>
      <c r="V47" s="850"/>
      <c r="W47" s="850"/>
      <c r="X47"/>
      <c r="Y47"/>
    </row>
    <row r="48" spans="1:25" ht="15">
      <c r="A48" s="96">
        <v>45322</v>
      </c>
      <c r="B48" s="96">
        <v>45322</v>
      </c>
      <c r="C48" s="97" t="s">
        <v>503</v>
      </c>
      <c r="D48" s="96"/>
      <c r="E48" s="97"/>
      <c r="F48" s="97" t="s">
        <v>476</v>
      </c>
      <c r="G48" s="97" t="s">
        <v>446</v>
      </c>
      <c r="H48" s="97" t="s">
        <v>391</v>
      </c>
      <c r="I48" s="97" t="s">
        <v>374</v>
      </c>
      <c r="J48" s="98">
        <v>2455922</v>
      </c>
      <c r="K48" s="98">
        <v>0</v>
      </c>
      <c r="L48" s="97"/>
      <c r="M48" s="97"/>
      <c r="N48" s="97"/>
      <c r="O48" s="97"/>
      <c r="P48" s="97"/>
      <c r="Q48" s="97" t="s">
        <v>488</v>
      </c>
      <c r="R48" s="97"/>
      <c r="S48" s="97" t="s">
        <v>488</v>
      </c>
      <c r="T48" s="851">
        <f t="shared" si="0"/>
        <v>2455922</v>
      </c>
      <c r="U48" s="850"/>
      <c r="V48" s="850"/>
      <c r="W48" s="850"/>
      <c r="X48"/>
      <c r="Y48"/>
    </row>
    <row r="49" spans="1:25" ht="15">
      <c r="A49" s="96">
        <v>45322</v>
      </c>
      <c r="B49" s="96">
        <v>45322</v>
      </c>
      <c r="C49" s="97" t="s">
        <v>503</v>
      </c>
      <c r="D49" s="96"/>
      <c r="E49" s="97"/>
      <c r="F49" s="97" t="s">
        <v>476</v>
      </c>
      <c r="G49" s="97" t="s">
        <v>446</v>
      </c>
      <c r="H49" s="97" t="s">
        <v>393</v>
      </c>
      <c r="I49" s="97" t="s">
        <v>374</v>
      </c>
      <c r="J49" s="98">
        <v>12716476</v>
      </c>
      <c r="K49" s="98">
        <v>0</v>
      </c>
      <c r="L49" s="97"/>
      <c r="M49" s="97"/>
      <c r="N49" s="97"/>
      <c r="O49" s="97"/>
      <c r="P49" s="97"/>
      <c r="Q49" s="97" t="s">
        <v>488</v>
      </c>
      <c r="R49" s="97"/>
      <c r="S49" s="97" t="s">
        <v>488</v>
      </c>
      <c r="T49" s="851">
        <f t="shared" si="0"/>
        <v>12716476</v>
      </c>
      <c r="U49" s="850"/>
      <c r="V49" s="850"/>
      <c r="W49" s="850"/>
      <c r="X49"/>
      <c r="Y49"/>
    </row>
    <row r="50" spans="1:25" ht="15">
      <c r="A50" s="96">
        <v>45322</v>
      </c>
      <c r="B50" s="96">
        <v>45322</v>
      </c>
      <c r="C50" s="97" t="s">
        <v>503</v>
      </c>
      <c r="D50" s="96"/>
      <c r="E50" s="97"/>
      <c r="F50" s="97" t="s">
        <v>476</v>
      </c>
      <c r="G50" s="97" t="s">
        <v>446</v>
      </c>
      <c r="H50" s="97" t="s">
        <v>395</v>
      </c>
      <c r="I50" s="97" t="s">
        <v>374</v>
      </c>
      <c r="J50" s="98">
        <v>4799333</v>
      </c>
      <c r="K50" s="98">
        <v>0</v>
      </c>
      <c r="L50" s="97"/>
      <c r="M50" s="97"/>
      <c r="N50" s="97"/>
      <c r="O50" s="97"/>
      <c r="P50" s="97"/>
      <c r="Q50" s="97" t="s">
        <v>488</v>
      </c>
      <c r="R50" s="97"/>
      <c r="S50" s="97" t="s">
        <v>488</v>
      </c>
      <c r="T50" s="851">
        <f t="shared" si="0"/>
        <v>4799333</v>
      </c>
      <c r="U50" s="850"/>
      <c r="V50" s="850"/>
      <c r="W50" s="850"/>
      <c r="X50"/>
      <c r="Y50"/>
    </row>
    <row r="51" spans="1:25" ht="15">
      <c r="A51" s="96">
        <v>45322</v>
      </c>
      <c r="B51" s="96">
        <v>45322</v>
      </c>
      <c r="C51" s="97" t="s">
        <v>503</v>
      </c>
      <c r="D51" s="96"/>
      <c r="E51" s="97"/>
      <c r="F51" s="97" t="s">
        <v>476</v>
      </c>
      <c r="G51" s="97" t="s">
        <v>446</v>
      </c>
      <c r="H51" s="97" t="s">
        <v>398</v>
      </c>
      <c r="I51" s="97" t="s">
        <v>374</v>
      </c>
      <c r="J51" s="98">
        <v>123368865</v>
      </c>
      <c r="K51" s="98">
        <v>0</v>
      </c>
      <c r="L51" s="97"/>
      <c r="M51" s="97"/>
      <c r="N51" s="97"/>
      <c r="O51" s="97"/>
      <c r="P51" s="97"/>
      <c r="Q51" s="97" t="s">
        <v>488</v>
      </c>
      <c r="R51" s="97"/>
      <c r="S51" s="97" t="s">
        <v>488</v>
      </c>
      <c r="T51" s="851">
        <f t="shared" si="0"/>
        <v>123368865</v>
      </c>
      <c r="U51" s="850"/>
      <c r="V51" s="850"/>
      <c r="W51" s="850"/>
      <c r="X51"/>
      <c r="Y51"/>
    </row>
    <row r="52" spans="1:25" ht="15">
      <c r="A52" s="96">
        <v>45322</v>
      </c>
      <c r="B52" s="96">
        <v>45322</v>
      </c>
      <c r="C52" s="97" t="s">
        <v>503</v>
      </c>
      <c r="D52" s="96"/>
      <c r="E52" s="97"/>
      <c r="F52" s="97" t="s">
        <v>476</v>
      </c>
      <c r="G52" s="97" t="s">
        <v>446</v>
      </c>
      <c r="H52" s="97" t="s">
        <v>401</v>
      </c>
      <c r="I52" s="97" t="s">
        <v>374</v>
      </c>
      <c r="J52" s="98">
        <v>136364</v>
      </c>
      <c r="K52" s="98">
        <v>0</v>
      </c>
      <c r="L52" s="97"/>
      <c r="M52" s="97"/>
      <c r="N52" s="97"/>
      <c r="O52" s="97"/>
      <c r="P52" s="97"/>
      <c r="Q52" s="97" t="s">
        <v>488</v>
      </c>
      <c r="R52" s="97"/>
      <c r="S52" s="97" t="s">
        <v>488</v>
      </c>
      <c r="T52" s="851">
        <f t="shared" si="0"/>
        <v>136364</v>
      </c>
      <c r="U52" s="850"/>
      <c r="V52" s="850"/>
      <c r="W52" s="850"/>
      <c r="X52"/>
      <c r="Y52"/>
    </row>
    <row r="53" spans="1:25" ht="15">
      <c r="A53" s="96">
        <v>45322</v>
      </c>
      <c r="B53" s="96">
        <v>45322</v>
      </c>
      <c r="C53" s="97" t="s">
        <v>503</v>
      </c>
      <c r="D53" s="96"/>
      <c r="E53" s="97"/>
      <c r="F53" s="97" t="s">
        <v>476</v>
      </c>
      <c r="G53" s="97" t="s">
        <v>446</v>
      </c>
      <c r="H53" s="97" t="s">
        <v>405</v>
      </c>
      <c r="I53" s="97" t="s">
        <v>374</v>
      </c>
      <c r="J53" s="98">
        <v>12000000</v>
      </c>
      <c r="K53" s="98">
        <v>0</v>
      </c>
      <c r="L53" s="97"/>
      <c r="M53" s="97"/>
      <c r="N53" s="97"/>
      <c r="O53" s="97"/>
      <c r="P53" s="97"/>
      <c r="Q53" s="97" t="s">
        <v>488</v>
      </c>
      <c r="R53" s="97"/>
      <c r="S53" s="97" t="s">
        <v>488</v>
      </c>
      <c r="T53" s="851">
        <f t="shared" si="0"/>
        <v>12000000</v>
      </c>
      <c r="U53" s="850"/>
      <c r="V53" s="850"/>
      <c r="W53" s="850"/>
      <c r="X53"/>
      <c r="Y53"/>
    </row>
    <row r="54" spans="1:25" ht="15">
      <c r="A54" s="96">
        <v>45322</v>
      </c>
      <c r="B54" s="96">
        <v>45322</v>
      </c>
      <c r="C54" s="97" t="s">
        <v>503</v>
      </c>
      <c r="D54" s="96"/>
      <c r="E54" s="97"/>
      <c r="F54" s="97" t="s">
        <v>476</v>
      </c>
      <c r="G54" s="97" t="s">
        <v>446</v>
      </c>
      <c r="H54" s="97" t="s">
        <v>407</v>
      </c>
      <c r="I54" s="97" t="s">
        <v>374</v>
      </c>
      <c r="J54" s="98">
        <v>64393939</v>
      </c>
      <c r="K54" s="98">
        <v>0</v>
      </c>
      <c r="L54" s="97"/>
      <c r="M54" s="97"/>
      <c r="N54" s="97"/>
      <c r="O54" s="97"/>
      <c r="P54" s="97"/>
      <c r="Q54" s="97" t="s">
        <v>488</v>
      </c>
      <c r="R54" s="97"/>
      <c r="S54" s="97" t="s">
        <v>488</v>
      </c>
      <c r="T54" s="851">
        <f t="shared" si="0"/>
        <v>64393939</v>
      </c>
      <c r="U54" s="850"/>
      <c r="V54" s="850"/>
      <c r="W54" s="850"/>
      <c r="X54"/>
      <c r="Y54"/>
    </row>
    <row r="55" spans="1:25" ht="15">
      <c r="A55" s="96">
        <v>45322</v>
      </c>
      <c r="B55" s="96">
        <v>45322</v>
      </c>
      <c r="C55" s="97" t="s">
        <v>503</v>
      </c>
      <c r="D55" s="96"/>
      <c r="E55" s="97"/>
      <c r="F55" s="97" t="s">
        <v>476</v>
      </c>
      <c r="G55" s="97" t="s">
        <v>446</v>
      </c>
      <c r="H55" s="97" t="s">
        <v>415</v>
      </c>
      <c r="I55" s="97" t="s">
        <v>374</v>
      </c>
      <c r="J55" s="98">
        <v>3681818</v>
      </c>
      <c r="K55" s="98">
        <v>0</v>
      </c>
      <c r="L55" s="97"/>
      <c r="M55" s="97"/>
      <c r="N55" s="97"/>
      <c r="O55" s="97"/>
      <c r="P55" s="97"/>
      <c r="Q55" s="97" t="s">
        <v>488</v>
      </c>
      <c r="R55" s="97"/>
      <c r="S55" s="97" t="s">
        <v>488</v>
      </c>
      <c r="T55" s="851">
        <f t="shared" si="0"/>
        <v>3681818</v>
      </c>
      <c r="U55" s="850"/>
      <c r="V55" s="850"/>
      <c r="W55" s="850"/>
      <c r="X55"/>
      <c r="Y55"/>
    </row>
    <row r="56" spans="1:25" ht="15">
      <c r="A56" s="96">
        <v>45322</v>
      </c>
      <c r="B56" s="96">
        <v>45322</v>
      </c>
      <c r="C56" s="97" t="s">
        <v>503</v>
      </c>
      <c r="D56" s="96"/>
      <c r="E56" s="97"/>
      <c r="F56" s="97" t="s">
        <v>476</v>
      </c>
      <c r="G56" s="97" t="s">
        <v>446</v>
      </c>
      <c r="H56" s="97" t="s">
        <v>419</v>
      </c>
      <c r="I56" s="97" t="s">
        <v>374</v>
      </c>
      <c r="J56" s="98">
        <v>1950000</v>
      </c>
      <c r="K56" s="98">
        <v>0</v>
      </c>
      <c r="L56" s="97"/>
      <c r="M56" s="97"/>
      <c r="N56" s="97"/>
      <c r="O56" s="97"/>
      <c r="P56" s="97"/>
      <c r="Q56" s="97" t="s">
        <v>488</v>
      </c>
      <c r="R56" s="97"/>
      <c r="S56" s="97" t="s">
        <v>488</v>
      </c>
      <c r="T56" s="851">
        <f t="shared" si="0"/>
        <v>1950000</v>
      </c>
      <c r="U56" s="850"/>
      <c r="V56" s="850"/>
      <c r="W56" s="850"/>
      <c r="X56"/>
      <c r="Y56"/>
    </row>
    <row r="57" spans="1:25" ht="15">
      <c r="A57" s="96">
        <v>45322</v>
      </c>
      <c r="B57" s="96">
        <v>45322</v>
      </c>
      <c r="C57" s="97" t="s">
        <v>503</v>
      </c>
      <c r="D57" s="96"/>
      <c r="E57" s="97"/>
      <c r="F57" s="97" t="s">
        <v>476</v>
      </c>
      <c r="G57" s="97" t="s">
        <v>446</v>
      </c>
      <c r="H57" s="97" t="s">
        <v>421</v>
      </c>
      <c r="I57" s="97" t="s">
        <v>374</v>
      </c>
      <c r="J57" s="98">
        <v>11911883</v>
      </c>
      <c r="K57" s="98">
        <v>0</v>
      </c>
      <c r="L57" s="97"/>
      <c r="M57" s="97"/>
      <c r="N57" s="97"/>
      <c r="O57" s="97"/>
      <c r="P57" s="97"/>
      <c r="Q57" s="97" t="s">
        <v>488</v>
      </c>
      <c r="R57" s="97"/>
      <c r="S57" s="97" t="s">
        <v>488</v>
      </c>
      <c r="T57" s="851">
        <f t="shared" si="0"/>
        <v>11911883</v>
      </c>
      <c r="U57" s="850"/>
      <c r="V57" s="850"/>
      <c r="W57" s="850"/>
      <c r="X57"/>
      <c r="Y57"/>
    </row>
    <row r="58" spans="1:25" ht="15">
      <c r="A58" s="96">
        <v>45322</v>
      </c>
      <c r="B58" s="96">
        <v>45322</v>
      </c>
      <c r="C58" s="97" t="s">
        <v>503</v>
      </c>
      <c r="D58" s="96"/>
      <c r="E58" s="97"/>
      <c r="F58" s="97" t="s">
        <v>476</v>
      </c>
      <c r="G58" s="97" t="s">
        <v>446</v>
      </c>
      <c r="H58" s="97" t="s">
        <v>424</v>
      </c>
      <c r="I58" s="97" t="s">
        <v>374</v>
      </c>
      <c r="J58" s="98">
        <v>22076454</v>
      </c>
      <c r="K58" s="98">
        <v>0</v>
      </c>
      <c r="L58" s="97"/>
      <c r="M58" s="97"/>
      <c r="N58" s="97"/>
      <c r="O58" s="97"/>
      <c r="P58" s="97"/>
      <c r="Q58" s="97" t="s">
        <v>488</v>
      </c>
      <c r="R58" s="97"/>
      <c r="S58" s="97" t="s">
        <v>488</v>
      </c>
      <c r="T58" s="851">
        <f t="shared" si="0"/>
        <v>22076454</v>
      </c>
      <c r="U58" s="850"/>
      <c r="V58" s="850"/>
      <c r="W58" s="850"/>
      <c r="X58"/>
      <c r="Y58"/>
    </row>
    <row r="59" spans="1:25" ht="15">
      <c r="A59" s="96">
        <v>45322</v>
      </c>
      <c r="B59" s="96">
        <v>45322</v>
      </c>
      <c r="C59" s="97" t="s">
        <v>503</v>
      </c>
      <c r="D59" s="96"/>
      <c r="E59" s="97"/>
      <c r="F59" s="97" t="s">
        <v>476</v>
      </c>
      <c r="G59" s="97" t="s">
        <v>446</v>
      </c>
      <c r="H59" s="97" t="s">
        <v>425</v>
      </c>
      <c r="I59" s="97" t="s">
        <v>374</v>
      </c>
      <c r="J59" s="98">
        <v>10358656</v>
      </c>
      <c r="K59" s="98">
        <v>0</v>
      </c>
      <c r="L59" s="97"/>
      <c r="M59" s="97"/>
      <c r="N59" s="97"/>
      <c r="O59" s="97"/>
      <c r="P59" s="97"/>
      <c r="Q59" s="97" t="s">
        <v>488</v>
      </c>
      <c r="R59" s="97"/>
      <c r="S59" s="97" t="s">
        <v>488</v>
      </c>
      <c r="T59" s="851">
        <f t="shared" si="0"/>
        <v>10358656</v>
      </c>
      <c r="U59" s="850"/>
      <c r="V59" s="850"/>
      <c r="W59" s="850"/>
      <c r="X59"/>
      <c r="Y59"/>
    </row>
    <row r="60" spans="1:25" ht="15">
      <c r="A60" s="96">
        <v>45322</v>
      </c>
      <c r="B60" s="96">
        <v>45322</v>
      </c>
      <c r="C60" s="97" t="s">
        <v>503</v>
      </c>
      <c r="D60" s="96"/>
      <c r="E60" s="97"/>
      <c r="F60" s="97" t="s">
        <v>476</v>
      </c>
      <c r="G60" s="97" t="s">
        <v>446</v>
      </c>
      <c r="H60" s="97" t="s">
        <v>427</v>
      </c>
      <c r="I60" s="97" t="s">
        <v>374</v>
      </c>
      <c r="J60" s="98">
        <v>23086401</v>
      </c>
      <c r="K60" s="98">
        <v>0</v>
      </c>
      <c r="L60" s="97"/>
      <c r="M60" s="97"/>
      <c r="N60" s="97"/>
      <c r="O60" s="97"/>
      <c r="P60" s="97"/>
      <c r="Q60" s="97" t="s">
        <v>488</v>
      </c>
      <c r="R60" s="97"/>
      <c r="S60" s="97" t="s">
        <v>488</v>
      </c>
      <c r="T60" s="851">
        <f t="shared" si="0"/>
        <v>23086401</v>
      </c>
      <c r="U60" s="850"/>
      <c r="V60" s="850"/>
      <c r="W60" s="850"/>
      <c r="X60"/>
      <c r="Y60"/>
    </row>
    <row r="61" spans="1:25" ht="15">
      <c r="A61" s="96">
        <v>45322</v>
      </c>
      <c r="B61" s="96">
        <v>45322</v>
      </c>
      <c r="C61" s="97" t="s">
        <v>503</v>
      </c>
      <c r="D61" s="96"/>
      <c r="E61" s="97"/>
      <c r="F61" s="97" t="s">
        <v>476</v>
      </c>
      <c r="G61" s="97" t="s">
        <v>446</v>
      </c>
      <c r="H61" s="97" t="s">
        <v>431</v>
      </c>
      <c r="I61" s="97" t="s">
        <v>374</v>
      </c>
      <c r="J61" s="98">
        <v>611764</v>
      </c>
      <c r="K61" s="98">
        <v>0</v>
      </c>
      <c r="L61" s="97"/>
      <c r="M61" s="97"/>
      <c r="N61" s="97"/>
      <c r="O61" s="97"/>
      <c r="P61" s="97"/>
      <c r="Q61" s="97" t="s">
        <v>488</v>
      </c>
      <c r="R61" s="97"/>
      <c r="S61" s="97" t="s">
        <v>488</v>
      </c>
      <c r="T61" s="851">
        <f t="shared" si="0"/>
        <v>611764</v>
      </c>
      <c r="U61" s="850"/>
      <c r="V61" s="850"/>
      <c r="W61" s="850"/>
      <c r="X61"/>
      <c r="Y61"/>
    </row>
    <row r="62" spans="1:25" ht="15">
      <c r="A62" s="96">
        <v>45322</v>
      </c>
      <c r="B62" s="96">
        <v>45322</v>
      </c>
      <c r="C62" s="97" t="s">
        <v>503</v>
      </c>
      <c r="D62" s="96"/>
      <c r="E62" s="97"/>
      <c r="F62" s="97" t="s">
        <v>476</v>
      </c>
      <c r="G62" s="97" t="s">
        <v>446</v>
      </c>
      <c r="H62" s="97" t="s">
        <v>432</v>
      </c>
      <c r="I62" s="97" t="s">
        <v>374</v>
      </c>
      <c r="J62" s="98">
        <v>1018000</v>
      </c>
      <c r="K62" s="98">
        <v>0</v>
      </c>
      <c r="L62" s="97"/>
      <c r="M62" s="97"/>
      <c r="N62" s="97"/>
      <c r="O62" s="97"/>
      <c r="P62" s="97"/>
      <c r="Q62" s="97" t="s">
        <v>488</v>
      </c>
      <c r="R62" s="97"/>
      <c r="S62" s="97" t="s">
        <v>488</v>
      </c>
      <c r="T62" s="851">
        <f t="shared" si="0"/>
        <v>1018000</v>
      </c>
      <c r="U62" s="850"/>
      <c r="V62" s="850"/>
      <c r="W62" s="850"/>
      <c r="X62"/>
      <c r="Y62"/>
    </row>
    <row r="63" spans="1:25" ht="15">
      <c r="A63" s="96">
        <v>45322</v>
      </c>
      <c r="B63" s="96">
        <v>45322</v>
      </c>
      <c r="C63" s="97" t="s">
        <v>503</v>
      </c>
      <c r="D63" s="96"/>
      <c r="E63" s="97"/>
      <c r="F63" s="97" t="s">
        <v>476</v>
      </c>
      <c r="G63" s="97" t="s">
        <v>446</v>
      </c>
      <c r="H63" s="97" t="s">
        <v>435</v>
      </c>
      <c r="I63" s="97" t="s">
        <v>374</v>
      </c>
      <c r="J63" s="98">
        <v>33768581</v>
      </c>
      <c r="K63" s="98">
        <v>0</v>
      </c>
      <c r="L63" s="97"/>
      <c r="M63" s="97"/>
      <c r="N63" s="97"/>
      <c r="O63" s="97"/>
      <c r="P63" s="97"/>
      <c r="Q63" s="97" t="s">
        <v>488</v>
      </c>
      <c r="R63" s="97"/>
      <c r="S63" s="97" t="s">
        <v>488</v>
      </c>
      <c r="T63" s="851">
        <f t="shared" si="0"/>
        <v>33768581</v>
      </c>
      <c r="U63" s="850"/>
      <c r="V63" s="850"/>
      <c r="W63" s="850"/>
      <c r="X63"/>
      <c r="Y63"/>
    </row>
    <row r="64" spans="1:25" ht="15">
      <c r="A64" s="96">
        <v>45322</v>
      </c>
      <c r="B64" s="96">
        <v>45322</v>
      </c>
      <c r="C64" s="97" t="s">
        <v>503</v>
      </c>
      <c r="D64" s="96"/>
      <c r="E64" s="97"/>
      <c r="F64" s="97" t="s">
        <v>476</v>
      </c>
      <c r="G64" s="97" t="s">
        <v>446</v>
      </c>
      <c r="H64" s="97" t="s">
        <v>438</v>
      </c>
      <c r="I64" s="97" t="s">
        <v>374</v>
      </c>
      <c r="J64" s="98">
        <v>256900</v>
      </c>
      <c r="K64" s="98">
        <v>0</v>
      </c>
      <c r="L64" s="97"/>
      <c r="M64" s="97"/>
      <c r="N64" s="97"/>
      <c r="O64" s="97"/>
      <c r="P64" s="97"/>
      <c r="Q64" s="97" t="s">
        <v>488</v>
      </c>
      <c r="R64" s="97"/>
      <c r="S64" s="97" t="s">
        <v>488</v>
      </c>
      <c r="T64" s="851">
        <f t="shared" si="0"/>
        <v>256900</v>
      </c>
      <c r="U64" s="850"/>
      <c r="V64" s="850"/>
      <c r="W64" s="850"/>
      <c r="X64"/>
      <c r="Y64"/>
    </row>
    <row r="65" spans="1:25" ht="15">
      <c r="A65" s="96">
        <v>45322</v>
      </c>
      <c r="B65" s="96">
        <v>45322</v>
      </c>
      <c r="C65" s="97" t="s">
        <v>503</v>
      </c>
      <c r="D65" s="96"/>
      <c r="E65" s="97"/>
      <c r="F65" s="97" t="s">
        <v>478</v>
      </c>
      <c r="G65" s="97" t="s">
        <v>446</v>
      </c>
      <c r="H65" s="97" t="s">
        <v>444</v>
      </c>
      <c r="I65" s="97" t="s">
        <v>444</v>
      </c>
      <c r="J65" s="98">
        <v>102000</v>
      </c>
      <c r="K65" s="98">
        <v>0</v>
      </c>
      <c r="L65" s="97"/>
      <c r="M65" s="97"/>
      <c r="N65" s="97"/>
      <c r="O65" s="97"/>
      <c r="P65" s="97"/>
      <c r="Q65" s="97" t="s">
        <v>488</v>
      </c>
      <c r="R65" s="97"/>
      <c r="S65" s="97" t="s">
        <v>488</v>
      </c>
      <c r="T65" s="851">
        <f t="shared" si="0"/>
        <v>102000</v>
      </c>
      <c r="U65" s="850"/>
      <c r="V65" s="850"/>
      <c r="W65" s="850"/>
      <c r="X65"/>
      <c r="Y65"/>
    </row>
    <row r="66" spans="1:25" ht="15">
      <c r="A66" s="96">
        <v>45322</v>
      </c>
      <c r="B66" s="96">
        <v>45322</v>
      </c>
      <c r="C66" s="97" t="s">
        <v>503</v>
      </c>
      <c r="D66" s="96"/>
      <c r="E66" s="97"/>
      <c r="F66" s="97" t="s">
        <v>479</v>
      </c>
      <c r="G66" s="97" t="s">
        <v>446</v>
      </c>
      <c r="H66" s="97" t="s">
        <v>217</v>
      </c>
      <c r="I66" s="97" t="s">
        <v>213</v>
      </c>
      <c r="J66" s="98">
        <v>8781195777</v>
      </c>
      <c r="K66" s="98">
        <v>0</v>
      </c>
      <c r="L66" s="97"/>
      <c r="M66" s="97"/>
      <c r="N66" s="97"/>
      <c r="O66" s="97"/>
      <c r="P66" s="97"/>
      <c r="Q66" s="97" t="s">
        <v>488</v>
      </c>
      <c r="R66" s="97"/>
      <c r="S66" s="97" t="s">
        <v>488</v>
      </c>
      <c r="T66" s="851">
        <f t="shared" si="0"/>
        <v>8781195777</v>
      </c>
      <c r="U66" s="850"/>
      <c r="V66" s="850"/>
      <c r="W66" s="850"/>
      <c r="X66"/>
      <c r="Y66"/>
    </row>
    <row r="67" spans="1:25" ht="15">
      <c r="A67" s="96">
        <v>45351</v>
      </c>
      <c r="B67" s="96">
        <v>45351</v>
      </c>
      <c r="C67" s="97" t="s">
        <v>504</v>
      </c>
      <c r="D67" s="96"/>
      <c r="E67" s="97"/>
      <c r="F67" s="97" t="s">
        <v>468</v>
      </c>
      <c r="G67" s="97" t="s">
        <v>446</v>
      </c>
      <c r="H67" s="97" t="s">
        <v>720</v>
      </c>
      <c r="I67" s="97" t="s">
        <v>219</v>
      </c>
      <c r="J67" s="98">
        <v>0</v>
      </c>
      <c r="K67" s="98">
        <v>1444000000</v>
      </c>
      <c r="L67" s="97"/>
      <c r="M67" s="97"/>
      <c r="N67" s="97"/>
      <c r="O67" s="97"/>
      <c r="P67" s="97"/>
      <c r="Q67" s="97" t="s">
        <v>488</v>
      </c>
      <c r="R67" s="97"/>
      <c r="S67" s="97" t="s">
        <v>488</v>
      </c>
      <c r="T67" s="851">
        <f t="shared" si="0"/>
        <v>-1444000000</v>
      </c>
      <c r="U67" s="850"/>
      <c r="V67" s="850"/>
      <c r="W67" s="850"/>
      <c r="X67"/>
      <c r="Y67"/>
    </row>
    <row r="68" spans="1:25" ht="15">
      <c r="A68" s="96">
        <v>45351</v>
      </c>
      <c r="B68" s="96">
        <v>45351</v>
      </c>
      <c r="C68" s="97" t="s">
        <v>504</v>
      </c>
      <c r="D68" s="96"/>
      <c r="E68" s="97"/>
      <c r="F68" s="97" t="s">
        <v>468</v>
      </c>
      <c r="G68" s="97" t="s">
        <v>446</v>
      </c>
      <c r="H68" s="97" t="s">
        <v>223</v>
      </c>
      <c r="I68" s="97" t="s">
        <v>219</v>
      </c>
      <c r="J68" s="98">
        <v>0</v>
      </c>
      <c r="K68" s="98">
        <v>115180</v>
      </c>
      <c r="L68" s="97"/>
      <c r="M68" s="97"/>
      <c r="N68" s="97"/>
      <c r="O68" s="97"/>
      <c r="P68" s="97"/>
      <c r="Q68" s="97" t="s">
        <v>488</v>
      </c>
      <c r="R68" s="97"/>
      <c r="S68" s="97" t="s">
        <v>488</v>
      </c>
      <c r="T68" s="851">
        <f t="shared" si="0"/>
        <v>-115180</v>
      </c>
      <c r="U68" s="850"/>
      <c r="V68" s="850"/>
      <c r="W68" s="850"/>
      <c r="X68"/>
      <c r="Y68"/>
    </row>
    <row r="69" spans="1:25" ht="15">
      <c r="A69" s="96">
        <v>45351</v>
      </c>
      <c r="B69" s="96">
        <v>45351</v>
      </c>
      <c r="C69" s="97" t="s">
        <v>504</v>
      </c>
      <c r="D69" s="96"/>
      <c r="E69" s="97"/>
      <c r="F69" s="97" t="s">
        <v>468</v>
      </c>
      <c r="G69" s="97" t="s">
        <v>446</v>
      </c>
      <c r="H69" s="97" t="s">
        <v>225</v>
      </c>
      <c r="I69" s="97" t="s">
        <v>219</v>
      </c>
      <c r="J69" s="98">
        <v>0</v>
      </c>
      <c r="K69" s="98">
        <v>2610000</v>
      </c>
      <c r="L69" s="97"/>
      <c r="M69" s="97"/>
      <c r="N69" s="97"/>
      <c r="O69" s="97"/>
      <c r="P69" s="97"/>
      <c r="Q69" s="97" t="s">
        <v>488</v>
      </c>
      <c r="R69" s="97"/>
      <c r="S69" s="97" t="s">
        <v>488</v>
      </c>
      <c r="T69" s="851">
        <f t="shared" ref="T69:T132" si="1">J69-K69</f>
        <v>-2610000</v>
      </c>
      <c r="U69" s="850"/>
      <c r="V69" s="850"/>
      <c r="W69" s="850"/>
      <c r="X69"/>
      <c r="Y69"/>
    </row>
    <row r="70" spans="1:25" ht="15">
      <c r="A70" s="96">
        <v>45351</v>
      </c>
      <c r="B70" s="96">
        <v>45351</v>
      </c>
      <c r="C70" s="97" t="s">
        <v>504</v>
      </c>
      <c r="D70" s="96"/>
      <c r="E70" s="97"/>
      <c r="F70" s="97" t="s">
        <v>468</v>
      </c>
      <c r="G70" s="97" t="s">
        <v>446</v>
      </c>
      <c r="H70" s="97" t="s">
        <v>227</v>
      </c>
      <c r="I70" s="97" t="s">
        <v>219</v>
      </c>
      <c r="J70" s="98">
        <v>0</v>
      </c>
      <c r="K70" s="98">
        <v>7794000</v>
      </c>
      <c r="L70" s="97"/>
      <c r="M70" s="97"/>
      <c r="N70" s="97"/>
      <c r="O70" s="97"/>
      <c r="P70" s="97"/>
      <c r="Q70" s="97" t="s">
        <v>488</v>
      </c>
      <c r="R70" s="97"/>
      <c r="S70" s="97" t="s">
        <v>488</v>
      </c>
      <c r="T70" s="851">
        <f t="shared" si="1"/>
        <v>-7794000</v>
      </c>
      <c r="U70" s="850"/>
      <c r="V70" s="850"/>
      <c r="W70" s="850"/>
      <c r="X70"/>
      <c r="Y70"/>
    </row>
    <row r="71" spans="1:25" ht="15">
      <c r="A71" s="96">
        <v>45351</v>
      </c>
      <c r="B71" s="96">
        <v>45351</v>
      </c>
      <c r="C71" s="97" t="s">
        <v>504</v>
      </c>
      <c r="D71" s="96"/>
      <c r="E71" s="97"/>
      <c r="F71" s="97" t="s">
        <v>468</v>
      </c>
      <c r="G71" s="97" t="s">
        <v>446</v>
      </c>
      <c r="H71" s="97" t="s">
        <v>229</v>
      </c>
      <c r="I71" s="97" t="s">
        <v>219</v>
      </c>
      <c r="J71" s="98">
        <v>0</v>
      </c>
      <c r="K71" s="98">
        <v>71463340</v>
      </c>
      <c r="L71" s="97"/>
      <c r="M71" s="97"/>
      <c r="N71" s="97"/>
      <c r="O71" s="97"/>
      <c r="P71" s="97"/>
      <c r="Q71" s="97" t="s">
        <v>488</v>
      </c>
      <c r="R71" s="97"/>
      <c r="S71" s="97" t="s">
        <v>488</v>
      </c>
      <c r="T71" s="851">
        <f t="shared" si="1"/>
        <v>-71463340</v>
      </c>
      <c r="U71" s="850"/>
      <c r="V71" s="850"/>
      <c r="W71" s="850"/>
      <c r="X71"/>
      <c r="Y71"/>
    </row>
    <row r="72" spans="1:25" ht="15">
      <c r="A72" s="96">
        <v>45351</v>
      </c>
      <c r="B72" s="96">
        <v>45351</v>
      </c>
      <c r="C72" s="97" t="s">
        <v>504</v>
      </c>
      <c r="D72" s="96"/>
      <c r="E72" s="97"/>
      <c r="F72" s="97" t="s">
        <v>468</v>
      </c>
      <c r="G72" s="97" t="s">
        <v>446</v>
      </c>
      <c r="H72" s="97" t="s">
        <v>231</v>
      </c>
      <c r="I72" s="97" t="s">
        <v>219</v>
      </c>
      <c r="J72" s="98">
        <v>0</v>
      </c>
      <c r="K72" s="98">
        <v>176734554</v>
      </c>
      <c r="L72" s="97"/>
      <c r="M72" s="97"/>
      <c r="N72" s="97"/>
      <c r="O72" s="97"/>
      <c r="P72" s="97"/>
      <c r="Q72" s="97" t="s">
        <v>488</v>
      </c>
      <c r="R72" s="97"/>
      <c r="S72" s="97" t="s">
        <v>488</v>
      </c>
      <c r="T72" s="851">
        <f t="shared" si="1"/>
        <v>-176734554</v>
      </c>
      <c r="U72" s="850"/>
      <c r="V72" s="850"/>
      <c r="W72" s="850"/>
      <c r="X72"/>
      <c r="Y72"/>
    </row>
    <row r="73" spans="1:25" ht="15">
      <c r="A73" s="96">
        <v>45351</v>
      </c>
      <c r="B73" s="96">
        <v>45351</v>
      </c>
      <c r="C73" s="97" t="s">
        <v>504</v>
      </c>
      <c r="D73" s="96"/>
      <c r="E73" s="97"/>
      <c r="F73" s="97" t="s">
        <v>468</v>
      </c>
      <c r="G73" s="97" t="s">
        <v>446</v>
      </c>
      <c r="H73" s="97" t="s">
        <v>233</v>
      </c>
      <c r="I73" s="97" t="s">
        <v>219</v>
      </c>
      <c r="J73" s="98">
        <v>0</v>
      </c>
      <c r="K73" s="98">
        <v>1044000</v>
      </c>
      <c r="L73" s="97"/>
      <c r="M73" s="97"/>
      <c r="N73" s="97"/>
      <c r="O73" s="97"/>
      <c r="P73" s="97"/>
      <c r="Q73" s="97" t="s">
        <v>488</v>
      </c>
      <c r="R73" s="97"/>
      <c r="S73" s="97" t="s">
        <v>488</v>
      </c>
      <c r="T73" s="851">
        <f t="shared" si="1"/>
        <v>-1044000</v>
      </c>
      <c r="U73" s="850"/>
      <c r="V73" s="850"/>
      <c r="W73" s="850"/>
      <c r="X73"/>
      <c r="Y73"/>
    </row>
    <row r="74" spans="1:25" ht="15">
      <c r="A74" s="96">
        <v>45351</v>
      </c>
      <c r="B74" s="96">
        <v>45351</v>
      </c>
      <c r="C74" s="97" t="s">
        <v>504</v>
      </c>
      <c r="D74" s="96"/>
      <c r="E74" s="97"/>
      <c r="F74" s="97" t="s">
        <v>468</v>
      </c>
      <c r="G74" s="97" t="s">
        <v>446</v>
      </c>
      <c r="H74" s="97" t="s">
        <v>235</v>
      </c>
      <c r="I74" s="97" t="s">
        <v>219</v>
      </c>
      <c r="J74" s="98">
        <v>0</v>
      </c>
      <c r="K74" s="98">
        <v>12509356</v>
      </c>
      <c r="L74" s="97"/>
      <c r="M74" s="97"/>
      <c r="N74" s="97"/>
      <c r="O74" s="97"/>
      <c r="P74" s="97"/>
      <c r="Q74" s="97" t="s">
        <v>488</v>
      </c>
      <c r="R74" s="97"/>
      <c r="S74" s="97" t="s">
        <v>488</v>
      </c>
      <c r="T74" s="851">
        <f t="shared" si="1"/>
        <v>-12509356</v>
      </c>
      <c r="U74" s="850"/>
      <c r="V74" s="850"/>
      <c r="W74" s="850"/>
      <c r="X74"/>
      <c r="Y74"/>
    </row>
    <row r="75" spans="1:25" ht="15">
      <c r="A75" s="96">
        <v>45351</v>
      </c>
      <c r="B75" s="96">
        <v>45351</v>
      </c>
      <c r="C75" s="97" t="s">
        <v>504</v>
      </c>
      <c r="D75" s="96"/>
      <c r="E75" s="97"/>
      <c r="F75" s="97" t="s">
        <v>468</v>
      </c>
      <c r="G75" s="97" t="s">
        <v>446</v>
      </c>
      <c r="H75" s="97" t="s">
        <v>237</v>
      </c>
      <c r="I75" s="97" t="s">
        <v>219</v>
      </c>
      <c r="J75" s="98">
        <v>0</v>
      </c>
      <c r="K75" s="98">
        <v>173866</v>
      </c>
      <c r="L75" s="97"/>
      <c r="M75" s="97"/>
      <c r="N75" s="97"/>
      <c r="O75" s="97"/>
      <c r="P75" s="97"/>
      <c r="Q75" s="97" t="s">
        <v>488</v>
      </c>
      <c r="R75" s="97"/>
      <c r="S75" s="97" t="s">
        <v>488</v>
      </c>
      <c r="T75" s="851">
        <f t="shared" si="1"/>
        <v>-173866</v>
      </c>
      <c r="U75" s="850"/>
      <c r="V75" s="850"/>
      <c r="W75" s="850"/>
      <c r="X75"/>
      <c r="Y75"/>
    </row>
    <row r="76" spans="1:25" ht="15">
      <c r="A76" s="96">
        <v>45351</v>
      </c>
      <c r="B76" s="96">
        <v>45351</v>
      </c>
      <c r="C76" s="97" t="s">
        <v>504</v>
      </c>
      <c r="D76" s="96"/>
      <c r="E76" s="97"/>
      <c r="F76" s="97" t="s">
        <v>468</v>
      </c>
      <c r="G76" s="97" t="s">
        <v>446</v>
      </c>
      <c r="H76" s="97" t="s">
        <v>241</v>
      </c>
      <c r="I76" s="97" t="s">
        <v>219</v>
      </c>
      <c r="J76" s="98">
        <v>0</v>
      </c>
      <c r="K76" s="98">
        <v>3764490</v>
      </c>
      <c r="L76" s="97"/>
      <c r="M76" s="97"/>
      <c r="N76" s="97"/>
      <c r="O76" s="97"/>
      <c r="P76" s="97"/>
      <c r="Q76" s="97" t="s">
        <v>488</v>
      </c>
      <c r="R76" s="97"/>
      <c r="S76" s="97" t="s">
        <v>488</v>
      </c>
      <c r="T76" s="851">
        <f t="shared" si="1"/>
        <v>-3764490</v>
      </c>
      <c r="U76" s="850"/>
      <c r="V76" s="850"/>
      <c r="W76" s="850"/>
      <c r="X76"/>
      <c r="Y76"/>
    </row>
    <row r="77" spans="1:25" ht="15">
      <c r="A77" s="96">
        <v>45351</v>
      </c>
      <c r="B77" s="96">
        <v>45351</v>
      </c>
      <c r="C77" s="97" t="s">
        <v>504</v>
      </c>
      <c r="D77" s="96"/>
      <c r="E77" s="97"/>
      <c r="F77" s="97" t="s">
        <v>468</v>
      </c>
      <c r="G77" s="97" t="s">
        <v>446</v>
      </c>
      <c r="H77" s="97" t="s">
        <v>243</v>
      </c>
      <c r="I77" s="97" t="s">
        <v>219</v>
      </c>
      <c r="J77" s="98">
        <v>0</v>
      </c>
      <c r="K77" s="98">
        <v>324540541</v>
      </c>
      <c r="L77" s="97"/>
      <c r="M77" s="97"/>
      <c r="N77" s="97"/>
      <c r="O77" s="97"/>
      <c r="P77" s="97"/>
      <c r="Q77" s="97" t="s">
        <v>488</v>
      </c>
      <c r="R77" s="97"/>
      <c r="S77" s="97" t="s">
        <v>488</v>
      </c>
      <c r="T77" s="851">
        <f t="shared" si="1"/>
        <v>-324540541</v>
      </c>
      <c r="U77" s="850"/>
      <c r="V77" s="850"/>
      <c r="W77" s="850"/>
      <c r="X77"/>
      <c r="Y77"/>
    </row>
    <row r="78" spans="1:25" ht="15">
      <c r="A78" s="96">
        <v>45351</v>
      </c>
      <c r="B78" s="96">
        <v>45351</v>
      </c>
      <c r="C78" s="97" t="s">
        <v>504</v>
      </c>
      <c r="D78" s="96"/>
      <c r="E78" s="97"/>
      <c r="F78" s="97" t="s">
        <v>472</v>
      </c>
      <c r="G78" s="97" t="s">
        <v>446</v>
      </c>
      <c r="H78" s="97" t="s">
        <v>249</v>
      </c>
      <c r="I78" s="97" t="s">
        <v>247</v>
      </c>
      <c r="J78" s="98">
        <v>0</v>
      </c>
      <c r="K78" s="98">
        <v>10407901737</v>
      </c>
      <c r="L78" s="97"/>
      <c r="M78" s="97"/>
      <c r="N78" s="97"/>
      <c r="O78" s="97"/>
      <c r="P78" s="97"/>
      <c r="Q78" s="97" t="s">
        <v>488</v>
      </c>
      <c r="R78" s="97"/>
      <c r="S78" s="97" t="s">
        <v>488</v>
      </c>
      <c r="T78" s="851">
        <f t="shared" si="1"/>
        <v>-10407901737</v>
      </c>
      <c r="U78" s="850"/>
      <c r="V78" s="850"/>
      <c r="W78" s="850"/>
      <c r="X78"/>
      <c r="Y78"/>
    </row>
    <row r="79" spans="1:25" ht="15">
      <c r="A79" s="96">
        <v>45351</v>
      </c>
      <c r="B79" s="96">
        <v>45351</v>
      </c>
      <c r="C79" s="97" t="s">
        <v>504</v>
      </c>
      <c r="D79" s="96"/>
      <c r="E79" s="97"/>
      <c r="F79" s="97" t="s">
        <v>472</v>
      </c>
      <c r="G79" s="97" t="s">
        <v>446</v>
      </c>
      <c r="H79" s="97" t="s">
        <v>251</v>
      </c>
      <c r="I79" s="97" t="s">
        <v>247</v>
      </c>
      <c r="J79" s="98">
        <v>0</v>
      </c>
      <c r="K79" s="98">
        <v>3805306575</v>
      </c>
      <c r="L79" s="97"/>
      <c r="M79" s="97"/>
      <c r="N79" s="97"/>
      <c r="O79" s="97"/>
      <c r="P79" s="97"/>
      <c r="Q79" s="97" t="s">
        <v>488</v>
      </c>
      <c r="R79" s="97"/>
      <c r="S79" s="97" t="s">
        <v>488</v>
      </c>
      <c r="T79" s="851">
        <f t="shared" si="1"/>
        <v>-3805306575</v>
      </c>
      <c r="U79" s="850"/>
      <c r="V79" s="850"/>
      <c r="W79" s="850"/>
      <c r="X79"/>
      <c r="Y79"/>
    </row>
    <row r="80" spans="1:25" ht="15">
      <c r="A80" s="96">
        <v>45351</v>
      </c>
      <c r="B80" s="96">
        <v>45351</v>
      </c>
      <c r="C80" s="97" t="s">
        <v>504</v>
      </c>
      <c r="D80" s="96"/>
      <c r="E80" s="97"/>
      <c r="F80" s="97" t="s">
        <v>472</v>
      </c>
      <c r="G80" s="97" t="s">
        <v>446</v>
      </c>
      <c r="H80" s="97" t="s">
        <v>255</v>
      </c>
      <c r="I80" s="97" t="s">
        <v>247</v>
      </c>
      <c r="J80" s="98">
        <v>0</v>
      </c>
      <c r="K80" s="98">
        <v>2029455904</v>
      </c>
      <c r="L80" s="97"/>
      <c r="M80" s="97"/>
      <c r="N80" s="97"/>
      <c r="O80" s="97"/>
      <c r="P80" s="97"/>
      <c r="Q80" s="97" t="s">
        <v>488</v>
      </c>
      <c r="R80" s="97"/>
      <c r="S80" s="97" t="s">
        <v>488</v>
      </c>
      <c r="T80" s="851">
        <f t="shared" si="1"/>
        <v>-2029455904</v>
      </c>
      <c r="U80" s="850"/>
      <c r="V80" s="850"/>
      <c r="W80" s="850"/>
      <c r="X80"/>
      <c r="Y80"/>
    </row>
    <row r="81" spans="1:25" ht="15">
      <c r="A81" s="96">
        <v>45351</v>
      </c>
      <c r="B81" s="96">
        <v>45351</v>
      </c>
      <c r="C81" s="97" t="s">
        <v>504</v>
      </c>
      <c r="D81" s="96"/>
      <c r="E81" s="97"/>
      <c r="F81" s="97" t="s">
        <v>472</v>
      </c>
      <c r="G81" s="97" t="s">
        <v>446</v>
      </c>
      <c r="H81" s="97" t="s">
        <v>257</v>
      </c>
      <c r="I81" s="97" t="s">
        <v>247</v>
      </c>
      <c r="J81" s="98">
        <v>0</v>
      </c>
      <c r="K81" s="98">
        <v>2410822820</v>
      </c>
      <c r="L81" s="97"/>
      <c r="M81" s="97"/>
      <c r="N81" s="97"/>
      <c r="O81" s="97"/>
      <c r="P81" s="97"/>
      <c r="Q81" s="97" t="s">
        <v>488</v>
      </c>
      <c r="R81" s="97"/>
      <c r="S81" s="97" t="s">
        <v>488</v>
      </c>
      <c r="T81" s="851">
        <f t="shared" si="1"/>
        <v>-2410822820</v>
      </c>
      <c r="U81" s="850"/>
      <c r="V81" s="850"/>
      <c r="W81" s="850"/>
      <c r="X81"/>
      <c r="Y81"/>
    </row>
    <row r="82" spans="1:25" ht="15">
      <c r="A82" s="96">
        <v>45351</v>
      </c>
      <c r="B82" s="96">
        <v>45351</v>
      </c>
      <c r="C82" s="97" t="s">
        <v>504</v>
      </c>
      <c r="D82" s="96"/>
      <c r="E82" s="97"/>
      <c r="F82" s="97" t="s">
        <v>472</v>
      </c>
      <c r="G82" s="97" t="s">
        <v>446</v>
      </c>
      <c r="H82" s="97" t="s">
        <v>259</v>
      </c>
      <c r="I82" s="97" t="s">
        <v>247</v>
      </c>
      <c r="J82" s="98">
        <v>0</v>
      </c>
      <c r="K82" s="98">
        <v>1293451261</v>
      </c>
      <c r="L82" s="97"/>
      <c r="M82" s="97"/>
      <c r="N82" s="97"/>
      <c r="O82" s="97"/>
      <c r="P82" s="97"/>
      <c r="Q82" s="97" t="s">
        <v>488</v>
      </c>
      <c r="R82" s="97"/>
      <c r="S82" s="97" t="s">
        <v>488</v>
      </c>
      <c r="T82" s="851">
        <f t="shared" si="1"/>
        <v>-1293451261</v>
      </c>
      <c r="U82" s="850"/>
      <c r="V82" s="850"/>
      <c r="W82" s="850"/>
      <c r="X82"/>
      <c r="Y82"/>
    </row>
    <row r="83" spans="1:25" ht="15">
      <c r="A83" s="96">
        <v>45351</v>
      </c>
      <c r="B83" s="96">
        <v>45351</v>
      </c>
      <c r="C83" s="97" t="s">
        <v>504</v>
      </c>
      <c r="D83" s="96"/>
      <c r="E83" s="97"/>
      <c r="F83" s="97" t="s">
        <v>472</v>
      </c>
      <c r="G83" s="97" t="s">
        <v>446</v>
      </c>
      <c r="H83" s="97" t="s">
        <v>745</v>
      </c>
      <c r="I83" s="97" t="s">
        <v>247</v>
      </c>
      <c r="J83" s="98">
        <v>0</v>
      </c>
      <c r="K83" s="98">
        <v>632073</v>
      </c>
      <c r="L83" s="97"/>
      <c r="M83" s="97"/>
      <c r="N83" s="97"/>
      <c r="O83" s="97"/>
      <c r="P83" s="97"/>
      <c r="Q83" s="97" t="s">
        <v>488</v>
      </c>
      <c r="R83" s="97"/>
      <c r="S83" s="97" t="s">
        <v>488</v>
      </c>
      <c r="T83" s="851">
        <f t="shared" si="1"/>
        <v>-632073</v>
      </c>
      <c r="U83" s="850"/>
      <c r="V83" s="850"/>
      <c r="W83" s="850"/>
      <c r="X83"/>
      <c r="Y83"/>
    </row>
    <row r="84" spans="1:25" ht="15">
      <c r="A84" s="96">
        <v>45351</v>
      </c>
      <c r="B84" s="96">
        <v>45351</v>
      </c>
      <c r="C84" s="97" t="s">
        <v>504</v>
      </c>
      <c r="D84" s="96"/>
      <c r="E84" s="97"/>
      <c r="F84" s="97" t="s">
        <v>473</v>
      </c>
      <c r="G84" s="97" t="s">
        <v>446</v>
      </c>
      <c r="H84" s="97" t="s">
        <v>303</v>
      </c>
      <c r="I84" s="97" t="s">
        <v>303</v>
      </c>
      <c r="J84" s="98">
        <v>1344940012</v>
      </c>
      <c r="K84" s="98">
        <v>0</v>
      </c>
      <c r="L84" s="97"/>
      <c r="M84" s="97"/>
      <c r="N84" s="97"/>
      <c r="O84" s="97"/>
      <c r="P84" s="97"/>
      <c r="Q84" s="97" t="s">
        <v>488</v>
      </c>
      <c r="R84" s="97"/>
      <c r="S84" s="97" t="s">
        <v>488</v>
      </c>
      <c r="T84" s="851">
        <f t="shared" si="1"/>
        <v>1344940012</v>
      </c>
      <c r="U84" s="850"/>
      <c r="V84" s="850"/>
      <c r="W84" s="850"/>
      <c r="X84"/>
      <c r="Y84"/>
    </row>
    <row r="85" spans="1:25" ht="15">
      <c r="A85" s="96">
        <v>45351</v>
      </c>
      <c r="B85" s="96">
        <v>45351</v>
      </c>
      <c r="C85" s="97" t="s">
        <v>504</v>
      </c>
      <c r="D85" s="96"/>
      <c r="E85" s="97"/>
      <c r="F85" s="97" t="s">
        <v>474</v>
      </c>
      <c r="G85" s="97" t="s">
        <v>446</v>
      </c>
      <c r="H85" s="97" t="s">
        <v>309</v>
      </c>
      <c r="I85" s="97" t="s">
        <v>305</v>
      </c>
      <c r="J85" s="98">
        <v>0</v>
      </c>
      <c r="K85" s="98">
        <v>2981466931</v>
      </c>
      <c r="L85" s="97"/>
      <c r="M85" s="97"/>
      <c r="N85" s="97"/>
      <c r="O85" s="97"/>
      <c r="P85" s="97"/>
      <c r="Q85" s="97" t="s">
        <v>488</v>
      </c>
      <c r="R85" s="97"/>
      <c r="S85" s="97" t="s">
        <v>488</v>
      </c>
      <c r="T85" s="851">
        <f t="shared" si="1"/>
        <v>-2981466931</v>
      </c>
      <c r="U85" s="850"/>
      <c r="V85" s="850"/>
      <c r="W85" s="850"/>
      <c r="X85"/>
      <c r="Y85"/>
    </row>
    <row r="86" spans="1:25" ht="15">
      <c r="A86" s="96">
        <v>45351</v>
      </c>
      <c r="B86" s="96">
        <v>45351</v>
      </c>
      <c r="C86" s="97" t="s">
        <v>504</v>
      </c>
      <c r="D86" s="96"/>
      <c r="E86" s="97"/>
      <c r="F86" s="97" t="s">
        <v>474</v>
      </c>
      <c r="G86" s="97" t="s">
        <v>446</v>
      </c>
      <c r="H86" s="97" t="s">
        <v>313</v>
      </c>
      <c r="I86" s="97" t="s">
        <v>305</v>
      </c>
      <c r="J86" s="98">
        <v>1020121486</v>
      </c>
      <c r="K86" s="98">
        <v>0</v>
      </c>
      <c r="L86" s="97"/>
      <c r="M86" s="97"/>
      <c r="N86" s="97"/>
      <c r="O86" s="97"/>
      <c r="P86" s="97"/>
      <c r="Q86" s="97" t="s">
        <v>488</v>
      </c>
      <c r="R86" s="97"/>
      <c r="S86" s="97" t="s">
        <v>488</v>
      </c>
      <c r="T86" s="851">
        <f t="shared" si="1"/>
        <v>1020121486</v>
      </c>
      <c r="U86" s="850"/>
      <c r="V86" s="850"/>
      <c r="W86" s="850"/>
      <c r="X86"/>
      <c r="Y86"/>
    </row>
    <row r="87" spans="1:25" ht="15">
      <c r="A87" s="96">
        <v>45351</v>
      </c>
      <c r="B87" s="96">
        <v>45351</v>
      </c>
      <c r="C87" s="97" t="s">
        <v>504</v>
      </c>
      <c r="D87" s="96"/>
      <c r="E87" s="97"/>
      <c r="F87" s="97" t="s">
        <v>474</v>
      </c>
      <c r="G87" s="97" t="s">
        <v>446</v>
      </c>
      <c r="H87" s="97" t="s">
        <v>317</v>
      </c>
      <c r="I87" s="97" t="s">
        <v>305</v>
      </c>
      <c r="J87" s="98">
        <v>166415425</v>
      </c>
      <c r="K87" s="98">
        <v>0</v>
      </c>
      <c r="L87" s="97"/>
      <c r="M87" s="97"/>
      <c r="N87" s="97"/>
      <c r="O87" s="97"/>
      <c r="P87" s="97"/>
      <c r="Q87" s="97" t="s">
        <v>488</v>
      </c>
      <c r="R87" s="97"/>
      <c r="S87" s="97" t="s">
        <v>488</v>
      </c>
      <c r="T87" s="851">
        <f t="shared" si="1"/>
        <v>166415425</v>
      </c>
      <c r="U87" s="850"/>
      <c r="V87" s="850"/>
      <c r="W87" s="850"/>
      <c r="X87"/>
      <c r="Y87"/>
    </row>
    <row r="88" spans="1:25" ht="15">
      <c r="A88" s="96">
        <v>45351</v>
      </c>
      <c r="B88" s="96">
        <v>45351</v>
      </c>
      <c r="C88" s="97" t="s">
        <v>504</v>
      </c>
      <c r="D88" s="96"/>
      <c r="E88" s="97"/>
      <c r="F88" s="97" t="s">
        <v>474</v>
      </c>
      <c r="G88" s="97" t="s">
        <v>446</v>
      </c>
      <c r="H88" s="97" t="s">
        <v>325</v>
      </c>
      <c r="I88" s="97" t="s">
        <v>305</v>
      </c>
      <c r="J88" s="98">
        <v>11506849</v>
      </c>
      <c r="K88" s="98">
        <v>0</v>
      </c>
      <c r="L88" s="97"/>
      <c r="M88" s="97"/>
      <c r="N88" s="97"/>
      <c r="O88" s="97"/>
      <c r="P88" s="97"/>
      <c r="Q88" s="97" t="s">
        <v>488</v>
      </c>
      <c r="R88" s="97"/>
      <c r="S88" s="97" t="s">
        <v>488</v>
      </c>
      <c r="T88" s="851">
        <f t="shared" si="1"/>
        <v>11506849</v>
      </c>
      <c r="U88" s="850"/>
      <c r="V88" s="850"/>
      <c r="W88" s="850"/>
      <c r="X88"/>
      <c r="Y88"/>
    </row>
    <row r="89" spans="1:25">
      <c r="A89" s="96">
        <v>45351</v>
      </c>
      <c r="B89" s="96">
        <v>45351</v>
      </c>
      <c r="C89" s="97" t="s">
        <v>504</v>
      </c>
      <c r="D89" s="96"/>
      <c r="E89" s="97"/>
      <c r="F89" s="97" t="s">
        <v>474</v>
      </c>
      <c r="G89" s="97" t="s">
        <v>446</v>
      </c>
      <c r="H89" s="97" t="s">
        <v>327</v>
      </c>
      <c r="I89" s="97" t="s">
        <v>305</v>
      </c>
      <c r="J89" s="98">
        <v>281530591</v>
      </c>
      <c r="K89" s="98">
        <v>0</v>
      </c>
      <c r="L89" s="97"/>
      <c r="M89" s="97"/>
      <c r="N89" s="97"/>
      <c r="O89" s="97"/>
      <c r="P89" s="97"/>
      <c r="Q89" s="97" t="s">
        <v>488</v>
      </c>
      <c r="R89" s="97"/>
      <c r="S89" s="97" t="s">
        <v>488</v>
      </c>
      <c r="T89" s="851">
        <f t="shared" si="1"/>
        <v>281530591</v>
      </c>
      <c r="U89" s="850"/>
      <c r="V89" s="850"/>
      <c r="W89" s="850"/>
      <c r="X89" s="850"/>
      <c r="Y89" s="850"/>
    </row>
    <row r="90" spans="1:25">
      <c r="A90" s="96">
        <v>45351</v>
      </c>
      <c r="B90" s="96">
        <v>45351</v>
      </c>
      <c r="C90" s="97" t="s">
        <v>504</v>
      </c>
      <c r="D90" s="96"/>
      <c r="E90" s="97"/>
      <c r="F90" s="97" t="s">
        <v>474</v>
      </c>
      <c r="G90" s="97" t="s">
        <v>446</v>
      </c>
      <c r="H90" s="97" t="s">
        <v>329</v>
      </c>
      <c r="I90" s="97" t="s">
        <v>305</v>
      </c>
      <c r="J90" s="98">
        <v>387406458</v>
      </c>
      <c r="K90" s="98">
        <v>0</v>
      </c>
      <c r="L90" s="97"/>
      <c r="M90" s="97"/>
      <c r="N90" s="97"/>
      <c r="O90" s="97"/>
      <c r="P90" s="97"/>
      <c r="Q90" s="97" t="s">
        <v>488</v>
      </c>
      <c r="R90" s="97"/>
      <c r="S90" s="97" t="s">
        <v>488</v>
      </c>
      <c r="T90" s="851">
        <f t="shared" si="1"/>
        <v>387406458</v>
      </c>
      <c r="U90" s="850"/>
      <c r="V90" s="850"/>
      <c r="W90" s="850"/>
      <c r="X90" s="850"/>
      <c r="Y90" s="850"/>
    </row>
    <row r="91" spans="1:25">
      <c r="A91" s="96">
        <v>45351</v>
      </c>
      <c r="B91" s="96">
        <v>45351</v>
      </c>
      <c r="C91" s="97" t="s">
        <v>504</v>
      </c>
      <c r="D91" s="96"/>
      <c r="E91" s="97"/>
      <c r="F91" s="97" t="s">
        <v>474</v>
      </c>
      <c r="G91" s="97" t="s">
        <v>446</v>
      </c>
      <c r="H91" s="97" t="s">
        <v>307</v>
      </c>
      <c r="I91" s="97" t="s">
        <v>305</v>
      </c>
      <c r="J91" s="98">
        <v>11248733827</v>
      </c>
      <c r="K91" s="98">
        <v>0</v>
      </c>
      <c r="L91" s="97"/>
      <c r="M91" s="97"/>
      <c r="N91" s="97"/>
      <c r="O91" s="97"/>
      <c r="P91" s="97"/>
      <c r="Q91" s="97" t="s">
        <v>488</v>
      </c>
      <c r="R91" s="97"/>
      <c r="S91" s="97" t="s">
        <v>488</v>
      </c>
      <c r="T91" s="851">
        <f t="shared" si="1"/>
        <v>11248733827</v>
      </c>
      <c r="U91" s="850"/>
      <c r="V91" s="850"/>
      <c r="W91" s="850"/>
      <c r="X91" s="850"/>
      <c r="Y91" s="850"/>
    </row>
    <row r="92" spans="1:25">
      <c r="A92" s="96">
        <v>45351</v>
      </c>
      <c r="B92" s="96">
        <v>45351</v>
      </c>
      <c r="C92" s="97" t="s">
        <v>504</v>
      </c>
      <c r="D92" s="96"/>
      <c r="E92" s="97"/>
      <c r="F92" s="97" t="s">
        <v>475</v>
      </c>
      <c r="G92" s="97" t="s">
        <v>446</v>
      </c>
      <c r="H92" s="97" t="s">
        <v>337</v>
      </c>
      <c r="I92" s="97" t="s">
        <v>333</v>
      </c>
      <c r="J92" s="98">
        <v>6889119</v>
      </c>
      <c r="K92" s="98">
        <v>0</v>
      </c>
      <c r="L92" s="97"/>
      <c r="M92" s="97"/>
      <c r="N92" s="97"/>
      <c r="O92" s="97"/>
      <c r="P92" s="97"/>
      <c r="Q92" s="97" t="s">
        <v>488</v>
      </c>
      <c r="R92" s="97"/>
      <c r="S92" s="97" t="s">
        <v>488</v>
      </c>
      <c r="T92" s="851">
        <f t="shared" si="1"/>
        <v>6889119</v>
      </c>
      <c r="U92" s="850"/>
      <c r="V92" s="850"/>
      <c r="W92" s="850"/>
      <c r="X92" s="850"/>
      <c r="Y92" s="850"/>
    </row>
    <row r="93" spans="1:25">
      <c r="A93" s="96">
        <v>45351</v>
      </c>
      <c r="B93" s="96">
        <v>45351</v>
      </c>
      <c r="C93" s="97" t="s">
        <v>504</v>
      </c>
      <c r="D93" s="96"/>
      <c r="E93" s="97"/>
      <c r="F93" s="97" t="s">
        <v>475</v>
      </c>
      <c r="G93" s="97" t="s">
        <v>446</v>
      </c>
      <c r="H93" s="97" t="s">
        <v>343</v>
      </c>
      <c r="I93" s="97" t="s">
        <v>333</v>
      </c>
      <c r="J93" s="98">
        <v>5814470</v>
      </c>
      <c r="K93" s="98">
        <v>0</v>
      </c>
      <c r="L93" s="97"/>
      <c r="M93" s="97"/>
      <c r="N93" s="97"/>
      <c r="O93" s="97"/>
      <c r="P93" s="97"/>
      <c r="Q93" s="97" t="s">
        <v>488</v>
      </c>
      <c r="R93" s="97"/>
      <c r="S93" s="97" t="s">
        <v>488</v>
      </c>
      <c r="T93" s="851">
        <f t="shared" si="1"/>
        <v>5814470</v>
      </c>
      <c r="U93" s="850"/>
      <c r="V93" s="850"/>
      <c r="W93" s="850"/>
      <c r="X93" s="850"/>
      <c r="Y93" s="850"/>
    </row>
    <row r="94" spans="1:25">
      <c r="A94" s="96">
        <v>45351</v>
      </c>
      <c r="B94" s="96">
        <v>45351</v>
      </c>
      <c r="C94" s="97" t="s">
        <v>504</v>
      </c>
      <c r="D94" s="96"/>
      <c r="E94" s="97"/>
      <c r="F94" s="97" t="s">
        <v>475</v>
      </c>
      <c r="G94" s="97" t="s">
        <v>446</v>
      </c>
      <c r="H94" s="97" t="s">
        <v>345</v>
      </c>
      <c r="I94" s="97" t="s">
        <v>333</v>
      </c>
      <c r="J94" s="98">
        <v>3870417</v>
      </c>
      <c r="K94" s="98">
        <v>0</v>
      </c>
      <c r="L94" s="97"/>
      <c r="M94" s="97"/>
      <c r="N94" s="97"/>
      <c r="O94" s="97"/>
      <c r="P94" s="97"/>
      <c r="Q94" s="97" t="s">
        <v>488</v>
      </c>
      <c r="R94" s="97"/>
      <c r="S94" s="97" t="s">
        <v>488</v>
      </c>
      <c r="T94" s="851">
        <f t="shared" si="1"/>
        <v>3870417</v>
      </c>
      <c r="U94" s="850"/>
      <c r="V94" s="850"/>
      <c r="W94" s="850"/>
      <c r="X94" s="850"/>
      <c r="Y94" s="850"/>
    </row>
    <row r="95" spans="1:25">
      <c r="A95" s="96">
        <v>45351</v>
      </c>
      <c r="B95" s="96">
        <v>45351</v>
      </c>
      <c r="C95" s="97" t="s">
        <v>504</v>
      </c>
      <c r="D95" s="96"/>
      <c r="E95" s="97"/>
      <c r="F95" s="97" t="s">
        <v>475</v>
      </c>
      <c r="G95" s="97" t="s">
        <v>446</v>
      </c>
      <c r="H95" s="97" t="s">
        <v>348</v>
      </c>
      <c r="I95" s="97" t="s">
        <v>333</v>
      </c>
      <c r="J95" s="98">
        <v>354201072</v>
      </c>
      <c r="K95" s="98">
        <v>0</v>
      </c>
      <c r="L95" s="97"/>
      <c r="M95" s="97"/>
      <c r="N95" s="97"/>
      <c r="O95" s="97"/>
      <c r="P95" s="97"/>
      <c r="Q95" s="97" t="s">
        <v>488</v>
      </c>
      <c r="R95" s="97"/>
      <c r="S95" s="97" t="s">
        <v>488</v>
      </c>
      <c r="T95" s="851">
        <f t="shared" si="1"/>
        <v>354201072</v>
      </c>
      <c r="U95" s="850"/>
      <c r="V95" s="850"/>
      <c r="W95" s="850"/>
      <c r="X95" s="850"/>
      <c r="Y95" s="850"/>
    </row>
    <row r="96" spans="1:25">
      <c r="A96" s="96">
        <v>45351</v>
      </c>
      <c r="B96" s="96">
        <v>45351</v>
      </c>
      <c r="C96" s="97" t="s">
        <v>504</v>
      </c>
      <c r="D96" s="96"/>
      <c r="E96" s="97"/>
      <c r="F96" s="97" t="s">
        <v>475</v>
      </c>
      <c r="G96" s="97" t="s">
        <v>446</v>
      </c>
      <c r="H96" s="97" t="s">
        <v>350</v>
      </c>
      <c r="I96" s="97" t="s">
        <v>333</v>
      </c>
      <c r="J96" s="98">
        <v>17410654</v>
      </c>
      <c r="K96" s="98">
        <v>0</v>
      </c>
      <c r="L96" s="97"/>
      <c r="M96" s="97"/>
      <c r="N96" s="97"/>
      <c r="O96" s="97"/>
      <c r="P96" s="97"/>
      <c r="Q96" s="97" t="s">
        <v>488</v>
      </c>
      <c r="R96" s="97"/>
      <c r="S96" s="97" t="s">
        <v>488</v>
      </c>
      <c r="T96" s="851">
        <f t="shared" si="1"/>
        <v>17410654</v>
      </c>
      <c r="U96" s="850"/>
      <c r="V96" s="850"/>
      <c r="W96" s="850"/>
      <c r="X96" s="850"/>
      <c r="Y96" s="850"/>
    </row>
    <row r="97" spans="1:20">
      <c r="A97" s="96">
        <v>45351</v>
      </c>
      <c r="B97" s="96">
        <v>45351</v>
      </c>
      <c r="C97" s="97" t="s">
        <v>504</v>
      </c>
      <c r="D97" s="96"/>
      <c r="E97" s="97"/>
      <c r="F97" s="97" t="s">
        <v>475</v>
      </c>
      <c r="G97" s="97" t="s">
        <v>446</v>
      </c>
      <c r="H97" s="97" t="s">
        <v>352</v>
      </c>
      <c r="I97" s="97" t="s">
        <v>333</v>
      </c>
      <c r="J97" s="98">
        <v>1200000</v>
      </c>
      <c r="K97" s="98">
        <v>0</v>
      </c>
      <c r="L97" s="97"/>
      <c r="M97" s="97"/>
      <c r="N97" s="97"/>
      <c r="O97" s="97"/>
      <c r="P97" s="97"/>
      <c r="Q97" s="97" t="s">
        <v>488</v>
      </c>
      <c r="R97" s="97"/>
      <c r="S97" s="97" t="s">
        <v>488</v>
      </c>
      <c r="T97" s="851">
        <f t="shared" si="1"/>
        <v>1200000</v>
      </c>
    </row>
    <row r="98" spans="1:20">
      <c r="A98" s="96">
        <v>45351</v>
      </c>
      <c r="B98" s="96">
        <v>45351</v>
      </c>
      <c r="C98" s="97" t="s">
        <v>504</v>
      </c>
      <c r="D98" s="96"/>
      <c r="E98" s="97"/>
      <c r="F98" s="97" t="s">
        <v>475</v>
      </c>
      <c r="G98" s="97" t="s">
        <v>446</v>
      </c>
      <c r="H98" s="97" t="s">
        <v>354</v>
      </c>
      <c r="I98" s="97" t="s">
        <v>333</v>
      </c>
      <c r="J98" s="98">
        <v>3471396</v>
      </c>
      <c r="K98" s="98">
        <v>0</v>
      </c>
      <c r="L98" s="97"/>
      <c r="M98" s="97"/>
      <c r="N98" s="97"/>
      <c r="O98" s="97"/>
      <c r="P98" s="97"/>
      <c r="Q98" s="97" t="s">
        <v>488</v>
      </c>
      <c r="R98" s="97"/>
      <c r="S98" s="97" t="s">
        <v>488</v>
      </c>
      <c r="T98" s="851">
        <f t="shared" si="1"/>
        <v>3471396</v>
      </c>
    </row>
    <row r="99" spans="1:20">
      <c r="A99" s="96">
        <v>45351</v>
      </c>
      <c r="B99" s="96">
        <v>45351</v>
      </c>
      <c r="C99" s="97" t="s">
        <v>504</v>
      </c>
      <c r="D99" s="96"/>
      <c r="E99" s="97"/>
      <c r="F99" s="97" t="s">
        <v>475</v>
      </c>
      <c r="G99" s="97" t="s">
        <v>446</v>
      </c>
      <c r="H99" s="97" t="s">
        <v>359</v>
      </c>
      <c r="I99" s="97" t="s">
        <v>333</v>
      </c>
      <c r="J99" s="98">
        <v>6117876</v>
      </c>
      <c r="K99" s="98">
        <v>0</v>
      </c>
      <c r="L99" s="97"/>
      <c r="M99" s="97"/>
      <c r="N99" s="97"/>
      <c r="O99" s="97"/>
      <c r="P99" s="97"/>
      <c r="Q99" s="97" t="s">
        <v>488</v>
      </c>
      <c r="R99" s="97"/>
      <c r="S99" s="97" t="s">
        <v>488</v>
      </c>
      <c r="T99" s="851">
        <f t="shared" si="1"/>
        <v>6117876</v>
      </c>
    </row>
    <row r="100" spans="1:20">
      <c r="A100" s="96">
        <v>45351</v>
      </c>
      <c r="B100" s="96">
        <v>45351</v>
      </c>
      <c r="C100" s="97" t="s">
        <v>504</v>
      </c>
      <c r="D100" s="96"/>
      <c r="E100" s="97"/>
      <c r="F100" s="97" t="s">
        <v>475</v>
      </c>
      <c r="G100" s="97" t="s">
        <v>446</v>
      </c>
      <c r="H100" s="97" t="s">
        <v>361</v>
      </c>
      <c r="I100" s="97" t="s">
        <v>333</v>
      </c>
      <c r="J100" s="98">
        <v>18764183</v>
      </c>
      <c r="K100" s="98">
        <v>0</v>
      </c>
      <c r="L100" s="97"/>
      <c r="M100" s="97"/>
      <c r="N100" s="97"/>
      <c r="O100" s="97"/>
      <c r="P100" s="97"/>
      <c r="Q100" s="97" t="s">
        <v>488</v>
      </c>
      <c r="R100" s="97"/>
      <c r="S100" s="97" t="s">
        <v>488</v>
      </c>
      <c r="T100" s="851">
        <f t="shared" si="1"/>
        <v>18764183</v>
      </c>
    </row>
    <row r="101" spans="1:20">
      <c r="A101" s="96">
        <v>45351</v>
      </c>
      <c r="B101" s="96">
        <v>45351</v>
      </c>
      <c r="C101" s="97" t="s">
        <v>504</v>
      </c>
      <c r="D101" s="96"/>
      <c r="E101" s="97"/>
      <c r="F101" s="97" t="s">
        <v>475</v>
      </c>
      <c r="G101" s="97" t="s">
        <v>446</v>
      </c>
      <c r="H101" s="97" t="s">
        <v>363</v>
      </c>
      <c r="I101" s="97" t="s">
        <v>333</v>
      </c>
      <c r="J101" s="98">
        <v>3905252</v>
      </c>
      <c r="K101" s="98">
        <v>0</v>
      </c>
      <c r="L101" s="97"/>
      <c r="M101" s="97"/>
      <c r="N101" s="97"/>
      <c r="O101" s="97"/>
      <c r="P101" s="97"/>
      <c r="Q101" s="97" t="s">
        <v>488</v>
      </c>
      <c r="R101" s="97"/>
      <c r="S101" s="97" t="s">
        <v>488</v>
      </c>
      <c r="T101" s="851">
        <f t="shared" si="1"/>
        <v>3905252</v>
      </c>
    </row>
    <row r="102" spans="1:20">
      <c r="A102" s="96">
        <v>45351</v>
      </c>
      <c r="B102" s="96">
        <v>45351</v>
      </c>
      <c r="C102" s="97" t="s">
        <v>504</v>
      </c>
      <c r="D102" s="96"/>
      <c r="E102" s="97"/>
      <c r="F102" s="97" t="s">
        <v>475</v>
      </c>
      <c r="G102" s="97" t="s">
        <v>446</v>
      </c>
      <c r="H102" s="97" t="s">
        <v>370</v>
      </c>
      <c r="I102" s="97" t="s">
        <v>333</v>
      </c>
      <c r="J102" s="98">
        <v>36228893</v>
      </c>
      <c r="K102" s="98">
        <v>0</v>
      </c>
      <c r="L102" s="97"/>
      <c r="M102" s="97"/>
      <c r="N102" s="97"/>
      <c r="O102" s="97"/>
      <c r="P102" s="97"/>
      <c r="Q102" s="97" t="s">
        <v>488</v>
      </c>
      <c r="R102" s="97"/>
      <c r="S102" s="97" t="s">
        <v>488</v>
      </c>
      <c r="T102" s="851">
        <f t="shared" si="1"/>
        <v>36228893</v>
      </c>
    </row>
    <row r="103" spans="1:20">
      <c r="A103" s="96">
        <v>45351</v>
      </c>
      <c r="B103" s="96">
        <v>45351</v>
      </c>
      <c r="C103" s="97" t="s">
        <v>504</v>
      </c>
      <c r="D103" s="96"/>
      <c r="E103" s="97"/>
      <c r="F103" s="97" t="s">
        <v>476</v>
      </c>
      <c r="G103" s="97" t="s">
        <v>446</v>
      </c>
      <c r="H103" s="97" t="s">
        <v>398</v>
      </c>
      <c r="I103" s="97" t="s">
        <v>374</v>
      </c>
      <c r="J103" s="98">
        <v>0</v>
      </c>
      <c r="K103" s="98">
        <v>123368865</v>
      </c>
      <c r="L103" s="97"/>
      <c r="M103" s="97"/>
      <c r="N103" s="97"/>
      <c r="O103" s="97"/>
      <c r="P103" s="97"/>
      <c r="Q103" s="97" t="s">
        <v>488</v>
      </c>
      <c r="R103" s="97"/>
      <c r="S103" s="97" t="s">
        <v>488</v>
      </c>
      <c r="T103" s="851">
        <f t="shared" si="1"/>
        <v>-123368865</v>
      </c>
    </row>
    <row r="104" spans="1:20">
      <c r="A104" s="96">
        <v>45351</v>
      </c>
      <c r="B104" s="96">
        <v>45351</v>
      </c>
      <c r="C104" s="97" t="s">
        <v>504</v>
      </c>
      <c r="D104" s="96"/>
      <c r="E104" s="97"/>
      <c r="F104" s="97" t="s">
        <v>476</v>
      </c>
      <c r="G104" s="97" t="s">
        <v>446</v>
      </c>
      <c r="H104" s="97" t="s">
        <v>405</v>
      </c>
      <c r="I104" s="97" t="s">
        <v>374</v>
      </c>
      <c r="J104" s="98">
        <v>12000000</v>
      </c>
      <c r="K104" s="98">
        <v>0</v>
      </c>
      <c r="L104" s="97"/>
      <c r="M104" s="97"/>
      <c r="N104" s="97"/>
      <c r="O104" s="97"/>
      <c r="P104" s="97"/>
      <c r="Q104" s="97" t="s">
        <v>488</v>
      </c>
      <c r="R104" s="97"/>
      <c r="S104" s="97" t="s">
        <v>488</v>
      </c>
      <c r="T104" s="851">
        <f t="shared" si="1"/>
        <v>12000000</v>
      </c>
    </row>
    <row r="105" spans="1:20">
      <c r="A105" s="96">
        <v>45351</v>
      </c>
      <c r="B105" s="96">
        <v>45351</v>
      </c>
      <c r="C105" s="97" t="s">
        <v>504</v>
      </c>
      <c r="D105" s="96"/>
      <c r="E105" s="97"/>
      <c r="F105" s="97" t="s">
        <v>476</v>
      </c>
      <c r="G105" s="97" t="s">
        <v>446</v>
      </c>
      <c r="H105" s="97" t="s">
        <v>407</v>
      </c>
      <c r="I105" s="97" t="s">
        <v>374</v>
      </c>
      <c r="J105" s="98">
        <v>64393939</v>
      </c>
      <c r="K105" s="98">
        <v>0</v>
      </c>
      <c r="L105" s="97"/>
      <c r="M105" s="97"/>
      <c r="N105" s="97"/>
      <c r="O105" s="97"/>
      <c r="P105" s="97"/>
      <c r="Q105" s="97" t="s">
        <v>488</v>
      </c>
      <c r="R105" s="97"/>
      <c r="S105" s="97" t="s">
        <v>488</v>
      </c>
      <c r="T105" s="851">
        <f t="shared" si="1"/>
        <v>64393939</v>
      </c>
    </row>
    <row r="106" spans="1:20">
      <c r="A106" s="96">
        <v>45351</v>
      </c>
      <c r="B106" s="96">
        <v>45351</v>
      </c>
      <c r="C106" s="97" t="s">
        <v>504</v>
      </c>
      <c r="D106" s="96"/>
      <c r="E106" s="97"/>
      <c r="F106" s="97" t="s">
        <v>476</v>
      </c>
      <c r="G106" s="97" t="s">
        <v>446</v>
      </c>
      <c r="H106" s="97" t="s">
        <v>413</v>
      </c>
      <c r="I106" s="97" t="s">
        <v>374</v>
      </c>
      <c r="J106" s="98">
        <v>11233665</v>
      </c>
      <c r="K106" s="98">
        <v>0</v>
      </c>
      <c r="L106" s="97"/>
      <c r="M106" s="97"/>
      <c r="N106" s="97"/>
      <c r="O106" s="97"/>
      <c r="P106" s="97"/>
      <c r="Q106" s="97" t="s">
        <v>488</v>
      </c>
      <c r="R106" s="97"/>
      <c r="S106" s="97" t="s">
        <v>488</v>
      </c>
      <c r="T106" s="851">
        <f t="shared" si="1"/>
        <v>11233665</v>
      </c>
    </row>
    <row r="107" spans="1:20">
      <c r="A107" s="96">
        <v>45351</v>
      </c>
      <c r="B107" s="96">
        <v>45351</v>
      </c>
      <c r="C107" s="97" t="s">
        <v>504</v>
      </c>
      <c r="D107" s="96"/>
      <c r="E107" s="97"/>
      <c r="F107" s="97" t="s">
        <v>476</v>
      </c>
      <c r="G107" s="97" t="s">
        <v>446</v>
      </c>
      <c r="H107" s="97" t="s">
        <v>415</v>
      </c>
      <c r="I107" s="97" t="s">
        <v>374</v>
      </c>
      <c r="J107" s="98">
        <v>3409091</v>
      </c>
      <c r="K107" s="98">
        <v>0</v>
      </c>
      <c r="L107" s="97"/>
      <c r="M107" s="97"/>
      <c r="N107" s="97"/>
      <c r="O107" s="97"/>
      <c r="P107" s="97"/>
      <c r="Q107" s="97" t="s">
        <v>488</v>
      </c>
      <c r="R107" s="97"/>
      <c r="S107" s="97" t="s">
        <v>488</v>
      </c>
      <c r="T107" s="851">
        <f t="shared" si="1"/>
        <v>3409091</v>
      </c>
    </row>
    <row r="108" spans="1:20">
      <c r="A108" s="96">
        <v>45351</v>
      </c>
      <c r="B108" s="96">
        <v>45351</v>
      </c>
      <c r="C108" s="97" t="s">
        <v>504</v>
      </c>
      <c r="D108" s="96"/>
      <c r="E108" s="97"/>
      <c r="F108" s="97" t="s">
        <v>476</v>
      </c>
      <c r="G108" s="97" t="s">
        <v>446</v>
      </c>
      <c r="H108" s="97" t="s">
        <v>419</v>
      </c>
      <c r="I108" s="97" t="s">
        <v>374</v>
      </c>
      <c r="J108" s="98">
        <v>1950000</v>
      </c>
      <c r="K108" s="98">
        <v>0</v>
      </c>
      <c r="L108" s="97"/>
      <c r="M108" s="97"/>
      <c r="N108" s="97"/>
      <c r="O108" s="97"/>
      <c r="P108" s="97"/>
      <c r="Q108" s="97" t="s">
        <v>488</v>
      </c>
      <c r="R108" s="97"/>
      <c r="S108" s="97" t="s">
        <v>488</v>
      </c>
      <c r="T108" s="851">
        <f t="shared" si="1"/>
        <v>1950000</v>
      </c>
    </row>
    <row r="109" spans="1:20">
      <c r="A109" s="96">
        <v>45351</v>
      </c>
      <c r="B109" s="96">
        <v>45351</v>
      </c>
      <c r="C109" s="97" t="s">
        <v>504</v>
      </c>
      <c r="D109" s="96"/>
      <c r="E109" s="97"/>
      <c r="F109" s="97" t="s">
        <v>476</v>
      </c>
      <c r="G109" s="97" t="s">
        <v>446</v>
      </c>
      <c r="H109" s="97" t="s">
        <v>421</v>
      </c>
      <c r="I109" s="97" t="s">
        <v>374</v>
      </c>
      <c r="J109" s="98">
        <v>7479592</v>
      </c>
      <c r="K109" s="98">
        <v>0</v>
      </c>
      <c r="L109" s="97"/>
      <c r="M109" s="97"/>
      <c r="N109" s="97"/>
      <c r="O109" s="97"/>
      <c r="P109" s="97"/>
      <c r="Q109" s="97" t="s">
        <v>488</v>
      </c>
      <c r="R109" s="97"/>
      <c r="S109" s="97" t="s">
        <v>488</v>
      </c>
      <c r="T109" s="851">
        <f t="shared" si="1"/>
        <v>7479592</v>
      </c>
    </row>
    <row r="110" spans="1:20">
      <c r="A110" s="96">
        <v>45351</v>
      </c>
      <c r="B110" s="96">
        <v>45351</v>
      </c>
      <c r="C110" s="97" t="s">
        <v>504</v>
      </c>
      <c r="D110" s="96"/>
      <c r="E110" s="97"/>
      <c r="F110" s="97" t="s">
        <v>476</v>
      </c>
      <c r="G110" s="97" t="s">
        <v>446</v>
      </c>
      <c r="H110" s="97" t="s">
        <v>422</v>
      </c>
      <c r="I110" s="97" t="s">
        <v>374</v>
      </c>
      <c r="J110" s="98">
        <v>17648148</v>
      </c>
      <c r="K110" s="98">
        <v>0</v>
      </c>
      <c r="L110" s="97"/>
      <c r="M110" s="97"/>
      <c r="N110" s="97"/>
      <c r="O110" s="97"/>
      <c r="P110" s="97"/>
      <c r="Q110" s="97" t="s">
        <v>488</v>
      </c>
      <c r="R110" s="97"/>
      <c r="S110" s="97" t="s">
        <v>488</v>
      </c>
      <c r="T110" s="851">
        <f t="shared" si="1"/>
        <v>17648148</v>
      </c>
    </row>
    <row r="111" spans="1:20">
      <c r="A111" s="96">
        <v>45351</v>
      </c>
      <c r="B111" s="96">
        <v>45351</v>
      </c>
      <c r="C111" s="97" t="s">
        <v>504</v>
      </c>
      <c r="D111" s="96"/>
      <c r="E111" s="97"/>
      <c r="F111" s="97" t="s">
        <v>476</v>
      </c>
      <c r="G111" s="97" t="s">
        <v>446</v>
      </c>
      <c r="H111" s="97" t="s">
        <v>424</v>
      </c>
      <c r="I111" s="97" t="s">
        <v>374</v>
      </c>
      <c r="J111" s="98">
        <v>22076454</v>
      </c>
      <c r="K111" s="98">
        <v>0</v>
      </c>
      <c r="L111" s="97"/>
      <c r="M111" s="97"/>
      <c r="N111" s="97"/>
      <c r="O111" s="97"/>
      <c r="P111" s="97"/>
      <c r="Q111" s="97" t="s">
        <v>488</v>
      </c>
      <c r="R111" s="97"/>
      <c r="S111" s="97" t="s">
        <v>488</v>
      </c>
      <c r="T111" s="851">
        <f t="shared" si="1"/>
        <v>22076454</v>
      </c>
    </row>
    <row r="112" spans="1:20">
      <c r="A112" s="96">
        <v>45351</v>
      </c>
      <c r="B112" s="96">
        <v>45351</v>
      </c>
      <c r="C112" s="97" t="s">
        <v>504</v>
      </c>
      <c r="D112" s="96"/>
      <c r="E112" s="97"/>
      <c r="F112" s="97" t="s">
        <v>476</v>
      </c>
      <c r="G112" s="97" t="s">
        <v>446</v>
      </c>
      <c r="H112" s="97" t="s">
        <v>425</v>
      </c>
      <c r="I112" s="97" t="s">
        <v>374</v>
      </c>
      <c r="J112" s="98">
        <v>4202560</v>
      </c>
      <c r="K112" s="98">
        <v>0</v>
      </c>
      <c r="L112" s="97"/>
      <c r="M112" s="97"/>
      <c r="N112" s="97"/>
      <c r="O112" s="97"/>
      <c r="P112" s="97"/>
      <c r="Q112" s="97" t="s">
        <v>488</v>
      </c>
      <c r="R112" s="97"/>
      <c r="S112" s="97" t="s">
        <v>488</v>
      </c>
      <c r="T112" s="851">
        <f t="shared" si="1"/>
        <v>4202560</v>
      </c>
    </row>
    <row r="113" spans="1:20">
      <c r="A113" s="96">
        <v>45351</v>
      </c>
      <c r="B113" s="96">
        <v>45351</v>
      </c>
      <c r="C113" s="97" t="s">
        <v>504</v>
      </c>
      <c r="D113" s="96"/>
      <c r="E113" s="97"/>
      <c r="F113" s="97" t="s">
        <v>476</v>
      </c>
      <c r="G113" s="97" t="s">
        <v>446</v>
      </c>
      <c r="H113" s="97" t="s">
        <v>427</v>
      </c>
      <c r="I113" s="97" t="s">
        <v>374</v>
      </c>
      <c r="J113" s="98">
        <v>23086401</v>
      </c>
      <c r="K113" s="98">
        <v>0</v>
      </c>
      <c r="L113" s="97"/>
      <c r="M113" s="97"/>
      <c r="N113" s="97"/>
      <c r="O113" s="97"/>
      <c r="P113" s="97"/>
      <c r="Q113" s="97" t="s">
        <v>488</v>
      </c>
      <c r="R113" s="97"/>
      <c r="S113" s="97" t="s">
        <v>488</v>
      </c>
      <c r="T113" s="851">
        <f t="shared" si="1"/>
        <v>23086401</v>
      </c>
    </row>
    <row r="114" spans="1:20">
      <c r="A114" s="96">
        <v>45351</v>
      </c>
      <c r="B114" s="96">
        <v>45351</v>
      </c>
      <c r="C114" s="97" t="s">
        <v>504</v>
      </c>
      <c r="D114" s="96"/>
      <c r="E114" s="97"/>
      <c r="F114" s="97" t="s">
        <v>476</v>
      </c>
      <c r="G114" s="97" t="s">
        <v>446</v>
      </c>
      <c r="H114" s="97" t="s">
        <v>431</v>
      </c>
      <c r="I114" s="97" t="s">
        <v>374</v>
      </c>
      <c r="J114" s="98">
        <v>640986</v>
      </c>
      <c r="K114" s="98">
        <v>0</v>
      </c>
      <c r="L114" s="97"/>
      <c r="M114" s="97"/>
      <c r="N114" s="97"/>
      <c r="O114" s="97"/>
      <c r="P114" s="97"/>
      <c r="Q114" s="97" t="s">
        <v>488</v>
      </c>
      <c r="R114" s="97"/>
      <c r="S114" s="97" t="s">
        <v>488</v>
      </c>
      <c r="T114" s="851">
        <f t="shared" si="1"/>
        <v>640986</v>
      </c>
    </row>
    <row r="115" spans="1:20">
      <c r="A115" s="96">
        <v>45351</v>
      </c>
      <c r="B115" s="96">
        <v>45351</v>
      </c>
      <c r="C115" s="97" t="s">
        <v>504</v>
      </c>
      <c r="D115" s="96"/>
      <c r="E115" s="97"/>
      <c r="F115" s="97" t="s">
        <v>476</v>
      </c>
      <c r="G115" s="97" t="s">
        <v>446</v>
      </c>
      <c r="H115" s="97" t="s">
        <v>432</v>
      </c>
      <c r="I115" s="97" t="s">
        <v>374</v>
      </c>
      <c r="J115" s="98">
        <v>1018000</v>
      </c>
      <c r="K115" s="98">
        <v>0</v>
      </c>
      <c r="L115" s="97"/>
      <c r="M115" s="97"/>
      <c r="N115" s="97"/>
      <c r="O115" s="97"/>
      <c r="P115" s="97"/>
      <c r="Q115" s="97" t="s">
        <v>488</v>
      </c>
      <c r="R115" s="97"/>
      <c r="S115" s="97" t="s">
        <v>488</v>
      </c>
      <c r="T115" s="851">
        <f t="shared" si="1"/>
        <v>1018000</v>
      </c>
    </row>
    <row r="116" spans="1:20">
      <c r="A116" s="96">
        <v>45351</v>
      </c>
      <c r="B116" s="96">
        <v>45351</v>
      </c>
      <c r="C116" s="97" t="s">
        <v>504</v>
      </c>
      <c r="D116" s="96"/>
      <c r="E116" s="97"/>
      <c r="F116" s="97" t="s">
        <v>476</v>
      </c>
      <c r="G116" s="97" t="s">
        <v>446</v>
      </c>
      <c r="H116" s="97" t="s">
        <v>435</v>
      </c>
      <c r="I116" s="97" t="s">
        <v>374</v>
      </c>
      <c r="J116" s="98">
        <v>22843603</v>
      </c>
      <c r="K116" s="98">
        <v>0</v>
      </c>
      <c r="L116" s="97"/>
      <c r="M116" s="97"/>
      <c r="N116" s="97"/>
      <c r="O116" s="97"/>
      <c r="P116" s="97"/>
      <c r="Q116" s="97" t="s">
        <v>488</v>
      </c>
      <c r="R116" s="97"/>
      <c r="S116" s="97" t="s">
        <v>488</v>
      </c>
      <c r="T116" s="851">
        <f t="shared" si="1"/>
        <v>22843603</v>
      </c>
    </row>
    <row r="117" spans="1:20">
      <c r="A117" s="96">
        <v>45351</v>
      </c>
      <c r="B117" s="96">
        <v>45351</v>
      </c>
      <c r="C117" s="97" t="s">
        <v>504</v>
      </c>
      <c r="D117" s="96"/>
      <c r="E117" s="97"/>
      <c r="F117" s="97" t="s">
        <v>476</v>
      </c>
      <c r="G117" s="97" t="s">
        <v>446</v>
      </c>
      <c r="H117" s="97" t="s">
        <v>437</v>
      </c>
      <c r="I117" s="97" t="s">
        <v>374</v>
      </c>
      <c r="J117" s="98">
        <v>100000</v>
      </c>
      <c r="K117" s="98">
        <v>0</v>
      </c>
      <c r="L117" s="97"/>
      <c r="M117" s="97"/>
      <c r="N117" s="97"/>
      <c r="O117" s="97"/>
      <c r="P117" s="97"/>
      <c r="Q117" s="97" t="s">
        <v>488</v>
      </c>
      <c r="R117" s="97"/>
      <c r="S117" s="97" t="s">
        <v>488</v>
      </c>
      <c r="T117" s="851">
        <f t="shared" si="1"/>
        <v>100000</v>
      </c>
    </row>
    <row r="118" spans="1:20">
      <c r="A118" s="96">
        <v>45351</v>
      </c>
      <c r="B118" s="96">
        <v>45351</v>
      </c>
      <c r="C118" s="97" t="s">
        <v>504</v>
      </c>
      <c r="D118" s="96"/>
      <c r="E118" s="97"/>
      <c r="F118" s="97" t="s">
        <v>476</v>
      </c>
      <c r="G118" s="97" t="s">
        <v>446</v>
      </c>
      <c r="H118" s="97" t="s">
        <v>438</v>
      </c>
      <c r="I118" s="97" t="s">
        <v>374</v>
      </c>
      <c r="J118" s="98">
        <v>189000</v>
      </c>
      <c r="K118" s="98">
        <v>0</v>
      </c>
      <c r="L118" s="97"/>
      <c r="M118" s="97"/>
      <c r="N118" s="97"/>
      <c r="O118" s="97"/>
      <c r="P118" s="97"/>
      <c r="Q118" s="97" t="s">
        <v>488</v>
      </c>
      <c r="R118" s="97"/>
      <c r="S118" s="97" t="s">
        <v>488</v>
      </c>
      <c r="T118" s="851">
        <f t="shared" si="1"/>
        <v>189000</v>
      </c>
    </row>
    <row r="119" spans="1:20">
      <c r="A119" s="96">
        <v>45351</v>
      </c>
      <c r="B119" s="96">
        <v>45351</v>
      </c>
      <c r="C119" s="97" t="s">
        <v>504</v>
      </c>
      <c r="D119" s="96"/>
      <c r="E119" s="97"/>
      <c r="F119" s="97" t="s">
        <v>476</v>
      </c>
      <c r="G119" s="97" t="s">
        <v>446</v>
      </c>
      <c r="H119" s="97" t="s">
        <v>378</v>
      </c>
      <c r="I119" s="97" t="s">
        <v>374</v>
      </c>
      <c r="J119" s="98">
        <v>250205992</v>
      </c>
      <c r="K119" s="98">
        <v>0</v>
      </c>
      <c r="L119" s="97"/>
      <c r="M119" s="97"/>
      <c r="N119" s="97"/>
      <c r="O119" s="97"/>
      <c r="P119" s="97"/>
      <c r="Q119" s="97" t="s">
        <v>488</v>
      </c>
      <c r="R119" s="97"/>
      <c r="S119" s="97" t="s">
        <v>488</v>
      </c>
      <c r="T119" s="851">
        <f t="shared" si="1"/>
        <v>250205992</v>
      </c>
    </row>
    <row r="120" spans="1:20">
      <c r="A120" s="96">
        <v>45351</v>
      </c>
      <c r="B120" s="96">
        <v>45351</v>
      </c>
      <c r="C120" s="97" t="s">
        <v>504</v>
      </c>
      <c r="D120" s="96"/>
      <c r="E120" s="97"/>
      <c r="F120" s="97" t="s">
        <v>476</v>
      </c>
      <c r="G120" s="97" t="s">
        <v>446</v>
      </c>
      <c r="H120" s="97" t="s">
        <v>379</v>
      </c>
      <c r="I120" s="97" t="s">
        <v>374</v>
      </c>
      <c r="J120" s="98">
        <v>16958000</v>
      </c>
      <c r="K120" s="98">
        <v>0</v>
      </c>
      <c r="L120" s="97"/>
      <c r="M120" s="97"/>
      <c r="N120" s="97"/>
      <c r="O120" s="97"/>
      <c r="P120" s="97"/>
      <c r="Q120" s="97" t="s">
        <v>488</v>
      </c>
      <c r="R120" s="97"/>
      <c r="S120" s="97" t="s">
        <v>488</v>
      </c>
      <c r="T120" s="851">
        <f t="shared" si="1"/>
        <v>16958000</v>
      </c>
    </row>
    <row r="121" spans="1:20">
      <c r="A121" s="96">
        <v>45351</v>
      </c>
      <c r="B121" s="96">
        <v>45351</v>
      </c>
      <c r="C121" s="97" t="s">
        <v>504</v>
      </c>
      <c r="D121" s="96"/>
      <c r="E121" s="97"/>
      <c r="F121" s="97" t="s">
        <v>476</v>
      </c>
      <c r="G121" s="97" t="s">
        <v>446</v>
      </c>
      <c r="H121" s="97" t="s">
        <v>380</v>
      </c>
      <c r="I121" s="97" t="s">
        <v>374</v>
      </c>
      <c r="J121" s="98">
        <v>13095871</v>
      </c>
      <c r="K121" s="98">
        <v>0</v>
      </c>
      <c r="L121" s="97"/>
      <c r="M121" s="97"/>
      <c r="N121" s="97"/>
      <c r="O121" s="97"/>
      <c r="P121" s="97"/>
      <c r="Q121" s="97" t="s">
        <v>488</v>
      </c>
      <c r="R121" s="97"/>
      <c r="S121" s="97" t="s">
        <v>488</v>
      </c>
      <c r="T121" s="851">
        <f t="shared" si="1"/>
        <v>13095871</v>
      </c>
    </row>
    <row r="122" spans="1:20">
      <c r="A122" s="96">
        <v>45351</v>
      </c>
      <c r="B122" s="96">
        <v>45351</v>
      </c>
      <c r="C122" s="97" t="s">
        <v>504</v>
      </c>
      <c r="D122" s="96"/>
      <c r="E122" s="97"/>
      <c r="F122" s="97" t="s">
        <v>476</v>
      </c>
      <c r="G122" s="97" t="s">
        <v>446</v>
      </c>
      <c r="H122" s="97" t="s">
        <v>381</v>
      </c>
      <c r="I122" s="97" t="s">
        <v>374</v>
      </c>
      <c r="J122" s="98">
        <v>45957140</v>
      </c>
      <c r="K122" s="98">
        <v>0</v>
      </c>
      <c r="L122" s="97"/>
      <c r="M122" s="97"/>
      <c r="N122" s="97"/>
      <c r="O122" s="97"/>
      <c r="P122" s="97"/>
      <c r="Q122" s="97" t="s">
        <v>488</v>
      </c>
      <c r="R122" s="97"/>
      <c r="S122" s="97" t="s">
        <v>488</v>
      </c>
      <c r="T122" s="851">
        <f t="shared" si="1"/>
        <v>45957140</v>
      </c>
    </row>
    <row r="123" spans="1:20">
      <c r="A123" s="96">
        <v>45351</v>
      </c>
      <c r="B123" s="96">
        <v>45351</v>
      </c>
      <c r="C123" s="97" t="s">
        <v>504</v>
      </c>
      <c r="D123" s="96"/>
      <c r="E123" s="97"/>
      <c r="F123" s="97" t="s">
        <v>476</v>
      </c>
      <c r="G123" s="97" t="s">
        <v>446</v>
      </c>
      <c r="H123" s="97" t="s">
        <v>383</v>
      </c>
      <c r="I123" s="97" t="s">
        <v>374</v>
      </c>
      <c r="J123" s="98">
        <v>39554350</v>
      </c>
      <c r="K123" s="98">
        <v>0</v>
      </c>
      <c r="L123" s="97"/>
      <c r="M123" s="97"/>
      <c r="N123" s="97"/>
      <c r="O123" s="97"/>
      <c r="P123" s="97"/>
      <c r="Q123" s="97" t="s">
        <v>488</v>
      </c>
      <c r="R123" s="97"/>
      <c r="S123" s="97" t="s">
        <v>488</v>
      </c>
      <c r="T123" s="851">
        <f t="shared" si="1"/>
        <v>39554350</v>
      </c>
    </row>
    <row r="124" spans="1:20">
      <c r="A124" s="96">
        <v>45351</v>
      </c>
      <c r="B124" s="96">
        <v>45351</v>
      </c>
      <c r="C124" s="97" t="s">
        <v>504</v>
      </c>
      <c r="D124" s="96"/>
      <c r="E124" s="97"/>
      <c r="F124" s="97" t="s">
        <v>476</v>
      </c>
      <c r="G124" s="97" t="s">
        <v>446</v>
      </c>
      <c r="H124" s="97" t="s">
        <v>387</v>
      </c>
      <c r="I124" s="97" t="s">
        <v>374</v>
      </c>
      <c r="J124" s="98">
        <v>221791611</v>
      </c>
      <c r="K124" s="98">
        <v>0</v>
      </c>
      <c r="L124" s="97"/>
      <c r="M124" s="97"/>
      <c r="N124" s="97"/>
      <c r="O124" s="97"/>
      <c r="P124" s="97"/>
      <c r="Q124" s="97" t="s">
        <v>488</v>
      </c>
      <c r="R124" s="97"/>
      <c r="S124" s="97" t="s">
        <v>488</v>
      </c>
      <c r="T124" s="851">
        <f t="shared" si="1"/>
        <v>221791611</v>
      </c>
    </row>
    <row r="125" spans="1:20">
      <c r="A125" s="96">
        <v>45351</v>
      </c>
      <c r="B125" s="96">
        <v>45351</v>
      </c>
      <c r="C125" s="97" t="s">
        <v>504</v>
      </c>
      <c r="D125" s="96"/>
      <c r="E125" s="97"/>
      <c r="F125" s="97" t="s">
        <v>476</v>
      </c>
      <c r="G125" s="97" t="s">
        <v>446</v>
      </c>
      <c r="H125" s="97" t="s">
        <v>389</v>
      </c>
      <c r="I125" s="97" t="s">
        <v>374</v>
      </c>
      <c r="J125" s="98">
        <v>14848174</v>
      </c>
      <c r="K125" s="98">
        <v>0</v>
      </c>
      <c r="L125" s="97"/>
      <c r="M125" s="97"/>
      <c r="N125" s="97"/>
      <c r="O125" s="97"/>
      <c r="P125" s="97"/>
      <c r="Q125" s="97" t="s">
        <v>488</v>
      </c>
      <c r="R125" s="97"/>
      <c r="S125" s="97" t="s">
        <v>488</v>
      </c>
      <c r="T125" s="851">
        <f t="shared" si="1"/>
        <v>14848174</v>
      </c>
    </row>
    <row r="126" spans="1:20">
      <c r="A126" s="96">
        <v>45351</v>
      </c>
      <c r="B126" s="96">
        <v>45351</v>
      </c>
      <c r="C126" s="97" t="s">
        <v>504</v>
      </c>
      <c r="D126" s="96"/>
      <c r="E126" s="97"/>
      <c r="F126" s="97" t="s">
        <v>476</v>
      </c>
      <c r="G126" s="97" t="s">
        <v>446</v>
      </c>
      <c r="H126" s="97" t="s">
        <v>391</v>
      </c>
      <c r="I126" s="97" t="s">
        <v>374</v>
      </c>
      <c r="J126" s="98">
        <v>3697134</v>
      </c>
      <c r="K126" s="98">
        <v>0</v>
      </c>
      <c r="L126" s="97"/>
      <c r="M126" s="97"/>
      <c r="N126" s="97"/>
      <c r="O126" s="97"/>
      <c r="P126" s="97"/>
      <c r="Q126" s="97" t="s">
        <v>488</v>
      </c>
      <c r="R126" s="97"/>
      <c r="S126" s="97" t="s">
        <v>488</v>
      </c>
      <c r="T126" s="851">
        <f t="shared" si="1"/>
        <v>3697134</v>
      </c>
    </row>
    <row r="127" spans="1:20">
      <c r="A127" s="96">
        <v>45351</v>
      </c>
      <c r="B127" s="96">
        <v>45351</v>
      </c>
      <c r="C127" s="97" t="s">
        <v>504</v>
      </c>
      <c r="D127" s="96"/>
      <c r="E127" s="97"/>
      <c r="F127" s="97" t="s">
        <v>476</v>
      </c>
      <c r="G127" s="97" t="s">
        <v>446</v>
      </c>
      <c r="H127" s="97" t="s">
        <v>393</v>
      </c>
      <c r="I127" s="97" t="s">
        <v>374</v>
      </c>
      <c r="J127" s="98">
        <v>8683477</v>
      </c>
      <c r="K127" s="98">
        <v>0</v>
      </c>
      <c r="L127" s="97"/>
      <c r="M127" s="97"/>
      <c r="N127" s="97"/>
      <c r="O127" s="97"/>
      <c r="P127" s="97"/>
      <c r="Q127" s="97" t="s">
        <v>488</v>
      </c>
      <c r="R127" s="97"/>
      <c r="S127" s="97" t="s">
        <v>488</v>
      </c>
      <c r="T127" s="851">
        <f t="shared" si="1"/>
        <v>8683477</v>
      </c>
    </row>
    <row r="128" spans="1:20">
      <c r="A128" s="96">
        <v>45351</v>
      </c>
      <c r="B128" s="96">
        <v>45351</v>
      </c>
      <c r="C128" s="97" t="s">
        <v>504</v>
      </c>
      <c r="D128" s="96"/>
      <c r="E128" s="97"/>
      <c r="F128" s="97" t="s">
        <v>476</v>
      </c>
      <c r="G128" s="97" t="s">
        <v>446</v>
      </c>
      <c r="H128" s="97" t="s">
        <v>395</v>
      </c>
      <c r="I128" s="97" t="s">
        <v>374</v>
      </c>
      <c r="J128" s="98">
        <v>125147000</v>
      </c>
      <c r="K128" s="98">
        <v>0</v>
      </c>
      <c r="L128" s="97"/>
      <c r="M128" s="97"/>
      <c r="N128" s="97"/>
      <c r="O128" s="97"/>
      <c r="P128" s="97"/>
      <c r="Q128" s="97" t="s">
        <v>488</v>
      </c>
      <c r="R128" s="97"/>
      <c r="S128" s="97" t="s">
        <v>488</v>
      </c>
      <c r="T128" s="851">
        <f t="shared" si="1"/>
        <v>125147000</v>
      </c>
    </row>
    <row r="129" spans="1:20">
      <c r="A129" s="96">
        <v>45351</v>
      </c>
      <c r="B129" s="96">
        <v>45351</v>
      </c>
      <c r="C129" s="97" t="s">
        <v>504</v>
      </c>
      <c r="D129" s="96"/>
      <c r="E129" s="97"/>
      <c r="F129" s="97" t="s">
        <v>476</v>
      </c>
      <c r="G129" s="97" t="s">
        <v>446</v>
      </c>
      <c r="H129" s="97" t="s">
        <v>397</v>
      </c>
      <c r="I129" s="97" t="s">
        <v>374</v>
      </c>
      <c r="J129" s="98">
        <v>106760643</v>
      </c>
      <c r="K129" s="98">
        <v>0</v>
      </c>
      <c r="L129" s="97"/>
      <c r="M129" s="97"/>
      <c r="N129" s="97"/>
      <c r="O129" s="97"/>
      <c r="P129" s="97"/>
      <c r="Q129" s="97" t="s">
        <v>488</v>
      </c>
      <c r="R129" s="97"/>
      <c r="S129" s="97" t="s">
        <v>488</v>
      </c>
      <c r="T129" s="851">
        <f t="shared" si="1"/>
        <v>106760643</v>
      </c>
    </row>
    <row r="130" spans="1:20">
      <c r="A130" s="96">
        <v>45351</v>
      </c>
      <c r="B130" s="96">
        <v>45351</v>
      </c>
      <c r="C130" s="97" t="s">
        <v>504</v>
      </c>
      <c r="D130" s="96"/>
      <c r="E130" s="97"/>
      <c r="F130" s="97" t="s">
        <v>477</v>
      </c>
      <c r="G130" s="97" t="s">
        <v>446</v>
      </c>
      <c r="H130" s="97" t="s">
        <v>442</v>
      </c>
      <c r="I130" s="97" t="s">
        <v>442</v>
      </c>
      <c r="J130" s="98">
        <v>0</v>
      </c>
      <c r="K130" s="98">
        <v>661000</v>
      </c>
      <c r="L130" s="97"/>
      <c r="M130" s="97"/>
      <c r="N130" s="97"/>
      <c r="O130" s="97"/>
      <c r="P130" s="97"/>
      <c r="Q130" s="97" t="s">
        <v>488</v>
      </c>
      <c r="R130" s="97"/>
      <c r="S130" s="97" t="s">
        <v>488</v>
      </c>
      <c r="T130" s="851">
        <f t="shared" si="1"/>
        <v>-661000</v>
      </c>
    </row>
    <row r="131" spans="1:20">
      <c r="A131" s="96">
        <v>45351</v>
      </c>
      <c r="B131" s="96">
        <v>45351</v>
      </c>
      <c r="C131" s="97" t="s">
        <v>504</v>
      </c>
      <c r="D131" s="96"/>
      <c r="E131" s="97"/>
      <c r="F131" s="97" t="s">
        <v>479</v>
      </c>
      <c r="G131" s="97" t="s">
        <v>446</v>
      </c>
      <c r="H131" s="97" t="s">
        <v>217</v>
      </c>
      <c r="I131" s="97" t="s">
        <v>213</v>
      </c>
      <c r="J131" s="98">
        <v>9140317682</v>
      </c>
      <c r="K131" s="98">
        <v>0</v>
      </c>
      <c r="L131" s="97"/>
      <c r="M131" s="97"/>
      <c r="N131" s="97"/>
      <c r="O131" s="97"/>
      <c r="P131" s="97"/>
      <c r="Q131" s="97" t="s">
        <v>488</v>
      </c>
      <c r="R131" s="97"/>
      <c r="S131" s="97" t="s">
        <v>488</v>
      </c>
      <c r="T131" s="851">
        <f t="shared" si="1"/>
        <v>9140317682</v>
      </c>
    </row>
    <row r="132" spans="1:20">
      <c r="A132" s="96">
        <v>45382</v>
      </c>
      <c r="B132" s="96">
        <v>45382</v>
      </c>
      <c r="C132" s="97" t="s">
        <v>507</v>
      </c>
      <c r="D132" s="96"/>
      <c r="E132" s="97"/>
      <c r="F132" s="97" t="s">
        <v>468</v>
      </c>
      <c r="G132" s="97" t="s">
        <v>446</v>
      </c>
      <c r="H132" s="97" t="s">
        <v>223</v>
      </c>
      <c r="I132" s="97" t="s">
        <v>219</v>
      </c>
      <c r="J132" s="98">
        <v>0</v>
      </c>
      <c r="K132" s="98">
        <v>115205</v>
      </c>
      <c r="L132" s="97"/>
      <c r="M132" s="97"/>
      <c r="N132" s="97"/>
      <c r="O132" s="97"/>
      <c r="P132" s="97"/>
      <c r="Q132" s="97" t="s">
        <v>488</v>
      </c>
      <c r="R132" s="97"/>
      <c r="S132" s="97" t="s">
        <v>488</v>
      </c>
      <c r="T132" s="851">
        <f t="shared" si="1"/>
        <v>-115205</v>
      </c>
    </row>
    <row r="133" spans="1:20">
      <c r="A133" s="96">
        <v>45382</v>
      </c>
      <c r="B133" s="96">
        <v>45382</v>
      </c>
      <c r="C133" s="97" t="s">
        <v>507</v>
      </c>
      <c r="D133" s="96"/>
      <c r="E133" s="97"/>
      <c r="F133" s="97" t="s">
        <v>468</v>
      </c>
      <c r="G133" s="97" t="s">
        <v>446</v>
      </c>
      <c r="H133" s="97" t="s">
        <v>225</v>
      </c>
      <c r="I133" s="97" t="s">
        <v>219</v>
      </c>
      <c r="J133" s="98">
        <v>0</v>
      </c>
      <c r="K133" s="98">
        <v>3483000</v>
      </c>
      <c r="L133" s="97"/>
      <c r="M133" s="97"/>
      <c r="N133" s="97"/>
      <c r="O133" s="97"/>
      <c r="P133" s="97"/>
      <c r="Q133" s="97" t="s">
        <v>488</v>
      </c>
      <c r="R133" s="97"/>
      <c r="S133" s="97" t="s">
        <v>488</v>
      </c>
      <c r="T133" s="851">
        <f t="shared" ref="T133:T196" si="2">J133-K133</f>
        <v>-3483000</v>
      </c>
    </row>
    <row r="134" spans="1:20">
      <c r="A134" s="96">
        <v>45382</v>
      </c>
      <c r="B134" s="96">
        <v>45382</v>
      </c>
      <c r="C134" s="97" t="s">
        <v>507</v>
      </c>
      <c r="D134" s="96"/>
      <c r="E134" s="97"/>
      <c r="F134" s="97" t="s">
        <v>468</v>
      </c>
      <c r="G134" s="97" t="s">
        <v>446</v>
      </c>
      <c r="H134" s="97" t="s">
        <v>227</v>
      </c>
      <c r="I134" s="97" t="s">
        <v>219</v>
      </c>
      <c r="J134" s="98">
        <v>0</v>
      </c>
      <c r="K134" s="98">
        <v>8478000</v>
      </c>
      <c r="L134" s="97"/>
      <c r="M134" s="97"/>
      <c r="N134" s="97"/>
      <c r="O134" s="97"/>
      <c r="P134" s="97"/>
      <c r="Q134" s="97" t="s">
        <v>488</v>
      </c>
      <c r="R134" s="97"/>
      <c r="S134" s="97" t="s">
        <v>488</v>
      </c>
      <c r="T134" s="851">
        <f t="shared" si="2"/>
        <v>-8478000</v>
      </c>
    </row>
    <row r="135" spans="1:20">
      <c r="A135" s="96">
        <v>45382</v>
      </c>
      <c r="B135" s="96">
        <v>45382</v>
      </c>
      <c r="C135" s="97" t="s">
        <v>507</v>
      </c>
      <c r="D135" s="96"/>
      <c r="E135" s="97"/>
      <c r="F135" s="97" t="s">
        <v>468</v>
      </c>
      <c r="G135" s="97" t="s">
        <v>446</v>
      </c>
      <c r="H135" s="97" t="s">
        <v>229</v>
      </c>
      <c r="I135" s="97" t="s">
        <v>219</v>
      </c>
      <c r="J135" s="98">
        <v>0</v>
      </c>
      <c r="K135" s="98">
        <v>70203411</v>
      </c>
      <c r="L135" s="97"/>
      <c r="M135" s="97"/>
      <c r="N135" s="97"/>
      <c r="O135" s="97"/>
      <c r="P135" s="97"/>
      <c r="Q135" s="97" t="s">
        <v>488</v>
      </c>
      <c r="R135" s="97"/>
      <c r="S135" s="97" t="s">
        <v>488</v>
      </c>
      <c r="T135" s="851">
        <f t="shared" si="2"/>
        <v>-70203411</v>
      </c>
    </row>
    <row r="136" spans="1:20">
      <c r="A136" s="96">
        <v>45382</v>
      </c>
      <c r="B136" s="96">
        <v>45382</v>
      </c>
      <c r="C136" s="97" t="s">
        <v>507</v>
      </c>
      <c r="D136" s="96"/>
      <c r="E136" s="97"/>
      <c r="F136" s="97" t="s">
        <v>468</v>
      </c>
      <c r="G136" s="97" t="s">
        <v>446</v>
      </c>
      <c r="H136" s="97" t="s">
        <v>231</v>
      </c>
      <c r="I136" s="97" t="s">
        <v>219</v>
      </c>
      <c r="J136" s="98">
        <v>0</v>
      </c>
      <c r="K136" s="98">
        <v>147785249</v>
      </c>
      <c r="L136" s="97"/>
      <c r="M136" s="97"/>
      <c r="N136" s="97"/>
      <c r="O136" s="97"/>
      <c r="P136" s="97"/>
      <c r="Q136" s="97" t="s">
        <v>488</v>
      </c>
      <c r="R136" s="97"/>
      <c r="S136" s="97" t="s">
        <v>488</v>
      </c>
      <c r="T136" s="851">
        <f t="shared" si="2"/>
        <v>-147785249</v>
      </c>
    </row>
    <row r="137" spans="1:20">
      <c r="A137" s="96">
        <v>45382</v>
      </c>
      <c r="B137" s="96">
        <v>45382</v>
      </c>
      <c r="C137" s="97" t="s">
        <v>507</v>
      </c>
      <c r="D137" s="96"/>
      <c r="E137" s="97"/>
      <c r="F137" s="97" t="s">
        <v>468</v>
      </c>
      <c r="G137" s="97" t="s">
        <v>446</v>
      </c>
      <c r="H137" s="97" t="s">
        <v>233</v>
      </c>
      <c r="I137" s="97" t="s">
        <v>219</v>
      </c>
      <c r="J137" s="98">
        <v>0</v>
      </c>
      <c r="K137" s="98">
        <v>1328000</v>
      </c>
      <c r="L137" s="97"/>
      <c r="M137" s="97"/>
      <c r="N137" s="97"/>
      <c r="O137" s="97"/>
      <c r="P137" s="97"/>
      <c r="Q137" s="97" t="s">
        <v>488</v>
      </c>
      <c r="R137" s="97"/>
      <c r="S137" s="97" t="s">
        <v>488</v>
      </c>
      <c r="T137" s="851">
        <f t="shared" si="2"/>
        <v>-1328000</v>
      </c>
    </row>
    <row r="138" spans="1:20">
      <c r="A138" s="96">
        <v>45382</v>
      </c>
      <c r="B138" s="96">
        <v>45382</v>
      </c>
      <c r="C138" s="97" t="s">
        <v>507</v>
      </c>
      <c r="D138" s="96"/>
      <c r="E138" s="97"/>
      <c r="F138" s="97" t="s">
        <v>468</v>
      </c>
      <c r="G138" s="97" t="s">
        <v>446</v>
      </c>
      <c r="H138" s="97" t="s">
        <v>235</v>
      </c>
      <c r="I138" s="97" t="s">
        <v>219</v>
      </c>
      <c r="J138" s="98">
        <v>0</v>
      </c>
      <c r="K138" s="98">
        <v>12320221</v>
      </c>
      <c r="L138" s="97"/>
      <c r="M138" s="97"/>
      <c r="N138" s="97"/>
      <c r="O138" s="97"/>
      <c r="P138" s="97"/>
      <c r="Q138" s="97" t="s">
        <v>488</v>
      </c>
      <c r="R138" s="97"/>
      <c r="S138" s="97" t="s">
        <v>488</v>
      </c>
      <c r="T138" s="851">
        <f t="shared" si="2"/>
        <v>-12320221</v>
      </c>
    </row>
    <row r="139" spans="1:20">
      <c r="A139" s="96">
        <v>45382</v>
      </c>
      <c r="B139" s="96">
        <v>45382</v>
      </c>
      <c r="C139" s="97" t="s">
        <v>507</v>
      </c>
      <c r="D139" s="96"/>
      <c r="E139" s="97"/>
      <c r="F139" s="97" t="s">
        <v>468</v>
      </c>
      <c r="G139" s="97" t="s">
        <v>446</v>
      </c>
      <c r="H139" s="97" t="s">
        <v>237</v>
      </c>
      <c r="I139" s="97" t="s">
        <v>219</v>
      </c>
      <c r="J139" s="98">
        <v>0</v>
      </c>
      <c r="K139" s="98">
        <v>226387</v>
      </c>
      <c r="L139" s="97"/>
      <c r="M139" s="97"/>
      <c r="N139" s="97"/>
      <c r="O139" s="97"/>
      <c r="P139" s="97"/>
      <c r="Q139" s="97" t="s">
        <v>488</v>
      </c>
      <c r="R139" s="97"/>
      <c r="S139" s="97" t="s">
        <v>488</v>
      </c>
      <c r="T139" s="851">
        <f t="shared" si="2"/>
        <v>-226387</v>
      </c>
    </row>
    <row r="140" spans="1:20">
      <c r="A140" s="96">
        <v>45382</v>
      </c>
      <c r="B140" s="96">
        <v>45382</v>
      </c>
      <c r="C140" s="97" t="s">
        <v>507</v>
      </c>
      <c r="D140" s="96"/>
      <c r="E140" s="97"/>
      <c r="F140" s="97" t="s">
        <v>468</v>
      </c>
      <c r="G140" s="97" t="s">
        <v>446</v>
      </c>
      <c r="H140" s="97" t="s">
        <v>241</v>
      </c>
      <c r="I140" s="97" t="s">
        <v>219</v>
      </c>
      <c r="J140" s="98">
        <v>0</v>
      </c>
      <c r="K140" s="98">
        <v>4803833</v>
      </c>
      <c r="L140" s="97"/>
      <c r="M140" s="97"/>
      <c r="N140" s="97"/>
      <c r="O140" s="97"/>
      <c r="P140" s="97"/>
      <c r="Q140" s="97" t="s">
        <v>488</v>
      </c>
      <c r="R140" s="97"/>
      <c r="S140" s="97" t="s">
        <v>488</v>
      </c>
      <c r="T140" s="851">
        <f t="shared" si="2"/>
        <v>-4803833</v>
      </c>
    </row>
    <row r="141" spans="1:20">
      <c r="A141" s="96">
        <v>45382</v>
      </c>
      <c r="B141" s="96">
        <v>45382</v>
      </c>
      <c r="C141" s="97" t="s">
        <v>507</v>
      </c>
      <c r="D141" s="96"/>
      <c r="E141" s="97"/>
      <c r="F141" s="97" t="s">
        <v>468</v>
      </c>
      <c r="G141" s="97" t="s">
        <v>446</v>
      </c>
      <c r="H141" s="97" t="s">
        <v>243</v>
      </c>
      <c r="I141" s="97" t="s">
        <v>219</v>
      </c>
      <c r="J141" s="98">
        <v>0</v>
      </c>
      <c r="K141" s="98">
        <v>324540541</v>
      </c>
      <c r="L141" s="97"/>
      <c r="M141" s="97"/>
      <c r="N141" s="97"/>
      <c r="O141" s="97"/>
      <c r="P141" s="97"/>
      <c r="Q141" s="97" t="s">
        <v>488</v>
      </c>
      <c r="R141" s="97"/>
      <c r="S141" s="97" t="s">
        <v>488</v>
      </c>
      <c r="T141" s="851">
        <f t="shared" si="2"/>
        <v>-324540541</v>
      </c>
    </row>
    <row r="142" spans="1:20">
      <c r="A142" s="96">
        <v>45382</v>
      </c>
      <c r="B142" s="96">
        <v>45382</v>
      </c>
      <c r="C142" s="97" t="s">
        <v>507</v>
      </c>
      <c r="D142" s="96"/>
      <c r="E142" s="97"/>
      <c r="F142" s="97" t="s">
        <v>472</v>
      </c>
      <c r="G142" s="97" t="s">
        <v>446</v>
      </c>
      <c r="H142" s="97" t="s">
        <v>249</v>
      </c>
      <c r="I142" s="97" t="s">
        <v>247</v>
      </c>
      <c r="J142" s="98">
        <v>0</v>
      </c>
      <c r="K142" s="98">
        <v>158584773</v>
      </c>
      <c r="L142" s="97"/>
      <c r="M142" s="97"/>
      <c r="N142" s="97"/>
      <c r="O142" s="97"/>
      <c r="P142" s="97"/>
      <c r="Q142" s="97" t="s">
        <v>488</v>
      </c>
      <c r="R142" s="97"/>
      <c r="S142" s="97" t="s">
        <v>488</v>
      </c>
      <c r="T142" s="851">
        <f t="shared" si="2"/>
        <v>-158584773</v>
      </c>
    </row>
    <row r="143" spans="1:20">
      <c r="A143" s="96">
        <v>45382</v>
      </c>
      <c r="B143" s="96">
        <v>45382</v>
      </c>
      <c r="C143" s="97" t="s">
        <v>507</v>
      </c>
      <c r="D143" s="96"/>
      <c r="E143" s="97"/>
      <c r="F143" s="97" t="s">
        <v>472</v>
      </c>
      <c r="G143" s="97" t="s">
        <v>446</v>
      </c>
      <c r="H143" s="97" t="s">
        <v>251</v>
      </c>
      <c r="I143" s="97" t="s">
        <v>247</v>
      </c>
      <c r="J143" s="98">
        <v>0</v>
      </c>
      <c r="K143" s="98">
        <v>2684189315</v>
      </c>
      <c r="L143" s="97"/>
      <c r="M143" s="97"/>
      <c r="N143" s="97"/>
      <c r="O143" s="97"/>
      <c r="P143" s="97"/>
      <c r="Q143" s="97" t="s">
        <v>488</v>
      </c>
      <c r="R143" s="97"/>
      <c r="S143" s="97" t="s">
        <v>488</v>
      </c>
      <c r="T143" s="851">
        <f t="shared" si="2"/>
        <v>-2684189315</v>
      </c>
    </row>
    <row r="144" spans="1:20">
      <c r="A144" s="96">
        <v>45382</v>
      </c>
      <c r="B144" s="96">
        <v>45382</v>
      </c>
      <c r="C144" s="97" t="s">
        <v>507</v>
      </c>
      <c r="D144" s="96"/>
      <c r="E144" s="97"/>
      <c r="F144" s="97" t="s">
        <v>472</v>
      </c>
      <c r="G144" s="97" t="s">
        <v>446</v>
      </c>
      <c r="H144" s="97" t="s">
        <v>255</v>
      </c>
      <c r="I144" s="97" t="s">
        <v>247</v>
      </c>
      <c r="J144" s="98">
        <v>0</v>
      </c>
      <c r="K144" s="98">
        <v>2427919522</v>
      </c>
      <c r="L144" s="97"/>
      <c r="M144" s="97"/>
      <c r="N144" s="97"/>
      <c r="O144" s="97"/>
      <c r="P144" s="97"/>
      <c r="Q144" s="97" t="s">
        <v>488</v>
      </c>
      <c r="R144" s="97"/>
      <c r="S144" s="97" t="s">
        <v>488</v>
      </c>
      <c r="T144" s="851">
        <f t="shared" si="2"/>
        <v>-2427919522</v>
      </c>
    </row>
    <row r="145" spans="1:20">
      <c r="A145" s="96">
        <v>45382</v>
      </c>
      <c r="B145" s="96">
        <v>45382</v>
      </c>
      <c r="C145" s="97" t="s">
        <v>507</v>
      </c>
      <c r="D145" s="96"/>
      <c r="E145" s="97"/>
      <c r="F145" s="97" t="s">
        <v>472</v>
      </c>
      <c r="G145" s="97" t="s">
        <v>446</v>
      </c>
      <c r="H145" s="97" t="s">
        <v>257</v>
      </c>
      <c r="I145" s="97" t="s">
        <v>247</v>
      </c>
      <c r="J145" s="98">
        <v>0</v>
      </c>
      <c r="K145" s="98">
        <v>10068105546</v>
      </c>
      <c r="L145" s="97"/>
      <c r="M145" s="97"/>
      <c r="N145" s="97"/>
      <c r="O145" s="97"/>
      <c r="P145" s="97"/>
      <c r="Q145" s="97" t="s">
        <v>488</v>
      </c>
      <c r="R145" s="97"/>
      <c r="S145" s="97" t="s">
        <v>488</v>
      </c>
      <c r="T145" s="851">
        <f t="shared" si="2"/>
        <v>-10068105546</v>
      </c>
    </row>
    <row r="146" spans="1:20">
      <c r="A146" s="96">
        <v>45382</v>
      </c>
      <c r="B146" s="96">
        <v>45382</v>
      </c>
      <c r="C146" s="97" t="s">
        <v>507</v>
      </c>
      <c r="D146" s="96"/>
      <c r="E146" s="97"/>
      <c r="F146" s="97" t="s">
        <v>472</v>
      </c>
      <c r="G146" s="97" t="s">
        <v>446</v>
      </c>
      <c r="H146" s="97" t="s">
        <v>259</v>
      </c>
      <c r="I146" s="97" t="s">
        <v>247</v>
      </c>
      <c r="J146" s="98">
        <v>0</v>
      </c>
      <c r="K146" s="98">
        <v>2024830224</v>
      </c>
      <c r="L146" s="97"/>
      <c r="M146" s="97"/>
      <c r="N146" s="97"/>
      <c r="O146" s="97"/>
      <c r="P146" s="97"/>
      <c r="Q146" s="97" t="s">
        <v>488</v>
      </c>
      <c r="R146" s="97"/>
      <c r="S146" s="97" t="s">
        <v>488</v>
      </c>
      <c r="T146" s="851">
        <f t="shared" si="2"/>
        <v>-2024830224</v>
      </c>
    </row>
    <row r="147" spans="1:20">
      <c r="A147" s="96">
        <v>45382</v>
      </c>
      <c r="B147" s="96">
        <v>45382</v>
      </c>
      <c r="C147" s="97" t="s">
        <v>507</v>
      </c>
      <c r="D147" s="96"/>
      <c r="E147" s="97"/>
      <c r="F147" s="97" t="s">
        <v>472</v>
      </c>
      <c r="G147" s="97" t="s">
        <v>446</v>
      </c>
      <c r="H147" s="97" t="s">
        <v>745</v>
      </c>
      <c r="I147" s="97" t="s">
        <v>247</v>
      </c>
      <c r="J147" s="98">
        <v>0</v>
      </c>
      <c r="K147" s="98">
        <v>218404320</v>
      </c>
      <c r="L147" s="97"/>
      <c r="M147" s="97"/>
      <c r="N147" s="97"/>
      <c r="O147" s="97"/>
      <c r="P147" s="97"/>
      <c r="Q147" s="97" t="s">
        <v>488</v>
      </c>
      <c r="R147" s="97"/>
      <c r="S147" s="97" t="s">
        <v>488</v>
      </c>
      <c r="T147" s="851">
        <f t="shared" si="2"/>
        <v>-218404320</v>
      </c>
    </row>
    <row r="148" spans="1:20">
      <c r="A148" s="96">
        <v>45382</v>
      </c>
      <c r="B148" s="96">
        <v>45382</v>
      </c>
      <c r="C148" s="97" t="s">
        <v>507</v>
      </c>
      <c r="D148" s="96"/>
      <c r="E148" s="97"/>
      <c r="F148" s="97" t="s">
        <v>473</v>
      </c>
      <c r="G148" s="97" t="s">
        <v>446</v>
      </c>
      <c r="H148" s="97" t="s">
        <v>303</v>
      </c>
      <c r="I148" s="97" t="s">
        <v>303</v>
      </c>
      <c r="J148" s="98">
        <v>1195632779</v>
      </c>
      <c r="K148" s="98">
        <v>0</v>
      </c>
      <c r="L148" s="97"/>
      <c r="M148" s="97"/>
      <c r="N148" s="97"/>
      <c r="O148" s="97"/>
      <c r="P148" s="97"/>
      <c r="Q148" s="97" t="s">
        <v>488</v>
      </c>
      <c r="R148" s="97"/>
      <c r="S148" s="97" t="s">
        <v>488</v>
      </c>
      <c r="T148" s="851">
        <f t="shared" si="2"/>
        <v>1195632779</v>
      </c>
    </row>
    <row r="149" spans="1:20">
      <c r="A149" s="96">
        <v>45382</v>
      </c>
      <c r="B149" s="96">
        <v>45382</v>
      </c>
      <c r="C149" s="97" t="s">
        <v>507</v>
      </c>
      <c r="D149" s="96"/>
      <c r="E149" s="97"/>
      <c r="F149" s="97" t="s">
        <v>474</v>
      </c>
      <c r="G149" s="97" t="s">
        <v>446</v>
      </c>
      <c r="H149" s="97" t="s">
        <v>309</v>
      </c>
      <c r="I149" s="97" t="s">
        <v>305</v>
      </c>
      <c r="J149" s="98">
        <v>0</v>
      </c>
      <c r="K149" s="98">
        <v>2957746363</v>
      </c>
      <c r="L149" s="97"/>
      <c r="M149" s="97"/>
      <c r="N149" s="97"/>
      <c r="O149" s="97"/>
      <c r="P149" s="97"/>
      <c r="Q149" s="97" t="s">
        <v>488</v>
      </c>
      <c r="R149" s="97"/>
      <c r="S149" s="97" t="s">
        <v>488</v>
      </c>
      <c r="T149" s="851">
        <f t="shared" si="2"/>
        <v>-2957746363</v>
      </c>
    </row>
    <row r="150" spans="1:20">
      <c r="A150" s="96">
        <v>45382</v>
      </c>
      <c r="B150" s="96">
        <v>45382</v>
      </c>
      <c r="C150" s="97" t="s">
        <v>507</v>
      </c>
      <c r="D150" s="96"/>
      <c r="E150" s="97"/>
      <c r="F150" s="97" t="s">
        <v>474</v>
      </c>
      <c r="G150" s="97" t="s">
        <v>446</v>
      </c>
      <c r="H150" s="97" t="s">
        <v>313</v>
      </c>
      <c r="I150" s="97" t="s">
        <v>305</v>
      </c>
      <c r="J150" s="98">
        <v>666736283</v>
      </c>
      <c r="K150" s="98">
        <v>0</v>
      </c>
      <c r="L150" s="97"/>
      <c r="M150" s="97"/>
      <c r="N150" s="97"/>
      <c r="O150" s="97"/>
      <c r="P150" s="97"/>
      <c r="Q150" s="97" t="s">
        <v>488</v>
      </c>
      <c r="R150" s="97"/>
      <c r="S150" s="97" t="s">
        <v>488</v>
      </c>
      <c r="T150" s="851">
        <f t="shared" si="2"/>
        <v>666736283</v>
      </c>
    </row>
    <row r="151" spans="1:20">
      <c r="A151" s="96">
        <v>45382</v>
      </c>
      <c r="B151" s="96">
        <v>45382</v>
      </c>
      <c r="C151" s="97" t="s">
        <v>507</v>
      </c>
      <c r="D151" s="96"/>
      <c r="E151" s="97"/>
      <c r="F151" s="97" t="s">
        <v>474</v>
      </c>
      <c r="G151" s="97" t="s">
        <v>446</v>
      </c>
      <c r="H151" s="97" t="s">
        <v>317</v>
      </c>
      <c r="I151" s="97" t="s">
        <v>305</v>
      </c>
      <c r="J151" s="98">
        <v>377556432</v>
      </c>
      <c r="K151" s="98">
        <v>0</v>
      </c>
      <c r="L151" s="97"/>
      <c r="M151" s="97"/>
      <c r="N151" s="97"/>
      <c r="O151" s="97"/>
      <c r="P151" s="97"/>
      <c r="Q151" s="97" t="s">
        <v>488</v>
      </c>
      <c r="R151" s="97"/>
      <c r="S151" s="97" t="s">
        <v>488</v>
      </c>
      <c r="T151" s="851">
        <f t="shared" si="2"/>
        <v>377556432</v>
      </c>
    </row>
    <row r="152" spans="1:20">
      <c r="A152" s="96">
        <v>45382</v>
      </c>
      <c r="B152" s="96">
        <v>45382</v>
      </c>
      <c r="C152" s="97" t="s">
        <v>507</v>
      </c>
      <c r="D152" s="96"/>
      <c r="E152" s="97"/>
      <c r="F152" s="97" t="s">
        <v>474</v>
      </c>
      <c r="G152" s="97" t="s">
        <v>446</v>
      </c>
      <c r="H152" s="97" t="s">
        <v>325</v>
      </c>
      <c r="I152" s="97" t="s">
        <v>305</v>
      </c>
      <c r="J152" s="98">
        <v>8150685</v>
      </c>
      <c r="K152" s="98">
        <v>0</v>
      </c>
      <c r="L152" s="97"/>
      <c r="M152" s="97"/>
      <c r="N152" s="97"/>
      <c r="O152" s="97"/>
      <c r="P152" s="97"/>
      <c r="Q152" s="97" t="s">
        <v>488</v>
      </c>
      <c r="R152" s="97"/>
      <c r="S152" s="97" t="s">
        <v>488</v>
      </c>
      <c r="T152" s="851">
        <f t="shared" si="2"/>
        <v>8150685</v>
      </c>
    </row>
    <row r="153" spans="1:20">
      <c r="A153" s="96">
        <v>45382</v>
      </c>
      <c r="B153" s="96">
        <v>45382</v>
      </c>
      <c r="C153" s="97" t="s">
        <v>507</v>
      </c>
      <c r="D153" s="96"/>
      <c r="E153" s="97"/>
      <c r="F153" s="97" t="s">
        <v>474</v>
      </c>
      <c r="G153" s="97" t="s">
        <v>446</v>
      </c>
      <c r="H153" s="97" t="s">
        <v>327</v>
      </c>
      <c r="I153" s="97" t="s">
        <v>305</v>
      </c>
      <c r="J153" s="98">
        <v>726729580</v>
      </c>
      <c r="K153" s="98">
        <v>0</v>
      </c>
      <c r="L153" s="97"/>
      <c r="M153" s="97"/>
      <c r="N153" s="97"/>
      <c r="O153" s="97"/>
      <c r="P153" s="97"/>
      <c r="Q153" s="97" t="s">
        <v>488</v>
      </c>
      <c r="R153" s="97"/>
      <c r="S153" s="97" t="s">
        <v>488</v>
      </c>
      <c r="T153" s="851">
        <f t="shared" si="2"/>
        <v>726729580</v>
      </c>
    </row>
    <row r="154" spans="1:20">
      <c r="A154" s="96">
        <v>45382</v>
      </c>
      <c r="B154" s="96">
        <v>45382</v>
      </c>
      <c r="C154" s="97" t="s">
        <v>507</v>
      </c>
      <c r="D154" s="96"/>
      <c r="E154" s="97"/>
      <c r="F154" s="97" t="s">
        <v>474</v>
      </c>
      <c r="G154" s="97" t="s">
        <v>446</v>
      </c>
      <c r="H154" s="97" t="s">
        <v>329</v>
      </c>
      <c r="I154" s="97" t="s">
        <v>305</v>
      </c>
      <c r="J154" s="98">
        <v>153286132</v>
      </c>
      <c r="K154" s="98">
        <v>0</v>
      </c>
      <c r="L154" s="97"/>
      <c r="M154" s="97"/>
      <c r="N154" s="97"/>
      <c r="O154" s="97"/>
      <c r="P154" s="97"/>
      <c r="Q154" s="97" t="s">
        <v>488</v>
      </c>
      <c r="R154" s="97"/>
      <c r="S154" s="97" t="s">
        <v>488</v>
      </c>
      <c r="T154" s="851">
        <f t="shared" si="2"/>
        <v>153286132</v>
      </c>
    </row>
    <row r="155" spans="1:20">
      <c r="A155" s="96">
        <v>45382</v>
      </c>
      <c r="B155" s="96">
        <v>45382</v>
      </c>
      <c r="C155" s="97" t="s">
        <v>507</v>
      </c>
      <c r="D155" s="96"/>
      <c r="E155" s="97"/>
      <c r="F155" s="97" t="s">
        <v>474</v>
      </c>
      <c r="G155" s="97" t="s">
        <v>446</v>
      </c>
      <c r="H155" s="97" t="s">
        <v>307</v>
      </c>
      <c r="I155" s="97" t="s">
        <v>305</v>
      </c>
      <c r="J155" s="98">
        <v>11282998938</v>
      </c>
      <c r="K155" s="98">
        <v>0</v>
      </c>
      <c r="L155" s="97"/>
      <c r="M155" s="97"/>
      <c r="N155" s="97"/>
      <c r="O155" s="97"/>
      <c r="P155" s="97"/>
      <c r="Q155" s="97" t="s">
        <v>488</v>
      </c>
      <c r="R155" s="97"/>
      <c r="S155" s="97" t="s">
        <v>488</v>
      </c>
      <c r="T155" s="851">
        <f t="shared" si="2"/>
        <v>11282998938</v>
      </c>
    </row>
    <row r="156" spans="1:20">
      <c r="A156" s="96">
        <v>45382</v>
      </c>
      <c r="B156" s="96">
        <v>45382</v>
      </c>
      <c r="C156" s="97" t="s">
        <v>507</v>
      </c>
      <c r="D156" s="96"/>
      <c r="E156" s="97"/>
      <c r="F156" s="97" t="s">
        <v>475</v>
      </c>
      <c r="G156" s="97" t="s">
        <v>446</v>
      </c>
      <c r="H156" s="97" t="s">
        <v>337</v>
      </c>
      <c r="I156" s="97" t="s">
        <v>333</v>
      </c>
      <c r="J156" s="98">
        <v>25823407</v>
      </c>
      <c r="K156" s="98">
        <v>0</v>
      </c>
      <c r="L156" s="97"/>
      <c r="M156" s="97"/>
      <c r="N156" s="97"/>
      <c r="O156" s="97"/>
      <c r="P156" s="97"/>
      <c r="Q156" s="97" t="s">
        <v>488</v>
      </c>
      <c r="R156" s="97"/>
      <c r="S156" s="97" t="s">
        <v>488</v>
      </c>
      <c r="T156" s="851">
        <f t="shared" si="2"/>
        <v>25823407</v>
      </c>
    </row>
    <row r="157" spans="1:20">
      <c r="A157" s="96">
        <v>45382</v>
      </c>
      <c r="B157" s="96">
        <v>45382</v>
      </c>
      <c r="C157" s="97" t="s">
        <v>507</v>
      </c>
      <c r="D157" s="96"/>
      <c r="E157" s="97"/>
      <c r="F157" s="97" t="s">
        <v>475</v>
      </c>
      <c r="G157" s="97" t="s">
        <v>446</v>
      </c>
      <c r="H157" s="97" t="s">
        <v>339</v>
      </c>
      <c r="I157" s="97" t="s">
        <v>333</v>
      </c>
      <c r="J157" s="98">
        <v>1410000</v>
      </c>
      <c r="K157" s="98">
        <v>0</v>
      </c>
      <c r="L157" s="97"/>
      <c r="M157" s="97"/>
      <c r="N157" s="97"/>
      <c r="O157" s="97"/>
      <c r="P157" s="97"/>
      <c r="Q157" s="97" t="s">
        <v>488</v>
      </c>
      <c r="R157" s="97"/>
      <c r="S157" s="97" t="s">
        <v>488</v>
      </c>
      <c r="T157" s="851">
        <f t="shared" si="2"/>
        <v>1410000</v>
      </c>
    </row>
    <row r="158" spans="1:20">
      <c r="A158" s="96">
        <v>45382</v>
      </c>
      <c r="B158" s="96">
        <v>45382</v>
      </c>
      <c r="C158" s="97" t="s">
        <v>507</v>
      </c>
      <c r="D158" s="96"/>
      <c r="E158" s="97"/>
      <c r="F158" s="97" t="s">
        <v>475</v>
      </c>
      <c r="G158" s="97" t="s">
        <v>446</v>
      </c>
      <c r="H158" s="97" t="s">
        <v>343</v>
      </c>
      <c r="I158" s="97" t="s">
        <v>333</v>
      </c>
      <c r="J158" s="98">
        <v>5814470</v>
      </c>
      <c r="K158" s="98">
        <v>0</v>
      </c>
      <c r="L158" s="97"/>
      <c r="M158" s="97"/>
      <c r="N158" s="97"/>
      <c r="O158" s="97"/>
      <c r="P158" s="97"/>
      <c r="Q158" s="97" t="s">
        <v>488</v>
      </c>
      <c r="R158" s="97"/>
      <c r="S158" s="97" t="s">
        <v>488</v>
      </c>
      <c r="T158" s="851">
        <f t="shared" si="2"/>
        <v>5814470</v>
      </c>
    </row>
    <row r="159" spans="1:20">
      <c r="A159" s="96">
        <v>45382</v>
      </c>
      <c r="B159" s="96">
        <v>45382</v>
      </c>
      <c r="C159" s="97" t="s">
        <v>507</v>
      </c>
      <c r="D159" s="96"/>
      <c r="E159" s="97"/>
      <c r="F159" s="97" t="s">
        <v>475</v>
      </c>
      <c r="G159" s="97" t="s">
        <v>446</v>
      </c>
      <c r="H159" s="97" t="s">
        <v>345</v>
      </c>
      <c r="I159" s="97" t="s">
        <v>333</v>
      </c>
      <c r="J159" s="98">
        <v>3870417</v>
      </c>
      <c r="K159" s="98">
        <v>0</v>
      </c>
      <c r="L159" s="97"/>
      <c r="M159" s="97"/>
      <c r="N159" s="97"/>
      <c r="O159" s="97"/>
      <c r="P159" s="97"/>
      <c r="Q159" s="97" t="s">
        <v>488</v>
      </c>
      <c r="R159" s="97"/>
      <c r="S159" s="97" t="s">
        <v>488</v>
      </c>
      <c r="T159" s="851">
        <f t="shared" si="2"/>
        <v>3870417</v>
      </c>
    </row>
    <row r="160" spans="1:20">
      <c r="A160" s="96">
        <v>45382</v>
      </c>
      <c r="B160" s="96">
        <v>45382</v>
      </c>
      <c r="C160" s="97" t="s">
        <v>507</v>
      </c>
      <c r="D160" s="96"/>
      <c r="E160" s="97"/>
      <c r="F160" s="97" t="s">
        <v>475</v>
      </c>
      <c r="G160" s="97" t="s">
        <v>446</v>
      </c>
      <c r="H160" s="97" t="s">
        <v>348</v>
      </c>
      <c r="I160" s="97" t="s">
        <v>333</v>
      </c>
      <c r="J160" s="98">
        <v>561056340</v>
      </c>
      <c r="K160" s="98">
        <v>0</v>
      </c>
      <c r="L160" s="97"/>
      <c r="M160" s="97"/>
      <c r="N160" s="97"/>
      <c r="O160" s="97"/>
      <c r="P160" s="97"/>
      <c r="Q160" s="97" t="s">
        <v>488</v>
      </c>
      <c r="R160" s="97"/>
      <c r="S160" s="97" t="s">
        <v>488</v>
      </c>
      <c r="T160" s="851">
        <f t="shared" si="2"/>
        <v>561056340</v>
      </c>
    </row>
    <row r="161" spans="1:20">
      <c r="A161" s="96">
        <v>45382</v>
      </c>
      <c r="B161" s="96">
        <v>45382</v>
      </c>
      <c r="C161" s="97" t="s">
        <v>507</v>
      </c>
      <c r="D161" s="96"/>
      <c r="E161" s="97"/>
      <c r="F161" s="97" t="s">
        <v>475</v>
      </c>
      <c r="G161" s="97" t="s">
        <v>446</v>
      </c>
      <c r="H161" s="97" t="s">
        <v>350</v>
      </c>
      <c r="I161" s="97" t="s">
        <v>333</v>
      </c>
      <c r="J161" s="98">
        <v>15100987</v>
      </c>
      <c r="K161" s="98">
        <v>0</v>
      </c>
      <c r="L161" s="97"/>
      <c r="M161" s="97"/>
      <c r="N161" s="97"/>
      <c r="O161" s="97"/>
      <c r="P161" s="97"/>
      <c r="Q161" s="97" t="s">
        <v>488</v>
      </c>
      <c r="R161" s="97"/>
      <c r="S161" s="97" t="s">
        <v>488</v>
      </c>
      <c r="T161" s="851">
        <f t="shared" si="2"/>
        <v>15100987</v>
      </c>
    </row>
    <row r="162" spans="1:20">
      <c r="A162" s="96">
        <v>45382</v>
      </c>
      <c r="B162" s="96">
        <v>45382</v>
      </c>
      <c r="C162" s="97" t="s">
        <v>507</v>
      </c>
      <c r="D162" s="96"/>
      <c r="E162" s="97"/>
      <c r="F162" s="97" t="s">
        <v>475</v>
      </c>
      <c r="G162" s="97" t="s">
        <v>446</v>
      </c>
      <c r="H162" s="97" t="s">
        <v>352</v>
      </c>
      <c r="I162" s="97" t="s">
        <v>333</v>
      </c>
      <c r="J162" s="98">
        <v>1200000</v>
      </c>
      <c r="K162" s="98">
        <v>0</v>
      </c>
      <c r="L162" s="97"/>
      <c r="M162" s="97"/>
      <c r="N162" s="97"/>
      <c r="O162" s="97"/>
      <c r="P162" s="97"/>
      <c r="Q162" s="97" t="s">
        <v>488</v>
      </c>
      <c r="R162" s="97"/>
      <c r="S162" s="97" t="s">
        <v>488</v>
      </c>
      <c r="T162" s="851">
        <f t="shared" si="2"/>
        <v>1200000</v>
      </c>
    </row>
    <row r="163" spans="1:20">
      <c r="A163" s="96">
        <v>45382</v>
      </c>
      <c r="B163" s="96">
        <v>45382</v>
      </c>
      <c r="C163" s="97" t="s">
        <v>507</v>
      </c>
      <c r="D163" s="96"/>
      <c r="E163" s="97"/>
      <c r="F163" s="97" t="s">
        <v>475</v>
      </c>
      <c r="G163" s="97" t="s">
        <v>446</v>
      </c>
      <c r="H163" s="97" t="s">
        <v>354</v>
      </c>
      <c r="I163" s="97" t="s">
        <v>333</v>
      </c>
      <c r="J163" s="98">
        <v>3492291</v>
      </c>
      <c r="K163" s="98">
        <v>0</v>
      </c>
      <c r="L163" s="97"/>
      <c r="M163" s="97"/>
      <c r="N163" s="97"/>
      <c r="O163" s="97"/>
      <c r="P163" s="97"/>
      <c r="Q163" s="97" t="s">
        <v>488</v>
      </c>
      <c r="R163" s="97"/>
      <c r="S163" s="97" t="s">
        <v>488</v>
      </c>
      <c r="T163" s="851">
        <f t="shared" si="2"/>
        <v>3492291</v>
      </c>
    </row>
    <row r="164" spans="1:20">
      <c r="A164" s="96">
        <v>45382</v>
      </c>
      <c r="B164" s="96">
        <v>45382</v>
      </c>
      <c r="C164" s="97" t="s">
        <v>507</v>
      </c>
      <c r="D164" s="96"/>
      <c r="E164" s="97"/>
      <c r="F164" s="97" t="s">
        <v>475</v>
      </c>
      <c r="G164" s="97" t="s">
        <v>446</v>
      </c>
      <c r="H164" s="97" t="s">
        <v>361</v>
      </c>
      <c r="I164" s="97" t="s">
        <v>333</v>
      </c>
      <c r="J164" s="98">
        <v>18764183</v>
      </c>
      <c r="K164" s="98">
        <v>0</v>
      </c>
      <c r="L164" s="97"/>
      <c r="M164" s="97"/>
      <c r="N164" s="97"/>
      <c r="O164" s="97"/>
      <c r="P164" s="97"/>
      <c r="Q164" s="97" t="s">
        <v>488</v>
      </c>
      <c r="R164" s="97"/>
      <c r="S164" s="97" t="s">
        <v>488</v>
      </c>
      <c r="T164" s="851">
        <f t="shared" si="2"/>
        <v>18764183</v>
      </c>
    </row>
    <row r="165" spans="1:20">
      <c r="A165" s="96">
        <v>45382</v>
      </c>
      <c r="B165" s="96">
        <v>45382</v>
      </c>
      <c r="C165" s="97" t="s">
        <v>507</v>
      </c>
      <c r="D165" s="96"/>
      <c r="E165" s="97"/>
      <c r="F165" s="97" t="s">
        <v>475</v>
      </c>
      <c r="G165" s="97" t="s">
        <v>446</v>
      </c>
      <c r="H165" s="97" t="s">
        <v>363</v>
      </c>
      <c r="I165" s="97" t="s">
        <v>333</v>
      </c>
      <c r="J165" s="98">
        <v>3645252</v>
      </c>
      <c r="K165" s="98">
        <v>0</v>
      </c>
      <c r="L165" s="97"/>
      <c r="M165" s="97"/>
      <c r="N165" s="97"/>
      <c r="O165" s="97"/>
      <c r="P165" s="97"/>
      <c r="Q165" s="97" t="s">
        <v>488</v>
      </c>
      <c r="R165" s="97"/>
      <c r="S165" s="97" t="s">
        <v>488</v>
      </c>
      <c r="T165" s="851">
        <f t="shared" si="2"/>
        <v>3645252</v>
      </c>
    </row>
    <row r="166" spans="1:20">
      <c r="A166" s="96">
        <v>45382</v>
      </c>
      <c r="B166" s="96">
        <v>45382</v>
      </c>
      <c r="C166" s="97" t="s">
        <v>507</v>
      </c>
      <c r="D166" s="96"/>
      <c r="E166" s="97"/>
      <c r="F166" s="97" t="s">
        <v>475</v>
      </c>
      <c r="G166" s="97" t="s">
        <v>446</v>
      </c>
      <c r="H166" s="97" t="s">
        <v>367</v>
      </c>
      <c r="I166" s="97" t="s">
        <v>333</v>
      </c>
      <c r="J166" s="98">
        <v>20264700</v>
      </c>
      <c r="K166" s="98">
        <v>0</v>
      </c>
      <c r="L166" s="97"/>
      <c r="M166" s="97"/>
      <c r="N166" s="97"/>
      <c r="O166" s="97"/>
      <c r="P166" s="97"/>
      <c r="Q166" s="97" t="s">
        <v>488</v>
      </c>
      <c r="R166" s="97"/>
      <c r="S166" s="97" t="s">
        <v>488</v>
      </c>
      <c r="T166" s="851">
        <f t="shared" si="2"/>
        <v>20264700</v>
      </c>
    </row>
    <row r="167" spans="1:20">
      <c r="A167" s="96">
        <v>45382</v>
      </c>
      <c r="B167" s="96">
        <v>45382</v>
      </c>
      <c r="C167" s="97" t="s">
        <v>507</v>
      </c>
      <c r="D167" s="96"/>
      <c r="E167" s="97"/>
      <c r="F167" s="97" t="s">
        <v>475</v>
      </c>
      <c r="G167" s="97" t="s">
        <v>446</v>
      </c>
      <c r="H167" s="97" t="s">
        <v>370</v>
      </c>
      <c r="I167" s="97" t="s">
        <v>333</v>
      </c>
      <c r="J167" s="98">
        <v>7994448</v>
      </c>
      <c r="K167" s="98">
        <v>0</v>
      </c>
      <c r="L167" s="97"/>
      <c r="M167" s="97"/>
      <c r="N167" s="97"/>
      <c r="O167" s="97"/>
      <c r="P167" s="97"/>
      <c r="Q167" s="97" t="s">
        <v>488</v>
      </c>
      <c r="R167" s="97"/>
      <c r="S167" s="97" t="s">
        <v>488</v>
      </c>
      <c r="T167" s="851">
        <f t="shared" si="2"/>
        <v>7994448</v>
      </c>
    </row>
    <row r="168" spans="1:20">
      <c r="A168" s="96">
        <v>45382</v>
      </c>
      <c r="B168" s="96">
        <v>45382</v>
      </c>
      <c r="C168" s="97" t="s">
        <v>507</v>
      </c>
      <c r="D168" s="96"/>
      <c r="E168" s="97"/>
      <c r="F168" s="97" t="s">
        <v>476</v>
      </c>
      <c r="G168" s="97" t="s">
        <v>446</v>
      </c>
      <c r="H168" s="97" t="s">
        <v>378</v>
      </c>
      <c r="I168" s="97" t="s">
        <v>374</v>
      </c>
      <c r="J168" s="98">
        <v>263830286</v>
      </c>
      <c r="K168" s="98">
        <v>0</v>
      </c>
      <c r="L168" s="97"/>
      <c r="M168" s="97"/>
      <c r="N168" s="97"/>
      <c r="O168" s="97"/>
      <c r="P168" s="97"/>
      <c r="Q168" s="97" t="s">
        <v>488</v>
      </c>
      <c r="R168" s="97"/>
      <c r="S168" s="97" t="s">
        <v>488</v>
      </c>
      <c r="T168" s="851">
        <f t="shared" si="2"/>
        <v>263830286</v>
      </c>
    </row>
    <row r="169" spans="1:20">
      <c r="A169" s="96">
        <v>45382</v>
      </c>
      <c r="B169" s="96">
        <v>45382</v>
      </c>
      <c r="C169" s="97" t="s">
        <v>507</v>
      </c>
      <c r="D169" s="96"/>
      <c r="E169" s="97"/>
      <c r="F169" s="97" t="s">
        <v>476</v>
      </c>
      <c r="G169" s="97" t="s">
        <v>446</v>
      </c>
      <c r="H169" s="97" t="s">
        <v>379</v>
      </c>
      <c r="I169" s="97" t="s">
        <v>374</v>
      </c>
      <c r="J169" s="98">
        <v>18368000</v>
      </c>
      <c r="K169" s="98">
        <v>0</v>
      </c>
      <c r="L169" s="97"/>
      <c r="M169" s="97"/>
      <c r="N169" s="97"/>
      <c r="O169" s="97"/>
      <c r="P169" s="97"/>
      <c r="Q169" s="97" t="s">
        <v>488</v>
      </c>
      <c r="R169" s="97"/>
      <c r="S169" s="97" t="s">
        <v>488</v>
      </c>
      <c r="T169" s="851">
        <f t="shared" si="2"/>
        <v>18368000</v>
      </c>
    </row>
    <row r="170" spans="1:20">
      <c r="A170" s="96">
        <v>45382</v>
      </c>
      <c r="B170" s="96">
        <v>45382</v>
      </c>
      <c r="C170" s="97" t="s">
        <v>507</v>
      </c>
      <c r="D170" s="96"/>
      <c r="E170" s="97"/>
      <c r="F170" s="97" t="s">
        <v>476</v>
      </c>
      <c r="G170" s="97" t="s">
        <v>446</v>
      </c>
      <c r="H170" s="97" t="s">
        <v>380</v>
      </c>
      <c r="I170" s="97" t="s">
        <v>374</v>
      </c>
      <c r="J170" s="98">
        <v>83649537</v>
      </c>
      <c r="K170" s="98">
        <v>0</v>
      </c>
      <c r="L170" s="97"/>
      <c r="M170" s="97"/>
      <c r="N170" s="97"/>
      <c r="O170" s="97"/>
      <c r="P170" s="97"/>
      <c r="Q170" s="97" t="s">
        <v>488</v>
      </c>
      <c r="R170" s="97"/>
      <c r="S170" s="97" t="s">
        <v>488</v>
      </c>
      <c r="T170" s="851">
        <f t="shared" si="2"/>
        <v>83649537</v>
      </c>
    </row>
    <row r="171" spans="1:20">
      <c r="A171" s="96">
        <v>45382</v>
      </c>
      <c r="B171" s="96">
        <v>45382</v>
      </c>
      <c r="C171" s="97" t="s">
        <v>507</v>
      </c>
      <c r="D171" s="96"/>
      <c r="E171" s="97"/>
      <c r="F171" s="97" t="s">
        <v>476</v>
      </c>
      <c r="G171" s="97" t="s">
        <v>446</v>
      </c>
      <c r="H171" s="97" t="s">
        <v>381</v>
      </c>
      <c r="I171" s="97" t="s">
        <v>374</v>
      </c>
      <c r="J171" s="98">
        <v>41781488</v>
      </c>
      <c r="K171" s="98">
        <v>0</v>
      </c>
      <c r="L171" s="97"/>
      <c r="M171" s="97"/>
      <c r="N171" s="97"/>
      <c r="O171" s="97"/>
      <c r="P171" s="97"/>
      <c r="Q171" s="97" t="s">
        <v>488</v>
      </c>
      <c r="R171" s="97"/>
      <c r="S171" s="97" t="s">
        <v>488</v>
      </c>
      <c r="T171" s="851">
        <f t="shared" si="2"/>
        <v>41781488</v>
      </c>
    </row>
    <row r="172" spans="1:20">
      <c r="A172" s="96">
        <v>45382</v>
      </c>
      <c r="B172" s="96">
        <v>45382</v>
      </c>
      <c r="C172" s="97" t="s">
        <v>507</v>
      </c>
      <c r="D172" s="96"/>
      <c r="E172" s="97"/>
      <c r="F172" s="97" t="s">
        <v>476</v>
      </c>
      <c r="G172" s="97" t="s">
        <v>446</v>
      </c>
      <c r="H172" s="97" t="s">
        <v>383</v>
      </c>
      <c r="I172" s="97" t="s">
        <v>374</v>
      </c>
      <c r="J172" s="98">
        <v>39554350</v>
      </c>
      <c r="K172" s="98">
        <v>0</v>
      </c>
      <c r="L172" s="97"/>
      <c r="M172" s="97"/>
      <c r="N172" s="97"/>
      <c r="O172" s="97"/>
      <c r="P172" s="97"/>
      <c r="Q172" s="97" t="s">
        <v>488</v>
      </c>
      <c r="R172" s="97"/>
      <c r="S172" s="97" t="s">
        <v>488</v>
      </c>
      <c r="T172" s="851">
        <f t="shared" si="2"/>
        <v>39554350</v>
      </c>
    </row>
    <row r="173" spans="1:20">
      <c r="A173" s="96">
        <v>45382</v>
      </c>
      <c r="B173" s="96">
        <v>45382</v>
      </c>
      <c r="C173" s="97" t="s">
        <v>507</v>
      </c>
      <c r="D173" s="96"/>
      <c r="E173" s="97"/>
      <c r="F173" s="97" t="s">
        <v>476</v>
      </c>
      <c r="G173" s="97" t="s">
        <v>446</v>
      </c>
      <c r="H173" s="97" t="s">
        <v>387</v>
      </c>
      <c r="I173" s="97" t="s">
        <v>374</v>
      </c>
      <c r="J173" s="98">
        <v>199437985</v>
      </c>
      <c r="K173" s="98">
        <v>0</v>
      </c>
      <c r="L173" s="97"/>
      <c r="M173" s="97"/>
      <c r="N173" s="97"/>
      <c r="O173" s="97"/>
      <c r="P173" s="97"/>
      <c r="Q173" s="97" t="s">
        <v>488</v>
      </c>
      <c r="R173" s="97"/>
      <c r="S173" s="97" t="s">
        <v>488</v>
      </c>
      <c r="T173" s="851">
        <f t="shared" si="2"/>
        <v>199437985</v>
      </c>
    </row>
    <row r="174" spans="1:20">
      <c r="A174" s="96">
        <v>45382</v>
      </c>
      <c r="B174" s="96">
        <v>45382</v>
      </c>
      <c r="C174" s="97" t="s">
        <v>507</v>
      </c>
      <c r="D174" s="96"/>
      <c r="E174" s="97"/>
      <c r="F174" s="97" t="s">
        <v>476</v>
      </c>
      <c r="G174" s="97" t="s">
        <v>446</v>
      </c>
      <c r="H174" s="97" t="s">
        <v>389</v>
      </c>
      <c r="I174" s="97" t="s">
        <v>374</v>
      </c>
      <c r="J174" s="98">
        <v>7023584</v>
      </c>
      <c r="K174" s="98">
        <v>0</v>
      </c>
      <c r="L174" s="97"/>
      <c r="M174" s="97"/>
      <c r="N174" s="97"/>
      <c r="O174" s="97"/>
      <c r="P174" s="97"/>
      <c r="Q174" s="97" t="s">
        <v>488</v>
      </c>
      <c r="R174" s="97"/>
      <c r="S174" s="97" t="s">
        <v>488</v>
      </c>
      <c r="T174" s="851">
        <f t="shared" si="2"/>
        <v>7023584</v>
      </c>
    </row>
    <row r="175" spans="1:20">
      <c r="A175" s="96">
        <v>45382</v>
      </c>
      <c r="B175" s="96">
        <v>45382</v>
      </c>
      <c r="C175" s="97" t="s">
        <v>507</v>
      </c>
      <c r="D175" s="96"/>
      <c r="E175" s="97"/>
      <c r="F175" s="97" t="s">
        <v>476</v>
      </c>
      <c r="G175" s="97" t="s">
        <v>446</v>
      </c>
      <c r="H175" s="97" t="s">
        <v>391</v>
      </c>
      <c r="I175" s="97" t="s">
        <v>374</v>
      </c>
      <c r="J175" s="98">
        <v>3854362</v>
      </c>
      <c r="K175" s="98">
        <v>0</v>
      </c>
      <c r="L175" s="97"/>
      <c r="M175" s="97"/>
      <c r="N175" s="97"/>
      <c r="O175" s="97"/>
      <c r="P175" s="97"/>
      <c r="Q175" s="97" t="s">
        <v>488</v>
      </c>
      <c r="R175" s="97"/>
      <c r="S175" s="97" t="s">
        <v>488</v>
      </c>
      <c r="T175" s="851">
        <f t="shared" si="2"/>
        <v>3854362</v>
      </c>
    </row>
    <row r="176" spans="1:20">
      <c r="A176" s="96">
        <v>45382</v>
      </c>
      <c r="B176" s="96">
        <v>45382</v>
      </c>
      <c r="C176" s="97" t="s">
        <v>507</v>
      </c>
      <c r="D176" s="96"/>
      <c r="E176" s="97"/>
      <c r="F176" s="97" t="s">
        <v>476</v>
      </c>
      <c r="G176" s="97" t="s">
        <v>446</v>
      </c>
      <c r="H176" s="97" t="s">
        <v>393</v>
      </c>
      <c r="I176" s="97" t="s">
        <v>374</v>
      </c>
      <c r="J176" s="98">
        <v>10486430</v>
      </c>
      <c r="K176" s="98">
        <v>0</v>
      </c>
      <c r="L176" s="97"/>
      <c r="M176" s="97"/>
      <c r="N176" s="97"/>
      <c r="O176" s="97"/>
      <c r="P176" s="97"/>
      <c r="Q176" s="97" t="s">
        <v>488</v>
      </c>
      <c r="R176" s="97"/>
      <c r="S176" s="97" t="s">
        <v>488</v>
      </c>
      <c r="T176" s="851">
        <f t="shared" si="2"/>
        <v>10486430</v>
      </c>
    </row>
    <row r="177" spans="1:20">
      <c r="A177" s="96">
        <v>45382</v>
      </c>
      <c r="B177" s="96">
        <v>45382</v>
      </c>
      <c r="C177" s="97" t="s">
        <v>507</v>
      </c>
      <c r="D177" s="96"/>
      <c r="E177" s="97"/>
      <c r="F177" s="97" t="s">
        <v>476</v>
      </c>
      <c r="G177" s="97" t="s">
        <v>446</v>
      </c>
      <c r="H177" s="97" t="s">
        <v>395</v>
      </c>
      <c r="I177" s="97" t="s">
        <v>374</v>
      </c>
      <c r="J177" s="98">
        <v>4414000</v>
      </c>
      <c r="K177" s="98">
        <v>0</v>
      </c>
      <c r="L177" s="97"/>
      <c r="M177" s="97"/>
      <c r="N177" s="97"/>
      <c r="O177" s="97"/>
      <c r="P177" s="97"/>
      <c r="Q177" s="97" t="s">
        <v>488</v>
      </c>
      <c r="R177" s="97"/>
      <c r="S177" s="97" t="s">
        <v>488</v>
      </c>
      <c r="T177" s="851">
        <f t="shared" si="2"/>
        <v>4414000</v>
      </c>
    </row>
    <row r="178" spans="1:20">
      <c r="A178" s="96">
        <v>45382</v>
      </c>
      <c r="B178" s="96">
        <v>45382</v>
      </c>
      <c r="C178" s="97" t="s">
        <v>507</v>
      </c>
      <c r="D178" s="96"/>
      <c r="E178" s="97"/>
      <c r="F178" s="97" t="s">
        <v>476</v>
      </c>
      <c r="G178" s="97" t="s">
        <v>446</v>
      </c>
      <c r="H178" s="97" t="s">
        <v>397</v>
      </c>
      <c r="I178" s="97" t="s">
        <v>374</v>
      </c>
      <c r="J178" s="98">
        <v>6324707</v>
      </c>
      <c r="K178" s="98">
        <v>0</v>
      </c>
      <c r="L178" s="97"/>
      <c r="M178" s="97"/>
      <c r="N178" s="97"/>
      <c r="O178" s="97"/>
      <c r="P178" s="97"/>
      <c r="Q178" s="97" t="s">
        <v>488</v>
      </c>
      <c r="R178" s="97"/>
      <c r="S178" s="97" t="s">
        <v>488</v>
      </c>
      <c r="T178" s="851">
        <f t="shared" si="2"/>
        <v>6324707</v>
      </c>
    </row>
    <row r="179" spans="1:20">
      <c r="A179" s="96">
        <v>45382</v>
      </c>
      <c r="B179" s="96">
        <v>45382</v>
      </c>
      <c r="C179" s="97" t="s">
        <v>507</v>
      </c>
      <c r="D179" s="96"/>
      <c r="E179" s="97"/>
      <c r="F179" s="97" t="s">
        <v>476</v>
      </c>
      <c r="G179" s="97" t="s">
        <v>446</v>
      </c>
      <c r="H179" s="97" t="s">
        <v>398</v>
      </c>
      <c r="I179" s="97" t="s">
        <v>374</v>
      </c>
      <c r="J179" s="98">
        <v>1818097</v>
      </c>
      <c r="K179" s="98">
        <v>0</v>
      </c>
      <c r="L179" s="97"/>
      <c r="M179" s="97"/>
      <c r="N179" s="97"/>
      <c r="O179" s="97"/>
      <c r="P179" s="97"/>
      <c r="Q179" s="97" t="s">
        <v>488</v>
      </c>
      <c r="R179" s="97"/>
      <c r="S179" s="97" t="s">
        <v>488</v>
      </c>
      <c r="T179" s="851">
        <f t="shared" si="2"/>
        <v>1818097</v>
      </c>
    </row>
    <row r="180" spans="1:20">
      <c r="A180" s="96">
        <v>45382</v>
      </c>
      <c r="B180" s="96">
        <v>45382</v>
      </c>
      <c r="C180" s="97" t="s">
        <v>507</v>
      </c>
      <c r="D180" s="96"/>
      <c r="E180" s="97"/>
      <c r="F180" s="97" t="s">
        <v>476</v>
      </c>
      <c r="G180" s="97" t="s">
        <v>446</v>
      </c>
      <c r="H180" s="97" t="s">
        <v>401</v>
      </c>
      <c r="I180" s="97" t="s">
        <v>374</v>
      </c>
      <c r="J180" s="98">
        <v>4480187</v>
      </c>
      <c r="K180" s="98">
        <v>0</v>
      </c>
      <c r="L180" s="97"/>
      <c r="M180" s="97"/>
      <c r="N180" s="97"/>
      <c r="O180" s="97"/>
      <c r="P180" s="97"/>
      <c r="Q180" s="97" t="s">
        <v>488</v>
      </c>
      <c r="R180" s="97"/>
      <c r="S180" s="97" t="s">
        <v>488</v>
      </c>
      <c r="T180" s="851">
        <f t="shared" si="2"/>
        <v>4480187</v>
      </c>
    </row>
    <row r="181" spans="1:20">
      <c r="A181" s="96">
        <v>45382</v>
      </c>
      <c r="B181" s="96">
        <v>45382</v>
      </c>
      <c r="C181" s="97" t="s">
        <v>507</v>
      </c>
      <c r="D181" s="96"/>
      <c r="E181" s="97"/>
      <c r="F181" s="97" t="s">
        <v>476</v>
      </c>
      <c r="G181" s="97" t="s">
        <v>446</v>
      </c>
      <c r="H181" s="97" t="s">
        <v>405</v>
      </c>
      <c r="I181" s="97" t="s">
        <v>374</v>
      </c>
      <c r="J181" s="98">
        <v>12000000</v>
      </c>
      <c r="K181" s="98">
        <v>0</v>
      </c>
      <c r="L181" s="97"/>
      <c r="M181" s="97"/>
      <c r="N181" s="97"/>
      <c r="O181" s="97"/>
      <c r="P181" s="97"/>
      <c r="Q181" s="97" t="s">
        <v>488</v>
      </c>
      <c r="R181" s="97"/>
      <c r="S181" s="97" t="s">
        <v>488</v>
      </c>
      <c r="T181" s="851">
        <f t="shared" si="2"/>
        <v>12000000</v>
      </c>
    </row>
    <row r="182" spans="1:20">
      <c r="A182" s="96">
        <v>45382</v>
      </c>
      <c r="B182" s="96">
        <v>45382</v>
      </c>
      <c r="C182" s="97" t="s">
        <v>507</v>
      </c>
      <c r="D182" s="96"/>
      <c r="E182" s="97"/>
      <c r="F182" s="97" t="s">
        <v>476</v>
      </c>
      <c r="G182" s="97" t="s">
        <v>446</v>
      </c>
      <c r="H182" s="97" t="s">
        <v>407</v>
      </c>
      <c r="I182" s="97" t="s">
        <v>374</v>
      </c>
      <c r="J182" s="98">
        <v>64393939</v>
      </c>
      <c r="K182" s="98">
        <v>0</v>
      </c>
      <c r="L182" s="97"/>
      <c r="M182" s="97"/>
      <c r="N182" s="97"/>
      <c r="O182" s="97"/>
      <c r="P182" s="97"/>
      <c r="Q182" s="97" t="s">
        <v>488</v>
      </c>
      <c r="R182" s="97"/>
      <c r="S182" s="97" t="s">
        <v>488</v>
      </c>
      <c r="T182" s="851">
        <f t="shared" si="2"/>
        <v>64393939</v>
      </c>
    </row>
    <row r="183" spans="1:20">
      <c r="A183" s="96">
        <v>45382</v>
      </c>
      <c r="B183" s="96">
        <v>45382</v>
      </c>
      <c r="C183" s="97" t="s">
        <v>507</v>
      </c>
      <c r="D183" s="96"/>
      <c r="E183" s="97"/>
      <c r="F183" s="97" t="s">
        <v>476</v>
      </c>
      <c r="G183" s="97" t="s">
        <v>446</v>
      </c>
      <c r="H183" s="97" t="s">
        <v>413</v>
      </c>
      <c r="I183" s="97" t="s">
        <v>374</v>
      </c>
      <c r="J183" s="98">
        <v>7685160</v>
      </c>
      <c r="K183" s="98">
        <v>0</v>
      </c>
      <c r="L183" s="97"/>
      <c r="M183" s="97"/>
      <c r="N183" s="97"/>
      <c r="O183" s="97"/>
      <c r="P183" s="97"/>
      <c r="Q183" s="97" t="s">
        <v>488</v>
      </c>
      <c r="R183" s="97"/>
      <c r="S183" s="97" t="s">
        <v>488</v>
      </c>
      <c r="T183" s="851">
        <f t="shared" si="2"/>
        <v>7685160</v>
      </c>
    </row>
    <row r="184" spans="1:20">
      <c r="A184" s="96">
        <v>45382</v>
      </c>
      <c r="B184" s="96">
        <v>45382</v>
      </c>
      <c r="C184" s="97" t="s">
        <v>507</v>
      </c>
      <c r="D184" s="96"/>
      <c r="E184" s="97"/>
      <c r="F184" s="97" t="s">
        <v>476</v>
      </c>
      <c r="G184" s="97" t="s">
        <v>446</v>
      </c>
      <c r="H184" s="97" t="s">
        <v>415</v>
      </c>
      <c r="I184" s="97" t="s">
        <v>374</v>
      </c>
      <c r="J184" s="98">
        <v>3409091</v>
      </c>
      <c r="K184" s="98">
        <v>0</v>
      </c>
      <c r="L184" s="97"/>
      <c r="M184" s="97"/>
      <c r="N184" s="97"/>
      <c r="O184" s="97"/>
      <c r="P184" s="97"/>
      <c r="Q184" s="97" t="s">
        <v>488</v>
      </c>
      <c r="R184" s="97"/>
      <c r="S184" s="97" t="s">
        <v>488</v>
      </c>
      <c r="T184" s="851">
        <f t="shared" si="2"/>
        <v>3409091</v>
      </c>
    </row>
    <row r="185" spans="1:20">
      <c r="A185" s="96">
        <v>45382</v>
      </c>
      <c r="B185" s="96">
        <v>45382</v>
      </c>
      <c r="C185" s="97" t="s">
        <v>507</v>
      </c>
      <c r="D185" s="96"/>
      <c r="E185" s="97"/>
      <c r="F185" s="97" t="s">
        <v>476</v>
      </c>
      <c r="G185" s="97" t="s">
        <v>446</v>
      </c>
      <c r="H185" s="97" t="s">
        <v>419</v>
      </c>
      <c r="I185" s="97" t="s">
        <v>374</v>
      </c>
      <c r="J185" s="98">
        <v>1950000</v>
      </c>
      <c r="K185" s="98">
        <v>0</v>
      </c>
      <c r="L185" s="97"/>
      <c r="M185" s="97"/>
      <c r="N185" s="97"/>
      <c r="O185" s="97"/>
      <c r="P185" s="97"/>
      <c r="Q185" s="97" t="s">
        <v>488</v>
      </c>
      <c r="R185" s="97"/>
      <c r="S185" s="97" t="s">
        <v>488</v>
      </c>
      <c r="T185" s="851">
        <f t="shared" si="2"/>
        <v>1950000</v>
      </c>
    </row>
    <row r="186" spans="1:20">
      <c r="A186" s="96">
        <v>45382</v>
      </c>
      <c r="B186" s="96">
        <v>45382</v>
      </c>
      <c r="C186" s="97" t="s">
        <v>507</v>
      </c>
      <c r="D186" s="96"/>
      <c r="E186" s="97"/>
      <c r="F186" s="97" t="s">
        <v>476</v>
      </c>
      <c r="G186" s="97" t="s">
        <v>446</v>
      </c>
      <c r="H186" s="97" t="s">
        <v>421</v>
      </c>
      <c r="I186" s="97" t="s">
        <v>374</v>
      </c>
      <c r="J186" s="98">
        <v>16042555</v>
      </c>
      <c r="K186" s="98">
        <v>0</v>
      </c>
      <c r="L186" s="97"/>
      <c r="M186" s="97"/>
      <c r="N186" s="97"/>
      <c r="O186" s="97"/>
      <c r="P186" s="97"/>
      <c r="Q186" s="97" t="s">
        <v>488</v>
      </c>
      <c r="R186" s="97"/>
      <c r="S186" s="97" t="s">
        <v>488</v>
      </c>
      <c r="T186" s="851">
        <f t="shared" si="2"/>
        <v>16042555</v>
      </c>
    </row>
    <row r="187" spans="1:20">
      <c r="A187" s="96">
        <v>45382</v>
      </c>
      <c r="B187" s="96">
        <v>45382</v>
      </c>
      <c r="C187" s="97" t="s">
        <v>507</v>
      </c>
      <c r="D187" s="96"/>
      <c r="E187" s="97"/>
      <c r="F187" s="97" t="s">
        <v>476</v>
      </c>
      <c r="G187" s="97" t="s">
        <v>446</v>
      </c>
      <c r="H187" s="97" t="s">
        <v>424</v>
      </c>
      <c r="I187" s="97" t="s">
        <v>374</v>
      </c>
      <c r="J187" s="98">
        <v>22076455</v>
      </c>
      <c r="K187" s="98">
        <v>0</v>
      </c>
      <c r="L187" s="97"/>
      <c r="M187" s="97"/>
      <c r="N187" s="97"/>
      <c r="O187" s="97"/>
      <c r="P187" s="97"/>
      <c r="Q187" s="97" t="s">
        <v>488</v>
      </c>
      <c r="R187" s="97"/>
      <c r="S187" s="97" t="s">
        <v>488</v>
      </c>
      <c r="T187" s="851">
        <f t="shared" si="2"/>
        <v>22076455</v>
      </c>
    </row>
    <row r="188" spans="1:20">
      <c r="A188" s="96">
        <v>45382</v>
      </c>
      <c r="B188" s="96">
        <v>45382</v>
      </c>
      <c r="C188" s="97" t="s">
        <v>507</v>
      </c>
      <c r="D188" s="96"/>
      <c r="E188" s="97"/>
      <c r="F188" s="97" t="s">
        <v>476</v>
      </c>
      <c r="G188" s="97" t="s">
        <v>446</v>
      </c>
      <c r="H188" s="97" t="s">
        <v>425</v>
      </c>
      <c r="I188" s="97" t="s">
        <v>374</v>
      </c>
      <c r="J188" s="98">
        <v>4202560</v>
      </c>
      <c r="K188" s="98">
        <v>0</v>
      </c>
      <c r="L188" s="97"/>
      <c r="M188" s="97"/>
      <c r="N188" s="97"/>
      <c r="O188" s="97"/>
      <c r="P188" s="97"/>
      <c r="Q188" s="97" t="s">
        <v>488</v>
      </c>
      <c r="R188" s="97"/>
      <c r="S188" s="97" t="s">
        <v>488</v>
      </c>
      <c r="T188" s="851">
        <f t="shared" si="2"/>
        <v>4202560</v>
      </c>
    </row>
    <row r="189" spans="1:20">
      <c r="A189" s="96">
        <v>45382</v>
      </c>
      <c r="B189" s="96">
        <v>45382</v>
      </c>
      <c r="C189" s="97" t="s">
        <v>507</v>
      </c>
      <c r="D189" s="96"/>
      <c r="E189" s="97"/>
      <c r="F189" s="97" t="s">
        <v>476</v>
      </c>
      <c r="G189" s="97" t="s">
        <v>446</v>
      </c>
      <c r="H189" s="97" t="s">
        <v>427</v>
      </c>
      <c r="I189" s="97" t="s">
        <v>374</v>
      </c>
      <c r="J189" s="98">
        <v>23086401</v>
      </c>
      <c r="K189" s="98">
        <v>0</v>
      </c>
      <c r="L189" s="97"/>
      <c r="M189" s="97"/>
      <c r="N189" s="97"/>
      <c r="O189" s="97"/>
      <c r="P189" s="97"/>
      <c r="Q189" s="97" t="s">
        <v>488</v>
      </c>
      <c r="R189" s="97"/>
      <c r="S189" s="97" t="s">
        <v>488</v>
      </c>
      <c r="T189" s="851">
        <f t="shared" si="2"/>
        <v>23086401</v>
      </c>
    </row>
    <row r="190" spans="1:20">
      <c r="A190" s="96">
        <v>45382</v>
      </c>
      <c r="B190" s="96">
        <v>45382</v>
      </c>
      <c r="C190" s="97" t="s">
        <v>507</v>
      </c>
      <c r="D190" s="96"/>
      <c r="E190" s="97"/>
      <c r="F190" s="97" t="s">
        <v>476</v>
      </c>
      <c r="G190" s="97" t="s">
        <v>446</v>
      </c>
      <c r="H190" s="97" t="s">
        <v>431</v>
      </c>
      <c r="I190" s="97" t="s">
        <v>374</v>
      </c>
      <c r="J190" s="98">
        <v>613074</v>
      </c>
      <c r="K190" s="98">
        <v>0</v>
      </c>
      <c r="L190" s="97"/>
      <c r="M190" s="97"/>
      <c r="N190" s="97"/>
      <c r="O190" s="97"/>
      <c r="P190" s="97"/>
      <c r="Q190" s="97" t="s">
        <v>488</v>
      </c>
      <c r="R190" s="97"/>
      <c r="S190" s="97" t="s">
        <v>488</v>
      </c>
      <c r="T190" s="851">
        <f t="shared" si="2"/>
        <v>613074</v>
      </c>
    </row>
    <row r="191" spans="1:20">
      <c r="A191" s="96">
        <v>45382</v>
      </c>
      <c r="B191" s="96">
        <v>45382</v>
      </c>
      <c r="C191" s="97" t="s">
        <v>507</v>
      </c>
      <c r="D191" s="96"/>
      <c r="E191" s="97"/>
      <c r="F191" s="97" t="s">
        <v>476</v>
      </c>
      <c r="G191" s="97" t="s">
        <v>446</v>
      </c>
      <c r="H191" s="97" t="s">
        <v>432</v>
      </c>
      <c r="I191" s="97" t="s">
        <v>374</v>
      </c>
      <c r="J191" s="98">
        <v>1018000</v>
      </c>
      <c r="K191" s="98">
        <v>0</v>
      </c>
      <c r="L191" s="97"/>
      <c r="M191" s="97"/>
      <c r="N191" s="97"/>
      <c r="O191" s="97"/>
      <c r="P191" s="97"/>
      <c r="Q191" s="97" t="s">
        <v>488</v>
      </c>
      <c r="R191" s="97"/>
      <c r="S191" s="97" t="s">
        <v>488</v>
      </c>
      <c r="T191" s="851">
        <f t="shared" si="2"/>
        <v>1018000</v>
      </c>
    </row>
    <row r="192" spans="1:20">
      <c r="A192" s="96">
        <v>45382</v>
      </c>
      <c r="B192" s="96">
        <v>45382</v>
      </c>
      <c r="C192" s="97" t="s">
        <v>507</v>
      </c>
      <c r="D192" s="96"/>
      <c r="E192" s="97"/>
      <c r="F192" s="97" t="s">
        <v>476</v>
      </c>
      <c r="G192" s="97" t="s">
        <v>446</v>
      </c>
      <c r="H192" s="97" t="s">
        <v>435</v>
      </c>
      <c r="I192" s="97" t="s">
        <v>374</v>
      </c>
      <c r="J192" s="98">
        <v>71820908</v>
      </c>
      <c r="K192" s="98">
        <v>0</v>
      </c>
      <c r="L192" s="97"/>
      <c r="M192" s="97"/>
      <c r="N192" s="97"/>
      <c r="O192" s="97"/>
      <c r="P192" s="97"/>
      <c r="Q192" s="97" t="s">
        <v>488</v>
      </c>
      <c r="R192" s="97"/>
      <c r="S192" s="97" t="s">
        <v>488</v>
      </c>
      <c r="T192" s="851">
        <f t="shared" si="2"/>
        <v>71820908</v>
      </c>
    </row>
    <row r="193" spans="1:20">
      <c r="A193" s="96">
        <v>45382</v>
      </c>
      <c r="B193" s="96">
        <v>45382</v>
      </c>
      <c r="C193" s="97" t="s">
        <v>507</v>
      </c>
      <c r="D193" s="96"/>
      <c r="E193" s="97"/>
      <c r="F193" s="97" t="s">
        <v>477</v>
      </c>
      <c r="G193" s="97" t="s">
        <v>446</v>
      </c>
      <c r="H193" s="97" t="s">
        <v>442</v>
      </c>
      <c r="I193" s="97" t="s">
        <v>442</v>
      </c>
      <c r="J193" s="98">
        <v>0</v>
      </c>
      <c r="K193" s="98">
        <v>1736503</v>
      </c>
      <c r="L193" s="97"/>
      <c r="M193" s="97"/>
      <c r="N193" s="97"/>
      <c r="O193" s="97"/>
      <c r="P193" s="97"/>
      <c r="Q193" s="97" t="s">
        <v>488</v>
      </c>
      <c r="R193" s="97"/>
      <c r="S193" s="97" t="s">
        <v>488</v>
      </c>
      <c r="T193" s="851">
        <f t="shared" si="2"/>
        <v>-1736503</v>
      </c>
    </row>
    <row r="194" spans="1:20">
      <c r="A194" s="96">
        <v>45382</v>
      </c>
      <c r="B194" s="96">
        <v>45382</v>
      </c>
      <c r="C194" s="97" t="s">
        <v>507</v>
      </c>
      <c r="D194" s="96"/>
      <c r="E194" s="97"/>
      <c r="F194" s="97" t="s">
        <v>479</v>
      </c>
      <c r="G194" s="97" t="s">
        <v>446</v>
      </c>
      <c r="H194" s="97" t="s">
        <v>217</v>
      </c>
      <c r="I194" s="97" t="s">
        <v>213</v>
      </c>
      <c r="J194" s="98">
        <v>5121951933</v>
      </c>
      <c r="K194" s="98">
        <v>0</v>
      </c>
      <c r="L194" s="97"/>
      <c r="M194" s="97"/>
      <c r="N194" s="97"/>
      <c r="O194" s="97"/>
      <c r="P194" s="97"/>
      <c r="Q194" s="97" t="s">
        <v>488</v>
      </c>
      <c r="R194" s="97"/>
      <c r="S194" s="97" t="s">
        <v>488</v>
      </c>
      <c r="T194" s="851">
        <f t="shared" si="2"/>
        <v>5121951933</v>
      </c>
    </row>
    <row r="195" spans="1:20">
      <c r="A195" s="96">
        <v>45412</v>
      </c>
      <c r="B195" s="96">
        <v>45412</v>
      </c>
      <c r="C195" s="97" t="s">
        <v>508</v>
      </c>
      <c r="D195" s="96"/>
      <c r="E195" s="97"/>
      <c r="F195" s="97" t="s">
        <v>468</v>
      </c>
      <c r="G195" s="97" t="s">
        <v>446</v>
      </c>
      <c r="H195" s="97" t="s">
        <v>223</v>
      </c>
      <c r="I195" s="97" t="s">
        <v>219</v>
      </c>
      <c r="J195" s="98">
        <v>0</v>
      </c>
      <c r="K195" s="98">
        <v>1216</v>
      </c>
      <c r="L195" s="97"/>
      <c r="M195" s="97"/>
      <c r="N195" s="97"/>
      <c r="O195" s="97"/>
      <c r="P195" s="97"/>
      <c r="Q195" s="97" t="s">
        <v>488</v>
      </c>
      <c r="R195" s="97"/>
      <c r="S195" s="97" t="s">
        <v>488</v>
      </c>
      <c r="T195" s="851">
        <f t="shared" si="2"/>
        <v>-1216</v>
      </c>
    </row>
    <row r="196" spans="1:20">
      <c r="A196" s="96">
        <v>45412</v>
      </c>
      <c r="B196" s="96">
        <v>45412</v>
      </c>
      <c r="C196" s="97" t="s">
        <v>508</v>
      </c>
      <c r="D196" s="96"/>
      <c r="E196" s="97"/>
      <c r="F196" s="97" t="s">
        <v>468</v>
      </c>
      <c r="G196" s="97" t="s">
        <v>446</v>
      </c>
      <c r="H196" s="97" t="s">
        <v>225</v>
      </c>
      <c r="I196" s="97" t="s">
        <v>219</v>
      </c>
      <c r="J196" s="98">
        <v>0</v>
      </c>
      <c r="K196" s="98">
        <v>2448000</v>
      </c>
      <c r="L196" s="97"/>
      <c r="M196" s="97"/>
      <c r="N196" s="97"/>
      <c r="O196" s="97"/>
      <c r="P196" s="97"/>
      <c r="Q196" s="97" t="s">
        <v>488</v>
      </c>
      <c r="R196" s="97"/>
      <c r="S196" s="97" t="s">
        <v>488</v>
      </c>
      <c r="T196" s="851">
        <f t="shared" si="2"/>
        <v>-2448000</v>
      </c>
    </row>
    <row r="197" spans="1:20">
      <c r="A197" s="96">
        <v>45412</v>
      </c>
      <c r="B197" s="96">
        <v>45412</v>
      </c>
      <c r="C197" s="97" t="s">
        <v>508</v>
      </c>
      <c r="D197" s="96"/>
      <c r="E197" s="97"/>
      <c r="F197" s="97" t="s">
        <v>468</v>
      </c>
      <c r="G197" s="97" t="s">
        <v>446</v>
      </c>
      <c r="H197" s="97" t="s">
        <v>227</v>
      </c>
      <c r="I197" s="97" t="s">
        <v>219</v>
      </c>
      <c r="J197" s="98">
        <v>0</v>
      </c>
      <c r="K197" s="98">
        <v>8343000</v>
      </c>
      <c r="L197" s="97"/>
      <c r="M197" s="97"/>
      <c r="N197" s="97"/>
      <c r="O197" s="97"/>
      <c r="P197" s="97"/>
      <c r="Q197" s="97" t="s">
        <v>488</v>
      </c>
      <c r="R197" s="97"/>
      <c r="S197" s="97" t="s">
        <v>488</v>
      </c>
      <c r="T197" s="851">
        <f t="shared" ref="T197:T260" si="3">J197-K197</f>
        <v>-8343000</v>
      </c>
    </row>
    <row r="198" spans="1:20">
      <c r="A198" s="96">
        <v>45412</v>
      </c>
      <c r="B198" s="96">
        <v>45412</v>
      </c>
      <c r="C198" s="97" t="s">
        <v>508</v>
      </c>
      <c r="D198" s="96"/>
      <c r="E198" s="97"/>
      <c r="F198" s="97" t="s">
        <v>468</v>
      </c>
      <c r="G198" s="97" t="s">
        <v>446</v>
      </c>
      <c r="H198" s="97" t="s">
        <v>229</v>
      </c>
      <c r="I198" s="97" t="s">
        <v>219</v>
      </c>
      <c r="J198" s="98">
        <v>0</v>
      </c>
      <c r="K198" s="98">
        <v>66858611</v>
      </c>
      <c r="L198" s="97"/>
      <c r="M198" s="97"/>
      <c r="N198" s="97"/>
      <c r="O198" s="97"/>
      <c r="P198" s="97"/>
      <c r="Q198" s="97" t="s">
        <v>488</v>
      </c>
      <c r="R198" s="97"/>
      <c r="S198" s="97" t="s">
        <v>488</v>
      </c>
      <c r="T198" s="851">
        <f t="shared" si="3"/>
        <v>-66858611</v>
      </c>
    </row>
    <row r="199" spans="1:20">
      <c r="A199" s="96">
        <v>45412</v>
      </c>
      <c r="B199" s="96">
        <v>45412</v>
      </c>
      <c r="C199" s="97" t="s">
        <v>508</v>
      </c>
      <c r="D199" s="96"/>
      <c r="E199" s="97"/>
      <c r="F199" s="97" t="s">
        <v>468</v>
      </c>
      <c r="G199" s="97" t="s">
        <v>446</v>
      </c>
      <c r="H199" s="97" t="s">
        <v>231</v>
      </c>
      <c r="I199" s="97" t="s">
        <v>219</v>
      </c>
      <c r="J199" s="98">
        <v>0</v>
      </c>
      <c r="K199" s="98">
        <v>70370213</v>
      </c>
      <c r="L199" s="97"/>
      <c r="M199" s="97"/>
      <c r="N199" s="97"/>
      <c r="O199" s="97"/>
      <c r="P199" s="97"/>
      <c r="Q199" s="97" t="s">
        <v>488</v>
      </c>
      <c r="R199" s="97"/>
      <c r="S199" s="97" t="s">
        <v>488</v>
      </c>
      <c r="T199" s="851">
        <f t="shared" si="3"/>
        <v>-70370213</v>
      </c>
    </row>
    <row r="200" spans="1:20">
      <c r="A200" s="96">
        <v>45412</v>
      </c>
      <c r="B200" s="96">
        <v>45412</v>
      </c>
      <c r="C200" s="97" t="s">
        <v>508</v>
      </c>
      <c r="D200" s="96"/>
      <c r="E200" s="97"/>
      <c r="F200" s="97" t="s">
        <v>468</v>
      </c>
      <c r="G200" s="97" t="s">
        <v>446</v>
      </c>
      <c r="H200" s="97" t="s">
        <v>233</v>
      </c>
      <c r="I200" s="97" t="s">
        <v>219</v>
      </c>
      <c r="J200" s="98">
        <v>0</v>
      </c>
      <c r="K200" s="98">
        <v>1719000</v>
      </c>
      <c r="L200" s="97"/>
      <c r="M200" s="97"/>
      <c r="N200" s="97"/>
      <c r="O200" s="97"/>
      <c r="P200" s="97"/>
      <c r="Q200" s="97" t="s">
        <v>488</v>
      </c>
      <c r="R200" s="97"/>
      <c r="S200" s="97" t="s">
        <v>488</v>
      </c>
      <c r="T200" s="851">
        <f t="shared" si="3"/>
        <v>-1719000</v>
      </c>
    </row>
    <row r="201" spans="1:20">
      <c r="A201" s="96">
        <v>45412</v>
      </c>
      <c r="B201" s="96">
        <v>45412</v>
      </c>
      <c r="C201" s="97" t="s">
        <v>508</v>
      </c>
      <c r="D201" s="96"/>
      <c r="E201" s="97"/>
      <c r="F201" s="97" t="s">
        <v>468</v>
      </c>
      <c r="G201" s="97" t="s">
        <v>446</v>
      </c>
      <c r="H201" s="97" t="s">
        <v>235</v>
      </c>
      <c r="I201" s="97" t="s">
        <v>219</v>
      </c>
      <c r="J201" s="98">
        <v>0</v>
      </c>
      <c r="K201" s="98">
        <v>11493199</v>
      </c>
      <c r="L201" s="97"/>
      <c r="M201" s="97"/>
      <c r="N201" s="97"/>
      <c r="O201" s="97"/>
      <c r="P201" s="97"/>
      <c r="Q201" s="97" t="s">
        <v>488</v>
      </c>
      <c r="R201" s="97"/>
      <c r="S201" s="97" t="s">
        <v>488</v>
      </c>
      <c r="T201" s="851">
        <f t="shared" si="3"/>
        <v>-11493199</v>
      </c>
    </row>
    <row r="202" spans="1:20">
      <c r="A202" s="96">
        <v>45412</v>
      </c>
      <c r="B202" s="96">
        <v>45412</v>
      </c>
      <c r="C202" s="97" t="s">
        <v>508</v>
      </c>
      <c r="D202" s="96"/>
      <c r="E202" s="97"/>
      <c r="F202" s="97" t="s">
        <v>468</v>
      </c>
      <c r="G202" s="97" t="s">
        <v>446</v>
      </c>
      <c r="H202" s="97" t="s">
        <v>237</v>
      </c>
      <c r="I202" s="97" t="s">
        <v>219</v>
      </c>
      <c r="J202" s="98">
        <v>0</v>
      </c>
      <c r="K202" s="98">
        <v>208734</v>
      </c>
      <c r="L202" s="97"/>
      <c r="M202" s="97"/>
      <c r="N202" s="97"/>
      <c r="O202" s="97"/>
      <c r="P202" s="97"/>
      <c r="Q202" s="97" t="s">
        <v>488</v>
      </c>
      <c r="R202" s="97"/>
      <c r="S202" s="97" t="s">
        <v>488</v>
      </c>
      <c r="T202" s="851">
        <f t="shared" si="3"/>
        <v>-208734</v>
      </c>
    </row>
    <row r="203" spans="1:20">
      <c r="A203" s="96">
        <v>45412</v>
      </c>
      <c r="B203" s="96">
        <v>45412</v>
      </c>
      <c r="C203" s="97" t="s">
        <v>508</v>
      </c>
      <c r="D203" s="96"/>
      <c r="E203" s="97"/>
      <c r="F203" s="97" t="s">
        <v>468</v>
      </c>
      <c r="G203" s="97" t="s">
        <v>446</v>
      </c>
      <c r="H203" s="97" t="s">
        <v>241</v>
      </c>
      <c r="I203" s="97" t="s">
        <v>219</v>
      </c>
      <c r="J203" s="98">
        <v>0</v>
      </c>
      <c r="K203" s="98">
        <v>3912925</v>
      </c>
      <c r="L203" s="97"/>
      <c r="M203" s="97"/>
      <c r="N203" s="97"/>
      <c r="O203" s="97"/>
      <c r="P203" s="97"/>
      <c r="Q203" s="97" t="s">
        <v>488</v>
      </c>
      <c r="R203" s="97"/>
      <c r="S203" s="97" t="s">
        <v>488</v>
      </c>
      <c r="T203" s="851">
        <f t="shared" si="3"/>
        <v>-3912925</v>
      </c>
    </row>
    <row r="204" spans="1:20">
      <c r="A204" s="96">
        <v>45412</v>
      </c>
      <c r="B204" s="96">
        <v>45412</v>
      </c>
      <c r="C204" s="97" t="s">
        <v>508</v>
      </c>
      <c r="D204" s="96"/>
      <c r="E204" s="97"/>
      <c r="F204" s="97" t="s">
        <v>468</v>
      </c>
      <c r="G204" s="97" t="s">
        <v>446</v>
      </c>
      <c r="H204" s="97" t="s">
        <v>243</v>
      </c>
      <c r="I204" s="97" t="s">
        <v>219</v>
      </c>
      <c r="J204" s="98">
        <v>0</v>
      </c>
      <c r="K204" s="98">
        <v>324540541</v>
      </c>
      <c r="L204" s="97"/>
      <c r="M204" s="97"/>
      <c r="N204" s="97"/>
      <c r="O204" s="97"/>
      <c r="P204" s="97"/>
      <c r="Q204" s="97" t="s">
        <v>488</v>
      </c>
      <c r="R204" s="97"/>
      <c r="S204" s="97" t="s">
        <v>488</v>
      </c>
      <c r="T204" s="851">
        <f t="shared" si="3"/>
        <v>-324540541</v>
      </c>
    </row>
    <row r="205" spans="1:20">
      <c r="A205" s="96">
        <v>45412</v>
      </c>
      <c r="B205" s="96">
        <v>45412</v>
      </c>
      <c r="C205" s="97" t="s">
        <v>508</v>
      </c>
      <c r="D205" s="96"/>
      <c r="E205" s="97"/>
      <c r="F205" s="97" t="s">
        <v>468</v>
      </c>
      <c r="G205" s="97" t="s">
        <v>446</v>
      </c>
      <c r="H205" s="97" t="s">
        <v>245</v>
      </c>
      <c r="I205" s="97" t="s">
        <v>219</v>
      </c>
      <c r="J205" s="98">
        <v>0</v>
      </c>
      <c r="K205" s="98">
        <v>400000</v>
      </c>
      <c r="L205" s="97"/>
      <c r="M205" s="97"/>
      <c r="N205" s="97"/>
      <c r="O205" s="97"/>
      <c r="P205" s="97"/>
      <c r="Q205" s="97" t="s">
        <v>488</v>
      </c>
      <c r="R205" s="97"/>
      <c r="S205" s="97" t="s">
        <v>488</v>
      </c>
      <c r="T205" s="851">
        <f t="shared" si="3"/>
        <v>-400000</v>
      </c>
    </row>
    <row r="206" spans="1:20">
      <c r="A206" s="96">
        <v>45412</v>
      </c>
      <c r="B206" s="96">
        <v>45412</v>
      </c>
      <c r="C206" s="97" t="s">
        <v>508</v>
      </c>
      <c r="D206" s="96"/>
      <c r="E206" s="97"/>
      <c r="F206" s="97" t="s">
        <v>472</v>
      </c>
      <c r="G206" s="97" t="s">
        <v>446</v>
      </c>
      <c r="H206" s="97" t="s">
        <v>249</v>
      </c>
      <c r="I206" s="97" t="s">
        <v>247</v>
      </c>
      <c r="J206" s="98">
        <v>0</v>
      </c>
      <c r="K206" s="98">
        <v>1534319222</v>
      </c>
      <c r="L206" s="97"/>
      <c r="M206" s="97"/>
      <c r="N206" s="97"/>
      <c r="O206" s="97"/>
      <c r="P206" s="97"/>
      <c r="Q206" s="97" t="s">
        <v>488</v>
      </c>
      <c r="R206" s="97"/>
      <c r="S206" s="97" t="s">
        <v>488</v>
      </c>
      <c r="T206" s="851">
        <f t="shared" si="3"/>
        <v>-1534319222</v>
      </c>
    </row>
    <row r="207" spans="1:20">
      <c r="A207" s="96">
        <v>45412</v>
      </c>
      <c r="B207" s="96">
        <v>45412</v>
      </c>
      <c r="C207" s="97" t="s">
        <v>508</v>
      </c>
      <c r="D207" s="96"/>
      <c r="E207" s="97"/>
      <c r="F207" s="97" t="s">
        <v>472</v>
      </c>
      <c r="G207" s="97" t="s">
        <v>446</v>
      </c>
      <c r="H207" s="97" t="s">
        <v>251</v>
      </c>
      <c r="I207" s="97" t="s">
        <v>247</v>
      </c>
      <c r="J207" s="98">
        <v>0</v>
      </c>
      <c r="K207" s="98">
        <v>3790775342</v>
      </c>
      <c r="L207" s="97"/>
      <c r="M207" s="97"/>
      <c r="N207" s="97"/>
      <c r="O207" s="97"/>
      <c r="P207" s="97"/>
      <c r="Q207" s="97" t="s">
        <v>488</v>
      </c>
      <c r="R207" s="97"/>
      <c r="S207" s="97" t="s">
        <v>488</v>
      </c>
      <c r="T207" s="851">
        <f t="shared" si="3"/>
        <v>-3790775342</v>
      </c>
    </row>
    <row r="208" spans="1:20">
      <c r="A208" s="96">
        <v>45412</v>
      </c>
      <c r="B208" s="96">
        <v>45412</v>
      </c>
      <c r="C208" s="97" t="s">
        <v>508</v>
      </c>
      <c r="D208" s="96"/>
      <c r="E208" s="97"/>
      <c r="F208" s="97" t="s">
        <v>472</v>
      </c>
      <c r="G208" s="97" t="s">
        <v>446</v>
      </c>
      <c r="H208" s="97" t="s">
        <v>255</v>
      </c>
      <c r="I208" s="97" t="s">
        <v>247</v>
      </c>
      <c r="J208" s="98">
        <v>0</v>
      </c>
      <c r="K208" s="98">
        <v>1245705174</v>
      </c>
      <c r="L208" s="97"/>
      <c r="M208" s="97"/>
      <c r="N208" s="97"/>
      <c r="O208" s="97"/>
      <c r="P208" s="97"/>
      <c r="Q208" s="97" t="s">
        <v>488</v>
      </c>
      <c r="R208" s="97"/>
      <c r="S208" s="97" t="s">
        <v>488</v>
      </c>
      <c r="T208" s="851">
        <f t="shared" si="3"/>
        <v>-1245705174</v>
      </c>
    </row>
    <row r="209" spans="1:20">
      <c r="A209" s="96">
        <v>45412</v>
      </c>
      <c r="B209" s="96">
        <v>45412</v>
      </c>
      <c r="C209" s="97" t="s">
        <v>508</v>
      </c>
      <c r="D209" s="96"/>
      <c r="E209" s="97"/>
      <c r="F209" s="97" t="s">
        <v>472</v>
      </c>
      <c r="G209" s="97" t="s">
        <v>446</v>
      </c>
      <c r="H209" s="97" t="s">
        <v>257</v>
      </c>
      <c r="I209" s="97" t="s">
        <v>247</v>
      </c>
      <c r="J209" s="98">
        <v>0</v>
      </c>
      <c r="K209" s="98">
        <v>992002255</v>
      </c>
      <c r="L209" s="97"/>
      <c r="M209" s="97"/>
      <c r="N209" s="97"/>
      <c r="O209" s="97"/>
      <c r="P209" s="97"/>
      <c r="Q209" s="97" t="s">
        <v>488</v>
      </c>
      <c r="R209" s="97"/>
      <c r="S209" s="97" t="s">
        <v>488</v>
      </c>
      <c r="T209" s="851">
        <f t="shared" si="3"/>
        <v>-992002255</v>
      </c>
    </row>
    <row r="210" spans="1:20">
      <c r="A210" s="96">
        <v>45412</v>
      </c>
      <c r="B210" s="96">
        <v>45412</v>
      </c>
      <c r="C210" s="97" t="s">
        <v>508</v>
      </c>
      <c r="D210" s="96"/>
      <c r="E210" s="97"/>
      <c r="F210" s="97" t="s">
        <v>472</v>
      </c>
      <c r="G210" s="97" t="s">
        <v>446</v>
      </c>
      <c r="H210" s="97" t="s">
        <v>259</v>
      </c>
      <c r="I210" s="97" t="s">
        <v>247</v>
      </c>
      <c r="J210" s="98">
        <v>0</v>
      </c>
      <c r="K210" s="98">
        <v>1790285735</v>
      </c>
      <c r="L210" s="97"/>
      <c r="M210" s="97"/>
      <c r="N210" s="97"/>
      <c r="O210" s="97"/>
      <c r="P210" s="97"/>
      <c r="Q210" s="97" t="s">
        <v>488</v>
      </c>
      <c r="R210" s="97"/>
      <c r="S210" s="97" t="s">
        <v>488</v>
      </c>
      <c r="T210" s="851">
        <f t="shared" si="3"/>
        <v>-1790285735</v>
      </c>
    </row>
    <row r="211" spans="1:20">
      <c r="A211" s="96">
        <v>45412</v>
      </c>
      <c r="B211" s="96">
        <v>45412</v>
      </c>
      <c r="C211" s="97" t="s">
        <v>508</v>
      </c>
      <c r="D211" s="96"/>
      <c r="E211" s="97"/>
      <c r="F211" s="97" t="s">
        <v>472</v>
      </c>
      <c r="G211" s="97" t="s">
        <v>446</v>
      </c>
      <c r="H211" s="97" t="s">
        <v>745</v>
      </c>
      <c r="I211" s="97" t="s">
        <v>247</v>
      </c>
      <c r="J211" s="98">
        <v>0</v>
      </c>
      <c r="K211" s="98">
        <v>887011068</v>
      </c>
      <c r="L211" s="97"/>
      <c r="M211" s="97"/>
      <c r="N211" s="97"/>
      <c r="O211" s="97"/>
      <c r="P211" s="97"/>
      <c r="Q211" s="97" t="s">
        <v>488</v>
      </c>
      <c r="R211" s="97"/>
      <c r="S211" s="97" t="s">
        <v>488</v>
      </c>
      <c r="T211" s="851">
        <f t="shared" si="3"/>
        <v>-887011068</v>
      </c>
    </row>
    <row r="212" spans="1:20">
      <c r="A212" s="96">
        <v>45412</v>
      </c>
      <c r="B212" s="96">
        <v>45412</v>
      </c>
      <c r="C212" s="97" t="s">
        <v>508</v>
      </c>
      <c r="D212" s="96"/>
      <c r="E212" s="97"/>
      <c r="F212" s="97" t="s">
        <v>473</v>
      </c>
      <c r="G212" s="97" t="s">
        <v>446</v>
      </c>
      <c r="H212" s="97" t="s">
        <v>303</v>
      </c>
      <c r="I212" s="97" t="s">
        <v>303</v>
      </c>
      <c r="J212" s="98">
        <v>1204933369</v>
      </c>
      <c r="K212" s="98">
        <v>0</v>
      </c>
      <c r="L212" s="97"/>
      <c r="M212" s="97"/>
      <c r="N212" s="97"/>
      <c r="O212" s="97"/>
      <c r="P212" s="97"/>
      <c r="Q212" s="97" t="s">
        <v>488</v>
      </c>
      <c r="R212" s="97"/>
      <c r="S212" s="97" t="s">
        <v>488</v>
      </c>
      <c r="T212" s="851">
        <f t="shared" si="3"/>
        <v>1204933369</v>
      </c>
    </row>
    <row r="213" spans="1:20">
      <c r="A213" s="96">
        <v>45412</v>
      </c>
      <c r="B213" s="96">
        <v>45412</v>
      </c>
      <c r="C213" s="97" t="s">
        <v>508</v>
      </c>
      <c r="D213" s="96"/>
      <c r="E213" s="97"/>
      <c r="F213" s="97" t="s">
        <v>474</v>
      </c>
      <c r="G213" s="97" t="s">
        <v>446</v>
      </c>
      <c r="H213" s="97" t="s">
        <v>309</v>
      </c>
      <c r="I213" s="97" t="s">
        <v>305</v>
      </c>
      <c r="J213" s="98">
        <v>0</v>
      </c>
      <c r="K213" s="98">
        <v>1643307520</v>
      </c>
      <c r="L213" s="97"/>
      <c r="M213" s="97"/>
      <c r="N213" s="97"/>
      <c r="O213" s="97"/>
      <c r="P213" s="97"/>
      <c r="Q213" s="97" t="s">
        <v>488</v>
      </c>
      <c r="R213" s="97"/>
      <c r="S213" s="97" t="s">
        <v>488</v>
      </c>
      <c r="T213" s="851">
        <f t="shared" si="3"/>
        <v>-1643307520</v>
      </c>
    </row>
    <row r="214" spans="1:20">
      <c r="A214" s="96">
        <v>45412</v>
      </c>
      <c r="B214" s="96">
        <v>45412</v>
      </c>
      <c r="C214" s="97" t="s">
        <v>508</v>
      </c>
      <c r="D214" s="96"/>
      <c r="E214" s="97"/>
      <c r="F214" s="97" t="s">
        <v>474</v>
      </c>
      <c r="G214" s="97" t="s">
        <v>446</v>
      </c>
      <c r="H214" s="97" t="s">
        <v>313</v>
      </c>
      <c r="I214" s="97" t="s">
        <v>305</v>
      </c>
      <c r="J214" s="98">
        <v>292948097</v>
      </c>
      <c r="K214" s="98">
        <v>0</v>
      </c>
      <c r="L214" s="97"/>
      <c r="M214" s="97"/>
      <c r="N214" s="97"/>
      <c r="O214" s="97"/>
      <c r="P214" s="97"/>
      <c r="Q214" s="97" t="s">
        <v>488</v>
      </c>
      <c r="R214" s="97"/>
      <c r="S214" s="97" t="s">
        <v>488</v>
      </c>
      <c r="T214" s="851">
        <f t="shared" si="3"/>
        <v>292948097</v>
      </c>
    </row>
    <row r="215" spans="1:20">
      <c r="A215" s="96">
        <v>45412</v>
      </c>
      <c r="B215" s="96">
        <v>45412</v>
      </c>
      <c r="C215" s="97" t="s">
        <v>508</v>
      </c>
      <c r="D215" s="96"/>
      <c r="E215" s="97"/>
      <c r="F215" s="97" t="s">
        <v>474</v>
      </c>
      <c r="G215" s="97" t="s">
        <v>446</v>
      </c>
      <c r="H215" s="97" t="s">
        <v>315</v>
      </c>
      <c r="I215" s="97" t="s">
        <v>305</v>
      </c>
      <c r="J215" s="98">
        <v>169175000</v>
      </c>
      <c r="K215" s="98">
        <v>0</v>
      </c>
      <c r="L215" s="97"/>
      <c r="M215" s="97"/>
      <c r="N215" s="97"/>
      <c r="O215" s="97"/>
      <c r="P215" s="97"/>
      <c r="Q215" s="97" t="s">
        <v>488</v>
      </c>
      <c r="R215" s="97"/>
      <c r="S215" s="97" t="s">
        <v>488</v>
      </c>
      <c r="T215" s="851">
        <f t="shared" si="3"/>
        <v>169175000</v>
      </c>
    </row>
    <row r="216" spans="1:20">
      <c r="A216" s="96">
        <v>45412</v>
      </c>
      <c r="B216" s="96">
        <v>45412</v>
      </c>
      <c r="C216" s="97" t="s">
        <v>508</v>
      </c>
      <c r="D216" s="96"/>
      <c r="E216" s="97"/>
      <c r="F216" s="97" t="s">
        <v>474</v>
      </c>
      <c r="G216" s="97" t="s">
        <v>446</v>
      </c>
      <c r="H216" s="97" t="s">
        <v>317</v>
      </c>
      <c r="I216" s="97" t="s">
        <v>305</v>
      </c>
      <c r="J216" s="98">
        <v>638331897</v>
      </c>
      <c r="K216" s="98">
        <v>0</v>
      </c>
      <c r="L216" s="97"/>
      <c r="M216" s="97"/>
      <c r="N216" s="97"/>
      <c r="O216" s="97"/>
      <c r="P216" s="97"/>
      <c r="Q216" s="97" t="s">
        <v>488</v>
      </c>
      <c r="R216" s="97"/>
      <c r="S216" s="97" t="s">
        <v>488</v>
      </c>
      <c r="T216" s="851">
        <f t="shared" si="3"/>
        <v>638331897</v>
      </c>
    </row>
    <row r="217" spans="1:20">
      <c r="A217" s="96">
        <v>45412</v>
      </c>
      <c r="B217" s="96">
        <v>45412</v>
      </c>
      <c r="C217" s="97" t="s">
        <v>508</v>
      </c>
      <c r="D217" s="96"/>
      <c r="E217" s="97"/>
      <c r="F217" s="97" t="s">
        <v>474</v>
      </c>
      <c r="G217" s="97" t="s">
        <v>446</v>
      </c>
      <c r="H217" s="97" t="s">
        <v>325</v>
      </c>
      <c r="I217" s="97" t="s">
        <v>305</v>
      </c>
      <c r="J217" s="98">
        <v>14258630</v>
      </c>
      <c r="K217" s="98">
        <v>0</v>
      </c>
      <c r="L217" s="97"/>
      <c r="M217" s="97"/>
      <c r="N217" s="97"/>
      <c r="O217" s="97"/>
      <c r="P217" s="97"/>
      <c r="Q217" s="97" t="s">
        <v>488</v>
      </c>
      <c r="R217" s="97"/>
      <c r="S217" s="97" t="s">
        <v>488</v>
      </c>
      <c r="T217" s="851">
        <f t="shared" si="3"/>
        <v>14258630</v>
      </c>
    </row>
    <row r="218" spans="1:20">
      <c r="A218" s="96">
        <v>45412</v>
      </c>
      <c r="B218" s="96">
        <v>45412</v>
      </c>
      <c r="C218" s="97" t="s">
        <v>508</v>
      </c>
      <c r="D218" s="96"/>
      <c r="E218" s="97"/>
      <c r="F218" s="97" t="s">
        <v>474</v>
      </c>
      <c r="G218" s="97" t="s">
        <v>446</v>
      </c>
      <c r="H218" s="97" t="s">
        <v>327</v>
      </c>
      <c r="I218" s="97" t="s">
        <v>305</v>
      </c>
      <c r="J218" s="98">
        <v>485528460</v>
      </c>
      <c r="K218" s="98">
        <v>0</v>
      </c>
      <c r="L218" s="97"/>
      <c r="M218" s="97"/>
      <c r="N218" s="97"/>
      <c r="O218" s="97"/>
      <c r="P218" s="97"/>
      <c r="Q218" s="97" t="s">
        <v>488</v>
      </c>
      <c r="R218" s="97"/>
      <c r="S218" s="97" t="s">
        <v>488</v>
      </c>
      <c r="T218" s="851">
        <f t="shared" si="3"/>
        <v>485528460</v>
      </c>
    </row>
    <row r="219" spans="1:20">
      <c r="A219" s="96">
        <v>45412</v>
      </c>
      <c r="B219" s="96">
        <v>45412</v>
      </c>
      <c r="C219" s="97" t="s">
        <v>508</v>
      </c>
      <c r="D219" s="96"/>
      <c r="E219" s="97"/>
      <c r="F219" s="97" t="s">
        <v>474</v>
      </c>
      <c r="G219" s="97" t="s">
        <v>446</v>
      </c>
      <c r="H219" s="97" t="s">
        <v>329</v>
      </c>
      <c r="I219" s="97" t="s">
        <v>305</v>
      </c>
      <c r="J219" s="98">
        <v>362211174</v>
      </c>
      <c r="K219" s="98">
        <v>0</v>
      </c>
      <c r="L219" s="97"/>
      <c r="M219" s="97"/>
      <c r="N219" s="97"/>
      <c r="O219" s="97"/>
      <c r="P219" s="97"/>
      <c r="Q219" s="97" t="s">
        <v>488</v>
      </c>
      <c r="R219" s="97"/>
      <c r="S219" s="97" t="s">
        <v>488</v>
      </c>
      <c r="T219" s="851">
        <f t="shared" si="3"/>
        <v>362211174</v>
      </c>
    </row>
    <row r="220" spans="1:20">
      <c r="A220" s="96">
        <v>45412</v>
      </c>
      <c r="B220" s="96">
        <v>45412</v>
      </c>
      <c r="C220" s="97" t="s">
        <v>508</v>
      </c>
      <c r="D220" s="96"/>
      <c r="E220" s="97"/>
      <c r="F220" s="97" t="s">
        <v>474</v>
      </c>
      <c r="G220" s="97" t="s">
        <v>446</v>
      </c>
      <c r="H220" s="97" t="s">
        <v>331</v>
      </c>
      <c r="I220" s="97" t="s">
        <v>305</v>
      </c>
      <c r="J220" s="98">
        <v>558516</v>
      </c>
      <c r="K220" s="98">
        <v>0</v>
      </c>
      <c r="L220" s="97"/>
      <c r="M220" s="97"/>
      <c r="N220" s="97"/>
      <c r="O220" s="97"/>
      <c r="P220" s="97"/>
      <c r="Q220" s="97" t="s">
        <v>488</v>
      </c>
      <c r="R220" s="97"/>
      <c r="S220" s="97" t="s">
        <v>488</v>
      </c>
      <c r="T220" s="851">
        <f t="shared" si="3"/>
        <v>558516</v>
      </c>
    </row>
    <row r="221" spans="1:20">
      <c r="A221" s="96">
        <v>45412</v>
      </c>
      <c r="B221" s="96">
        <v>45412</v>
      </c>
      <c r="C221" s="97" t="s">
        <v>508</v>
      </c>
      <c r="D221" s="96"/>
      <c r="E221" s="97"/>
      <c r="F221" s="97" t="s">
        <v>474</v>
      </c>
      <c r="G221" s="97" t="s">
        <v>446</v>
      </c>
      <c r="H221" s="97" t="s">
        <v>307</v>
      </c>
      <c r="I221" s="97" t="s">
        <v>305</v>
      </c>
      <c r="J221" s="98">
        <v>8912920717</v>
      </c>
      <c r="K221" s="98">
        <v>0</v>
      </c>
      <c r="L221" s="97"/>
      <c r="M221" s="97"/>
      <c r="N221" s="97"/>
      <c r="O221" s="97"/>
      <c r="P221" s="97"/>
      <c r="Q221" s="97" t="s">
        <v>488</v>
      </c>
      <c r="R221" s="97"/>
      <c r="S221" s="97" t="s">
        <v>488</v>
      </c>
      <c r="T221" s="851">
        <f t="shared" si="3"/>
        <v>8912920717</v>
      </c>
    </row>
    <row r="222" spans="1:20">
      <c r="A222" s="96">
        <v>45412</v>
      </c>
      <c r="B222" s="96">
        <v>45412</v>
      </c>
      <c r="C222" s="97" t="s">
        <v>508</v>
      </c>
      <c r="D222" s="96"/>
      <c r="E222" s="97"/>
      <c r="F222" s="97" t="s">
        <v>475</v>
      </c>
      <c r="G222" s="97" t="s">
        <v>446</v>
      </c>
      <c r="H222" s="97" t="s">
        <v>337</v>
      </c>
      <c r="I222" s="97" t="s">
        <v>333</v>
      </c>
      <c r="J222" s="98">
        <v>15028450</v>
      </c>
      <c r="K222" s="98">
        <v>0</v>
      </c>
      <c r="L222" s="97"/>
      <c r="M222" s="97"/>
      <c r="N222" s="97"/>
      <c r="O222" s="97"/>
      <c r="P222" s="97"/>
      <c r="Q222" s="97" t="s">
        <v>488</v>
      </c>
      <c r="R222" s="97"/>
      <c r="S222" s="97" t="s">
        <v>488</v>
      </c>
      <c r="T222" s="851">
        <f t="shared" si="3"/>
        <v>15028450</v>
      </c>
    </row>
    <row r="223" spans="1:20">
      <c r="A223" s="96">
        <v>45412</v>
      </c>
      <c r="B223" s="96">
        <v>45412</v>
      </c>
      <c r="C223" s="97" t="s">
        <v>508</v>
      </c>
      <c r="D223" s="96"/>
      <c r="E223" s="97"/>
      <c r="F223" s="97" t="s">
        <v>475</v>
      </c>
      <c r="G223" s="97" t="s">
        <v>446</v>
      </c>
      <c r="H223" s="97" t="s">
        <v>339</v>
      </c>
      <c r="I223" s="97" t="s">
        <v>333</v>
      </c>
      <c r="J223" s="98">
        <v>1410000</v>
      </c>
      <c r="K223" s="98">
        <v>0</v>
      </c>
      <c r="L223" s="97"/>
      <c r="M223" s="97"/>
      <c r="N223" s="97"/>
      <c r="O223" s="97"/>
      <c r="P223" s="97"/>
      <c r="Q223" s="97" t="s">
        <v>488</v>
      </c>
      <c r="R223" s="97"/>
      <c r="S223" s="97" t="s">
        <v>488</v>
      </c>
      <c r="T223" s="851">
        <f t="shared" si="3"/>
        <v>1410000</v>
      </c>
    </row>
    <row r="224" spans="1:20">
      <c r="A224" s="96">
        <v>45412</v>
      </c>
      <c r="B224" s="96">
        <v>45412</v>
      </c>
      <c r="C224" s="97" t="s">
        <v>508</v>
      </c>
      <c r="D224" s="96"/>
      <c r="E224" s="97"/>
      <c r="F224" s="97" t="s">
        <v>475</v>
      </c>
      <c r="G224" s="97" t="s">
        <v>446</v>
      </c>
      <c r="H224" s="97" t="s">
        <v>341</v>
      </c>
      <c r="I224" s="97" t="s">
        <v>333</v>
      </c>
      <c r="J224" s="98">
        <v>6000000</v>
      </c>
      <c r="K224" s="98">
        <v>0</v>
      </c>
      <c r="L224" s="97"/>
      <c r="M224" s="97"/>
      <c r="N224" s="97"/>
      <c r="O224" s="97"/>
      <c r="P224" s="97"/>
      <c r="Q224" s="97" t="s">
        <v>488</v>
      </c>
      <c r="R224" s="97"/>
      <c r="S224" s="97" t="s">
        <v>488</v>
      </c>
      <c r="T224" s="851">
        <f t="shared" si="3"/>
        <v>6000000</v>
      </c>
    </row>
    <row r="225" spans="1:20">
      <c r="A225" s="96">
        <v>45412</v>
      </c>
      <c r="B225" s="96">
        <v>45412</v>
      </c>
      <c r="C225" s="97" t="s">
        <v>508</v>
      </c>
      <c r="D225" s="96"/>
      <c r="E225" s="97"/>
      <c r="F225" s="97" t="s">
        <v>475</v>
      </c>
      <c r="G225" s="97" t="s">
        <v>446</v>
      </c>
      <c r="H225" s="97" t="s">
        <v>343</v>
      </c>
      <c r="I225" s="97" t="s">
        <v>333</v>
      </c>
      <c r="J225" s="98">
        <v>5814470</v>
      </c>
      <c r="K225" s="98">
        <v>0</v>
      </c>
      <c r="L225" s="97"/>
      <c r="M225" s="97"/>
      <c r="N225" s="97"/>
      <c r="O225" s="97"/>
      <c r="P225" s="97"/>
      <c r="Q225" s="97" t="s">
        <v>488</v>
      </c>
      <c r="R225" s="97"/>
      <c r="S225" s="97" t="s">
        <v>488</v>
      </c>
      <c r="T225" s="851">
        <f t="shared" si="3"/>
        <v>5814470</v>
      </c>
    </row>
    <row r="226" spans="1:20">
      <c r="A226" s="96">
        <v>45412</v>
      </c>
      <c r="B226" s="96">
        <v>45412</v>
      </c>
      <c r="C226" s="97" t="s">
        <v>508</v>
      </c>
      <c r="D226" s="96"/>
      <c r="E226" s="97"/>
      <c r="F226" s="97" t="s">
        <v>475</v>
      </c>
      <c r="G226" s="97" t="s">
        <v>446</v>
      </c>
      <c r="H226" s="97" t="s">
        <v>345</v>
      </c>
      <c r="I226" s="97" t="s">
        <v>333</v>
      </c>
      <c r="J226" s="98">
        <v>3870417</v>
      </c>
      <c r="K226" s="98">
        <v>0</v>
      </c>
      <c r="L226" s="97"/>
      <c r="M226" s="97"/>
      <c r="N226" s="97"/>
      <c r="O226" s="97"/>
      <c r="P226" s="97"/>
      <c r="Q226" s="97" t="s">
        <v>488</v>
      </c>
      <c r="R226" s="97"/>
      <c r="S226" s="97" t="s">
        <v>488</v>
      </c>
      <c r="T226" s="851">
        <f t="shared" si="3"/>
        <v>3870417</v>
      </c>
    </row>
    <row r="227" spans="1:20">
      <c r="A227" s="96">
        <v>45412</v>
      </c>
      <c r="B227" s="96">
        <v>45412</v>
      </c>
      <c r="C227" s="97" t="s">
        <v>508</v>
      </c>
      <c r="D227" s="96"/>
      <c r="E227" s="97"/>
      <c r="F227" s="97" t="s">
        <v>475</v>
      </c>
      <c r="G227" s="97" t="s">
        <v>446</v>
      </c>
      <c r="H227" s="97" t="s">
        <v>348</v>
      </c>
      <c r="I227" s="97" t="s">
        <v>333</v>
      </c>
      <c r="J227" s="98">
        <v>479019298</v>
      </c>
      <c r="K227" s="98">
        <v>0</v>
      </c>
      <c r="L227" s="97"/>
      <c r="M227" s="97"/>
      <c r="N227" s="97"/>
      <c r="O227" s="97"/>
      <c r="P227" s="97"/>
      <c r="Q227" s="97" t="s">
        <v>488</v>
      </c>
      <c r="R227" s="97"/>
      <c r="S227" s="97" t="s">
        <v>488</v>
      </c>
      <c r="T227" s="851">
        <f t="shared" si="3"/>
        <v>479019298</v>
      </c>
    </row>
    <row r="228" spans="1:20">
      <c r="A228" s="96">
        <v>45412</v>
      </c>
      <c r="B228" s="96">
        <v>45412</v>
      </c>
      <c r="C228" s="97" t="s">
        <v>508</v>
      </c>
      <c r="D228" s="96"/>
      <c r="E228" s="97"/>
      <c r="F228" s="97" t="s">
        <v>475</v>
      </c>
      <c r="G228" s="97" t="s">
        <v>446</v>
      </c>
      <c r="H228" s="97" t="s">
        <v>350</v>
      </c>
      <c r="I228" s="97" t="s">
        <v>333</v>
      </c>
      <c r="J228" s="98">
        <v>15509876</v>
      </c>
      <c r="K228" s="98">
        <v>0</v>
      </c>
      <c r="L228" s="97"/>
      <c r="M228" s="97"/>
      <c r="N228" s="97"/>
      <c r="O228" s="97"/>
      <c r="P228" s="97"/>
      <c r="Q228" s="97" t="s">
        <v>488</v>
      </c>
      <c r="R228" s="97"/>
      <c r="S228" s="97" t="s">
        <v>488</v>
      </c>
      <c r="T228" s="851">
        <f t="shared" si="3"/>
        <v>15509876</v>
      </c>
    </row>
    <row r="229" spans="1:20">
      <c r="A229" s="96">
        <v>45412</v>
      </c>
      <c r="B229" s="96">
        <v>45412</v>
      </c>
      <c r="C229" s="97" t="s">
        <v>508</v>
      </c>
      <c r="D229" s="96"/>
      <c r="E229" s="97"/>
      <c r="F229" s="97" t="s">
        <v>475</v>
      </c>
      <c r="G229" s="97" t="s">
        <v>446</v>
      </c>
      <c r="H229" s="97" t="s">
        <v>352</v>
      </c>
      <c r="I229" s="97" t="s">
        <v>333</v>
      </c>
      <c r="J229" s="98">
        <v>1200000</v>
      </c>
      <c r="K229" s="98">
        <v>0</v>
      </c>
      <c r="L229" s="97"/>
      <c r="M229" s="97"/>
      <c r="N229" s="97"/>
      <c r="O229" s="97"/>
      <c r="P229" s="97"/>
      <c r="Q229" s="97" t="s">
        <v>488</v>
      </c>
      <c r="R229" s="97"/>
      <c r="S229" s="97" t="s">
        <v>488</v>
      </c>
      <c r="T229" s="851">
        <f t="shared" si="3"/>
        <v>1200000</v>
      </c>
    </row>
    <row r="230" spans="1:20">
      <c r="A230" s="96">
        <v>45412</v>
      </c>
      <c r="B230" s="96">
        <v>45412</v>
      </c>
      <c r="C230" s="97" t="s">
        <v>508</v>
      </c>
      <c r="D230" s="96"/>
      <c r="E230" s="97"/>
      <c r="F230" s="97" t="s">
        <v>475</v>
      </c>
      <c r="G230" s="97" t="s">
        <v>446</v>
      </c>
      <c r="H230" s="97" t="s">
        <v>354</v>
      </c>
      <c r="I230" s="97" t="s">
        <v>333</v>
      </c>
      <c r="J230" s="98">
        <v>1123555</v>
      </c>
      <c r="K230" s="98">
        <v>0</v>
      </c>
      <c r="L230" s="97"/>
      <c r="M230" s="97"/>
      <c r="N230" s="97"/>
      <c r="O230" s="97"/>
      <c r="P230" s="97"/>
      <c r="Q230" s="97" t="s">
        <v>488</v>
      </c>
      <c r="R230" s="97"/>
      <c r="S230" s="97" t="s">
        <v>488</v>
      </c>
      <c r="T230" s="851">
        <f t="shared" si="3"/>
        <v>1123555</v>
      </c>
    </row>
    <row r="231" spans="1:20">
      <c r="A231" s="96">
        <v>45412</v>
      </c>
      <c r="B231" s="96">
        <v>45412</v>
      </c>
      <c r="C231" s="97" t="s">
        <v>508</v>
      </c>
      <c r="D231" s="96"/>
      <c r="E231" s="97"/>
      <c r="F231" s="97" t="s">
        <v>475</v>
      </c>
      <c r="G231" s="97" t="s">
        <v>446</v>
      </c>
      <c r="H231" s="97" t="s">
        <v>361</v>
      </c>
      <c r="I231" s="97" t="s">
        <v>333</v>
      </c>
      <c r="J231" s="98">
        <v>18764183</v>
      </c>
      <c r="K231" s="98">
        <v>0</v>
      </c>
      <c r="L231" s="97"/>
      <c r="M231" s="97"/>
      <c r="N231" s="97"/>
      <c r="O231" s="97"/>
      <c r="P231" s="97"/>
      <c r="Q231" s="97" t="s">
        <v>488</v>
      </c>
      <c r="R231" s="97"/>
      <c r="S231" s="97" t="s">
        <v>488</v>
      </c>
      <c r="T231" s="851">
        <f t="shared" si="3"/>
        <v>18764183</v>
      </c>
    </row>
    <row r="232" spans="1:20">
      <c r="A232" s="96">
        <v>45412</v>
      </c>
      <c r="B232" s="96">
        <v>45412</v>
      </c>
      <c r="C232" s="97" t="s">
        <v>508</v>
      </c>
      <c r="D232" s="96"/>
      <c r="E232" s="97"/>
      <c r="F232" s="97" t="s">
        <v>475</v>
      </c>
      <c r="G232" s="97" t="s">
        <v>446</v>
      </c>
      <c r="H232" s="97" t="s">
        <v>363</v>
      </c>
      <c r="I232" s="97" t="s">
        <v>333</v>
      </c>
      <c r="J232" s="98">
        <v>3945252</v>
      </c>
      <c r="K232" s="98">
        <v>0</v>
      </c>
      <c r="L232" s="97"/>
      <c r="M232" s="97"/>
      <c r="N232" s="97"/>
      <c r="O232" s="97"/>
      <c r="P232" s="97"/>
      <c r="Q232" s="97" t="s">
        <v>488</v>
      </c>
      <c r="R232" s="97"/>
      <c r="S232" s="97" t="s">
        <v>488</v>
      </c>
      <c r="T232" s="851">
        <f t="shared" si="3"/>
        <v>3945252</v>
      </c>
    </row>
    <row r="233" spans="1:20">
      <c r="A233" s="96">
        <v>45412</v>
      </c>
      <c r="B233" s="96">
        <v>45412</v>
      </c>
      <c r="C233" s="97" t="s">
        <v>508</v>
      </c>
      <c r="D233" s="96"/>
      <c r="E233" s="97"/>
      <c r="F233" s="97" t="s">
        <v>475</v>
      </c>
      <c r="G233" s="97" t="s">
        <v>446</v>
      </c>
      <c r="H233" s="97" t="s">
        <v>367</v>
      </c>
      <c r="I233" s="97" t="s">
        <v>333</v>
      </c>
      <c r="J233" s="98">
        <v>2032709</v>
      </c>
      <c r="K233" s="98">
        <v>0</v>
      </c>
      <c r="L233" s="97"/>
      <c r="M233" s="97"/>
      <c r="N233" s="97"/>
      <c r="O233" s="97"/>
      <c r="P233" s="97"/>
      <c r="Q233" s="97" t="s">
        <v>488</v>
      </c>
      <c r="R233" s="97"/>
      <c r="S233" s="97" t="s">
        <v>488</v>
      </c>
      <c r="T233" s="851">
        <f t="shared" si="3"/>
        <v>2032709</v>
      </c>
    </row>
    <row r="234" spans="1:20">
      <c r="A234" s="96">
        <v>45412</v>
      </c>
      <c r="B234" s="96">
        <v>45412</v>
      </c>
      <c r="C234" s="97" t="s">
        <v>508</v>
      </c>
      <c r="D234" s="96"/>
      <c r="E234" s="97"/>
      <c r="F234" s="97" t="s">
        <v>475</v>
      </c>
      <c r="G234" s="97" t="s">
        <v>446</v>
      </c>
      <c r="H234" s="97" t="s">
        <v>370</v>
      </c>
      <c r="I234" s="97" t="s">
        <v>333</v>
      </c>
      <c r="J234" s="98">
        <v>12346913</v>
      </c>
      <c r="K234" s="98">
        <v>0</v>
      </c>
      <c r="L234" s="97"/>
      <c r="M234" s="97"/>
      <c r="N234" s="97"/>
      <c r="O234" s="97"/>
      <c r="P234" s="97"/>
      <c r="Q234" s="97" t="s">
        <v>488</v>
      </c>
      <c r="R234" s="97"/>
      <c r="S234" s="97" t="s">
        <v>488</v>
      </c>
      <c r="T234" s="851">
        <f t="shared" si="3"/>
        <v>12346913</v>
      </c>
    </row>
    <row r="235" spans="1:20">
      <c r="A235" s="96">
        <v>45412</v>
      </c>
      <c r="B235" s="96">
        <v>45412</v>
      </c>
      <c r="C235" s="97" t="s">
        <v>508</v>
      </c>
      <c r="D235" s="96"/>
      <c r="E235" s="97"/>
      <c r="F235" s="97" t="s">
        <v>476</v>
      </c>
      <c r="G235" s="97" t="s">
        <v>446</v>
      </c>
      <c r="H235" s="97" t="s">
        <v>378</v>
      </c>
      <c r="I235" s="97" t="s">
        <v>374</v>
      </c>
      <c r="J235" s="98">
        <v>260167556</v>
      </c>
      <c r="K235" s="98">
        <v>0</v>
      </c>
      <c r="L235" s="97"/>
      <c r="M235" s="97"/>
      <c r="N235" s="97"/>
      <c r="O235" s="97"/>
      <c r="P235" s="97"/>
      <c r="Q235" s="97" t="s">
        <v>488</v>
      </c>
      <c r="R235" s="97"/>
      <c r="S235" s="97" t="s">
        <v>488</v>
      </c>
      <c r="T235" s="851">
        <f t="shared" si="3"/>
        <v>260167556</v>
      </c>
    </row>
    <row r="236" spans="1:20">
      <c r="A236" s="96">
        <v>45412</v>
      </c>
      <c r="B236" s="96">
        <v>45412</v>
      </c>
      <c r="C236" s="97" t="s">
        <v>508</v>
      </c>
      <c r="D236" s="96"/>
      <c r="E236" s="97"/>
      <c r="F236" s="97" t="s">
        <v>476</v>
      </c>
      <c r="G236" s="97" t="s">
        <v>446</v>
      </c>
      <c r="H236" s="97" t="s">
        <v>379</v>
      </c>
      <c r="I236" s="97" t="s">
        <v>374</v>
      </c>
      <c r="J236" s="98">
        <v>13856000</v>
      </c>
      <c r="K236" s="98">
        <v>0</v>
      </c>
      <c r="L236" s="97"/>
      <c r="M236" s="97"/>
      <c r="N236" s="97"/>
      <c r="O236" s="97"/>
      <c r="P236" s="97"/>
      <c r="Q236" s="97" t="s">
        <v>488</v>
      </c>
      <c r="R236" s="97"/>
      <c r="S236" s="97" t="s">
        <v>488</v>
      </c>
      <c r="T236" s="851">
        <f t="shared" si="3"/>
        <v>13856000</v>
      </c>
    </row>
    <row r="237" spans="1:20">
      <c r="A237" s="96">
        <v>45412</v>
      </c>
      <c r="B237" s="96">
        <v>45412</v>
      </c>
      <c r="C237" s="97" t="s">
        <v>508</v>
      </c>
      <c r="D237" s="96"/>
      <c r="E237" s="97"/>
      <c r="F237" s="97" t="s">
        <v>476</v>
      </c>
      <c r="G237" s="97" t="s">
        <v>446</v>
      </c>
      <c r="H237" s="97" t="s">
        <v>381</v>
      </c>
      <c r="I237" s="97" t="s">
        <v>374</v>
      </c>
      <c r="J237" s="98">
        <v>44172582</v>
      </c>
      <c r="K237" s="98">
        <v>0</v>
      </c>
      <c r="L237" s="97"/>
      <c r="M237" s="97"/>
      <c r="N237" s="97"/>
      <c r="O237" s="97"/>
      <c r="P237" s="97"/>
      <c r="Q237" s="97" t="s">
        <v>488</v>
      </c>
      <c r="R237" s="97"/>
      <c r="S237" s="97" t="s">
        <v>488</v>
      </c>
      <c r="T237" s="851">
        <f t="shared" si="3"/>
        <v>44172582</v>
      </c>
    </row>
    <row r="238" spans="1:20">
      <c r="A238" s="96">
        <v>45412</v>
      </c>
      <c r="B238" s="96">
        <v>45412</v>
      </c>
      <c r="C238" s="97" t="s">
        <v>508</v>
      </c>
      <c r="D238" s="96"/>
      <c r="E238" s="97"/>
      <c r="F238" s="97" t="s">
        <v>476</v>
      </c>
      <c r="G238" s="97" t="s">
        <v>446</v>
      </c>
      <c r="H238" s="97" t="s">
        <v>383</v>
      </c>
      <c r="I238" s="97" t="s">
        <v>374</v>
      </c>
      <c r="J238" s="98">
        <v>40633138</v>
      </c>
      <c r="K238" s="98">
        <v>0</v>
      </c>
      <c r="L238" s="97"/>
      <c r="M238" s="97"/>
      <c r="N238" s="97"/>
      <c r="O238" s="97"/>
      <c r="P238" s="97"/>
      <c r="Q238" s="97" t="s">
        <v>488</v>
      </c>
      <c r="R238" s="97"/>
      <c r="S238" s="97" t="s">
        <v>488</v>
      </c>
      <c r="T238" s="851">
        <f t="shared" si="3"/>
        <v>40633138</v>
      </c>
    </row>
    <row r="239" spans="1:20">
      <c r="A239" s="96">
        <v>45412</v>
      </c>
      <c r="B239" s="96">
        <v>45412</v>
      </c>
      <c r="C239" s="97" t="s">
        <v>508</v>
      </c>
      <c r="D239" s="96"/>
      <c r="E239" s="97"/>
      <c r="F239" s="97" t="s">
        <v>476</v>
      </c>
      <c r="G239" s="97" t="s">
        <v>446</v>
      </c>
      <c r="H239" s="97" t="s">
        <v>387</v>
      </c>
      <c r="I239" s="97" t="s">
        <v>374</v>
      </c>
      <c r="J239" s="98">
        <v>218204951</v>
      </c>
      <c r="K239" s="98">
        <v>0</v>
      </c>
      <c r="L239" s="97"/>
      <c r="M239" s="97"/>
      <c r="N239" s="97"/>
      <c r="O239" s="97"/>
      <c r="P239" s="97"/>
      <c r="Q239" s="97" t="s">
        <v>488</v>
      </c>
      <c r="R239" s="97"/>
      <c r="S239" s="97" t="s">
        <v>488</v>
      </c>
      <c r="T239" s="851">
        <f t="shared" si="3"/>
        <v>218204951</v>
      </c>
    </row>
    <row r="240" spans="1:20">
      <c r="A240" s="96">
        <v>45412</v>
      </c>
      <c r="B240" s="96">
        <v>45412</v>
      </c>
      <c r="C240" s="97" t="s">
        <v>508</v>
      </c>
      <c r="D240" s="96"/>
      <c r="E240" s="97"/>
      <c r="F240" s="97" t="s">
        <v>476</v>
      </c>
      <c r="G240" s="97" t="s">
        <v>446</v>
      </c>
      <c r="H240" s="97" t="s">
        <v>391</v>
      </c>
      <c r="I240" s="97" t="s">
        <v>374</v>
      </c>
      <c r="J240" s="98">
        <v>1057533</v>
      </c>
      <c r="K240" s="98">
        <v>0</v>
      </c>
      <c r="L240" s="97"/>
      <c r="M240" s="97"/>
      <c r="N240" s="97"/>
      <c r="O240" s="97"/>
      <c r="P240" s="97"/>
      <c r="Q240" s="97" t="s">
        <v>488</v>
      </c>
      <c r="R240" s="97"/>
      <c r="S240" s="97" t="s">
        <v>488</v>
      </c>
      <c r="T240" s="851">
        <f t="shared" si="3"/>
        <v>1057533</v>
      </c>
    </row>
    <row r="241" spans="1:20">
      <c r="A241" s="96">
        <v>45412</v>
      </c>
      <c r="B241" s="96">
        <v>45412</v>
      </c>
      <c r="C241" s="97" t="s">
        <v>508</v>
      </c>
      <c r="D241" s="96"/>
      <c r="E241" s="97"/>
      <c r="F241" s="97" t="s">
        <v>476</v>
      </c>
      <c r="G241" s="97" t="s">
        <v>446</v>
      </c>
      <c r="H241" s="97" t="s">
        <v>393</v>
      </c>
      <c r="I241" s="97" t="s">
        <v>374</v>
      </c>
      <c r="J241" s="98">
        <v>10716489</v>
      </c>
      <c r="K241" s="98">
        <v>0</v>
      </c>
      <c r="L241" s="97"/>
      <c r="M241" s="97"/>
      <c r="N241" s="97"/>
      <c r="O241" s="97"/>
      <c r="P241" s="97"/>
      <c r="Q241" s="97" t="s">
        <v>488</v>
      </c>
      <c r="R241" s="97"/>
      <c r="S241" s="97" t="s">
        <v>488</v>
      </c>
      <c r="T241" s="851">
        <f t="shared" si="3"/>
        <v>10716489</v>
      </c>
    </row>
    <row r="242" spans="1:20">
      <c r="A242" s="96">
        <v>45412</v>
      </c>
      <c r="B242" s="96">
        <v>45412</v>
      </c>
      <c r="C242" s="97" t="s">
        <v>508</v>
      </c>
      <c r="D242" s="96"/>
      <c r="E242" s="97"/>
      <c r="F242" s="97" t="s">
        <v>476</v>
      </c>
      <c r="G242" s="97" t="s">
        <v>446</v>
      </c>
      <c r="H242" s="97" t="s">
        <v>395</v>
      </c>
      <c r="I242" s="97" t="s">
        <v>374</v>
      </c>
      <c r="J242" s="98">
        <v>4416000</v>
      </c>
      <c r="K242" s="98">
        <v>0</v>
      </c>
      <c r="L242" s="97"/>
      <c r="M242" s="97"/>
      <c r="N242" s="97"/>
      <c r="O242" s="97"/>
      <c r="P242" s="97"/>
      <c r="Q242" s="97" t="s">
        <v>488</v>
      </c>
      <c r="R242" s="97"/>
      <c r="S242" s="97" t="s">
        <v>488</v>
      </c>
      <c r="T242" s="851">
        <f t="shared" si="3"/>
        <v>4416000</v>
      </c>
    </row>
    <row r="243" spans="1:20">
      <c r="A243" s="96">
        <v>45412</v>
      </c>
      <c r="B243" s="96">
        <v>45412</v>
      </c>
      <c r="C243" s="97" t="s">
        <v>508</v>
      </c>
      <c r="D243" s="96"/>
      <c r="E243" s="97"/>
      <c r="F243" s="97" t="s">
        <v>476</v>
      </c>
      <c r="G243" s="97" t="s">
        <v>446</v>
      </c>
      <c r="H243" s="97" t="s">
        <v>397</v>
      </c>
      <c r="I243" s="97" t="s">
        <v>374</v>
      </c>
      <c r="J243" s="98">
        <v>4799025</v>
      </c>
      <c r="K243" s="98">
        <v>0</v>
      </c>
      <c r="L243" s="97"/>
      <c r="M243" s="97"/>
      <c r="N243" s="97"/>
      <c r="O243" s="97"/>
      <c r="P243" s="97"/>
      <c r="Q243" s="97" t="s">
        <v>488</v>
      </c>
      <c r="R243" s="97"/>
      <c r="S243" s="97" t="s">
        <v>488</v>
      </c>
      <c r="T243" s="851">
        <f t="shared" si="3"/>
        <v>4799025</v>
      </c>
    </row>
    <row r="244" spans="1:20">
      <c r="A244" s="96">
        <v>45412</v>
      </c>
      <c r="B244" s="96">
        <v>45412</v>
      </c>
      <c r="C244" s="97" t="s">
        <v>508</v>
      </c>
      <c r="D244" s="96"/>
      <c r="E244" s="97"/>
      <c r="F244" s="97" t="s">
        <v>476</v>
      </c>
      <c r="G244" s="97" t="s">
        <v>446</v>
      </c>
      <c r="H244" s="97" t="s">
        <v>398</v>
      </c>
      <c r="I244" s="97" t="s">
        <v>374</v>
      </c>
      <c r="J244" s="98">
        <v>3440000</v>
      </c>
      <c r="K244" s="98">
        <v>0</v>
      </c>
      <c r="L244" s="97"/>
      <c r="M244" s="97"/>
      <c r="N244" s="97"/>
      <c r="O244" s="97"/>
      <c r="P244" s="97"/>
      <c r="Q244" s="97" t="s">
        <v>488</v>
      </c>
      <c r="R244" s="97"/>
      <c r="S244" s="97" t="s">
        <v>488</v>
      </c>
      <c r="T244" s="851">
        <f t="shared" si="3"/>
        <v>3440000</v>
      </c>
    </row>
    <row r="245" spans="1:20">
      <c r="A245" s="96">
        <v>45412</v>
      </c>
      <c r="B245" s="96">
        <v>45412</v>
      </c>
      <c r="C245" s="97" t="s">
        <v>508</v>
      </c>
      <c r="D245" s="96"/>
      <c r="E245" s="97"/>
      <c r="F245" s="97" t="s">
        <v>476</v>
      </c>
      <c r="G245" s="97" t="s">
        <v>446</v>
      </c>
      <c r="H245" s="97" t="s">
        <v>401</v>
      </c>
      <c r="I245" s="97" t="s">
        <v>374</v>
      </c>
      <c r="J245" s="98">
        <v>9113548</v>
      </c>
      <c r="K245" s="98">
        <v>0</v>
      </c>
      <c r="L245" s="97"/>
      <c r="M245" s="97"/>
      <c r="N245" s="97"/>
      <c r="O245" s="97"/>
      <c r="P245" s="97"/>
      <c r="Q245" s="97" t="s">
        <v>488</v>
      </c>
      <c r="R245" s="97"/>
      <c r="S245" s="97" t="s">
        <v>488</v>
      </c>
      <c r="T245" s="851">
        <f t="shared" si="3"/>
        <v>9113548</v>
      </c>
    </row>
    <row r="246" spans="1:20">
      <c r="A246" s="96">
        <v>45412</v>
      </c>
      <c r="B246" s="96">
        <v>45412</v>
      </c>
      <c r="C246" s="97" t="s">
        <v>508</v>
      </c>
      <c r="D246" s="96"/>
      <c r="E246" s="97"/>
      <c r="F246" s="97" t="s">
        <v>476</v>
      </c>
      <c r="G246" s="97" t="s">
        <v>446</v>
      </c>
      <c r="H246" s="97" t="s">
        <v>405</v>
      </c>
      <c r="I246" s="97" t="s">
        <v>374</v>
      </c>
      <c r="J246" s="98">
        <v>12000000</v>
      </c>
      <c r="K246" s="98">
        <v>0</v>
      </c>
      <c r="L246" s="97"/>
      <c r="M246" s="97"/>
      <c r="N246" s="97"/>
      <c r="O246" s="97"/>
      <c r="P246" s="97"/>
      <c r="Q246" s="97" t="s">
        <v>488</v>
      </c>
      <c r="R246" s="97"/>
      <c r="S246" s="97" t="s">
        <v>488</v>
      </c>
      <c r="T246" s="851">
        <f t="shared" si="3"/>
        <v>12000000</v>
      </c>
    </row>
    <row r="247" spans="1:20">
      <c r="A247" s="96">
        <v>45412</v>
      </c>
      <c r="B247" s="96">
        <v>45412</v>
      </c>
      <c r="C247" s="97" t="s">
        <v>508</v>
      </c>
      <c r="D247" s="96"/>
      <c r="E247" s="97"/>
      <c r="F247" s="97" t="s">
        <v>476</v>
      </c>
      <c r="G247" s="97" t="s">
        <v>446</v>
      </c>
      <c r="H247" s="97" t="s">
        <v>407</v>
      </c>
      <c r="I247" s="97" t="s">
        <v>374</v>
      </c>
      <c r="J247" s="98">
        <v>64393939</v>
      </c>
      <c r="K247" s="98">
        <v>0</v>
      </c>
      <c r="L247" s="97"/>
      <c r="M247" s="97"/>
      <c r="N247" s="97"/>
      <c r="O247" s="97"/>
      <c r="P247" s="97"/>
      <c r="Q247" s="97" t="s">
        <v>488</v>
      </c>
      <c r="R247" s="97"/>
      <c r="S247" s="97" t="s">
        <v>488</v>
      </c>
      <c r="T247" s="851">
        <f t="shared" si="3"/>
        <v>64393939</v>
      </c>
    </row>
    <row r="248" spans="1:20">
      <c r="A248" s="96">
        <v>45412</v>
      </c>
      <c r="B248" s="96">
        <v>45412</v>
      </c>
      <c r="C248" s="97" t="s">
        <v>508</v>
      </c>
      <c r="D248" s="96"/>
      <c r="E248" s="97"/>
      <c r="F248" s="97" t="s">
        <v>476</v>
      </c>
      <c r="G248" s="97" t="s">
        <v>446</v>
      </c>
      <c r="H248" s="97" t="s">
        <v>413</v>
      </c>
      <c r="I248" s="97" t="s">
        <v>374</v>
      </c>
      <c r="J248" s="98">
        <v>9873078</v>
      </c>
      <c r="K248" s="98">
        <v>0</v>
      </c>
      <c r="L248" s="97"/>
      <c r="M248" s="97"/>
      <c r="N248" s="97"/>
      <c r="O248" s="97"/>
      <c r="P248" s="97"/>
      <c r="Q248" s="97" t="s">
        <v>488</v>
      </c>
      <c r="R248" s="97"/>
      <c r="S248" s="97" t="s">
        <v>488</v>
      </c>
      <c r="T248" s="851">
        <f t="shared" si="3"/>
        <v>9873078</v>
      </c>
    </row>
    <row r="249" spans="1:20">
      <c r="A249" s="96">
        <v>45412</v>
      </c>
      <c r="B249" s="96">
        <v>45412</v>
      </c>
      <c r="C249" s="97" t="s">
        <v>508</v>
      </c>
      <c r="D249" s="96"/>
      <c r="E249" s="97"/>
      <c r="F249" s="97" t="s">
        <v>476</v>
      </c>
      <c r="G249" s="97" t="s">
        <v>446</v>
      </c>
      <c r="H249" s="97" t="s">
        <v>415</v>
      </c>
      <c r="I249" s="97" t="s">
        <v>374</v>
      </c>
      <c r="J249" s="98">
        <v>2863636</v>
      </c>
      <c r="K249" s="98">
        <v>0</v>
      </c>
      <c r="L249" s="97"/>
      <c r="M249" s="97"/>
      <c r="N249" s="97"/>
      <c r="O249" s="97"/>
      <c r="P249" s="97"/>
      <c r="Q249" s="97" t="s">
        <v>488</v>
      </c>
      <c r="R249" s="97"/>
      <c r="S249" s="97" t="s">
        <v>488</v>
      </c>
      <c r="T249" s="851">
        <f t="shared" si="3"/>
        <v>2863636</v>
      </c>
    </row>
    <row r="250" spans="1:20">
      <c r="A250" s="96">
        <v>45412</v>
      </c>
      <c r="B250" s="96">
        <v>45412</v>
      </c>
      <c r="C250" s="97" t="s">
        <v>508</v>
      </c>
      <c r="D250" s="96"/>
      <c r="E250" s="97"/>
      <c r="F250" s="97" t="s">
        <v>476</v>
      </c>
      <c r="G250" s="97" t="s">
        <v>446</v>
      </c>
      <c r="H250" s="97" t="s">
        <v>419</v>
      </c>
      <c r="I250" s="97" t="s">
        <v>374</v>
      </c>
      <c r="J250" s="98">
        <v>1950000</v>
      </c>
      <c r="K250" s="98">
        <v>0</v>
      </c>
      <c r="L250" s="97"/>
      <c r="M250" s="97"/>
      <c r="N250" s="97"/>
      <c r="O250" s="97"/>
      <c r="P250" s="97"/>
      <c r="Q250" s="97" t="s">
        <v>488</v>
      </c>
      <c r="R250" s="97"/>
      <c r="S250" s="97" t="s">
        <v>488</v>
      </c>
      <c r="T250" s="851">
        <f t="shared" si="3"/>
        <v>1950000</v>
      </c>
    </row>
    <row r="251" spans="1:20">
      <c r="A251" s="96">
        <v>45412</v>
      </c>
      <c r="B251" s="96">
        <v>45412</v>
      </c>
      <c r="C251" s="97" t="s">
        <v>508</v>
      </c>
      <c r="D251" s="96"/>
      <c r="E251" s="97"/>
      <c r="F251" s="97" t="s">
        <v>476</v>
      </c>
      <c r="G251" s="97" t="s">
        <v>446</v>
      </c>
      <c r="H251" s="97" t="s">
        <v>421</v>
      </c>
      <c r="I251" s="97" t="s">
        <v>374</v>
      </c>
      <c r="J251" s="98">
        <v>30195894</v>
      </c>
      <c r="K251" s="98">
        <v>0</v>
      </c>
      <c r="L251" s="97"/>
      <c r="M251" s="97"/>
      <c r="N251" s="97"/>
      <c r="O251" s="97"/>
      <c r="P251" s="97"/>
      <c r="Q251" s="97" t="s">
        <v>488</v>
      </c>
      <c r="R251" s="97"/>
      <c r="S251" s="97" t="s">
        <v>488</v>
      </c>
      <c r="T251" s="851">
        <f t="shared" si="3"/>
        <v>30195894</v>
      </c>
    </row>
    <row r="252" spans="1:20">
      <c r="A252" s="96">
        <v>45412</v>
      </c>
      <c r="B252" s="96">
        <v>45412</v>
      </c>
      <c r="C252" s="97" t="s">
        <v>508</v>
      </c>
      <c r="D252" s="96"/>
      <c r="E252" s="97"/>
      <c r="F252" s="97" t="s">
        <v>476</v>
      </c>
      <c r="G252" s="97" t="s">
        <v>446</v>
      </c>
      <c r="H252" s="97" t="s">
        <v>422</v>
      </c>
      <c r="I252" s="97" t="s">
        <v>374</v>
      </c>
      <c r="J252" s="98">
        <v>1000000</v>
      </c>
      <c r="K252" s="98">
        <v>0</v>
      </c>
      <c r="L252" s="97"/>
      <c r="M252" s="97"/>
      <c r="N252" s="97"/>
      <c r="O252" s="97"/>
      <c r="P252" s="97"/>
      <c r="Q252" s="97" t="s">
        <v>488</v>
      </c>
      <c r="R252" s="97"/>
      <c r="S252" s="97" t="s">
        <v>488</v>
      </c>
      <c r="T252" s="851">
        <f t="shared" si="3"/>
        <v>1000000</v>
      </c>
    </row>
    <row r="253" spans="1:20">
      <c r="A253" s="96">
        <v>45412</v>
      </c>
      <c r="B253" s="96">
        <v>45412</v>
      </c>
      <c r="C253" s="97" t="s">
        <v>508</v>
      </c>
      <c r="D253" s="96"/>
      <c r="E253" s="97"/>
      <c r="F253" s="97" t="s">
        <v>476</v>
      </c>
      <c r="G253" s="97" t="s">
        <v>446</v>
      </c>
      <c r="H253" s="97" t="s">
        <v>424</v>
      </c>
      <c r="I253" s="97" t="s">
        <v>374</v>
      </c>
      <c r="J253" s="98">
        <v>17452500</v>
      </c>
      <c r="K253" s="98">
        <v>0</v>
      </c>
      <c r="L253" s="97"/>
      <c r="M253" s="97"/>
      <c r="N253" s="97"/>
      <c r="O253" s="97"/>
      <c r="P253" s="97"/>
      <c r="Q253" s="97" t="s">
        <v>488</v>
      </c>
      <c r="R253" s="97"/>
      <c r="S253" s="97" t="s">
        <v>488</v>
      </c>
      <c r="T253" s="851">
        <f t="shared" si="3"/>
        <v>17452500</v>
      </c>
    </row>
    <row r="254" spans="1:20">
      <c r="A254" s="96">
        <v>45412</v>
      </c>
      <c r="B254" s="96">
        <v>45412</v>
      </c>
      <c r="C254" s="97" t="s">
        <v>508</v>
      </c>
      <c r="D254" s="96"/>
      <c r="E254" s="97"/>
      <c r="F254" s="97" t="s">
        <v>476</v>
      </c>
      <c r="G254" s="97" t="s">
        <v>446</v>
      </c>
      <c r="H254" s="97" t="s">
        <v>425</v>
      </c>
      <c r="I254" s="97" t="s">
        <v>374</v>
      </c>
      <c r="J254" s="98">
        <v>4202560</v>
      </c>
      <c r="K254" s="98">
        <v>0</v>
      </c>
      <c r="L254" s="97"/>
      <c r="M254" s="97"/>
      <c r="N254" s="97"/>
      <c r="O254" s="97"/>
      <c r="P254" s="97"/>
      <c r="Q254" s="97" t="s">
        <v>488</v>
      </c>
      <c r="R254" s="97"/>
      <c r="S254" s="97" t="s">
        <v>488</v>
      </c>
      <c r="T254" s="851">
        <f t="shared" si="3"/>
        <v>4202560</v>
      </c>
    </row>
    <row r="255" spans="1:20">
      <c r="A255" s="96">
        <v>45412</v>
      </c>
      <c r="B255" s="96">
        <v>45412</v>
      </c>
      <c r="C255" s="97" t="s">
        <v>508</v>
      </c>
      <c r="D255" s="96"/>
      <c r="E255" s="97"/>
      <c r="F255" s="97" t="s">
        <v>476</v>
      </c>
      <c r="G255" s="97" t="s">
        <v>446</v>
      </c>
      <c r="H255" s="97" t="s">
        <v>427</v>
      </c>
      <c r="I255" s="97" t="s">
        <v>374</v>
      </c>
      <c r="J255" s="98">
        <v>23086403</v>
      </c>
      <c r="K255" s="98">
        <v>0</v>
      </c>
      <c r="L255" s="97"/>
      <c r="M255" s="97"/>
      <c r="N255" s="97"/>
      <c r="O255" s="97"/>
      <c r="P255" s="97"/>
      <c r="Q255" s="97" t="s">
        <v>488</v>
      </c>
      <c r="R255" s="97"/>
      <c r="S255" s="97" t="s">
        <v>488</v>
      </c>
      <c r="T255" s="851">
        <f t="shared" si="3"/>
        <v>23086403</v>
      </c>
    </row>
    <row r="256" spans="1:20">
      <c r="A256" s="96">
        <v>45412</v>
      </c>
      <c r="B256" s="96">
        <v>45412</v>
      </c>
      <c r="C256" s="97" t="s">
        <v>508</v>
      </c>
      <c r="D256" s="96"/>
      <c r="E256" s="97"/>
      <c r="F256" s="97" t="s">
        <v>476</v>
      </c>
      <c r="G256" s="97" t="s">
        <v>446</v>
      </c>
      <c r="H256" s="97" t="s">
        <v>431</v>
      </c>
      <c r="I256" s="97" t="s">
        <v>374</v>
      </c>
      <c r="J256" s="98">
        <v>610000</v>
      </c>
      <c r="K256" s="98">
        <v>0</v>
      </c>
      <c r="L256" s="97"/>
      <c r="M256" s="97"/>
      <c r="N256" s="97"/>
      <c r="O256" s="97"/>
      <c r="P256" s="97"/>
      <c r="Q256" s="97" t="s">
        <v>488</v>
      </c>
      <c r="R256" s="97"/>
      <c r="S256" s="97" t="s">
        <v>488</v>
      </c>
      <c r="T256" s="851">
        <f t="shared" si="3"/>
        <v>610000</v>
      </c>
    </row>
    <row r="257" spans="1:20">
      <c r="A257" s="96">
        <v>45412</v>
      </c>
      <c r="B257" s="96">
        <v>45412</v>
      </c>
      <c r="C257" s="97" t="s">
        <v>508</v>
      </c>
      <c r="D257" s="96"/>
      <c r="E257" s="97"/>
      <c r="F257" s="97" t="s">
        <v>476</v>
      </c>
      <c r="G257" s="97" t="s">
        <v>446</v>
      </c>
      <c r="H257" s="97" t="s">
        <v>432</v>
      </c>
      <c r="I257" s="97" t="s">
        <v>374</v>
      </c>
      <c r="J257" s="98">
        <v>1018000</v>
      </c>
      <c r="K257" s="98">
        <v>0</v>
      </c>
      <c r="L257" s="97"/>
      <c r="M257" s="97"/>
      <c r="N257" s="97"/>
      <c r="O257" s="97"/>
      <c r="P257" s="97"/>
      <c r="Q257" s="97" t="s">
        <v>488</v>
      </c>
      <c r="R257" s="97"/>
      <c r="S257" s="97" t="s">
        <v>488</v>
      </c>
      <c r="T257" s="851">
        <f t="shared" si="3"/>
        <v>1018000</v>
      </c>
    </row>
    <row r="258" spans="1:20">
      <c r="A258" s="96">
        <v>45412</v>
      </c>
      <c r="B258" s="96">
        <v>45412</v>
      </c>
      <c r="C258" s="97" t="s">
        <v>508</v>
      </c>
      <c r="D258" s="96"/>
      <c r="E258" s="97"/>
      <c r="F258" s="97" t="s">
        <v>476</v>
      </c>
      <c r="G258" s="97" t="s">
        <v>446</v>
      </c>
      <c r="H258" s="97" t="s">
        <v>435</v>
      </c>
      <c r="I258" s="97" t="s">
        <v>374</v>
      </c>
      <c r="J258" s="98">
        <v>17546672</v>
      </c>
      <c r="K258" s="98">
        <v>0</v>
      </c>
      <c r="L258" s="97"/>
      <c r="M258" s="97"/>
      <c r="N258" s="97"/>
      <c r="O258" s="97"/>
      <c r="P258" s="97"/>
      <c r="Q258" s="97" t="s">
        <v>488</v>
      </c>
      <c r="R258" s="97"/>
      <c r="S258" s="97" t="s">
        <v>488</v>
      </c>
      <c r="T258" s="851">
        <f t="shared" si="3"/>
        <v>17546672</v>
      </c>
    </row>
    <row r="259" spans="1:20">
      <c r="A259" s="96">
        <v>45412</v>
      </c>
      <c r="B259" s="96">
        <v>45412</v>
      </c>
      <c r="C259" s="97" t="s">
        <v>508</v>
      </c>
      <c r="D259" s="96"/>
      <c r="E259" s="97"/>
      <c r="F259" s="97" t="s">
        <v>476</v>
      </c>
      <c r="G259" s="97" t="s">
        <v>446</v>
      </c>
      <c r="H259" s="97" t="s">
        <v>437</v>
      </c>
      <c r="I259" s="97" t="s">
        <v>374</v>
      </c>
      <c r="J259" s="98">
        <v>16719064</v>
      </c>
      <c r="K259" s="98">
        <v>0</v>
      </c>
      <c r="L259" s="97"/>
      <c r="M259" s="97"/>
      <c r="N259" s="97"/>
      <c r="O259" s="97"/>
      <c r="P259" s="97"/>
      <c r="Q259" s="97" t="s">
        <v>488</v>
      </c>
      <c r="R259" s="97"/>
      <c r="S259" s="97" t="s">
        <v>488</v>
      </c>
      <c r="T259" s="851">
        <f t="shared" si="3"/>
        <v>16719064</v>
      </c>
    </row>
    <row r="260" spans="1:20">
      <c r="A260" s="96">
        <v>45412</v>
      </c>
      <c r="B260" s="96">
        <v>45412</v>
      </c>
      <c r="C260" s="97" t="s">
        <v>508</v>
      </c>
      <c r="D260" s="96"/>
      <c r="E260" s="97"/>
      <c r="F260" s="97" t="s">
        <v>476</v>
      </c>
      <c r="G260" s="97" t="s">
        <v>446</v>
      </c>
      <c r="H260" s="97" t="s">
        <v>438</v>
      </c>
      <c r="I260" s="97" t="s">
        <v>374</v>
      </c>
      <c r="J260" s="98">
        <v>424900</v>
      </c>
      <c r="K260" s="98">
        <v>0</v>
      </c>
      <c r="L260" s="97"/>
      <c r="M260" s="97"/>
      <c r="N260" s="97"/>
      <c r="O260" s="97"/>
      <c r="P260" s="97"/>
      <c r="Q260" s="97" t="s">
        <v>488</v>
      </c>
      <c r="R260" s="97"/>
      <c r="S260" s="97" t="s">
        <v>488</v>
      </c>
      <c r="T260" s="851">
        <f t="shared" si="3"/>
        <v>424900</v>
      </c>
    </row>
    <row r="261" spans="1:20">
      <c r="A261" s="96">
        <v>45412</v>
      </c>
      <c r="B261" s="96">
        <v>45412</v>
      </c>
      <c r="C261" s="97" t="s">
        <v>508</v>
      </c>
      <c r="D261" s="96"/>
      <c r="E261" s="97"/>
      <c r="F261" s="97" t="s">
        <v>479</v>
      </c>
      <c r="G261" s="97" t="s">
        <v>446</v>
      </c>
      <c r="H261" s="97" t="s">
        <v>217</v>
      </c>
      <c r="I261" s="97" t="s">
        <v>213</v>
      </c>
      <c r="J261" s="98">
        <v>0</v>
      </c>
      <c r="K261" s="98">
        <v>1087142696</v>
      </c>
      <c r="L261" s="97"/>
      <c r="M261" s="97"/>
      <c r="N261" s="97"/>
      <c r="O261" s="97"/>
      <c r="P261" s="97"/>
      <c r="Q261" s="97" t="s">
        <v>488</v>
      </c>
      <c r="R261" s="97"/>
      <c r="S261" s="97" t="s">
        <v>488</v>
      </c>
      <c r="T261" s="851">
        <f t="shared" ref="T261:T324" si="4">J261-K261</f>
        <v>-1087142696</v>
      </c>
    </row>
    <row r="262" spans="1:20">
      <c r="A262" s="96">
        <v>45443</v>
      </c>
      <c r="B262" s="96">
        <v>45443</v>
      </c>
      <c r="C262" s="97" t="s">
        <v>509</v>
      </c>
      <c r="D262" s="96"/>
      <c r="E262" s="97"/>
      <c r="F262" s="97" t="s">
        <v>468</v>
      </c>
      <c r="G262" s="97" t="s">
        <v>446</v>
      </c>
      <c r="H262" s="97" t="s">
        <v>225</v>
      </c>
      <c r="I262" s="97" t="s">
        <v>219</v>
      </c>
      <c r="J262" s="98">
        <v>0</v>
      </c>
      <c r="K262" s="98">
        <v>3006000</v>
      </c>
      <c r="L262" s="97"/>
      <c r="M262" s="97"/>
      <c r="N262" s="97"/>
      <c r="O262" s="97"/>
      <c r="P262" s="97"/>
      <c r="Q262" s="97" t="s">
        <v>488</v>
      </c>
      <c r="R262" s="97"/>
      <c r="S262" s="97" t="s">
        <v>488</v>
      </c>
      <c r="T262" s="851">
        <f t="shared" si="4"/>
        <v>-3006000</v>
      </c>
    </row>
    <row r="263" spans="1:20">
      <c r="A263" s="96">
        <v>45443</v>
      </c>
      <c r="B263" s="96">
        <v>45443</v>
      </c>
      <c r="C263" s="97" t="s">
        <v>509</v>
      </c>
      <c r="D263" s="96"/>
      <c r="E263" s="97"/>
      <c r="F263" s="97" t="s">
        <v>468</v>
      </c>
      <c r="G263" s="97" t="s">
        <v>446</v>
      </c>
      <c r="H263" s="97" t="s">
        <v>227</v>
      </c>
      <c r="I263" s="97" t="s">
        <v>219</v>
      </c>
      <c r="J263" s="98">
        <v>0</v>
      </c>
      <c r="K263" s="98">
        <v>7677000</v>
      </c>
      <c r="L263" s="97"/>
      <c r="M263" s="97"/>
      <c r="N263" s="97"/>
      <c r="O263" s="97"/>
      <c r="P263" s="97"/>
      <c r="Q263" s="97" t="s">
        <v>488</v>
      </c>
      <c r="R263" s="97"/>
      <c r="S263" s="97" t="s">
        <v>488</v>
      </c>
      <c r="T263" s="851">
        <f t="shared" si="4"/>
        <v>-7677000</v>
      </c>
    </row>
    <row r="264" spans="1:20">
      <c r="A264" s="96">
        <v>45443</v>
      </c>
      <c r="B264" s="96">
        <v>45443</v>
      </c>
      <c r="C264" s="97" t="s">
        <v>509</v>
      </c>
      <c r="D264" s="96"/>
      <c r="E264" s="97"/>
      <c r="F264" s="97" t="s">
        <v>468</v>
      </c>
      <c r="G264" s="97" t="s">
        <v>446</v>
      </c>
      <c r="H264" s="97" t="s">
        <v>229</v>
      </c>
      <c r="I264" s="97" t="s">
        <v>219</v>
      </c>
      <c r="J264" s="98">
        <v>0</v>
      </c>
      <c r="K264" s="98">
        <v>63215928</v>
      </c>
      <c r="L264" s="97"/>
      <c r="M264" s="97"/>
      <c r="N264" s="97"/>
      <c r="O264" s="97"/>
      <c r="P264" s="97"/>
      <c r="Q264" s="97" t="s">
        <v>488</v>
      </c>
      <c r="R264" s="97"/>
      <c r="S264" s="97" t="s">
        <v>488</v>
      </c>
      <c r="T264" s="851">
        <f t="shared" si="4"/>
        <v>-63215928</v>
      </c>
    </row>
    <row r="265" spans="1:20">
      <c r="A265" s="96">
        <v>45443</v>
      </c>
      <c r="B265" s="96">
        <v>45443</v>
      </c>
      <c r="C265" s="97" t="s">
        <v>509</v>
      </c>
      <c r="D265" s="96"/>
      <c r="E265" s="97"/>
      <c r="F265" s="97" t="s">
        <v>468</v>
      </c>
      <c r="G265" s="97" t="s">
        <v>446</v>
      </c>
      <c r="H265" s="97" t="s">
        <v>231</v>
      </c>
      <c r="I265" s="97" t="s">
        <v>219</v>
      </c>
      <c r="J265" s="98">
        <v>0</v>
      </c>
      <c r="K265" s="98">
        <v>129555152</v>
      </c>
      <c r="L265" s="97"/>
      <c r="M265" s="97"/>
      <c r="N265" s="97"/>
      <c r="O265" s="97"/>
      <c r="P265" s="97"/>
      <c r="Q265" s="97" t="s">
        <v>488</v>
      </c>
      <c r="R265" s="97"/>
      <c r="S265" s="97" t="s">
        <v>488</v>
      </c>
      <c r="T265" s="851">
        <f t="shared" si="4"/>
        <v>-129555152</v>
      </c>
    </row>
    <row r="266" spans="1:20">
      <c r="A266" s="96">
        <v>45443</v>
      </c>
      <c r="B266" s="96">
        <v>45443</v>
      </c>
      <c r="C266" s="97" t="s">
        <v>509</v>
      </c>
      <c r="D266" s="96"/>
      <c r="E266" s="97"/>
      <c r="F266" s="97" t="s">
        <v>468</v>
      </c>
      <c r="G266" s="97" t="s">
        <v>446</v>
      </c>
      <c r="H266" s="97" t="s">
        <v>233</v>
      </c>
      <c r="I266" s="97" t="s">
        <v>219</v>
      </c>
      <c r="J266" s="98">
        <v>0</v>
      </c>
      <c r="K266" s="98">
        <v>1615000</v>
      </c>
      <c r="L266" s="97"/>
      <c r="M266" s="97"/>
      <c r="N266" s="97"/>
      <c r="O266" s="97"/>
      <c r="P266" s="97"/>
      <c r="Q266" s="97" t="s">
        <v>488</v>
      </c>
      <c r="R266" s="97"/>
      <c r="S266" s="97" t="s">
        <v>488</v>
      </c>
      <c r="T266" s="851">
        <f t="shared" si="4"/>
        <v>-1615000</v>
      </c>
    </row>
    <row r="267" spans="1:20">
      <c r="A267" s="96">
        <v>45443</v>
      </c>
      <c r="B267" s="96">
        <v>45443</v>
      </c>
      <c r="C267" s="97" t="s">
        <v>509</v>
      </c>
      <c r="D267" s="96"/>
      <c r="E267" s="97"/>
      <c r="F267" s="97" t="s">
        <v>468</v>
      </c>
      <c r="G267" s="97" t="s">
        <v>446</v>
      </c>
      <c r="H267" s="97" t="s">
        <v>235</v>
      </c>
      <c r="I267" s="97" t="s">
        <v>219</v>
      </c>
      <c r="J267" s="98">
        <v>0</v>
      </c>
      <c r="K267" s="98">
        <v>11525072</v>
      </c>
      <c r="L267" s="97"/>
      <c r="M267" s="97"/>
      <c r="N267" s="97"/>
      <c r="O267" s="97"/>
      <c r="P267" s="97"/>
      <c r="Q267" s="97" t="s">
        <v>488</v>
      </c>
      <c r="R267" s="97"/>
      <c r="S267" s="97" t="s">
        <v>488</v>
      </c>
      <c r="T267" s="851">
        <f t="shared" si="4"/>
        <v>-11525072</v>
      </c>
    </row>
    <row r="268" spans="1:20">
      <c r="A268" s="96">
        <v>45443</v>
      </c>
      <c r="B268" s="96">
        <v>45443</v>
      </c>
      <c r="C268" s="97" t="s">
        <v>509</v>
      </c>
      <c r="D268" s="96"/>
      <c r="E268" s="97"/>
      <c r="F268" s="97" t="s">
        <v>468</v>
      </c>
      <c r="G268" s="97" t="s">
        <v>446</v>
      </c>
      <c r="H268" s="97" t="s">
        <v>237</v>
      </c>
      <c r="I268" s="97" t="s">
        <v>219</v>
      </c>
      <c r="J268" s="98">
        <v>0</v>
      </c>
      <c r="K268" s="98">
        <v>220535</v>
      </c>
      <c r="L268" s="97"/>
      <c r="M268" s="97"/>
      <c r="N268" s="97"/>
      <c r="O268" s="97"/>
      <c r="P268" s="97"/>
      <c r="Q268" s="97" t="s">
        <v>488</v>
      </c>
      <c r="R268" s="97"/>
      <c r="S268" s="97" t="s">
        <v>488</v>
      </c>
      <c r="T268" s="851">
        <f t="shared" si="4"/>
        <v>-220535</v>
      </c>
    </row>
    <row r="269" spans="1:20">
      <c r="A269" s="96">
        <v>45443</v>
      </c>
      <c r="B269" s="96">
        <v>45443</v>
      </c>
      <c r="C269" s="97" t="s">
        <v>509</v>
      </c>
      <c r="D269" s="96"/>
      <c r="E269" s="97"/>
      <c r="F269" s="97" t="s">
        <v>468</v>
      </c>
      <c r="G269" s="97" t="s">
        <v>446</v>
      </c>
      <c r="H269" s="97" t="s">
        <v>241</v>
      </c>
      <c r="I269" s="97" t="s">
        <v>219</v>
      </c>
      <c r="J269" s="98">
        <v>0</v>
      </c>
      <c r="K269" s="98">
        <v>3433366</v>
      </c>
      <c r="L269" s="97"/>
      <c r="M269" s="97"/>
      <c r="N269" s="97"/>
      <c r="O269" s="97"/>
      <c r="P269" s="97"/>
      <c r="Q269" s="97" t="s">
        <v>488</v>
      </c>
      <c r="R269" s="97"/>
      <c r="S269" s="97" t="s">
        <v>488</v>
      </c>
      <c r="T269" s="851">
        <f t="shared" si="4"/>
        <v>-3433366</v>
      </c>
    </row>
    <row r="270" spans="1:20">
      <c r="A270" s="96">
        <v>45443</v>
      </c>
      <c r="B270" s="96">
        <v>45443</v>
      </c>
      <c r="C270" s="97" t="s">
        <v>509</v>
      </c>
      <c r="D270" s="96"/>
      <c r="E270" s="97"/>
      <c r="F270" s="97" t="s">
        <v>468</v>
      </c>
      <c r="G270" s="97" t="s">
        <v>446</v>
      </c>
      <c r="H270" s="97" t="s">
        <v>243</v>
      </c>
      <c r="I270" s="97" t="s">
        <v>219</v>
      </c>
      <c r="J270" s="98">
        <v>0</v>
      </c>
      <c r="K270" s="98">
        <v>324540541</v>
      </c>
      <c r="L270" s="97"/>
      <c r="M270" s="97"/>
      <c r="N270" s="97"/>
      <c r="O270" s="97"/>
      <c r="P270" s="97"/>
      <c r="Q270" s="97" t="s">
        <v>488</v>
      </c>
      <c r="R270" s="97"/>
      <c r="S270" s="97" t="s">
        <v>488</v>
      </c>
      <c r="T270" s="851">
        <f t="shared" si="4"/>
        <v>-324540541</v>
      </c>
    </row>
    <row r="271" spans="1:20">
      <c r="A271" s="96">
        <v>45443</v>
      </c>
      <c r="B271" s="96">
        <v>45443</v>
      </c>
      <c r="C271" s="97" t="s">
        <v>509</v>
      </c>
      <c r="D271" s="96"/>
      <c r="E271" s="97"/>
      <c r="F271" s="97" t="s">
        <v>468</v>
      </c>
      <c r="G271" s="97" t="s">
        <v>446</v>
      </c>
      <c r="H271" s="97" t="s">
        <v>245</v>
      </c>
      <c r="I271" s="97" t="s">
        <v>219</v>
      </c>
      <c r="J271" s="98">
        <v>0</v>
      </c>
      <c r="K271" s="98">
        <v>400000</v>
      </c>
      <c r="L271" s="97"/>
      <c r="M271" s="97"/>
      <c r="N271" s="97"/>
      <c r="O271" s="97"/>
      <c r="P271" s="97"/>
      <c r="Q271" s="97" t="s">
        <v>488</v>
      </c>
      <c r="R271" s="97"/>
      <c r="S271" s="97" t="s">
        <v>488</v>
      </c>
      <c r="T271" s="851">
        <f t="shared" si="4"/>
        <v>-400000</v>
      </c>
    </row>
    <row r="272" spans="1:20">
      <c r="A272" s="96">
        <v>45443</v>
      </c>
      <c r="B272" s="96">
        <v>45443</v>
      </c>
      <c r="C272" s="97" t="s">
        <v>509</v>
      </c>
      <c r="D272" s="96"/>
      <c r="E272" s="97"/>
      <c r="F272" s="97" t="s">
        <v>472</v>
      </c>
      <c r="G272" s="97" t="s">
        <v>446</v>
      </c>
      <c r="H272" s="97" t="s">
        <v>249</v>
      </c>
      <c r="I272" s="97" t="s">
        <v>247</v>
      </c>
      <c r="J272" s="98">
        <v>0</v>
      </c>
      <c r="K272" s="98">
        <v>1213784145</v>
      </c>
      <c r="L272" s="97"/>
      <c r="M272" s="97"/>
      <c r="N272" s="97"/>
      <c r="O272" s="97"/>
      <c r="P272" s="97"/>
      <c r="Q272" s="97" t="s">
        <v>488</v>
      </c>
      <c r="R272" s="97"/>
      <c r="S272" s="97" t="s">
        <v>488</v>
      </c>
      <c r="T272" s="851">
        <f t="shared" si="4"/>
        <v>-1213784145</v>
      </c>
    </row>
    <row r="273" spans="1:20">
      <c r="A273" s="96">
        <v>45443</v>
      </c>
      <c r="B273" s="96">
        <v>45443</v>
      </c>
      <c r="C273" s="97" t="s">
        <v>509</v>
      </c>
      <c r="D273" s="96"/>
      <c r="E273" s="97"/>
      <c r="F273" s="97" t="s">
        <v>472</v>
      </c>
      <c r="G273" s="97" t="s">
        <v>446</v>
      </c>
      <c r="H273" s="97" t="s">
        <v>251</v>
      </c>
      <c r="I273" s="97" t="s">
        <v>247</v>
      </c>
      <c r="J273" s="98">
        <v>0</v>
      </c>
      <c r="K273" s="98">
        <v>3276224179</v>
      </c>
      <c r="L273" s="97"/>
      <c r="M273" s="97"/>
      <c r="N273" s="97"/>
      <c r="O273" s="97"/>
      <c r="P273" s="97"/>
      <c r="Q273" s="97" t="s">
        <v>488</v>
      </c>
      <c r="R273" s="97"/>
      <c r="S273" s="97" t="s">
        <v>488</v>
      </c>
      <c r="T273" s="851">
        <f t="shared" si="4"/>
        <v>-3276224179</v>
      </c>
    </row>
    <row r="274" spans="1:20">
      <c r="A274" s="96">
        <v>45443</v>
      </c>
      <c r="B274" s="96">
        <v>45443</v>
      </c>
      <c r="C274" s="97" t="s">
        <v>509</v>
      </c>
      <c r="D274" s="96"/>
      <c r="E274" s="97"/>
      <c r="F274" s="97" t="s">
        <v>472</v>
      </c>
      <c r="G274" s="97" t="s">
        <v>446</v>
      </c>
      <c r="H274" s="97" t="s">
        <v>255</v>
      </c>
      <c r="I274" s="97" t="s">
        <v>247</v>
      </c>
      <c r="J274" s="98">
        <v>0</v>
      </c>
      <c r="K274" s="98">
        <v>2411051502</v>
      </c>
      <c r="L274" s="97"/>
      <c r="M274" s="97"/>
      <c r="N274" s="97"/>
      <c r="O274" s="97"/>
      <c r="P274" s="97"/>
      <c r="Q274" s="97" t="s">
        <v>488</v>
      </c>
      <c r="R274" s="97"/>
      <c r="S274" s="97" t="s">
        <v>488</v>
      </c>
      <c r="T274" s="851">
        <f t="shared" si="4"/>
        <v>-2411051502</v>
      </c>
    </row>
    <row r="275" spans="1:20">
      <c r="A275" s="96">
        <v>45443</v>
      </c>
      <c r="B275" s="96">
        <v>45443</v>
      </c>
      <c r="C275" s="97" t="s">
        <v>509</v>
      </c>
      <c r="D275" s="96"/>
      <c r="E275" s="97"/>
      <c r="F275" s="97" t="s">
        <v>472</v>
      </c>
      <c r="G275" s="97" t="s">
        <v>446</v>
      </c>
      <c r="H275" s="97" t="s">
        <v>257</v>
      </c>
      <c r="I275" s="97" t="s">
        <v>247</v>
      </c>
      <c r="J275" s="98">
        <v>0</v>
      </c>
      <c r="K275" s="98">
        <v>5386722642</v>
      </c>
      <c r="L275" s="97"/>
      <c r="M275" s="97"/>
      <c r="N275" s="97"/>
      <c r="O275" s="97"/>
      <c r="P275" s="97"/>
      <c r="Q275" s="97" t="s">
        <v>488</v>
      </c>
      <c r="R275" s="97"/>
      <c r="S275" s="97" t="s">
        <v>488</v>
      </c>
      <c r="T275" s="851">
        <f t="shared" si="4"/>
        <v>-5386722642</v>
      </c>
    </row>
    <row r="276" spans="1:20">
      <c r="A276" s="96">
        <v>45443</v>
      </c>
      <c r="B276" s="96">
        <v>45443</v>
      </c>
      <c r="C276" s="97" t="s">
        <v>509</v>
      </c>
      <c r="D276" s="96"/>
      <c r="E276" s="97"/>
      <c r="F276" s="97" t="s">
        <v>472</v>
      </c>
      <c r="G276" s="97" t="s">
        <v>446</v>
      </c>
      <c r="H276" s="97" t="s">
        <v>259</v>
      </c>
      <c r="I276" s="97" t="s">
        <v>247</v>
      </c>
      <c r="J276" s="98">
        <v>0</v>
      </c>
      <c r="K276" s="98">
        <v>1454997219</v>
      </c>
      <c r="L276" s="97"/>
      <c r="M276" s="97"/>
      <c r="N276" s="97"/>
      <c r="O276" s="97"/>
      <c r="P276" s="97"/>
      <c r="Q276" s="97" t="s">
        <v>488</v>
      </c>
      <c r="R276" s="97"/>
      <c r="S276" s="97" t="s">
        <v>488</v>
      </c>
      <c r="T276" s="851">
        <f t="shared" si="4"/>
        <v>-1454997219</v>
      </c>
    </row>
    <row r="277" spans="1:20">
      <c r="A277" s="96">
        <v>45443</v>
      </c>
      <c r="B277" s="96">
        <v>45443</v>
      </c>
      <c r="C277" s="97" t="s">
        <v>509</v>
      </c>
      <c r="D277" s="96"/>
      <c r="E277" s="97"/>
      <c r="F277" s="97" t="s">
        <v>472</v>
      </c>
      <c r="G277" s="97" t="s">
        <v>446</v>
      </c>
      <c r="H277" s="97" t="s">
        <v>745</v>
      </c>
      <c r="I277" s="97" t="s">
        <v>247</v>
      </c>
      <c r="J277" s="98">
        <v>0</v>
      </c>
      <c r="K277" s="98">
        <v>827728406</v>
      </c>
      <c r="L277" s="97"/>
      <c r="M277" s="97"/>
      <c r="N277" s="97"/>
      <c r="O277" s="97"/>
      <c r="P277" s="97"/>
      <c r="Q277" s="97" t="s">
        <v>488</v>
      </c>
      <c r="R277" s="97"/>
      <c r="S277" s="97" t="s">
        <v>488</v>
      </c>
      <c r="T277" s="851">
        <f t="shared" si="4"/>
        <v>-827728406</v>
      </c>
    </row>
    <row r="278" spans="1:20">
      <c r="A278" s="96">
        <v>45443</v>
      </c>
      <c r="B278" s="96">
        <v>45443</v>
      </c>
      <c r="C278" s="97" t="s">
        <v>509</v>
      </c>
      <c r="D278" s="96"/>
      <c r="E278" s="97"/>
      <c r="F278" s="97" t="s">
        <v>473</v>
      </c>
      <c r="G278" s="97" t="s">
        <v>446</v>
      </c>
      <c r="H278" s="97" t="s">
        <v>303</v>
      </c>
      <c r="I278" s="97" t="s">
        <v>303</v>
      </c>
      <c r="J278" s="98">
        <v>1325033982</v>
      </c>
      <c r="K278" s="98">
        <v>0</v>
      </c>
      <c r="L278" s="97"/>
      <c r="M278" s="97"/>
      <c r="N278" s="97"/>
      <c r="O278" s="97"/>
      <c r="P278" s="97"/>
      <c r="Q278" s="97" t="s">
        <v>488</v>
      </c>
      <c r="R278" s="97"/>
      <c r="S278" s="97" t="s">
        <v>488</v>
      </c>
      <c r="T278" s="851">
        <f t="shared" si="4"/>
        <v>1325033982</v>
      </c>
    </row>
    <row r="279" spans="1:20">
      <c r="A279" s="96">
        <v>45443</v>
      </c>
      <c r="B279" s="96">
        <v>45443</v>
      </c>
      <c r="C279" s="97" t="s">
        <v>509</v>
      </c>
      <c r="D279" s="96"/>
      <c r="E279" s="97"/>
      <c r="F279" s="97" t="s">
        <v>474</v>
      </c>
      <c r="G279" s="97" t="s">
        <v>446</v>
      </c>
      <c r="H279" s="97" t="s">
        <v>309</v>
      </c>
      <c r="I279" s="97" t="s">
        <v>305</v>
      </c>
      <c r="J279" s="98">
        <v>0</v>
      </c>
      <c r="K279" s="98">
        <v>1094162430</v>
      </c>
      <c r="L279" s="97"/>
      <c r="M279" s="97"/>
      <c r="N279" s="97"/>
      <c r="O279" s="97"/>
      <c r="P279" s="97"/>
      <c r="Q279" s="97" t="s">
        <v>488</v>
      </c>
      <c r="R279" s="97"/>
      <c r="S279" s="97" t="s">
        <v>488</v>
      </c>
      <c r="T279" s="851">
        <f t="shared" si="4"/>
        <v>-1094162430</v>
      </c>
    </row>
    <row r="280" spans="1:20">
      <c r="A280" s="96">
        <v>45443</v>
      </c>
      <c r="B280" s="96">
        <v>45443</v>
      </c>
      <c r="C280" s="97" t="s">
        <v>509</v>
      </c>
      <c r="D280" s="96"/>
      <c r="E280" s="97"/>
      <c r="F280" s="97" t="s">
        <v>474</v>
      </c>
      <c r="G280" s="97" t="s">
        <v>446</v>
      </c>
      <c r="H280" s="97" t="s">
        <v>313</v>
      </c>
      <c r="I280" s="97" t="s">
        <v>305</v>
      </c>
      <c r="J280" s="98">
        <v>519137471</v>
      </c>
      <c r="K280" s="98">
        <v>0</v>
      </c>
      <c r="L280" s="97"/>
      <c r="M280" s="97"/>
      <c r="N280" s="97"/>
      <c r="O280" s="97"/>
      <c r="P280" s="97"/>
      <c r="Q280" s="97" t="s">
        <v>488</v>
      </c>
      <c r="R280" s="97"/>
      <c r="S280" s="97" t="s">
        <v>488</v>
      </c>
      <c r="T280" s="851">
        <f t="shared" si="4"/>
        <v>519137471</v>
      </c>
    </row>
    <row r="281" spans="1:20">
      <c r="A281" s="96">
        <v>45443</v>
      </c>
      <c r="B281" s="96">
        <v>45443</v>
      </c>
      <c r="C281" s="97" t="s">
        <v>509</v>
      </c>
      <c r="D281" s="96"/>
      <c r="E281" s="97"/>
      <c r="F281" s="97" t="s">
        <v>474</v>
      </c>
      <c r="G281" s="97" t="s">
        <v>446</v>
      </c>
      <c r="H281" s="97" t="s">
        <v>317</v>
      </c>
      <c r="I281" s="97" t="s">
        <v>305</v>
      </c>
      <c r="J281" s="98">
        <v>205927268</v>
      </c>
      <c r="K281" s="98">
        <v>0</v>
      </c>
      <c r="L281" s="97"/>
      <c r="M281" s="97"/>
      <c r="N281" s="97"/>
      <c r="O281" s="97"/>
      <c r="P281" s="97"/>
      <c r="Q281" s="97" t="s">
        <v>488</v>
      </c>
      <c r="R281" s="97"/>
      <c r="S281" s="97" t="s">
        <v>488</v>
      </c>
      <c r="T281" s="851">
        <f t="shared" si="4"/>
        <v>205927268</v>
      </c>
    </row>
    <row r="282" spans="1:20">
      <c r="A282" s="96">
        <v>45443</v>
      </c>
      <c r="B282" s="96">
        <v>45443</v>
      </c>
      <c r="C282" s="97" t="s">
        <v>509</v>
      </c>
      <c r="D282" s="96"/>
      <c r="E282" s="97"/>
      <c r="F282" s="97" t="s">
        <v>474</v>
      </c>
      <c r="G282" s="97" t="s">
        <v>446</v>
      </c>
      <c r="H282" s="97" t="s">
        <v>325</v>
      </c>
      <c r="I282" s="97" t="s">
        <v>305</v>
      </c>
      <c r="J282" s="98">
        <v>8081645</v>
      </c>
      <c r="K282" s="98">
        <v>0</v>
      </c>
      <c r="L282" s="97"/>
      <c r="M282" s="97"/>
      <c r="N282" s="97"/>
      <c r="O282" s="97"/>
      <c r="P282" s="97"/>
      <c r="Q282" s="97" t="s">
        <v>488</v>
      </c>
      <c r="R282" s="97"/>
      <c r="S282" s="97" t="s">
        <v>488</v>
      </c>
      <c r="T282" s="851">
        <f t="shared" si="4"/>
        <v>8081645</v>
      </c>
    </row>
    <row r="283" spans="1:20">
      <c r="A283" s="96">
        <v>45443</v>
      </c>
      <c r="B283" s="96">
        <v>45443</v>
      </c>
      <c r="C283" s="97" t="s">
        <v>509</v>
      </c>
      <c r="D283" s="96"/>
      <c r="E283" s="97"/>
      <c r="F283" s="97" t="s">
        <v>474</v>
      </c>
      <c r="G283" s="97" t="s">
        <v>446</v>
      </c>
      <c r="H283" s="97" t="s">
        <v>327</v>
      </c>
      <c r="I283" s="97" t="s">
        <v>305</v>
      </c>
      <c r="J283" s="98">
        <v>642713733</v>
      </c>
      <c r="K283" s="98">
        <v>0</v>
      </c>
      <c r="L283" s="97"/>
      <c r="M283" s="97"/>
      <c r="N283" s="97"/>
      <c r="O283" s="97"/>
      <c r="P283" s="97"/>
      <c r="Q283" s="97" t="s">
        <v>488</v>
      </c>
      <c r="R283" s="97"/>
      <c r="S283" s="97" t="s">
        <v>488</v>
      </c>
      <c r="T283" s="851">
        <f t="shared" si="4"/>
        <v>642713733</v>
      </c>
    </row>
    <row r="284" spans="1:20">
      <c r="A284" s="96">
        <v>45443</v>
      </c>
      <c r="B284" s="96">
        <v>45443</v>
      </c>
      <c r="C284" s="97" t="s">
        <v>509</v>
      </c>
      <c r="D284" s="96"/>
      <c r="E284" s="97"/>
      <c r="F284" s="97" t="s">
        <v>474</v>
      </c>
      <c r="G284" s="97" t="s">
        <v>446</v>
      </c>
      <c r="H284" s="97" t="s">
        <v>329</v>
      </c>
      <c r="I284" s="97" t="s">
        <v>305</v>
      </c>
      <c r="J284" s="98">
        <v>234559458</v>
      </c>
      <c r="K284" s="98">
        <v>0</v>
      </c>
      <c r="L284" s="97"/>
      <c r="M284" s="97"/>
      <c r="N284" s="97"/>
      <c r="O284" s="97"/>
      <c r="P284" s="97"/>
      <c r="Q284" s="97" t="s">
        <v>488</v>
      </c>
      <c r="R284" s="97"/>
      <c r="S284" s="97" t="s">
        <v>488</v>
      </c>
      <c r="T284" s="851">
        <f t="shared" si="4"/>
        <v>234559458</v>
      </c>
    </row>
    <row r="285" spans="1:20">
      <c r="A285" s="96">
        <v>45443</v>
      </c>
      <c r="B285" s="96">
        <v>45443</v>
      </c>
      <c r="C285" s="97" t="s">
        <v>509</v>
      </c>
      <c r="D285" s="96"/>
      <c r="E285" s="97"/>
      <c r="F285" s="97" t="s">
        <v>474</v>
      </c>
      <c r="G285" s="97" t="s">
        <v>446</v>
      </c>
      <c r="H285" s="97" t="s">
        <v>331</v>
      </c>
      <c r="I285" s="97" t="s">
        <v>305</v>
      </c>
      <c r="J285" s="98">
        <v>144921</v>
      </c>
      <c r="K285" s="98">
        <v>0</v>
      </c>
      <c r="L285" s="97"/>
      <c r="M285" s="97"/>
      <c r="N285" s="97"/>
      <c r="O285" s="97"/>
      <c r="P285" s="97"/>
      <c r="Q285" s="97" t="s">
        <v>488</v>
      </c>
      <c r="R285" s="97"/>
      <c r="S285" s="97" t="s">
        <v>488</v>
      </c>
      <c r="T285" s="851">
        <f t="shared" si="4"/>
        <v>144921</v>
      </c>
    </row>
    <row r="286" spans="1:20">
      <c r="A286" s="96">
        <v>45443</v>
      </c>
      <c r="B286" s="96">
        <v>45443</v>
      </c>
      <c r="C286" s="97" t="s">
        <v>509</v>
      </c>
      <c r="D286" s="96"/>
      <c r="E286" s="97"/>
      <c r="F286" s="97" t="s">
        <v>474</v>
      </c>
      <c r="G286" s="97" t="s">
        <v>446</v>
      </c>
      <c r="H286" s="97" t="s">
        <v>307</v>
      </c>
      <c r="I286" s="97" t="s">
        <v>305</v>
      </c>
      <c r="J286" s="98">
        <v>8710006637</v>
      </c>
      <c r="K286" s="98">
        <v>0</v>
      </c>
      <c r="L286" s="97"/>
      <c r="M286" s="97"/>
      <c r="N286" s="97"/>
      <c r="O286" s="97"/>
      <c r="P286" s="97"/>
      <c r="Q286" s="97" t="s">
        <v>488</v>
      </c>
      <c r="R286" s="97"/>
      <c r="S286" s="97" t="s">
        <v>488</v>
      </c>
      <c r="T286" s="851">
        <f t="shared" si="4"/>
        <v>8710006637</v>
      </c>
    </row>
    <row r="287" spans="1:20">
      <c r="A287" s="96">
        <v>45443</v>
      </c>
      <c r="B287" s="96">
        <v>45443</v>
      </c>
      <c r="C287" s="97" t="s">
        <v>509</v>
      </c>
      <c r="D287" s="96"/>
      <c r="E287" s="97"/>
      <c r="F287" s="97" t="s">
        <v>475</v>
      </c>
      <c r="G287" s="97" t="s">
        <v>446</v>
      </c>
      <c r="H287" s="97" t="s">
        <v>337</v>
      </c>
      <c r="I287" s="97" t="s">
        <v>333</v>
      </c>
      <c r="J287" s="98">
        <v>14251533</v>
      </c>
      <c r="K287" s="98">
        <v>0</v>
      </c>
      <c r="L287" s="97"/>
      <c r="M287" s="97"/>
      <c r="N287" s="97"/>
      <c r="O287" s="97"/>
      <c r="P287" s="97"/>
      <c r="Q287" s="97" t="s">
        <v>488</v>
      </c>
      <c r="R287" s="97"/>
      <c r="S287" s="97" t="s">
        <v>488</v>
      </c>
      <c r="T287" s="851">
        <f t="shared" si="4"/>
        <v>14251533</v>
      </c>
    </row>
    <row r="288" spans="1:20">
      <c r="A288" s="96">
        <v>45443</v>
      </c>
      <c r="B288" s="96">
        <v>45443</v>
      </c>
      <c r="C288" s="97" t="s">
        <v>509</v>
      </c>
      <c r="D288" s="96"/>
      <c r="E288" s="97"/>
      <c r="F288" s="97" t="s">
        <v>475</v>
      </c>
      <c r="G288" s="97" t="s">
        <v>446</v>
      </c>
      <c r="H288" s="97" t="s">
        <v>339</v>
      </c>
      <c r="I288" s="97" t="s">
        <v>333</v>
      </c>
      <c r="J288" s="98">
        <v>1410000</v>
      </c>
      <c r="K288" s="98">
        <v>0</v>
      </c>
      <c r="L288" s="97"/>
      <c r="M288" s="97"/>
      <c r="N288" s="97"/>
      <c r="O288" s="97"/>
      <c r="P288" s="97"/>
      <c r="Q288" s="97" t="s">
        <v>488</v>
      </c>
      <c r="R288" s="97"/>
      <c r="S288" s="97" t="s">
        <v>488</v>
      </c>
      <c r="T288" s="851">
        <f t="shared" si="4"/>
        <v>1410000</v>
      </c>
    </row>
    <row r="289" spans="1:20">
      <c r="A289" s="96">
        <v>45443</v>
      </c>
      <c r="B289" s="96">
        <v>45443</v>
      </c>
      <c r="C289" s="97" t="s">
        <v>509</v>
      </c>
      <c r="D289" s="96"/>
      <c r="E289" s="97"/>
      <c r="F289" s="97" t="s">
        <v>475</v>
      </c>
      <c r="G289" s="97" t="s">
        <v>446</v>
      </c>
      <c r="H289" s="97" t="s">
        <v>341</v>
      </c>
      <c r="I289" s="97" t="s">
        <v>333</v>
      </c>
      <c r="J289" s="98">
        <v>11000000</v>
      </c>
      <c r="K289" s="98">
        <v>0</v>
      </c>
      <c r="L289" s="97"/>
      <c r="M289" s="97"/>
      <c r="N289" s="97"/>
      <c r="O289" s="97"/>
      <c r="P289" s="97"/>
      <c r="Q289" s="97" t="s">
        <v>488</v>
      </c>
      <c r="R289" s="97"/>
      <c r="S289" s="97" t="s">
        <v>488</v>
      </c>
      <c r="T289" s="851">
        <f t="shared" si="4"/>
        <v>11000000</v>
      </c>
    </row>
    <row r="290" spans="1:20">
      <c r="A290" s="96">
        <v>45443</v>
      </c>
      <c r="B290" s="96">
        <v>45443</v>
      </c>
      <c r="C290" s="97" t="s">
        <v>509</v>
      </c>
      <c r="D290" s="96"/>
      <c r="E290" s="97"/>
      <c r="F290" s="97" t="s">
        <v>475</v>
      </c>
      <c r="G290" s="97" t="s">
        <v>446</v>
      </c>
      <c r="H290" s="97" t="s">
        <v>343</v>
      </c>
      <c r="I290" s="97" t="s">
        <v>333</v>
      </c>
      <c r="J290" s="98">
        <v>5814470</v>
      </c>
      <c r="K290" s="98">
        <v>0</v>
      </c>
      <c r="L290" s="97"/>
      <c r="M290" s="97"/>
      <c r="N290" s="97"/>
      <c r="O290" s="97"/>
      <c r="P290" s="97"/>
      <c r="Q290" s="97" t="s">
        <v>488</v>
      </c>
      <c r="R290" s="97"/>
      <c r="S290" s="97" t="s">
        <v>488</v>
      </c>
      <c r="T290" s="851">
        <f t="shared" si="4"/>
        <v>5814470</v>
      </c>
    </row>
    <row r="291" spans="1:20">
      <c r="A291" s="96">
        <v>45443</v>
      </c>
      <c r="B291" s="96">
        <v>45443</v>
      </c>
      <c r="C291" s="97" t="s">
        <v>509</v>
      </c>
      <c r="D291" s="96"/>
      <c r="E291" s="97"/>
      <c r="F291" s="97" t="s">
        <v>475</v>
      </c>
      <c r="G291" s="97" t="s">
        <v>446</v>
      </c>
      <c r="H291" s="97" t="s">
        <v>345</v>
      </c>
      <c r="I291" s="97" t="s">
        <v>333</v>
      </c>
      <c r="J291" s="98">
        <v>3870417</v>
      </c>
      <c r="K291" s="98">
        <v>0</v>
      </c>
      <c r="L291" s="97"/>
      <c r="M291" s="97"/>
      <c r="N291" s="97"/>
      <c r="O291" s="97"/>
      <c r="P291" s="97"/>
      <c r="Q291" s="97" t="s">
        <v>488</v>
      </c>
      <c r="R291" s="97"/>
      <c r="S291" s="97" t="s">
        <v>488</v>
      </c>
      <c r="T291" s="851">
        <f t="shared" si="4"/>
        <v>3870417</v>
      </c>
    </row>
    <row r="292" spans="1:20">
      <c r="A292" s="96">
        <v>45443</v>
      </c>
      <c r="B292" s="96">
        <v>45443</v>
      </c>
      <c r="C292" s="97" t="s">
        <v>509</v>
      </c>
      <c r="D292" s="96"/>
      <c r="E292" s="97"/>
      <c r="F292" s="97" t="s">
        <v>475</v>
      </c>
      <c r="G292" s="97" t="s">
        <v>446</v>
      </c>
      <c r="H292" s="97" t="s">
        <v>348</v>
      </c>
      <c r="I292" s="97" t="s">
        <v>333</v>
      </c>
      <c r="J292" s="98">
        <v>454627864</v>
      </c>
      <c r="K292" s="98">
        <v>0</v>
      </c>
      <c r="L292" s="97"/>
      <c r="M292" s="97"/>
      <c r="N292" s="97"/>
      <c r="O292" s="97"/>
      <c r="P292" s="97"/>
      <c r="Q292" s="97" t="s">
        <v>488</v>
      </c>
      <c r="R292" s="97"/>
      <c r="S292" s="97" t="s">
        <v>488</v>
      </c>
      <c r="T292" s="851">
        <f t="shared" si="4"/>
        <v>454627864</v>
      </c>
    </row>
    <row r="293" spans="1:20">
      <c r="A293" s="96">
        <v>45443</v>
      </c>
      <c r="B293" s="96">
        <v>45443</v>
      </c>
      <c r="C293" s="97" t="s">
        <v>509</v>
      </c>
      <c r="D293" s="96"/>
      <c r="E293" s="97"/>
      <c r="F293" s="97" t="s">
        <v>475</v>
      </c>
      <c r="G293" s="97" t="s">
        <v>446</v>
      </c>
      <c r="H293" s="97" t="s">
        <v>350</v>
      </c>
      <c r="I293" s="97" t="s">
        <v>333</v>
      </c>
      <c r="J293" s="98">
        <v>3104444</v>
      </c>
      <c r="K293" s="98">
        <v>0</v>
      </c>
      <c r="L293" s="97"/>
      <c r="M293" s="97"/>
      <c r="N293" s="97"/>
      <c r="O293" s="97"/>
      <c r="P293" s="97"/>
      <c r="Q293" s="97" t="s">
        <v>488</v>
      </c>
      <c r="R293" s="97"/>
      <c r="S293" s="97" t="s">
        <v>488</v>
      </c>
      <c r="T293" s="851">
        <f t="shared" si="4"/>
        <v>3104444</v>
      </c>
    </row>
    <row r="294" spans="1:20">
      <c r="A294" s="96">
        <v>45443</v>
      </c>
      <c r="B294" s="96">
        <v>45443</v>
      </c>
      <c r="C294" s="97" t="s">
        <v>509</v>
      </c>
      <c r="D294" s="96"/>
      <c r="E294" s="97"/>
      <c r="F294" s="97" t="s">
        <v>475</v>
      </c>
      <c r="G294" s="97" t="s">
        <v>446</v>
      </c>
      <c r="H294" s="97" t="s">
        <v>352</v>
      </c>
      <c r="I294" s="97" t="s">
        <v>333</v>
      </c>
      <c r="J294" s="98">
        <v>1200000</v>
      </c>
      <c r="K294" s="98">
        <v>0</v>
      </c>
      <c r="L294" s="97"/>
      <c r="M294" s="97"/>
      <c r="N294" s="97"/>
      <c r="O294" s="97"/>
      <c r="P294" s="97"/>
      <c r="Q294" s="97" t="s">
        <v>488</v>
      </c>
      <c r="R294" s="97"/>
      <c r="S294" s="97" t="s">
        <v>488</v>
      </c>
      <c r="T294" s="851">
        <f t="shared" si="4"/>
        <v>1200000</v>
      </c>
    </row>
    <row r="295" spans="1:20">
      <c r="A295" s="96">
        <v>45443</v>
      </c>
      <c r="B295" s="96">
        <v>45443</v>
      </c>
      <c r="C295" s="97" t="s">
        <v>509</v>
      </c>
      <c r="D295" s="96"/>
      <c r="E295" s="97"/>
      <c r="F295" s="97" t="s">
        <v>475</v>
      </c>
      <c r="G295" s="97" t="s">
        <v>446</v>
      </c>
      <c r="H295" s="97" t="s">
        <v>354</v>
      </c>
      <c r="I295" s="97" t="s">
        <v>333</v>
      </c>
      <c r="J295" s="98">
        <v>1916245</v>
      </c>
      <c r="K295" s="98">
        <v>0</v>
      </c>
      <c r="L295" s="97"/>
      <c r="M295" s="97"/>
      <c r="N295" s="97"/>
      <c r="O295" s="97"/>
      <c r="P295" s="97"/>
      <c r="Q295" s="97" t="s">
        <v>488</v>
      </c>
      <c r="R295" s="97"/>
      <c r="S295" s="97" t="s">
        <v>488</v>
      </c>
      <c r="T295" s="851">
        <f t="shared" si="4"/>
        <v>1916245</v>
      </c>
    </row>
    <row r="296" spans="1:20">
      <c r="A296" s="96">
        <v>45443</v>
      </c>
      <c r="B296" s="96">
        <v>45443</v>
      </c>
      <c r="C296" s="97" t="s">
        <v>509</v>
      </c>
      <c r="D296" s="96"/>
      <c r="E296" s="97"/>
      <c r="F296" s="97" t="s">
        <v>475</v>
      </c>
      <c r="G296" s="97" t="s">
        <v>446</v>
      </c>
      <c r="H296" s="97" t="s">
        <v>356</v>
      </c>
      <c r="I296" s="97" t="s">
        <v>333</v>
      </c>
      <c r="J296" s="98">
        <v>146025</v>
      </c>
      <c r="K296" s="98">
        <v>0</v>
      </c>
      <c r="L296" s="97"/>
      <c r="M296" s="97"/>
      <c r="N296" s="97"/>
      <c r="O296" s="97"/>
      <c r="P296" s="97"/>
      <c r="Q296" s="97" t="s">
        <v>488</v>
      </c>
      <c r="R296" s="97"/>
      <c r="S296" s="97" t="s">
        <v>488</v>
      </c>
      <c r="T296" s="851">
        <f t="shared" si="4"/>
        <v>146025</v>
      </c>
    </row>
    <row r="297" spans="1:20">
      <c r="A297" s="96">
        <v>45443</v>
      </c>
      <c r="B297" s="96">
        <v>45443</v>
      </c>
      <c r="C297" s="97" t="s">
        <v>509</v>
      </c>
      <c r="D297" s="96"/>
      <c r="E297" s="97"/>
      <c r="F297" s="97" t="s">
        <v>475</v>
      </c>
      <c r="G297" s="97" t="s">
        <v>446</v>
      </c>
      <c r="H297" s="97" t="s">
        <v>361</v>
      </c>
      <c r="I297" s="97" t="s">
        <v>333</v>
      </c>
      <c r="J297" s="98">
        <v>18764183</v>
      </c>
      <c r="K297" s="98">
        <v>0</v>
      </c>
      <c r="L297" s="97"/>
      <c r="M297" s="97"/>
      <c r="N297" s="97"/>
      <c r="O297" s="97"/>
      <c r="P297" s="97"/>
      <c r="Q297" s="97" t="s">
        <v>488</v>
      </c>
      <c r="R297" s="97"/>
      <c r="S297" s="97" t="s">
        <v>488</v>
      </c>
      <c r="T297" s="851">
        <f t="shared" si="4"/>
        <v>18764183</v>
      </c>
    </row>
    <row r="298" spans="1:20">
      <c r="A298" s="96">
        <v>45443</v>
      </c>
      <c r="B298" s="96">
        <v>45443</v>
      </c>
      <c r="C298" s="97" t="s">
        <v>509</v>
      </c>
      <c r="D298" s="96"/>
      <c r="E298" s="97"/>
      <c r="F298" s="97" t="s">
        <v>475</v>
      </c>
      <c r="G298" s="97" t="s">
        <v>446</v>
      </c>
      <c r="H298" s="97" t="s">
        <v>363</v>
      </c>
      <c r="I298" s="97" t="s">
        <v>333</v>
      </c>
      <c r="J298" s="98">
        <v>2938054</v>
      </c>
      <c r="K298" s="98">
        <v>0</v>
      </c>
      <c r="L298" s="97"/>
      <c r="M298" s="97"/>
      <c r="N298" s="97"/>
      <c r="O298" s="97"/>
      <c r="P298" s="97"/>
      <c r="Q298" s="97" t="s">
        <v>488</v>
      </c>
      <c r="R298" s="97"/>
      <c r="S298" s="97" t="s">
        <v>488</v>
      </c>
      <c r="T298" s="851">
        <f t="shared" si="4"/>
        <v>2938054</v>
      </c>
    </row>
    <row r="299" spans="1:20">
      <c r="A299" s="96">
        <v>45443</v>
      </c>
      <c r="B299" s="96">
        <v>45443</v>
      </c>
      <c r="C299" s="97" t="s">
        <v>509</v>
      </c>
      <c r="D299" s="96"/>
      <c r="E299" s="97"/>
      <c r="F299" s="97" t="s">
        <v>475</v>
      </c>
      <c r="G299" s="97" t="s">
        <v>446</v>
      </c>
      <c r="H299" s="97" t="s">
        <v>370</v>
      </c>
      <c r="I299" s="97" t="s">
        <v>333</v>
      </c>
      <c r="J299" s="98">
        <v>342393065</v>
      </c>
      <c r="K299" s="98">
        <v>0</v>
      </c>
      <c r="L299" s="97"/>
      <c r="M299" s="97"/>
      <c r="N299" s="97"/>
      <c r="O299" s="97"/>
      <c r="P299" s="97"/>
      <c r="Q299" s="97" t="s">
        <v>488</v>
      </c>
      <c r="R299" s="97"/>
      <c r="S299" s="97" t="s">
        <v>488</v>
      </c>
      <c r="T299" s="851">
        <f t="shared" si="4"/>
        <v>342393065</v>
      </c>
    </row>
    <row r="300" spans="1:20">
      <c r="A300" s="96">
        <v>45443</v>
      </c>
      <c r="B300" s="96">
        <v>45443</v>
      </c>
      <c r="C300" s="97" t="s">
        <v>509</v>
      </c>
      <c r="D300" s="96"/>
      <c r="E300" s="97"/>
      <c r="F300" s="97" t="s">
        <v>475</v>
      </c>
      <c r="G300" s="97" t="s">
        <v>446</v>
      </c>
      <c r="H300" s="97" t="s">
        <v>723</v>
      </c>
      <c r="I300" s="97" t="s">
        <v>333</v>
      </c>
      <c r="J300" s="98">
        <v>3067440</v>
      </c>
      <c r="K300" s="98">
        <v>0</v>
      </c>
      <c r="L300" s="97"/>
      <c r="M300" s="97"/>
      <c r="N300" s="97"/>
      <c r="O300" s="97"/>
      <c r="P300" s="97"/>
      <c r="Q300" s="97" t="s">
        <v>488</v>
      </c>
      <c r="R300" s="97"/>
      <c r="S300" s="97" t="s">
        <v>488</v>
      </c>
      <c r="T300" s="851">
        <f t="shared" si="4"/>
        <v>3067440</v>
      </c>
    </row>
    <row r="301" spans="1:20">
      <c r="A301" s="96">
        <v>45443</v>
      </c>
      <c r="B301" s="96">
        <v>45443</v>
      </c>
      <c r="C301" s="97" t="s">
        <v>509</v>
      </c>
      <c r="D301" s="96"/>
      <c r="E301" s="97"/>
      <c r="F301" s="97" t="s">
        <v>476</v>
      </c>
      <c r="G301" s="97" t="s">
        <v>446</v>
      </c>
      <c r="H301" s="97" t="s">
        <v>427</v>
      </c>
      <c r="I301" s="97" t="s">
        <v>374</v>
      </c>
      <c r="J301" s="98">
        <v>0</v>
      </c>
      <c r="K301" s="98">
        <v>5229077</v>
      </c>
      <c r="L301" s="97"/>
      <c r="M301" s="97"/>
      <c r="N301" s="97"/>
      <c r="O301" s="97"/>
      <c r="P301" s="97"/>
      <c r="Q301" s="97" t="s">
        <v>488</v>
      </c>
      <c r="R301" s="97"/>
      <c r="S301" s="97" t="s">
        <v>488</v>
      </c>
      <c r="T301" s="851">
        <f t="shared" si="4"/>
        <v>-5229077</v>
      </c>
    </row>
    <row r="302" spans="1:20">
      <c r="A302" s="96">
        <v>45443</v>
      </c>
      <c r="B302" s="96">
        <v>45443</v>
      </c>
      <c r="C302" s="97" t="s">
        <v>509</v>
      </c>
      <c r="D302" s="96"/>
      <c r="E302" s="97"/>
      <c r="F302" s="97" t="s">
        <v>476</v>
      </c>
      <c r="G302" s="97" t="s">
        <v>446</v>
      </c>
      <c r="H302" s="97" t="s">
        <v>431</v>
      </c>
      <c r="I302" s="97" t="s">
        <v>374</v>
      </c>
      <c r="J302" s="98">
        <v>610424</v>
      </c>
      <c r="K302" s="98">
        <v>0</v>
      </c>
      <c r="L302" s="97"/>
      <c r="M302" s="97"/>
      <c r="N302" s="97"/>
      <c r="O302" s="97"/>
      <c r="P302" s="97"/>
      <c r="Q302" s="97" t="s">
        <v>488</v>
      </c>
      <c r="R302" s="97"/>
      <c r="S302" s="97" t="s">
        <v>488</v>
      </c>
      <c r="T302" s="851">
        <f t="shared" si="4"/>
        <v>610424</v>
      </c>
    </row>
    <row r="303" spans="1:20">
      <c r="A303" s="96">
        <v>45443</v>
      </c>
      <c r="B303" s="96">
        <v>45443</v>
      </c>
      <c r="C303" s="97" t="s">
        <v>509</v>
      </c>
      <c r="D303" s="96"/>
      <c r="E303" s="97"/>
      <c r="F303" s="97" t="s">
        <v>476</v>
      </c>
      <c r="G303" s="97" t="s">
        <v>446</v>
      </c>
      <c r="H303" s="97" t="s">
        <v>435</v>
      </c>
      <c r="I303" s="97" t="s">
        <v>374</v>
      </c>
      <c r="J303" s="98">
        <v>72566609</v>
      </c>
      <c r="K303" s="98">
        <v>0</v>
      </c>
      <c r="L303" s="97"/>
      <c r="M303" s="97"/>
      <c r="N303" s="97"/>
      <c r="O303" s="97"/>
      <c r="P303" s="97"/>
      <c r="Q303" s="97" t="s">
        <v>488</v>
      </c>
      <c r="R303" s="97"/>
      <c r="S303" s="97" t="s">
        <v>488</v>
      </c>
      <c r="T303" s="851">
        <f t="shared" si="4"/>
        <v>72566609</v>
      </c>
    </row>
    <row r="304" spans="1:20">
      <c r="A304" s="96">
        <v>45443</v>
      </c>
      <c r="B304" s="96">
        <v>45443</v>
      </c>
      <c r="C304" s="97" t="s">
        <v>509</v>
      </c>
      <c r="D304" s="96"/>
      <c r="E304" s="97"/>
      <c r="F304" s="97" t="s">
        <v>476</v>
      </c>
      <c r="G304" s="97" t="s">
        <v>446</v>
      </c>
      <c r="H304" s="97" t="s">
        <v>437</v>
      </c>
      <c r="I304" s="97" t="s">
        <v>374</v>
      </c>
      <c r="J304" s="98">
        <v>4995995</v>
      </c>
      <c r="K304" s="98">
        <v>0</v>
      </c>
      <c r="L304" s="97"/>
      <c r="M304" s="97"/>
      <c r="N304" s="97"/>
      <c r="O304" s="97"/>
      <c r="P304" s="97"/>
      <c r="Q304" s="97" t="s">
        <v>488</v>
      </c>
      <c r="R304" s="97"/>
      <c r="S304" s="97" t="s">
        <v>488</v>
      </c>
      <c r="T304" s="851">
        <f t="shared" si="4"/>
        <v>4995995</v>
      </c>
    </row>
    <row r="305" spans="1:20">
      <c r="A305" s="96">
        <v>45443</v>
      </c>
      <c r="B305" s="96">
        <v>45443</v>
      </c>
      <c r="C305" s="97" t="s">
        <v>509</v>
      </c>
      <c r="D305" s="96"/>
      <c r="E305" s="97"/>
      <c r="F305" s="97" t="s">
        <v>476</v>
      </c>
      <c r="G305" s="97" t="s">
        <v>446</v>
      </c>
      <c r="H305" s="97" t="s">
        <v>438</v>
      </c>
      <c r="I305" s="97" t="s">
        <v>374</v>
      </c>
      <c r="J305" s="98">
        <v>191800</v>
      </c>
      <c r="K305" s="98">
        <v>0</v>
      </c>
      <c r="L305" s="97"/>
      <c r="M305" s="97"/>
      <c r="N305" s="97"/>
      <c r="O305" s="97"/>
      <c r="P305" s="97"/>
      <c r="Q305" s="97" t="s">
        <v>488</v>
      </c>
      <c r="R305" s="97"/>
      <c r="S305" s="97" t="s">
        <v>488</v>
      </c>
      <c r="T305" s="851">
        <f t="shared" si="4"/>
        <v>191800</v>
      </c>
    </row>
    <row r="306" spans="1:20">
      <c r="A306" s="96">
        <v>45443</v>
      </c>
      <c r="B306" s="96">
        <v>45443</v>
      </c>
      <c r="C306" s="97" t="s">
        <v>509</v>
      </c>
      <c r="D306" s="96"/>
      <c r="E306" s="97"/>
      <c r="F306" s="97" t="s">
        <v>476</v>
      </c>
      <c r="G306" s="97" t="s">
        <v>446</v>
      </c>
      <c r="H306" s="97" t="s">
        <v>378</v>
      </c>
      <c r="I306" s="97" t="s">
        <v>374</v>
      </c>
      <c r="J306" s="98">
        <v>253957781</v>
      </c>
      <c r="K306" s="98">
        <v>0</v>
      </c>
      <c r="L306" s="97"/>
      <c r="M306" s="97"/>
      <c r="N306" s="97"/>
      <c r="O306" s="97"/>
      <c r="P306" s="97"/>
      <c r="Q306" s="97" t="s">
        <v>488</v>
      </c>
      <c r="R306" s="97"/>
      <c r="S306" s="97" t="s">
        <v>488</v>
      </c>
      <c r="T306" s="851">
        <f t="shared" si="4"/>
        <v>253957781</v>
      </c>
    </row>
    <row r="307" spans="1:20">
      <c r="A307" s="96">
        <v>45443</v>
      </c>
      <c r="B307" s="96">
        <v>45443</v>
      </c>
      <c r="C307" s="97" t="s">
        <v>509</v>
      </c>
      <c r="D307" s="96"/>
      <c r="E307" s="97"/>
      <c r="F307" s="97" t="s">
        <v>476</v>
      </c>
      <c r="G307" s="97" t="s">
        <v>446</v>
      </c>
      <c r="H307" s="97" t="s">
        <v>379</v>
      </c>
      <c r="I307" s="97" t="s">
        <v>374</v>
      </c>
      <c r="J307" s="98">
        <v>13856000</v>
      </c>
      <c r="K307" s="98">
        <v>0</v>
      </c>
      <c r="L307" s="97"/>
      <c r="M307" s="97"/>
      <c r="N307" s="97"/>
      <c r="O307" s="97"/>
      <c r="P307" s="97"/>
      <c r="Q307" s="97" t="s">
        <v>488</v>
      </c>
      <c r="R307" s="97"/>
      <c r="S307" s="97" t="s">
        <v>488</v>
      </c>
      <c r="T307" s="851">
        <f t="shared" si="4"/>
        <v>13856000</v>
      </c>
    </row>
    <row r="308" spans="1:20">
      <c r="A308" s="96">
        <v>45443</v>
      </c>
      <c r="B308" s="96">
        <v>45443</v>
      </c>
      <c r="C308" s="97" t="s">
        <v>509</v>
      </c>
      <c r="D308" s="96"/>
      <c r="E308" s="97"/>
      <c r="F308" s="97" t="s">
        <v>476</v>
      </c>
      <c r="G308" s="97" t="s">
        <v>446</v>
      </c>
      <c r="H308" s="97" t="s">
        <v>381</v>
      </c>
      <c r="I308" s="97" t="s">
        <v>374</v>
      </c>
      <c r="J308" s="98">
        <v>40320882</v>
      </c>
      <c r="K308" s="98">
        <v>0</v>
      </c>
      <c r="L308" s="97"/>
      <c r="M308" s="97"/>
      <c r="N308" s="97"/>
      <c r="O308" s="97"/>
      <c r="P308" s="97"/>
      <c r="Q308" s="97" t="s">
        <v>488</v>
      </c>
      <c r="R308" s="97"/>
      <c r="S308" s="97" t="s">
        <v>488</v>
      </c>
      <c r="T308" s="851">
        <f t="shared" si="4"/>
        <v>40320882</v>
      </c>
    </row>
    <row r="309" spans="1:20">
      <c r="A309" s="96">
        <v>45443</v>
      </c>
      <c r="B309" s="96">
        <v>45443</v>
      </c>
      <c r="C309" s="97" t="s">
        <v>509</v>
      </c>
      <c r="D309" s="96"/>
      <c r="E309" s="97"/>
      <c r="F309" s="97" t="s">
        <v>476</v>
      </c>
      <c r="G309" s="97" t="s">
        <v>446</v>
      </c>
      <c r="H309" s="97" t="s">
        <v>383</v>
      </c>
      <c r="I309" s="97" t="s">
        <v>374</v>
      </c>
      <c r="J309" s="98">
        <v>40902835</v>
      </c>
      <c r="K309" s="98">
        <v>0</v>
      </c>
      <c r="L309" s="97"/>
      <c r="M309" s="97"/>
      <c r="N309" s="97"/>
      <c r="O309" s="97"/>
      <c r="P309" s="97"/>
      <c r="Q309" s="97" t="s">
        <v>488</v>
      </c>
      <c r="R309" s="97"/>
      <c r="S309" s="97" t="s">
        <v>488</v>
      </c>
      <c r="T309" s="851">
        <f t="shared" si="4"/>
        <v>40902835</v>
      </c>
    </row>
    <row r="310" spans="1:20">
      <c r="A310" s="96">
        <v>45443</v>
      </c>
      <c r="B310" s="96">
        <v>45443</v>
      </c>
      <c r="C310" s="97" t="s">
        <v>509</v>
      </c>
      <c r="D310" s="96"/>
      <c r="E310" s="97"/>
      <c r="F310" s="97" t="s">
        <v>476</v>
      </c>
      <c r="G310" s="97" t="s">
        <v>446</v>
      </c>
      <c r="H310" s="97" t="s">
        <v>387</v>
      </c>
      <c r="I310" s="97" t="s">
        <v>374</v>
      </c>
      <c r="J310" s="98">
        <v>209034487</v>
      </c>
      <c r="K310" s="98">
        <v>0</v>
      </c>
      <c r="L310" s="97"/>
      <c r="M310" s="97"/>
      <c r="N310" s="97"/>
      <c r="O310" s="97"/>
      <c r="P310" s="97"/>
      <c r="Q310" s="97" t="s">
        <v>488</v>
      </c>
      <c r="R310" s="97"/>
      <c r="S310" s="97" t="s">
        <v>488</v>
      </c>
      <c r="T310" s="851">
        <f t="shared" si="4"/>
        <v>209034487</v>
      </c>
    </row>
    <row r="311" spans="1:20">
      <c r="A311" s="96">
        <v>45443</v>
      </c>
      <c r="B311" s="96">
        <v>45443</v>
      </c>
      <c r="C311" s="97" t="s">
        <v>509</v>
      </c>
      <c r="D311" s="96"/>
      <c r="E311" s="97"/>
      <c r="F311" s="97" t="s">
        <v>476</v>
      </c>
      <c r="G311" s="97" t="s">
        <v>446</v>
      </c>
      <c r="H311" s="97" t="s">
        <v>389</v>
      </c>
      <c r="I311" s="97" t="s">
        <v>374</v>
      </c>
      <c r="J311" s="98">
        <v>8915584</v>
      </c>
      <c r="K311" s="98">
        <v>0</v>
      </c>
      <c r="L311" s="97"/>
      <c r="M311" s="97"/>
      <c r="N311" s="97"/>
      <c r="O311" s="97"/>
      <c r="P311" s="97"/>
      <c r="Q311" s="97" t="s">
        <v>488</v>
      </c>
      <c r="R311" s="97"/>
      <c r="S311" s="97" t="s">
        <v>488</v>
      </c>
      <c r="T311" s="851">
        <f t="shared" si="4"/>
        <v>8915584</v>
      </c>
    </row>
    <row r="312" spans="1:20">
      <c r="A312" s="96">
        <v>45443</v>
      </c>
      <c r="B312" s="96">
        <v>45443</v>
      </c>
      <c r="C312" s="97" t="s">
        <v>509</v>
      </c>
      <c r="D312" s="96"/>
      <c r="E312" s="97"/>
      <c r="F312" s="97" t="s">
        <v>476</v>
      </c>
      <c r="G312" s="97" t="s">
        <v>446</v>
      </c>
      <c r="H312" s="97" t="s">
        <v>391</v>
      </c>
      <c r="I312" s="97" t="s">
        <v>374</v>
      </c>
      <c r="J312" s="98">
        <v>939063</v>
      </c>
      <c r="K312" s="98">
        <v>0</v>
      </c>
      <c r="L312" s="97"/>
      <c r="M312" s="97"/>
      <c r="N312" s="97"/>
      <c r="O312" s="97"/>
      <c r="P312" s="97"/>
      <c r="Q312" s="97" t="s">
        <v>488</v>
      </c>
      <c r="R312" s="97"/>
      <c r="S312" s="97" t="s">
        <v>488</v>
      </c>
      <c r="T312" s="851">
        <f t="shared" si="4"/>
        <v>939063</v>
      </c>
    </row>
    <row r="313" spans="1:20">
      <c r="A313" s="96">
        <v>45443</v>
      </c>
      <c r="B313" s="96">
        <v>45443</v>
      </c>
      <c r="C313" s="97" t="s">
        <v>509</v>
      </c>
      <c r="D313" s="96"/>
      <c r="E313" s="97"/>
      <c r="F313" s="97" t="s">
        <v>476</v>
      </c>
      <c r="G313" s="97" t="s">
        <v>446</v>
      </c>
      <c r="H313" s="97" t="s">
        <v>393</v>
      </c>
      <c r="I313" s="97" t="s">
        <v>374</v>
      </c>
      <c r="J313" s="98">
        <v>1576952</v>
      </c>
      <c r="K313" s="98">
        <v>0</v>
      </c>
      <c r="L313" s="97"/>
      <c r="M313" s="97"/>
      <c r="N313" s="97"/>
      <c r="O313" s="97"/>
      <c r="P313" s="97"/>
      <c r="Q313" s="97" t="s">
        <v>488</v>
      </c>
      <c r="R313" s="97"/>
      <c r="S313" s="97" t="s">
        <v>488</v>
      </c>
      <c r="T313" s="851">
        <f t="shared" si="4"/>
        <v>1576952</v>
      </c>
    </row>
    <row r="314" spans="1:20">
      <c r="A314" s="96">
        <v>45443</v>
      </c>
      <c r="B314" s="96">
        <v>45443</v>
      </c>
      <c r="C314" s="97" t="s">
        <v>509</v>
      </c>
      <c r="D314" s="96"/>
      <c r="E314" s="97"/>
      <c r="F314" s="97" t="s">
        <v>476</v>
      </c>
      <c r="G314" s="97" t="s">
        <v>446</v>
      </c>
      <c r="H314" s="97" t="s">
        <v>397</v>
      </c>
      <c r="I314" s="97" t="s">
        <v>374</v>
      </c>
      <c r="J314" s="98">
        <v>18228136</v>
      </c>
      <c r="K314" s="98">
        <v>0</v>
      </c>
      <c r="L314" s="97"/>
      <c r="M314" s="97"/>
      <c r="N314" s="97"/>
      <c r="O314" s="97"/>
      <c r="P314" s="97"/>
      <c r="Q314" s="97" t="s">
        <v>488</v>
      </c>
      <c r="R314" s="97"/>
      <c r="S314" s="97" t="s">
        <v>488</v>
      </c>
      <c r="T314" s="851">
        <f t="shared" si="4"/>
        <v>18228136</v>
      </c>
    </row>
    <row r="315" spans="1:20">
      <c r="A315" s="96">
        <v>45443</v>
      </c>
      <c r="B315" s="96">
        <v>45443</v>
      </c>
      <c r="C315" s="97" t="s">
        <v>509</v>
      </c>
      <c r="D315" s="96"/>
      <c r="E315" s="97"/>
      <c r="F315" s="97" t="s">
        <v>476</v>
      </c>
      <c r="G315" s="97" t="s">
        <v>446</v>
      </c>
      <c r="H315" s="97" t="s">
        <v>401</v>
      </c>
      <c r="I315" s="97" t="s">
        <v>374</v>
      </c>
      <c r="J315" s="98">
        <v>6944444</v>
      </c>
      <c r="K315" s="98">
        <v>0</v>
      </c>
      <c r="L315" s="97"/>
      <c r="M315" s="97"/>
      <c r="N315" s="97"/>
      <c r="O315" s="97"/>
      <c r="P315" s="97"/>
      <c r="Q315" s="97" t="s">
        <v>488</v>
      </c>
      <c r="R315" s="97"/>
      <c r="S315" s="97" t="s">
        <v>488</v>
      </c>
      <c r="T315" s="851">
        <f t="shared" si="4"/>
        <v>6944444</v>
      </c>
    </row>
    <row r="316" spans="1:20">
      <c r="A316" s="96">
        <v>45443</v>
      </c>
      <c r="B316" s="96">
        <v>45443</v>
      </c>
      <c r="C316" s="97" t="s">
        <v>509</v>
      </c>
      <c r="D316" s="96"/>
      <c r="E316" s="97"/>
      <c r="F316" s="97" t="s">
        <v>476</v>
      </c>
      <c r="G316" s="97" t="s">
        <v>446</v>
      </c>
      <c r="H316" s="97" t="s">
        <v>405</v>
      </c>
      <c r="I316" s="97" t="s">
        <v>374</v>
      </c>
      <c r="J316" s="98">
        <v>12000000</v>
      </c>
      <c r="K316" s="98">
        <v>0</v>
      </c>
      <c r="L316" s="97"/>
      <c r="M316" s="97"/>
      <c r="N316" s="97"/>
      <c r="O316" s="97"/>
      <c r="P316" s="97"/>
      <c r="Q316" s="97" t="s">
        <v>488</v>
      </c>
      <c r="R316" s="97"/>
      <c r="S316" s="97" t="s">
        <v>488</v>
      </c>
      <c r="T316" s="851">
        <f t="shared" si="4"/>
        <v>12000000</v>
      </c>
    </row>
    <row r="317" spans="1:20">
      <c r="A317" s="96">
        <v>45443</v>
      </c>
      <c r="B317" s="96">
        <v>45443</v>
      </c>
      <c r="C317" s="97" t="s">
        <v>509</v>
      </c>
      <c r="D317" s="96"/>
      <c r="E317" s="97"/>
      <c r="F317" s="97" t="s">
        <v>476</v>
      </c>
      <c r="G317" s="97" t="s">
        <v>446</v>
      </c>
      <c r="H317" s="97" t="s">
        <v>407</v>
      </c>
      <c r="I317" s="97" t="s">
        <v>374</v>
      </c>
      <c r="J317" s="98">
        <v>64393939</v>
      </c>
      <c r="K317" s="98">
        <v>0</v>
      </c>
      <c r="L317" s="97"/>
      <c r="M317" s="97"/>
      <c r="N317" s="97"/>
      <c r="O317" s="97"/>
      <c r="P317" s="97"/>
      <c r="Q317" s="97" t="s">
        <v>488</v>
      </c>
      <c r="R317" s="97"/>
      <c r="S317" s="97" t="s">
        <v>488</v>
      </c>
      <c r="T317" s="851">
        <f t="shared" si="4"/>
        <v>64393939</v>
      </c>
    </row>
    <row r="318" spans="1:20">
      <c r="A318" s="96">
        <v>45443</v>
      </c>
      <c r="B318" s="96">
        <v>45443</v>
      </c>
      <c r="C318" s="97" t="s">
        <v>509</v>
      </c>
      <c r="D318" s="96"/>
      <c r="E318" s="97"/>
      <c r="F318" s="97" t="s">
        <v>476</v>
      </c>
      <c r="G318" s="97" t="s">
        <v>446</v>
      </c>
      <c r="H318" s="97" t="s">
        <v>413</v>
      </c>
      <c r="I318" s="97" t="s">
        <v>374</v>
      </c>
      <c r="J318" s="98">
        <v>16150599</v>
      </c>
      <c r="K318" s="98">
        <v>0</v>
      </c>
      <c r="L318" s="97"/>
      <c r="M318" s="97"/>
      <c r="N318" s="97"/>
      <c r="O318" s="97"/>
      <c r="P318" s="97"/>
      <c r="Q318" s="97" t="s">
        <v>488</v>
      </c>
      <c r="R318" s="97"/>
      <c r="S318" s="97" t="s">
        <v>488</v>
      </c>
      <c r="T318" s="851">
        <f t="shared" si="4"/>
        <v>16150599</v>
      </c>
    </row>
    <row r="319" spans="1:20">
      <c r="A319" s="96">
        <v>45443</v>
      </c>
      <c r="B319" s="96">
        <v>45443</v>
      </c>
      <c r="C319" s="97" t="s">
        <v>509</v>
      </c>
      <c r="D319" s="96"/>
      <c r="E319" s="97"/>
      <c r="F319" s="97" t="s">
        <v>476</v>
      </c>
      <c r="G319" s="97" t="s">
        <v>446</v>
      </c>
      <c r="H319" s="97" t="s">
        <v>415</v>
      </c>
      <c r="I319" s="97" t="s">
        <v>374</v>
      </c>
      <c r="J319" s="98">
        <v>2863636</v>
      </c>
      <c r="K319" s="98">
        <v>0</v>
      </c>
      <c r="L319" s="97"/>
      <c r="M319" s="97"/>
      <c r="N319" s="97"/>
      <c r="O319" s="97"/>
      <c r="P319" s="97"/>
      <c r="Q319" s="97" t="s">
        <v>488</v>
      </c>
      <c r="R319" s="97"/>
      <c r="S319" s="97" t="s">
        <v>488</v>
      </c>
      <c r="T319" s="851">
        <f t="shared" si="4"/>
        <v>2863636</v>
      </c>
    </row>
    <row r="320" spans="1:20">
      <c r="A320" s="96">
        <v>45443</v>
      </c>
      <c r="B320" s="96">
        <v>45443</v>
      </c>
      <c r="C320" s="97" t="s">
        <v>509</v>
      </c>
      <c r="D320" s="96"/>
      <c r="E320" s="97"/>
      <c r="F320" s="97" t="s">
        <v>476</v>
      </c>
      <c r="G320" s="97" t="s">
        <v>446</v>
      </c>
      <c r="H320" s="97" t="s">
        <v>417</v>
      </c>
      <c r="I320" s="97" t="s">
        <v>374</v>
      </c>
      <c r="J320" s="98">
        <v>8863000</v>
      </c>
      <c r="K320" s="98">
        <v>0</v>
      </c>
      <c r="L320" s="97"/>
      <c r="M320" s="97"/>
      <c r="N320" s="97"/>
      <c r="O320" s="97"/>
      <c r="P320" s="97"/>
      <c r="Q320" s="97" t="s">
        <v>488</v>
      </c>
      <c r="R320" s="97"/>
      <c r="S320" s="97" t="s">
        <v>488</v>
      </c>
      <c r="T320" s="851">
        <f t="shared" si="4"/>
        <v>8863000</v>
      </c>
    </row>
    <row r="321" spans="1:20">
      <c r="A321" s="96">
        <v>45443</v>
      </c>
      <c r="B321" s="96">
        <v>45443</v>
      </c>
      <c r="C321" s="97" t="s">
        <v>509</v>
      </c>
      <c r="D321" s="96"/>
      <c r="E321" s="97"/>
      <c r="F321" s="97" t="s">
        <v>476</v>
      </c>
      <c r="G321" s="97" t="s">
        <v>446</v>
      </c>
      <c r="H321" s="97" t="s">
        <v>419</v>
      </c>
      <c r="I321" s="97" t="s">
        <v>374</v>
      </c>
      <c r="J321" s="98">
        <v>1950000</v>
      </c>
      <c r="K321" s="98">
        <v>0</v>
      </c>
      <c r="L321" s="97"/>
      <c r="M321" s="97"/>
      <c r="N321" s="97"/>
      <c r="O321" s="97"/>
      <c r="P321" s="97"/>
      <c r="Q321" s="97" t="s">
        <v>488</v>
      </c>
      <c r="R321" s="97"/>
      <c r="S321" s="97" t="s">
        <v>488</v>
      </c>
      <c r="T321" s="851">
        <f t="shared" si="4"/>
        <v>1950000</v>
      </c>
    </row>
    <row r="322" spans="1:20">
      <c r="A322" s="96">
        <v>45443</v>
      </c>
      <c r="B322" s="96">
        <v>45443</v>
      </c>
      <c r="C322" s="97" t="s">
        <v>509</v>
      </c>
      <c r="D322" s="96"/>
      <c r="E322" s="97"/>
      <c r="F322" s="97" t="s">
        <v>476</v>
      </c>
      <c r="G322" s="97" t="s">
        <v>446</v>
      </c>
      <c r="H322" s="97" t="s">
        <v>421</v>
      </c>
      <c r="I322" s="97" t="s">
        <v>374</v>
      </c>
      <c r="J322" s="98">
        <v>36995943</v>
      </c>
      <c r="K322" s="98">
        <v>0</v>
      </c>
      <c r="L322" s="97"/>
      <c r="M322" s="97"/>
      <c r="N322" s="97"/>
      <c r="O322" s="97"/>
      <c r="P322" s="97"/>
      <c r="Q322" s="97" t="s">
        <v>488</v>
      </c>
      <c r="R322" s="97"/>
      <c r="S322" s="97" t="s">
        <v>488</v>
      </c>
      <c r="T322" s="851">
        <f t="shared" si="4"/>
        <v>36995943</v>
      </c>
    </row>
    <row r="323" spans="1:20">
      <c r="A323" s="96">
        <v>45443</v>
      </c>
      <c r="B323" s="96">
        <v>45443</v>
      </c>
      <c r="C323" s="97" t="s">
        <v>509</v>
      </c>
      <c r="D323" s="96"/>
      <c r="E323" s="97"/>
      <c r="F323" s="97" t="s">
        <v>476</v>
      </c>
      <c r="G323" s="97" t="s">
        <v>446</v>
      </c>
      <c r="H323" s="97" t="s">
        <v>424</v>
      </c>
      <c r="I323" s="97" t="s">
        <v>374</v>
      </c>
      <c r="J323" s="98">
        <v>17452500</v>
      </c>
      <c r="K323" s="98">
        <v>0</v>
      </c>
      <c r="L323" s="97"/>
      <c r="M323" s="97"/>
      <c r="N323" s="97"/>
      <c r="O323" s="97"/>
      <c r="P323" s="97"/>
      <c r="Q323" s="97" t="s">
        <v>488</v>
      </c>
      <c r="R323" s="97"/>
      <c r="S323" s="97" t="s">
        <v>488</v>
      </c>
      <c r="T323" s="851">
        <f t="shared" si="4"/>
        <v>17452500</v>
      </c>
    </row>
    <row r="324" spans="1:20">
      <c r="A324" s="96">
        <v>45443</v>
      </c>
      <c r="B324" s="96">
        <v>45443</v>
      </c>
      <c r="C324" s="97" t="s">
        <v>509</v>
      </c>
      <c r="D324" s="96"/>
      <c r="E324" s="97"/>
      <c r="F324" s="97" t="s">
        <v>476</v>
      </c>
      <c r="G324" s="97" t="s">
        <v>446</v>
      </c>
      <c r="H324" s="97" t="s">
        <v>425</v>
      </c>
      <c r="I324" s="97" t="s">
        <v>374</v>
      </c>
      <c r="J324" s="98">
        <v>4202560</v>
      </c>
      <c r="K324" s="98">
        <v>0</v>
      </c>
      <c r="L324" s="97"/>
      <c r="M324" s="97"/>
      <c r="N324" s="97"/>
      <c r="O324" s="97"/>
      <c r="P324" s="97"/>
      <c r="Q324" s="97" t="s">
        <v>488</v>
      </c>
      <c r="R324" s="97"/>
      <c r="S324" s="97" t="s">
        <v>488</v>
      </c>
      <c r="T324" s="851">
        <f t="shared" si="4"/>
        <v>4202560</v>
      </c>
    </row>
    <row r="325" spans="1:20">
      <c r="A325" s="96">
        <v>45443</v>
      </c>
      <c r="B325" s="96">
        <v>45443</v>
      </c>
      <c r="C325" s="97" t="s">
        <v>509</v>
      </c>
      <c r="D325" s="96"/>
      <c r="E325" s="97"/>
      <c r="F325" s="97" t="s">
        <v>477</v>
      </c>
      <c r="G325" s="97" t="s">
        <v>446</v>
      </c>
      <c r="H325" s="97" t="s">
        <v>442</v>
      </c>
      <c r="I325" s="97" t="s">
        <v>442</v>
      </c>
      <c r="J325" s="98">
        <v>0</v>
      </c>
      <c r="K325" s="98">
        <v>1241741</v>
      </c>
      <c r="L325" s="97"/>
      <c r="M325" s="97"/>
      <c r="N325" s="97"/>
      <c r="O325" s="97"/>
      <c r="P325" s="97"/>
      <c r="Q325" s="97" t="s">
        <v>488</v>
      </c>
      <c r="R325" s="97"/>
      <c r="S325" s="97" t="s">
        <v>488</v>
      </c>
      <c r="T325" s="851">
        <f t="shared" ref="T325:T388" si="5">J325-K325</f>
        <v>-1241741</v>
      </c>
    </row>
    <row r="326" spans="1:20">
      <c r="A326" s="96">
        <v>45443</v>
      </c>
      <c r="B326" s="96">
        <v>45443</v>
      </c>
      <c r="C326" s="97" t="s">
        <v>509</v>
      </c>
      <c r="D326" s="96"/>
      <c r="E326" s="97"/>
      <c r="F326" s="97" t="s">
        <v>478</v>
      </c>
      <c r="G326" s="97" t="s">
        <v>446</v>
      </c>
      <c r="H326" s="97" t="s">
        <v>444</v>
      </c>
      <c r="I326" s="97" t="s">
        <v>444</v>
      </c>
      <c r="J326" s="98">
        <v>2863992</v>
      </c>
      <c r="K326" s="98">
        <v>0</v>
      </c>
      <c r="L326" s="97"/>
      <c r="M326" s="97"/>
      <c r="N326" s="97"/>
      <c r="O326" s="97"/>
      <c r="P326" s="97"/>
      <c r="Q326" s="97" t="s">
        <v>488</v>
      </c>
      <c r="R326" s="97"/>
      <c r="S326" s="97" t="s">
        <v>488</v>
      </c>
      <c r="T326" s="851">
        <f t="shared" si="5"/>
        <v>2863992</v>
      </c>
    </row>
    <row r="327" spans="1:20">
      <c r="A327" s="96">
        <v>45443</v>
      </c>
      <c r="B327" s="96">
        <v>45443</v>
      </c>
      <c r="C327" s="97" t="s">
        <v>509</v>
      </c>
      <c r="D327" s="96"/>
      <c r="E327" s="97"/>
      <c r="F327" s="97" t="s">
        <v>479</v>
      </c>
      <c r="G327" s="97" t="s">
        <v>446</v>
      </c>
      <c r="H327" s="97" t="s">
        <v>217</v>
      </c>
      <c r="I327" s="97" t="s">
        <v>213</v>
      </c>
      <c r="J327" s="98">
        <v>2865443919</v>
      </c>
      <c r="K327" s="98">
        <v>0</v>
      </c>
      <c r="L327" s="97"/>
      <c r="M327" s="97"/>
      <c r="N327" s="97"/>
      <c r="O327" s="97"/>
      <c r="P327" s="97"/>
      <c r="Q327" s="97" t="s">
        <v>488</v>
      </c>
      <c r="R327" s="97"/>
      <c r="S327" s="97" t="s">
        <v>488</v>
      </c>
      <c r="T327" s="851">
        <f t="shared" si="5"/>
        <v>2865443919</v>
      </c>
    </row>
    <row r="328" spans="1:20">
      <c r="A328" s="96">
        <v>45473</v>
      </c>
      <c r="B328" s="96">
        <v>45473</v>
      </c>
      <c r="C328" s="97" t="s">
        <v>510</v>
      </c>
      <c r="D328" s="96"/>
      <c r="E328" s="97"/>
      <c r="F328" s="97" t="s">
        <v>468</v>
      </c>
      <c r="G328" s="97" t="s">
        <v>446</v>
      </c>
      <c r="H328" s="97" t="s">
        <v>225</v>
      </c>
      <c r="I328" s="97" t="s">
        <v>219</v>
      </c>
      <c r="J328" s="98">
        <v>0</v>
      </c>
      <c r="K328" s="98">
        <v>1908000</v>
      </c>
      <c r="L328" s="97"/>
      <c r="M328" s="97"/>
      <c r="N328" s="97"/>
      <c r="O328" s="97"/>
      <c r="P328" s="97"/>
      <c r="Q328" s="97" t="s">
        <v>488</v>
      </c>
      <c r="R328" s="97"/>
      <c r="S328" s="97" t="s">
        <v>488</v>
      </c>
      <c r="T328" s="851">
        <f t="shared" si="5"/>
        <v>-1908000</v>
      </c>
    </row>
    <row r="329" spans="1:20">
      <c r="A329" s="96">
        <v>45473</v>
      </c>
      <c r="B329" s="96">
        <v>45473</v>
      </c>
      <c r="C329" s="97" t="s">
        <v>510</v>
      </c>
      <c r="D329" s="96"/>
      <c r="E329" s="97"/>
      <c r="F329" s="97" t="s">
        <v>468</v>
      </c>
      <c r="G329" s="97" t="s">
        <v>446</v>
      </c>
      <c r="H329" s="97" t="s">
        <v>227</v>
      </c>
      <c r="I329" s="97" t="s">
        <v>219</v>
      </c>
      <c r="J329" s="98">
        <v>0</v>
      </c>
      <c r="K329" s="98">
        <v>7902000</v>
      </c>
      <c r="L329" s="97"/>
      <c r="M329" s="97"/>
      <c r="N329" s="97"/>
      <c r="O329" s="97"/>
      <c r="P329" s="97"/>
      <c r="Q329" s="97" t="s">
        <v>488</v>
      </c>
      <c r="R329" s="97"/>
      <c r="S329" s="97" t="s">
        <v>488</v>
      </c>
      <c r="T329" s="851">
        <f t="shared" si="5"/>
        <v>-7902000</v>
      </c>
    </row>
    <row r="330" spans="1:20">
      <c r="A330" s="96">
        <v>45473</v>
      </c>
      <c r="B330" s="96">
        <v>45473</v>
      </c>
      <c r="C330" s="97" t="s">
        <v>510</v>
      </c>
      <c r="D330" s="96"/>
      <c r="E330" s="97"/>
      <c r="F330" s="97" t="s">
        <v>468</v>
      </c>
      <c r="G330" s="97" t="s">
        <v>446</v>
      </c>
      <c r="H330" s="97" t="s">
        <v>229</v>
      </c>
      <c r="I330" s="97" t="s">
        <v>219</v>
      </c>
      <c r="J330" s="98">
        <v>0</v>
      </c>
      <c r="K330" s="98">
        <v>61020936</v>
      </c>
      <c r="L330" s="97"/>
      <c r="M330" s="97"/>
      <c r="N330" s="97"/>
      <c r="O330" s="97"/>
      <c r="P330" s="97"/>
      <c r="Q330" s="97" t="s">
        <v>488</v>
      </c>
      <c r="R330" s="97"/>
      <c r="S330" s="97" t="s">
        <v>488</v>
      </c>
      <c r="T330" s="851">
        <f t="shared" si="5"/>
        <v>-61020936</v>
      </c>
    </row>
    <row r="331" spans="1:20">
      <c r="A331" s="96">
        <v>45473</v>
      </c>
      <c r="B331" s="96">
        <v>45473</v>
      </c>
      <c r="C331" s="97" t="s">
        <v>510</v>
      </c>
      <c r="D331" s="96"/>
      <c r="E331" s="97"/>
      <c r="F331" s="97" t="s">
        <v>468</v>
      </c>
      <c r="G331" s="97" t="s">
        <v>446</v>
      </c>
      <c r="H331" s="97" t="s">
        <v>231</v>
      </c>
      <c r="I331" s="97" t="s">
        <v>219</v>
      </c>
      <c r="J331" s="98">
        <v>0</v>
      </c>
      <c r="K331" s="98">
        <v>74151434</v>
      </c>
      <c r="L331" s="97"/>
      <c r="M331" s="97"/>
      <c r="N331" s="97"/>
      <c r="O331" s="97"/>
      <c r="P331" s="97"/>
      <c r="Q331" s="97" t="s">
        <v>488</v>
      </c>
      <c r="R331" s="97"/>
      <c r="S331" s="97" t="s">
        <v>488</v>
      </c>
      <c r="T331" s="851">
        <f t="shared" si="5"/>
        <v>-74151434</v>
      </c>
    </row>
    <row r="332" spans="1:20">
      <c r="A332" s="96">
        <v>45473</v>
      </c>
      <c r="B332" s="96">
        <v>45473</v>
      </c>
      <c r="C332" s="97" t="s">
        <v>510</v>
      </c>
      <c r="D332" s="96"/>
      <c r="E332" s="97"/>
      <c r="F332" s="97" t="s">
        <v>468</v>
      </c>
      <c r="G332" s="97" t="s">
        <v>446</v>
      </c>
      <c r="H332" s="97" t="s">
        <v>233</v>
      </c>
      <c r="I332" s="97" t="s">
        <v>219</v>
      </c>
      <c r="J332" s="98">
        <v>0</v>
      </c>
      <c r="K332" s="98">
        <v>700000</v>
      </c>
      <c r="L332" s="97"/>
      <c r="M332" s="97"/>
      <c r="N332" s="97"/>
      <c r="O332" s="97"/>
      <c r="P332" s="97"/>
      <c r="Q332" s="97" t="s">
        <v>488</v>
      </c>
      <c r="R332" s="97"/>
      <c r="S332" s="97" t="s">
        <v>488</v>
      </c>
      <c r="T332" s="851">
        <f t="shared" si="5"/>
        <v>-700000</v>
      </c>
    </row>
    <row r="333" spans="1:20">
      <c r="A333" s="96">
        <v>45473</v>
      </c>
      <c r="B333" s="96">
        <v>45473</v>
      </c>
      <c r="C333" s="97" t="s">
        <v>510</v>
      </c>
      <c r="D333" s="96"/>
      <c r="E333" s="97"/>
      <c r="F333" s="97" t="s">
        <v>468</v>
      </c>
      <c r="G333" s="97" t="s">
        <v>446</v>
      </c>
      <c r="H333" s="97" t="s">
        <v>235</v>
      </c>
      <c r="I333" s="97" t="s">
        <v>219</v>
      </c>
      <c r="J333" s="98">
        <v>0</v>
      </c>
      <c r="K333" s="98">
        <v>10930204</v>
      </c>
      <c r="L333" s="97"/>
      <c r="M333" s="97"/>
      <c r="N333" s="97"/>
      <c r="O333" s="97"/>
      <c r="P333" s="97"/>
      <c r="Q333" s="97" t="s">
        <v>488</v>
      </c>
      <c r="R333" s="97"/>
      <c r="S333" s="97" t="s">
        <v>488</v>
      </c>
      <c r="T333" s="851">
        <f t="shared" si="5"/>
        <v>-10930204</v>
      </c>
    </row>
    <row r="334" spans="1:20">
      <c r="A334" s="96">
        <v>45473</v>
      </c>
      <c r="B334" s="96">
        <v>45473</v>
      </c>
      <c r="C334" s="97" t="s">
        <v>510</v>
      </c>
      <c r="D334" s="96"/>
      <c r="E334" s="97"/>
      <c r="F334" s="97" t="s">
        <v>468</v>
      </c>
      <c r="G334" s="97" t="s">
        <v>446</v>
      </c>
      <c r="H334" s="97" t="s">
        <v>237</v>
      </c>
      <c r="I334" s="97" t="s">
        <v>219</v>
      </c>
      <c r="J334" s="98">
        <v>0</v>
      </c>
      <c r="K334" s="98">
        <v>212935</v>
      </c>
      <c r="L334" s="97"/>
      <c r="M334" s="97"/>
      <c r="N334" s="97"/>
      <c r="O334" s="97"/>
      <c r="P334" s="97"/>
      <c r="Q334" s="97" t="s">
        <v>488</v>
      </c>
      <c r="R334" s="97"/>
      <c r="S334" s="97" t="s">
        <v>488</v>
      </c>
      <c r="T334" s="851">
        <f t="shared" si="5"/>
        <v>-212935</v>
      </c>
    </row>
    <row r="335" spans="1:20">
      <c r="A335" s="96">
        <v>45473</v>
      </c>
      <c r="B335" s="96">
        <v>45473</v>
      </c>
      <c r="C335" s="97" t="s">
        <v>510</v>
      </c>
      <c r="D335" s="96"/>
      <c r="E335" s="97"/>
      <c r="F335" s="97" t="s">
        <v>468</v>
      </c>
      <c r="G335" s="97" t="s">
        <v>446</v>
      </c>
      <c r="H335" s="97" t="s">
        <v>239</v>
      </c>
      <c r="I335" s="97" t="s">
        <v>219</v>
      </c>
      <c r="J335" s="98">
        <v>0</v>
      </c>
      <c r="K335" s="98">
        <v>307601</v>
      </c>
      <c r="L335" s="97"/>
      <c r="M335" s="97"/>
      <c r="N335" s="97"/>
      <c r="O335" s="97"/>
      <c r="P335" s="97"/>
      <c r="Q335" s="97" t="s">
        <v>488</v>
      </c>
      <c r="R335" s="97"/>
      <c r="S335" s="97" t="s">
        <v>488</v>
      </c>
      <c r="T335" s="851">
        <f t="shared" si="5"/>
        <v>-307601</v>
      </c>
    </row>
    <row r="336" spans="1:20">
      <c r="A336" s="96">
        <v>45473</v>
      </c>
      <c r="B336" s="96">
        <v>45473</v>
      </c>
      <c r="C336" s="97" t="s">
        <v>510</v>
      </c>
      <c r="D336" s="96"/>
      <c r="E336" s="97"/>
      <c r="F336" s="97" t="s">
        <v>468</v>
      </c>
      <c r="G336" s="97" t="s">
        <v>446</v>
      </c>
      <c r="H336" s="97" t="s">
        <v>241</v>
      </c>
      <c r="I336" s="97" t="s">
        <v>219</v>
      </c>
      <c r="J336" s="98">
        <v>0</v>
      </c>
      <c r="K336" s="98">
        <v>2878163</v>
      </c>
      <c r="L336" s="97"/>
      <c r="M336" s="97"/>
      <c r="N336" s="97"/>
      <c r="O336" s="97"/>
      <c r="P336" s="97"/>
      <c r="Q336" s="97" t="s">
        <v>488</v>
      </c>
      <c r="R336" s="97"/>
      <c r="S336" s="97" t="s">
        <v>488</v>
      </c>
      <c r="T336" s="851">
        <f t="shared" si="5"/>
        <v>-2878163</v>
      </c>
    </row>
    <row r="337" spans="1:20">
      <c r="A337" s="96">
        <v>45473</v>
      </c>
      <c r="B337" s="96">
        <v>45473</v>
      </c>
      <c r="C337" s="97" t="s">
        <v>510</v>
      </c>
      <c r="D337" s="96"/>
      <c r="E337" s="97"/>
      <c r="F337" s="97" t="s">
        <v>468</v>
      </c>
      <c r="G337" s="97" t="s">
        <v>446</v>
      </c>
      <c r="H337" s="97" t="s">
        <v>243</v>
      </c>
      <c r="I337" s="97" t="s">
        <v>219</v>
      </c>
      <c r="J337" s="98">
        <v>0</v>
      </c>
      <c r="K337" s="98">
        <v>290378377</v>
      </c>
      <c r="L337" s="97"/>
      <c r="M337" s="97"/>
      <c r="N337" s="97"/>
      <c r="O337" s="97"/>
      <c r="P337" s="97"/>
      <c r="Q337" s="97" t="s">
        <v>488</v>
      </c>
      <c r="R337" s="97"/>
      <c r="S337" s="97" t="s">
        <v>488</v>
      </c>
      <c r="T337" s="851">
        <f t="shared" si="5"/>
        <v>-290378377</v>
      </c>
    </row>
    <row r="338" spans="1:20">
      <c r="A338" s="96">
        <v>45473</v>
      </c>
      <c r="B338" s="96">
        <v>45473</v>
      </c>
      <c r="C338" s="97" t="s">
        <v>510</v>
      </c>
      <c r="D338" s="96"/>
      <c r="E338" s="97"/>
      <c r="F338" s="97" t="s">
        <v>468</v>
      </c>
      <c r="G338" s="97" t="s">
        <v>446</v>
      </c>
      <c r="H338" s="97" t="s">
        <v>245</v>
      </c>
      <c r="I338" s="97" t="s">
        <v>219</v>
      </c>
      <c r="J338" s="98">
        <v>0</v>
      </c>
      <c r="K338" s="98">
        <v>800000</v>
      </c>
      <c r="L338" s="97"/>
      <c r="M338" s="97"/>
      <c r="N338" s="97"/>
      <c r="O338" s="97"/>
      <c r="P338" s="97"/>
      <c r="Q338" s="97" t="s">
        <v>488</v>
      </c>
      <c r="R338" s="97"/>
      <c r="S338" s="97" t="s">
        <v>488</v>
      </c>
      <c r="T338" s="851">
        <f t="shared" si="5"/>
        <v>-800000</v>
      </c>
    </row>
    <row r="339" spans="1:20">
      <c r="A339" s="96">
        <v>45473</v>
      </c>
      <c r="B339" s="96">
        <v>45473</v>
      </c>
      <c r="C339" s="97" t="s">
        <v>510</v>
      </c>
      <c r="D339" s="96"/>
      <c r="E339" s="97"/>
      <c r="F339" s="97" t="s">
        <v>472</v>
      </c>
      <c r="G339" s="97" t="s">
        <v>446</v>
      </c>
      <c r="H339" s="97" t="s">
        <v>249</v>
      </c>
      <c r="I339" s="97" t="s">
        <v>247</v>
      </c>
      <c r="J339" s="98">
        <v>0</v>
      </c>
      <c r="K339" s="98">
        <v>20233412242</v>
      </c>
      <c r="L339" s="97"/>
      <c r="M339" s="97"/>
      <c r="N339" s="97"/>
      <c r="O339" s="97"/>
      <c r="P339" s="97"/>
      <c r="Q339" s="97" t="s">
        <v>488</v>
      </c>
      <c r="R339" s="97"/>
      <c r="S339" s="97" t="s">
        <v>488</v>
      </c>
      <c r="T339" s="851">
        <f t="shared" si="5"/>
        <v>-20233412242</v>
      </c>
    </row>
    <row r="340" spans="1:20">
      <c r="A340" s="96">
        <v>45473</v>
      </c>
      <c r="B340" s="96">
        <v>45473</v>
      </c>
      <c r="C340" s="97" t="s">
        <v>510</v>
      </c>
      <c r="D340" s="96"/>
      <c r="E340" s="97"/>
      <c r="F340" s="97" t="s">
        <v>472</v>
      </c>
      <c r="G340" s="97" t="s">
        <v>446</v>
      </c>
      <c r="H340" s="97" t="s">
        <v>255</v>
      </c>
      <c r="I340" s="97" t="s">
        <v>247</v>
      </c>
      <c r="J340" s="98">
        <v>0</v>
      </c>
      <c r="K340" s="98">
        <v>3034852639</v>
      </c>
      <c r="L340" s="97"/>
      <c r="M340" s="97"/>
      <c r="N340" s="97"/>
      <c r="O340" s="97"/>
      <c r="P340" s="97"/>
      <c r="Q340" s="97" t="s">
        <v>488</v>
      </c>
      <c r="R340" s="97"/>
      <c r="S340" s="97" t="s">
        <v>488</v>
      </c>
      <c r="T340" s="851">
        <f t="shared" si="5"/>
        <v>-3034852639</v>
      </c>
    </row>
    <row r="341" spans="1:20">
      <c r="A341" s="96">
        <v>45473</v>
      </c>
      <c r="B341" s="96">
        <v>45473</v>
      </c>
      <c r="C341" s="97" t="s">
        <v>510</v>
      </c>
      <c r="D341" s="96"/>
      <c r="E341" s="97"/>
      <c r="F341" s="97" t="s">
        <v>472</v>
      </c>
      <c r="G341" s="97" t="s">
        <v>446</v>
      </c>
      <c r="H341" s="97" t="s">
        <v>257</v>
      </c>
      <c r="I341" s="97" t="s">
        <v>247</v>
      </c>
      <c r="J341" s="98">
        <v>0</v>
      </c>
      <c r="K341" s="98">
        <v>5853416245</v>
      </c>
      <c r="L341" s="97"/>
      <c r="M341" s="97"/>
      <c r="N341" s="97"/>
      <c r="O341" s="97"/>
      <c r="P341" s="97"/>
      <c r="Q341" s="97" t="s">
        <v>488</v>
      </c>
      <c r="R341" s="97"/>
      <c r="S341" s="97" t="s">
        <v>488</v>
      </c>
      <c r="T341" s="851">
        <f t="shared" si="5"/>
        <v>-5853416245</v>
      </c>
    </row>
    <row r="342" spans="1:20">
      <c r="A342" s="96">
        <v>45473</v>
      </c>
      <c r="B342" s="96">
        <v>45473</v>
      </c>
      <c r="C342" s="97" t="s">
        <v>510</v>
      </c>
      <c r="D342" s="96"/>
      <c r="E342" s="97"/>
      <c r="F342" s="97" t="s">
        <v>472</v>
      </c>
      <c r="G342" s="97" t="s">
        <v>446</v>
      </c>
      <c r="H342" s="97" t="s">
        <v>259</v>
      </c>
      <c r="I342" s="97" t="s">
        <v>247</v>
      </c>
      <c r="J342" s="98">
        <v>0</v>
      </c>
      <c r="K342" s="98">
        <v>1225498345</v>
      </c>
      <c r="L342" s="97"/>
      <c r="M342" s="97"/>
      <c r="N342" s="97"/>
      <c r="O342" s="97"/>
      <c r="P342" s="97"/>
      <c r="Q342" s="97" t="s">
        <v>488</v>
      </c>
      <c r="R342" s="97"/>
      <c r="S342" s="97" t="s">
        <v>488</v>
      </c>
      <c r="T342" s="851">
        <f t="shared" si="5"/>
        <v>-1225498345</v>
      </c>
    </row>
    <row r="343" spans="1:20">
      <c r="A343" s="96">
        <v>45473</v>
      </c>
      <c r="B343" s="96">
        <v>45473</v>
      </c>
      <c r="C343" s="97" t="s">
        <v>510</v>
      </c>
      <c r="D343" s="96"/>
      <c r="E343" s="97"/>
      <c r="F343" s="97" t="s">
        <v>472</v>
      </c>
      <c r="G343" s="97" t="s">
        <v>446</v>
      </c>
      <c r="H343" s="97" t="s">
        <v>745</v>
      </c>
      <c r="I343" s="97" t="s">
        <v>247</v>
      </c>
      <c r="J343" s="98">
        <v>0</v>
      </c>
      <c r="K343" s="98">
        <v>1155434349</v>
      </c>
      <c r="L343" s="97"/>
      <c r="M343" s="97"/>
      <c r="N343" s="97"/>
      <c r="O343" s="97"/>
      <c r="P343" s="97"/>
      <c r="Q343" s="97" t="s">
        <v>488</v>
      </c>
      <c r="R343" s="97"/>
      <c r="S343" s="97" t="s">
        <v>488</v>
      </c>
      <c r="T343" s="851">
        <f t="shared" si="5"/>
        <v>-1155434349</v>
      </c>
    </row>
    <row r="344" spans="1:20">
      <c r="A344" s="96">
        <v>45473</v>
      </c>
      <c r="B344" s="96">
        <v>45473</v>
      </c>
      <c r="C344" s="97" t="s">
        <v>510</v>
      </c>
      <c r="D344" s="96"/>
      <c r="E344" s="97"/>
      <c r="F344" s="97" t="s">
        <v>472</v>
      </c>
      <c r="G344" s="97" t="s">
        <v>446</v>
      </c>
      <c r="H344" s="97" t="s">
        <v>263</v>
      </c>
      <c r="I344" s="97" t="s">
        <v>247</v>
      </c>
      <c r="J344" s="98">
        <v>0</v>
      </c>
      <c r="K344" s="98">
        <v>2449607</v>
      </c>
      <c r="L344" s="97"/>
      <c r="M344" s="97"/>
      <c r="N344" s="97"/>
      <c r="O344" s="97"/>
      <c r="P344" s="97"/>
      <c r="Q344" s="97" t="s">
        <v>488</v>
      </c>
      <c r="R344" s="97"/>
      <c r="S344" s="97" t="s">
        <v>488</v>
      </c>
      <c r="T344" s="851">
        <f t="shared" si="5"/>
        <v>-2449607</v>
      </c>
    </row>
    <row r="345" spans="1:20">
      <c r="A345" s="96">
        <v>45473</v>
      </c>
      <c r="B345" s="96">
        <v>45473</v>
      </c>
      <c r="C345" s="97" t="s">
        <v>510</v>
      </c>
      <c r="D345" s="96"/>
      <c r="E345" s="97"/>
      <c r="F345" s="97" t="s">
        <v>472</v>
      </c>
      <c r="G345" s="97" t="s">
        <v>446</v>
      </c>
      <c r="H345" s="97" t="s">
        <v>251</v>
      </c>
      <c r="I345" s="97" t="s">
        <v>247</v>
      </c>
      <c r="J345" s="98">
        <v>568654630</v>
      </c>
      <c r="K345" s="98">
        <v>0</v>
      </c>
      <c r="L345" s="97"/>
      <c r="M345" s="97"/>
      <c r="N345" s="97"/>
      <c r="O345" s="97"/>
      <c r="P345" s="97"/>
      <c r="Q345" s="97" t="s">
        <v>488</v>
      </c>
      <c r="R345" s="97"/>
      <c r="S345" s="97" t="s">
        <v>488</v>
      </c>
      <c r="T345" s="851">
        <f t="shared" si="5"/>
        <v>568654630</v>
      </c>
    </row>
    <row r="346" spans="1:20">
      <c r="A346" s="96">
        <v>45473</v>
      </c>
      <c r="B346" s="96">
        <v>45473</v>
      </c>
      <c r="C346" s="97" t="s">
        <v>510</v>
      </c>
      <c r="D346" s="96"/>
      <c r="E346" s="97"/>
      <c r="F346" s="97" t="s">
        <v>473</v>
      </c>
      <c r="G346" s="97" t="s">
        <v>446</v>
      </c>
      <c r="H346" s="97" t="s">
        <v>303</v>
      </c>
      <c r="I346" s="97" t="s">
        <v>303</v>
      </c>
      <c r="J346" s="98">
        <v>1312869419</v>
      </c>
      <c r="K346" s="98">
        <v>0</v>
      </c>
      <c r="L346" s="97"/>
      <c r="M346" s="97"/>
      <c r="N346" s="97"/>
      <c r="O346" s="97"/>
      <c r="P346" s="97"/>
      <c r="Q346" s="97" t="s">
        <v>488</v>
      </c>
      <c r="R346" s="97"/>
      <c r="S346" s="97" t="s">
        <v>488</v>
      </c>
      <c r="T346" s="851">
        <f t="shared" si="5"/>
        <v>1312869419</v>
      </c>
    </row>
    <row r="347" spans="1:20">
      <c r="A347" s="96">
        <v>45473</v>
      </c>
      <c r="B347" s="96">
        <v>45473</v>
      </c>
      <c r="C347" s="97" t="s">
        <v>510</v>
      </c>
      <c r="D347" s="96"/>
      <c r="E347" s="97"/>
      <c r="F347" s="97" t="s">
        <v>474</v>
      </c>
      <c r="G347" s="97" t="s">
        <v>446</v>
      </c>
      <c r="H347" s="97" t="s">
        <v>309</v>
      </c>
      <c r="I347" s="97" t="s">
        <v>305</v>
      </c>
      <c r="J347" s="98">
        <v>0</v>
      </c>
      <c r="K347" s="98">
        <v>2231006398</v>
      </c>
      <c r="L347" s="97"/>
      <c r="M347" s="97"/>
      <c r="N347" s="97"/>
      <c r="O347" s="97"/>
      <c r="P347" s="97"/>
      <c r="Q347" s="97" t="s">
        <v>488</v>
      </c>
      <c r="R347" s="97"/>
      <c r="S347" s="97" t="s">
        <v>488</v>
      </c>
      <c r="T347" s="851">
        <f t="shared" si="5"/>
        <v>-2231006398</v>
      </c>
    </row>
    <row r="348" spans="1:20">
      <c r="A348" s="96">
        <v>45473</v>
      </c>
      <c r="B348" s="96">
        <v>45473</v>
      </c>
      <c r="C348" s="97" t="s">
        <v>510</v>
      </c>
      <c r="D348" s="96"/>
      <c r="E348" s="97"/>
      <c r="F348" s="97" t="s">
        <v>474</v>
      </c>
      <c r="G348" s="97" t="s">
        <v>446</v>
      </c>
      <c r="H348" s="97" t="s">
        <v>319</v>
      </c>
      <c r="I348" s="97" t="s">
        <v>305</v>
      </c>
      <c r="J348" s="98">
        <v>0</v>
      </c>
      <c r="K348" s="98">
        <v>56888841</v>
      </c>
      <c r="L348" s="97"/>
      <c r="M348" s="97"/>
      <c r="N348" s="97"/>
      <c r="O348" s="97"/>
      <c r="P348" s="97"/>
      <c r="Q348" s="97" t="s">
        <v>488</v>
      </c>
      <c r="R348" s="97"/>
      <c r="S348" s="97" t="s">
        <v>488</v>
      </c>
      <c r="T348" s="851">
        <f t="shared" si="5"/>
        <v>-56888841</v>
      </c>
    </row>
    <row r="349" spans="1:20">
      <c r="A349" s="96">
        <v>45473</v>
      </c>
      <c r="B349" s="96">
        <v>45473</v>
      </c>
      <c r="C349" s="97" t="s">
        <v>510</v>
      </c>
      <c r="D349" s="96"/>
      <c r="E349" s="97"/>
      <c r="F349" s="97" t="s">
        <v>474</v>
      </c>
      <c r="G349" s="97" t="s">
        <v>446</v>
      </c>
      <c r="H349" s="97" t="s">
        <v>321</v>
      </c>
      <c r="I349" s="97" t="s">
        <v>305</v>
      </c>
      <c r="J349" s="98">
        <v>16528325353</v>
      </c>
      <c r="K349" s="98">
        <v>0</v>
      </c>
      <c r="L349" s="97"/>
      <c r="M349" s="97"/>
      <c r="N349" s="97"/>
      <c r="O349" s="97"/>
      <c r="P349" s="97"/>
      <c r="Q349" s="97" t="s">
        <v>488</v>
      </c>
      <c r="R349" s="97"/>
      <c r="S349" s="97" t="s">
        <v>488</v>
      </c>
      <c r="T349" s="851">
        <f t="shared" si="5"/>
        <v>16528325353</v>
      </c>
    </row>
    <row r="350" spans="1:20">
      <c r="A350" s="96">
        <v>45473</v>
      </c>
      <c r="B350" s="96">
        <v>45473</v>
      </c>
      <c r="C350" s="97" t="s">
        <v>510</v>
      </c>
      <c r="D350" s="96"/>
      <c r="E350" s="97"/>
      <c r="F350" s="97" t="s">
        <v>474</v>
      </c>
      <c r="G350" s="97" t="s">
        <v>446</v>
      </c>
      <c r="H350" s="97" t="s">
        <v>325</v>
      </c>
      <c r="I350" s="97" t="s">
        <v>305</v>
      </c>
      <c r="J350" s="98">
        <v>1350685</v>
      </c>
      <c r="K350" s="98">
        <v>0</v>
      </c>
      <c r="L350" s="97"/>
      <c r="M350" s="97"/>
      <c r="N350" s="97"/>
      <c r="O350" s="97"/>
      <c r="P350" s="97"/>
      <c r="Q350" s="97" t="s">
        <v>488</v>
      </c>
      <c r="R350" s="97"/>
      <c r="S350" s="97" t="s">
        <v>488</v>
      </c>
      <c r="T350" s="851">
        <f t="shared" si="5"/>
        <v>1350685</v>
      </c>
    </row>
    <row r="351" spans="1:20">
      <c r="A351" s="96">
        <v>45473</v>
      </c>
      <c r="B351" s="96">
        <v>45473</v>
      </c>
      <c r="C351" s="97" t="s">
        <v>510</v>
      </c>
      <c r="D351" s="96"/>
      <c r="E351" s="97"/>
      <c r="F351" s="97" t="s">
        <v>474</v>
      </c>
      <c r="G351" s="97" t="s">
        <v>446</v>
      </c>
      <c r="H351" s="97" t="s">
        <v>327</v>
      </c>
      <c r="I351" s="97" t="s">
        <v>305</v>
      </c>
      <c r="J351" s="98">
        <v>795456335</v>
      </c>
      <c r="K351" s="98">
        <v>0</v>
      </c>
      <c r="L351" s="97"/>
      <c r="M351" s="97"/>
      <c r="N351" s="97"/>
      <c r="O351" s="97"/>
      <c r="P351" s="97"/>
      <c r="Q351" s="97" t="s">
        <v>488</v>
      </c>
      <c r="R351" s="97"/>
      <c r="S351" s="97" t="s">
        <v>488</v>
      </c>
      <c r="T351" s="851">
        <f t="shared" si="5"/>
        <v>795456335</v>
      </c>
    </row>
    <row r="352" spans="1:20">
      <c r="A352" s="96">
        <v>45473</v>
      </c>
      <c r="B352" s="96">
        <v>45473</v>
      </c>
      <c r="C352" s="97" t="s">
        <v>510</v>
      </c>
      <c r="D352" s="96"/>
      <c r="E352" s="97"/>
      <c r="F352" s="97" t="s">
        <v>474</v>
      </c>
      <c r="G352" s="97" t="s">
        <v>446</v>
      </c>
      <c r="H352" s="97" t="s">
        <v>329</v>
      </c>
      <c r="I352" s="97" t="s">
        <v>305</v>
      </c>
      <c r="J352" s="98">
        <v>52109885</v>
      </c>
      <c r="K352" s="98">
        <v>0</v>
      </c>
      <c r="L352" s="97"/>
      <c r="M352" s="97"/>
      <c r="N352" s="97"/>
      <c r="O352" s="97"/>
      <c r="P352" s="97"/>
      <c r="Q352" s="97" t="s">
        <v>488</v>
      </c>
      <c r="R352" s="97"/>
      <c r="S352" s="97" t="s">
        <v>488</v>
      </c>
      <c r="T352" s="851">
        <f t="shared" si="5"/>
        <v>52109885</v>
      </c>
    </row>
    <row r="353" spans="1:20">
      <c r="A353" s="96">
        <v>45473</v>
      </c>
      <c r="B353" s="96">
        <v>45473</v>
      </c>
      <c r="C353" s="97" t="s">
        <v>510</v>
      </c>
      <c r="D353" s="96"/>
      <c r="E353" s="97"/>
      <c r="F353" s="97" t="s">
        <v>474</v>
      </c>
      <c r="G353" s="97" t="s">
        <v>446</v>
      </c>
      <c r="H353" s="97" t="s">
        <v>313</v>
      </c>
      <c r="I353" s="97" t="s">
        <v>305</v>
      </c>
      <c r="J353" s="98">
        <v>385316483</v>
      </c>
      <c r="K353" s="98">
        <v>0</v>
      </c>
      <c r="L353" s="97"/>
      <c r="M353" s="97"/>
      <c r="N353" s="97"/>
      <c r="O353" s="97"/>
      <c r="P353" s="97"/>
      <c r="Q353" s="97" t="s">
        <v>488</v>
      </c>
      <c r="R353" s="97"/>
      <c r="S353" s="97" t="s">
        <v>488</v>
      </c>
      <c r="T353" s="851">
        <f t="shared" si="5"/>
        <v>385316483</v>
      </c>
    </row>
    <row r="354" spans="1:20">
      <c r="A354" s="96">
        <v>45473</v>
      </c>
      <c r="B354" s="96">
        <v>45473</v>
      </c>
      <c r="C354" s="97" t="s">
        <v>510</v>
      </c>
      <c r="D354" s="96"/>
      <c r="E354" s="97"/>
      <c r="F354" s="97" t="s">
        <v>474</v>
      </c>
      <c r="G354" s="97" t="s">
        <v>446</v>
      </c>
      <c r="H354" s="97" t="s">
        <v>317</v>
      </c>
      <c r="I354" s="97" t="s">
        <v>305</v>
      </c>
      <c r="J354" s="98">
        <v>388373370</v>
      </c>
      <c r="K354" s="98">
        <v>0</v>
      </c>
      <c r="L354" s="97"/>
      <c r="M354" s="97"/>
      <c r="N354" s="97"/>
      <c r="O354" s="97"/>
      <c r="P354" s="97"/>
      <c r="Q354" s="97" t="s">
        <v>488</v>
      </c>
      <c r="R354" s="97"/>
      <c r="S354" s="97" t="s">
        <v>488</v>
      </c>
      <c r="T354" s="851">
        <f t="shared" si="5"/>
        <v>388373370</v>
      </c>
    </row>
    <row r="355" spans="1:20">
      <c r="A355" s="96">
        <v>45473</v>
      </c>
      <c r="B355" s="96">
        <v>45473</v>
      </c>
      <c r="C355" s="97" t="s">
        <v>510</v>
      </c>
      <c r="D355" s="96"/>
      <c r="E355" s="97"/>
      <c r="F355" s="97" t="s">
        <v>474</v>
      </c>
      <c r="G355" s="97" t="s">
        <v>446</v>
      </c>
      <c r="H355" s="97" t="s">
        <v>307</v>
      </c>
      <c r="I355" s="97" t="s">
        <v>305</v>
      </c>
      <c r="J355" s="98">
        <v>9552050608</v>
      </c>
      <c r="K355" s="98">
        <v>0</v>
      </c>
      <c r="L355" s="97"/>
      <c r="M355" s="97"/>
      <c r="N355" s="97"/>
      <c r="O355" s="97"/>
      <c r="P355" s="97"/>
      <c r="Q355" s="97" t="s">
        <v>488</v>
      </c>
      <c r="R355" s="97"/>
      <c r="S355" s="97" t="s">
        <v>488</v>
      </c>
      <c r="T355" s="851">
        <f t="shared" si="5"/>
        <v>9552050608</v>
      </c>
    </row>
    <row r="356" spans="1:20">
      <c r="A356" s="96">
        <v>45473</v>
      </c>
      <c r="B356" s="96">
        <v>45473</v>
      </c>
      <c r="C356" s="97" t="s">
        <v>510</v>
      </c>
      <c r="D356" s="96"/>
      <c r="E356" s="97"/>
      <c r="F356" s="97" t="s">
        <v>475</v>
      </c>
      <c r="G356" s="97" t="s">
        <v>446</v>
      </c>
      <c r="H356" s="97" t="s">
        <v>337</v>
      </c>
      <c r="I356" s="97" t="s">
        <v>333</v>
      </c>
      <c r="J356" s="98">
        <v>3428860</v>
      </c>
      <c r="K356" s="98">
        <v>0</v>
      </c>
      <c r="L356" s="97"/>
      <c r="M356" s="97"/>
      <c r="N356" s="97"/>
      <c r="O356" s="97"/>
      <c r="P356" s="97"/>
      <c r="Q356" s="97" t="s">
        <v>488</v>
      </c>
      <c r="R356" s="97"/>
      <c r="S356" s="97" t="s">
        <v>488</v>
      </c>
      <c r="T356" s="851">
        <f t="shared" si="5"/>
        <v>3428860</v>
      </c>
    </row>
    <row r="357" spans="1:20">
      <c r="A357" s="96">
        <v>45473</v>
      </c>
      <c r="B357" s="96">
        <v>45473</v>
      </c>
      <c r="C357" s="97" t="s">
        <v>510</v>
      </c>
      <c r="D357" s="96"/>
      <c r="E357" s="97"/>
      <c r="F357" s="97" t="s">
        <v>475</v>
      </c>
      <c r="G357" s="97" t="s">
        <v>446</v>
      </c>
      <c r="H357" s="97" t="s">
        <v>343</v>
      </c>
      <c r="I357" s="97" t="s">
        <v>333</v>
      </c>
      <c r="J357" s="98">
        <v>5814475</v>
      </c>
      <c r="K357" s="98">
        <v>0</v>
      </c>
      <c r="L357" s="97"/>
      <c r="M357" s="97"/>
      <c r="N357" s="97"/>
      <c r="O357" s="97"/>
      <c r="P357" s="97"/>
      <c r="Q357" s="97" t="s">
        <v>488</v>
      </c>
      <c r="R357" s="97"/>
      <c r="S357" s="97" t="s">
        <v>488</v>
      </c>
      <c r="T357" s="851">
        <f t="shared" si="5"/>
        <v>5814475</v>
      </c>
    </row>
    <row r="358" spans="1:20">
      <c r="A358" s="96">
        <v>45473</v>
      </c>
      <c r="B358" s="96">
        <v>45473</v>
      </c>
      <c r="C358" s="97" t="s">
        <v>510</v>
      </c>
      <c r="D358" s="96"/>
      <c r="E358" s="97"/>
      <c r="F358" s="97" t="s">
        <v>475</v>
      </c>
      <c r="G358" s="97" t="s">
        <v>446</v>
      </c>
      <c r="H358" s="97" t="s">
        <v>345</v>
      </c>
      <c r="I358" s="97" t="s">
        <v>333</v>
      </c>
      <c r="J358" s="98">
        <v>3870417</v>
      </c>
      <c r="K358" s="98">
        <v>0</v>
      </c>
      <c r="L358" s="97"/>
      <c r="M358" s="97"/>
      <c r="N358" s="97"/>
      <c r="O358" s="97"/>
      <c r="P358" s="97"/>
      <c r="Q358" s="97" t="s">
        <v>488</v>
      </c>
      <c r="R358" s="97"/>
      <c r="S358" s="97" t="s">
        <v>488</v>
      </c>
      <c r="T358" s="851">
        <f t="shared" si="5"/>
        <v>3870417</v>
      </c>
    </row>
    <row r="359" spans="1:20">
      <c r="A359" s="96">
        <v>45473</v>
      </c>
      <c r="B359" s="96">
        <v>45473</v>
      </c>
      <c r="C359" s="97" t="s">
        <v>510</v>
      </c>
      <c r="D359" s="96"/>
      <c r="E359" s="97"/>
      <c r="F359" s="97" t="s">
        <v>475</v>
      </c>
      <c r="G359" s="97" t="s">
        <v>446</v>
      </c>
      <c r="H359" s="97" t="s">
        <v>348</v>
      </c>
      <c r="I359" s="97" t="s">
        <v>333</v>
      </c>
      <c r="J359" s="98">
        <v>304954868</v>
      </c>
      <c r="K359" s="98">
        <v>0</v>
      </c>
      <c r="L359" s="97"/>
      <c r="M359" s="97"/>
      <c r="N359" s="97"/>
      <c r="O359" s="97"/>
      <c r="P359" s="97"/>
      <c r="Q359" s="97" t="s">
        <v>488</v>
      </c>
      <c r="R359" s="97"/>
      <c r="S359" s="97" t="s">
        <v>488</v>
      </c>
      <c r="T359" s="851">
        <f t="shared" si="5"/>
        <v>304954868</v>
      </c>
    </row>
    <row r="360" spans="1:20">
      <c r="A360" s="96">
        <v>45473</v>
      </c>
      <c r="B360" s="96">
        <v>45473</v>
      </c>
      <c r="C360" s="97" t="s">
        <v>510</v>
      </c>
      <c r="D360" s="96"/>
      <c r="E360" s="97"/>
      <c r="F360" s="97" t="s">
        <v>475</v>
      </c>
      <c r="G360" s="97" t="s">
        <v>446</v>
      </c>
      <c r="H360" s="97" t="s">
        <v>350</v>
      </c>
      <c r="I360" s="97" t="s">
        <v>333</v>
      </c>
      <c r="J360" s="98">
        <v>8030741</v>
      </c>
      <c r="K360" s="98">
        <v>0</v>
      </c>
      <c r="L360" s="97"/>
      <c r="M360" s="97"/>
      <c r="N360" s="97"/>
      <c r="O360" s="97"/>
      <c r="P360" s="97"/>
      <c r="Q360" s="97" t="s">
        <v>488</v>
      </c>
      <c r="R360" s="97"/>
      <c r="S360" s="97" t="s">
        <v>488</v>
      </c>
      <c r="T360" s="851">
        <f t="shared" si="5"/>
        <v>8030741</v>
      </c>
    </row>
    <row r="361" spans="1:20">
      <c r="A361" s="96">
        <v>45473</v>
      </c>
      <c r="B361" s="96">
        <v>45473</v>
      </c>
      <c r="C361" s="97" t="s">
        <v>510</v>
      </c>
      <c r="D361" s="96"/>
      <c r="E361" s="97"/>
      <c r="F361" s="97" t="s">
        <v>475</v>
      </c>
      <c r="G361" s="97" t="s">
        <v>446</v>
      </c>
      <c r="H361" s="97" t="s">
        <v>352</v>
      </c>
      <c r="I361" s="97" t="s">
        <v>333</v>
      </c>
      <c r="J361" s="98">
        <v>1200000</v>
      </c>
      <c r="K361" s="98">
        <v>0</v>
      </c>
      <c r="L361" s="97"/>
      <c r="M361" s="97"/>
      <c r="N361" s="97"/>
      <c r="O361" s="97"/>
      <c r="P361" s="97"/>
      <c r="Q361" s="97" t="s">
        <v>488</v>
      </c>
      <c r="R361" s="97"/>
      <c r="S361" s="97" t="s">
        <v>488</v>
      </c>
      <c r="T361" s="851">
        <f t="shared" si="5"/>
        <v>1200000</v>
      </c>
    </row>
    <row r="362" spans="1:20">
      <c r="A362" s="96">
        <v>45473</v>
      </c>
      <c r="B362" s="96">
        <v>45473</v>
      </c>
      <c r="C362" s="97" t="s">
        <v>510</v>
      </c>
      <c r="D362" s="96"/>
      <c r="E362" s="97"/>
      <c r="F362" s="97" t="s">
        <v>475</v>
      </c>
      <c r="G362" s="97" t="s">
        <v>446</v>
      </c>
      <c r="H362" s="97" t="s">
        <v>354</v>
      </c>
      <c r="I362" s="97" t="s">
        <v>333</v>
      </c>
      <c r="J362" s="98">
        <v>1924853</v>
      </c>
      <c r="K362" s="98">
        <v>0</v>
      </c>
      <c r="L362" s="97"/>
      <c r="M362" s="97"/>
      <c r="N362" s="97"/>
      <c r="O362" s="97"/>
      <c r="P362" s="97"/>
      <c r="Q362" s="97" t="s">
        <v>488</v>
      </c>
      <c r="R362" s="97"/>
      <c r="S362" s="97" t="s">
        <v>488</v>
      </c>
      <c r="T362" s="851">
        <f t="shared" si="5"/>
        <v>1924853</v>
      </c>
    </row>
    <row r="363" spans="1:20">
      <c r="A363" s="96">
        <v>45473</v>
      </c>
      <c r="B363" s="96">
        <v>45473</v>
      </c>
      <c r="C363" s="97" t="s">
        <v>510</v>
      </c>
      <c r="D363" s="96"/>
      <c r="E363" s="97"/>
      <c r="F363" s="97" t="s">
        <v>475</v>
      </c>
      <c r="G363" s="97" t="s">
        <v>446</v>
      </c>
      <c r="H363" s="97" t="s">
        <v>356</v>
      </c>
      <c r="I363" s="97" t="s">
        <v>333</v>
      </c>
      <c r="J363" s="98">
        <v>146025</v>
      </c>
      <c r="K363" s="98">
        <v>0</v>
      </c>
      <c r="L363" s="97"/>
      <c r="M363" s="97"/>
      <c r="N363" s="97"/>
      <c r="O363" s="97"/>
      <c r="P363" s="97"/>
      <c r="Q363" s="97" t="s">
        <v>488</v>
      </c>
      <c r="R363" s="97"/>
      <c r="S363" s="97" t="s">
        <v>488</v>
      </c>
      <c r="T363" s="851">
        <f t="shared" si="5"/>
        <v>146025</v>
      </c>
    </row>
    <row r="364" spans="1:20">
      <c r="A364" s="96">
        <v>45473</v>
      </c>
      <c r="B364" s="96">
        <v>45473</v>
      </c>
      <c r="C364" s="97" t="s">
        <v>510</v>
      </c>
      <c r="D364" s="96"/>
      <c r="E364" s="97"/>
      <c r="F364" s="97" t="s">
        <v>475</v>
      </c>
      <c r="G364" s="97" t="s">
        <v>446</v>
      </c>
      <c r="H364" s="97" t="s">
        <v>361</v>
      </c>
      <c r="I364" s="97" t="s">
        <v>333</v>
      </c>
      <c r="J364" s="98">
        <v>18764183</v>
      </c>
      <c r="K364" s="98">
        <v>0</v>
      </c>
      <c r="L364" s="97"/>
      <c r="M364" s="97"/>
      <c r="N364" s="97"/>
      <c r="O364" s="97"/>
      <c r="P364" s="97"/>
      <c r="Q364" s="97" t="s">
        <v>488</v>
      </c>
      <c r="R364" s="97"/>
      <c r="S364" s="97" t="s">
        <v>488</v>
      </c>
      <c r="T364" s="851">
        <f t="shared" si="5"/>
        <v>18764183</v>
      </c>
    </row>
    <row r="365" spans="1:20">
      <c r="A365" s="96">
        <v>45473</v>
      </c>
      <c r="B365" s="96">
        <v>45473</v>
      </c>
      <c r="C365" s="97" t="s">
        <v>510</v>
      </c>
      <c r="D365" s="96"/>
      <c r="E365" s="97"/>
      <c r="F365" s="97" t="s">
        <v>475</v>
      </c>
      <c r="G365" s="97" t="s">
        <v>446</v>
      </c>
      <c r="H365" s="97" t="s">
        <v>363</v>
      </c>
      <c r="I365" s="97" t="s">
        <v>333</v>
      </c>
      <c r="J365" s="98">
        <v>53207143</v>
      </c>
      <c r="K365" s="98">
        <v>0</v>
      </c>
      <c r="L365" s="97"/>
      <c r="M365" s="97"/>
      <c r="N365" s="97"/>
      <c r="O365" s="97"/>
      <c r="P365" s="97"/>
      <c r="Q365" s="97" t="s">
        <v>488</v>
      </c>
      <c r="R365" s="97"/>
      <c r="S365" s="97" t="s">
        <v>488</v>
      </c>
      <c r="T365" s="851">
        <f t="shared" si="5"/>
        <v>53207143</v>
      </c>
    </row>
    <row r="366" spans="1:20">
      <c r="A366" s="96">
        <v>45473</v>
      </c>
      <c r="B366" s="96">
        <v>45473</v>
      </c>
      <c r="C366" s="97" t="s">
        <v>510</v>
      </c>
      <c r="D366" s="96"/>
      <c r="E366" s="97"/>
      <c r="F366" s="97" t="s">
        <v>475</v>
      </c>
      <c r="G366" s="97" t="s">
        <v>446</v>
      </c>
      <c r="H366" s="97" t="s">
        <v>370</v>
      </c>
      <c r="I366" s="97" t="s">
        <v>333</v>
      </c>
      <c r="J366" s="98">
        <v>92528327</v>
      </c>
      <c r="K366" s="98">
        <v>0</v>
      </c>
      <c r="L366" s="97"/>
      <c r="M366" s="97"/>
      <c r="N366" s="97"/>
      <c r="O366" s="97"/>
      <c r="P366" s="97"/>
      <c r="Q366" s="97" t="s">
        <v>488</v>
      </c>
      <c r="R366" s="97"/>
      <c r="S366" s="97" t="s">
        <v>488</v>
      </c>
      <c r="T366" s="851">
        <f t="shared" si="5"/>
        <v>92528327</v>
      </c>
    </row>
    <row r="367" spans="1:20">
      <c r="A367" s="96">
        <v>45473</v>
      </c>
      <c r="B367" s="96">
        <v>45473</v>
      </c>
      <c r="C367" s="97" t="s">
        <v>510</v>
      </c>
      <c r="D367" s="96"/>
      <c r="E367" s="97"/>
      <c r="F367" s="97" t="s">
        <v>476</v>
      </c>
      <c r="G367" s="97" t="s">
        <v>446</v>
      </c>
      <c r="H367" s="97" t="s">
        <v>438</v>
      </c>
      <c r="I367" s="97" t="s">
        <v>374</v>
      </c>
      <c r="J367" s="98">
        <v>0</v>
      </c>
      <c r="K367" s="98">
        <v>1578500</v>
      </c>
      <c r="L367" s="97"/>
      <c r="M367" s="97"/>
      <c r="N367" s="97"/>
      <c r="O367" s="97"/>
      <c r="P367" s="97"/>
      <c r="Q367" s="97" t="s">
        <v>488</v>
      </c>
      <c r="R367" s="97"/>
      <c r="S367" s="97" t="s">
        <v>488</v>
      </c>
      <c r="T367" s="851">
        <f t="shared" si="5"/>
        <v>-1578500</v>
      </c>
    </row>
    <row r="368" spans="1:20">
      <c r="A368" s="96">
        <v>45473</v>
      </c>
      <c r="B368" s="96">
        <v>45473</v>
      </c>
      <c r="C368" s="97" t="s">
        <v>510</v>
      </c>
      <c r="D368" s="96"/>
      <c r="E368" s="97"/>
      <c r="F368" s="97" t="s">
        <v>476</v>
      </c>
      <c r="G368" s="97" t="s">
        <v>446</v>
      </c>
      <c r="H368" s="97" t="s">
        <v>378</v>
      </c>
      <c r="I368" s="97" t="s">
        <v>374</v>
      </c>
      <c r="J368" s="98">
        <v>255533540</v>
      </c>
      <c r="K368" s="98">
        <v>0</v>
      </c>
      <c r="L368" s="97"/>
      <c r="M368" s="97"/>
      <c r="N368" s="97"/>
      <c r="O368" s="97"/>
      <c r="P368" s="97"/>
      <c r="Q368" s="97" t="s">
        <v>488</v>
      </c>
      <c r="R368" s="97"/>
      <c r="S368" s="97" t="s">
        <v>488</v>
      </c>
      <c r="T368" s="851">
        <f t="shared" si="5"/>
        <v>255533540</v>
      </c>
    </row>
    <row r="369" spans="1:20">
      <c r="A369" s="96">
        <v>45473</v>
      </c>
      <c r="B369" s="96">
        <v>45473</v>
      </c>
      <c r="C369" s="97" t="s">
        <v>510</v>
      </c>
      <c r="D369" s="96"/>
      <c r="E369" s="97"/>
      <c r="F369" s="97" t="s">
        <v>476</v>
      </c>
      <c r="G369" s="97" t="s">
        <v>446</v>
      </c>
      <c r="H369" s="97" t="s">
        <v>379</v>
      </c>
      <c r="I369" s="97" t="s">
        <v>374</v>
      </c>
      <c r="J369" s="98">
        <v>13856000</v>
      </c>
      <c r="K369" s="98">
        <v>0</v>
      </c>
      <c r="L369" s="97"/>
      <c r="M369" s="97"/>
      <c r="N369" s="97"/>
      <c r="O369" s="97"/>
      <c r="P369" s="97"/>
      <c r="Q369" s="97" t="s">
        <v>488</v>
      </c>
      <c r="R369" s="97"/>
      <c r="S369" s="97" t="s">
        <v>488</v>
      </c>
      <c r="T369" s="851">
        <f t="shared" si="5"/>
        <v>13856000</v>
      </c>
    </row>
    <row r="370" spans="1:20">
      <c r="A370" s="96">
        <v>45473</v>
      </c>
      <c r="B370" s="96">
        <v>45473</v>
      </c>
      <c r="C370" s="97" t="s">
        <v>510</v>
      </c>
      <c r="D370" s="96"/>
      <c r="E370" s="97"/>
      <c r="F370" s="97" t="s">
        <v>476</v>
      </c>
      <c r="G370" s="97" t="s">
        <v>446</v>
      </c>
      <c r="H370" s="97" t="s">
        <v>380</v>
      </c>
      <c r="I370" s="97" t="s">
        <v>374</v>
      </c>
      <c r="J370" s="98">
        <v>2303333</v>
      </c>
      <c r="K370" s="98">
        <v>0</v>
      </c>
      <c r="L370" s="97"/>
      <c r="M370" s="97"/>
      <c r="N370" s="97"/>
      <c r="O370" s="97"/>
      <c r="P370" s="97"/>
      <c r="Q370" s="97" t="s">
        <v>488</v>
      </c>
      <c r="R370" s="97"/>
      <c r="S370" s="97" t="s">
        <v>488</v>
      </c>
      <c r="T370" s="851">
        <f t="shared" si="5"/>
        <v>2303333</v>
      </c>
    </row>
    <row r="371" spans="1:20">
      <c r="A371" s="96">
        <v>45473</v>
      </c>
      <c r="B371" s="96">
        <v>45473</v>
      </c>
      <c r="C371" s="97" t="s">
        <v>510</v>
      </c>
      <c r="D371" s="96"/>
      <c r="E371" s="97"/>
      <c r="F371" s="97" t="s">
        <v>476</v>
      </c>
      <c r="G371" s="97" t="s">
        <v>446</v>
      </c>
      <c r="H371" s="97" t="s">
        <v>381</v>
      </c>
      <c r="I371" s="97" t="s">
        <v>374</v>
      </c>
      <c r="J371" s="98">
        <v>40320886</v>
      </c>
      <c r="K371" s="98">
        <v>0</v>
      </c>
      <c r="L371" s="97"/>
      <c r="M371" s="97"/>
      <c r="N371" s="97"/>
      <c r="O371" s="97"/>
      <c r="P371" s="97"/>
      <c r="Q371" s="97" t="s">
        <v>488</v>
      </c>
      <c r="R371" s="97"/>
      <c r="S371" s="97" t="s">
        <v>488</v>
      </c>
      <c r="T371" s="851">
        <f t="shared" si="5"/>
        <v>40320886</v>
      </c>
    </row>
    <row r="372" spans="1:20">
      <c r="A372" s="96">
        <v>45473</v>
      </c>
      <c r="B372" s="96">
        <v>45473</v>
      </c>
      <c r="C372" s="97" t="s">
        <v>510</v>
      </c>
      <c r="D372" s="96"/>
      <c r="E372" s="97"/>
      <c r="F372" s="97" t="s">
        <v>476</v>
      </c>
      <c r="G372" s="97" t="s">
        <v>446</v>
      </c>
      <c r="H372" s="97" t="s">
        <v>383</v>
      </c>
      <c r="I372" s="97" t="s">
        <v>374</v>
      </c>
      <c r="J372" s="98">
        <v>40902835</v>
      </c>
      <c r="K372" s="98">
        <v>0</v>
      </c>
      <c r="L372" s="97"/>
      <c r="M372" s="97"/>
      <c r="N372" s="97"/>
      <c r="O372" s="97"/>
      <c r="P372" s="97"/>
      <c r="Q372" s="97" t="s">
        <v>488</v>
      </c>
      <c r="R372" s="97"/>
      <c r="S372" s="97" t="s">
        <v>488</v>
      </c>
      <c r="T372" s="851">
        <f t="shared" si="5"/>
        <v>40902835</v>
      </c>
    </row>
    <row r="373" spans="1:20">
      <c r="A373" s="96">
        <v>45473</v>
      </c>
      <c r="B373" s="96">
        <v>45473</v>
      </c>
      <c r="C373" s="97" t="s">
        <v>510</v>
      </c>
      <c r="D373" s="96"/>
      <c r="E373" s="97"/>
      <c r="F373" s="97" t="s">
        <v>476</v>
      </c>
      <c r="G373" s="97" t="s">
        <v>446</v>
      </c>
      <c r="H373" s="97" t="s">
        <v>387</v>
      </c>
      <c r="I373" s="97" t="s">
        <v>374</v>
      </c>
      <c r="J373" s="98">
        <v>225918394</v>
      </c>
      <c r="K373" s="98">
        <v>0</v>
      </c>
      <c r="L373" s="97"/>
      <c r="M373" s="97"/>
      <c r="N373" s="97"/>
      <c r="O373" s="97"/>
      <c r="P373" s="97"/>
      <c r="Q373" s="97" t="s">
        <v>488</v>
      </c>
      <c r="R373" s="97"/>
      <c r="S373" s="97" t="s">
        <v>488</v>
      </c>
      <c r="T373" s="851">
        <f t="shared" si="5"/>
        <v>225918394</v>
      </c>
    </row>
    <row r="374" spans="1:20">
      <c r="A374" s="96">
        <v>45473</v>
      </c>
      <c r="B374" s="96">
        <v>45473</v>
      </c>
      <c r="C374" s="97" t="s">
        <v>510</v>
      </c>
      <c r="D374" s="96"/>
      <c r="E374" s="97"/>
      <c r="F374" s="97" t="s">
        <v>476</v>
      </c>
      <c r="G374" s="97" t="s">
        <v>446</v>
      </c>
      <c r="H374" s="97" t="s">
        <v>389</v>
      </c>
      <c r="I374" s="97" t="s">
        <v>374</v>
      </c>
      <c r="J374" s="98">
        <v>4199358</v>
      </c>
      <c r="K374" s="98">
        <v>0</v>
      </c>
      <c r="L374" s="97"/>
      <c r="M374" s="97"/>
      <c r="N374" s="97"/>
      <c r="O374" s="97"/>
      <c r="P374" s="97"/>
      <c r="Q374" s="97" t="s">
        <v>488</v>
      </c>
      <c r="R374" s="97"/>
      <c r="S374" s="97" t="s">
        <v>488</v>
      </c>
      <c r="T374" s="851">
        <f t="shared" si="5"/>
        <v>4199358</v>
      </c>
    </row>
    <row r="375" spans="1:20">
      <c r="A375" s="96">
        <v>45473</v>
      </c>
      <c r="B375" s="96">
        <v>45473</v>
      </c>
      <c r="C375" s="97" t="s">
        <v>510</v>
      </c>
      <c r="D375" s="96"/>
      <c r="E375" s="97"/>
      <c r="F375" s="97" t="s">
        <v>476</v>
      </c>
      <c r="G375" s="97" t="s">
        <v>446</v>
      </c>
      <c r="H375" s="97" t="s">
        <v>391</v>
      </c>
      <c r="I375" s="97" t="s">
        <v>374</v>
      </c>
      <c r="J375" s="98">
        <v>760751</v>
      </c>
      <c r="K375" s="98">
        <v>0</v>
      </c>
      <c r="L375" s="97"/>
      <c r="M375" s="97"/>
      <c r="N375" s="97"/>
      <c r="O375" s="97"/>
      <c r="P375" s="97"/>
      <c r="Q375" s="97" t="s">
        <v>488</v>
      </c>
      <c r="R375" s="97"/>
      <c r="S375" s="97" t="s">
        <v>488</v>
      </c>
      <c r="T375" s="851">
        <f t="shared" si="5"/>
        <v>760751</v>
      </c>
    </row>
    <row r="376" spans="1:20">
      <c r="A376" s="96">
        <v>45473</v>
      </c>
      <c r="B376" s="96">
        <v>45473</v>
      </c>
      <c r="C376" s="97" t="s">
        <v>510</v>
      </c>
      <c r="D376" s="96"/>
      <c r="E376" s="97"/>
      <c r="F376" s="97" t="s">
        <v>476</v>
      </c>
      <c r="G376" s="97" t="s">
        <v>446</v>
      </c>
      <c r="H376" s="97" t="s">
        <v>393</v>
      </c>
      <c r="I376" s="97" t="s">
        <v>374</v>
      </c>
      <c r="J376" s="98">
        <v>6684529</v>
      </c>
      <c r="K376" s="98">
        <v>0</v>
      </c>
      <c r="L376" s="97"/>
      <c r="M376" s="97"/>
      <c r="N376" s="97"/>
      <c r="O376" s="97"/>
      <c r="P376" s="97"/>
      <c r="Q376" s="97" t="s">
        <v>488</v>
      </c>
      <c r="R376" s="97"/>
      <c r="S376" s="97" t="s">
        <v>488</v>
      </c>
      <c r="T376" s="851">
        <f t="shared" si="5"/>
        <v>6684529</v>
      </c>
    </row>
    <row r="377" spans="1:20">
      <c r="A377" s="96">
        <v>45473</v>
      </c>
      <c r="B377" s="96">
        <v>45473</v>
      </c>
      <c r="C377" s="97" t="s">
        <v>510</v>
      </c>
      <c r="D377" s="96"/>
      <c r="E377" s="97"/>
      <c r="F377" s="97" t="s">
        <v>476</v>
      </c>
      <c r="G377" s="97" t="s">
        <v>446</v>
      </c>
      <c r="H377" s="97" t="s">
        <v>395</v>
      </c>
      <c r="I377" s="97" t="s">
        <v>374</v>
      </c>
      <c r="J377" s="98">
        <v>4226000</v>
      </c>
      <c r="K377" s="98">
        <v>0</v>
      </c>
      <c r="L377" s="97"/>
      <c r="M377" s="97"/>
      <c r="N377" s="97"/>
      <c r="O377" s="97"/>
      <c r="P377" s="97"/>
      <c r="Q377" s="97" t="s">
        <v>488</v>
      </c>
      <c r="R377" s="97"/>
      <c r="S377" s="97" t="s">
        <v>488</v>
      </c>
      <c r="T377" s="851">
        <f t="shared" si="5"/>
        <v>4226000</v>
      </c>
    </row>
    <row r="378" spans="1:20">
      <c r="A378" s="96">
        <v>45473</v>
      </c>
      <c r="B378" s="96">
        <v>45473</v>
      </c>
      <c r="C378" s="97" t="s">
        <v>510</v>
      </c>
      <c r="D378" s="96"/>
      <c r="E378" s="97"/>
      <c r="F378" s="97" t="s">
        <v>476</v>
      </c>
      <c r="G378" s="97" t="s">
        <v>446</v>
      </c>
      <c r="H378" s="97" t="s">
        <v>397</v>
      </c>
      <c r="I378" s="97" t="s">
        <v>374</v>
      </c>
      <c r="J378" s="98">
        <v>7239104</v>
      </c>
      <c r="K378" s="98">
        <v>0</v>
      </c>
      <c r="L378" s="97"/>
      <c r="M378" s="97"/>
      <c r="N378" s="97"/>
      <c r="O378" s="97"/>
      <c r="P378" s="97"/>
      <c r="Q378" s="97" t="s">
        <v>488</v>
      </c>
      <c r="R378" s="97"/>
      <c r="S378" s="97" t="s">
        <v>488</v>
      </c>
      <c r="T378" s="851">
        <f t="shared" si="5"/>
        <v>7239104</v>
      </c>
    </row>
    <row r="379" spans="1:20">
      <c r="A379" s="96">
        <v>45473</v>
      </c>
      <c r="B379" s="96">
        <v>45473</v>
      </c>
      <c r="C379" s="97" t="s">
        <v>510</v>
      </c>
      <c r="D379" s="96"/>
      <c r="E379" s="97"/>
      <c r="F379" s="97" t="s">
        <v>476</v>
      </c>
      <c r="G379" s="97" t="s">
        <v>446</v>
      </c>
      <c r="H379" s="97" t="s">
        <v>398</v>
      </c>
      <c r="I379" s="97" t="s">
        <v>374</v>
      </c>
      <c r="J379" s="98">
        <v>3164074</v>
      </c>
      <c r="K379" s="98">
        <v>0</v>
      </c>
      <c r="L379" s="97"/>
      <c r="M379" s="97"/>
      <c r="N379" s="97"/>
      <c r="O379" s="97"/>
      <c r="P379" s="97"/>
      <c r="Q379" s="97" t="s">
        <v>488</v>
      </c>
      <c r="R379" s="97"/>
      <c r="S379" s="97" t="s">
        <v>488</v>
      </c>
      <c r="T379" s="851">
        <f t="shared" si="5"/>
        <v>3164074</v>
      </c>
    </row>
    <row r="380" spans="1:20">
      <c r="A380" s="96">
        <v>45473</v>
      </c>
      <c r="B380" s="96">
        <v>45473</v>
      </c>
      <c r="C380" s="97" t="s">
        <v>510</v>
      </c>
      <c r="D380" s="96"/>
      <c r="E380" s="97"/>
      <c r="F380" s="97" t="s">
        <v>476</v>
      </c>
      <c r="G380" s="97" t="s">
        <v>446</v>
      </c>
      <c r="H380" s="97" t="s">
        <v>405</v>
      </c>
      <c r="I380" s="97" t="s">
        <v>374</v>
      </c>
      <c r="J380" s="98">
        <v>12000000</v>
      </c>
      <c r="K380" s="98">
        <v>0</v>
      </c>
      <c r="L380" s="97"/>
      <c r="M380" s="97"/>
      <c r="N380" s="97"/>
      <c r="O380" s="97"/>
      <c r="P380" s="97"/>
      <c r="Q380" s="97" t="s">
        <v>488</v>
      </c>
      <c r="R380" s="97"/>
      <c r="S380" s="97" t="s">
        <v>488</v>
      </c>
      <c r="T380" s="851">
        <f t="shared" si="5"/>
        <v>12000000</v>
      </c>
    </row>
    <row r="381" spans="1:20">
      <c r="A381" s="96">
        <v>45473</v>
      </c>
      <c r="B381" s="96">
        <v>45473</v>
      </c>
      <c r="C381" s="97" t="s">
        <v>510</v>
      </c>
      <c r="D381" s="96"/>
      <c r="E381" s="97"/>
      <c r="F381" s="97" t="s">
        <v>476</v>
      </c>
      <c r="G381" s="97" t="s">
        <v>446</v>
      </c>
      <c r="H381" s="97" t="s">
        <v>407</v>
      </c>
      <c r="I381" s="97" t="s">
        <v>374</v>
      </c>
      <c r="J381" s="98">
        <v>69893939</v>
      </c>
      <c r="K381" s="98">
        <v>0</v>
      </c>
      <c r="L381" s="97"/>
      <c r="M381" s="97"/>
      <c r="N381" s="97"/>
      <c r="O381" s="97"/>
      <c r="P381" s="97"/>
      <c r="Q381" s="97" t="s">
        <v>488</v>
      </c>
      <c r="R381" s="97"/>
      <c r="S381" s="97" t="s">
        <v>488</v>
      </c>
      <c r="T381" s="851">
        <f t="shared" si="5"/>
        <v>69893939</v>
      </c>
    </row>
    <row r="382" spans="1:20">
      <c r="A382" s="96">
        <v>45473</v>
      </c>
      <c r="B382" s="96">
        <v>45473</v>
      </c>
      <c r="C382" s="97" t="s">
        <v>510</v>
      </c>
      <c r="D382" s="96"/>
      <c r="E382" s="97"/>
      <c r="F382" s="97" t="s">
        <v>476</v>
      </c>
      <c r="G382" s="97" t="s">
        <v>446</v>
      </c>
      <c r="H382" s="97" t="s">
        <v>413</v>
      </c>
      <c r="I382" s="97" t="s">
        <v>374</v>
      </c>
      <c r="J382" s="98">
        <v>16562304</v>
      </c>
      <c r="K382" s="98">
        <v>0</v>
      </c>
      <c r="L382" s="97"/>
      <c r="M382" s="97"/>
      <c r="N382" s="97"/>
      <c r="O382" s="97"/>
      <c r="P382" s="97"/>
      <c r="Q382" s="97" t="s">
        <v>488</v>
      </c>
      <c r="R382" s="97"/>
      <c r="S382" s="97" t="s">
        <v>488</v>
      </c>
      <c r="T382" s="851">
        <f t="shared" si="5"/>
        <v>16562304</v>
      </c>
    </row>
    <row r="383" spans="1:20">
      <c r="A383" s="96">
        <v>45473</v>
      </c>
      <c r="B383" s="96">
        <v>45473</v>
      </c>
      <c r="C383" s="97" t="s">
        <v>510</v>
      </c>
      <c r="D383" s="96"/>
      <c r="E383" s="97"/>
      <c r="F383" s="97" t="s">
        <v>476</v>
      </c>
      <c r="G383" s="97" t="s">
        <v>446</v>
      </c>
      <c r="H383" s="97" t="s">
        <v>415</v>
      </c>
      <c r="I383" s="97" t="s">
        <v>374</v>
      </c>
      <c r="J383" s="98">
        <v>2181818</v>
      </c>
      <c r="K383" s="98">
        <v>0</v>
      </c>
      <c r="L383" s="97"/>
      <c r="M383" s="97"/>
      <c r="N383" s="97"/>
      <c r="O383" s="97"/>
      <c r="P383" s="97"/>
      <c r="Q383" s="97" t="s">
        <v>488</v>
      </c>
      <c r="R383" s="97"/>
      <c r="S383" s="97" t="s">
        <v>488</v>
      </c>
      <c r="T383" s="851">
        <f t="shared" si="5"/>
        <v>2181818</v>
      </c>
    </row>
    <row r="384" spans="1:20">
      <c r="A384" s="96">
        <v>45473</v>
      </c>
      <c r="B384" s="96">
        <v>45473</v>
      </c>
      <c r="C384" s="97" t="s">
        <v>510</v>
      </c>
      <c r="D384" s="96"/>
      <c r="E384" s="97"/>
      <c r="F384" s="97" t="s">
        <v>476</v>
      </c>
      <c r="G384" s="97" t="s">
        <v>446</v>
      </c>
      <c r="H384" s="97" t="s">
        <v>419</v>
      </c>
      <c r="I384" s="97" t="s">
        <v>374</v>
      </c>
      <c r="J384" s="98">
        <v>1950000</v>
      </c>
      <c r="K384" s="98">
        <v>0</v>
      </c>
      <c r="L384" s="97"/>
      <c r="M384" s="97"/>
      <c r="N384" s="97"/>
      <c r="O384" s="97"/>
      <c r="P384" s="97"/>
      <c r="Q384" s="97" t="s">
        <v>488</v>
      </c>
      <c r="R384" s="97"/>
      <c r="S384" s="97" t="s">
        <v>488</v>
      </c>
      <c r="T384" s="851">
        <f t="shared" si="5"/>
        <v>1950000</v>
      </c>
    </row>
    <row r="385" spans="1:20">
      <c r="A385" s="96">
        <v>45473</v>
      </c>
      <c r="B385" s="96">
        <v>45473</v>
      </c>
      <c r="C385" s="97" t="s">
        <v>510</v>
      </c>
      <c r="D385" s="96"/>
      <c r="E385" s="97"/>
      <c r="F385" s="97" t="s">
        <v>476</v>
      </c>
      <c r="G385" s="97" t="s">
        <v>446</v>
      </c>
      <c r="H385" s="97" t="s">
        <v>421</v>
      </c>
      <c r="I385" s="97" t="s">
        <v>374</v>
      </c>
      <c r="J385" s="98">
        <v>195585886</v>
      </c>
      <c r="K385" s="98">
        <v>0</v>
      </c>
      <c r="L385" s="97"/>
      <c r="M385" s="97"/>
      <c r="N385" s="97"/>
      <c r="O385" s="97"/>
      <c r="P385" s="97"/>
      <c r="Q385" s="97" t="s">
        <v>488</v>
      </c>
      <c r="R385" s="97"/>
      <c r="S385" s="97" t="s">
        <v>488</v>
      </c>
      <c r="T385" s="851">
        <f t="shared" si="5"/>
        <v>195585886</v>
      </c>
    </row>
    <row r="386" spans="1:20">
      <c r="A386" s="96">
        <v>45473</v>
      </c>
      <c r="B386" s="96">
        <v>45473</v>
      </c>
      <c r="C386" s="97" t="s">
        <v>510</v>
      </c>
      <c r="D386" s="96"/>
      <c r="E386" s="97"/>
      <c r="F386" s="97" t="s">
        <v>476</v>
      </c>
      <c r="G386" s="97" t="s">
        <v>446</v>
      </c>
      <c r="H386" s="97" t="s">
        <v>424</v>
      </c>
      <c r="I386" s="97" t="s">
        <v>374</v>
      </c>
      <c r="J386" s="98">
        <v>17452500</v>
      </c>
      <c r="K386" s="98">
        <v>0</v>
      </c>
      <c r="L386" s="97"/>
      <c r="M386" s="97"/>
      <c r="N386" s="97"/>
      <c r="O386" s="97"/>
      <c r="P386" s="97"/>
      <c r="Q386" s="97" t="s">
        <v>488</v>
      </c>
      <c r="R386" s="97"/>
      <c r="S386" s="97" t="s">
        <v>488</v>
      </c>
      <c r="T386" s="851">
        <f t="shared" si="5"/>
        <v>17452500</v>
      </c>
    </row>
    <row r="387" spans="1:20">
      <c r="A387" s="96">
        <v>45473</v>
      </c>
      <c r="B387" s="96">
        <v>45473</v>
      </c>
      <c r="C387" s="97" t="s">
        <v>510</v>
      </c>
      <c r="D387" s="96"/>
      <c r="E387" s="97"/>
      <c r="F387" s="97" t="s">
        <v>476</v>
      </c>
      <c r="G387" s="97" t="s">
        <v>446</v>
      </c>
      <c r="H387" s="97" t="s">
        <v>425</v>
      </c>
      <c r="I387" s="97" t="s">
        <v>374</v>
      </c>
      <c r="J387" s="98">
        <v>4202560</v>
      </c>
      <c r="K387" s="98">
        <v>0</v>
      </c>
      <c r="L387" s="97"/>
      <c r="M387" s="97"/>
      <c r="N387" s="97"/>
      <c r="O387" s="97"/>
      <c r="P387" s="97"/>
      <c r="Q387" s="97" t="s">
        <v>488</v>
      </c>
      <c r="R387" s="97"/>
      <c r="S387" s="97" t="s">
        <v>488</v>
      </c>
      <c r="T387" s="851">
        <f t="shared" si="5"/>
        <v>4202560</v>
      </c>
    </row>
    <row r="388" spans="1:20">
      <c r="A388" s="96">
        <v>45473</v>
      </c>
      <c r="B388" s="96">
        <v>45473</v>
      </c>
      <c r="C388" s="97" t="s">
        <v>510</v>
      </c>
      <c r="D388" s="96"/>
      <c r="E388" s="97"/>
      <c r="F388" s="97" t="s">
        <v>476</v>
      </c>
      <c r="G388" s="97" t="s">
        <v>446</v>
      </c>
      <c r="H388" s="97" t="s">
        <v>427</v>
      </c>
      <c r="I388" s="97" t="s">
        <v>374</v>
      </c>
      <c r="J388" s="98">
        <v>5444052</v>
      </c>
      <c r="K388" s="98">
        <v>0</v>
      </c>
      <c r="L388" s="97"/>
      <c r="M388" s="97"/>
      <c r="N388" s="97"/>
      <c r="O388" s="97"/>
      <c r="P388" s="97"/>
      <c r="Q388" s="97" t="s">
        <v>488</v>
      </c>
      <c r="R388" s="97"/>
      <c r="S388" s="97" t="s">
        <v>488</v>
      </c>
      <c r="T388" s="851">
        <f t="shared" si="5"/>
        <v>5444052</v>
      </c>
    </row>
    <row r="389" spans="1:20">
      <c r="A389" s="96">
        <v>45473</v>
      </c>
      <c r="B389" s="96">
        <v>45473</v>
      </c>
      <c r="C389" s="97" t="s">
        <v>510</v>
      </c>
      <c r="D389" s="96"/>
      <c r="E389" s="97"/>
      <c r="F389" s="97" t="s">
        <v>476</v>
      </c>
      <c r="G389" s="97" t="s">
        <v>446</v>
      </c>
      <c r="H389" s="97" t="s">
        <v>431</v>
      </c>
      <c r="I389" s="97" t="s">
        <v>374</v>
      </c>
      <c r="J389" s="98">
        <v>628922</v>
      </c>
      <c r="K389" s="98">
        <v>0</v>
      </c>
      <c r="L389" s="97"/>
      <c r="M389" s="97"/>
      <c r="N389" s="97"/>
      <c r="O389" s="97"/>
      <c r="P389" s="97"/>
      <c r="Q389" s="97" t="s">
        <v>488</v>
      </c>
      <c r="R389" s="97"/>
      <c r="S389" s="97" t="s">
        <v>488</v>
      </c>
      <c r="T389" s="851">
        <f t="shared" ref="T389:T452" si="6">J389-K389</f>
        <v>628922</v>
      </c>
    </row>
    <row r="390" spans="1:20">
      <c r="A390" s="96">
        <v>45473</v>
      </c>
      <c r="B390" s="96">
        <v>45473</v>
      </c>
      <c r="C390" s="97" t="s">
        <v>510</v>
      </c>
      <c r="D390" s="96"/>
      <c r="E390" s="97"/>
      <c r="F390" s="97" t="s">
        <v>476</v>
      </c>
      <c r="G390" s="97" t="s">
        <v>446</v>
      </c>
      <c r="H390" s="97" t="s">
        <v>435</v>
      </c>
      <c r="I390" s="97" t="s">
        <v>374</v>
      </c>
      <c r="J390" s="98">
        <v>18594267</v>
      </c>
      <c r="K390" s="98">
        <v>0</v>
      </c>
      <c r="L390" s="97"/>
      <c r="M390" s="97"/>
      <c r="N390" s="97"/>
      <c r="O390" s="97"/>
      <c r="P390" s="97"/>
      <c r="Q390" s="97" t="s">
        <v>488</v>
      </c>
      <c r="R390" s="97"/>
      <c r="S390" s="97" t="s">
        <v>488</v>
      </c>
      <c r="T390" s="851">
        <f t="shared" si="6"/>
        <v>18594267</v>
      </c>
    </row>
    <row r="391" spans="1:20">
      <c r="A391" s="96">
        <v>45473</v>
      </c>
      <c r="B391" s="96">
        <v>45473</v>
      </c>
      <c r="C391" s="97" t="s">
        <v>510</v>
      </c>
      <c r="D391" s="96"/>
      <c r="E391" s="97"/>
      <c r="F391" s="97" t="s">
        <v>478</v>
      </c>
      <c r="G391" s="97" t="s">
        <v>446</v>
      </c>
      <c r="H391" s="97" t="s">
        <v>444</v>
      </c>
      <c r="I391" s="97" t="s">
        <v>444</v>
      </c>
      <c r="J391" s="98">
        <v>24486032327</v>
      </c>
      <c r="K391" s="98">
        <v>0</v>
      </c>
      <c r="L391" s="97"/>
      <c r="M391" s="97"/>
      <c r="N391" s="97"/>
      <c r="O391" s="97"/>
      <c r="P391" s="97"/>
      <c r="Q391" s="97" t="s">
        <v>488</v>
      </c>
      <c r="R391" s="97"/>
      <c r="S391" s="97"/>
      <c r="T391" s="851">
        <f t="shared" si="6"/>
        <v>24486032327</v>
      </c>
    </row>
    <row r="392" spans="1:20">
      <c r="A392" s="96">
        <v>45473</v>
      </c>
      <c r="B392" s="96">
        <v>45473</v>
      </c>
      <c r="C392" s="97" t="s">
        <v>510</v>
      </c>
      <c r="D392" s="96"/>
      <c r="E392" s="97"/>
      <c r="F392" s="97" t="s">
        <v>479</v>
      </c>
      <c r="G392" s="97" t="s">
        <v>446</v>
      </c>
      <c r="H392" s="97" t="s">
        <v>217</v>
      </c>
      <c r="I392" s="97" t="s">
        <v>213</v>
      </c>
      <c r="J392" s="98">
        <v>0</v>
      </c>
      <c r="K392" s="98">
        <v>21268287223</v>
      </c>
      <c r="L392" s="97"/>
      <c r="M392" s="97"/>
      <c r="N392" s="97"/>
      <c r="O392" s="97"/>
      <c r="P392" s="97"/>
      <c r="Q392" s="97" t="s">
        <v>488</v>
      </c>
      <c r="R392" s="97"/>
      <c r="S392" s="97"/>
      <c r="T392" s="851">
        <f t="shared" si="6"/>
        <v>-21268287223</v>
      </c>
    </row>
    <row r="393" spans="1:20">
      <c r="A393" s="96">
        <v>45504</v>
      </c>
      <c r="B393" s="96">
        <v>45504</v>
      </c>
      <c r="C393" s="97" t="s">
        <v>511</v>
      </c>
      <c r="D393" s="96"/>
      <c r="E393" s="97"/>
      <c r="F393" s="97" t="s">
        <v>468</v>
      </c>
      <c r="G393" s="97" t="s">
        <v>446</v>
      </c>
      <c r="H393" s="97" t="s">
        <v>225</v>
      </c>
      <c r="I393" s="97" t="s">
        <v>219</v>
      </c>
      <c r="J393" s="98">
        <v>0</v>
      </c>
      <c r="K393" s="98">
        <v>1899000</v>
      </c>
      <c r="L393" s="97"/>
      <c r="M393" s="97"/>
      <c r="N393" s="97"/>
      <c r="O393" s="97"/>
      <c r="P393" s="97"/>
      <c r="Q393" s="97" t="s">
        <v>488</v>
      </c>
      <c r="R393" s="97"/>
      <c r="S393" s="97"/>
      <c r="T393" s="851">
        <f t="shared" si="6"/>
        <v>-1899000</v>
      </c>
    </row>
    <row r="394" spans="1:20">
      <c r="A394" s="96">
        <v>45504</v>
      </c>
      <c r="B394" s="96">
        <v>45504</v>
      </c>
      <c r="C394" s="97" t="s">
        <v>511</v>
      </c>
      <c r="D394" s="96"/>
      <c r="E394" s="97"/>
      <c r="F394" s="97" t="s">
        <v>468</v>
      </c>
      <c r="G394" s="97" t="s">
        <v>446</v>
      </c>
      <c r="H394" s="97" t="s">
        <v>227</v>
      </c>
      <c r="I394" s="97" t="s">
        <v>219</v>
      </c>
      <c r="J394" s="98">
        <v>0</v>
      </c>
      <c r="K394" s="98">
        <v>6957000</v>
      </c>
      <c r="L394" s="97"/>
      <c r="M394" s="97"/>
      <c r="N394" s="97"/>
      <c r="O394" s="97"/>
      <c r="P394" s="97"/>
      <c r="Q394" s="97" t="s">
        <v>488</v>
      </c>
      <c r="R394" s="97"/>
      <c r="S394" s="97"/>
      <c r="T394" s="851">
        <f t="shared" si="6"/>
        <v>-6957000</v>
      </c>
    </row>
    <row r="395" spans="1:20">
      <c r="A395" s="96">
        <v>45504</v>
      </c>
      <c r="B395" s="96">
        <v>45504</v>
      </c>
      <c r="C395" s="97" t="s">
        <v>511</v>
      </c>
      <c r="D395" s="96"/>
      <c r="E395" s="97"/>
      <c r="F395" s="97" t="s">
        <v>468</v>
      </c>
      <c r="G395" s="97" t="s">
        <v>446</v>
      </c>
      <c r="H395" s="97" t="s">
        <v>229</v>
      </c>
      <c r="I395" s="97" t="s">
        <v>219</v>
      </c>
      <c r="J395" s="98">
        <v>0</v>
      </c>
      <c r="K395" s="98">
        <v>59483510</v>
      </c>
      <c r="L395" s="97"/>
      <c r="M395" s="97"/>
      <c r="N395" s="97"/>
      <c r="O395" s="97"/>
      <c r="P395" s="97"/>
      <c r="Q395" s="97" t="s">
        <v>488</v>
      </c>
      <c r="R395" s="97"/>
      <c r="S395" s="97"/>
      <c r="T395" s="851">
        <f t="shared" si="6"/>
        <v>-59483510</v>
      </c>
    </row>
    <row r="396" spans="1:20">
      <c r="A396" s="96">
        <v>45504</v>
      </c>
      <c r="B396" s="96">
        <v>45504</v>
      </c>
      <c r="C396" s="97" t="s">
        <v>511</v>
      </c>
      <c r="D396" s="96"/>
      <c r="E396" s="97"/>
      <c r="F396" s="97" t="s">
        <v>468</v>
      </c>
      <c r="G396" s="97" t="s">
        <v>446</v>
      </c>
      <c r="H396" s="97" t="s">
        <v>231</v>
      </c>
      <c r="I396" s="97" t="s">
        <v>219</v>
      </c>
      <c r="J396" s="98">
        <v>0</v>
      </c>
      <c r="K396" s="98">
        <v>83002282</v>
      </c>
      <c r="L396" s="97"/>
      <c r="M396" s="97"/>
      <c r="N396" s="97"/>
      <c r="O396" s="97"/>
      <c r="P396" s="97"/>
      <c r="Q396" s="97" t="s">
        <v>488</v>
      </c>
      <c r="R396" s="97"/>
      <c r="S396" s="97"/>
      <c r="T396" s="851">
        <f t="shared" si="6"/>
        <v>-83002282</v>
      </c>
    </row>
    <row r="397" spans="1:20">
      <c r="A397" s="96">
        <v>45504</v>
      </c>
      <c r="B397" s="96">
        <v>45504</v>
      </c>
      <c r="C397" s="97" t="s">
        <v>511</v>
      </c>
      <c r="D397" s="96"/>
      <c r="E397" s="97"/>
      <c r="F397" s="97" t="s">
        <v>468</v>
      </c>
      <c r="G397" s="97" t="s">
        <v>446</v>
      </c>
      <c r="H397" s="97" t="s">
        <v>233</v>
      </c>
      <c r="I397" s="97" t="s">
        <v>219</v>
      </c>
      <c r="J397" s="98">
        <v>0</v>
      </c>
      <c r="K397" s="98">
        <v>936000</v>
      </c>
      <c r="L397" s="97"/>
      <c r="M397" s="97"/>
      <c r="N397" s="97"/>
      <c r="O397" s="97"/>
      <c r="P397" s="97"/>
      <c r="Q397" s="97" t="s">
        <v>488</v>
      </c>
      <c r="R397" s="97"/>
      <c r="S397" s="97"/>
      <c r="T397" s="851">
        <f t="shared" si="6"/>
        <v>-936000</v>
      </c>
    </row>
    <row r="398" spans="1:20">
      <c r="A398" s="96">
        <v>45504</v>
      </c>
      <c r="B398" s="96">
        <v>45504</v>
      </c>
      <c r="C398" s="97" t="s">
        <v>511</v>
      </c>
      <c r="D398" s="96"/>
      <c r="E398" s="97"/>
      <c r="F398" s="97" t="s">
        <v>468</v>
      </c>
      <c r="G398" s="97" t="s">
        <v>446</v>
      </c>
      <c r="H398" s="97" t="s">
        <v>235</v>
      </c>
      <c r="I398" s="97" t="s">
        <v>219</v>
      </c>
      <c r="J398" s="98">
        <v>0</v>
      </c>
      <c r="K398" s="98">
        <v>10810731</v>
      </c>
      <c r="L398" s="97"/>
      <c r="M398" s="97"/>
      <c r="N398" s="97"/>
      <c r="O398" s="97"/>
      <c r="P398" s="97"/>
      <c r="Q398" s="97" t="s">
        <v>488</v>
      </c>
      <c r="R398" s="97"/>
      <c r="S398" s="97"/>
      <c r="T398" s="851">
        <f t="shared" si="6"/>
        <v>-10810731</v>
      </c>
    </row>
    <row r="399" spans="1:20">
      <c r="A399" s="96">
        <v>45504</v>
      </c>
      <c r="B399" s="96">
        <v>45504</v>
      </c>
      <c r="C399" s="97" t="s">
        <v>511</v>
      </c>
      <c r="D399" s="96"/>
      <c r="E399" s="97"/>
      <c r="F399" s="97" t="s">
        <v>468</v>
      </c>
      <c r="G399" s="97" t="s">
        <v>446</v>
      </c>
      <c r="H399" s="97" t="s">
        <v>237</v>
      </c>
      <c r="I399" s="97" t="s">
        <v>219</v>
      </c>
      <c r="J399" s="98">
        <v>0</v>
      </c>
      <c r="K399" s="98">
        <v>288482</v>
      </c>
      <c r="L399" s="97"/>
      <c r="M399" s="97"/>
      <c r="N399" s="97"/>
      <c r="O399" s="97"/>
      <c r="P399" s="97"/>
      <c r="Q399" s="97" t="s">
        <v>488</v>
      </c>
      <c r="R399" s="97"/>
      <c r="S399" s="97"/>
      <c r="T399" s="851">
        <f t="shared" si="6"/>
        <v>-288482</v>
      </c>
    </row>
    <row r="400" spans="1:20">
      <c r="A400" s="96">
        <v>45504</v>
      </c>
      <c r="B400" s="96">
        <v>45504</v>
      </c>
      <c r="C400" s="97" t="s">
        <v>511</v>
      </c>
      <c r="D400" s="96"/>
      <c r="E400" s="97"/>
      <c r="F400" s="97" t="s">
        <v>468</v>
      </c>
      <c r="G400" s="97" t="s">
        <v>446</v>
      </c>
      <c r="H400" s="97" t="s">
        <v>241</v>
      </c>
      <c r="I400" s="97" t="s">
        <v>219</v>
      </c>
      <c r="J400" s="98">
        <v>0</v>
      </c>
      <c r="K400" s="98">
        <v>1561072</v>
      </c>
      <c r="L400" s="97"/>
      <c r="M400" s="97"/>
      <c r="N400" s="97"/>
      <c r="O400" s="97"/>
      <c r="P400" s="97"/>
      <c r="Q400" s="97" t="s">
        <v>488</v>
      </c>
      <c r="R400" s="97"/>
      <c r="S400" s="97"/>
      <c r="T400" s="851">
        <f t="shared" si="6"/>
        <v>-1561072</v>
      </c>
    </row>
    <row r="401" spans="1:20">
      <c r="A401" s="96">
        <v>45504</v>
      </c>
      <c r="B401" s="96">
        <v>45504</v>
      </c>
      <c r="C401" s="97" t="s">
        <v>511</v>
      </c>
      <c r="D401" s="96"/>
      <c r="E401" s="97"/>
      <c r="F401" s="97" t="s">
        <v>468</v>
      </c>
      <c r="G401" s="97" t="s">
        <v>446</v>
      </c>
      <c r="H401" s="97" t="s">
        <v>243</v>
      </c>
      <c r="I401" s="97" t="s">
        <v>219</v>
      </c>
      <c r="J401" s="98">
        <v>0</v>
      </c>
      <c r="K401" s="98">
        <v>324540541</v>
      </c>
      <c r="L401" s="97"/>
      <c r="M401" s="97"/>
      <c r="N401" s="97"/>
      <c r="O401" s="97"/>
      <c r="P401" s="97"/>
      <c r="Q401" s="97" t="s">
        <v>488</v>
      </c>
      <c r="R401" s="97"/>
      <c r="S401" s="97"/>
      <c r="T401" s="851">
        <f t="shared" si="6"/>
        <v>-324540541</v>
      </c>
    </row>
    <row r="402" spans="1:20">
      <c r="A402" s="96">
        <v>45504</v>
      </c>
      <c r="B402" s="96">
        <v>45504</v>
      </c>
      <c r="C402" s="97" t="s">
        <v>511</v>
      </c>
      <c r="D402" s="96"/>
      <c r="E402" s="97"/>
      <c r="F402" s="97" t="s">
        <v>472</v>
      </c>
      <c r="G402" s="97" t="s">
        <v>446</v>
      </c>
      <c r="H402" s="97" t="s">
        <v>249</v>
      </c>
      <c r="I402" s="97" t="s">
        <v>247</v>
      </c>
      <c r="J402" s="98">
        <v>0</v>
      </c>
      <c r="K402" s="98">
        <v>12610249816</v>
      </c>
      <c r="L402" s="97"/>
      <c r="M402" s="97"/>
      <c r="N402" s="97"/>
      <c r="O402" s="97"/>
      <c r="P402" s="97"/>
      <c r="Q402" s="97" t="s">
        <v>488</v>
      </c>
      <c r="R402" s="97"/>
      <c r="S402" s="97"/>
      <c r="T402" s="851">
        <f t="shared" si="6"/>
        <v>-12610249816</v>
      </c>
    </row>
    <row r="403" spans="1:20">
      <c r="A403" s="96">
        <v>45504</v>
      </c>
      <c r="B403" s="96">
        <v>45504</v>
      </c>
      <c r="C403" s="97" t="s">
        <v>511</v>
      </c>
      <c r="D403" s="96"/>
      <c r="E403" s="97"/>
      <c r="F403" s="97" t="s">
        <v>472</v>
      </c>
      <c r="G403" s="97" t="s">
        <v>446</v>
      </c>
      <c r="H403" s="97" t="s">
        <v>255</v>
      </c>
      <c r="I403" s="97" t="s">
        <v>247</v>
      </c>
      <c r="J403" s="98">
        <v>0</v>
      </c>
      <c r="K403" s="98">
        <v>1482880883</v>
      </c>
      <c r="L403" s="97"/>
      <c r="M403" s="97"/>
      <c r="N403" s="97"/>
      <c r="O403" s="97"/>
      <c r="P403" s="97"/>
      <c r="Q403" s="97" t="s">
        <v>488</v>
      </c>
      <c r="R403" s="97"/>
      <c r="S403" s="97"/>
      <c r="T403" s="851">
        <f t="shared" si="6"/>
        <v>-1482880883</v>
      </c>
    </row>
    <row r="404" spans="1:20">
      <c r="A404" s="96">
        <v>45504</v>
      </c>
      <c r="B404" s="96">
        <v>45504</v>
      </c>
      <c r="C404" s="97" t="s">
        <v>511</v>
      </c>
      <c r="D404" s="96"/>
      <c r="E404" s="97"/>
      <c r="F404" s="97" t="s">
        <v>472</v>
      </c>
      <c r="G404" s="97" t="s">
        <v>446</v>
      </c>
      <c r="H404" s="97" t="s">
        <v>257</v>
      </c>
      <c r="I404" s="97" t="s">
        <v>247</v>
      </c>
      <c r="J404" s="98">
        <v>0</v>
      </c>
      <c r="K404" s="98">
        <v>22770334812</v>
      </c>
      <c r="L404" s="97"/>
      <c r="M404" s="97"/>
      <c r="N404" s="97"/>
      <c r="O404" s="97"/>
      <c r="P404" s="97"/>
      <c r="Q404" s="97" t="s">
        <v>488</v>
      </c>
      <c r="R404" s="97"/>
      <c r="S404" s="97"/>
      <c r="T404" s="851">
        <f t="shared" si="6"/>
        <v>-22770334812</v>
      </c>
    </row>
    <row r="405" spans="1:20">
      <c r="A405" s="96">
        <v>45504</v>
      </c>
      <c r="B405" s="96">
        <v>45504</v>
      </c>
      <c r="C405" s="97" t="s">
        <v>511</v>
      </c>
      <c r="D405" s="96"/>
      <c r="E405" s="97"/>
      <c r="F405" s="97" t="s">
        <v>472</v>
      </c>
      <c r="G405" s="97" t="s">
        <v>446</v>
      </c>
      <c r="H405" s="97" t="s">
        <v>259</v>
      </c>
      <c r="I405" s="97" t="s">
        <v>247</v>
      </c>
      <c r="J405" s="98">
        <v>0</v>
      </c>
      <c r="K405" s="98">
        <v>995589407</v>
      </c>
      <c r="L405" s="97"/>
      <c r="M405" s="97"/>
      <c r="N405" s="97"/>
      <c r="O405" s="97"/>
      <c r="P405" s="97"/>
      <c r="Q405" s="97" t="s">
        <v>488</v>
      </c>
      <c r="R405" s="97"/>
      <c r="S405" s="97"/>
      <c r="T405" s="851">
        <f t="shared" si="6"/>
        <v>-995589407</v>
      </c>
    </row>
    <row r="406" spans="1:20">
      <c r="A406" s="96">
        <v>45504</v>
      </c>
      <c r="B406" s="96">
        <v>45504</v>
      </c>
      <c r="C406" s="97" t="s">
        <v>511</v>
      </c>
      <c r="D406" s="96"/>
      <c r="E406" s="97"/>
      <c r="F406" s="97" t="s">
        <v>472</v>
      </c>
      <c r="G406" s="97" t="s">
        <v>446</v>
      </c>
      <c r="H406" s="97" t="s">
        <v>745</v>
      </c>
      <c r="I406" s="97" t="s">
        <v>247</v>
      </c>
      <c r="J406" s="98">
        <v>0</v>
      </c>
      <c r="K406" s="98">
        <v>1889054458</v>
      </c>
      <c r="L406" s="97"/>
      <c r="M406" s="97"/>
      <c r="N406" s="97"/>
      <c r="O406" s="97"/>
      <c r="P406" s="97"/>
      <c r="Q406" s="97" t="s">
        <v>488</v>
      </c>
      <c r="R406" s="97"/>
      <c r="S406" s="97"/>
      <c r="T406" s="851">
        <f t="shared" si="6"/>
        <v>-1889054458</v>
      </c>
    </row>
    <row r="407" spans="1:20">
      <c r="A407" s="96">
        <v>45504</v>
      </c>
      <c r="B407" s="96">
        <v>45504</v>
      </c>
      <c r="C407" s="97" t="s">
        <v>511</v>
      </c>
      <c r="D407" s="96"/>
      <c r="E407" s="97"/>
      <c r="F407" s="97" t="s">
        <v>472</v>
      </c>
      <c r="G407" s="97" t="s">
        <v>446</v>
      </c>
      <c r="H407" s="97" t="s">
        <v>263</v>
      </c>
      <c r="I407" s="97" t="s">
        <v>247</v>
      </c>
      <c r="J407" s="98">
        <v>0</v>
      </c>
      <c r="K407" s="98">
        <v>1776112</v>
      </c>
      <c r="L407" s="97"/>
      <c r="M407" s="97"/>
      <c r="N407" s="97"/>
      <c r="O407" s="97"/>
      <c r="P407" s="97"/>
      <c r="Q407" s="97" t="s">
        <v>488</v>
      </c>
      <c r="R407" s="97"/>
      <c r="S407" s="97"/>
      <c r="T407" s="851">
        <f t="shared" si="6"/>
        <v>-1776112</v>
      </c>
    </row>
    <row r="408" spans="1:20">
      <c r="A408" s="96">
        <v>45504</v>
      </c>
      <c r="B408" s="96">
        <v>45504</v>
      </c>
      <c r="C408" s="97" t="s">
        <v>511</v>
      </c>
      <c r="D408" s="96"/>
      <c r="E408" s="97"/>
      <c r="F408" s="97" t="s">
        <v>472</v>
      </c>
      <c r="G408" s="97" t="s">
        <v>446</v>
      </c>
      <c r="H408" s="97" t="s">
        <v>251</v>
      </c>
      <c r="I408" s="97" t="s">
        <v>247</v>
      </c>
      <c r="J408" s="98">
        <v>21007510652</v>
      </c>
      <c r="K408" s="98">
        <v>0</v>
      </c>
      <c r="L408" s="97"/>
      <c r="M408" s="97"/>
      <c r="N408" s="97"/>
      <c r="O408" s="97"/>
      <c r="P408" s="97"/>
      <c r="Q408" s="97" t="s">
        <v>488</v>
      </c>
      <c r="R408" s="97"/>
      <c r="S408" s="97"/>
      <c r="T408" s="851">
        <f t="shared" si="6"/>
        <v>21007510652</v>
      </c>
    </row>
    <row r="409" spans="1:20">
      <c r="A409" s="96">
        <v>45504</v>
      </c>
      <c r="B409" s="96">
        <v>45504</v>
      </c>
      <c r="C409" s="97" t="s">
        <v>511</v>
      </c>
      <c r="D409" s="96"/>
      <c r="E409" s="97"/>
      <c r="F409" s="97" t="s">
        <v>473</v>
      </c>
      <c r="G409" s="97" t="s">
        <v>446</v>
      </c>
      <c r="H409" s="97" t="s">
        <v>303</v>
      </c>
      <c r="I409" s="97" t="s">
        <v>303</v>
      </c>
      <c r="J409" s="98">
        <v>1070743760</v>
      </c>
      <c r="K409" s="98">
        <v>0</v>
      </c>
      <c r="L409" s="97"/>
      <c r="M409" s="97"/>
      <c r="N409" s="97"/>
      <c r="O409" s="97"/>
      <c r="P409" s="97"/>
      <c r="Q409" s="97" t="s">
        <v>488</v>
      </c>
      <c r="R409" s="97"/>
      <c r="S409" s="97"/>
      <c r="T409" s="851">
        <f t="shared" si="6"/>
        <v>1070743760</v>
      </c>
    </row>
    <row r="410" spans="1:20">
      <c r="A410" s="96">
        <v>45504</v>
      </c>
      <c r="B410" s="96">
        <v>45504</v>
      </c>
      <c r="C410" s="97" t="s">
        <v>511</v>
      </c>
      <c r="D410" s="96"/>
      <c r="E410" s="97"/>
      <c r="F410" s="97" t="s">
        <v>474</v>
      </c>
      <c r="G410" s="97" t="s">
        <v>446</v>
      </c>
      <c r="H410" s="97" t="s">
        <v>309</v>
      </c>
      <c r="I410" s="97" t="s">
        <v>305</v>
      </c>
      <c r="J410" s="98">
        <v>0</v>
      </c>
      <c r="K410" s="98">
        <v>590847119</v>
      </c>
      <c r="L410" s="97"/>
      <c r="M410" s="97"/>
      <c r="N410" s="97"/>
      <c r="O410" s="97"/>
      <c r="P410" s="97"/>
      <c r="Q410" s="97" t="s">
        <v>488</v>
      </c>
      <c r="R410" s="97"/>
      <c r="S410" s="97"/>
      <c r="T410" s="851">
        <f t="shared" si="6"/>
        <v>-590847119</v>
      </c>
    </row>
    <row r="411" spans="1:20">
      <c r="A411" s="96">
        <v>45504</v>
      </c>
      <c r="B411" s="96">
        <v>45504</v>
      </c>
      <c r="C411" s="97" t="s">
        <v>511</v>
      </c>
      <c r="D411" s="96"/>
      <c r="E411" s="97"/>
      <c r="F411" s="97" t="s">
        <v>474</v>
      </c>
      <c r="G411" s="97" t="s">
        <v>446</v>
      </c>
      <c r="H411" s="97" t="s">
        <v>329</v>
      </c>
      <c r="I411" s="97" t="s">
        <v>305</v>
      </c>
      <c r="J411" s="98">
        <v>0</v>
      </c>
      <c r="K411" s="98">
        <v>9022973</v>
      </c>
      <c r="L411" s="97"/>
      <c r="M411" s="97"/>
      <c r="N411" s="97"/>
      <c r="O411" s="97"/>
      <c r="P411" s="97"/>
      <c r="Q411" s="97" t="s">
        <v>488</v>
      </c>
      <c r="R411" s="97"/>
      <c r="S411" s="97"/>
      <c r="T411" s="851">
        <f t="shared" si="6"/>
        <v>-9022973</v>
      </c>
    </row>
    <row r="412" spans="1:20">
      <c r="A412" s="96">
        <v>45504</v>
      </c>
      <c r="B412" s="96">
        <v>45504</v>
      </c>
      <c r="C412" s="97" t="s">
        <v>511</v>
      </c>
      <c r="D412" s="96"/>
      <c r="E412" s="97"/>
      <c r="F412" s="97" t="s">
        <v>474</v>
      </c>
      <c r="G412" s="97" t="s">
        <v>446</v>
      </c>
      <c r="H412" s="97" t="s">
        <v>313</v>
      </c>
      <c r="I412" s="97" t="s">
        <v>305</v>
      </c>
      <c r="J412" s="98">
        <v>232519004</v>
      </c>
      <c r="K412" s="98">
        <v>0</v>
      </c>
      <c r="L412" s="97"/>
      <c r="M412" s="97"/>
      <c r="N412" s="97"/>
      <c r="O412" s="97"/>
      <c r="P412" s="97"/>
      <c r="Q412" s="97" t="s">
        <v>488</v>
      </c>
      <c r="R412" s="97"/>
      <c r="S412" s="97"/>
      <c r="T412" s="851">
        <f t="shared" si="6"/>
        <v>232519004</v>
      </c>
    </row>
    <row r="413" spans="1:20">
      <c r="A413" s="96">
        <v>45504</v>
      </c>
      <c r="B413" s="96">
        <v>45504</v>
      </c>
      <c r="C413" s="97" t="s">
        <v>511</v>
      </c>
      <c r="D413" s="96"/>
      <c r="E413" s="97"/>
      <c r="F413" s="97" t="s">
        <v>474</v>
      </c>
      <c r="G413" s="97" t="s">
        <v>446</v>
      </c>
      <c r="H413" s="97" t="s">
        <v>317</v>
      </c>
      <c r="I413" s="97" t="s">
        <v>305</v>
      </c>
      <c r="J413" s="98">
        <v>225771974</v>
      </c>
      <c r="K413" s="98">
        <v>0</v>
      </c>
      <c r="L413" s="97"/>
      <c r="M413" s="97"/>
      <c r="N413" s="97"/>
      <c r="O413" s="97"/>
      <c r="P413" s="97"/>
      <c r="Q413" s="97" t="s">
        <v>488</v>
      </c>
      <c r="R413" s="97"/>
      <c r="S413" s="97"/>
      <c r="T413" s="851">
        <f t="shared" si="6"/>
        <v>225771974</v>
      </c>
    </row>
    <row r="414" spans="1:20">
      <c r="A414" s="96">
        <v>45504</v>
      </c>
      <c r="B414" s="96">
        <v>45504</v>
      </c>
      <c r="C414" s="97" t="s">
        <v>511</v>
      </c>
      <c r="D414" s="96"/>
      <c r="E414" s="97"/>
      <c r="F414" s="97" t="s">
        <v>474</v>
      </c>
      <c r="G414" s="97" t="s">
        <v>446</v>
      </c>
      <c r="H414" s="97" t="s">
        <v>325</v>
      </c>
      <c r="I414" s="97" t="s">
        <v>305</v>
      </c>
      <c r="J414" s="98">
        <v>7150685</v>
      </c>
      <c r="K414" s="98">
        <v>0</v>
      </c>
      <c r="L414" s="97"/>
      <c r="M414" s="97"/>
      <c r="N414" s="97"/>
      <c r="O414" s="97"/>
      <c r="P414" s="97"/>
      <c r="Q414" s="97" t="s">
        <v>488</v>
      </c>
      <c r="R414" s="97"/>
      <c r="S414" s="97"/>
      <c r="T414" s="851">
        <f t="shared" si="6"/>
        <v>7150685</v>
      </c>
    </row>
    <row r="415" spans="1:20">
      <c r="A415" s="96">
        <v>45504</v>
      </c>
      <c r="B415" s="96">
        <v>45504</v>
      </c>
      <c r="C415" s="97" t="s">
        <v>511</v>
      </c>
      <c r="D415" s="96"/>
      <c r="E415" s="97"/>
      <c r="F415" s="97" t="s">
        <v>474</v>
      </c>
      <c r="G415" s="97" t="s">
        <v>446</v>
      </c>
      <c r="H415" s="97" t="s">
        <v>327</v>
      </c>
      <c r="I415" s="97" t="s">
        <v>305</v>
      </c>
      <c r="J415" s="98">
        <v>533960209</v>
      </c>
      <c r="K415" s="98">
        <v>0</v>
      </c>
      <c r="L415" s="97"/>
      <c r="M415" s="97"/>
      <c r="N415" s="97"/>
      <c r="O415" s="97"/>
      <c r="P415" s="97"/>
      <c r="Q415" s="97" t="s">
        <v>488</v>
      </c>
      <c r="R415" s="97"/>
      <c r="S415" s="97"/>
      <c r="T415" s="851">
        <f t="shared" si="6"/>
        <v>533960209</v>
      </c>
    </row>
    <row r="416" spans="1:20">
      <c r="A416" s="96">
        <v>45504</v>
      </c>
      <c r="B416" s="96">
        <v>45504</v>
      </c>
      <c r="C416" s="97" t="s">
        <v>511</v>
      </c>
      <c r="D416" s="96"/>
      <c r="E416" s="97"/>
      <c r="F416" s="97" t="s">
        <v>474</v>
      </c>
      <c r="G416" s="97" t="s">
        <v>446</v>
      </c>
      <c r="H416" s="97" t="s">
        <v>307</v>
      </c>
      <c r="I416" s="97" t="s">
        <v>305</v>
      </c>
      <c r="J416" s="98">
        <v>7346746787</v>
      </c>
      <c r="K416" s="98">
        <v>0</v>
      </c>
      <c r="L416" s="97"/>
      <c r="M416" s="97"/>
      <c r="N416" s="97"/>
      <c r="O416" s="97"/>
      <c r="P416" s="97"/>
      <c r="Q416" s="97" t="s">
        <v>488</v>
      </c>
      <c r="R416" s="97"/>
      <c r="S416" s="97"/>
      <c r="T416" s="851">
        <f t="shared" si="6"/>
        <v>7346746787</v>
      </c>
    </row>
    <row r="417" spans="1:20">
      <c r="A417" s="96">
        <v>45504</v>
      </c>
      <c r="B417" s="96">
        <v>45504</v>
      </c>
      <c r="C417" s="97" t="s">
        <v>511</v>
      </c>
      <c r="D417" s="96"/>
      <c r="E417" s="97"/>
      <c r="F417" s="97" t="s">
        <v>475</v>
      </c>
      <c r="G417" s="97" t="s">
        <v>446</v>
      </c>
      <c r="H417" s="97" t="s">
        <v>337</v>
      </c>
      <c r="I417" s="97" t="s">
        <v>333</v>
      </c>
      <c r="J417" s="98">
        <v>3717679</v>
      </c>
      <c r="K417" s="98">
        <v>0</v>
      </c>
      <c r="L417" s="97"/>
      <c r="M417" s="97"/>
      <c r="N417" s="97"/>
      <c r="O417" s="97"/>
      <c r="P417" s="97"/>
      <c r="Q417" s="97" t="s">
        <v>488</v>
      </c>
      <c r="R417" s="97"/>
      <c r="S417" s="97"/>
      <c r="T417" s="851">
        <f t="shared" si="6"/>
        <v>3717679</v>
      </c>
    </row>
    <row r="418" spans="1:20">
      <c r="A418" s="96">
        <v>45504</v>
      </c>
      <c r="B418" s="96">
        <v>45504</v>
      </c>
      <c r="C418" s="97" t="s">
        <v>511</v>
      </c>
      <c r="D418" s="96"/>
      <c r="E418" s="97"/>
      <c r="F418" s="97" t="s">
        <v>475</v>
      </c>
      <c r="G418" s="97" t="s">
        <v>446</v>
      </c>
      <c r="H418" s="97" t="s">
        <v>343</v>
      </c>
      <c r="I418" s="97" t="s">
        <v>333</v>
      </c>
      <c r="J418" s="98">
        <v>5789840</v>
      </c>
      <c r="K418" s="98">
        <v>0</v>
      </c>
      <c r="L418" s="97"/>
      <c r="M418" s="97"/>
      <c r="N418" s="97"/>
      <c r="O418" s="97"/>
      <c r="P418" s="97"/>
      <c r="Q418" s="97" t="s">
        <v>488</v>
      </c>
      <c r="R418" s="97"/>
      <c r="S418" s="97"/>
      <c r="T418" s="851">
        <f t="shared" si="6"/>
        <v>5789840</v>
      </c>
    </row>
    <row r="419" spans="1:20">
      <c r="A419" s="96">
        <v>45504</v>
      </c>
      <c r="B419" s="96">
        <v>45504</v>
      </c>
      <c r="C419" s="97" t="s">
        <v>511</v>
      </c>
      <c r="D419" s="96"/>
      <c r="E419" s="97"/>
      <c r="F419" s="97" t="s">
        <v>475</v>
      </c>
      <c r="G419" s="97" t="s">
        <v>446</v>
      </c>
      <c r="H419" s="97" t="s">
        <v>345</v>
      </c>
      <c r="I419" s="97" t="s">
        <v>333</v>
      </c>
      <c r="J419" s="98">
        <v>3870417</v>
      </c>
      <c r="K419" s="98">
        <v>0</v>
      </c>
      <c r="L419" s="97"/>
      <c r="M419" s="97"/>
      <c r="N419" s="97"/>
      <c r="O419" s="97"/>
      <c r="P419" s="97"/>
      <c r="Q419" s="97" t="s">
        <v>488</v>
      </c>
      <c r="R419" s="97"/>
      <c r="S419" s="97"/>
      <c r="T419" s="851">
        <f t="shared" si="6"/>
        <v>3870417</v>
      </c>
    </row>
    <row r="420" spans="1:20">
      <c r="A420" s="96">
        <v>45504</v>
      </c>
      <c r="B420" s="96">
        <v>45504</v>
      </c>
      <c r="C420" s="97" t="s">
        <v>511</v>
      </c>
      <c r="D420" s="96"/>
      <c r="E420" s="97"/>
      <c r="F420" s="97" t="s">
        <v>475</v>
      </c>
      <c r="G420" s="97" t="s">
        <v>446</v>
      </c>
      <c r="H420" s="97" t="s">
        <v>348</v>
      </c>
      <c r="I420" s="97" t="s">
        <v>333</v>
      </c>
      <c r="J420" s="98">
        <v>261088104</v>
      </c>
      <c r="K420" s="98">
        <v>0</v>
      </c>
      <c r="L420" s="97"/>
      <c r="M420" s="97"/>
      <c r="N420" s="97"/>
      <c r="O420" s="97"/>
      <c r="P420" s="97"/>
      <c r="Q420" s="97" t="s">
        <v>488</v>
      </c>
      <c r="R420" s="97"/>
      <c r="S420" s="97"/>
      <c r="T420" s="851">
        <f t="shared" si="6"/>
        <v>261088104</v>
      </c>
    </row>
    <row r="421" spans="1:20">
      <c r="A421" s="96">
        <v>45504</v>
      </c>
      <c r="B421" s="96">
        <v>45504</v>
      </c>
      <c r="C421" s="97" t="s">
        <v>511</v>
      </c>
      <c r="D421" s="96"/>
      <c r="E421" s="97"/>
      <c r="F421" s="97" t="s">
        <v>475</v>
      </c>
      <c r="G421" s="97" t="s">
        <v>446</v>
      </c>
      <c r="H421" s="97" t="s">
        <v>350</v>
      </c>
      <c r="I421" s="97" t="s">
        <v>333</v>
      </c>
      <c r="J421" s="98">
        <v>1390000</v>
      </c>
      <c r="K421" s="98">
        <v>0</v>
      </c>
      <c r="L421" s="97"/>
      <c r="M421" s="97"/>
      <c r="N421" s="97"/>
      <c r="O421" s="97"/>
      <c r="P421" s="97"/>
      <c r="Q421" s="97" t="s">
        <v>488</v>
      </c>
      <c r="R421" s="97"/>
      <c r="S421" s="97"/>
      <c r="T421" s="851">
        <f t="shared" si="6"/>
        <v>1390000</v>
      </c>
    </row>
    <row r="422" spans="1:20">
      <c r="A422" s="96">
        <v>45504</v>
      </c>
      <c r="B422" s="96">
        <v>45504</v>
      </c>
      <c r="C422" s="97" t="s">
        <v>511</v>
      </c>
      <c r="D422" s="96"/>
      <c r="E422" s="97"/>
      <c r="F422" s="97" t="s">
        <v>475</v>
      </c>
      <c r="G422" s="97" t="s">
        <v>446</v>
      </c>
      <c r="H422" s="97" t="s">
        <v>352</v>
      </c>
      <c r="I422" s="97" t="s">
        <v>333</v>
      </c>
      <c r="J422" s="98">
        <v>1200000</v>
      </c>
      <c r="K422" s="98">
        <v>0</v>
      </c>
      <c r="L422" s="97"/>
      <c r="M422" s="97"/>
      <c r="N422" s="97"/>
      <c r="O422" s="97"/>
      <c r="P422" s="97"/>
      <c r="Q422" s="97" t="s">
        <v>488</v>
      </c>
      <c r="R422" s="97"/>
      <c r="S422" s="97"/>
      <c r="T422" s="851">
        <f t="shared" si="6"/>
        <v>1200000</v>
      </c>
    </row>
    <row r="423" spans="1:20">
      <c r="A423" s="96">
        <v>45504</v>
      </c>
      <c r="B423" s="96">
        <v>45504</v>
      </c>
      <c r="C423" s="97" t="s">
        <v>511</v>
      </c>
      <c r="D423" s="96"/>
      <c r="E423" s="97"/>
      <c r="F423" s="97" t="s">
        <v>475</v>
      </c>
      <c r="G423" s="97" t="s">
        <v>446</v>
      </c>
      <c r="H423" s="97" t="s">
        <v>354</v>
      </c>
      <c r="I423" s="97" t="s">
        <v>333</v>
      </c>
      <c r="J423" s="98">
        <v>1803936</v>
      </c>
      <c r="K423" s="98">
        <v>0</v>
      </c>
      <c r="L423" s="97"/>
      <c r="M423" s="97"/>
      <c r="N423" s="97"/>
      <c r="O423" s="97"/>
      <c r="P423" s="97"/>
      <c r="Q423" s="97" t="s">
        <v>488</v>
      </c>
      <c r="R423" s="97"/>
      <c r="S423" s="97"/>
      <c r="T423" s="851">
        <f t="shared" si="6"/>
        <v>1803936</v>
      </c>
    </row>
    <row r="424" spans="1:20">
      <c r="A424" s="96">
        <v>45504</v>
      </c>
      <c r="B424" s="96">
        <v>45504</v>
      </c>
      <c r="C424" s="97" t="s">
        <v>511</v>
      </c>
      <c r="D424" s="96"/>
      <c r="E424" s="97"/>
      <c r="F424" s="97" t="s">
        <v>475</v>
      </c>
      <c r="G424" s="97" t="s">
        <v>446</v>
      </c>
      <c r="H424" s="97" t="s">
        <v>356</v>
      </c>
      <c r="I424" s="97" t="s">
        <v>333</v>
      </c>
      <c r="J424" s="98">
        <v>312525</v>
      </c>
      <c r="K424" s="98">
        <v>0</v>
      </c>
      <c r="L424" s="97"/>
      <c r="M424" s="97"/>
      <c r="N424" s="97"/>
      <c r="O424" s="97"/>
      <c r="P424" s="97"/>
      <c r="Q424" s="97" t="s">
        <v>488</v>
      </c>
      <c r="R424" s="97"/>
      <c r="S424" s="97"/>
      <c r="T424" s="851">
        <f t="shared" si="6"/>
        <v>312525</v>
      </c>
    </row>
    <row r="425" spans="1:20">
      <c r="A425" s="96">
        <v>45504</v>
      </c>
      <c r="B425" s="96">
        <v>45504</v>
      </c>
      <c r="C425" s="97" t="s">
        <v>511</v>
      </c>
      <c r="D425" s="96"/>
      <c r="E425" s="97"/>
      <c r="F425" s="97" t="s">
        <v>475</v>
      </c>
      <c r="G425" s="97" t="s">
        <v>446</v>
      </c>
      <c r="H425" s="97" t="s">
        <v>361</v>
      </c>
      <c r="I425" s="97" t="s">
        <v>333</v>
      </c>
      <c r="J425" s="98">
        <v>18764183</v>
      </c>
      <c r="K425" s="98">
        <v>0</v>
      </c>
      <c r="L425" s="97"/>
      <c r="M425" s="97"/>
      <c r="N425" s="97"/>
      <c r="O425" s="97"/>
      <c r="P425" s="97"/>
      <c r="Q425" s="97" t="s">
        <v>488</v>
      </c>
      <c r="R425" s="97"/>
      <c r="S425" s="97"/>
      <c r="T425" s="851">
        <f t="shared" si="6"/>
        <v>18764183</v>
      </c>
    </row>
    <row r="426" spans="1:20">
      <c r="A426" s="96">
        <v>45504</v>
      </c>
      <c r="B426" s="96">
        <v>45504</v>
      </c>
      <c r="C426" s="97" t="s">
        <v>511</v>
      </c>
      <c r="D426" s="96"/>
      <c r="E426" s="97"/>
      <c r="F426" s="97" t="s">
        <v>475</v>
      </c>
      <c r="G426" s="97" t="s">
        <v>446</v>
      </c>
      <c r="H426" s="97" t="s">
        <v>363</v>
      </c>
      <c r="I426" s="97" t="s">
        <v>333</v>
      </c>
      <c r="J426" s="98">
        <v>3047143</v>
      </c>
      <c r="K426" s="98">
        <v>0</v>
      </c>
      <c r="L426" s="97"/>
      <c r="M426" s="97"/>
      <c r="N426" s="97"/>
      <c r="O426" s="97"/>
      <c r="P426" s="97"/>
      <c r="Q426" s="97" t="s">
        <v>488</v>
      </c>
      <c r="R426" s="97"/>
      <c r="S426" s="97"/>
      <c r="T426" s="851">
        <f t="shared" si="6"/>
        <v>3047143</v>
      </c>
    </row>
    <row r="427" spans="1:20">
      <c r="A427" s="96">
        <v>45504</v>
      </c>
      <c r="B427" s="96">
        <v>45504</v>
      </c>
      <c r="C427" s="97" t="s">
        <v>511</v>
      </c>
      <c r="D427" s="96"/>
      <c r="E427" s="97"/>
      <c r="F427" s="97" t="s">
        <v>475</v>
      </c>
      <c r="G427" s="97" t="s">
        <v>446</v>
      </c>
      <c r="H427" s="97" t="s">
        <v>370</v>
      </c>
      <c r="I427" s="97" t="s">
        <v>333</v>
      </c>
      <c r="J427" s="98">
        <v>55210908</v>
      </c>
      <c r="K427" s="98">
        <v>0</v>
      </c>
      <c r="L427" s="97"/>
      <c r="M427" s="97"/>
      <c r="N427" s="97"/>
      <c r="O427" s="97"/>
      <c r="P427" s="97"/>
      <c r="Q427" s="97" t="s">
        <v>488</v>
      </c>
      <c r="R427" s="97"/>
      <c r="S427" s="97"/>
      <c r="T427" s="851">
        <f t="shared" si="6"/>
        <v>55210908</v>
      </c>
    </row>
    <row r="428" spans="1:20">
      <c r="A428" s="96">
        <v>45504</v>
      </c>
      <c r="B428" s="96">
        <v>45504</v>
      </c>
      <c r="C428" s="97" t="s">
        <v>511</v>
      </c>
      <c r="D428" s="96"/>
      <c r="E428" s="97"/>
      <c r="F428" s="97" t="s">
        <v>476</v>
      </c>
      <c r="G428" s="97" t="s">
        <v>446</v>
      </c>
      <c r="H428" s="97" t="s">
        <v>378</v>
      </c>
      <c r="I428" s="97" t="s">
        <v>374</v>
      </c>
      <c r="J428" s="98">
        <v>260765046</v>
      </c>
      <c r="K428" s="98">
        <v>0</v>
      </c>
      <c r="L428" s="97"/>
      <c r="M428" s="97"/>
      <c r="N428" s="97"/>
      <c r="O428" s="97"/>
      <c r="P428" s="97"/>
      <c r="Q428" s="97" t="s">
        <v>488</v>
      </c>
      <c r="R428" s="97"/>
      <c r="S428" s="97"/>
      <c r="T428" s="851">
        <f t="shared" si="6"/>
        <v>260765046</v>
      </c>
    </row>
    <row r="429" spans="1:20">
      <c r="A429" s="96">
        <v>45504</v>
      </c>
      <c r="B429" s="96">
        <v>45504</v>
      </c>
      <c r="C429" s="97" t="s">
        <v>511</v>
      </c>
      <c r="D429" s="96"/>
      <c r="E429" s="97"/>
      <c r="F429" s="97" t="s">
        <v>476</v>
      </c>
      <c r="G429" s="97" t="s">
        <v>446</v>
      </c>
      <c r="H429" s="97" t="s">
        <v>379</v>
      </c>
      <c r="I429" s="97" t="s">
        <v>374</v>
      </c>
      <c r="J429" s="98">
        <v>13856000</v>
      </c>
      <c r="K429" s="98">
        <v>0</v>
      </c>
      <c r="L429" s="97"/>
      <c r="M429" s="97"/>
      <c r="N429" s="97"/>
      <c r="O429" s="97"/>
      <c r="P429" s="97"/>
      <c r="Q429" s="97" t="s">
        <v>488</v>
      </c>
      <c r="R429" s="97"/>
      <c r="S429" s="97"/>
      <c r="T429" s="851">
        <f t="shared" si="6"/>
        <v>13856000</v>
      </c>
    </row>
    <row r="430" spans="1:20">
      <c r="A430" s="96">
        <v>45504</v>
      </c>
      <c r="B430" s="96">
        <v>45504</v>
      </c>
      <c r="C430" s="97" t="s">
        <v>511</v>
      </c>
      <c r="D430" s="96"/>
      <c r="E430" s="97"/>
      <c r="F430" s="97" t="s">
        <v>476</v>
      </c>
      <c r="G430" s="97" t="s">
        <v>446</v>
      </c>
      <c r="H430" s="97" t="s">
        <v>380</v>
      </c>
      <c r="I430" s="97" t="s">
        <v>374</v>
      </c>
      <c r="J430" s="98">
        <v>46296029</v>
      </c>
      <c r="K430" s="98">
        <v>0</v>
      </c>
      <c r="L430" s="97"/>
      <c r="M430" s="97"/>
      <c r="N430" s="97"/>
      <c r="O430" s="97"/>
      <c r="P430" s="97"/>
      <c r="Q430" s="97" t="s">
        <v>488</v>
      </c>
      <c r="R430" s="97"/>
      <c r="S430" s="97"/>
      <c r="T430" s="851">
        <f t="shared" si="6"/>
        <v>46296029</v>
      </c>
    </row>
    <row r="431" spans="1:20">
      <c r="A431" s="96">
        <v>45504</v>
      </c>
      <c r="B431" s="96">
        <v>45504</v>
      </c>
      <c r="C431" s="97" t="s">
        <v>511</v>
      </c>
      <c r="D431" s="96"/>
      <c r="E431" s="97"/>
      <c r="F431" s="97" t="s">
        <v>476</v>
      </c>
      <c r="G431" s="97" t="s">
        <v>446</v>
      </c>
      <c r="H431" s="97" t="s">
        <v>381</v>
      </c>
      <c r="I431" s="97" t="s">
        <v>374</v>
      </c>
      <c r="J431" s="98">
        <v>30780616</v>
      </c>
      <c r="K431" s="98">
        <v>0</v>
      </c>
      <c r="L431" s="97"/>
      <c r="M431" s="97"/>
      <c r="N431" s="97"/>
      <c r="O431" s="97"/>
      <c r="P431" s="97"/>
      <c r="Q431" s="97" t="s">
        <v>488</v>
      </c>
      <c r="R431" s="97"/>
      <c r="S431" s="97"/>
      <c r="T431" s="851">
        <f t="shared" si="6"/>
        <v>30780616</v>
      </c>
    </row>
    <row r="432" spans="1:20">
      <c r="A432" s="96">
        <v>45504</v>
      </c>
      <c r="B432" s="96">
        <v>45504</v>
      </c>
      <c r="C432" s="97" t="s">
        <v>511</v>
      </c>
      <c r="D432" s="96"/>
      <c r="E432" s="97"/>
      <c r="F432" s="97" t="s">
        <v>476</v>
      </c>
      <c r="G432" s="97" t="s">
        <v>446</v>
      </c>
      <c r="H432" s="97" t="s">
        <v>383</v>
      </c>
      <c r="I432" s="97" t="s">
        <v>374</v>
      </c>
      <c r="J432" s="98">
        <v>40902835</v>
      </c>
      <c r="K432" s="98">
        <v>0</v>
      </c>
      <c r="L432" s="97"/>
      <c r="M432" s="97"/>
      <c r="N432" s="97"/>
      <c r="O432" s="97"/>
      <c r="P432" s="97"/>
      <c r="Q432" s="97" t="s">
        <v>488</v>
      </c>
      <c r="R432" s="97"/>
      <c r="S432" s="97"/>
      <c r="T432" s="851">
        <f t="shared" si="6"/>
        <v>40902835</v>
      </c>
    </row>
    <row r="433" spans="1:20">
      <c r="A433" s="96">
        <v>45504</v>
      </c>
      <c r="B433" s="96">
        <v>45504</v>
      </c>
      <c r="C433" s="97" t="s">
        <v>511</v>
      </c>
      <c r="D433" s="96"/>
      <c r="E433" s="97"/>
      <c r="F433" s="97" t="s">
        <v>476</v>
      </c>
      <c r="G433" s="97" t="s">
        <v>446</v>
      </c>
      <c r="H433" s="97" t="s">
        <v>387</v>
      </c>
      <c r="I433" s="97" t="s">
        <v>374</v>
      </c>
      <c r="J433" s="98">
        <v>174487799</v>
      </c>
      <c r="K433" s="98">
        <v>0</v>
      </c>
      <c r="L433" s="97"/>
      <c r="M433" s="97"/>
      <c r="N433" s="97"/>
      <c r="O433" s="97"/>
      <c r="P433" s="97"/>
      <c r="Q433" s="97" t="s">
        <v>488</v>
      </c>
      <c r="R433" s="97"/>
      <c r="S433" s="97"/>
      <c r="T433" s="851">
        <f t="shared" si="6"/>
        <v>174487799</v>
      </c>
    </row>
    <row r="434" spans="1:20">
      <c r="A434" s="96">
        <v>45504</v>
      </c>
      <c r="B434" s="96">
        <v>45504</v>
      </c>
      <c r="C434" s="97" t="s">
        <v>511</v>
      </c>
      <c r="D434" s="96"/>
      <c r="E434" s="97"/>
      <c r="F434" s="97" t="s">
        <v>476</v>
      </c>
      <c r="G434" s="97" t="s">
        <v>446</v>
      </c>
      <c r="H434" s="97" t="s">
        <v>389</v>
      </c>
      <c r="I434" s="97" t="s">
        <v>374</v>
      </c>
      <c r="J434" s="98">
        <v>4782136</v>
      </c>
      <c r="K434" s="98">
        <v>0</v>
      </c>
      <c r="L434" s="97"/>
      <c r="M434" s="97"/>
      <c r="N434" s="97"/>
      <c r="O434" s="97"/>
      <c r="P434" s="97"/>
      <c r="Q434" s="97" t="s">
        <v>488</v>
      </c>
      <c r="R434" s="97"/>
      <c r="S434" s="97"/>
      <c r="T434" s="851">
        <f t="shared" si="6"/>
        <v>4782136</v>
      </c>
    </row>
    <row r="435" spans="1:20">
      <c r="A435" s="96">
        <v>45504</v>
      </c>
      <c r="B435" s="96">
        <v>45504</v>
      </c>
      <c r="C435" s="97" t="s">
        <v>511</v>
      </c>
      <c r="D435" s="96"/>
      <c r="E435" s="97"/>
      <c r="F435" s="97" t="s">
        <v>476</v>
      </c>
      <c r="G435" s="97" t="s">
        <v>446</v>
      </c>
      <c r="H435" s="97" t="s">
        <v>391</v>
      </c>
      <c r="I435" s="97" t="s">
        <v>374</v>
      </c>
      <c r="J435" s="98">
        <v>322287</v>
      </c>
      <c r="K435" s="98">
        <v>0</v>
      </c>
      <c r="L435" s="97"/>
      <c r="M435" s="97"/>
      <c r="N435" s="97"/>
      <c r="O435" s="97"/>
      <c r="P435" s="97"/>
      <c r="Q435" s="97" t="s">
        <v>488</v>
      </c>
      <c r="R435" s="97"/>
      <c r="S435" s="97"/>
      <c r="T435" s="851">
        <f t="shared" si="6"/>
        <v>322287</v>
      </c>
    </row>
    <row r="436" spans="1:20">
      <c r="A436" s="96">
        <v>45504</v>
      </c>
      <c r="B436" s="96">
        <v>45504</v>
      </c>
      <c r="C436" s="97" t="s">
        <v>511</v>
      </c>
      <c r="D436" s="96"/>
      <c r="E436" s="97"/>
      <c r="F436" s="97" t="s">
        <v>476</v>
      </c>
      <c r="G436" s="97" t="s">
        <v>446</v>
      </c>
      <c r="H436" s="97" t="s">
        <v>393</v>
      </c>
      <c r="I436" s="97" t="s">
        <v>374</v>
      </c>
      <c r="J436" s="98">
        <v>4997678</v>
      </c>
      <c r="K436" s="98">
        <v>0</v>
      </c>
      <c r="L436" s="97"/>
      <c r="M436" s="97"/>
      <c r="N436" s="97"/>
      <c r="O436" s="97"/>
      <c r="P436" s="97"/>
      <c r="Q436" s="97" t="s">
        <v>488</v>
      </c>
      <c r="R436" s="97"/>
      <c r="S436" s="97"/>
      <c r="T436" s="851">
        <f t="shared" si="6"/>
        <v>4997678</v>
      </c>
    </row>
    <row r="437" spans="1:20">
      <c r="A437" s="96">
        <v>45504</v>
      </c>
      <c r="B437" s="96">
        <v>45504</v>
      </c>
      <c r="C437" s="97" t="s">
        <v>511</v>
      </c>
      <c r="D437" s="96"/>
      <c r="E437" s="97"/>
      <c r="F437" s="97" t="s">
        <v>476</v>
      </c>
      <c r="G437" s="97" t="s">
        <v>446</v>
      </c>
      <c r="H437" s="97" t="s">
        <v>407</v>
      </c>
      <c r="I437" s="97" t="s">
        <v>374</v>
      </c>
      <c r="J437" s="98">
        <v>69893939</v>
      </c>
      <c r="K437" s="98">
        <v>0</v>
      </c>
      <c r="L437" s="97"/>
      <c r="M437" s="97"/>
      <c r="N437" s="97"/>
      <c r="O437" s="97"/>
      <c r="P437" s="97"/>
      <c r="Q437" s="97" t="s">
        <v>488</v>
      </c>
      <c r="R437" s="97"/>
      <c r="S437" s="97"/>
      <c r="T437" s="851">
        <f t="shared" si="6"/>
        <v>69893939</v>
      </c>
    </row>
    <row r="438" spans="1:20">
      <c r="A438" s="96">
        <v>45504</v>
      </c>
      <c r="B438" s="96">
        <v>45504</v>
      </c>
      <c r="C438" s="97" t="s">
        <v>511</v>
      </c>
      <c r="D438" s="96"/>
      <c r="E438" s="97"/>
      <c r="F438" s="97" t="s">
        <v>476</v>
      </c>
      <c r="G438" s="97" t="s">
        <v>446</v>
      </c>
      <c r="H438" s="97" t="s">
        <v>413</v>
      </c>
      <c r="I438" s="97" t="s">
        <v>374</v>
      </c>
      <c r="J438" s="98">
        <v>24408225</v>
      </c>
      <c r="K438" s="98">
        <v>0</v>
      </c>
      <c r="L438" s="97"/>
      <c r="M438" s="97"/>
      <c r="N438" s="97"/>
      <c r="O438" s="97"/>
      <c r="P438" s="97"/>
      <c r="Q438" s="97" t="s">
        <v>488</v>
      </c>
      <c r="R438" s="97"/>
      <c r="S438" s="97"/>
      <c r="T438" s="851">
        <f t="shared" si="6"/>
        <v>24408225</v>
      </c>
    </row>
    <row r="439" spans="1:20">
      <c r="A439" s="96">
        <v>45504</v>
      </c>
      <c r="B439" s="96">
        <v>45504</v>
      </c>
      <c r="C439" s="97" t="s">
        <v>511</v>
      </c>
      <c r="D439" s="96"/>
      <c r="E439" s="97"/>
      <c r="F439" s="97" t="s">
        <v>476</v>
      </c>
      <c r="G439" s="97" t="s">
        <v>446</v>
      </c>
      <c r="H439" s="97" t="s">
        <v>419</v>
      </c>
      <c r="I439" s="97" t="s">
        <v>374</v>
      </c>
      <c r="J439" s="98">
        <v>1950000</v>
      </c>
      <c r="K439" s="98">
        <v>0</v>
      </c>
      <c r="L439" s="97"/>
      <c r="M439" s="97"/>
      <c r="N439" s="97"/>
      <c r="O439" s="97"/>
      <c r="P439" s="97"/>
      <c r="Q439" s="97" t="s">
        <v>488</v>
      </c>
      <c r="R439" s="97"/>
      <c r="S439" s="97"/>
      <c r="T439" s="851">
        <f t="shared" si="6"/>
        <v>1950000</v>
      </c>
    </row>
    <row r="440" spans="1:20">
      <c r="A440" s="96">
        <v>45504</v>
      </c>
      <c r="B440" s="96">
        <v>45504</v>
      </c>
      <c r="C440" s="97" t="s">
        <v>511</v>
      </c>
      <c r="D440" s="96"/>
      <c r="E440" s="97"/>
      <c r="F440" s="97" t="s">
        <v>476</v>
      </c>
      <c r="G440" s="97" t="s">
        <v>446</v>
      </c>
      <c r="H440" s="97" t="s">
        <v>421</v>
      </c>
      <c r="I440" s="97" t="s">
        <v>374</v>
      </c>
      <c r="J440" s="98">
        <v>156381422</v>
      </c>
      <c r="K440" s="98">
        <v>0</v>
      </c>
      <c r="L440" s="97"/>
      <c r="M440" s="97"/>
      <c r="N440" s="97"/>
      <c r="O440" s="97"/>
      <c r="P440" s="97"/>
      <c r="Q440" s="97" t="s">
        <v>488</v>
      </c>
      <c r="R440" s="97"/>
      <c r="S440" s="97"/>
      <c r="T440" s="851">
        <f t="shared" si="6"/>
        <v>156381422</v>
      </c>
    </row>
    <row r="441" spans="1:20">
      <c r="A441" s="96">
        <v>45504</v>
      </c>
      <c r="B441" s="96">
        <v>45504</v>
      </c>
      <c r="C441" s="97" t="s">
        <v>511</v>
      </c>
      <c r="D441" s="96"/>
      <c r="E441" s="97"/>
      <c r="F441" s="97" t="s">
        <v>476</v>
      </c>
      <c r="G441" s="97" t="s">
        <v>446</v>
      </c>
      <c r="H441" s="97" t="s">
        <v>422</v>
      </c>
      <c r="I441" s="97" t="s">
        <v>374</v>
      </c>
      <c r="J441" s="98">
        <v>400000</v>
      </c>
      <c r="K441" s="98">
        <v>0</v>
      </c>
      <c r="L441" s="97"/>
      <c r="M441" s="97"/>
      <c r="N441" s="97"/>
      <c r="O441" s="97"/>
      <c r="P441" s="97"/>
      <c r="Q441" s="97" t="s">
        <v>488</v>
      </c>
      <c r="R441" s="97"/>
      <c r="S441" s="97"/>
      <c r="T441" s="851">
        <f t="shared" si="6"/>
        <v>400000</v>
      </c>
    </row>
    <row r="442" spans="1:20">
      <c r="A442" s="96">
        <v>45504</v>
      </c>
      <c r="B442" s="96">
        <v>45504</v>
      </c>
      <c r="C442" s="97" t="s">
        <v>511</v>
      </c>
      <c r="D442" s="96"/>
      <c r="E442" s="97"/>
      <c r="F442" s="97" t="s">
        <v>476</v>
      </c>
      <c r="G442" s="97" t="s">
        <v>446</v>
      </c>
      <c r="H442" s="97" t="s">
        <v>424</v>
      </c>
      <c r="I442" s="97" t="s">
        <v>374</v>
      </c>
      <c r="J442" s="98">
        <v>17452500</v>
      </c>
      <c r="K442" s="98">
        <v>0</v>
      </c>
      <c r="L442" s="97"/>
      <c r="M442" s="97"/>
      <c r="N442" s="97"/>
      <c r="O442" s="97"/>
      <c r="P442" s="97"/>
      <c r="Q442" s="97" t="s">
        <v>488</v>
      </c>
      <c r="R442" s="97"/>
      <c r="S442" s="97"/>
      <c r="T442" s="851">
        <f t="shared" si="6"/>
        <v>17452500</v>
      </c>
    </row>
    <row r="443" spans="1:20">
      <c r="A443" s="96">
        <v>45504</v>
      </c>
      <c r="B443" s="96">
        <v>45504</v>
      </c>
      <c r="C443" s="97" t="s">
        <v>511</v>
      </c>
      <c r="D443" s="96"/>
      <c r="E443" s="97"/>
      <c r="F443" s="97" t="s">
        <v>476</v>
      </c>
      <c r="G443" s="97" t="s">
        <v>446</v>
      </c>
      <c r="H443" s="97" t="s">
        <v>425</v>
      </c>
      <c r="I443" s="97" t="s">
        <v>374</v>
      </c>
      <c r="J443" s="98">
        <v>4202560</v>
      </c>
      <c r="K443" s="98">
        <v>0</v>
      </c>
      <c r="L443" s="97"/>
      <c r="M443" s="97"/>
      <c r="N443" s="97"/>
      <c r="O443" s="97"/>
      <c r="P443" s="97"/>
      <c r="Q443" s="97" t="s">
        <v>488</v>
      </c>
      <c r="R443" s="97"/>
      <c r="S443" s="97"/>
      <c r="T443" s="851">
        <f t="shared" si="6"/>
        <v>4202560</v>
      </c>
    </row>
    <row r="444" spans="1:20">
      <c r="A444" s="96">
        <v>45504</v>
      </c>
      <c r="B444" s="96">
        <v>45504</v>
      </c>
      <c r="C444" s="97" t="s">
        <v>511</v>
      </c>
      <c r="D444" s="96"/>
      <c r="E444" s="97"/>
      <c r="F444" s="97" t="s">
        <v>476</v>
      </c>
      <c r="G444" s="97" t="s">
        <v>446</v>
      </c>
      <c r="H444" s="97" t="s">
        <v>427</v>
      </c>
      <c r="I444" s="97" t="s">
        <v>374</v>
      </c>
      <c r="J444" s="98">
        <v>5444052</v>
      </c>
      <c r="K444" s="98">
        <v>0</v>
      </c>
      <c r="L444" s="97"/>
      <c r="M444" s="97"/>
      <c r="N444" s="97"/>
      <c r="O444" s="97"/>
      <c r="P444" s="97"/>
      <c r="Q444" s="97" t="s">
        <v>488</v>
      </c>
      <c r="R444" s="97"/>
      <c r="S444" s="97"/>
      <c r="T444" s="851">
        <f t="shared" si="6"/>
        <v>5444052</v>
      </c>
    </row>
    <row r="445" spans="1:20">
      <c r="A445" s="96">
        <v>45504</v>
      </c>
      <c r="B445" s="96">
        <v>45504</v>
      </c>
      <c r="C445" s="97" t="s">
        <v>511</v>
      </c>
      <c r="D445" s="96"/>
      <c r="E445" s="97"/>
      <c r="F445" s="97" t="s">
        <v>476</v>
      </c>
      <c r="G445" s="97" t="s">
        <v>446</v>
      </c>
      <c r="H445" s="97" t="s">
        <v>431</v>
      </c>
      <c r="I445" s="97" t="s">
        <v>374</v>
      </c>
      <c r="J445" s="98">
        <v>667264</v>
      </c>
      <c r="K445" s="98">
        <v>0</v>
      </c>
      <c r="L445" s="97"/>
      <c r="M445" s="97"/>
      <c r="N445" s="97"/>
      <c r="O445" s="97"/>
      <c r="P445" s="97"/>
      <c r="Q445" s="97" t="s">
        <v>488</v>
      </c>
      <c r="R445" s="97"/>
      <c r="S445" s="97"/>
      <c r="T445" s="851">
        <f t="shared" si="6"/>
        <v>667264</v>
      </c>
    </row>
    <row r="446" spans="1:20">
      <c r="A446" s="96">
        <v>45504</v>
      </c>
      <c r="B446" s="96">
        <v>45504</v>
      </c>
      <c r="C446" s="97" t="s">
        <v>511</v>
      </c>
      <c r="D446" s="96"/>
      <c r="E446" s="97"/>
      <c r="F446" s="97" t="s">
        <v>476</v>
      </c>
      <c r="G446" s="97" t="s">
        <v>446</v>
      </c>
      <c r="H446" s="97" t="s">
        <v>435</v>
      </c>
      <c r="I446" s="97" t="s">
        <v>374</v>
      </c>
      <c r="J446" s="98">
        <v>7095539</v>
      </c>
      <c r="K446" s="98">
        <v>0</v>
      </c>
      <c r="L446" s="97"/>
      <c r="M446" s="97"/>
      <c r="N446" s="97"/>
      <c r="O446" s="97"/>
      <c r="P446" s="97"/>
      <c r="Q446" s="97" t="s">
        <v>488</v>
      </c>
      <c r="R446" s="97"/>
      <c r="S446" s="97"/>
      <c r="T446" s="851">
        <f t="shared" si="6"/>
        <v>7095539</v>
      </c>
    </row>
    <row r="447" spans="1:20">
      <c r="A447" s="96">
        <v>45504</v>
      </c>
      <c r="B447" s="96">
        <v>45504</v>
      </c>
      <c r="C447" s="97" t="s">
        <v>511</v>
      </c>
      <c r="D447" s="96"/>
      <c r="E447" s="97"/>
      <c r="F447" s="97" t="s">
        <v>476</v>
      </c>
      <c r="G447" s="97" t="s">
        <v>446</v>
      </c>
      <c r="H447" s="97" t="s">
        <v>438</v>
      </c>
      <c r="I447" s="97" t="s">
        <v>374</v>
      </c>
      <c r="J447" s="98">
        <v>86800</v>
      </c>
      <c r="K447" s="98">
        <v>0</v>
      </c>
      <c r="L447" s="97"/>
      <c r="M447" s="97"/>
      <c r="N447" s="97"/>
      <c r="O447" s="97"/>
      <c r="P447" s="97"/>
      <c r="Q447" s="97" t="s">
        <v>488</v>
      </c>
      <c r="R447" s="97"/>
      <c r="S447" s="97"/>
      <c r="T447" s="851">
        <f t="shared" si="6"/>
        <v>86800</v>
      </c>
    </row>
    <row r="448" spans="1:20">
      <c r="A448" s="96">
        <v>45504</v>
      </c>
      <c r="B448" s="96">
        <v>45504</v>
      </c>
      <c r="C448" s="97" t="s">
        <v>511</v>
      </c>
      <c r="D448" s="96"/>
      <c r="E448" s="97"/>
      <c r="F448" s="97" t="s">
        <v>479</v>
      </c>
      <c r="G448" s="97" t="s">
        <v>446</v>
      </c>
      <c r="H448" s="97" t="s">
        <v>217</v>
      </c>
      <c r="I448" s="97" t="s">
        <v>213</v>
      </c>
      <c r="J448" s="98">
        <v>9193463665</v>
      </c>
      <c r="K448" s="98">
        <v>0</v>
      </c>
      <c r="L448" s="97"/>
      <c r="M448" s="97"/>
      <c r="N448" s="97"/>
      <c r="O448" s="97"/>
      <c r="P448" s="97"/>
      <c r="Q448" s="97" t="s">
        <v>488</v>
      </c>
      <c r="R448" s="97"/>
      <c r="S448" s="97"/>
      <c r="T448" s="851">
        <f t="shared" si="6"/>
        <v>9193463665</v>
      </c>
    </row>
    <row r="449" spans="1:20">
      <c r="A449" s="96">
        <v>45535</v>
      </c>
      <c r="B449" s="96">
        <v>45535</v>
      </c>
      <c r="C449" s="97" t="s">
        <v>512</v>
      </c>
      <c r="D449" s="96"/>
      <c r="E449" s="97"/>
      <c r="F449" s="97" t="s">
        <v>468</v>
      </c>
      <c r="G449" s="97" t="s">
        <v>446</v>
      </c>
      <c r="H449" s="97" t="s">
        <v>223</v>
      </c>
      <c r="I449" s="97" t="s">
        <v>219</v>
      </c>
      <c r="J449" s="98">
        <v>0</v>
      </c>
      <c r="K449" s="98">
        <v>1002</v>
      </c>
      <c r="L449" s="97"/>
      <c r="M449" s="97"/>
      <c r="N449" s="97"/>
      <c r="O449" s="97"/>
      <c r="P449" s="97"/>
      <c r="Q449" s="97" t="s">
        <v>488</v>
      </c>
      <c r="R449" s="97"/>
      <c r="S449" s="97"/>
      <c r="T449" s="851">
        <f t="shared" si="6"/>
        <v>-1002</v>
      </c>
    </row>
    <row r="450" spans="1:20">
      <c r="A450" s="96">
        <v>45535</v>
      </c>
      <c r="B450" s="96">
        <v>45535</v>
      </c>
      <c r="C450" s="97" t="s">
        <v>512</v>
      </c>
      <c r="D450" s="96"/>
      <c r="E450" s="97"/>
      <c r="F450" s="97" t="s">
        <v>468</v>
      </c>
      <c r="G450" s="97" t="s">
        <v>446</v>
      </c>
      <c r="H450" s="97" t="s">
        <v>225</v>
      </c>
      <c r="I450" s="97" t="s">
        <v>219</v>
      </c>
      <c r="J450" s="98">
        <v>0</v>
      </c>
      <c r="K450" s="98">
        <v>1863000</v>
      </c>
      <c r="L450" s="97"/>
      <c r="M450" s="97"/>
      <c r="N450" s="97"/>
      <c r="O450" s="97"/>
      <c r="P450" s="97"/>
      <c r="Q450" s="97" t="s">
        <v>488</v>
      </c>
      <c r="R450" s="97"/>
      <c r="S450" s="97"/>
      <c r="T450" s="851">
        <f t="shared" si="6"/>
        <v>-1863000</v>
      </c>
    </row>
    <row r="451" spans="1:20">
      <c r="A451" s="96">
        <v>45535</v>
      </c>
      <c r="B451" s="96">
        <v>45535</v>
      </c>
      <c r="C451" s="97" t="s">
        <v>512</v>
      </c>
      <c r="D451" s="96"/>
      <c r="E451" s="97"/>
      <c r="F451" s="97" t="s">
        <v>468</v>
      </c>
      <c r="G451" s="97" t="s">
        <v>446</v>
      </c>
      <c r="H451" s="97" t="s">
        <v>227</v>
      </c>
      <c r="I451" s="97" t="s">
        <v>219</v>
      </c>
      <c r="J451" s="98">
        <v>0</v>
      </c>
      <c r="K451" s="98">
        <v>6570000</v>
      </c>
      <c r="L451" s="97"/>
      <c r="M451" s="97"/>
      <c r="N451" s="97"/>
      <c r="O451" s="97"/>
      <c r="P451" s="97"/>
      <c r="Q451" s="97" t="s">
        <v>488</v>
      </c>
      <c r="R451" s="97"/>
      <c r="S451" s="97"/>
      <c r="T451" s="851">
        <f t="shared" si="6"/>
        <v>-6570000</v>
      </c>
    </row>
    <row r="452" spans="1:20">
      <c r="A452" s="96">
        <v>45535</v>
      </c>
      <c r="B452" s="96">
        <v>45535</v>
      </c>
      <c r="C452" s="97" t="s">
        <v>512</v>
      </c>
      <c r="D452" s="96"/>
      <c r="E452" s="97"/>
      <c r="F452" s="97" t="s">
        <v>468</v>
      </c>
      <c r="G452" s="97" t="s">
        <v>446</v>
      </c>
      <c r="H452" s="97" t="s">
        <v>229</v>
      </c>
      <c r="I452" s="97" t="s">
        <v>219</v>
      </c>
      <c r="J452" s="98">
        <v>0</v>
      </c>
      <c r="K452" s="98">
        <v>57551561</v>
      </c>
      <c r="L452" s="97"/>
      <c r="M452" s="97"/>
      <c r="N452" s="97"/>
      <c r="O452" s="97"/>
      <c r="P452" s="97"/>
      <c r="Q452" s="97" t="s">
        <v>488</v>
      </c>
      <c r="R452" s="97"/>
      <c r="S452" s="97"/>
      <c r="T452" s="851">
        <f t="shared" si="6"/>
        <v>-57551561</v>
      </c>
    </row>
    <row r="453" spans="1:20">
      <c r="A453" s="96">
        <v>45535</v>
      </c>
      <c r="B453" s="96">
        <v>45535</v>
      </c>
      <c r="C453" s="97" t="s">
        <v>512</v>
      </c>
      <c r="D453" s="96"/>
      <c r="E453" s="97"/>
      <c r="F453" s="97" t="s">
        <v>468</v>
      </c>
      <c r="G453" s="97" t="s">
        <v>446</v>
      </c>
      <c r="H453" s="97" t="s">
        <v>231</v>
      </c>
      <c r="I453" s="97" t="s">
        <v>219</v>
      </c>
      <c r="J453" s="98">
        <v>0</v>
      </c>
      <c r="K453" s="98">
        <v>125352886</v>
      </c>
      <c r="L453" s="97"/>
      <c r="M453" s="97"/>
      <c r="N453" s="97"/>
      <c r="O453" s="97"/>
      <c r="P453" s="97"/>
      <c r="Q453" s="97" t="s">
        <v>488</v>
      </c>
      <c r="R453" s="97"/>
      <c r="S453" s="97"/>
      <c r="T453" s="851">
        <f t="shared" ref="T453:T516" si="7">J453-K453</f>
        <v>-125352886</v>
      </c>
    </row>
    <row r="454" spans="1:20">
      <c r="A454" s="96">
        <v>45535</v>
      </c>
      <c r="B454" s="96">
        <v>45535</v>
      </c>
      <c r="C454" s="97" t="s">
        <v>512</v>
      </c>
      <c r="D454" s="96"/>
      <c r="E454" s="97"/>
      <c r="F454" s="97" t="s">
        <v>468</v>
      </c>
      <c r="G454" s="97" t="s">
        <v>446</v>
      </c>
      <c r="H454" s="97" t="s">
        <v>233</v>
      </c>
      <c r="I454" s="97" t="s">
        <v>219</v>
      </c>
      <c r="J454" s="98">
        <v>0</v>
      </c>
      <c r="K454" s="98">
        <v>426000</v>
      </c>
      <c r="L454" s="97"/>
      <c r="M454" s="97"/>
      <c r="N454" s="97"/>
      <c r="O454" s="97"/>
      <c r="P454" s="97"/>
      <c r="Q454" s="97" t="s">
        <v>488</v>
      </c>
      <c r="R454" s="97"/>
      <c r="S454" s="97"/>
      <c r="T454" s="851">
        <f t="shared" si="7"/>
        <v>-426000</v>
      </c>
    </row>
    <row r="455" spans="1:20">
      <c r="A455" s="96">
        <v>45535</v>
      </c>
      <c r="B455" s="96">
        <v>45535</v>
      </c>
      <c r="C455" s="97" t="s">
        <v>512</v>
      </c>
      <c r="D455" s="96"/>
      <c r="E455" s="97"/>
      <c r="F455" s="97" t="s">
        <v>468</v>
      </c>
      <c r="G455" s="97" t="s">
        <v>446</v>
      </c>
      <c r="H455" s="97" t="s">
        <v>235</v>
      </c>
      <c r="I455" s="97" t="s">
        <v>219</v>
      </c>
      <c r="J455" s="98">
        <v>0</v>
      </c>
      <c r="K455" s="98">
        <v>10572286</v>
      </c>
      <c r="L455" s="97"/>
      <c r="M455" s="97"/>
      <c r="N455" s="97"/>
      <c r="O455" s="97"/>
      <c r="P455" s="97"/>
      <c r="Q455" s="97" t="s">
        <v>488</v>
      </c>
      <c r="R455" s="97"/>
      <c r="S455" s="97"/>
      <c r="T455" s="851">
        <f t="shared" si="7"/>
        <v>-10572286</v>
      </c>
    </row>
    <row r="456" spans="1:20">
      <c r="A456" s="96">
        <v>45535</v>
      </c>
      <c r="B456" s="96">
        <v>45535</v>
      </c>
      <c r="C456" s="97" t="s">
        <v>512</v>
      </c>
      <c r="D456" s="96"/>
      <c r="E456" s="97"/>
      <c r="F456" s="97" t="s">
        <v>468</v>
      </c>
      <c r="G456" s="97" t="s">
        <v>446</v>
      </c>
      <c r="H456" s="97" t="s">
        <v>237</v>
      </c>
      <c r="I456" s="97" t="s">
        <v>219</v>
      </c>
      <c r="J456" s="98">
        <v>0</v>
      </c>
      <c r="K456" s="98">
        <v>466294</v>
      </c>
      <c r="L456" s="97"/>
      <c r="M456" s="97"/>
      <c r="N456" s="97"/>
      <c r="O456" s="97"/>
      <c r="P456" s="97"/>
      <c r="Q456" s="97" t="s">
        <v>488</v>
      </c>
      <c r="R456" s="97"/>
      <c r="S456" s="97"/>
      <c r="T456" s="851">
        <f t="shared" si="7"/>
        <v>-466294</v>
      </c>
    </row>
    <row r="457" spans="1:20">
      <c r="A457" s="96">
        <v>45535</v>
      </c>
      <c r="B457" s="96">
        <v>45535</v>
      </c>
      <c r="C457" s="97" t="s">
        <v>512</v>
      </c>
      <c r="D457" s="96"/>
      <c r="E457" s="97"/>
      <c r="F457" s="97" t="s">
        <v>468</v>
      </c>
      <c r="G457" s="97" t="s">
        <v>446</v>
      </c>
      <c r="H457" s="97" t="s">
        <v>241</v>
      </c>
      <c r="I457" s="97" t="s">
        <v>219</v>
      </c>
      <c r="J457" s="98">
        <v>0</v>
      </c>
      <c r="K457" s="98">
        <v>1504333</v>
      </c>
      <c r="L457" s="97"/>
      <c r="M457" s="97"/>
      <c r="N457" s="97"/>
      <c r="O457" s="97"/>
      <c r="P457" s="97"/>
      <c r="Q457" s="97" t="s">
        <v>488</v>
      </c>
      <c r="R457" s="97"/>
      <c r="S457" s="97"/>
      <c r="T457" s="851">
        <f t="shared" si="7"/>
        <v>-1504333</v>
      </c>
    </row>
    <row r="458" spans="1:20">
      <c r="A458" s="96">
        <v>45535</v>
      </c>
      <c r="B458" s="96">
        <v>45535</v>
      </c>
      <c r="C458" s="97" t="s">
        <v>512</v>
      </c>
      <c r="D458" s="96"/>
      <c r="E458" s="97"/>
      <c r="F458" s="97" t="s">
        <v>468</v>
      </c>
      <c r="G458" s="97" t="s">
        <v>446</v>
      </c>
      <c r="H458" s="97" t="s">
        <v>243</v>
      </c>
      <c r="I458" s="97" t="s">
        <v>219</v>
      </c>
      <c r="J458" s="98">
        <v>0</v>
      </c>
      <c r="K458" s="98">
        <v>307459459</v>
      </c>
      <c r="L458" s="97"/>
      <c r="M458" s="97"/>
      <c r="N458" s="97"/>
      <c r="O458" s="97"/>
      <c r="P458" s="97"/>
      <c r="Q458" s="97" t="s">
        <v>488</v>
      </c>
      <c r="R458" s="97"/>
      <c r="S458" s="97"/>
      <c r="T458" s="851">
        <f t="shared" si="7"/>
        <v>-307459459</v>
      </c>
    </row>
    <row r="459" spans="1:20">
      <c r="A459" s="96">
        <v>45535</v>
      </c>
      <c r="B459" s="96">
        <v>45535</v>
      </c>
      <c r="C459" s="97" t="s">
        <v>512</v>
      </c>
      <c r="D459" s="96"/>
      <c r="E459" s="97"/>
      <c r="F459" s="97" t="s">
        <v>468</v>
      </c>
      <c r="G459" s="97" t="s">
        <v>446</v>
      </c>
      <c r="H459" s="97" t="s">
        <v>245</v>
      </c>
      <c r="I459" s="97" t="s">
        <v>219</v>
      </c>
      <c r="J459" s="98">
        <v>0</v>
      </c>
      <c r="K459" s="98">
        <v>400000</v>
      </c>
      <c r="L459" s="97"/>
      <c r="M459" s="97"/>
      <c r="N459" s="97"/>
      <c r="O459" s="97"/>
      <c r="P459" s="97"/>
      <c r="Q459" s="97" t="s">
        <v>488</v>
      </c>
      <c r="R459" s="97"/>
      <c r="S459" s="97"/>
      <c r="T459" s="851">
        <f t="shared" si="7"/>
        <v>-400000</v>
      </c>
    </row>
    <row r="460" spans="1:20">
      <c r="A460" s="96">
        <v>45535</v>
      </c>
      <c r="B460" s="96">
        <v>45535</v>
      </c>
      <c r="C460" s="97" t="s">
        <v>512</v>
      </c>
      <c r="D460" s="96"/>
      <c r="E460" s="97"/>
      <c r="F460" s="97" t="s">
        <v>472</v>
      </c>
      <c r="G460" s="97" t="s">
        <v>446</v>
      </c>
      <c r="H460" s="97" t="s">
        <v>249</v>
      </c>
      <c r="I460" s="97" t="s">
        <v>247</v>
      </c>
      <c r="J460" s="98">
        <v>0</v>
      </c>
      <c r="K460" s="98">
        <v>4205123472</v>
      </c>
      <c r="L460" s="97"/>
      <c r="M460" s="97"/>
      <c r="N460" s="97"/>
      <c r="O460" s="97"/>
      <c r="P460" s="97"/>
      <c r="Q460" s="97" t="s">
        <v>488</v>
      </c>
      <c r="R460" s="97"/>
      <c r="S460" s="97"/>
      <c r="T460" s="851">
        <f t="shared" si="7"/>
        <v>-4205123472</v>
      </c>
    </row>
    <row r="461" spans="1:20">
      <c r="A461" s="96">
        <v>45535</v>
      </c>
      <c r="B461" s="96">
        <v>45535</v>
      </c>
      <c r="C461" s="97" t="s">
        <v>512</v>
      </c>
      <c r="D461" s="96"/>
      <c r="E461" s="97"/>
      <c r="F461" s="97" t="s">
        <v>472</v>
      </c>
      <c r="G461" s="97" t="s">
        <v>446</v>
      </c>
      <c r="H461" s="97" t="s">
        <v>255</v>
      </c>
      <c r="I461" s="97" t="s">
        <v>247</v>
      </c>
      <c r="J461" s="98">
        <v>0</v>
      </c>
      <c r="K461" s="98">
        <v>1089693081</v>
      </c>
      <c r="L461" s="97"/>
      <c r="M461" s="97"/>
      <c r="N461" s="97"/>
      <c r="O461" s="97"/>
      <c r="P461" s="97"/>
      <c r="Q461" s="97" t="s">
        <v>488</v>
      </c>
      <c r="R461" s="97"/>
      <c r="S461" s="97"/>
      <c r="T461" s="851">
        <f t="shared" si="7"/>
        <v>-1089693081</v>
      </c>
    </row>
    <row r="462" spans="1:20">
      <c r="A462" s="96">
        <v>45535</v>
      </c>
      <c r="B462" s="96">
        <v>45535</v>
      </c>
      <c r="C462" s="97" t="s">
        <v>512</v>
      </c>
      <c r="D462" s="96"/>
      <c r="E462" s="97"/>
      <c r="F462" s="97" t="s">
        <v>472</v>
      </c>
      <c r="G462" s="97" t="s">
        <v>446</v>
      </c>
      <c r="H462" s="97" t="s">
        <v>257</v>
      </c>
      <c r="I462" s="97" t="s">
        <v>247</v>
      </c>
      <c r="J462" s="98">
        <v>0</v>
      </c>
      <c r="K462" s="98">
        <v>18114969808</v>
      </c>
      <c r="L462" s="97"/>
      <c r="M462" s="97"/>
      <c r="N462" s="97"/>
      <c r="O462" s="97"/>
      <c r="P462" s="97"/>
      <c r="Q462" s="97" t="s">
        <v>488</v>
      </c>
      <c r="R462" s="97"/>
      <c r="S462" s="97"/>
      <c r="T462" s="851">
        <f t="shared" si="7"/>
        <v>-18114969808</v>
      </c>
    </row>
    <row r="463" spans="1:20">
      <c r="A463" s="96">
        <v>45535</v>
      </c>
      <c r="B463" s="96">
        <v>45535</v>
      </c>
      <c r="C463" s="97" t="s">
        <v>512</v>
      </c>
      <c r="D463" s="96"/>
      <c r="E463" s="97"/>
      <c r="F463" s="97" t="s">
        <v>472</v>
      </c>
      <c r="G463" s="97" t="s">
        <v>446</v>
      </c>
      <c r="H463" s="97" t="s">
        <v>259</v>
      </c>
      <c r="I463" s="97" t="s">
        <v>247</v>
      </c>
      <c r="J463" s="98">
        <v>0</v>
      </c>
      <c r="K463" s="98">
        <v>740075211</v>
      </c>
      <c r="L463" s="97"/>
      <c r="M463" s="97"/>
      <c r="N463" s="97"/>
      <c r="O463" s="97"/>
      <c r="P463" s="97"/>
      <c r="Q463" s="97" t="s">
        <v>488</v>
      </c>
      <c r="R463" s="97"/>
      <c r="S463" s="97"/>
      <c r="T463" s="851">
        <f t="shared" si="7"/>
        <v>-740075211</v>
      </c>
    </row>
    <row r="464" spans="1:20">
      <c r="A464" s="96">
        <v>45535</v>
      </c>
      <c r="B464" s="96">
        <v>45535</v>
      </c>
      <c r="C464" s="97" t="s">
        <v>512</v>
      </c>
      <c r="D464" s="96"/>
      <c r="E464" s="97"/>
      <c r="F464" s="97" t="s">
        <v>472</v>
      </c>
      <c r="G464" s="97" t="s">
        <v>446</v>
      </c>
      <c r="H464" s="97" t="s">
        <v>745</v>
      </c>
      <c r="I464" s="97" t="s">
        <v>247</v>
      </c>
      <c r="J464" s="98">
        <v>0</v>
      </c>
      <c r="K464" s="98">
        <v>1003701120</v>
      </c>
      <c r="L464" s="97"/>
      <c r="M464" s="97"/>
      <c r="N464" s="97"/>
      <c r="O464" s="97"/>
      <c r="P464" s="97"/>
      <c r="Q464" s="97" t="s">
        <v>488</v>
      </c>
      <c r="R464" s="97"/>
      <c r="S464" s="97"/>
      <c r="T464" s="851">
        <f t="shared" si="7"/>
        <v>-1003701120</v>
      </c>
    </row>
    <row r="465" spans="1:20">
      <c r="A465" s="96">
        <v>45535</v>
      </c>
      <c r="B465" s="96">
        <v>45535</v>
      </c>
      <c r="C465" s="97" t="s">
        <v>512</v>
      </c>
      <c r="D465" s="96"/>
      <c r="E465" s="97"/>
      <c r="F465" s="97" t="s">
        <v>472</v>
      </c>
      <c r="G465" s="97" t="s">
        <v>446</v>
      </c>
      <c r="H465" s="97" t="s">
        <v>263</v>
      </c>
      <c r="I465" s="97" t="s">
        <v>247</v>
      </c>
      <c r="J465" s="98">
        <v>0</v>
      </c>
      <c r="K465" s="98">
        <v>653854</v>
      </c>
      <c r="L465" s="97"/>
      <c r="M465" s="97"/>
      <c r="N465" s="97"/>
      <c r="O465" s="97"/>
      <c r="P465" s="97"/>
      <c r="Q465" s="97" t="s">
        <v>488</v>
      </c>
      <c r="R465" s="97"/>
      <c r="S465" s="97"/>
      <c r="T465" s="851">
        <f t="shared" si="7"/>
        <v>-653854</v>
      </c>
    </row>
    <row r="466" spans="1:20">
      <c r="A466" s="96">
        <v>45535</v>
      </c>
      <c r="B466" s="96">
        <v>45535</v>
      </c>
      <c r="C466" s="97" t="s">
        <v>512</v>
      </c>
      <c r="D466" s="96"/>
      <c r="E466" s="97"/>
      <c r="F466" s="97" t="s">
        <v>472</v>
      </c>
      <c r="G466" s="97" t="s">
        <v>446</v>
      </c>
      <c r="H466" s="97" t="s">
        <v>251</v>
      </c>
      <c r="I466" s="97" t="s">
        <v>247</v>
      </c>
      <c r="J466" s="98">
        <v>12473616664</v>
      </c>
      <c r="K466" s="98">
        <v>0</v>
      </c>
      <c r="L466" s="97"/>
      <c r="M466" s="97"/>
      <c r="N466" s="97"/>
      <c r="O466" s="97"/>
      <c r="P466" s="97"/>
      <c r="Q466" s="97" t="s">
        <v>488</v>
      </c>
      <c r="R466" s="97"/>
      <c r="S466" s="97"/>
      <c r="T466" s="851">
        <f t="shared" si="7"/>
        <v>12473616664</v>
      </c>
    </row>
    <row r="467" spans="1:20">
      <c r="A467" s="96">
        <v>45535</v>
      </c>
      <c r="B467" s="96">
        <v>45535</v>
      </c>
      <c r="C467" s="97" t="s">
        <v>512</v>
      </c>
      <c r="D467" s="96"/>
      <c r="E467" s="97"/>
      <c r="F467" s="97" t="s">
        <v>473</v>
      </c>
      <c r="G467" s="97" t="s">
        <v>446</v>
      </c>
      <c r="H467" s="97" t="s">
        <v>303</v>
      </c>
      <c r="I467" s="97" t="s">
        <v>303</v>
      </c>
      <c r="J467" s="98">
        <v>1140608898</v>
      </c>
      <c r="K467" s="98">
        <v>0</v>
      </c>
      <c r="L467" s="97"/>
      <c r="M467" s="97"/>
      <c r="N467" s="97"/>
      <c r="O467" s="97"/>
      <c r="P467" s="97"/>
      <c r="Q467" s="97" t="s">
        <v>488</v>
      </c>
      <c r="R467" s="97"/>
      <c r="S467" s="97"/>
      <c r="T467" s="851">
        <f t="shared" si="7"/>
        <v>1140608898</v>
      </c>
    </row>
    <row r="468" spans="1:20">
      <c r="A468" s="96">
        <v>45535</v>
      </c>
      <c r="B468" s="96">
        <v>45535</v>
      </c>
      <c r="C468" s="97" t="s">
        <v>512</v>
      </c>
      <c r="D468" s="96"/>
      <c r="E468" s="97"/>
      <c r="F468" s="97" t="s">
        <v>474</v>
      </c>
      <c r="G468" s="97" t="s">
        <v>446</v>
      </c>
      <c r="H468" s="97" t="s">
        <v>309</v>
      </c>
      <c r="I468" s="97" t="s">
        <v>305</v>
      </c>
      <c r="J468" s="98">
        <v>0</v>
      </c>
      <c r="K468" s="98">
        <v>2680493670</v>
      </c>
      <c r="L468" s="97"/>
      <c r="M468" s="97"/>
      <c r="N468" s="97"/>
      <c r="O468" s="97"/>
      <c r="P468" s="97"/>
      <c r="Q468" s="97" t="s">
        <v>488</v>
      </c>
      <c r="R468" s="97"/>
      <c r="S468" s="97"/>
      <c r="T468" s="851">
        <f t="shared" si="7"/>
        <v>-2680493670</v>
      </c>
    </row>
    <row r="469" spans="1:20">
      <c r="A469" s="96">
        <v>45535</v>
      </c>
      <c r="B469" s="96">
        <v>45535</v>
      </c>
      <c r="C469" s="97" t="s">
        <v>512</v>
      </c>
      <c r="D469" s="96"/>
      <c r="E469" s="97"/>
      <c r="F469" s="97" t="s">
        <v>474</v>
      </c>
      <c r="G469" s="97" t="s">
        <v>446</v>
      </c>
      <c r="H469" s="97" t="s">
        <v>329</v>
      </c>
      <c r="I469" s="97" t="s">
        <v>305</v>
      </c>
      <c r="J469" s="98">
        <v>0</v>
      </c>
      <c r="K469" s="98">
        <v>143513674</v>
      </c>
      <c r="L469" s="97"/>
      <c r="M469" s="97"/>
      <c r="N469" s="97"/>
      <c r="O469" s="97"/>
      <c r="P469" s="97"/>
      <c r="Q469" s="97" t="s">
        <v>488</v>
      </c>
      <c r="R469" s="97"/>
      <c r="S469" s="97"/>
      <c r="T469" s="851">
        <f t="shared" si="7"/>
        <v>-143513674</v>
      </c>
    </row>
    <row r="470" spans="1:20">
      <c r="A470" s="96">
        <v>45535</v>
      </c>
      <c r="B470" s="96">
        <v>45535</v>
      </c>
      <c r="C470" s="97" t="s">
        <v>512</v>
      </c>
      <c r="D470" s="96"/>
      <c r="E470" s="97"/>
      <c r="F470" s="97" t="s">
        <v>474</v>
      </c>
      <c r="G470" s="97" t="s">
        <v>446</v>
      </c>
      <c r="H470" s="97" t="s">
        <v>313</v>
      </c>
      <c r="I470" s="97" t="s">
        <v>305</v>
      </c>
      <c r="J470" s="98">
        <v>223721885</v>
      </c>
      <c r="K470" s="98">
        <v>0</v>
      </c>
      <c r="L470" s="97"/>
      <c r="M470" s="97"/>
      <c r="N470" s="97"/>
      <c r="O470" s="97"/>
      <c r="P470" s="97"/>
      <c r="Q470" s="97" t="s">
        <v>488</v>
      </c>
      <c r="R470" s="97"/>
      <c r="S470" s="97"/>
      <c r="T470" s="851">
        <f t="shared" si="7"/>
        <v>223721885</v>
      </c>
    </row>
    <row r="471" spans="1:20">
      <c r="A471" s="96">
        <v>45535</v>
      </c>
      <c r="B471" s="96">
        <v>45535</v>
      </c>
      <c r="C471" s="97" t="s">
        <v>512</v>
      </c>
      <c r="D471" s="96"/>
      <c r="E471" s="97"/>
      <c r="F471" s="97" t="s">
        <v>474</v>
      </c>
      <c r="G471" s="97" t="s">
        <v>446</v>
      </c>
      <c r="H471" s="97" t="s">
        <v>317</v>
      </c>
      <c r="I471" s="97" t="s">
        <v>305</v>
      </c>
      <c r="J471" s="98">
        <v>129204838</v>
      </c>
      <c r="K471" s="98">
        <v>0</v>
      </c>
      <c r="L471" s="97"/>
      <c r="M471" s="97"/>
      <c r="N471" s="97"/>
      <c r="O471" s="97"/>
      <c r="P471" s="97"/>
      <c r="Q471" s="97" t="s">
        <v>488</v>
      </c>
      <c r="R471" s="97"/>
      <c r="S471" s="97"/>
      <c r="T471" s="851">
        <f t="shared" si="7"/>
        <v>129204838</v>
      </c>
    </row>
    <row r="472" spans="1:20">
      <c r="A472" s="96">
        <v>45535</v>
      </c>
      <c r="B472" s="96">
        <v>45535</v>
      </c>
      <c r="C472" s="97" t="s">
        <v>512</v>
      </c>
      <c r="D472" s="96"/>
      <c r="E472" s="97"/>
      <c r="F472" s="97" t="s">
        <v>474</v>
      </c>
      <c r="G472" s="97" t="s">
        <v>446</v>
      </c>
      <c r="H472" s="97" t="s">
        <v>747</v>
      </c>
      <c r="I472" s="97" t="s">
        <v>305</v>
      </c>
      <c r="J472" s="98">
        <v>15715717</v>
      </c>
      <c r="K472" s="98">
        <v>0</v>
      </c>
      <c r="L472" s="97"/>
      <c r="M472" s="97"/>
      <c r="N472" s="97"/>
      <c r="O472" s="97"/>
      <c r="P472" s="97"/>
      <c r="Q472" s="97" t="s">
        <v>488</v>
      </c>
      <c r="R472" s="97"/>
      <c r="S472" s="97"/>
      <c r="T472" s="851">
        <f t="shared" si="7"/>
        <v>15715717</v>
      </c>
    </row>
    <row r="473" spans="1:20">
      <c r="A473" s="96">
        <v>45535</v>
      </c>
      <c r="B473" s="96">
        <v>45535</v>
      </c>
      <c r="C473" s="97" t="s">
        <v>512</v>
      </c>
      <c r="D473" s="96"/>
      <c r="E473" s="97"/>
      <c r="F473" s="97" t="s">
        <v>474</v>
      </c>
      <c r="G473" s="97" t="s">
        <v>446</v>
      </c>
      <c r="H473" s="97" t="s">
        <v>325</v>
      </c>
      <c r="I473" s="97" t="s">
        <v>305</v>
      </c>
      <c r="J473" s="98">
        <v>7389041</v>
      </c>
      <c r="K473" s="98">
        <v>0</v>
      </c>
      <c r="L473" s="97"/>
      <c r="M473" s="97"/>
      <c r="N473" s="97"/>
      <c r="O473" s="97"/>
      <c r="P473" s="97"/>
      <c r="Q473" s="97" t="s">
        <v>488</v>
      </c>
      <c r="R473" s="97"/>
      <c r="S473" s="97"/>
      <c r="T473" s="851">
        <f t="shared" si="7"/>
        <v>7389041</v>
      </c>
    </row>
    <row r="474" spans="1:20">
      <c r="A474" s="96">
        <v>45535</v>
      </c>
      <c r="B474" s="96">
        <v>45535</v>
      </c>
      <c r="C474" s="97" t="s">
        <v>512</v>
      </c>
      <c r="D474" s="96"/>
      <c r="E474" s="97"/>
      <c r="F474" s="97" t="s">
        <v>474</v>
      </c>
      <c r="G474" s="97" t="s">
        <v>446</v>
      </c>
      <c r="H474" s="97" t="s">
        <v>327</v>
      </c>
      <c r="I474" s="97" t="s">
        <v>305</v>
      </c>
      <c r="J474" s="98">
        <v>518068945</v>
      </c>
      <c r="K474" s="98">
        <v>0</v>
      </c>
      <c r="L474" s="97"/>
      <c r="M474" s="97"/>
      <c r="N474" s="97"/>
      <c r="O474" s="97"/>
      <c r="P474" s="97"/>
      <c r="Q474" s="97" t="s">
        <v>488</v>
      </c>
      <c r="R474" s="97"/>
      <c r="S474" s="97"/>
      <c r="T474" s="851">
        <f t="shared" si="7"/>
        <v>518068945</v>
      </c>
    </row>
    <row r="475" spans="1:20">
      <c r="A475" s="96">
        <v>45535</v>
      </c>
      <c r="B475" s="96">
        <v>45535</v>
      </c>
      <c r="C475" s="97" t="s">
        <v>512</v>
      </c>
      <c r="D475" s="96"/>
      <c r="E475" s="97"/>
      <c r="F475" s="97" t="s">
        <v>474</v>
      </c>
      <c r="G475" s="97" t="s">
        <v>446</v>
      </c>
      <c r="H475" s="97" t="s">
        <v>307</v>
      </c>
      <c r="I475" s="97" t="s">
        <v>305</v>
      </c>
      <c r="J475" s="98">
        <v>9041392357</v>
      </c>
      <c r="K475" s="98">
        <v>0</v>
      </c>
      <c r="L475" s="97"/>
      <c r="M475" s="97"/>
      <c r="N475" s="97"/>
      <c r="O475" s="97"/>
      <c r="P475" s="97"/>
      <c r="Q475" s="97" t="s">
        <v>488</v>
      </c>
      <c r="R475" s="97"/>
      <c r="S475" s="97"/>
      <c r="T475" s="851">
        <f t="shared" si="7"/>
        <v>9041392357</v>
      </c>
    </row>
    <row r="476" spans="1:20">
      <c r="A476" s="96">
        <v>45535</v>
      </c>
      <c r="B476" s="96">
        <v>45535</v>
      </c>
      <c r="C476" s="97" t="s">
        <v>512</v>
      </c>
      <c r="D476" s="96"/>
      <c r="E476" s="97"/>
      <c r="F476" s="97" t="s">
        <v>475</v>
      </c>
      <c r="G476" s="97" t="s">
        <v>446</v>
      </c>
      <c r="H476" s="97" t="s">
        <v>337</v>
      </c>
      <c r="I476" s="97" t="s">
        <v>333</v>
      </c>
      <c r="J476" s="98">
        <v>3489000</v>
      </c>
      <c r="K476" s="98">
        <v>0</v>
      </c>
      <c r="L476" s="97"/>
      <c r="M476" s="97"/>
      <c r="N476" s="97"/>
      <c r="O476" s="97"/>
      <c r="P476" s="97"/>
      <c r="Q476" s="97" t="s">
        <v>488</v>
      </c>
      <c r="R476" s="97"/>
      <c r="S476" s="97"/>
      <c r="T476" s="851">
        <f t="shared" si="7"/>
        <v>3489000</v>
      </c>
    </row>
    <row r="477" spans="1:20">
      <c r="A477" s="96">
        <v>45535</v>
      </c>
      <c r="B477" s="96">
        <v>45535</v>
      </c>
      <c r="C477" s="97" t="s">
        <v>512</v>
      </c>
      <c r="D477" s="96"/>
      <c r="E477" s="97"/>
      <c r="F477" s="97" t="s">
        <v>475</v>
      </c>
      <c r="G477" s="97" t="s">
        <v>446</v>
      </c>
      <c r="H477" s="97" t="s">
        <v>341</v>
      </c>
      <c r="I477" s="97" t="s">
        <v>333</v>
      </c>
      <c r="J477" s="98">
        <v>20226506</v>
      </c>
      <c r="K477" s="98">
        <v>0</v>
      </c>
      <c r="L477" s="97"/>
      <c r="M477" s="97"/>
      <c r="N477" s="97"/>
      <c r="O477" s="97"/>
      <c r="P477" s="97"/>
      <c r="Q477" s="97" t="s">
        <v>488</v>
      </c>
      <c r="R477" s="97"/>
      <c r="S477" s="97"/>
      <c r="T477" s="851">
        <f t="shared" si="7"/>
        <v>20226506</v>
      </c>
    </row>
    <row r="478" spans="1:20">
      <c r="A478" s="96">
        <v>45535</v>
      </c>
      <c r="B478" s="96">
        <v>45535</v>
      </c>
      <c r="C478" s="97" t="s">
        <v>512</v>
      </c>
      <c r="D478" s="96"/>
      <c r="E478" s="97"/>
      <c r="F478" s="97" t="s">
        <v>475</v>
      </c>
      <c r="G478" s="97" t="s">
        <v>446</v>
      </c>
      <c r="H478" s="97" t="s">
        <v>343</v>
      </c>
      <c r="I478" s="97" t="s">
        <v>333</v>
      </c>
      <c r="J478" s="98">
        <v>4805043</v>
      </c>
      <c r="K478" s="98">
        <v>0</v>
      </c>
      <c r="L478" s="97"/>
      <c r="M478" s="97"/>
      <c r="N478" s="97"/>
      <c r="O478" s="97"/>
      <c r="P478" s="97"/>
      <c r="Q478" s="97" t="s">
        <v>488</v>
      </c>
      <c r="R478" s="97"/>
      <c r="S478" s="97"/>
      <c r="T478" s="851">
        <f t="shared" si="7"/>
        <v>4805043</v>
      </c>
    </row>
    <row r="479" spans="1:20">
      <c r="A479" s="96">
        <v>45535</v>
      </c>
      <c r="B479" s="96">
        <v>45535</v>
      </c>
      <c r="C479" s="97" t="s">
        <v>512</v>
      </c>
      <c r="D479" s="96"/>
      <c r="E479" s="97"/>
      <c r="F479" s="97" t="s">
        <v>475</v>
      </c>
      <c r="G479" s="97" t="s">
        <v>446</v>
      </c>
      <c r="H479" s="97" t="s">
        <v>345</v>
      </c>
      <c r="I479" s="97" t="s">
        <v>333</v>
      </c>
      <c r="J479" s="98">
        <v>3870417</v>
      </c>
      <c r="K479" s="98">
        <v>0</v>
      </c>
      <c r="L479" s="97"/>
      <c r="M479" s="97"/>
      <c r="N479" s="97"/>
      <c r="O479" s="97"/>
      <c r="P479" s="97"/>
      <c r="Q479" s="97" t="s">
        <v>488</v>
      </c>
      <c r="R479" s="97"/>
      <c r="S479" s="97"/>
      <c r="T479" s="851">
        <f t="shared" si="7"/>
        <v>3870417</v>
      </c>
    </row>
    <row r="480" spans="1:20">
      <c r="A480" s="96">
        <v>45535</v>
      </c>
      <c r="B480" s="96">
        <v>45535</v>
      </c>
      <c r="C480" s="97" t="s">
        <v>512</v>
      </c>
      <c r="D480" s="96"/>
      <c r="E480" s="97"/>
      <c r="F480" s="97" t="s">
        <v>475</v>
      </c>
      <c r="G480" s="97" t="s">
        <v>446</v>
      </c>
      <c r="H480" s="97" t="s">
        <v>348</v>
      </c>
      <c r="I480" s="97" t="s">
        <v>333</v>
      </c>
      <c r="J480" s="98">
        <v>388602623</v>
      </c>
      <c r="K480" s="98">
        <v>0</v>
      </c>
      <c r="L480" s="97"/>
      <c r="M480" s="97"/>
      <c r="N480" s="97"/>
      <c r="O480" s="97"/>
      <c r="P480" s="97"/>
      <c r="Q480" s="97" t="s">
        <v>488</v>
      </c>
      <c r="R480" s="97"/>
      <c r="S480" s="97"/>
      <c r="T480" s="851">
        <f t="shared" si="7"/>
        <v>388602623</v>
      </c>
    </row>
    <row r="481" spans="1:20">
      <c r="A481" s="96">
        <v>45535</v>
      </c>
      <c r="B481" s="96">
        <v>45535</v>
      </c>
      <c r="C481" s="97" t="s">
        <v>512</v>
      </c>
      <c r="D481" s="96"/>
      <c r="E481" s="97"/>
      <c r="F481" s="97" t="s">
        <v>475</v>
      </c>
      <c r="G481" s="97" t="s">
        <v>446</v>
      </c>
      <c r="H481" s="97" t="s">
        <v>350</v>
      </c>
      <c r="I481" s="97" t="s">
        <v>333</v>
      </c>
      <c r="J481" s="98">
        <v>253454329</v>
      </c>
      <c r="K481" s="98">
        <v>0</v>
      </c>
      <c r="L481" s="97"/>
      <c r="M481" s="97"/>
      <c r="N481" s="97"/>
      <c r="O481" s="97"/>
      <c r="P481" s="97"/>
      <c r="Q481" s="97" t="s">
        <v>488</v>
      </c>
      <c r="R481" s="97"/>
      <c r="S481" s="97"/>
      <c r="T481" s="851">
        <f t="shared" si="7"/>
        <v>253454329</v>
      </c>
    </row>
    <row r="482" spans="1:20">
      <c r="A482" s="96">
        <v>45535</v>
      </c>
      <c r="B482" s="96">
        <v>45535</v>
      </c>
      <c r="C482" s="97" t="s">
        <v>512</v>
      </c>
      <c r="D482" s="96"/>
      <c r="E482" s="97"/>
      <c r="F482" s="97" t="s">
        <v>475</v>
      </c>
      <c r="G482" s="97" t="s">
        <v>446</v>
      </c>
      <c r="H482" s="97" t="s">
        <v>352</v>
      </c>
      <c r="I482" s="97" t="s">
        <v>333</v>
      </c>
      <c r="J482" s="98">
        <v>1200000</v>
      </c>
      <c r="K482" s="98">
        <v>0</v>
      </c>
      <c r="L482" s="97"/>
      <c r="M482" s="97"/>
      <c r="N482" s="97"/>
      <c r="O482" s="97"/>
      <c r="P482" s="97"/>
      <c r="Q482" s="97" t="s">
        <v>488</v>
      </c>
      <c r="R482" s="97"/>
      <c r="S482" s="97"/>
      <c r="T482" s="851">
        <f t="shared" si="7"/>
        <v>1200000</v>
      </c>
    </row>
    <row r="483" spans="1:20">
      <c r="A483" s="96">
        <v>45535</v>
      </c>
      <c r="B483" s="96">
        <v>45535</v>
      </c>
      <c r="C483" s="97" t="s">
        <v>512</v>
      </c>
      <c r="D483" s="96"/>
      <c r="E483" s="97"/>
      <c r="F483" s="97" t="s">
        <v>475</v>
      </c>
      <c r="G483" s="97" t="s">
        <v>446</v>
      </c>
      <c r="H483" s="97" t="s">
        <v>354</v>
      </c>
      <c r="I483" s="97" t="s">
        <v>333</v>
      </c>
      <c r="J483" s="98">
        <v>1799393</v>
      </c>
      <c r="K483" s="98">
        <v>0</v>
      </c>
      <c r="L483" s="97"/>
      <c r="M483" s="97"/>
      <c r="N483" s="97"/>
      <c r="O483" s="97"/>
      <c r="P483" s="97"/>
      <c r="Q483" s="97" t="s">
        <v>488</v>
      </c>
      <c r="R483" s="97"/>
      <c r="S483" s="97"/>
      <c r="T483" s="851">
        <f t="shared" si="7"/>
        <v>1799393</v>
      </c>
    </row>
    <row r="484" spans="1:20">
      <c r="A484" s="96">
        <v>45535</v>
      </c>
      <c r="B484" s="96">
        <v>45535</v>
      </c>
      <c r="C484" s="97" t="s">
        <v>512</v>
      </c>
      <c r="D484" s="96"/>
      <c r="E484" s="97"/>
      <c r="F484" s="97" t="s">
        <v>475</v>
      </c>
      <c r="G484" s="97" t="s">
        <v>446</v>
      </c>
      <c r="H484" s="97" t="s">
        <v>356</v>
      </c>
      <c r="I484" s="97" t="s">
        <v>333</v>
      </c>
      <c r="J484" s="98">
        <v>312525</v>
      </c>
      <c r="K484" s="98">
        <v>0</v>
      </c>
      <c r="L484" s="97"/>
      <c r="M484" s="97"/>
      <c r="N484" s="97"/>
      <c r="O484" s="97"/>
      <c r="P484" s="97"/>
      <c r="Q484" s="97" t="s">
        <v>488</v>
      </c>
      <c r="R484" s="97"/>
      <c r="S484" s="97"/>
      <c r="T484" s="851">
        <f t="shared" si="7"/>
        <v>312525</v>
      </c>
    </row>
    <row r="485" spans="1:20">
      <c r="A485" s="96">
        <v>45535</v>
      </c>
      <c r="B485" s="96">
        <v>45535</v>
      </c>
      <c r="C485" s="97" t="s">
        <v>512</v>
      </c>
      <c r="D485" s="96"/>
      <c r="E485" s="97"/>
      <c r="F485" s="97" t="s">
        <v>475</v>
      </c>
      <c r="G485" s="97" t="s">
        <v>446</v>
      </c>
      <c r="H485" s="97" t="s">
        <v>361</v>
      </c>
      <c r="I485" s="97" t="s">
        <v>333</v>
      </c>
      <c r="J485" s="98">
        <v>18764183</v>
      </c>
      <c r="K485" s="98">
        <v>0</v>
      </c>
      <c r="L485" s="97"/>
      <c r="M485" s="97"/>
      <c r="N485" s="97"/>
      <c r="O485" s="97"/>
      <c r="P485" s="97"/>
      <c r="Q485" s="97" t="s">
        <v>488</v>
      </c>
      <c r="R485" s="97"/>
      <c r="S485" s="97"/>
      <c r="T485" s="851">
        <f t="shared" si="7"/>
        <v>18764183</v>
      </c>
    </row>
    <row r="486" spans="1:20">
      <c r="A486" s="96">
        <v>45535</v>
      </c>
      <c r="B486" s="96">
        <v>45535</v>
      </c>
      <c r="C486" s="97" t="s">
        <v>512</v>
      </c>
      <c r="D486" s="96"/>
      <c r="E486" s="97"/>
      <c r="F486" s="97" t="s">
        <v>475</v>
      </c>
      <c r="G486" s="97" t="s">
        <v>446</v>
      </c>
      <c r="H486" s="97" t="s">
        <v>363</v>
      </c>
      <c r="I486" s="97" t="s">
        <v>333</v>
      </c>
      <c r="J486" s="98">
        <v>3237143</v>
      </c>
      <c r="K486" s="98">
        <v>0</v>
      </c>
      <c r="L486" s="97"/>
      <c r="M486" s="97"/>
      <c r="N486" s="97"/>
      <c r="O486" s="97"/>
      <c r="P486" s="97"/>
      <c r="Q486" s="97" t="s">
        <v>488</v>
      </c>
      <c r="R486" s="97"/>
      <c r="S486" s="97"/>
      <c r="T486" s="851">
        <f t="shared" si="7"/>
        <v>3237143</v>
      </c>
    </row>
    <row r="487" spans="1:20">
      <c r="A487" s="96">
        <v>45535</v>
      </c>
      <c r="B487" s="96">
        <v>45535</v>
      </c>
      <c r="C487" s="97" t="s">
        <v>512</v>
      </c>
      <c r="D487" s="96"/>
      <c r="E487" s="97"/>
      <c r="F487" s="97" t="s">
        <v>475</v>
      </c>
      <c r="G487" s="97" t="s">
        <v>446</v>
      </c>
      <c r="H487" s="97" t="s">
        <v>370</v>
      </c>
      <c r="I487" s="97" t="s">
        <v>333</v>
      </c>
      <c r="J487" s="98">
        <v>814193579</v>
      </c>
      <c r="K487" s="98">
        <v>0</v>
      </c>
      <c r="L487" s="97"/>
      <c r="M487" s="97"/>
      <c r="N487" s="97"/>
      <c r="O487" s="97"/>
      <c r="P487" s="97"/>
      <c r="Q487" s="97" t="s">
        <v>488</v>
      </c>
      <c r="R487" s="97"/>
      <c r="S487" s="97"/>
      <c r="T487" s="851">
        <f t="shared" si="7"/>
        <v>814193579</v>
      </c>
    </row>
    <row r="488" spans="1:20">
      <c r="A488" s="96">
        <v>45535</v>
      </c>
      <c r="B488" s="96">
        <v>45535</v>
      </c>
      <c r="C488" s="97" t="s">
        <v>512</v>
      </c>
      <c r="D488" s="96"/>
      <c r="E488" s="97"/>
      <c r="F488" s="97" t="s">
        <v>476</v>
      </c>
      <c r="G488" s="97" t="s">
        <v>446</v>
      </c>
      <c r="H488" s="97" t="s">
        <v>378</v>
      </c>
      <c r="I488" s="97" t="s">
        <v>374</v>
      </c>
      <c r="J488" s="98">
        <v>265282836</v>
      </c>
      <c r="K488" s="98">
        <v>0</v>
      </c>
      <c r="L488" s="97"/>
      <c r="M488" s="97"/>
      <c r="N488" s="97"/>
      <c r="O488" s="97"/>
      <c r="P488" s="97"/>
      <c r="Q488" s="97" t="s">
        <v>488</v>
      </c>
      <c r="R488" s="97"/>
      <c r="S488" s="97"/>
      <c r="T488" s="851">
        <f t="shared" si="7"/>
        <v>265282836</v>
      </c>
    </row>
    <row r="489" spans="1:20">
      <c r="A489" s="96">
        <v>45535</v>
      </c>
      <c r="B489" s="96">
        <v>45535</v>
      </c>
      <c r="C489" s="97" t="s">
        <v>512</v>
      </c>
      <c r="D489" s="96"/>
      <c r="E489" s="97"/>
      <c r="F489" s="97" t="s">
        <v>476</v>
      </c>
      <c r="G489" s="97" t="s">
        <v>446</v>
      </c>
      <c r="H489" s="97" t="s">
        <v>379</v>
      </c>
      <c r="I489" s="97" t="s">
        <v>374</v>
      </c>
      <c r="J489" s="98">
        <v>13856000</v>
      </c>
      <c r="K489" s="98">
        <v>0</v>
      </c>
      <c r="L489" s="97"/>
      <c r="M489" s="97"/>
      <c r="N489" s="97"/>
      <c r="O489" s="97"/>
      <c r="P489" s="97"/>
      <c r="Q489" s="97" t="s">
        <v>488</v>
      </c>
      <c r="R489" s="97"/>
      <c r="S489" s="97"/>
      <c r="T489" s="851">
        <f t="shared" si="7"/>
        <v>13856000</v>
      </c>
    </row>
    <row r="490" spans="1:20">
      <c r="A490" s="96">
        <v>45535</v>
      </c>
      <c r="B490" s="96">
        <v>45535</v>
      </c>
      <c r="C490" s="97" t="s">
        <v>512</v>
      </c>
      <c r="D490" s="96"/>
      <c r="E490" s="97"/>
      <c r="F490" s="97" t="s">
        <v>476</v>
      </c>
      <c r="G490" s="97" t="s">
        <v>446</v>
      </c>
      <c r="H490" s="97" t="s">
        <v>381</v>
      </c>
      <c r="I490" s="97" t="s">
        <v>374</v>
      </c>
      <c r="J490" s="98">
        <v>23372640</v>
      </c>
      <c r="K490" s="98">
        <v>0</v>
      </c>
      <c r="L490" s="97"/>
      <c r="M490" s="97"/>
      <c r="N490" s="97"/>
      <c r="O490" s="97"/>
      <c r="P490" s="97"/>
      <c r="Q490" s="97" t="s">
        <v>488</v>
      </c>
      <c r="R490" s="97"/>
      <c r="S490" s="97"/>
      <c r="T490" s="851">
        <f t="shared" si="7"/>
        <v>23372640</v>
      </c>
    </row>
    <row r="491" spans="1:20">
      <c r="A491" s="96">
        <v>45535</v>
      </c>
      <c r="B491" s="96">
        <v>45535</v>
      </c>
      <c r="C491" s="97" t="s">
        <v>512</v>
      </c>
      <c r="D491" s="96"/>
      <c r="E491" s="97"/>
      <c r="F491" s="97" t="s">
        <v>476</v>
      </c>
      <c r="G491" s="97" t="s">
        <v>446</v>
      </c>
      <c r="H491" s="97" t="s">
        <v>383</v>
      </c>
      <c r="I491" s="97" t="s">
        <v>374</v>
      </c>
      <c r="J491" s="98">
        <v>40902835</v>
      </c>
      <c r="K491" s="98">
        <v>0</v>
      </c>
      <c r="L491" s="97"/>
      <c r="M491" s="97"/>
      <c r="N491" s="97"/>
      <c r="O491" s="97"/>
      <c r="P491" s="97"/>
      <c r="Q491" s="97" t="s">
        <v>488</v>
      </c>
      <c r="R491" s="97"/>
      <c r="S491" s="97"/>
      <c r="T491" s="851">
        <f t="shared" si="7"/>
        <v>40902835</v>
      </c>
    </row>
    <row r="492" spans="1:20">
      <c r="A492" s="96">
        <v>45535</v>
      </c>
      <c r="B492" s="96">
        <v>45535</v>
      </c>
      <c r="C492" s="97" t="s">
        <v>512</v>
      </c>
      <c r="D492" s="96"/>
      <c r="E492" s="97"/>
      <c r="F492" s="97" t="s">
        <v>476</v>
      </c>
      <c r="G492" s="97" t="s">
        <v>446</v>
      </c>
      <c r="H492" s="97" t="s">
        <v>387</v>
      </c>
      <c r="I492" s="97" t="s">
        <v>374</v>
      </c>
      <c r="J492" s="98">
        <v>215902719</v>
      </c>
      <c r="K492" s="98">
        <v>0</v>
      </c>
      <c r="L492" s="97"/>
      <c r="M492" s="97"/>
      <c r="N492" s="97"/>
      <c r="O492" s="97"/>
      <c r="P492" s="97"/>
      <c r="Q492" s="97" t="s">
        <v>488</v>
      </c>
      <c r="R492" s="97"/>
      <c r="S492" s="97"/>
      <c r="T492" s="851">
        <f t="shared" si="7"/>
        <v>215902719</v>
      </c>
    </row>
    <row r="493" spans="1:20">
      <c r="A493" s="96">
        <v>45535</v>
      </c>
      <c r="B493" s="96">
        <v>45535</v>
      </c>
      <c r="C493" s="97" t="s">
        <v>512</v>
      </c>
      <c r="D493" s="96"/>
      <c r="E493" s="97"/>
      <c r="F493" s="97" t="s">
        <v>476</v>
      </c>
      <c r="G493" s="97" t="s">
        <v>446</v>
      </c>
      <c r="H493" s="97" t="s">
        <v>389</v>
      </c>
      <c r="I493" s="97" t="s">
        <v>374</v>
      </c>
      <c r="J493" s="98">
        <v>4966086</v>
      </c>
      <c r="K493" s="98">
        <v>0</v>
      </c>
      <c r="L493" s="97"/>
      <c r="M493" s="97"/>
      <c r="N493" s="97"/>
      <c r="O493" s="97"/>
      <c r="P493" s="97"/>
      <c r="Q493" s="97" t="s">
        <v>488</v>
      </c>
      <c r="R493" s="97"/>
      <c r="S493" s="97"/>
      <c r="T493" s="851">
        <f t="shared" si="7"/>
        <v>4966086</v>
      </c>
    </row>
    <row r="494" spans="1:20">
      <c r="A494" s="96">
        <v>45535</v>
      </c>
      <c r="B494" s="96">
        <v>45535</v>
      </c>
      <c r="C494" s="97" t="s">
        <v>512</v>
      </c>
      <c r="D494" s="96"/>
      <c r="E494" s="97"/>
      <c r="F494" s="97" t="s">
        <v>476</v>
      </c>
      <c r="G494" s="97" t="s">
        <v>446</v>
      </c>
      <c r="H494" s="97" t="s">
        <v>391</v>
      </c>
      <c r="I494" s="97" t="s">
        <v>374</v>
      </c>
      <c r="J494" s="98">
        <v>870639</v>
      </c>
      <c r="K494" s="98">
        <v>0</v>
      </c>
      <c r="L494" s="97"/>
      <c r="M494" s="97"/>
      <c r="N494" s="97"/>
      <c r="O494" s="97"/>
      <c r="P494" s="97"/>
      <c r="Q494" s="97" t="s">
        <v>488</v>
      </c>
      <c r="R494" s="97"/>
      <c r="S494" s="97"/>
      <c r="T494" s="851">
        <f t="shared" si="7"/>
        <v>870639</v>
      </c>
    </row>
    <row r="495" spans="1:20">
      <c r="A495" s="96">
        <v>45535</v>
      </c>
      <c r="B495" s="96">
        <v>45535</v>
      </c>
      <c r="C495" s="97" t="s">
        <v>512</v>
      </c>
      <c r="D495" s="96"/>
      <c r="E495" s="97"/>
      <c r="F495" s="97" t="s">
        <v>476</v>
      </c>
      <c r="G495" s="97" t="s">
        <v>446</v>
      </c>
      <c r="H495" s="97" t="s">
        <v>393</v>
      </c>
      <c r="I495" s="97" t="s">
        <v>374</v>
      </c>
      <c r="J495" s="98">
        <v>7628580</v>
      </c>
      <c r="K495" s="98">
        <v>0</v>
      </c>
      <c r="L495" s="97"/>
      <c r="M495" s="97"/>
      <c r="N495" s="97"/>
      <c r="O495" s="97"/>
      <c r="P495" s="97"/>
      <c r="Q495" s="97" t="s">
        <v>488</v>
      </c>
      <c r="R495" s="97"/>
      <c r="S495" s="97"/>
      <c r="T495" s="851">
        <f t="shared" si="7"/>
        <v>7628580</v>
      </c>
    </row>
    <row r="496" spans="1:20">
      <c r="A496" s="96">
        <v>45535</v>
      </c>
      <c r="B496" s="96">
        <v>45535</v>
      </c>
      <c r="C496" s="97" t="s">
        <v>512</v>
      </c>
      <c r="D496" s="96"/>
      <c r="E496" s="97"/>
      <c r="F496" s="97" t="s">
        <v>476</v>
      </c>
      <c r="G496" s="97" t="s">
        <v>446</v>
      </c>
      <c r="H496" s="97" t="s">
        <v>395</v>
      </c>
      <c r="I496" s="97" t="s">
        <v>374</v>
      </c>
      <c r="J496" s="98">
        <v>4226000</v>
      </c>
      <c r="K496" s="98">
        <v>0</v>
      </c>
      <c r="L496" s="97"/>
      <c r="M496" s="97"/>
      <c r="N496" s="97"/>
      <c r="O496" s="97"/>
      <c r="P496" s="97"/>
      <c r="Q496" s="97" t="s">
        <v>488</v>
      </c>
      <c r="R496" s="97"/>
      <c r="S496" s="97"/>
      <c r="T496" s="851">
        <f t="shared" si="7"/>
        <v>4226000</v>
      </c>
    </row>
    <row r="497" spans="1:20">
      <c r="A497" s="96">
        <v>45535</v>
      </c>
      <c r="B497" s="96">
        <v>45535</v>
      </c>
      <c r="C497" s="97" t="s">
        <v>512</v>
      </c>
      <c r="D497" s="96"/>
      <c r="E497" s="97"/>
      <c r="F497" s="97" t="s">
        <v>476</v>
      </c>
      <c r="G497" s="97" t="s">
        <v>446</v>
      </c>
      <c r="H497" s="97" t="s">
        <v>397</v>
      </c>
      <c r="I497" s="97" t="s">
        <v>374</v>
      </c>
      <c r="J497" s="98">
        <v>4095000</v>
      </c>
      <c r="K497" s="98">
        <v>0</v>
      </c>
      <c r="L497" s="97"/>
      <c r="M497" s="97"/>
      <c r="N497" s="97"/>
      <c r="O497" s="97"/>
      <c r="P497" s="97"/>
      <c r="Q497" s="97" t="s">
        <v>488</v>
      </c>
      <c r="R497" s="97"/>
      <c r="S497" s="97"/>
      <c r="T497" s="851">
        <f t="shared" si="7"/>
        <v>4095000</v>
      </c>
    </row>
    <row r="498" spans="1:20">
      <c r="A498" s="96">
        <v>45535</v>
      </c>
      <c r="B498" s="96">
        <v>45535</v>
      </c>
      <c r="C498" s="97" t="s">
        <v>512</v>
      </c>
      <c r="D498" s="96"/>
      <c r="E498" s="97"/>
      <c r="F498" s="97" t="s">
        <v>476</v>
      </c>
      <c r="G498" s="97" t="s">
        <v>446</v>
      </c>
      <c r="H498" s="97" t="s">
        <v>405</v>
      </c>
      <c r="I498" s="97" t="s">
        <v>374</v>
      </c>
      <c r="J498" s="98">
        <v>24000000</v>
      </c>
      <c r="K498" s="98">
        <v>0</v>
      </c>
      <c r="L498" s="97"/>
      <c r="M498" s="97"/>
      <c r="N498" s="97"/>
      <c r="O498" s="97"/>
      <c r="P498" s="97"/>
      <c r="Q498" s="97" t="s">
        <v>488</v>
      </c>
      <c r="R498" s="97"/>
      <c r="S498" s="97"/>
      <c r="T498" s="851">
        <f t="shared" si="7"/>
        <v>24000000</v>
      </c>
    </row>
    <row r="499" spans="1:20">
      <c r="A499" s="96">
        <v>45535</v>
      </c>
      <c r="B499" s="96">
        <v>45535</v>
      </c>
      <c r="C499" s="97" t="s">
        <v>512</v>
      </c>
      <c r="D499" s="96"/>
      <c r="E499" s="97"/>
      <c r="F499" s="97" t="s">
        <v>476</v>
      </c>
      <c r="G499" s="97" t="s">
        <v>446</v>
      </c>
      <c r="H499" s="97" t="s">
        <v>407</v>
      </c>
      <c r="I499" s="97" t="s">
        <v>374</v>
      </c>
      <c r="J499" s="98">
        <v>64393939</v>
      </c>
      <c r="K499" s="98">
        <v>0</v>
      </c>
      <c r="L499" s="97"/>
      <c r="M499" s="97"/>
      <c r="N499" s="97"/>
      <c r="O499" s="97"/>
      <c r="P499" s="97"/>
      <c r="Q499" s="97" t="s">
        <v>488</v>
      </c>
      <c r="R499" s="97"/>
      <c r="S499" s="97"/>
      <c r="T499" s="851">
        <f t="shared" si="7"/>
        <v>64393939</v>
      </c>
    </row>
    <row r="500" spans="1:20">
      <c r="A500" s="96">
        <v>45535</v>
      </c>
      <c r="B500" s="96">
        <v>45535</v>
      </c>
      <c r="C500" s="97" t="s">
        <v>512</v>
      </c>
      <c r="D500" s="96"/>
      <c r="E500" s="97"/>
      <c r="F500" s="97" t="s">
        <v>476</v>
      </c>
      <c r="G500" s="97" t="s">
        <v>446</v>
      </c>
      <c r="H500" s="97" t="s">
        <v>413</v>
      </c>
      <c r="I500" s="97" t="s">
        <v>374</v>
      </c>
      <c r="J500" s="98">
        <v>24196491</v>
      </c>
      <c r="K500" s="98">
        <v>0</v>
      </c>
      <c r="L500" s="97"/>
      <c r="M500" s="97"/>
      <c r="N500" s="97"/>
      <c r="O500" s="97"/>
      <c r="P500" s="97"/>
      <c r="Q500" s="97" t="s">
        <v>488</v>
      </c>
      <c r="R500" s="97"/>
      <c r="S500" s="97"/>
      <c r="T500" s="851">
        <f t="shared" si="7"/>
        <v>24196491</v>
      </c>
    </row>
    <row r="501" spans="1:20">
      <c r="A501" s="96">
        <v>45535</v>
      </c>
      <c r="B501" s="96">
        <v>45535</v>
      </c>
      <c r="C501" s="97" t="s">
        <v>512</v>
      </c>
      <c r="D501" s="96"/>
      <c r="E501" s="97"/>
      <c r="F501" s="97" t="s">
        <v>476</v>
      </c>
      <c r="G501" s="97" t="s">
        <v>446</v>
      </c>
      <c r="H501" s="97" t="s">
        <v>415</v>
      </c>
      <c r="I501" s="97" t="s">
        <v>374</v>
      </c>
      <c r="J501" s="98">
        <v>1772727</v>
      </c>
      <c r="K501" s="98">
        <v>0</v>
      </c>
      <c r="L501" s="97"/>
      <c r="M501" s="97"/>
      <c r="N501" s="97"/>
      <c r="O501" s="97"/>
      <c r="P501" s="97"/>
      <c r="Q501" s="97" t="s">
        <v>488</v>
      </c>
      <c r="R501" s="97"/>
      <c r="S501" s="97"/>
      <c r="T501" s="851">
        <f t="shared" si="7"/>
        <v>1772727</v>
      </c>
    </row>
    <row r="502" spans="1:20">
      <c r="A502" s="96">
        <v>45535</v>
      </c>
      <c r="B502" s="96">
        <v>45535</v>
      </c>
      <c r="C502" s="97" t="s">
        <v>512</v>
      </c>
      <c r="D502" s="96"/>
      <c r="E502" s="97"/>
      <c r="F502" s="97" t="s">
        <v>476</v>
      </c>
      <c r="G502" s="97" t="s">
        <v>446</v>
      </c>
      <c r="H502" s="97" t="s">
        <v>419</v>
      </c>
      <c r="I502" s="97" t="s">
        <v>374</v>
      </c>
      <c r="J502" s="98">
        <v>1950000</v>
      </c>
      <c r="K502" s="98">
        <v>0</v>
      </c>
      <c r="L502" s="97"/>
      <c r="M502" s="97"/>
      <c r="N502" s="97"/>
      <c r="O502" s="97"/>
      <c r="P502" s="97"/>
      <c r="Q502" s="97" t="s">
        <v>488</v>
      </c>
      <c r="R502" s="97"/>
      <c r="S502" s="97"/>
      <c r="T502" s="851">
        <f t="shared" si="7"/>
        <v>1950000</v>
      </c>
    </row>
    <row r="503" spans="1:20">
      <c r="A503" s="96">
        <v>45535</v>
      </c>
      <c r="B503" s="96">
        <v>45535</v>
      </c>
      <c r="C503" s="97" t="s">
        <v>512</v>
      </c>
      <c r="D503" s="96"/>
      <c r="E503" s="97"/>
      <c r="F503" s="97" t="s">
        <v>476</v>
      </c>
      <c r="G503" s="97" t="s">
        <v>446</v>
      </c>
      <c r="H503" s="97" t="s">
        <v>421</v>
      </c>
      <c r="I503" s="97" t="s">
        <v>374</v>
      </c>
      <c r="J503" s="98">
        <v>123603644</v>
      </c>
      <c r="K503" s="98">
        <v>0</v>
      </c>
      <c r="L503" s="97"/>
      <c r="M503" s="97"/>
      <c r="N503" s="97"/>
      <c r="O503" s="97"/>
      <c r="P503" s="97"/>
      <c r="Q503" s="97" t="s">
        <v>488</v>
      </c>
      <c r="R503" s="97"/>
      <c r="S503" s="97"/>
      <c r="T503" s="851">
        <f t="shared" si="7"/>
        <v>123603644</v>
      </c>
    </row>
    <row r="504" spans="1:20">
      <c r="A504" s="96">
        <v>45535</v>
      </c>
      <c r="B504" s="96">
        <v>45535</v>
      </c>
      <c r="C504" s="97" t="s">
        <v>512</v>
      </c>
      <c r="D504" s="96"/>
      <c r="E504" s="97"/>
      <c r="F504" s="97" t="s">
        <v>476</v>
      </c>
      <c r="G504" s="97" t="s">
        <v>446</v>
      </c>
      <c r="H504" s="97" t="s">
        <v>424</v>
      </c>
      <c r="I504" s="97" t="s">
        <v>374</v>
      </c>
      <c r="J504" s="98">
        <v>17452500</v>
      </c>
      <c r="K504" s="98">
        <v>0</v>
      </c>
      <c r="L504" s="97"/>
      <c r="M504" s="97"/>
      <c r="N504" s="97"/>
      <c r="O504" s="97"/>
      <c r="P504" s="97"/>
      <c r="Q504" s="97" t="s">
        <v>488</v>
      </c>
      <c r="R504" s="97"/>
      <c r="S504" s="97"/>
      <c r="T504" s="851">
        <f t="shared" si="7"/>
        <v>17452500</v>
      </c>
    </row>
    <row r="505" spans="1:20">
      <c r="A505" s="96">
        <v>45535</v>
      </c>
      <c r="B505" s="96">
        <v>45535</v>
      </c>
      <c r="C505" s="97" t="s">
        <v>512</v>
      </c>
      <c r="D505" s="96"/>
      <c r="E505" s="97"/>
      <c r="F505" s="97" t="s">
        <v>476</v>
      </c>
      <c r="G505" s="97" t="s">
        <v>446</v>
      </c>
      <c r="H505" s="97" t="s">
        <v>425</v>
      </c>
      <c r="I505" s="97" t="s">
        <v>374</v>
      </c>
      <c r="J505" s="98">
        <v>4202560</v>
      </c>
      <c r="K505" s="98">
        <v>0</v>
      </c>
      <c r="L505" s="97"/>
      <c r="M505" s="97"/>
      <c r="N505" s="97"/>
      <c r="O505" s="97"/>
      <c r="P505" s="97"/>
      <c r="Q505" s="97" t="s">
        <v>488</v>
      </c>
      <c r="R505" s="97"/>
      <c r="S505" s="97"/>
      <c r="T505" s="851">
        <f t="shared" si="7"/>
        <v>4202560</v>
      </c>
    </row>
    <row r="506" spans="1:20">
      <c r="A506" s="96">
        <v>45535</v>
      </c>
      <c r="B506" s="96">
        <v>45535</v>
      </c>
      <c r="C506" s="97" t="s">
        <v>512</v>
      </c>
      <c r="D506" s="96"/>
      <c r="E506" s="97"/>
      <c r="F506" s="97" t="s">
        <v>476</v>
      </c>
      <c r="G506" s="97" t="s">
        <v>446</v>
      </c>
      <c r="H506" s="97" t="s">
        <v>427</v>
      </c>
      <c r="I506" s="97" t="s">
        <v>374</v>
      </c>
      <c r="J506" s="98">
        <v>5444052</v>
      </c>
      <c r="K506" s="98">
        <v>0</v>
      </c>
      <c r="L506" s="97"/>
      <c r="M506" s="97"/>
      <c r="N506" s="97"/>
      <c r="O506" s="97"/>
      <c r="P506" s="97"/>
      <c r="Q506" s="97" t="s">
        <v>488</v>
      </c>
      <c r="R506" s="97"/>
      <c r="S506" s="97"/>
      <c r="T506" s="851">
        <f t="shared" si="7"/>
        <v>5444052</v>
      </c>
    </row>
    <row r="507" spans="1:20">
      <c r="A507" s="96">
        <v>45535</v>
      </c>
      <c r="B507" s="96">
        <v>45535</v>
      </c>
      <c r="C507" s="97" t="s">
        <v>512</v>
      </c>
      <c r="D507" s="96"/>
      <c r="E507" s="97"/>
      <c r="F507" s="97" t="s">
        <v>476</v>
      </c>
      <c r="G507" s="97" t="s">
        <v>446</v>
      </c>
      <c r="H507" s="97" t="s">
        <v>431</v>
      </c>
      <c r="I507" s="97" t="s">
        <v>374</v>
      </c>
      <c r="J507" s="98">
        <v>688652</v>
      </c>
      <c r="K507" s="98">
        <v>0</v>
      </c>
      <c r="L507" s="97"/>
      <c r="M507" s="97"/>
      <c r="N507" s="97"/>
      <c r="O507" s="97"/>
      <c r="P507" s="97"/>
      <c r="Q507" s="97" t="s">
        <v>488</v>
      </c>
      <c r="R507" s="97"/>
      <c r="S507" s="97"/>
      <c r="T507" s="851">
        <f t="shared" si="7"/>
        <v>688652</v>
      </c>
    </row>
    <row r="508" spans="1:20">
      <c r="A508" s="96">
        <v>45535</v>
      </c>
      <c r="B508" s="96">
        <v>45535</v>
      </c>
      <c r="C508" s="97" t="s">
        <v>512</v>
      </c>
      <c r="D508" s="96"/>
      <c r="E508" s="97"/>
      <c r="F508" s="97" t="s">
        <v>476</v>
      </c>
      <c r="G508" s="97" t="s">
        <v>446</v>
      </c>
      <c r="H508" s="97" t="s">
        <v>435</v>
      </c>
      <c r="I508" s="97" t="s">
        <v>374</v>
      </c>
      <c r="J508" s="98">
        <v>13080435</v>
      </c>
      <c r="K508" s="98">
        <v>0</v>
      </c>
      <c r="L508" s="97"/>
      <c r="M508" s="97"/>
      <c r="N508" s="97"/>
      <c r="O508" s="97"/>
      <c r="P508" s="97"/>
      <c r="Q508" s="97" t="s">
        <v>488</v>
      </c>
      <c r="R508" s="97"/>
      <c r="S508" s="97"/>
      <c r="T508" s="851">
        <f t="shared" si="7"/>
        <v>13080435</v>
      </c>
    </row>
    <row r="509" spans="1:20">
      <c r="A509" s="96">
        <v>45535</v>
      </c>
      <c r="B509" s="96">
        <v>45535</v>
      </c>
      <c r="C509" s="97" t="s">
        <v>512</v>
      </c>
      <c r="D509" s="96"/>
      <c r="E509" s="97"/>
      <c r="F509" s="97" t="s">
        <v>479</v>
      </c>
      <c r="G509" s="97" t="s">
        <v>446</v>
      </c>
      <c r="H509" s="97" t="s">
        <v>217</v>
      </c>
      <c r="I509" s="97" t="s">
        <v>213</v>
      </c>
      <c r="J509" s="98">
        <v>2564829290</v>
      </c>
      <c r="K509" s="98">
        <v>0</v>
      </c>
      <c r="L509" s="97"/>
      <c r="M509" s="97"/>
      <c r="N509" s="97"/>
      <c r="O509" s="97"/>
      <c r="P509" s="97"/>
      <c r="Q509" s="97" t="s">
        <v>488</v>
      </c>
      <c r="R509" s="97"/>
      <c r="S509" s="97"/>
      <c r="T509" s="851">
        <f t="shared" si="7"/>
        <v>2564829290</v>
      </c>
    </row>
    <row r="510" spans="1:20">
      <c r="A510" s="96">
        <v>45565</v>
      </c>
      <c r="B510" s="96">
        <v>45565</v>
      </c>
      <c r="C510" s="97" t="s">
        <v>513</v>
      </c>
      <c r="D510" s="96"/>
      <c r="E510" s="97"/>
      <c r="F510" s="97" t="s">
        <v>468</v>
      </c>
      <c r="G510" s="97" t="s">
        <v>446</v>
      </c>
      <c r="H510" s="97" t="s">
        <v>223</v>
      </c>
      <c r="I510" s="97" t="s">
        <v>219</v>
      </c>
      <c r="J510" s="98">
        <v>0</v>
      </c>
      <c r="K510" s="98">
        <v>10</v>
      </c>
      <c r="L510" s="97"/>
      <c r="M510" s="97"/>
      <c r="N510" s="97"/>
      <c r="O510" s="97"/>
      <c r="P510" s="97"/>
      <c r="Q510" s="97" t="s">
        <v>488</v>
      </c>
      <c r="R510" s="97"/>
      <c r="S510" s="97"/>
      <c r="T510" s="851">
        <f t="shared" si="7"/>
        <v>-10</v>
      </c>
    </row>
    <row r="511" spans="1:20">
      <c r="A511" s="96">
        <v>45565</v>
      </c>
      <c r="B511" s="96">
        <v>45565</v>
      </c>
      <c r="C511" s="97" t="s">
        <v>513</v>
      </c>
      <c r="D511" s="96"/>
      <c r="E511" s="97"/>
      <c r="F511" s="97" t="s">
        <v>468</v>
      </c>
      <c r="G511" s="97" t="s">
        <v>446</v>
      </c>
      <c r="H511" s="97" t="s">
        <v>225</v>
      </c>
      <c r="I511" s="97" t="s">
        <v>219</v>
      </c>
      <c r="J511" s="98">
        <v>0</v>
      </c>
      <c r="K511" s="98">
        <v>1827000</v>
      </c>
      <c r="L511" s="97"/>
      <c r="M511" s="97"/>
      <c r="N511" s="97"/>
      <c r="O511" s="97"/>
      <c r="P511" s="97"/>
      <c r="Q511" s="97" t="s">
        <v>488</v>
      </c>
      <c r="R511" s="97"/>
      <c r="S511" s="97"/>
      <c r="T511" s="851">
        <f t="shared" si="7"/>
        <v>-1827000</v>
      </c>
    </row>
    <row r="512" spans="1:20">
      <c r="A512" s="96">
        <v>45565</v>
      </c>
      <c r="B512" s="96">
        <v>45565</v>
      </c>
      <c r="C512" s="97" t="s">
        <v>513</v>
      </c>
      <c r="D512" s="96"/>
      <c r="E512" s="97"/>
      <c r="F512" s="97" t="s">
        <v>468</v>
      </c>
      <c r="G512" s="97" t="s">
        <v>446</v>
      </c>
      <c r="H512" s="97" t="s">
        <v>227</v>
      </c>
      <c r="I512" s="97" t="s">
        <v>219</v>
      </c>
      <c r="J512" s="98">
        <v>0</v>
      </c>
      <c r="K512" s="98">
        <v>5220000</v>
      </c>
      <c r="L512" s="97"/>
      <c r="M512" s="97"/>
      <c r="N512" s="97"/>
      <c r="O512" s="97"/>
      <c r="P512" s="97"/>
      <c r="Q512" s="97" t="s">
        <v>488</v>
      </c>
      <c r="R512" s="97"/>
      <c r="S512" s="97"/>
      <c r="T512" s="851">
        <f t="shared" si="7"/>
        <v>-5220000</v>
      </c>
    </row>
    <row r="513" spans="1:20">
      <c r="A513" s="96">
        <v>45565</v>
      </c>
      <c r="B513" s="96">
        <v>45565</v>
      </c>
      <c r="C513" s="97" t="s">
        <v>513</v>
      </c>
      <c r="D513" s="96"/>
      <c r="E513" s="97"/>
      <c r="F513" s="97" t="s">
        <v>468</v>
      </c>
      <c r="G513" s="97" t="s">
        <v>446</v>
      </c>
      <c r="H513" s="97" t="s">
        <v>229</v>
      </c>
      <c r="I513" s="97" t="s">
        <v>219</v>
      </c>
      <c r="J513" s="98">
        <v>0</v>
      </c>
      <c r="K513" s="98">
        <v>56456591</v>
      </c>
      <c r="L513" s="97"/>
      <c r="M513" s="97"/>
      <c r="N513" s="97"/>
      <c r="O513" s="97"/>
      <c r="P513" s="97"/>
      <c r="Q513" s="97" t="s">
        <v>488</v>
      </c>
      <c r="R513" s="97"/>
      <c r="S513" s="97"/>
      <c r="T513" s="851">
        <f t="shared" si="7"/>
        <v>-56456591</v>
      </c>
    </row>
    <row r="514" spans="1:20">
      <c r="A514" s="96">
        <v>45565</v>
      </c>
      <c r="B514" s="96">
        <v>45565</v>
      </c>
      <c r="C514" s="97" t="s">
        <v>513</v>
      </c>
      <c r="D514" s="96"/>
      <c r="E514" s="97"/>
      <c r="F514" s="97" t="s">
        <v>468</v>
      </c>
      <c r="G514" s="97" t="s">
        <v>446</v>
      </c>
      <c r="H514" s="97" t="s">
        <v>231</v>
      </c>
      <c r="I514" s="97" t="s">
        <v>219</v>
      </c>
      <c r="J514" s="98">
        <v>0</v>
      </c>
      <c r="K514" s="98">
        <v>135443455</v>
      </c>
      <c r="L514" s="97"/>
      <c r="M514" s="97"/>
      <c r="N514" s="97"/>
      <c r="O514" s="97"/>
      <c r="P514" s="97"/>
      <c r="Q514" s="97" t="s">
        <v>488</v>
      </c>
      <c r="R514" s="97"/>
      <c r="S514" s="97"/>
      <c r="T514" s="851">
        <f t="shared" si="7"/>
        <v>-135443455</v>
      </c>
    </row>
    <row r="515" spans="1:20">
      <c r="A515" s="96">
        <v>45565</v>
      </c>
      <c r="B515" s="96">
        <v>45565</v>
      </c>
      <c r="C515" s="97" t="s">
        <v>513</v>
      </c>
      <c r="D515" s="96"/>
      <c r="E515" s="97"/>
      <c r="F515" s="97" t="s">
        <v>468</v>
      </c>
      <c r="G515" s="97" t="s">
        <v>446</v>
      </c>
      <c r="H515" s="97" t="s">
        <v>233</v>
      </c>
      <c r="I515" s="97" t="s">
        <v>219</v>
      </c>
      <c r="J515" s="98">
        <v>0</v>
      </c>
      <c r="K515" s="98">
        <v>393000</v>
      </c>
      <c r="L515" s="97"/>
      <c r="M515" s="97"/>
      <c r="N515" s="97"/>
      <c r="O515" s="97"/>
      <c r="P515" s="97"/>
      <c r="Q515" s="97" t="s">
        <v>488</v>
      </c>
      <c r="R515" s="97"/>
      <c r="S515" s="97"/>
      <c r="T515" s="851">
        <f t="shared" si="7"/>
        <v>-393000</v>
      </c>
    </row>
    <row r="516" spans="1:20">
      <c r="A516" s="96">
        <v>45565</v>
      </c>
      <c r="B516" s="96">
        <v>45565</v>
      </c>
      <c r="C516" s="97" t="s">
        <v>513</v>
      </c>
      <c r="D516" s="96"/>
      <c r="E516" s="97"/>
      <c r="F516" s="97" t="s">
        <v>468</v>
      </c>
      <c r="G516" s="97" t="s">
        <v>446</v>
      </c>
      <c r="H516" s="97" t="s">
        <v>235</v>
      </c>
      <c r="I516" s="97" t="s">
        <v>219</v>
      </c>
      <c r="J516" s="98">
        <v>0</v>
      </c>
      <c r="K516" s="98">
        <v>10229916</v>
      </c>
      <c r="L516" s="97"/>
      <c r="M516" s="97"/>
      <c r="N516" s="97"/>
      <c r="O516" s="97"/>
      <c r="P516" s="97"/>
      <c r="Q516" s="97" t="s">
        <v>488</v>
      </c>
      <c r="R516" s="97"/>
      <c r="S516" s="97"/>
      <c r="T516" s="851">
        <f t="shared" si="7"/>
        <v>-10229916</v>
      </c>
    </row>
    <row r="517" spans="1:20">
      <c r="A517" s="96">
        <v>45565</v>
      </c>
      <c r="B517" s="96">
        <v>45565</v>
      </c>
      <c r="C517" s="97" t="s">
        <v>513</v>
      </c>
      <c r="D517" s="96"/>
      <c r="E517" s="97"/>
      <c r="F517" s="97" t="s">
        <v>468</v>
      </c>
      <c r="G517" s="97" t="s">
        <v>446</v>
      </c>
      <c r="H517" s="97" t="s">
        <v>237</v>
      </c>
      <c r="I517" s="97" t="s">
        <v>219</v>
      </c>
      <c r="J517" s="98">
        <v>0</v>
      </c>
      <c r="K517" s="98">
        <v>298643249</v>
      </c>
      <c r="L517" s="97"/>
      <c r="M517" s="97"/>
      <c r="N517" s="97"/>
      <c r="O517" s="97"/>
      <c r="P517" s="97"/>
      <c r="Q517" s="97" t="s">
        <v>488</v>
      </c>
      <c r="R517" s="97"/>
      <c r="S517" s="97"/>
      <c r="T517" s="851">
        <f t="shared" ref="T517:T580" si="8">J517-K517</f>
        <v>-298643249</v>
      </c>
    </row>
    <row r="518" spans="1:20">
      <c r="A518" s="96">
        <v>45565</v>
      </c>
      <c r="B518" s="96">
        <v>45565</v>
      </c>
      <c r="C518" s="97" t="s">
        <v>513</v>
      </c>
      <c r="D518" s="96"/>
      <c r="E518" s="97"/>
      <c r="F518" s="97" t="s">
        <v>468</v>
      </c>
      <c r="G518" s="97" t="s">
        <v>446</v>
      </c>
      <c r="H518" s="97" t="s">
        <v>241</v>
      </c>
      <c r="I518" s="97" t="s">
        <v>219</v>
      </c>
      <c r="J518" s="98">
        <v>0</v>
      </c>
      <c r="K518" s="98">
        <v>1249987</v>
      </c>
      <c r="L518" s="97"/>
      <c r="M518" s="97"/>
      <c r="N518" s="97"/>
      <c r="O518" s="97"/>
      <c r="P518" s="97"/>
      <c r="Q518" s="97" t="s">
        <v>488</v>
      </c>
      <c r="R518" s="97"/>
      <c r="S518" s="97"/>
      <c r="T518" s="851">
        <f t="shared" si="8"/>
        <v>-1249987</v>
      </c>
    </row>
    <row r="519" spans="1:20">
      <c r="A519" s="96">
        <v>45565</v>
      </c>
      <c r="B519" s="96">
        <v>45565</v>
      </c>
      <c r="C519" s="97" t="s">
        <v>513</v>
      </c>
      <c r="D519" s="96"/>
      <c r="E519" s="97"/>
      <c r="F519" s="97" t="s">
        <v>468</v>
      </c>
      <c r="G519" s="97" t="s">
        <v>446</v>
      </c>
      <c r="H519" s="97" t="s">
        <v>243</v>
      </c>
      <c r="I519" s="97" t="s">
        <v>219</v>
      </c>
      <c r="J519" s="98">
        <v>0</v>
      </c>
      <c r="K519" s="98">
        <v>316000000</v>
      </c>
      <c r="L519" s="97"/>
      <c r="M519" s="97"/>
      <c r="N519" s="97"/>
      <c r="O519" s="97"/>
      <c r="P519" s="97"/>
      <c r="Q519" s="97" t="s">
        <v>488</v>
      </c>
      <c r="R519" s="97"/>
      <c r="S519" s="97"/>
      <c r="T519" s="851">
        <f t="shared" si="8"/>
        <v>-316000000</v>
      </c>
    </row>
    <row r="520" spans="1:20">
      <c r="A520" s="96">
        <v>45565</v>
      </c>
      <c r="B520" s="96">
        <v>45565</v>
      </c>
      <c r="C520" s="97" t="s">
        <v>513</v>
      </c>
      <c r="D520" s="96"/>
      <c r="E520" s="97"/>
      <c r="F520" s="97" t="s">
        <v>468</v>
      </c>
      <c r="G520" s="97" t="s">
        <v>446</v>
      </c>
      <c r="H520" s="97" t="s">
        <v>245</v>
      </c>
      <c r="I520" s="97" t="s">
        <v>219</v>
      </c>
      <c r="J520" s="98">
        <v>0</v>
      </c>
      <c r="K520" s="98">
        <v>400000</v>
      </c>
      <c r="L520" s="97"/>
      <c r="M520" s="97"/>
      <c r="N520" s="97"/>
      <c r="O520" s="97"/>
      <c r="P520" s="97"/>
      <c r="Q520" s="97" t="s">
        <v>488</v>
      </c>
      <c r="R520" s="97"/>
      <c r="S520" s="97"/>
      <c r="T520" s="851">
        <f t="shared" si="8"/>
        <v>-400000</v>
      </c>
    </row>
    <row r="521" spans="1:20">
      <c r="A521" s="96">
        <v>45565</v>
      </c>
      <c r="B521" s="96">
        <v>45565</v>
      </c>
      <c r="C521" s="97" t="s">
        <v>513</v>
      </c>
      <c r="D521" s="96"/>
      <c r="E521" s="97"/>
      <c r="F521" s="97" t="s">
        <v>472</v>
      </c>
      <c r="G521" s="97" t="s">
        <v>446</v>
      </c>
      <c r="H521" s="97" t="s">
        <v>249</v>
      </c>
      <c r="I521" s="97" t="s">
        <v>247</v>
      </c>
      <c r="J521" s="98">
        <v>0</v>
      </c>
      <c r="K521" s="98">
        <v>2105916768</v>
      </c>
      <c r="L521" s="97"/>
      <c r="M521" s="97"/>
      <c r="N521" s="97"/>
      <c r="O521" s="97"/>
      <c r="P521" s="97"/>
      <c r="Q521" s="97" t="s">
        <v>488</v>
      </c>
      <c r="R521" s="97"/>
      <c r="S521" s="97"/>
      <c r="T521" s="851">
        <f t="shared" si="8"/>
        <v>-2105916768</v>
      </c>
    </row>
    <row r="522" spans="1:20">
      <c r="A522" s="96">
        <v>45565</v>
      </c>
      <c r="B522" s="96">
        <v>45565</v>
      </c>
      <c r="C522" s="97" t="s">
        <v>513</v>
      </c>
      <c r="D522" s="96"/>
      <c r="E522" s="97"/>
      <c r="F522" s="97" t="s">
        <v>472</v>
      </c>
      <c r="G522" s="97" t="s">
        <v>446</v>
      </c>
      <c r="H522" s="97" t="s">
        <v>251</v>
      </c>
      <c r="I522" s="97" t="s">
        <v>247</v>
      </c>
      <c r="J522" s="98">
        <v>0</v>
      </c>
      <c r="K522" s="98">
        <v>487858357</v>
      </c>
      <c r="L522" s="97"/>
      <c r="M522" s="97"/>
      <c r="N522" s="97"/>
      <c r="O522" s="97"/>
      <c r="P522" s="97"/>
      <c r="Q522" s="97" t="s">
        <v>488</v>
      </c>
      <c r="R522" s="97"/>
      <c r="S522" s="97"/>
      <c r="T522" s="851">
        <f t="shared" si="8"/>
        <v>-487858357</v>
      </c>
    </row>
    <row r="523" spans="1:20">
      <c r="A523" s="96">
        <v>45565</v>
      </c>
      <c r="B523" s="96">
        <v>45565</v>
      </c>
      <c r="C523" s="97" t="s">
        <v>513</v>
      </c>
      <c r="D523" s="96"/>
      <c r="E523" s="97"/>
      <c r="F523" s="97" t="s">
        <v>472</v>
      </c>
      <c r="G523" s="97" t="s">
        <v>446</v>
      </c>
      <c r="H523" s="97" t="s">
        <v>255</v>
      </c>
      <c r="I523" s="97" t="s">
        <v>247</v>
      </c>
      <c r="J523" s="98">
        <v>0</v>
      </c>
      <c r="K523" s="98">
        <v>1215111621</v>
      </c>
      <c r="L523" s="97"/>
      <c r="M523" s="97"/>
      <c r="N523" s="97"/>
      <c r="O523" s="97"/>
      <c r="P523" s="97"/>
      <c r="Q523" s="97" t="s">
        <v>488</v>
      </c>
      <c r="R523" s="97"/>
      <c r="S523" s="97"/>
      <c r="T523" s="851">
        <f t="shared" si="8"/>
        <v>-1215111621</v>
      </c>
    </row>
    <row r="524" spans="1:20">
      <c r="A524" s="96">
        <v>45565</v>
      </c>
      <c r="B524" s="96">
        <v>45565</v>
      </c>
      <c r="C524" s="97" t="s">
        <v>513</v>
      </c>
      <c r="D524" s="96"/>
      <c r="E524" s="97"/>
      <c r="F524" s="97" t="s">
        <v>472</v>
      </c>
      <c r="G524" s="97" t="s">
        <v>446</v>
      </c>
      <c r="H524" s="97" t="s">
        <v>257</v>
      </c>
      <c r="I524" s="97" t="s">
        <v>247</v>
      </c>
      <c r="J524" s="98">
        <v>0</v>
      </c>
      <c r="K524" s="98">
        <v>1070058500</v>
      </c>
      <c r="L524" s="97"/>
      <c r="M524" s="97"/>
      <c r="N524" s="97"/>
      <c r="O524" s="97"/>
      <c r="P524" s="97"/>
      <c r="Q524" s="97" t="s">
        <v>488</v>
      </c>
      <c r="R524" s="97"/>
      <c r="S524" s="97"/>
      <c r="T524" s="851">
        <f t="shared" si="8"/>
        <v>-1070058500</v>
      </c>
    </row>
    <row r="525" spans="1:20">
      <c r="A525" s="96">
        <v>45565</v>
      </c>
      <c r="B525" s="96">
        <v>45565</v>
      </c>
      <c r="C525" s="97" t="s">
        <v>513</v>
      </c>
      <c r="D525" s="96"/>
      <c r="E525" s="97"/>
      <c r="F525" s="97" t="s">
        <v>472</v>
      </c>
      <c r="G525" s="97" t="s">
        <v>446</v>
      </c>
      <c r="H525" s="97" t="s">
        <v>259</v>
      </c>
      <c r="I525" s="97" t="s">
        <v>247</v>
      </c>
      <c r="J525" s="98">
        <v>0</v>
      </c>
      <c r="K525" s="98">
        <v>409683534</v>
      </c>
      <c r="L525" s="97"/>
      <c r="M525" s="97"/>
      <c r="N525" s="97"/>
      <c r="O525" s="97"/>
      <c r="P525" s="97"/>
      <c r="Q525" s="97" t="s">
        <v>488</v>
      </c>
      <c r="R525" s="97"/>
      <c r="S525" s="97"/>
      <c r="T525" s="851">
        <f t="shared" si="8"/>
        <v>-409683534</v>
      </c>
    </row>
    <row r="526" spans="1:20">
      <c r="A526" s="96">
        <v>45565</v>
      </c>
      <c r="B526" s="96">
        <v>45565</v>
      </c>
      <c r="C526" s="97" t="s">
        <v>513</v>
      </c>
      <c r="D526" s="96"/>
      <c r="E526" s="97"/>
      <c r="F526" s="97" t="s">
        <v>472</v>
      </c>
      <c r="G526" s="97" t="s">
        <v>446</v>
      </c>
      <c r="H526" s="97" t="s">
        <v>745</v>
      </c>
      <c r="I526" s="97" t="s">
        <v>247</v>
      </c>
      <c r="J526" s="98">
        <v>0</v>
      </c>
      <c r="K526" s="98">
        <v>3207243104</v>
      </c>
      <c r="L526" s="97"/>
      <c r="M526" s="97"/>
      <c r="N526" s="97"/>
      <c r="O526" s="97"/>
      <c r="P526" s="97"/>
      <c r="Q526" s="97" t="s">
        <v>488</v>
      </c>
      <c r="R526" s="97"/>
      <c r="S526" s="97"/>
      <c r="T526" s="851">
        <f t="shared" si="8"/>
        <v>-3207243104</v>
      </c>
    </row>
    <row r="527" spans="1:20">
      <c r="A527" s="96">
        <v>45565</v>
      </c>
      <c r="B527" s="96">
        <v>45565</v>
      </c>
      <c r="C527" s="97" t="s">
        <v>513</v>
      </c>
      <c r="D527" s="96"/>
      <c r="E527" s="97"/>
      <c r="F527" s="97" t="s">
        <v>472</v>
      </c>
      <c r="G527" s="97" t="s">
        <v>446</v>
      </c>
      <c r="H527" s="97" t="s">
        <v>261</v>
      </c>
      <c r="I527" s="97" t="s">
        <v>247</v>
      </c>
      <c r="J527" s="98">
        <v>0</v>
      </c>
      <c r="K527" s="98">
        <v>4438356</v>
      </c>
      <c r="L527" s="97"/>
      <c r="M527" s="97"/>
      <c r="N527" s="97"/>
      <c r="O527" s="97"/>
      <c r="P527" s="97"/>
      <c r="Q527" s="97" t="s">
        <v>488</v>
      </c>
      <c r="R527" s="97"/>
      <c r="S527" s="97"/>
      <c r="T527" s="851">
        <f t="shared" si="8"/>
        <v>-4438356</v>
      </c>
    </row>
    <row r="528" spans="1:20">
      <c r="A528" s="96">
        <v>45565</v>
      </c>
      <c r="B528" s="96">
        <v>45565</v>
      </c>
      <c r="C528" s="97" t="s">
        <v>513</v>
      </c>
      <c r="D528" s="96"/>
      <c r="E528" s="97"/>
      <c r="F528" s="97" t="s">
        <v>472</v>
      </c>
      <c r="G528" s="97" t="s">
        <v>446</v>
      </c>
      <c r="H528" s="97" t="s">
        <v>263</v>
      </c>
      <c r="I528" s="97" t="s">
        <v>247</v>
      </c>
      <c r="J528" s="98">
        <v>0</v>
      </c>
      <c r="K528" s="98">
        <v>1764665</v>
      </c>
      <c r="L528" s="97"/>
      <c r="M528" s="97"/>
      <c r="N528" s="97"/>
      <c r="O528" s="97"/>
      <c r="P528" s="97"/>
      <c r="Q528" s="97" t="s">
        <v>488</v>
      </c>
      <c r="R528" s="97"/>
      <c r="S528" s="97"/>
      <c r="T528" s="851">
        <f t="shared" si="8"/>
        <v>-1764665</v>
      </c>
    </row>
    <row r="529" spans="1:20">
      <c r="A529" s="96">
        <v>45565</v>
      </c>
      <c r="B529" s="96">
        <v>45565</v>
      </c>
      <c r="C529" s="97" t="s">
        <v>513</v>
      </c>
      <c r="D529" s="96"/>
      <c r="E529" s="97"/>
      <c r="F529" s="97" t="s">
        <v>473</v>
      </c>
      <c r="G529" s="97" t="s">
        <v>446</v>
      </c>
      <c r="H529" s="97" t="s">
        <v>303</v>
      </c>
      <c r="I529" s="97" t="s">
        <v>303</v>
      </c>
      <c r="J529" s="98">
        <v>1169000163</v>
      </c>
      <c r="K529" s="98">
        <v>0</v>
      </c>
      <c r="L529" s="97"/>
      <c r="M529" s="97"/>
      <c r="N529" s="97"/>
      <c r="O529" s="97"/>
      <c r="P529" s="97"/>
      <c r="Q529" s="97" t="s">
        <v>488</v>
      </c>
      <c r="R529" s="97"/>
      <c r="S529" s="97"/>
      <c r="T529" s="851">
        <f t="shared" si="8"/>
        <v>1169000163</v>
      </c>
    </row>
    <row r="530" spans="1:20">
      <c r="A530" s="96">
        <v>45565</v>
      </c>
      <c r="B530" s="96">
        <v>45565</v>
      </c>
      <c r="C530" s="97" t="s">
        <v>513</v>
      </c>
      <c r="D530" s="96"/>
      <c r="E530" s="97"/>
      <c r="F530" s="97" t="s">
        <v>474</v>
      </c>
      <c r="G530" s="97" t="s">
        <v>446</v>
      </c>
      <c r="H530" s="97" t="s">
        <v>309</v>
      </c>
      <c r="I530" s="97" t="s">
        <v>305</v>
      </c>
      <c r="J530" s="98">
        <v>0</v>
      </c>
      <c r="K530" s="98">
        <v>835404174</v>
      </c>
      <c r="L530" s="97"/>
      <c r="M530" s="97"/>
      <c r="N530" s="97"/>
      <c r="O530" s="97"/>
      <c r="P530" s="97"/>
      <c r="Q530" s="97" t="s">
        <v>488</v>
      </c>
      <c r="R530" s="97"/>
      <c r="S530" s="97"/>
      <c r="T530" s="851">
        <f t="shared" si="8"/>
        <v>-835404174</v>
      </c>
    </row>
    <row r="531" spans="1:20">
      <c r="A531" s="96">
        <v>45565</v>
      </c>
      <c r="B531" s="96">
        <v>45565</v>
      </c>
      <c r="C531" s="97" t="s">
        <v>513</v>
      </c>
      <c r="D531" s="96"/>
      <c r="E531" s="97"/>
      <c r="F531" s="97" t="s">
        <v>474</v>
      </c>
      <c r="G531" s="97" t="s">
        <v>446</v>
      </c>
      <c r="H531" s="97" t="s">
        <v>329</v>
      </c>
      <c r="I531" s="97" t="s">
        <v>305</v>
      </c>
      <c r="J531" s="98">
        <v>0</v>
      </c>
      <c r="K531" s="98">
        <v>173064376</v>
      </c>
      <c r="L531" s="97"/>
      <c r="M531" s="97"/>
      <c r="N531" s="97"/>
      <c r="O531" s="97"/>
      <c r="P531" s="97"/>
      <c r="Q531" s="97" t="s">
        <v>488</v>
      </c>
      <c r="R531" s="97"/>
      <c r="S531" s="97"/>
      <c r="T531" s="851">
        <f t="shared" si="8"/>
        <v>-173064376</v>
      </c>
    </row>
    <row r="532" spans="1:20">
      <c r="A532" s="96">
        <v>45565</v>
      </c>
      <c r="B532" s="96">
        <v>45565</v>
      </c>
      <c r="C532" s="97" t="s">
        <v>513</v>
      </c>
      <c r="D532" s="96"/>
      <c r="E532" s="97"/>
      <c r="F532" s="97" t="s">
        <v>474</v>
      </c>
      <c r="G532" s="97" t="s">
        <v>446</v>
      </c>
      <c r="H532" s="97" t="s">
        <v>307</v>
      </c>
      <c r="I532" s="97" t="s">
        <v>305</v>
      </c>
      <c r="J532" s="98">
        <v>7279729080</v>
      </c>
      <c r="K532" s="98">
        <v>0</v>
      </c>
      <c r="L532" s="97"/>
      <c r="M532" s="97"/>
      <c r="N532" s="97"/>
      <c r="O532" s="97"/>
      <c r="P532" s="97"/>
      <c r="Q532" s="97" t="s">
        <v>488</v>
      </c>
      <c r="R532" s="97"/>
      <c r="S532" s="97"/>
      <c r="T532" s="851">
        <f t="shared" si="8"/>
        <v>7279729080</v>
      </c>
    </row>
    <row r="533" spans="1:20">
      <c r="A533" s="96">
        <v>45565</v>
      </c>
      <c r="B533" s="96">
        <v>45565</v>
      </c>
      <c r="C533" s="97" t="s">
        <v>513</v>
      </c>
      <c r="D533" s="96"/>
      <c r="E533" s="97"/>
      <c r="F533" s="97" t="s">
        <v>474</v>
      </c>
      <c r="G533" s="97" t="s">
        <v>446</v>
      </c>
      <c r="H533" s="97" t="s">
        <v>313</v>
      </c>
      <c r="I533" s="97" t="s">
        <v>305</v>
      </c>
      <c r="J533" s="98">
        <v>197445893</v>
      </c>
      <c r="K533" s="98">
        <v>0</v>
      </c>
      <c r="L533" s="97"/>
      <c r="M533" s="97"/>
      <c r="N533" s="97"/>
      <c r="O533" s="97"/>
      <c r="P533" s="97"/>
      <c r="Q533" s="97" t="s">
        <v>488</v>
      </c>
      <c r="R533" s="97"/>
      <c r="S533" s="97"/>
      <c r="T533" s="851">
        <f t="shared" si="8"/>
        <v>197445893</v>
      </c>
    </row>
    <row r="534" spans="1:20">
      <c r="A534" s="96">
        <v>45565</v>
      </c>
      <c r="B534" s="96">
        <v>45565</v>
      </c>
      <c r="C534" s="97" t="s">
        <v>513</v>
      </c>
      <c r="D534" s="96"/>
      <c r="E534" s="97"/>
      <c r="F534" s="97" t="s">
        <v>474</v>
      </c>
      <c r="G534" s="97" t="s">
        <v>446</v>
      </c>
      <c r="H534" s="97" t="s">
        <v>317</v>
      </c>
      <c r="I534" s="97" t="s">
        <v>305</v>
      </c>
      <c r="J534" s="98">
        <v>118958131</v>
      </c>
      <c r="K534" s="98">
        <v>0</v>
      </c>
      <c r="L534" s="97"/>
      <c r="M534" s="97"/>
      <c r="N534" s="97"/>
      <c r="O534" s="97"/>
      <c r="P534" s="97"/>
      <c r="Q534" s="97" t="s">
        <v>488</v>
      </c>
      <c r="R534" s="97"/>
      <c r="S534" s="97"/>
      <c r="T534" s="851">
        <f t="shared" si="8"/>
        <v>118958131</v>
      </c>
    </row>
    <row r="535" spans="1:20">
      <c r="A535" s="96">
        <v>45565</v>
      </c>
      <c r="B535" s="96">
        <v>45565</v>
      </c>
      <c r="C535" s="97" t="s">
        <v>513</v>
      </c>
      <c r="D535" s="96"/>
      <c r="E535" s="97"/>
      <c r="F535" s="97" t="s">
        <v>474</v>
      </c>
      <c r="G535" s="97" t="s">
        <v>446</v>
      </c>
      <c r="H535" s="97" t="s">
        <v>325</v>
      </c>
      <c r="I535" s="97" t="s">
        <v>305</v>
      </c>
      <c r="J535" s="98">
        <v>10146575</v>
      </c>
      <c r="K535" s="98">
        <v>0</v>
      </c>
      <c r="L535" s="97"/>
      <c r="M535" s="97"/>
      <c r="N535" s="97"/>
      <c r="O535" s="97"/>
      <c r="P535" s="97"/>
      <c r="Q535" s="97" t="s">
        <v>488</v>
      </c>
      <c r="R535" s="97"/>
      <c r="S535" s="97"/>
      <c r="T535" s="851">
        <f t="shared" si="8"/>
        <v>10146575</v>
      </c>
    </row>
    <row r="536" spans="1:20">
      <c r="A536" s="96">
        <v>45565</v>
      </c>
      <c r="B536" s="96">
        <v>45565</v>
      </c>
      <c r="C536" s="97" t="s">
        <v>513</v>
      </c>
      <c r="D536" s="96"/>
      <c r="E536" s="97"/>
      <c r="F536" s="97" t="s">
        <v>474</v>
      </c>
      <c r="G536" s="97" t="s">
        <v>446</v>
      </c>
      <c r="H536" s="97" t="s">
        <v>327</v>
      </c>
      <c r="I536" s="97" t="s">
        <v>305</v>
      </c>
      <c r="J536" s="98">
        <v>435962247</v>
      </c>
      <c r="K536" s="98">
        <v>0</v>
      </c>
      <c r="L536" s="97"/>
      <c r="M536" s="97"/>
      <c r="N536" s="97"/>
      <c r="O536" s="97"/>
      <c r="P536" s="97"/>
      <c r="Q536" s="97" t="s">
        <v>488</v>
      </c>
      <c r="R536" s="97"/>
      <c r="S536" s="97"/>
      <c r="T536" s="851">
        <f t="shared" si="8"/>
        <v>435962247</v>
      </c>
    </row>
    <row r="537" spans="1:20">
      <c r="A537" s="96">
        <v>45565</v>
      </c>
      <c r="B537" s="96">
        <v>45565</v>
      </c>
      <c r="C537" s="97" t="s">
        <v>513</v>
      </c>
      <c r="D537" s="96"/>
      <c r="E537" s="97"/>
      <c r="F537" s="97" t="s">
        <v>475</v>
      </c>
      <c r="G537" s="97" t="s">
        <v>446</v>
      </c>
      <c r="H537" s="97" t="s">
        <v>337</v>
      </c>
      <c r="I537" s="97" t="s">
        <v>333</v>
      </c>
      <c r="J537" s="98">
        <v>2494420</v>
      </c>
      <c r="K537" s="98">
        <v>0</v>
      </c>
      <c r="L537" s="97"/>
      <c r="M537" s="97"/>
      <c r="N537" s="97"/>
      <c r="O537" s="97"/>
      <c r="P537" s="97"/>
      <c r="Q537" s="97" t="s">
        <v>488</v>
      </c>
      <c r="R537" s="97"/>
      <c r="S537" s="97"/>
      <c r="T537" s="851">
        <f t="shared" si="8"/>
        <v>2494420</v>
      </c>
    </row>
    <row r="538" spans="1:20">
      <c r="A538" s="96">
        <v>45565</v>
      </c>
      <c r="B538" s="96">
        <v>45565</v>
      </c>
      <c r="C538" s="97" t="s">
        <v>513</v>
      </c>
      <c r="D538" s="96"/>
      <c r="E538" s="97"/>
      <c r="F538" s="97" t="s">
        <v>475</v>
      </c>
      <c r="G538" s="97" t="s">
        <v>446</v>
      </c>
      <c r="H538" s="97" t="s">
        <v>343</v>
      </c>
      <c r="I538" s="97" t="s">
        <v>333</v>
      </c>
      <c r="J538" s="98">
        <v>2893500</v>
      </c>
      <c r="K538" s="98">
        <v>0</v>
      </c>
      <c r="L538" s="97"/>
      <c r="M538" s="97"/>
      <c r="N538" s="97"/>
      <c r="O538" s="97"/>
      <c r="P538" s="97"/>
      <c r="Q538" s="97" t="s">
        <v>488</v>
      </c>
      <c r="R538" s="97"/>
      <c r="S538" s="97"/>
      <c r="T538" s="851">
        <f t="shared" si="8"/>
        <v>2893500</v>
      </c>
    </row>
    <row r="539" spans="1:20">
      <c r="A539" s="96">
        <v>45565</v>
      </c>
      <c r="B539" s="96">
        <v>45565</v>
      </c>
      <c r="C539" s="97" t="s">
        <v>513</v>
      </c>
      <c r="D539" s="96"/>
      <c r="E539" s="97"/>
      <c r="F539" s="97" t="s">
        <v>475</v>
      </c>
      <c r="G539" s="97" t="s">
        <v>446</v>
      </c>
      <c r="H539" s="97" t="s">
        <v>345</v>
      </c>
      <c r="I539" s="97" t="s">
        <v>333</v>
      </c>
      <c r="J539" s="98">
        <v>5992896</v>
      </c>
      <c r="K539" s="98">
        <v>0</v>
      </c>
      <c r="L539" s="97"/>
      <c r="M539" s="97"/>
      <c r="N539" s="97"/>
      <c r="O539" s="97"/>
      <c r="P539" s="97"/>
      <c r="Q539" s="97" t="s">
        <v>488</v>
      </c>
      <c r="R539" s="97"/>
      <c r="S539" s="97"/>
      <c r="T539" s="851">
        <f t="shared" si="8"/>
        <v>5992896</v>
      </c>
    </row>
    <row r="540" spans="1:20">
      <c r="A540" s="96">
        <v>45565</v>
      </c>
      <c r="B540" s="96">
        <v>45565</v>
      </c>
      <c r="C540" s="97" t="s">
        <v>513</v>
      </c>
      <c r="D540" s="96"/>
      <c r="E540" s="97"/>
      <c r="F540" s="97" t="s">
        <v>475</v>
      </c>
      <c r="G540" s="97" t="s">
        <v>446</v>
      </c>
      <c r="H540" s="97" t="s">
        <v>348</v>
      </c>
      <c r="I540" s="97" t="s">
        <v>333</v>
      </c>
      <c r="J540" s="98">
        <v>1329377368</v>
      </c>
      <c r="K540" s="98">
        <v>0</v>
      </c>
      <c r="L540" s="97"/>
      <c r="M540" s="97"/>
      <c r="N540" s="97"/>
      <c r="O540" s="97"/>
      <c r="P540" s="97"/>
      <c r="Q540" s="97" t="s">
        <v>488</v>
      </c>
      <c r="R540" s="97"/>
      <c r="S540" s="97"/>
      <c r="T540" s="851">
        <f t="shared" si="8"/>
        <v>1329377368</v>
      </c>
    </row>
    <row r="541" spans="1:20">
      <c r="A541" s="96">
        <v>45565</v>
      </c>
      <c r="B541" s="96">
        <v>45565</v>
      </c>
      <c r="C541" s="97" t="s">
        <v>513</v>
      </c>
      <c r="D541" s="96"/>
      <c r="E541" s="97"/>
      <c r="F541" s="97" t="s">
        <v>475</v>
      </c>
      <c r="G541" s="97" t="s">
        <v>446</v>
      </c>
      <c r="H541" s="97" t="s">
        <v>350</v>
      </c>
      <c r="I541" s="97" t="s">
        <v>333</v>
      </c>
      <c r="J541" s="98">
        <v>94648500</v>
      </c>
      <c r="K541" s="98">
        <v>0</v>
      </c>
      <c r="L541" s="97"/>
      <c r="M541" s="97"/>
      <c r="N541" s="97"/>
      <c r="O541" s="97"/>
      <c r="P541" s="97"/>
      <c r="Q541" s="97" t="s">
        <v>488</v>
      </c>
      <c r="R541" s="97"/>
      <c r="S541" s="97"/>
      <c r="T541" s="851">
        <f t="shared" si="8"/>
        <v>94648500</v>
      </c>
    </row>
    <row r="542" spans="1:20">
      <c r="A542" s="96">
        <v>45565</v>
      </c>
      <c r="B542" s="96">
        <v>45565</v>
      </c>
      <c r="C542" s="97" t="s">
        <v>513</v>
      </c>
      <c r="D542" s="96"/>
      <c r="E542" s="97"/>
      <c r="F542" s="97" t="s">
        <v>475</v>
      </c>
      <c r="G542" s="97" t="s">
        <v>446</v>
      </c>
      <c r="H542" s="97" t="s">
        <v>352</v>
      </c>
      <c r="I542" s="97" t="s">
        <v>333</v>
      </c>
      <c r="J542" s="98">
        <v>1200000</v>
      </c>
      <c r="K542" s="98">
        <v>0</v>
      </c>
      <c r="L542" s="97"/>
      <c r="M542" s="97"/>
      <c r="N542" s="97"/>
      <c r="O542" s="97"/>
      <c r="P542" s="97"/>
      <c r="Q542" s="97" t="s">
        <v>488</v>
      </c>
      <c r="R542" s="97"/>
      <c r="S542" s="97"/>
      <c r="T542" s="851">
        <f t="shared" si="8"/>
        <v>1200000</v>
      </c>
    </row>
    <row r="543" spans="1:20">
      <c r="A543" s="96">
        <v>45565</v>
      </c>
      <c r="B543" s="96">
        <v>45565</v>
      </c>
      <c r="C543" s="97" t="s">
        <v>513</v>
      </c>
      <c r="D543" s="96"/>
      <c r="E543" s="97"/>
      <c r="F543" s="97" t="s">
        <v>475</v>
      </c>
      <c r="G543" s="97" t="s">
        <v>446</v>
      </c>
      <c r="H543" s="97" t="s">
        <v>354</v>
      </c>
      <c r="I543" s="97" t="s">
        <v>333</v>
      </c>
      <c r="J543" s="98">
        <v>1860995</v>
      </c>
      <c r="K543" s="98">
        <v>0</v>
      </c>
      <c r="L543" s="97"/>
      <c r="M543" s="97"/>
      <c r="N543" s="97"/>
      <c r="O543" s="97"/>
      <c r="P543" s="97"/>
      <c r="Q543" s="97" t="s">
        <v>488</v>
      </c>
      <c r="R543" s="97"/>
      <c r="S543" s="97"/>
      <c r="T543" s="851">
        <f t="shared" si="8"/>
        <v>1860995</v>
      </c>
    </row>
    <row r="544" spans="1:20">
      <c r="A544" s="96">
        <v>45565</v>
      </c>
      <c r="B544" s="96">
        <v>45565</v>
      </c>
      <c r="C544" s="97" t="s">
        <v>513</v>
      </c>
      <c r="D544" s="96"/>
      <c r="E544" s="97"/>
      <c r="F544" s="97" t="s">
        <v>475</v>
      </c>
      <c r="G544" s="97" t="s">
        <v>446</v>
      </c>
      <c r="H544" s="97" t="s">
        <v>356</v>
      </c>
      <c r="I544" s="97" t="s">
        <v>333</v>
      </c>
      <c r="J544" s="98">
        <v>312525</v>
      </c>
      <c r="K544" s="98">
        <v>0</v>
      </c>
      <c r="L544" s="97"/>
      <c r="M544" s="97"/>
      <c r="N544" s="97"/>
      <c r="O544" s="97"/>
      <c r="P544" s="97"/>
      <c r="Q544" s="97" t="s">
        <v>488</v>
      </c>
      <c r="R544" s="97"/>
      <c r="S544" s="97"/>
      <c r="T544" s="851">
        <f t="shared" si="8"/>
        <v>312525</v>
      </c>
    </row>
    <row r="545" spans="1:20">
      <c r="A545" s="96">
        <v>45565</v>
      </c>
      <c r="B545" s="96">
        <v>45565</v>
      </c>
      <c r="C545" s="97" t="s">
        <v>513</v>
      </c>
      <c r="D545" s="96"/>
      <c r="E545" s="97"/>
      <c r="F545" s="97" t="s">
        <v>475</v>
      </c>
      <c r="G545" s="97" t="s">
        <v>446</v>
      </c>
      <c r="H545" s="97" t="s">
        <v>361</v>
      </c>
      <c r="I545" s="97" t="s">
        <v>333</v>
      </c>
      <c r="J545" s="98">
        <v>18764187</v>
      </c>
      <c r="K545" s="98">
        <v>0</v>
      </c>
      <c r="L545" s="97"/>
      <c r="M545" s="97"/>
      <c r="N545" s="97"/>
      <c r="O545" s="97"/>
      <c r="P545" s="97"/>
      <c r="Q545" s="97" t="s">
        <v>488</v>
      </c>
      <c r="R545" s="97"/>
      <c r="S545" s="97"/>
      <c r="T545" s="851">
        <f t="shared" si="8"/>
        <v>18764187</v>
      </c>
    </row>
    <row r="546" spans="1:20">
      <c r="A546" s="96">
        <v>45565</v>
      </c>
      <c r="B546" s="96">
        <v>45565</v>
      </c>
      <c r="C546" s="97" t="s">
        <v>513</v>
      </c>
      <c r="D546" s="96"/>
      <c r="E546" s="97"/>
      <c r="F546" s="97" t="s">
        <v>475</v>
      </c>
      <c r="G546" s="97" t="s">
        <v>446</v>
      </c>
      <c r="H546" s="97" t="s">
        <v>363</v>
      </c>
      <c r="I546" s="97" t="s">
        <v>333</v>
      </c>
      <c r="J546" s="98">
        <v>2937142</v>
      </c>
      <c r="K546" s="98">
        <v>0</v>
      </c>
      <c r="L546" s="97"/>
      <c r="M546" s="97"/>
      <c r="N546" s="97"/>
      <c r="O546" s="97"/>
      <c r="P546" s="97"/>
      <c r="Q546" s="97" t="s">
        <v>488</v>
      </c>
      <c r="R546" s="97"/>
      <c r="S546" s="97"/>
      <c r="T546" s="851">
        <f t="shared" si="8"/>
        <v>2937142</v>
      </c>
    </row>
    <row r="547" spans="1:20">
      <c r="A547" s="96">
        <v>45565</v>
      </c>
      <c r="B547" s="96">
        <v>45565</v>
      </c>
      <c r="C547" s="97" t="s">
        <v>513</v>
      </c>
      <c r="D547" s="96"/>
      <c r="E547" s="97"/>
      <c r="F547" s="97" t="s">
        <v>475</v>
      </c>
      <c r="G547" s="97" t="s">
        <v>446</v>
      </c>
      <c r="H547" s="97" t="s">
        <v>753</v>
      </c>
      <c r="I547" s="97" t="s">
        <v>333</v>
      </c>
      <c r="J547" s="98">
        <v>1441392</v>
      </c>
      <c r="K547" s="98">
        <v>0</v>
      </c>
      <c r="L547" s="97"/>
      <c r="M547" s="97"/>
      <c r="N547" s="97"/>
      <c r="O547" s="97"/>
      <c r="P547" s="97"/>
      <c r="Q547" s="97" t="s">
        <v>488</v>
      </c>
      <c r="R547" s="97"/>
      <c r="S547" s="97"/>
      <c r="T547" s="851">
        <f t="shared" si="8"/>
        <v>1441392</v>
      </c>
    </row>
    <row r="548" spans="1:20">
      <c r="A548" s="96">
        <v>45565</v>
      </c>
      <c r="B548" s="96">
        <v>45565</v>
      </c>
      <c r="C548" s="97" t="s">
        <v>513</v>
      </c>
      <c r="D548" s="96"/>
      <c r="E548" s="97"/>
      <c r="F548" s="97" t="s">
        <v>475</v>
      </c>
      <c r="G548" s="97" t="s">
        <v>446</v>
      </c>
      <c r="H548" s="97" t="s">
        <v>367</v>
      </c>
      <c r="I548" s="97" t="s">
        <v>333</v>
      </c>
      <c r="J548" s="98">
        <v>4481828</v>
      </c>
      <c r="K548" s="98">
        <v>0</v>
      </c>
      <c r="L548" s="97"/>
      <c r="M548" s="97"/>
      <c r="N548" s="97"/>
      <c r="O548" s="97"/>
      <c r="P548" s="97"/>
      <c r="Q548" s="97" t="s">
        <v>488</v>
      </c>
      <c r="R548" s="97"/>
      <c r="S548" s="97"/>
      <c r="T548" s="851">
        <f t="shared" si="8"/>
        <v>4481828</v>
      </c>
    </row>
    <row r="549" spans="1:20">
      <c r="A549" s="96">
        <v>45565</v>
      </c>
      <c r="B549" s="96">
        <v>45565</v>
      </c>
      <c r="C549" s="97" t="s">
        <v>513</v>
      </c>
      <c r="D549" s="96"/>
      <c r="E549" s="97"/>
      <c r="F549" s="97" t="s">
        <v>475</v>
      </c>
      <c r="G549" s="97" t="s">
        <v>446</v>
      </c>
      <c r="H549" s="97" t="s">
        <v>370</v>
      </c>
      <c r="I549" s="97" t="s">
        <v>333</v>
      </c>
      <c r="J549" s="98">
        <v>674312178</v>
      </c>
      <c r="K549" s="98">
        <v>0</v>
      </c>
      <c r="L549" s="97"/>
      <c r="M549" s="97"/>
      <c r="N549" s="97"/>
      <c r="O549" s="97"/>
      <c r="P549" s="97"/>
      <c r="Q549" s="97" t="s">
        <v>488</v>
      </c>
      <c r="R549" s="97"/>
      <c r="S549" s="97"/>
      <c r="T549" s="851">
        <f t="shared" si="8"/>
        <v>674312178</v>
      </c>
    </row>
    <row r="550" spans="1:20">
      <c r="A550" s="96">
        <v>45565</v>
      </c>
      <c r="B550" s="96">
        <v>45565</v>
      </c>
      <c r="C550" s="97" t="s">
        <v>513</v>
      </c>
      <c r="D550" s="96"/>
      <c r="E550" s="97"/>
      <c r="F550" s="97" t="s">
        <v>476</v>
      </c>
      <c r="G550" s="97" t="s">
        <v>446</v>
      </c>
      <c r="H550" s="97" t="s">
        <v>378</v>
      </c>
      <c r="I550" s="97" t="s">
        <v>374</v>
      </c>
      <c r="J550" s="98">
        <v>260834622</v>
      </c>
      <c r="K550" s="98">
        <v>0</v>
      </c>
      <c r="L550" s="97"/>
      <c r="M550" s="97"/>
      <c r="N550" s="97"/>
      <c r="O550" s="97"/>
      <c r="P550" s="97"/>
      <c r="Q550" s="97" t="s">
        <v>488</v>
      </c>
      <c r="R550" s="97"/>
      <c r="S550" s="97"/>
      <c r="T550" s="851">
        <f t="shared" si="8"/>
        <v>260834622</v>
      </c>
    </row>
    <row r="551" spans="1:20">
      <c r="A551" s="96">
        <v>45565</v>
      </c>
      <c r="B551" s="96">
        <v>45565</v>
      </c>
      <c r="C551" s="97" t="s">
        <v>513</v>
      </c>
      <c r="D551" s="96"/>
      <c r="E551" s="97"/>
      <c r="F551" s="97" t="s">
        <v>476</v>
      </c>
      <c r="G551" s="97" t="s">
        <v>446</v>
      </c>
      <c r="H551" s="97" t="s">
        <v>379</v>
      </c>
      <c r="I551" s="97" t="s">
        <v>374</v>
      </c>
      <c r="J551" s="98">
        <v>14232000</v>
      </c>
      <c r="K551" s="98">
        <v>0</v>
      </c>
      <c r="L551" s="97"/>
      <c r="M551" s="97"/>
      <c r="N551" s="97"/>
      <c r="O551" s="97"/>
      <c r="P551" s="97"/>
      <c r="Q551" s="97" t="s">
        <v>488</v>
      </c>
      <c r="R551" s="97"/>
      <c r="S551" s="97"/>
      <c r="T551" s="851">
        <f t="shared" si="8"/>
        <v>14232000</v>
      </c>
    </row>
    <row r="552" spans="1:20">
      <c r="A552" s="96">
        <v>45565</v>
      </c>
      <c r="B552" s="96">
        <v>45565</v>
      </c>
      <c r="C552" s="97" t="s">
        <v>513</v>
      </c>
      <c r="D552" s="96"/>
      <c r="E552" s="97"/>
      <c r="F552" s="97" t="s">
        <v>476</v>
      </c>
      <c r="G552" s="97" t="s">
        <v>446</v>
      </c>
      <c r="H552" s="97" t="s">
        <v>380</v>
      </c>
      <c r="I552" s="97" t="s">
        <v>374</v>
      </c>
      <c r="J552" s="98">
        <v>9060001</v>
      </c>
      <c r="K552" s="98">
        <v>0</v>
      </c>
      <c r="L552" s="97"/>
      <c r="M552" s="97"/>
      <c r="N552" s="97"/>
      <c r="O552" s="97"/>
      <c r="P552" s="97"/>
      <c r="Q552" s="97" t="s">
        <v>488</v>
      </c>
      <c r="R552" s="97"/>
      <c r="S552" s="97"/>
      <c r="T552" s="851">
        <f t="shared" si="8"/>
        <v>9060001</v>
      </c>
    </row>
    <row r="553" spans="1:20">
      <c r="A553" s="96">
        <v>45565</v>
      </c>
      <c r="B553" s="96">
        <v>45565</v>
      </c>
      <c r="C553" s="97" t="s">
        <v>513</v>
      </c>
      <c r="D553" s="96"/>
      <c r="E553" s="97"/>
      <c r="F553" s="97" t="s">
        <v>476</v>
      </c>
      <c r="G553" s="97" t="s">
        <v>446</v>
      </c>
      <c r="H553" s="97" t="s">
        <v>381</v>
      </c>
      <c r="I553" s="97" t="s">
        <v>374</v>
      </c>
      <c r="J553" s="98">
        <v>18169467</v>
      </c>
      <c r="K553" s="98">
        <v>0</v>
      </c>
      <c r="L553" s="97"/>
      <c r="M553" s="97"/>
      <c r="N553" s="97"/>
      <c r="O553" s="97"/>
      <c r="P553" s="97"/>
      <c r="Q553" s="97" t="s">
        <v>488</v>
      </c>
      <c r="R553" s="97"/>
      <c r="S553" s="97"/>
      <c r="T553" s="851">
        <f t="shared" si="8"/>
        <v>18169467</v>
      </c>
    </row>
    <row r="554" spans="1:20">
      <c r="A554" s="96">
        <v>45565</v>
      </c>
      <c r="B554" s="96">
        <v>45565</v>
      </c>
      <c r="C554" s="97" t="s">
        <v>513</v>
      </c>
      <c r="D554" s="96"/>
      <c r="E554" s="97"/>
      <c r="F554" s="97" t="s">
        <v>476</v>
      </c>
      <c r="G554" s="97" t="s">
        <v>446</v>
      </c>
      <c r="H554" s="97" t="s">
        <v>383</v>
      </c>
      <c r="I554" s="97" t="s">
        <v>374</v>
      </c>
      <c r="J554" s="98">
        <v>41247327</v>
      </c>
      <c r="K554" s="98">
        <v>0</v>
      </c>
      <c r="L554" s="97"/>
      <c r="M554" s="97"/>
      <c r="N554" s="97"/>
      <c r="O554" s="97"/>
      <c r="P554" s="97"/>
      <c r="Q554" s="97" t="s">
        <v>488</v>
      </c>
      <c r="R554" s="97"/>
      <c r="S554" s="97"/>
      <c r="T554" s="851">
        <f t="shared" si="8"/>
        <v>41247327</v>
      </c>
    </row>
    <row r="555" spans="1:20">
      <c r="A555" s="96">
        <v>45565</v>
      </c>
      <c r="B555" s="96">
        <v>45565</v>
      </c>
      <c r="C555" s="97" t="s">
        <v>513</v>
      </c>
      <c r="D555" s="96"/>
      <c r="E555" s="97"/>
      <c r="F555" s="97" t="s">
        <v>476</v>
      </c>
      <c r="G555" s="97" t="s">
        <v>446</v>
      </c>
      <c r="H555" s="97" t="s">
        <v>387</v>
      </c>
      <c r="I555" s="97" t="s">
        <v>374</v>
      </c>
      <c r="J555" s="98">
        <v>326079528</v>
      </c>
      <c r="K555" s="98">
        <v>0</v>
      </c>
      <c r="L555" s="97"/>
      <c r="M555" s="97"/>
      <c r="N555" s="97"/>
      <c r="O555" s="97"/>
      <c r="P555" s="97"/>
      <c r="Q555" s="97" t="s">
        <v>488</v>
      </c>
      <c r="R555" s="97"/>
      <c r="S555" s="97"/>
      <c r="T555" s="851">
        <f t="shared" si="8"/>
        <v>326079528</v>
      </c>
    </row>
    <row r="556" spans="1:20">
      <c r="A556" s="96">
        <v>45565</v>
      </c>
      <c r="B556" s="96">
        <v>45565</v>
      </c>
      <c r="C556" s="97" t="s">
        <v>513</v>
      </c>
      <c r="D556" s="96"/>
      <c r="E556" s="97"/>
      <c r="F556" s="97" t="s">
        <v>476</v>
      </c>
      <c r="G556" s="97" t="s">
        <v>446</v>
      </c>
      <c r="H556" s="97" t="s">
        <v>389</v>
      </c>
      <c r="I556" s="97" t="s">
        <v>374</v>
      </c>
      <c r="J556" s="98">
        <v>4485427</v>
      </c>
      <c r="K556" s="98">
        <v>0</v>
      </c>
      <c r="L556" s="97"/>
      <c r="M556" s="97"/>
      <c r="N556" s="97"/>
      <c r="O556" s="97"/>
      <c r="P556" s="97"/>
      <c r="Q556" s="97" t="s">
        <v>488</v>
      </c>
      <c r="R556" s="97"/>
      <c r="S556" s="97"/>
      <c r="T556" s="851">
        <f t="shared" si="8"/>
        <v>4485427</v>
      </c>
    </row>
    <row r="557" spans="1:20">
      <c r="A557" s="96">
        <v>45565</v>
      </c>
      <c r="B557" s="96">
        <v>45565</v>
      </c>
      <c r="C557" s="97" t="s">
        <v>513</v>
      </c>
      <c r="D557" s="96"/>
      <c r="E557" s="97"/>
      <c r="F557" s="97" t="s">
        <v>476</v>
      </c>
      <c r="G557" s="97" t="s">
        <v>446</v>
      </c>
      <c r="H557" s="97" t="s">
        <v>391</v>
      </c>
      <c r="I557" s="97" t="s">
        <v>374</v>
      </c>
      <c r="J557" s="98">
        <v>1050241</v>
      </c>
      <c r="K557" s="98">
        <v>0</v>
      </c>
      <c r="L557" s="97"/>
      <c r="M557" s="97"/>
      <c r="N557" s="97"/>
      <c r="O557" s="97"/>
      <c r="P557" s="97"/>
      <c r="Q557" s="97" t="s">
        <v>488</v>
      </c>
      <c r="R557" s="97"/>
      <c r="S557" s="97"/>
      <c r="T557" s="851">
        <f t="shared" si="8"/>
        <v>1050241</v>
      </c>
    </row>
    <row r="558" spans="1:20">
      <c r="A558" s="96">
        <v>45565</v>
      </c>
      <c r="B558" s="96">
        <v>45565</v>
      </c>
      <c r="C558" s="97" t="s">
        <v>513</v>
      </c>
      <c r="D558" s="96"/>
      <c r="E558" s="97"/>
      <c r="F558" s="97" t="s">
        <v>476</v>
      </c>
      <c r="G558" s="97" t="s">
        <v>446</v>
      </c>
      <c r="H558" s="97" t="s">
        <v>393</v>
      </c>
      <c r="I558" s="97" t="s">
        <v>374</v>
      </c>
      <c r="J558" s="98">
        <v>8261380</v>
      </c>
      <c r="K558" s="98">
        <v>0</v>
      </c>
      <c r="L558" s="97"/>
      <c r="M558" s="97"/>
      <c r="N558" s="97"/>
      <c r="O558" s="97"/>
      <c r="P558" s="97"/>
      <c r="Q558" s="97" t="s">
        <v>488</v>
      </c>
      <c r="R558" s="97"/>
      <c r="S558" s="97"/>
      <c r="T558" s="851">
        <f t="shared" si="8"/>
        <v>8261380</v>
      </c>
    </row>
    <row r="559" spans="1:20">
      <c r="A559" s="96">
        <v>45565</v>
      </c>
      <c r="B559" s="96">
        <v>45565</v>
      </c>
      <c r="C559" s="97" t="s">
        <v>513</v>
      </c>
      <c r="D559" s="96"/>
      <c r="E559" s="97"/>
      <c r="F559" s="97" t="s">
        <v>476</v>
      </c>
      <c r="G559" s="97" t="s">
        <v>446</v>
      </c>
      <c r="H559" s="97" t="s">
        <v>395</v>
      </c>
      <c r="I559" s="97" t="s">
        <v>374</v>
      </c>
      <c r="J559" s="98">
        <v>27724458</v>
      </c>
      <c r="K559" s="98">
        <v>0</v>
      </c>
      <c r="L559" s="97"/>
      <c r="M559" s="97"/>
      <c r="N559" s="97"/>
      <c r="O559" s="97"/>
      <c r="P559" s="97"/>
      <c r="Q559" s="97" t="s">
        <v>488</v>
      </c>
      <c r="R559" s="97"/>
      <c r="S559" s="97"/>
      <c r="T559" s="851">
        <f t="shared" si="8"/>
        <v>27724458</v>
      </c>
    </row>
    <row r="560" spans="1:20">
      <c r="A560" s="96">
        <v>45565</v>
      </c>
      <c r="B560" s="96">
        <v>45565</v>
      </c>
      <c r="C560" s="97" t="s">
        <v>513</v>
      </c>
      <c r="D560" s="96"/>
      <c r="E560" s="97"/>
      <c r="F560" s="97" t="s">
        <v>476</v>
      </c>
      <c r="G560" s="97" t="s">
        <v>446</v>
      </c>
      <c r="H560" s="97" t="s">
        <v>397</v>
      </c>
      <c r="I560" s="97" t="s">
        <v>374</v>
      </c>
      <c r="J560" s="98">
        <v>519750</v>
      </c>
      <c r="K560" s="98">
        <v>0</v>
      </c>
      <c r="L560" s="97"/>
      <c r="M560" s="97"/>
      <c r="N560" s="97"/>
      <c r="O560" s="97"/>
      <c r="P560" s="97"/>
      <c r="Q560" s="97" t="s">
        <v>488</v>
      </c>
      <c r="R560" s="97"/>
      <c r="S560" s="97"/>
      <c r="T560" s="851">
        <f t="shared" si="8"/>
        <v>519750</v>
      </c>
    </row>
    <row r="561" spans="1:20">
      <c r="A561" s="96">
        <v>45565</v>
      </c>
      <c r="B561" s="96">
        <v>45565</v>
      </c>
      <c r="C561" s="97" t="s">
        <v>513</v>
      </c>
      <c r="D561" s="96"/>
      <c r="E561" s="97"/>
      <c r="F561" s="97" t="s">
        <v>476</v>
      </c>
      <c r="G561" s="97" t="s">
        <v>446</v>
      </c>
      <c r="H561" s="97" t="s">
        <v>405</v>
      </c>
      <c r="I561" s="97" t="s">
        <v>374</v>
      </c>
      <c r="J561" s="98">
        <v>12000000</v>
      </c>
      <c r="K561" s="98">
        <v>0</v>
      </c>
      <c r="L561" s="97"/>
      <c r="M561" s="97"/>
      <c r="N561" s="97"/>
      <c r="O561" s="97"/>
      <c r="P561" s="97"/>
      <c r="Q561" s="97" t="s">
        <v>488</v>
      </c>
      <c r="R561" s="97"/>
      <c r="S561" s="97"/>
      <c r="T561" s="851">
        <f t="shared" si="8"/>
        <v>12000000</v>
      </c>
    </row>
    <row r="562" spans="1:20">
      <c r="A562" s="96">
        <v>45565</v>
      </c>
      <c r="B562" s="96">
        <v>45565</v>
      </c>
      <c r="C562" s="97" t="s">
        <v>513</v>
      </c>
      <c r="D562" s="96"/>
      <c r="E562" s="97"/>
      <c r="F562" s="97" t="s">
        <v>476</v>
      </c>
      <c r="G562" s="97" t="s">
        <v>446</v>
      </c>
      <c r="H562" s="97" t="s">
        <v>407</v>
      </c>
      <c r="I562" s="97" t="s">
        <v>374</v>
      </c>
      <c r="J562" s="98">
        <v>64393939</v>
      </c>
      <c r="K562" s="98">
        <v>0</v>
      </c>
      <c r="L562" s="97"/>
      <c r="M562" s="97"/>
      <c r="N562" s="97"/>
      <c r="O562" s="97"/>
      <c r="P562" s="97"/>
      <c r="Q562" s="97" t="s">
        <v>488</v>
      </c>
      <c r="R562" s="97"/>
      <c r="S562" s="97"/>
      <c r="T562" s="851">
        <f t="shared" si="8"/>
        <v>64393939</v>
      </c>
    </row>
    <row r="563" spans="1:20">
      <c r="A563" s="96">
        <v>45565</v>
      </c>
      <c r="B563" s="96">
        <v>45565</v>
      </c>
      <c r="C563" s="97" t="s">
        <v>513</v>
      </c>
      <c r="D563" s="96"/>
      <c r="E563" s="97"/>
      <c r="F563" s="97" t="s">
        <v>476</v>
      </c>
      <c r="G563" s="97" t="s">
        <v>446</v>
      </c>
      <c r="H563" s="97" t="s">
        <v>413</v>
      </c>
      <c r="I563" s="97" t="s">
        <v>374</v>
      </c>
      <c r="J563" s="98">
        <v>23322108</v>
      </c>
      <c r="K563" s="98">
        <v>0</v>
      </c>
      <c r="L563" s="97"/>
      <c r="M563" s="97"/>
      <c r="N563" s="97"/>
      <c r="O563" s="97"/>
      <c r="P563" s="97"/>
      <c r="Q563" s="97" t="s">
        <v>488</v>
      </c>
      <c r="R563" s="97"/>
      <c r="S563" s="97"/>
      <c r="T563" s="851">
        <f t="shared" si="8"/>
        <v>23322108</v>
      </c>
    </row>
    <row r="564" spans="1:20">
      <c r="A564" s="96">
        <v>45565</v>
      </c>
      <c r="B564" s="96">
        <v>45565</v>
      </c>
      <c r="C564" s="97" t="s">
        <v>513</v>
      </c>
      <c r="D564" s="96"/>
      <c r="E564" s="97"/>
      <c r="F564" s="97" t="s">
        <v>476</v>
      </c>
      <c r="G564" s="97" t="s">
        <v>446</v>
      </c>
      <c r="H564" s="97" t="s">
        <v>415</v>
      </c>
      <c r="I564" s="97" t="s">
        <v>374</v>
      </c>
      <c r="J564" s="98">
        <v>3681818</v>
      </c>
      <c r="K564" s="98">
        <v>0</v>
      </c>
      <c r="L564" s="97"/>
      <c r="M564" s="97"/>
      <c r="N564" s="97"/>
      <c r="O564" s="97"/>
      <c r="P564" s="97"/>
      <c r="Q564" s="97" t="s">
        <v>488</v>
      </c>
      <c r="R564" s="97"/>
      <c r="S564" s="97"/>
      <c r="T564" s="851">
        <f t="shared" si="8"/>
        <v>3681818</v>
      </c>
    </row>
    <row r="565" spans="1:20">
      <c r="A565" s="96">
        <v>45565</v>
      </c>
      <c r="B565" s="96">
        <v>45565</v>
      </c>
      <c r="C565" s="97" t="s">
        <v>513</v>
      </c>
      <c r="D565" s="96"/>
      <c r="E565" s="97"/>
      <c r="F565" s="97" t="s">
        <v>476</v>
      </c>
      <c r="G565" s="97" t="s">
        <v>446</v>
      </c>
      <c r="H565" s="97" t="s">
        <v>419</v>
      </c>
      <c r="I565" s="97" t="s">
        <v>374</v>
      </c>
      <c r="J565" s="98">
        <v>1950000</v>
      </c>
      <c r="K565" s="98">
        <v>0</v>
      </c>
      <c r="L565" s="97"/>
      <c r="M565" s="97"/>
      <c r="N565" s="97"/>
      <c r="O565" s="97"/>
      <c r="P565" s="97"/>
      <c r="Q565" s="97" t="s">
        <v>488</v>
      </c>
      <c r="R565" s="97"/>
      <c r="S565" s="97"/>
      <c r="T565" s="851">
        <f t="shared" si="8"/>
        <v>1950000</v>
      </c>
    </row>
    <row r="566" spans="1:20">
      <c r="A566" s="96">
        <v>45565</v>
      </c>
      <c r="B566" s="96">
        <v>45565</v>
      </c>
      <c r="C566" s="97" t="s">
        <v>513</v>
      </c>
      <c r="D566" s="96"/>
      <c r="E566" s="97"/>
      <c r="F566" s="97" t="s">
        <v>476</v>
      </c>
      <c r="G566" s="97" t="s">
        <v>446</v>
      </c>
      <c r="H566" s="97" t="s">
        <v>421</v>
      </c>
      <c r="I566" s="97" t="s">
        <v>374</v>
      </c>
      <c r="J566" s="98">
        <v>5714747</v>
      </c>
      <c r="K566" s="98">
        <v>0</v>
      </c>
      <c r="L566" s="97"/>
      <c r="M566" s="97"/>
      <c r="N566" s="97"/>
      <c r="O566" s="97"/>
      <c r="P566" s="97"/>
      <c r="Q566" s="97" t="s">
        <v>488</v>
      </c>
      <c r="R566" s="97"/>
      <c r="S566" s="97"/>
      <c r="T566" s="851">
        <f t="shared" si="8"/>
        <v>5714747</v>
      </c>
    </row>
    <row r="567" spans="1:20">
      <c r="A567" s="96">
        <v>45565</v>
      </c>
      <c r="B567" s="96">
        <v>45565</v>
      </c>
      <c r="C567" s="97" t="s">
        <v>513</v>
      </c>
      <c r="D567" s="96"/>
      <c r="E567" s="97"/>
      <c r="F567" s="97" t="s">
        <v>476</v>
      </c>
      <c r="G567" s="97" t="s">
        <v>446</v>
      </c>
      <c r="H567" s="97" t="s">
        <v>424</v>
      </c>
      <c r="I567" s="97" t="s">
        <v>374</v>
      </c>
      <c r="J567" s="98">
        <v>17452500</v>
      </c>
      <c r="K567" s="98">
        <v>0</v>
      </c>
      <c r="L567" s="97"/>
      <c r="M567" s="97"/>
      <c r="N567" s="97"/>
      <c r="O567" s="97"/>
      <c r="P567" s="97"/>
      <c r="Q567" s="97" t="s">
        <v>488</v>
      </c>
      <c r="R567" s="97"/>
      <c r="S567" s="97"/>
      <c r="T567" s="851">
        <f t="shared" si="8"/>
        <v>17452500</v>
      </c>
    </row>
    <row r="568" spans="1:20">
      <c r="A568" s="96">
        <v>45565</v>
      </c>
      <c r="B568" s="96">
        <v>45565</v>
      </c>
      <c r="C568" s="97" t="s">
        <v>513</v>
      </c>
      <c r="D568" s="96"/>
      <c r="E568" s="97"/>
      <c r="F568" s="97" t="s">
        <v>476</v>
      </c>
      <c r="G568" s="97" t="s">
        <v>446</v>
      </c>
      <c r="H568" s="97" t="s">
        <v>425</v>
      </c>
      <c r="I568" s="97" t="s">
        <v>374</v>
      </c>
      <c r="J568" s="98">
        <v>4202564</v>
      </c>
      <c r="K568" s="98">
        <v>0</v>
      </c>
      <c r="L568" s="97"/>
      <c r="M568" s="97"/>
      <c r="N568" s="97"/>
      <c r="O568" s="97"/>
      <c r="P568" s="97"/>
      <c r="Q568" s="97" t="s">
        <v>488</v>
      </c>
      <c r="R568" s="97"/>
      <c r="S568" s="97"/>
      <c r="T568" s="851">
        <f t="shared" si="8"/>
        <v>4202564</v>
      </c>
    </row>
    <row r="569" spans="1:20">
      <c r="A569" s="96">
        <v>45565</v>
      </c>
      <c r="B569" s="96">
        <v>45565</v>
      </c>
      <c r="C569" s="97" t="s">
        <v>513</v>
      </c>
      <c r="D569" s="96"/>
      <c r="E569" s="97"/>
      <c r="F569" s="97" t="s">
        <v>476</v>
      </c>
      <c r="G569" s="97" t="s">
        <v>446</v>
      </c>
      <c r="H569" s="97" t="s">
        <v>427</v>
      </c>
      <c r="I569" s="97" t="s">
        <v>374</v>
      </c>
      <c r="J569" s="98">
        <v>5444052</v>
      </c>
      <c r="K569" s="98">
        <v>0</v>
      </c>
      <c r="L569" s="97"/>
      <c r="M569" s="97"/>
      <c r="N569" s="97"/>
      <c r="O569" s="97"/>
      <c r="P569" s="97"/>
      <c r="Q569" s="97" t="s">
        <v>488</v>
      </c>
      <c r="R569" s="97"/>
      <c r="S569" s="97"/>
      <c r="T569" s="851">
        <f t="shared" si="8"/>
        <v>5444052</v>
      </c>
    </row>
    <row r="570" spans="1:20">
      <c r="A570" s="96">
        <v>45565</v>
      </c>
      <c r="B570" s="96">
        <v>45565</v>
      </c>
      <c r="C570" s="97" t="s">
        <v>513</v>
      </c>
      <c r="D570" s="96"/>
      <c r="E570" s="97"/>
      <c r="F570" s="97" t="s">
        <v>476</v>
      </c>
      <c r="G570" s="97" t="s">
        <v>446</v>
      </c>
      <c r="H570" s="97" t="s">
        <v>431</v>
      </c>
      <c r="I570" s="97" t="s">
        <v>374</v>
      </c>
      <c r="J570" s="98">
        <v>633608</v>
      </c>
      <c r="K570" s="98">
        <v>0</v>
      </c>
      <c r="L570" s="97"/>
      <c r="M570" s="97"/>
      <c r="N570" s="97"/>
      <c r="O570" s="97"/>
      <c r="P570" s="97"/>
      <c r="Q570" s="97" t="s">
        <v>488</v>
      </c>
      <c r="R570" s="97"/>
      <c r="S570" s="97"/>
      <c r="T570" s="851">
        <f t="shared" si="8"/>
        <v>633608</v>
      </c>
    </row>
    <row r="571" spans="1:20">
      <c r="A571" s="96">
        <v>45565</v>
      </c>
      <c r="B571" s="96">
        <v>45565</v>
      </c>
      <c r="C571" s="97" t="s">
        <v>513</v>
      </c>
      <c r="D571" s="96"/>
      <c r="E571" s="97"/>
      <c r="F571" s="97" t="s">
        <v>476</v>
      </c>
      <c r="G571" s="97" t="s">
        <v>446</v>
      </c>
      <c r="H571" s="97" t="s">
        <v>435</v>
      </c>
      <c r="I571" s="97" t="s">
        <v>374</v>
      </c>
      <c r="J571" s="98">
        <v>39080207</v>
      </c>
      <c r="K571" s="98">
        <v>0</v>
      </c>
      <c r="L571" s="97"/>
      <c r="M571" s="97"/>
      <c r="N571" s="97"/>
      <c r="O571" s="97"/>
      <c r="P571" s="97"/>
      <c r="Q571" s="97" t="s">
        <v>488</v>
      </c>
      <c r="R571" s="97"/>
      <c r="S571" s="97"/>
      <c r="T571" s="851">
        <f t="shared" si="8"/>
        <v>39080207</v>
      </c>
    </row>
    <row r="572" spans="1:20">
      <c r="A572" s="96">
        <v>45565</v>
      </c>
      <c r="B572" s="96">
        <v>45565</v>
      </c>
      <c r="C572" s="97" t="s">
        <v>513</v>
      </c>
      <c r="D572" s="96"/>
      <c r="E572" s="97"/>
      <c r="F572" s="97" t="s">
        <v>477</v>
      </c>
      <c r="G572" s="97" t="s">
        <v>446</v>
      </c>
      <c r="H572" s="97" t="s">
        <v>442</v>
      </c>
      <c r="I572" s="97" t="s">
        <v>442</v>
      </c>
      <c r="J572" s="98">
        <v>0</v>
      </c>
      <c r="K572" s="98">
        <v>1000000</v>
      </c>
      <c r="L572" s="97"/>
      <c r="M572" s="97"/>
      <c r="N572" s="97"/>
      <c r="O572" s="97"/>
      <c r="P572" s="97"/>
      <c r="Q572" s="97" t="s">
        <v>488</v>
      </c>
      <c r="R572" s="97"/>
      <c r="S572" s="97"/>
      <c r="T572" s="851">
        <f t="shared" si="8"/>
        <v>-1000000</v>
      </c>
    </row>
    <row r="573" spans="1:20">
      <c r="A573" s="96">
        <v>45565</v>
      </c>
      <c r="B573" s="96">
        <v>45565</v>
      </c>
      <c r="C573" s="97" t="s">
        <v>513</v>
      </c>
      <c r="D573" s="96"/>
      <c r="E573" s="97"/>
      <c r="F573" s="97" t="s">
        <v>479</v>
      </c>
      <c r="G573" s="97" t="s">
        <v>446</v>
      </c>
      <c r="H573" s="97" t="s">
        <v>217</v>
      </c>
      <c r="I573" s="97" t="s">
        <v>213</v>
      </c>
      <c r="J573" s="98">
        <v>0</v>
      </c>
      <c r="K573" s="98">
        <v>1904092101</v>
      </c>
      <c r="L573" s="97"/>
      <c r="M573" s="97"/>
      <c r="N573" s="97"/>
      <c r="O573" s="97"/>
      <c r="P573" s="97"/>
      <c r="Q573" s="97" t="s">
        <v>488</v>
      </c>
      <c r="R573" s="97"/>
      <c r="S573" s="97"/>
      <c r="T573" s="851">
        <f t="shared" si="8"/>
        <v>-1904092101</v>
      </c>
    </row>
    <row r="574" spans="1:20">
      <c r="A574" s="96">
        <v>45596</v>
      </c>
      <c r="B574" s="96">
        <v>45596</v>
      </c>
      <c r="C574" s="97" t="s">
        <v>514</v>
      </c>
      <c r="D574" s="96"/>
      <c r="E574" s="97"/>
      <c r="F574" s="97" t="s">
        <v>468</v>
      </c>
      <c r="G574" s="97" t="s">
        <v>446</v>
      </c>
      <c r="H574" s="97" t="s">
        <v>223</v>
      </c>
      <c r="I574" s="97" t="s">
        <v>219</v>
      </c>
      <c r="J574" s="98">
        <v>0</v>
      </c>
      <c r="K574" s="98">
        <v>17</v>
      </c>
      <c r="L574" s="97"/>
      <c r="M574" s="97"/>
      <c r="N574" s="97"/>
      <c r="O574" s="97"/>
      <c r="P574" s="97"/>
      <c r="Q574" s="97" t="s">
        <v>488</v>
      </c>
      <c r="R574" s="97"/>
      <c r="S574" s="97"/>
      <c r="T574" s="851">
        <f t="shared" si="8"/>
        <v>-17</v>
      </c>
    </row>
    <row r="575" spans="1:20">
      <c r="A575" s="96">
        <v>45596</v>
      </c>
      <c r="B575" s="96">
        <v>45596</v>
      </c>
      <c r="C575" s="97" t="s">
        <v>514</v>
      </c>
      <c r="D575" s="96"/>
      <c r="E575" s="97"/>
      <c r="F575" s="97" t="s">
        <v>468</v>
      </c>
      <c r="G575" s="97" t="s">
        <v>446</v>
      </c>
      <c r="H575" s="97" t="s">
        <v>225</v>
      </c>
      <c r="I575" s="97" t="s">
        <v>219</v>
      </c>
      <c r="J575" s="98">
        <v>0</v>
      </c>
      <c r="K575" s="98">
        <v>1908000</v>
      </c>
      <c r="L575" s="97"/>
      <c r="M575" s="97"/>
      <c r="N575" s="97"/>
      <c r="O575" s="97"/>
      <c r="P575" s="97"/>
      <c r="Q575" s="97" t="s">
        <v>488</v>
      </c>
      <c r="R575" s="97"/>
      <c r="S575" s="97"/>
      <c r="T575" s="851">
        <f t="shared" si="8"/>
        <v>-1908000</v>
      </c>
    </row>
    <row r="576" spans="1:20">
      <c r="A576" s="96">
        <v>45596</v>
      </c>
      <c r="B576" s="96">
        <v>45596</v>
      </c>
      <c r="C576" s="97" t="s">
        <v>514</v>
      </c>
      <c r="D576" s="96"/>
      <c r="E576" s="97"/>
      <c r="F576" s="97" t="s">
        <v>468</v>
      </c>
      <c r="G576" s="97" t="s">
        <v>446</v>
      </c>
      <c r="H576" s="97" t="s">
        <v>227</v>
      </c>
      <c r="I576" s="97" t="s">
        <v>219</v>
      </c>
      <c r="J576" s="98">
        <v>0</v>
      </c>
      <c r="K576" s="98">
        <v>5535000</v>
      </c>
      <c r="L576" s="97"/>
      <c r="M576" s="97"/>
      <c r="N576" s="97"/>
      <c r="O576" s="97"/>
      <c r="P576" s="97"/>
      <c r="Q576" s="97" t="s">
        <v>488</v>
      </c>
      <c r="R576" s="97"/>
      <c r="S576" s="97"/>
      <c r="T576" s="851">
        <f t="shared" si="8"/>
        <v>-5535000</v>
      </c>
    </row>
    <row r="577" spans="1:20">
      <c r="A577" s="96">
        <v>45596</v>
      </c>
      <c r="B577" s="96">
        <v>45596</v>
      </c>
      <c r="C577" s="97" t="s">
        <v>514</v>
      </c>
      <c r="D577" s="96"/>
      <c r="E577" s="97"/>
      <c r="F577" s="97" t="s">
        <v>468</v>
      </c>
      <c r="G577" s="97" t="s">
        <v>446</v>
      </c>
      <c r="H577" s="97" t="s">
        <v>229</v>
      </c>
      <c r="I577" s="97" t="s">
        <v>219</v>
      </c>
      <c r="J577" s="98">
        <v>0</v>
      </c>
      <c r="K577" s="98">
        <v>55124373</v>
      </c>
      <c r="L577" s="97"/>
      <c r="M577" s="97"/>
      <c r="N577" s="97"/>
      <c r="O577" s="97"/>
      <c r="P577" s="97"/>
      <c r="Q577" s="97" t="s">
        <v>488</v>
      </c>
      <c r="R577" s="97"/>
      <c r="S577" s="97"/>
      <c r="T577" s="851">
        <f t="shared" si="8"/>
        <v>-55124373</v>
      </c>
    </row>
    <row r="578" spans="1:20">
      <c r="A578" s="96">
        <v>45596</v>
      </c>
      <c r="B578" s="96">
        <v>45596</v>
      </c>
      <c r="C578" s="97" t="s">
        <v>514</v>
      </c>
      <c r="D578" s="96"/>
      <c r="E578" s="97"/>
      <c r="F578" s="97" t="s">
        <v>468</v>
      </c>
      <c r="G578" s="97" t="s">
        <v>446</v>
      </c>
      <c r="H578" s="97" t="s">
        <v>231</v>
      </c>
      <c r="I578" s="97" t="s">
        <v>219</v>
      </c>
      <c r="J578" s="98">
        <v>0</v>
      </c>
      <c r="K578" s="98">
        <v>162497432</v>
      </c>
      <c r="L578" s="97"/>
      <c r="M578" s="97"/>
      <c r="N578" s="97"/>
      <c r="O578" s="97"/>
      <c r="P578" s="97"/>
      <c r="Q578" s="97" t="s">
        <v>488</v>
      </c>
      <c r="R578" s="97"/>
      <c r="S578" s="97"/>
      <c r="T578" s="851">
        <f t="shared" si="8"/>
        <v>-162497432</v>
      </c>
    </row>
    <row r="579" spans="1:20">
      <c r="A579" s="96">
        <v>45596</v>
      </c>
      <c r="B579" s="96">
        <v>45596</v>
      </c>
      <c r="C579" s="97" t="s">
        <v>514</v>
      </c>
      <c r="D579" s="96"/>
      <c r="E579" s="97"/>
      <c r="F579" s="97" t="s">
        <v>468</v>
      </c>
      <c r="G579" s="97" t="s">
        <v>446</v>
      </c>
      <c r="H579" s="97" t="s">
        <v>233</v>
      </c>
      <c r="I579" s="97" t="s">
        <v>219</v>
      </c>
      <c r="J579" s="98">
        <v>0</v>
      </c>
      <c r="K579" s="98">
        <v>499000</v>
      </c>
      <c r="L579" s="97"/>
      <c r="M579" s="97"/>
      <c r="N579" s="97"/>
      <c r="O579" s="97"/>
      <c r="P579" s="97"/>
      <c r="Q579" s="97" t="s">
        <v>488</v>
      </c>
      <c r="R579" s="97"/>
      <c r="S579" s="97"/>
      <c r="T579" s="851">
        <f t="shared" si="8"/>
        <v>-499000</v>
      </c>
    </row>
    <row r="580" spans="1:20">
      <c r="A580" s="96">
        <v>45596</v>
      </c>
      <c r="B580" s="96">
        <v>45596</v>
      </c>
      <c r="C580" s="97" t="s">
        <v>514</v>
      </c>
      <c r="D580" s="96"/>
      <c r="E580" s="97"/>
      <c r="F580" s="97" t="s">
        <v>468</v>
      </c>
      <c r="G580" s="97" t="s">
        <v>446</v>
      </c>
      <c r="H580" s="97" t="s">
        <v>235</v>
      </c>
      <c r="I580" s="97" t="s">
        <v>219</v>
      </c>
      <c r="J580" s="98">
        <v>0</v>
      </c>
      <c r="K580" s="98">
        <v>10047019</v>
      </c>
      <c r="L580" s="97"/>
      <c r="M580" s="97"/>
      <c r="N580" s="97"/>
      <c r="O580" s="97"/>
      <c r="P580" s="97"/>
      <c r="Q580" s="97" t="s">
        <v>488</v>
      </c>
      <c r="R580" s="97"/>
      <c r="S580" s="97"/>
      <c r="T580" s="851">
        <f t="shared" si="8"/>
        <v>-10047019</v>
      </c>
    </row>
    <row r="581" spans="1:20">
      <c r="A581" s="96">
        <v>45596</v>
      </c>
      <c r="B581" s="96">
        <v>45596</v>
      </c>
      <c r="C581" s="97" t="s">
        <v>514</v>
      </c>
      <c r="D581" s="96"/>
      <c r="E581" s="97"/>
      <c r="F581" s="97" t="s">
        <v>468</v>
      </c>
      <c r="G581" s="97" t="s">
        <v>446</v>
      </c>
      <c r="H581" s="97" t="s">
        <v>237</v>
      </c>
      <c r="I581" s="97" t="s">
        <v>219</v>
      </c>
      <c r="J581" s="98">
        <v>0</v>
      </c>
      <c r="K581" s="98">
        <v>342352</v>
      </c>
      <c r="L581" s="97"/>
      <c r="M581" s="97"/>
      <c r="N581" s="97"/>
      <c r="O581" s="97"/>
      <c r="P581" s="97"/>
      <c r="Q581" s="97" t="s">
        <v>488</v>
      </c>
      <c r="R581" s="97"/>
      <c r="S581" s="97"/>
      <c r="T581" s="851">
        <f t="shared" ref="T581:T644" si="9">J581-K581</f>
        <v>-342352</v>
      </c>
    </row>
    <row r="582" spans="1:20">
      <c r="A582" s="96">
        <v>45596</v>
      </c>
      <c r="B582" s="96">
        <v>45596</v>
      </c>
      <c r="C582" s="97" t="s">
        <v>514</v>
      </c>
      <c r="D582" s="96"/>
      <c r="E582" s="97"/>
      <c r="F582" s="97" t="s">
        <v>468</v>
      </c>
      <c r="G582" s="97" t="s">
        <v>446</v>
      </c>
      <c r="H582" s="97" t="s">
        <v>241</v>
      </c>
      <c r="I582" s="97" t="s">
        <v>219</v>
      </c>
      <c r="J582" s="98">
        <v>0</v>
      </c>
      <c r="K582" s="98">
        <v>992206</v>
      </c>
      <c r="L582" s="97"/>
      <c r="M582" s="97"/>
      <c r="N582" s="97"/>
      <c r="O582" s="97"/>
      <c r="P582" s="97"/>
      <c r="Q582" s="97" t="s">
        <v>488</v>
      </c>
      <c r="R582" s="97"/>
      <c r="S582" s="97"/>
      <c r="T582" s="851">
        <f t="shared" si="9"/>
        <v>-992206</v>
      </c>
    </row>
    <row r="583" spans="1:20">
      <c r="A583" s="96">
        <v>45596</v>
      </c>
      <c r="B583" s="96">
        <v>45596</v>
      </c>
      <c r="C583" s="97" t="s">
        <v>514</v>
      </c>
      <c r="D583" s="96"/>
      <c r="E583" s="97"/>
      <c r="F583" s="97" t="s">
        <v>468</v>
      </c>
      <c r="G583" s="97" t="s">
        <v>446</v>
      </c>
      <c r="H583" s="97" t="s">
        <v>243</v>
      </c>
      <c r="I583" s="97" t="s">
        <v>219</v>
      </c>
      <c r="J583" s="98">
        <v>0</v>
      </c>
      <c r="K583" s="98">
        <v>316000000</v>
      </c>
      <c r="L583" s="97"/>
      <c r="M583" s="97"/>
      <c r="N583" s="97"/>
      <c r="O583" s="97"/>
      <c r="P583" s="97"/>
      <c r="Q583" s="97" t="s">
        <v>488</v>
      </c>
      <c r="R583" s="97"/>
      <c r="S583" s="97"/>
      <c r="T583" s="851">
        <f t="shared" si="9"/>
        <v>-316000000</v>
      </c>
    </row>
    <row r="584" spans="1:20">
      <c r="A584" s="96">
        <v>45596</v>
      </c>
      <c r="B584" s="96">
        <v>45596</v>
      </c>
      <c r="C584" s="97" t="s">
        <v>514</v>
      </c>
      <c r="D584" s="96"/>
      <c r="E584" s="97"/>
      <c r="F584" s="97" t="s">
        <v>468</v>
      </c>
      <c r="G584" s="97" t="s">
        <v>446</v>
      </c>
      <c r="H584" s="97" t="s">
        <v>245</v>
      </c>
      <c r="I584" s="97" t="s">
        <v>219</v>
      </c>
      <c r="J584" s="98">
        <v>0</v>
      </c>
      <c r="K584" s="98">
        <v>1400000</v>
      </c>
      <c r="L584" s="97"/>
      <c r="M584" s="97"/>
      <c r="N584" s="97"/>
      <c r="O584" s="97"/>
      <c r="P584" s="97"/>
      <c r="Q584" s="97" t="s">
        <v>488</v>
      </c>
      <c r="R584" s="97"/>
      <c r="S584" s="97"/>
      <c r="T584" s="851">
        <f t="shared" si="9"/>
        <v>-1400000</v>
      </c>
    </row>
    <row r="585" spans="1:20">
      <c r="A585" s="96">
        <v>45596</v>
      </c>
      <c r="B585" s="96">
        <v>45596</v>
      </c>
      <c r="C585" s="97" t="s">
        <v>514</v>
      </c>
      <c r="D585" s="96"/>
      <c r="E585" s="97"/>
      <c r="F585" s="97" t="s">
        <v>472</v>
      </c>
      <c r="G585" s="97" t="s">
        <v>446</v>
      </c>
      <c r="H585" s="97" t="s">
        <v>249</v>
      </c>
      <c r="I585" s="97" t="s">
        <v>247</v>
      </c>
      <c r="J585" s="98">
        <v>0</v>
      </c>
      <c r="K585" s="98">
        <v>10653581164</v>
      </c>
      <c r="L585" s="97"/>
      <c r="M585" s="97"/>
      <c r="N585" s="97"/>
      <c r="O585" s="97"/>
      <c r="P585" s="97"/>
      <c r="Q585" s="97" t="s">
        <v>488</v>
      </c>
      <c r="R585" s="97"/>
      <c r="S585" s="97"/>
      <c r="T585" s="851">
        <f t="shared" si="9"/>
        <v>-10653581164</v>
      </c>
    </row>
    <row r="586" spans="1:20">
      <c r="A586" s="96">
        <v>45596</v>
      </c>
      <c r="B586" s="96">
        <v>45596</v>
      </c>
      <c r="C586" s="97" t="s">
        <v>514</v>
      </c>
      <c r="D586" s="96"/>
      <c r="E586" s="97"/>
      <c r="F586" s="97" t="s">
        <v>472</v>
      </c>
      <c r="G586" s="97" t="s">
        <v>446</v>
      </c>
      <c r="H586" s="97" t="s">
        <v>255</v>
      </c>
      <c r="I586" s="97" t="s">
        <v>247</v>
      </c>
      <c r="J586" s="98">
        <v>0</v>
      </c>
      <c r="K586" s="98">
        <v>1639121689</v>
      </c>
      <c r="L586" s="97"/>
      <c r="M586" s="97"/>
      <c r="N586" s="97"/>
      <c r="O586" s="97"/>
      <c r="P586" s="97"/>
      <c r="Q586" s="97" t="s">
        <v>488</v>
      </c>
      <c r="R586" s="97"/>
      <c r="S586" s="97"/>
      <c r="T586" s="851">
        <f t="shared" si="9"/>
        <v>-1639121689</v>
      </c>
    </row>
    <row r="587" spans="1:20">
      <c r="A587" s="96">
        <v>45596</v>
      </c>
      <c r="B587" s="96">
        <v>45596</v>
      </c>
      <c r="C587" s="97" t="s">
        <v>514</v>
      </c>
      <c r="D587" s="96"/>
      <c r="E587" s="97"/>
      <c r="F587" s="97" t="s">
        <v>472</v>
      </c>
      <c r="G587" s="97" t="s">
        <v>446</v>
      </c>
      <c r="H587" s="97" t="s">
        <v>259</v>
      </c>
      <c r="I587" s="97" t="s">
        <v>247</v>
      </c>
      <c r="J587" s="98">
        <v>0</v>
      </c>
      <c r="K587" s="98">
        <v>512191104</v>
      </c>
      <c r="L587" s="97"/>
      <c r="M587" s="97"/>
      <c r="N587" s="97"/>
      <c r="O587" s="97"/>
      <c r="P587" s="97"/>
      <c r="Q587" s="97" t="s">
        <v>488</v>
      </c>
      <c r="R587" s="97"/>
      <c r="S587" s="97"/>
      <c r="T587" s="851">
        <f t="shared" si="9"/>
        <v>-512191104</v>
      </c>
    </row>
    <row r="588" spans="1:20">
      <c r="A588" s="96">
        <v>45596</v>
      </c>
      <c r="B588" s="96">
        <v>45596</v>
      </c>
      <c r="C588" s="97" t="s">
        <v>514</v>
      </c>
      <c r="D588" s="96"/>
      <c r="E588" s="97"/>
      <c r="F588" s="97" t="s">
        <v>472</v>
      </c>
      <c r="G588" s="97" t="s">
        <v>446</v>
      </c>
      <c r="H588" s="97" t="s">
        <v>745</v>
      </c>
      <c r="I588" s="97" t="s">
        <v>247</v>
      </c>
      <c r="J588" s="98">
        <v>0</v>
      </c>
      <c r="K588" s="98">
        <v>1590764392</v>
      </c>
      <c r="L588" s="97"/>
      <c r="M588" s="97"/>
      <c r="N588" s="97"/>
      <c r="O588" s="97"/>
      <c r="P588" s="97"/>
      <c r="Q588" s="97" t="s">
        <v>488</v>
      </c>
      <c r="R588" s="97"/>
      <c r="S588" s="97"/>
      <c r="T588" s="851">
        <f t="shared" si="9"/>
        <v>-1590764392</v>
      </c>
    </row>
    <row r="589" spans="1:20">
      <c r="A589" s="96">
        <v>45596</v>
      </c>
      <c r="B589" s="96">
        <v>45596</v>
      </c>
      <c r="C589" s="97" t="s">
        <v>514</v>
      </c>
      <c r="D589" s="96"/>
      <c r="E589" s="97"/>
      <c r="F589" s="97" t="s">
        <v>472</v>
      </c>
      <c r="G589" s="97" t="s">
        <v>446</v>
      </c>
      <c r="H589" s="97" t="s">
        <v>257</v>
      </c>
      <c r="I589" s="97" t="s">
        <v>247</v>
      </c>
      <c r="J589" s="98">
        <v>1671050000</v>
      </c>
      <c r="K589" s="98">
        <v>0</v>
      </c>
      <c r="L589" s="97"/>
      <c r="M589" s="97"/>
      <c r="N589" s="97"/>
      <c r="O589" s="97"/>
      <c r="P589" s="97"/>
      <c r="Q589" s="97" t="s">
        <v>488</v>
      </c>
      <c r="R589" s="97"/>
      <c r="S589" s="97"/>
      <c r="T589" s="851">
        <f t="shared" si="9"/>
        <v>1671050000</v>
      </c>
    </row>
    <row r="590" spans="1:20">
      <c r="A590" s="96">
        <v>45596</v>
      </c>
      <c r="B590" s="96">
        <v>45596</v>
      </c>
      <c r="C590" s="97" t="s">
        <v>514</v>
      </c>
      <c r="D590" s="96"/>
      <c r="E590" s="97"/>
      <c r="F590" s="97" t="s">
        <v>472</v>
      </c>
      <c r="G590" s="97" t="s">
        <v>446</v>
      </c>
      <c r="H590" s="97" t="s">
        <v>251</v>
      </c>
      <c r="I590" s="97" t="s">
        <v>247</v>
      </c>
      <c r="J590" s="98">
        <v>883931507</v>
      </c>
      <c r="K590" s="98">
        <v>0</v>
      </c>
      <c r="L590" s="97"/>
      <c r="M590" s="97"/>
      <c r="N590" s="97"/>
      <c r="O590" s="97"/>
      <c r="P590" s="97"/>
      <c r="Q590" s="97" t="s">
        <v>488</v>
      </c>
      <c r="R590" s="97"/>
      <c r="S590" s="97"/>
      <c r="T590" s="851">
        <f t="shared" si="9"/>
        <v>883931507</v>
      </c>
    </row>
    <row r="591" spans="1:20">
      <c r="A591" s="96">
        <v>45596</v>
      </c>
      <c r="B591" s="96">
        <v>45596</v>
      </c>
      <c r="C591" s="97" t="s">
        <v>514</v>
      </c>
      <c r="D591" s="96"/>
      <c r="E591" s="97"/>
      <c r="F591" s="97" t="s">
        <v>473</v>
      </c>
      <c r="G591" s="97" t="s">
        <v>446</v>
      </c>
      <c r="H591" s="97" t="s">
        <v>303</v>
      </c>
      <c r="I591" s="97" t="s">
        <v>303</v>
      </c>
      <c r="J591" s="98">
        <v>856449251</v>
      </c>
      <c r="K591" s="98">
        <v>0</v>
      </c>
      <c r="L591" s="97"/>
      <c r="M591" s="97"/>
      <c r="N591" s="97"/>
      <c r="O591" s="97"/>
      <c r="P591" s="97"/>
      <c r="Q591" s="97" t="s">
        <v>488</v>
      </c>
      <c r="R591" s="97"/>
      <c r="S591" s="97"/>
      <c r="T591" s="851">
        <f t="shared" si="9"/>
        <v>856449251</v>
      </c>
    </row>
    <row r="592" spans="1:20">
      <c r="A592" s="96">
        <v>45596</v>
      </c>
      <c r="B592" s="96">
        <v>45596</v>
      </c>
      <c r="C592" s="97" t="s">
        <v>514</v>
      </c>
      <c r="D592" s="96"/>
      <c r="E592" s="97"/>
      <c r="F592" s="97" t="s">
        <v>474</v>
      </c>
      <c r="G592" s="97" t="s">
        <v>446</v>
      </c>
      <c r="H592" s="97" t="s">
        <v>309</v>
      </c>
      <c r="I592" s="97" t="s">
        <v>305</v>
      </c>
      <c r="J592" s="98">
        <v>0</v>
      </c>
      <c r="K592" s="98">
        <v>296781306</v>
      </c>
      <c r="L592" s="97"/>
      <c r="M592" s="97"/>
      <c r="N592" s="97"/>
      <c r="O592" s="97"/>
      <c r="P592" s="97"/>
      <c r="Q592" s="97" t="s">
        <v>488</v>
      </c>
      <c r="R592" s="97"/>
      <c r="S592" s="97"/>
      <c r="T592" s="851">
        <f t="shared" si="9"/>
        <v>-296781306</v>
      </c>
    </row>
    <row r="593" spans="1:20">
      <c r="A593" s="96">
        <v>45596</v>
      </c>
      <c r="B593" s="96">
        <v>45596</v>
      </c>
      <c r="C593" s="97" t="s">
        <v>514</v>
      </c>
      <c r="D593" s="96"/>
      <c r="E593" s="97"/>
      <c r="F593" s="97" t="s">
        <v>474</v>
      </c>
      <c r="G593" s="97" t="s">
        <v>446</v>
      </c>
      <c r="H593" s="97" t="s">
        <v>313</v>
      </c>
      <c r="I593" s="97" t="s">
        <v>305</v>
      </c>
      <c r="J593" s="98">
        <v>169180400</v>
      </c>
      <c r="K593" s="98">
        <v>0</v>
      </c>
      <c r="L593" s="97"/>
      <c r="M593" s="97"/>
      <c r="N593" s="97"/>
      <c r="O593" s="97"/>
      <c r="P593" s="97"/>
      <c r="Q593" s="97" t="s">
        <v>488</v>
      </c>
      <c r="R593" s="97"/>
      <c r="S593" s="97"/>
      <c r="T593" s="851">
        <f t="shared" si="9"/>
        <v>169180400</v>
      </c>
    </row>
    <row r="594" spans="1:20">
      <c r="A594" s="96">
        <v>45596</v>
      </c>
      <c r="B594" s="96">
        <v>45596</v>
      </c>
      <c r="C594" s="97" t="s">
        <v>514</v>
      </c>
      <c r="D594" s="96"/>
      <c r="E594" s="97"/>
      <c r="F594" s="97" t="s">
        <v>474</v>
      </c>
      <c r="G594" s="97" t="s">
        <v>446</v>
      </c>
      <c r="H594" s="97" t="s">
        <v>315</v>
      </c>
      <c r="I594" s="97" t="s">
        <v>305</v>
      </c>
      <c r="J594" s="98">
        <v>57534250</v>
      </c>
      <c r="K594" s="98">
        <v>0</v>
      </c>
      <c r="L594" s="97"/>
      <c r="M594" s="97"/>
      <c r="N594" s="97"/>
      <c r="O594" s="97"/>
      <c r="P594" s="97"/>
      <c r="Q594" s="97" t="s">
        <v>488</v>
      </c>
      <c r="R594" s="97"/>
      <c r="S594" s="97"/>
      <c r="T594" s="851">
        <f t="shared" si="9"/>
        <v>57534250</v>
      </c>
    </row>
    <row r="595" spans="1:20">
      <c r="A595" s="96">
        <v>45596</v>
      </c>
      <c r="B595" s="96">
        <v>45596</v>
      </c>
      <c r="C595" s="97" t="s">
        <v>514</v>
      </c>
      <c r="D595" s="96"/>
      <c r="E595" s="97"/>
      <c r="F595" s="97" t="s">
        <v>474</v>
      </c>
      <c r="G595" s="97" t="s">
        <v>446</v>
      </c>
      <c r="H595" s="97" t="s">
        <v>317</v>
      </c>
      <c r="I595" s="97" t="s">
        <v>305</v>
      </c>
      <c r="J595" s="98">
        <v>76915195</v>
      </c>
      <c r="K595" s="98">
        <v>0</v>
      </c>
      <c r="L595" s="97"/>
      <c r="M595" s="97"/>
      <c r="N595" s="97"/>
      <c r="O595" s="97"/>
      <c r="P595" s="97"/>
      <c r="Q595" s="97" t="s">
        <v>488</v>
      </c>
      <c r="R595" s="97"/>
      <c r="S595" s="97"/>
      <c r="T595" s="851">
        <f t="shared" si="9"/>
        <v>76915195</v>
      </c>
    </row>
    <row r="596" spans="1:20">
      <c r="A596" s="96">
        <v>45596</v>
      </c>
      <c r="B596" s="96">
        <v>45596</v>
      </c>
      <c r="C596" s="97" t="s">
        <v>514</v>
      </c>
      <c r="D596" s="96"/>
      <c r="E596" s="97"/>
      <c r="F596" s="97" t="s">
        <v>474</v>
      </c>
      <c r="G596" s="97" t="s">
        <v>446</v>
      </c>
      <c r="H596" s="97" t="s">
        <v>325</v>
      </c>
      <c r="I596" s="97" t="s">
        <v>305</v>
      </c>
      <c r="J596" s="98">
        <v>11305480</v>
      </c>
      <c r="K596" s="98">
        <v>0</v>
      </c>
      <c r="L596" s="97"/>
      <c r="M596" s="97"/>
      <c r="N596" s="97"/>
      <c r="O596" s="97"/>
      <c r="P596" s="97"/>
      <c r="Q596" s="97" t="s">
        <v>488</v>
      </c>
      <c r="R596" s="97"/>
      <c r="S596" s="97"/>
      <c r="T596" s="851">
        <f t="shared" si="9"/>
        <v>11305480</v>
      </c>
    </row>
    <row r="597" spans="1:20">
      <c r="A597" s="96">
        <v>45596</v>
      </c>
      <c r="B597" s="96">
        <v>45596</v>
      </c>
      <c r="C597" s="97" t="s">
        <v>514</v>
      </c>
      <c r="D597" s="96"/>
      <c r="E597" s="97"/>
      <c r="F597" s="97" t="s">
        <v>474</v>
      </c>
      <c r="G597" s="97" t="s">
        <v>446</v>
      </c>
      <c r="H597" s="97" t="s">
        <v>327</v>
      </c>
      <c r="I597" s="97" t="s">
        <v>305</v>
      </c>
      <c r="J597" s="98">
        <v>156148527</v>
      </c>
      <c r="K597" s="98">
        <v>0</v>
      </c>
      <c r="L597" s="97"/>
      <c r="M597" s="97"/>
      <c r="N597" s="97"/>
      <c r="O597" s="97"/>
      <c r="P597" s="97"/>
      <c r="Q597" s="97" t="s">
        <v>488</v>
      </c>
      <c r="R597" s="97"/>
      <c r="S597" s="97"/>
      <c r="T597" s="851">
        <f t="shared" si="9"/>
        <v>156148527</v>
      </c>
    </row>
    <row r="598" spans="1:20">
      <c r="A598" s="96">
        <v>45596</v>
      </c>
      <c r="B598" s="96">
        <v>45596</v>
      </c>
      <c r="C598" s="97" t="s">
        <v>514</v>
      </c>
      <c r="D598" s="96"/>
      <c r="E598" s="97"/>
      <c r="F598" s="97" t="s">
        <v>474</v>
      </c>
      <c r="G598" s="97" t="s">
        <v>446</v>
      </c>
      <c r="H598" s="97" t="s">
        <v>329</v>
      </c>
      <c r="I598" s="97" t="s">
        <v>305</v>
      </c>
      <c r="J598" s="98">
        <v>43179807</v>
      </c>
      <c r="K598" s="98">
        <v>0</v>
      </c>
      <c r="L598" s="97"/>
      <c r="M598" s="97"/>
      <c r="N598" s="97"/>
      <c r="O598" s="97"/>
      <c r="P598" s="97"/>
      <c r="Q598" s="97" t="s">
        <v>488</v>
      </c>
      <c r="R598" s="97"/>
      <c r="S598" s="97"/>
      <c r="T598" s="851">
        <f t="shared" si="9"/>
        <v>43179807</v>
      </c>
    </row>
    <row r="599" spans="1:20">
      <c r="A599" s="96">
        <v>45596</v>
      </c>
      <c r="B599" s="96">
        <v>45596</v>
      </c>
      <c r="C599" s="97" t="s">
        <v>514</v>
      </c>
      <c r="D599" s="96"/>
      <c r="E599" s="97"/>
      <c r="F599" s="97" t="s">
        <v>474</v>
      </c>
      <c r="G599" s="97" t="s">
        <v>446</v>
      </c>
      <c r="H599" s="97" t="s">
        <v>331</v>
      </c>
      <c r="I599" s="97" t="s">
        <v>305</v>
      </c>
      <c r="J599" s="98">
        <v>13433256</v>
      </c>
      <c r="K599" s="98">
        <v>0</v>
      </c>
      <c r="L599" s="97"/>
      <c r="M599" s="97"/>
      <c r="N599" s="97"/>
      <c r="O599" s="97"/>
      <c r="P599" s="97"/>
      <c r="Q599" s="97" t="s">
        <v>488</v>
      </c>
      <c r="R599" s="97"/>
      <c r="S599" s="97"/>
      <c r="T599" s="851">
        <f t="shared" si="9"/>
        <v>13433256</v>
      </c>
    </row>
    <row r="600" spans="1:20">
      <c r="A600" s="96">
        <v>45596</v>
      </c>
      <c r="B600" s="96">
        <v>45596</v>
      </c>
      <c r="C600" s="97" t="s">
        <v>514</v>
      </c>
      <c r="D600" s="96"/>
      <c r="E600" s="97"/>
      <c r="F600" s="97" t="s">
        <v>474</v>
      </c>
      <c r="G600" s="97" t="s">
        <v>446</v>
      </c>
      <c r="H600" s="97" t="s">
        <v>307</v>
      </c>
      <c r="I600" s="97" t="s">
        <v>305</v>
      </c>
      <c r="J600" s="98">
        <v>6162423824</v>
      </c>
      <c r="K600" s="98">
        <v>0</v>
      </c>
      <c r="L600" s="97"/>
      <c r="M600" s="97"/>
      <c r="N600" s="97"/>
      <c r="O600" s="97"/>
      <c r="P600" s="97"/>
      <c r="Q600" s="97" t="s">
        <v>488</v>
      </c>
      <c r="R600" s="97"/>
      <c r="S600" s="97"/>
      <c r="T600" s="851">
        <f t="shared" si="9"/>
        <v>6162423824</v>
      </c>
    </row>
    <row r="601" spans="1:20">
      <c r="A601" s="96">
        <v>45596</v>
      </c>
      <c r="B601" s="96">
        <v>45596</v>
      </c>
      <c r="C601" s="97" t="s">
        <v>514</v>
      </c>
      <c r="D601" s="96"/>
      <c r="E601" s="97"/>
      <c r="F601" s="97" t="s">
        <v>475</v>
      </c>
      <c r="G601" s="97" t="s">
        <v>446</v>
      </c>
      <c r="H601" s="97" t="s">
        <v>337</v>
      </c>
      <c r="I601" s="97" t="s">
        <v>333</v>
      </c>
      <c r="J601" s="98">
        <v>2493985</v>
      </c>
      <c r="K601" s="98">
        <v>0</v>
      </c>
      <c r="L601" s="97"/>
      <c r="M601" s="97"/>
      <c r="N601" s="97"/>
      <c r="O601" s="97"/>
      <c r="P601" s="97"/>
      <c r="Q601" s="97" t="s">
        <v>488</v>
      </c>
      <c r="R601" s="97"/>
      <c r="S601" s="97"/>
      <c r="T601" s="851">
        <f t="shared" si="9"/>
        <v>2493985</v>
      </c>
    </row>
    <row r="602" spans="1:20">
      <c r="A602" s="96">
        <v>45596</v>
      </c>
      <c r="B602" s="96">
        <v>45596</v>
      </c>
      <c r="C602" s="97" t="s">
        <v>514</v>
      </c>
      <c r="D602" s="96"/>
      <c r="E602" s="97"/>
      <c r="F602" s="97" t="s">
        <v>475</v>
      </c>
      <c r="G602" s="97" t="s">
        <v>446</v>
      </c>
      <c r="H602" s="97" t="s">
        <v>343</v>
      </c>
      <c r="I602" s="97" t="s">
        <v>333</v>
      </c>
      <c r="J602" s="98">
        <v>2893500</v>
      </c>
      <c r="K602" s="98">
        <v>0</v>
      </c>
      <c r="L602" s="97"/>
      <c r="M602" s="97"/>
      <c r="N602" s="97"/>
      <c r="O602" s="97"/>
      <c r="P602" s="97"/>
      <c r="Q602" s="97" t="s">
        <v>488</v>
      </c>
      <c r="R602" s="97"/>
      <c r="S602" s="97"/>
      <c r="T602" s="851">
        <f t="shared" si="9"/>
        <v>2893500</v>
      </c>
    </row>
    <row r="603" spans="1:20">
      <c r="A603" s="96">
        <v>45596</v>
      </c>
      <c r="B603" s="96">
        <v>45596</v>
      </c>
      <c r="C603" s="97" t="s">
        <v>514</v>
      </c>
      <c r="D603" s="96"/>
      <c r="E603" s="97"/>
      <c r="F603" s="97" t="s">
        <v>475</v>
      </c>
      <c r="G603" s="97" t="s">
        <v>446</v>
      </c>
      <c r="H603" s="97" t="s">
        <v>348</v>
      </c>
      <c r="I603" s="97" t="s">
        <v>333</v>
      </c>
      <c r="J603" s="98">
        <v>737210599</v>
      </c>
      <c r="K603" s="98">
        <v>0</v>
      </c>
      <c r="L603" s="97"/>
      <c r="M603" s="97"/>
      <c r="N603" s="97"/>
      <c r="O603" s="97"/>
      <c r="P603" s="97"/>
      <c r="Q603" s="97" t="s">
        <v>488</v>
      </c>
      <c r="R603" s="97"/>
      <c r="S603" s="97"/>
      <c r="T603" s="851">
        <f t="shared" si="9"/>
        <v>737210599</v>
      </c>
    </row>
    <row r="604" spans="1:20">
      <c r="A604" s="96">
        <v>45596</v>
      </c>
      <c r="B604" s="96">
        <v>45596</v>
      </c>
      <c r="C604" s="97" t="s">
        <v>514</v>
      </c>
      <c r="D604" s="96"/>
      <c r="E604" s="97"/>
      <c r="F604" s="97" t="s">
        <v>475</v>
      </c>
      <c r="G604" s="97" t="s">
        <v>446</v>
      </c>
      <c r="H604" s="97" t="s">
        <v>350</v>
      </c>
      <c r="I604" s="97" t="s">
        <v>333</v>
      </c>
      <c r="J604" s="98">
        <v>212045694</v>
      </c>
      <c r="K604" s="98">
        <v>0</v>
      </c>
      <c r="L604" s="97"/>
      <c r="M604" s="97"/>
      <c r="N604" s="97"/>
      <c r="O604" s="97"/>
      <c r="P604" s="97"/>
      <c r="Q604" s="97" t="s">
        <v>488</v>
      </c>
      <c r="R604" s="97"/>
      <c r="S604" s="97"/>
      <c r="T604" s="851">
        <f t="shared" si="9"/>
        <v>212045694</v>
      </c>
    </row>
    <row r="605" spans="1:20">
      <c r="A605" s="96">
        <v>45596</v>
      </c>
      <c r="B605" s="96">
        <v>45596</v>
      </c>
      <c r="C605" s="97" t="s">
        <v>514</v>
      </c>
      <c r="D605" s="96"/>
      <c r="E605" s="97"/>
      <c r="F605" s="97" t="s">
        <v>475</v>
      </c>
      <c r="G605" s="97" t="s">
        <v>446</v>
      </c>
      <c r="H605" s="97" t="s">
        <v>354</v>
      </c>
      <c r="I605" s="97" t="s">
        <v>333</v>
      </c>
      <c r="J605" s="98">
        <v>1770199</v>
      </c>
      <c r="K605" s="98">
        <v>0</v>
      </c>
      <c r="L605" s="97"/>
      <c r="M605" s="97"/>
      <c r="N605" s="97"/>
      <c r="O605" s="97"/>
      <c r="P605" s="97"/>
      <c r="Q605" s="97" t="s">
        <v>488</v>
      </c>
      <c r="R605" s="97"/>
      <c r="S605" s="97"/>
      <c r="T605" s="851">
        <f t="shared" si="9"/>
        <v>1770199</v>
      </c>
    </row>
    <row r="606" spans="1:20">
      <c r="A606" s="96">
        <v>45596</v>
      </c>
      <c r="B606" s="96">
        <v>45596</v>
      </c>
      <c r="C606" s="97" t="s">
        <v>514</v>
      </c>
      <c r="D606" s="96"/>
      <c r="E606" s="97"/>
      <c r="F606" s="97" t="s">
        <v>475</v>
      </c>
      <c r="G606" s="97" t="s">
        <v>446</v>
      </c>
      <c r="H606" s="97" t="s">
        <v>356</v>
      </c>
      <c r="I606" s="97" t="s">
        <v>333</v>
      </c>
      <c r="J606" s="98">
        <v>312525</v>
      </c>
      <c r="K606" s="98">
        <v>0</v>
      </c>
      <c r="L606" s="97"/>
      <c r="M606" s="97"/>
      <c r="N606" s="97"/>
      <c r="O606" s="97"/>
      <c r="P606" s="97"/>
      <c r="Q606" s="97" t="s">
        <v>488</v>
      </c>
      <c r="R606" s="97"/>
      <c r="S606" s="97"/>
      <c r="T606" s="851">
        <f t="shared" si="9"/>
        <v>312525</v>
      </c>
    </row>
    <row r="607" spans="1:20">
      <c r="A607" s="96">
        <v>45596</v>
      </c>
      <c r="B607" s="96">
        <v>45596</v>
      </c>
      <c r="C607" s="97" t="s">
        <v>514</v>
      </c>
      <c r="D607" s="96"/>
      <c r="E607" s="97"/>
      <c r="F607" s="97" t="s">
        <v>475</v>
      </c>
      <c r="G607" s="97" t="s">
        <v>446</v>
      </c>
      <c r="H607" s="97" t="s">
        <v>361</v>
      </c>
      <c r="I607" s="97" t="s">
        <v>333</v>
      </c>
      <c r="J607" s="98">
        <v>18272254</v>
      </c>
      <c r="K607" s="98">
        <v>0</v>
      </c>
      <c r="L607" s="97"/>
      <c r="M607" s="97"/>
      <c r="N607" s="97"/>
      <c r="O607" s="97"/>
      <c r="P607" s="97"/>
      <c r="Q607" s="97" t="s">
        <v>488</v>
      </c>
      <c r="R607" s="97"/>
      <c r="S607" s="97"/>
      <c r="T607" s="851">
        <f t="shared" si="9"/>
        <v>18272254</v>
      </c>
    </row>
    <row r="608" spans="1:20">
      <c r="A608" s="96">
        <v>45596</v>
      </c>
      <c r="B608" s="96">
        <v>45596</v>
      </c>
      <c r="C608" s="97" t="s">
        <v>514</v>
      </c>
      <c r="D608" s="96"/>
      <c r="E608" s="97"/>
      <c r="F608" s="97" t="s">
        <v>475</v>
      </c>
      <c r="G608" s="97" t="s">
        <v>446</v>
      </c>
      <c r="H608" s="97" t="s">
        <v>363</v>
      </c>
      <c r="I608" s="97" t="s">
        <v>333</v>
      </c>
      <c r="J608" s="98">
        <v>350600000</v>
      </c>
      <c r="K608" s="98">
        <v>0</v>
      </c>
      <c r="L608" s="97"/>
      <c r="M608" s="97"/>
      <c r="N608" s="97"/>
      <c r="O608" s="97"/>
      <c r="P608" s="97"/>
      <c r="Q608" s="97" t="s">
        <v>488</v>
      </c>
      <c r="R608" s="97"/>
      <c r="S608" s="97"/>
      <c r="T608" s="851">
        <f t="shared" si="9"/>
        <v>350600000</v>
      </c>
    </row>
    <row r="609" spans="1:20">
      <c r="A609" s="96">
        <v>45596</v>
      </c>
      <c r="B609" s="96">
        <v>45596</v>
      </c>
      <c r="C609" s="97" t="s">
        <v>514</v>
      </c>
      <c r="D609" s="96"/>
      <c r="E609" s="97"/>
      <c r="F609" s="97" t="s">
        <v>475</v>
      </c>
      <c r="G609" s="97" t="s">
        <v>446</v>
      </c>
      <c r="H609" s="97" t="s">
        <v>370</v>
      </c>
      <c r="I609" s="97" t="s">
        <v>333</v>
      </c>
      <c r="J609" s="98">
        <v>779030276</v>
      </c>
      <c r="K609" s="98">
        <v>0</v>
      </c>
      <c r="L609" s="97"/>
      <c r="M609" s="97"/>
      <c r="N609" s="97"/>
      <c r="O609" s="97"/>
      <c r="P609" s="97"/>
      <c r="Q609" s="97" t="s">
        <v>488</v>
      </c>
      <c r="R609" s="97"/>
      <c r="S609" s="97"/>
      <c r="T609" s="851">
        <f t="shared" si="9"/>
        <v>779030276</v>
      </c>
    </row>
    <row r="610" spans="1:20">
      <c r="A610" s="96">
        <v>45596</v>
      </c>
      <c r="B610" s="96">
        <v>45596</v>
      </c>
      <c r="C610" s="97" t="s">
        <v>514</v>
      </c>
      <c r="D610" s="96"/>
      <c r="E610" s="97"/>
      <c r="F610" s="97" t="s">
        <v>475</v>
      </c>
      <c r="G610" s="97" t="s">
        <v>446</v>
      </c>
      <c r="H610" s="97" t="s">
        <v>372</v>
      </c>
      <c r="I610" s="97" t="s">
        <v>333</v>
      </c>
      <c r="J610" s="98">
        <v>4997471</v>
      </c>
      <c r="K610" s="98">
        <v>0</v>
      </c>
      <c r="L610" s="97"/>
      <c r="M610" s="97"/>
      <c r="N610" s="97"/>
      <c r="O610" s="97"/>
      <c r="P610" s="97"/>
      <c r="Q610" s="97" t="s">
        <v>488</v>
      </c>
      <c r="R610" s="97"/>
      <c r="S610" s="97"/>
      <c r="T610" s="851">
        <f t="shared" si="9"/>
        <v>4997471</v>
      </c>
    </row>
    <row r="611" spans="1:20">
      <c r="A611" s="96">
        <v>45596</v>
      </c>
      <c r="B611" s="96">
        <v>45596</v>
      </c>
      <c r="C611" s="97" t="s">
        <v>514</v>
      </c>
      <c r="D611" s="96"/>
      <c r="E611" s="97"/>
      <c r="F611" s="97" t="s">
        <v>476</v>
      </c>
      <c r="G611" s="97" t="s">
        <v>446</v>
      </c>
      <c r="H611" s="97" t="s">
        <v>407</v>
      </c>
      <c r="I611" s="97" t="s">
        <v>374</v>
      </c>
      <c r="J611" s="98">
        <v>0</v>
      </c>
      <c r="K611" s="98">
        <v>183333329</v>
      </c>
      <c r="L611" s="97"/>
      <c r="M611" s="97"/>
      <c r="N611" s="97"/>
      <c r="O611" s="97"/>
      <c r="P611" s="97"/>
      <c r="Q611" s="97" t="s">
        <v>488</v>
      </c>
      <c r="R611" s="97"/>
      <c r="S611" s="97"/>
      <c r="T611" s="851">
        <f t="shared" si="9"/>
        <v>-183333329</v>
      </c>
    </row>
    <row r="612" spans="1:20">
      <c r="A612" s="96">
        <v>45596</v>
      </c>
      <c r="B612" s="96">
        <v>45596</v>
      </c>
      <c r="C612" s="97" t="s">
        <v>514</v>
      </c>
      <c r="D612" s="96"/>
      <c r="E612" s="97"/>
      <c r="F612" s="97" t="s">
        <v>476</v>
      </c>
      <c r="G612" s="97" t="s">
        <v>446</v>
      </c>
      <c r="H612" s="97" t="s">
        <v>413</v>
      </c>
      <c r="I612" s="97" t="s">
        <v>374</v>
      </c>
      <c r="J612" s="98">
        <v>17393556</v>
      </c>
      <c r="K612" s="98">
        <v>0</v>
      </c>
      <c r="L612" s="97"/>
      <c r="M612" s="97"/>
      <c r="N612" s="97"/>
      <c r="O612" s="97"/>
      <c r="P612" s="97"/>
      <c r="Q612" s="97" t="s">
        <v>488</v>
      </c>
      <c r="R612" s="97"/>
      <c r="S612" s="97"/>
      <c r="T612" s="851">
        <f t="shared" si="9"/>
        <v>17393556</v>
      </c>
    </row>
    <row r="613" spans="1:20">
      <c r="A613" s="96">
        <v>45596</v>
      </c>
      <c r="B613" s="96">
        <v>45596</v>
      </c>
      <c r="C613" s="97" t="s">
        <v>514</v>
      </c>
      <c r="D613" s="96"/>
      <c r="E613" s="97"/>
      <c r="F613" s="97" t="s">
        <v>476</v>
      </c>
      <c r="G613" s="97" t="s">
        <v>446</v>
      </c>
      <c r="H613" s="97" t="s">
        <v>415</v>
      </c>
      <c r="I613" s="97" t="s">
        <v>374</v>
      </c>
      <c r="J613" s="98">
        <v>1772727</v>
      </c>
      <c r="K613" s="98">
        <v>0</v>
      </c>
      <c r="L613" s="97"/>
      <c r="M613" s="97"/>
      <c r="N613" s="97"/>
      <c r="O613" s="97"/>
      <c r="P613" s="97"/>
      <c r="Q613" s="97" t="s">
        <v>488</v>
      </c>
      <c r="R613" s="97"/>
      <c r="S613" s="97"/>
      <c r="T613" s="851">
        <f t="shared" si="9"/>
        <v>1772727</v>
      </c>
    </row>
    <row r="614" spans="1:20">
      <c r="A614" s="96">
        <v>45596</v>
      </c>
      <c r="B614" s="96">
        <v>45596</v>
      </c>
      <c r="C614" s="97" t="s">
        <v>514</v>
      </c>
      <c r="D614" s="96"/>
      <c r="E614" s="97"/>
      <c r="F614" s="97" t="s">
        <v>476</v>
      </c>
      <c r="G614" s="97" t="s">
        <v>446</v>
      </c>
      <c r="H614" s="97" t="s">
        <v>419</v>
      </c>
      <c r="I614" s="97" t="s">
        <v>374</v>
      </c>
      <c r="J614" s="98">
        <v>1950000</v>
      </c>
      <c r="K614" s="98">
        <v>0</v>
      </c>
      <c r="L614" s="97"/>
      <c r="M614" s="97"/>
      <c r="N614" s="97"/>
      <c r="O614" s="97"/>
      <c r="P614" s="97"/>
      <c r="Q614" s="97" t="s">
        <v>488</v>
      </c>
      <c r="R614" s="97"/>
      <c r="S614" s="97"/>
      <c r="T614" s="851">
        <f t="shared" si="9"/>
        <v>1950000</v>
      </c>
    </row>
    <row r="615" spans="1:20">
      <c r="A615" s="96">
        <v>45596</v>
      </c>
      <c r="B615" s="96">
        <v>45596</v>
      </c>
      <c r="C615" s="97" t="s">
        <v>514</v>
      </c>
      <c r="D615" s="96"/>
      <c r="E615" s="97"/>
      <c r="F615" s="97" t="s">
        <v>476</v>
      </c>
      <c r="G615" s="97" t="s">
        <v>446</v>
      </c>
      <c r="H615" s="97" t="s">
        <v>421</v>
      </c>
      <c r="I615" s="97" t="s">
        <v>374</v>
      </c>
      <c r="J615" s="98">
        <v>27648646</v>
      </c>
      <c r="K615" s="98">
        <v>0</v>
      </c>
      <c r="L615" s="97"/>
      <c r="M615" s="97"/>
      <c r="N615" s="97"/>
      <c r="O615" s="97"/>
      <c r="P615" s="97"/>
      <c r="Q615" s="97" t="s">
        <v>488</v>
      </c>
      <c r="R615" s="97"/>
      <c r="S615" s="97"/>
      <c r="T615" s="851">
        <f t="shared" si="9"/>
        <v>27648646</v>
      </c>
    </row>
    <row r="616" spans="1:20">
      <c r="A616" s="96">
        <v>45596</v>
      </c>
      <c r="B616" s="96">
        <v>45596</v>
      </c>
      <c r="C616" s="97" t="s">
        <v>514</v>
      </c>
      <c r="D616" s="96"/>
      <c r="E616" s="97"/>
      <c r="F616" s="97" t="s">
        <v>476</v>
      </c>
      <c r="G616" s="97" t="s">
        <v>446</v>
      </c>
      <c r="H616" s="97" t="s">
        <v>424</v>
      </c>
      <c r="I616" s="97" t="s">
        <v>374</v>
      </c>
      <c r="J616" s="98">
        <v>17452500</v>
      </c>
      <c r="K616" s="98">
        <v>0</v>
      </c>
      <c r="L616" s="97"/>
      <c r="M616" s="97"/>
      <c r="N616" s="97"/>
      <c r="O616" s="97"/>
      <c r="P616" s="97"/>
      <c r="Q616" s="97" t="s">
        <v>488</v>
      </c>
      <c r="R616" s="97"/>
      <c r="S616" s="97"/>
      <c r="T616" s="851">
        <f t="shared" si="9"/>
        <v>17452500</v>
      </c>
    </row>
    <row r="617" spans="1:20">
      <c r="A617" s="96">
        <v>45596</v>
      </c>
      <c r="B617" s="96">
        <v>45596</v>
      </c>
      <c r="C617" s="97" t="s">
        <v>514</v>
      </c>
      <c r="D617" s="96"/>
      <c r="E617" s="97"/>
      <c r="F617" s="97" t="s">
        <v>476</v>
      </c>
      <c r="G617" s="97" t="s">
        <v>446</v>
      </c>
      <c r="H617" s="97" t="s">
        <v>425</v>
      </c>
      <c r="I617" s="97" t="s">
        <v>374</v>
      </c>
      <c r="J617" s="98">
        <v>3710631</v>
      </c>
      <c r="K617" s="98">
        <v>0</v>
      </c>
      <c r="L617" s="97"/>
      <c r="M617" s="97"/>
      <c r="N617" s="97"/>
      <c r="O617" s="97"/>
      <c r="P617" s="97"/>
      <c r="Q617" s="97" t="s">
        <v>488</v>
      </c>
      <c r="R617" s="97"/>
      <c r="S617" s="97"/>
      <c r="T617" s="851">
        <f t="shared" si="9"/>
        <v>3710631</v>
      </c>
    </row>
    <row r="618" spans="1:20">
      <c r="A618" s="96">
        <v>45596</v>
      </c>
      <c r="B618" s="96">
        <v>45596</v>
      </c>
      <c r="C618" s="97" t="s">
        <v>514</v>
      </c>
      <c r="D618" s="96"/>
      <c r="E618" s="97"/>
      <c r="F618" s="97" t="s">
        <v>476</v>
      </c>
      <c r="G618" s="97" t="s">
        <v>446</v>
      </c>
      <c r="H618" s="97" t="s">
        <v>427</v>
      </c>
      <c r="I618" s="97" t="s">
        <v>374</v>
      </c>
      <c r="J618" s="98">
        <v>5444052</v>
      </c>
      <c r="K618" s="98">
        <v>0</v>
      </c>
      <c r="L618" s="97"/>
      <c r="M618" s="97"/>
      <c r="N618" s="97"/>
      <c r="O618" s="97"/>
      <c r="P618" s="97"/>
      <c r="Q618" s="97" t="s">
        <v>488</v>
      </c>
      <c r="R618" s="97"/>
      <c r="S618" s="97"/>
      <c r="T618" s="851">
        <f t="shared" si="9"/>
        <v>5444052</v>
      </c>
    </row>
    <row r="619" spans="1:20">
      <c r="A619" s="96">
        <v>45596</v>
      </c>
      <c r="B619" s="96">
        <v>45596</v>
      </c>
      <c r="C619" s="97" t="s">
        <v>514</v>
      </c>
      <c r="D619" s="96"/>
      <c r="E619" s="97"/>
      <c r="F619" s="97" t="s">
        <v>476</v>
      </c>
      <c r="G619" s="97" t="s">
        <v>446</v>
      </c>
      <c r="H619" s="97" t="s">
        <v>431</v>
      </c>
      <c r="I619" s="97" t="s">
        <v>374</v>
      </c>
      <c r="J619" s="98">
        <v>643084</v>
      </c>
      <c r="K619" s="98">
        <v>0</v>
      </c>
      <c r="L619" s="97"/>
      <c r="M619" s="97"/>
      <c r="N619" s="97"/>
      <c r="O619" s="97"/>
      <c r="P619" s="97"/>
      <c r="Q619" s="97" t="s">
        <v>488</v>
      </c>
      <c r="R619" s="97"/>
      <c r="S619" s="97"/>
      <c r="T619" s="851">
        <f t="shared" si="9"/>
        <v>643084</v>
      </c>
    </row>
    <row r="620" spans="1:20">
      <c r="A620" s="96">
        <v>45596</v>
      </c>
      <c r="B620" s="96">
        <v>45596</v>
      </c>
      <c r="C620" s="97" t="s">
        <v>514</v>
      </c>
      <c r="D620" s="96"/>
      <c r="E620" s="97"/>
      <c r="F620" s="97" t="s">
        <v>476</v>
      </c>
      <c r="G620" s="97" t="s">
        <v>446</v>
      </c>
      <c r="H620" s="97" t="s">
        <v>435</v>
      </c>
      <c r="I620" s="97" t="s">
        <v>374</v>
      </c>
      <c r="J620" s="98">
        <v>40524466</v>
      </c>
      <c r="K620" s="98">
        <v>0</v>
      </c>
      <c r="L620" s="97"/>
      <c r="M620" s="97"/>
      <c r="N620" s="97"/>
      <c r="O620" s="97"/>
      <c r="P620" s="97"/>
      <c r="Q620" s="97" t="s">
        <v>488</v>
      </c>
      <c r="R620" s="97"/>
      <c r="S620" s="97"/>
      <c r="T620" s="851">
        <f t="shared" si="9"/>
        <v>40524466</v>
      </c>
    </row>
    <row r="621" spans="1:20">
      <c r="A621" s="96">
        <v>45596</v>
      </c>
      <c r="B621" s="96">
        <v>45596</v>
      </c>
      <c r="C621" s="97" t="s">
        <v>514</v>
      </c>
      <c r="D621" s="96"/>
      <c r="E621" s="97"/>
      <c r="F621" s="97" t="s">
        <v>476</v>
      </c>
      <c r="G621" s="97" t="s">
        <v>446</v>
      </c>
      <c r="H621" s="97" t="s">
        <v>437</v>
      </c>
      <c r="I621" s="97" t="s">
        <v>374</v>
      </c>
      <c r="J621" s="98">
        <v>42810305</v>
      </c>
      <c r="K621" s="98">
        <v>0</v>
      </c>
      <c r="L621" s="97"/>
      <c r="M621" s="97"/>
      <c r="N621" s="97"/>
      <c r="O621" s="97"/>
      <c r="P621" s="97"/>
      <c r="Q621" s="97" t="s">
        <v>488</v>
      </c>
      <c r="R621" s="97"/>
      <c r="S621" s="97"/>
      <c r="T621" s="851">
        <f t="shared" si="9"/>
        <v>42810305</v>
      </c>
    </row>
    <row r="622" spans="1:20">
      <c r="A622" s="96">
        <v>45596</v>
      </c>
      <c r="B622" s="96">
        <v>45596</v>
      </c>
      <c r="C622" s="97" t="s">
        <v>514</v>
      </c>
      <c r="D622" s="96"/>
      <c r="E622" s="97"/>
      <c r="F622" s="97" t="s">
        <v>476</v>
      </c>
      <c r="G622" s="97" t="s">
        <v>446</v>
      </c>
      <c r="H622" s="97" t="s">
        <v>378</v>
      </c>
      <c r="I622" s="97" t="s">
        <v>374</v>
      </c>
      <c r="J622" s="98">
        <v>251072053</v>
      </c>
      <c r="K622" s="98">
        <v>0</v>
      </c>
      <c r="L622" s="97"/>
      <c r="M622" s="97"/>
      <c r="N622" s="97"/>
      <c r="O622" s="97"/>
      <c r="P622" s="97"/>
      <c r="Q622" s="97" t="s">
        <v>488</v>
      </c>
      <c r="R622" s="97"/>
      <c r="S622" s="97"/>
      <c r="T622" s="851">
        <f t="shared" si="9"/>
        <v>251072053</v>
      </c>
    </row>
    <row r="623" spans="1:20">
      <c r="A623" s="96">
        <v>45596</v>
      </c>
      <c r="B623" s="96">
        <v>45596</v>
      </c>
      <c r="C623" s="97" t="s">
        <v>514</v>
      </c>
      <c r="D623" s="96"/>
      <c r="E623" s="97"/>
      <c r="F623" s="97" t="s">
        <v>476</v>
      </c>
      <c r="G623" s="97" t="s">
        <v>446</v>
      </c>
      <c r="H623" s="97" t="s">
        <v>379</v>
      </c>
      <c r="I623" s="97" t="s">
        <v>374</v>
      </c>
      <c r="J623" s="98">
        <v>14182000</v>
      </c>
      <c r="K623" s="98">
        <v>0</v>
      </c>
      <c r="L623" s="97"/>
      <c r="M623" s="97"/>
      <c r="N623" s="97"/>
      <c r="O623" s="97"/>
      <c r="P623" s="97"/>
      <c r="Q623" s="97" t="s">
        <v>488</v>
      </c>
      <c r="R623" s="97"/>
      <c r="S623" s="97"/>
      <c r="T623" s="851">
        <f t="shared" si="9"/>
        <v>14182000</v>
      </c>
    </row>
    <row r="624" spans="1:20">
      <c r="A624" s="96">
        <v>45596</v>
      </c>
      <c r="B624" s="96">
        <v>45596</v>
      </c>
      <c r="C624" s="97" t="s">
        <v>514</v>
      </c>
      <c r="D624" s="96"/>
      <c r="E624" s="97"/>
      <c r="F624" s="97" t="s">
        <v>476</v>
      </c>
      <c r="G624" s="97" t="s">
        <v>446</v>
      </c>
      <c r="H624" s="97" t="s">
        <v>380</v>
      </c>
      <c r="I624" s="97" t="s">
        <v>374</v>
      </c>
      <c r="J624" s="98">
        <v>1656667</v>
      </c>
      <c r="K624" s="98">
        <v>0</v>
      </c>
      <c r="L624" s="97"/>
      <c r="M624" s="97"/>
      <c r="N624" s="97"/>
      <c r="O624" s="97"/>
      <c r="P624" s="97"/>
      <c r="Q624" s="97" t="s">
        <v>488</v>
      </c>
      <c r="R624" s="97"/>
      <c r="S624" s="97"/>
      <c r="T624" s="851">
        <f t="shared" si="9"/>
        <v>1656667</v>
      </c>
    </row>
    <row r="625" spans="1:20">
      <c r="A625" s="96">
        <v>45596</v>
      </c>
      <c r="B625" s="96">
        <v>45596</v>
      </c>
      <c r="C625" s="97" t="s">
        <v>514</v>
      </c>
      <c r="D625" s="96"/>
      <c r="E625" s="97"/>
      <c r="F625" s="97" t="s">
        <v>476</v>
      </c>
      <c r="G625" s="97" t="s">
        <v>446</v>
      </c>
      <c r="H625" s="97" t="s">
        <v>381</v>
      </c>
      <c r="I625" s="97" t="s">
        <v>374</v>
      </c>
      <c r="J625" s="98">
        <v>9515515</v>
      </c>
      <c r="K625" s="98">
        <v>0</v>
      </c>
      <c r="L625" s="97"/>
      <c r="M625" s="97"/>
      <c r="N625" s="97"/>
      <c r="O625" s="97"/>
      <c r="P625" s="97"/>
      <c r="Q625" s="97" t="s">
        <v>488</v>
      </c>
      <c r="R625" s="97"/>
      <c r="S625" s="97"/>
      <c r="T625" s="851">
        <f t="shared" si="9"/>
        <v>9515515</v>
      </c>
    </row>
    <row r="626" spans="1:20">
      <c r="A626" s="96">
        <v>45596</v>
      </c>
      <c r="B626" s="96">
        <v>45596</v>
      </c>
      <c r="C626" s="97" t="s">
        <v>514</v>
      </c>
      <c r="D626" s="96"/>
      <c r="E626" s="97"/>
      <c r="F626" s="97" t="s">
        <v>476</v>
      </c>
      <c r="G626" s="97" t="s">
        <v>446</v>
      </c>
      <c r="H626" s="97" t="s">
        <v>383</v>
      </c>
      <c r="I626" s="97" t="s">
        <v>374</v>
      </c>
      <c r="J626" s="98">
        <v>39122882</v>
      </c>
      <c r="K626" s="98">
        <v>0</v>
      </c>
      <c r="L626" s="97"/>
      <c r="M626" s="97"/>
      <c r="N626" s="97"/>
      <c r="O626" s="97"/>
      <c r="P626" s="97"/>
      <c r="Q626" s="97" t="s">
        <v>488</v>
      </c>
      <c r="R626" s="97"/>
      <c r="S626" s="97"/>
      <c r="T626" s="851">
        <f t="shared" si="9"/>
        <v>39122882</v>
      </c>
    </row>
    <row r="627" spans="1:20">
      <c r="A627" s="96">
        <v>45596</v>
      </c>
      <c r="B627" s="96">
        <v>45596</v>
      </c>
      <c r="C627" s="97" t="s">
        <v>514</v>
      </c>
      <c r="D627" s="96"/>
      <c r="E627" s="97"/>
      <c r="F627" s="97" t="s">
        <v>476</v>
      </c>
      <c r="G627" s="97" t="s">
        <v>446</v>
      </c>
      <c r="H627" s="97" t="s">
        <v>387</v>
      </c>
      <c r="I627" s="97" t="s">
        <v>374</v>
      </c>
      <c r="J627" s="98">
        <v>66071939</v>
      </c>
      <c r="K627" s="98">
        <v>0</v>
      </c>
      <c r="L627" s="97"/>
      <c r="M627" s="97"/>
      <c r="N627" s="97"/>
      <c r="O627" s="97"/>
      <c r="P627" s="97"/>
      <c r="Q627" s="97" t="s">
        <v>488</v>
      </c>
      <c r="R627" s="97"/>
      <c r="S627" s="97"/>
      <c r="T627" s="851">
        <f t="shared" si="9"/>
        <v>66071939</v>
      </c>
    </row>
    <row r="628" spans="1:20">
      <c r="A628" s="96">
        <v>45596</v>
      </c>
      <c r="B628" s="96">
        <v>45596</v>
      </c>
      <c r="C628" s="97" t="s">
        <v>514</v>
      </c>
      <c r="D628" s="96"/>
      <c r="E628" s="97"/>
      <c r="F628" s="97" t="s">
        <v>476</v>
      </c>
      <c r="G628" s="97" t="s">
        <v>446</v>
      </c>
      <c r="H628" s="97" t="s">
        <v>389</v>
      </c>
      <c r="I628" s="97" t="s">
        <v>374</v>
      </c>
      <c r="J628" s="98">
        <v>4542874</v>
      </c>
      <c r="K628" s="98">
        <v>0</v>
      </c>
      <c r="L628" s="97"/>
      <c r="M628" s="97"/>
      <c r="N628" s="97"/>
      <c r="O628" s="97"/>
      <c r="P628" s="97"/>
      <c r="Q628" s="97" t="s">
        <v>488</v>
      </c>
      <c r="R628" s="97"/>
      <c r="S628" s="97"/>
      <c r="T628" s="851">
        <f t="shared" si="9"/>
        <v>4542874</v>
      </c>
    </row>
    <row r="629" spans="1:20">
      <c r="A629" s="96">
        <v>45596</v>
      </c>
      <c r="B629" s="96">
        <v>45596</v>
      </c>
      <c r="C629" s="97" t="s">
        <v>514</v>
      </c>
      <c r="D629" s="96"/>
      <c r="E629" s="97"/>
      <c r="F629" s="97" t="s">
        <v>476</v>
      </c>
      <c r="G629" s="97" t="s">
        <v>446</v>
      </c>
      <c r="H629" s="97" t="s">
        <v>391</v>
      </c>
      <c r="I629" s="97" t="s">
        <v>374</v>
      </c>
      <c r="J629" s="98">
        <v>1421159</v>
      </c>
      <c r="K629" s="98">
        <v>0</v>
      </c>
      <c r="L629" s="97"/>
      <c r="M629" s="97"/>
      <c r="N629" s="97"/>
      <c r="O629" s="97"/>
      <c r="P629" s="97"/>
      <c r="Q629" s="97" t="s">
        <v>488</v>
      </c>
      <c r="R629" s="97"/>
      <c r="S629" s="97"/>
      <c r="T629" s="851">
        <f t="shared" si="9"/>
        <v>1421159</v>
      </c>
    </row>
    <row r="630" spans="1:20">
      <c r="A630" s="96">
        <v>45596</v>
      </c>
      <c r="B630" s="96">
        <v>45596</v>
      </c>
      <c r="C630" s="97" t="s">
        <v>514</v>
      </c>
      <c r="D630" s="96"/>
      <c r="E630" s="97"/>
      <c r="F630" s="97" t="s">
        <v>476</v>
      </c>
      <c r="G630" s="97" t="s">
        <v>446</v>
      </c>
      <c r="H630" s="97" t="s">
        <v>393</v>
      </c>
      <c r="I630" s="97" t="s">
        <v>374</v>
      </c>
      <c r="J630" s="98">
        <v>8388516</v>
      </c>
      <c r="K630" s="98">
        <v>0</v>
      </c>
      <c r="L630" s="97"/>
      <c r="M630" s="97"/>
      <c r="N630" s="97"/>
      <c r="O630" s="97"/>
      <c r="P630" s="97"/>
      <c r="Q630" s="97" t="s">
        <v>488</v>
      </c>
      <c r="R630" s="97"/>
      <c r="S630" s="97"/>
      <c r="T630" s="851">
        <f t="shared" si="9"/>
        <v>8388516</v>
      </c>
    </row>
    <row r="631" spans="1:20">
      <c r="A631" s="96">
        <v>45596</v>
      </c>
      <c r="B631" s="96">
        <v>45596</v>
      </c>
      <c r="C631" s="97" t="s">
        <v>514</v>
      </c>
      <c r="D631" s="96"/>
      <c r="E631" s="97"/>
      <c r="F631" s="97" t="s">
        <v>476</v>
      </c>
      <c r="G631" s="97" t="s">
        <v>446</v>
      </c>
      <c r="H631" s="97" t="s">
        <v>395</v>
      </c>
      <c r="I631" s="97" t="s">
        <v>374</v>
      </c>
      <c r="J631" s="98">
        <v>4072000</v>
      </c>
      <c r="K631" s="98">
        <v>0</v>
      </c>
      <c r="L631" s="97"/>
      <c r="M631" s="97"/>
      <c r="N631" s="97"/>
      <c r="O631" s="97"/>
      <c r="P631" s="97"/>
      <c r="Q631" s="97" t="s">
        <v>488</v>
      </c>
      <c r="R631" s="97"/>
      <c r="S631" s="97"/>
      <c r="T631" s="851">
        <f t="shared" si="9"/>
        <v>4072000</v>
      </c>
    </row>
    <row r="632" spans="1:20">
      <c r="A632" s="96">
        <v>45596</v>
      </c>
      <c r="B632" s="96">
        <v>45596</v>
      </c>
      <c r="C632" s="97" t="s">
        <v>514</v>
      </c>
      <c r="D632" s="96"/>
      <c r="E632" s="97"/>
      <c r="F632" s="97" t="s">
        <v>476</v>
      </c>
      <c r="G632" s="97" t="s">
        <v>446</v>
      </c>
      <c r="H632" s="97" t="s">
        <v>397</v>
      </c>
      <c r="I632" s="97" t="s">
        <v>374</v>
      </c>
      <c r="J632" s="98">
        <v>29565042</v>
      </c>
      <c r="K632" s="98">
        <v>0</v>
      </c>
      <c r="L632" s="97"/>
      <c r="M632" s="97"/>
      <c r="N632" s="97"/>
      <c r="O632" s="97"/>
      <c r="P632" s="97"/>
      <c r="Q632" s="97" t="s">
        <v>488</v>
      </c>
      <c r="R632" s="97"/>
      <c r="S632" s="97"/>
      <c r="T632" s="851">
        <f t="shared" si="9"/>
        <v>29565042</v>
      </c>
    </row>
    <row r="633" spans="1:20">
      <c r="A633" s="96">
        <v>45596</v>
      </c>
      <c r="B633" s="96">
        <v>45596</v>
      </c>
      <c r="C633" s="97" t="s">
        <v>514</v>
      </c>
      <c r="D633" s="96"/>
      <c r="E633" s="97"/>
      <c r="F633" s="97" t="s">
        <v>476</v>
      </c>
      <c r="G633" s="97" t="s">
        <v>446</v>
      </c>
      <c r="H633" s="97" t="s">
        <v>398</v>
      </c>
      <c r="I633" s="97" t="s">
        <v>374</v>
      </c>
      <c r="J633" s="98">
        <v>2513698</v>
      </c>
      <c r="K633" s="98">
        <v>0</v>
      </c>
      <c r="L633" s="97"/>
      <c r="M633" s="97"/>
      <c r="N633" s="97"/>
      <c r="O633" s="97"/>
      <c r="P633" s="97"/>
      <c r="Q633" s="97" t="s">
        <v>488</v>
      </c>
      <c r="R633" s="97"/>
      <c r="S633" s="97"/>
      <c r="T633" s="851">
        <f t="shared" si="9"/>
        <v>2513698</v>
      </c>
    </row>
    <row r="634" spans="1:20">
      <c r="A634" s="96">
        <v>45596</v>
      </c>
      <c r="B634" s="96">
        <v>45596</v>
      </c>
      <c r="C634" s="97" t="s">
        <v>514</v>
      </c>
      <c r="D634" s="96"/>
      <c r="E634" s="97"/>
      <c r="F634" s="97" t="s">
        <v>476</v>
      </c>
      <c r="G634" s="97" t="s">
        <v>446</v>
      </c>
      <c r="H634" s="97" t="s">
        <v>405</v>
      </c>
      <c r="I634" s="97" t="s">
        <v>374</v>
      </c>
      <c r="J634" s="98">
        <v>12000000</v>
      </c>
      <c r="K634" s="98">
        <v>0</v>
      </c>
      <c r="L634" s="97"/>
      <c r="M634" s="97"/>
      <c r="N634" s="97"/>
      <c r="O634" s="97"/>
      <c r="P634" s="97"/>
      <c r="Q634" s="97" t="s">
        <v>488</v>
      </c>
      <c r="R634" s="97"/>
      <c r="S634" s="97"/>
      <c r="T634" s="851">
        <f t="shared" si="9"/>
        <v>12000000</v>
      </c>
    </row>
    <row r="635" spans="1:20">
      <c r="A635" s="96">
        <v>45596</v>
      </c>
      <c r="B635" s="96">
        <v>45596</v>
      </c>
      <c r="C635" s="97" t="s">
        <v>514</v>
      </c>
      <c r="D635" s="96"/>
      <c r="E635" s="97"/>
      <c r="F635" s="97" t="s">
        <v>477</v>
      </c>
      <c r="G635" s="97" t="s">
        <v>446</v>
      </c>
      <c r="H635" s="97" t="s">
        <v>442</v>
      </c>
      <c r="I635" s="97" t="s">
        <v>442</v>
      </c>
      <c r="J635" s="98">
        <v>0</v>
      </c>
      <c r="K635" s="98">
        <v>10737306</v>
      </c>
      <c r="L635" s="97"/>
      <c r="M635" s="97"/>
      <c r="N635" s="97"/>
      <c r="O635" s="97"/>
      <c r="P635" s="97"/>
      <c r="Q635" s="97" t="s">
        <v>488</v>
      </c>
      <c r="R635" s="97"/>
      <c r="S635" s="97"/>
      <c r="T635" s="851">
        <f t="shared" si="9"/>
        <v>-10737306</v>
      </c>
    </row>
    <row r="636" spans="1:20">
      <c r="A636" s="96">
        <v>45596</v>
      </c>
      <c r="B636" s="96">
        <v>45596</v>
      </c>
      <c r="C636" s="97" t="s">
        <v>514</v>
      </c>
      <c r="D636" s="96"/>
      <c r="E636" s="97"/>
      <c r="F636" s="97" t="s">
        <v>478</v>
      </c>
      <c r="G636" s="97" t="s">
        <v>446</v>
      </c>
      <c r="H636" s="97" t="s">
        <v>444</v>
      </c>
      <c r="I636" s="97" t="s">
        <v>444</v>
      </c>
      <c r="J636" s="98">
        <v>1</v>
      </c>
      <c r="K636" s="98">
        <v>0</v>
      </c>
      <c r="L636" s="97"/>
      <c r="M636" s="97"/>
      <c r="N636" s="97"/>
      <c r="O636" s="97"/>
      <c r="P636" s="97"/>
      <c r="Q636" s="97" t="s">
        <v>488</v>
      </c>
      <c r="R636" s="97"/>
      <c r="S636" s="97"/>
      <c r="T636" s="851">
        <f t="shared" si="9"/>
        <v>1</v>
      </c>
    </row>
    <row r="637" spans="1:20">
      <c r="A637" s="96">
        <v>45596</v>
      </c>
      <c r="B637" s="96">
        <v>45596</v>
      </c>
      <c r="C637" s="97" t="s">
        <v>514</v>
      </c>
      <c r="D637" s="96"/>
      <c r="E637" s="97"/>
      <c r="F637" s="97" t="s">
        <v>479</v>
      </c>
      <c r="G637" s="97" t="s">
        <v>446</v>
      </c>
      <c r="H637" s="97" t="s">
        <v>217</v>
      </c>
      <c r="I637" s="97" t="s">
        <v>213</v>
      </c>
      <c r="J637" s="98">
        <v>2626203376</v>
      </c>
      <c r="K637" s="98">
        <v>0</v>
      </c>
      <c r="L637" s="97"/>
      <c r="M637" s="97"/>
      <c r="N637" s="97"/>
      <c r="O637" s="97"/>
      <c r="P637" s="97"/>
      <c r="Q637" s="97" t="s">
        <v>488</v>
      </c>
      <c r="R637" s="97"/>
      <c r="S637" s="97"/>
      <c r="T637" s="851">
        <f t="shared" si="9"/>
        <v>2626203376</v>
      </c>
    </row>
    <row r="638" spans="1:20">
      <c r="A638" s="96">
        <v>45626</v>
      </c>
      <c r="B638" s="96">
        <v>45626</v>
      </c>
      <c r="C638" s="97" t="s">
        <v>515</v>
      </c>
      <c r="D638" s="96"/>
      <c r="E638" s="97"/>
      <c r="F638" s="97" t="s">
        <v>468</v>
      </c>
      <c r="G638" s="97" t="s">
        <v>446</v>
      </c>
      <c r="H638" s="97" t="s">
        <v>223</v>
      </c>
      <c r="I638" s="97" t="s">
        <v>219</v>
      </c>
      <c r="J638" s="98">
        <v>0</v>
      </c>
      <c r="K638" s="98">
        <v>14</v>
      </c>
      <c r="L638" s="97"/>
      <c r="M638" s="97"/>
      <c r="N638" s="97"/>
      <c r="O638" s="97"/>
      <c r="P638" s="97"/>
      <c r="Q638" s="97" t="s">
        <v>488</v>
      </c>
      <c r="R638" s="97"/>
      <c r="S638" s="97"/>
      <c r="T638" s="851">
        <f t="shared" si="9"/>
        <v>-14</v>
      </c>
    </row>
    <row r="639" spans="1:20">
      <c r="A639" s="96">
        <v>45626</v>
      </c>
      <c r="B639" s="96">
        <v>45626</v>
      </c>
      <c r="C639" s="97" t="s">
        <v>515</v>
      </c>
      <c r="D639" s="96"/>
      <c r="E639" s="97"/>
      <c r="F639" s="97" t="s">
        <v>468</v>
      </c>
      <c r="G639" s="97" t="s">
        <v>446</v>
      </c>
      <c r="H639" s="97" t="s">
        <v>225</v>
      </c>
      <c r="I639" s="97" t="s">
        <v>219</v>
      </c>
      <c r="J639" s="98">
        <v>0</v>
      </c>
      <c r="K639" s="98">
        <v>1359000</v>
      </c>
      <c r="L639" s="97"/>
      <c r="M639" s="97"/>
      <c r="N639" s="97"/>
      <c r="O639" s="97"/>
      <c r="P639" s="97"/>
      <c r="Q639" s="97" t="s">
        <v>488</v>
      </c>
      <c r="R639" s="97"/>
      <c r="S639" s="97"/>
      <c r="T639" s="851">
        <f t="shared" si="9"/>
        <v>-1359000</v>
      </c>
    </row>
    <row r="640" spans="1:20">
      <c r="A640" s="96">
        <v>45626</v>
      </c>
      <c r="B640" s="96">
        <v>45626</v>
      </c>
      <c r="C640" s="97" t="s">
        <v>515</v>
      </c>
      <c r="D640" s="96"/>
      <c r="E640" s="97"/>
      <c r="F640" s="97" t="s">
        <v>468</v>
      </c>
      <c r="G640" s="97" t="s">
        <v>446</v>
      </c>
      <c r="H640" s="97" t="s">
        <v>227</v>
      </c>
      <c r="I640" s="97" t="s">
        <v>219</v>
      </c>
      <c r="J640" s="98">
        <v>0</v>
      </c>
      <c r="K640" s="98">
        <v>5490000</v>
      </c>
      <c r="L640" s="97"/>
      <c r="M640" s="97"/>
      <c r="N640" s="97"/>
      <c r="O640" s="97"/>
      <c r="P640" s="97"/>
      <c r="Q640" s="97" t="s">
        <v>488</v>
      </c>
      <c r="R640" s="97"/>
      <c r="S640" s="97"/>
      <c r="T640" s="851">
        <f t="shared" si="9"/>
        <v>-5490000</v>
      </c>
    </row>
    <row r="641" spans="1:20">
      <c r="A641" s="96">
        <v>45626</v>
      </c>
      <c r="B641" s="96">
        <v>45626</v>
      </c>
      <c r="C641" s="97" t="s">
        <v>515</v>
      </c>
      <c r="D641" s="96"/>
      <c r="E641" s="97"/>
      <c r="F641" s="97" t="s">
        <v>468</v>
      </c>
      <c r="G641" s="97" t="s">
        <v>446</v>
      </c>
      <c r="H641" s="97" t="s">
        <v>229</v>
      </c>
      <c r="I641" s="97" t="s">
        <v>219</v>
      </c>
      <c r="J641" s="98">
        <v>0</v>
      </c>
      <c r="K641" s="98">
        <v>52736688</v>
      </c>
      <c r="L641" s="97"/>
      <c r="M641" s="97"/>
      <c r="N641" s="97"/>
      <c r="O641" s="97"/>
      <c r="P641" s="97"/>
      <c r="Q641" s="97" t="s">
        <v>488</v>
      </c>
      <c r="R641" s="97"/>
      <c r="S641" s="97"/>
      <c r="T641" s="851">
        <f t="shared" si="9"/>
        <v>-52736688</v>
      </c>
    </row>
    <row r="642" spans="1:20">
      <c r="A642" s="96">
        <v>45626</v>
      </c>
      <c r="B642" s="96">
        <v>45626</v>
      </c>
      <c r="C642" s="97" t="s">
        <v>515</v>
      </c>
      <c r="D642" s="96"/>
      <c r="E642" s="97"/>
      <c r="F642" s="97" t="s">
        <v>468</v>
      </c>
      <c r="G642" s="97" t="s">
        <v>446</v>
      </c>
      <c r="H642" s="97" t="s">
        <v>231</v>
      </c>
      <c r="I642" s="97" t="s">
        <v>219</v>
      </c>
      <c r="J642" s="98">
        <v>0</v>
      </c>
      <c r="K642" s="98">
        <v>157922229</v>
      </c>
      <c r="L642" s="97"/>
      <c r="M642" s="97"/>
      <c r="N642" s="97"/>
      <c r="O642" s="97"/>
      <c r="P642" s="97"/>
      <c r="Q642" s="97" t="s">
        <v>488</v>
      </c>
      <c r="R642" s="97"/>
      <c r="S642" s="97"/>
      <c r="T642" s="851">
        <f t="shared" si="9"/>
        <v>-157922229</v>
      </c>
    </row>
    <row r="643" spans="1:20">
      <c r="A643" s="96">
        <v>45626</v>
      </c>
      <c r="B643" s="96">
        <v>45626</v>
      </c>
      <c r="C643" s="97" t="s">
        <v>515</v>
      </c>
      <c r="D643" s="96"/>
      <c r="E643" s="97"/>
      <c r="F643" s="97" t="s">
        <v>468</v>
      </c>
      <c r="G643" s="97" t="s">
        <v>446</v>
      </c>
      <c r="H643" s="97" t="s">
        <v>233</v>
      </c>
      <c r="I643" s="97" t="s">
        <v>219</v>
      </c>
      <c r="J643" s="98">
        <v>0</v>
      </c>
      <c r="K643" s="98">
        <v>820000</v>
      </c>
      <c r="L643" s="97"/>
      <c r="M643" s="97"/>
      <c r="N643" s="97"/>
      <c r="O643" s="97"/>
      <c r="P643" s="97"/>
      <c r="Q643" s="97" t="s">
        <v>488</v>
      </c>
      <c r="R643" s="97"/>
      <c r="S643" s="97"/>
      <c r="T643" s="851">
        <f t="shared" si="9"/>
        <v>-820000</v>
      </c>
    </row>
    <row r="644" spans="1:20">
      <c r="A644" s="96">
        <v>45626</v>
      </c>
      <c r="B644" s="96">
        <v>45626</v>
      </c>
      <c r="C644" s="97" t="s">
        <v>515</v>
      </c>
      <c r="D644" s="96"/>
      <c r="E644" s="97"/>
      <c r="F644" s="97" t="s">
        <v>468</v>
      </c>
      <c r="G644" s="97" t="s">
        <v>446</v>
      </c>
      <c r="H644" s="97" t="s">
        <v>235</v>
      </c>
      <c r="I644" s="97" t="s">
        <v>219</v>
      </c>
      <c r="J644" s="98">
        <v>0</v>
      </c>
      <c r="K644" s="98">
        <v>9145463</v>
      </c>
      <c r="L644" s="97"/>
      <c r="M644" s="97"/>
      <c r="N644" s="97"/>
      <c r="O644" s="97"/>
      <c r="P644" s="97"/>
      <c r="Q644" s="97" t="s">
        <v>488</v>
      </c>
      <c r="R644" s="97"/>
      <c r="S644" s="97"/>
      <c r="T644" s="851">
        <f t="shared" si="9"/>
        <v>-9145463</v>
      </c>
    </row>
    <row r="645" spans="1:20">
      <c r="A645" s="96">
        <v>45626</v>
      </c>
      <c r="B645" s="96">
        <v>45626</v>
      </c>
      <c r="C645" s="97" t="s">
        <v>515</v>
      </c>
      <c r="D645" s="96"/>
      <c r="E645" s="97"/>
      <c r="F645" s="97" t="s">
        <v>468</v>
      </c>
      <c r="G645" s="97" t="s">
        <v>446</v>
      </c>
      <c r="H645" s="97" t="s">
        <v>237</v>
      </c>
      <c r="I645" s="97" t="s">
        <v>219</v>
      </c>
      <c r="J645" s="98">
        <v>0</v>
      </c>
      <c r="K645" s="98">
        <v>335594</v>
      </c>
      <c r="L645" s="97"/>
      <c r="M645" s="97"/>
      <c r="N645" s="97"/>
      <c r="O645" s="97"/>
      <c r="P645" s="97"/>
      <c r="Q645" s="97" t="s">
        <v>488</v>
      </c>
      <c r="R645" s="97"/>
      <c r="S645" s="97"/>
      <c r="T645" s="851">
        <f t="shared" ref="T645:T708" si="10">J645-K645</f>
        <v>-335594</v>
      </c>
    </row>
    <row r="646" spans="1:20">
      <c r="A646" s="96">
        <v>45626</v>
      </c>
      <c r="B646" s="96">
        <v>45626</v>
      </c>
      <c r="C646" s="97" t="s">
        <v>515</v>
      </c>
      <c r="D646" s="96"/>
      <c r="E646" s="97"/>
      <c r="F646" s="97" t="s">
        <v>468</v>
      </c>
      <c r="G646" s="97" t="s">
        <v>446</v>
      </c>
      <c r="H646" s="97" t="s">
        <v>241</v>
      </c>
      <c r="I646" s="97" t="s">
        <v>219</v>
      </c>
      <c r="J646" s="98">
        <v>0</v>
      </c>
      <c r="K646" s="98">
        <v>612514</v>
      </c>
      <c r="L646" s="97"/>
      <c r="M646" s="97"/>
      <c r="N646" s="97"/>
      <c r="O646" s="97"/>
      <c r="P646" s="97"/>
      <c r="Q646" s="97" t="s">
        <v>488</v>
      </c>
      <c r="R646" s="97"/>
      <c r="S646" s="97"/>
      <c r="T646" s="851">
        <f t="shared" si="10"/>
        <v>-612514</v>
      </c>
    </row>
    <row r="647" spans="1:20">
      <c r="A647" s="96">
        <v>45626</v>
      </c>
      <c r="B647" s="96">
        <v>45626</v>
      </c>
      <c r="C647" s="97" t="s">
        <v>515</v>
      </c>
      <c r="D647" s="96"/>
      <c r="E647" s="97"/>
      <c r="F647" s="97" t="s">
        <v>468</v>
      </c>
      <c r="G647" s="97" t="s">
        <v>446</v>
      </c>
      <c r="H647" s="97" t="s">
        <v>243</v>
      </c>
      <c r="I647" s="97" t="s">
        <v>219</v>
      </c>
      <c r="J647" s="98">
        <v>0</v>
      </c>
      <c r="K647" s="98">
        <v>316000000</v>
      </c>
      <c r="L647" s="97"/>
      <c r="M647" s="97"/>
      <c r="N647" s="97"/>
      <c r="O647" s="97"/>
      <c r="P647" s="97"/>
      <c r="Q647" s="97" t="s">
        <v>488</v>
      </c>
      <c r="R647" s="97"/>
      <c r="S647" s="97"/>
      <c r="T647" s="851">
        <f t="shared" si="10"/>
        <v>-316000000</v>
      </c>
    </row>
    <row r="648" spans="1:20">
      <c r="A648" s="96">
        <v>45626</v>
      </c>
      <c r="B648" s="96">
        <v>45626</v>
      </c>
      <c r="C648" s="97" t="s">
        <v>515</v>
      </c>
      <c r="D648" s="96"/>
      <c r="E648" s="97"/>
      <c r="F648" s="97" t="s">
        <v>472</v>
      </c>
      <c r="G648" s="97" t="s">
        <v>446</v>
      </c>
      <c r="H648" s="97" t="s">
        <v>249</v>
      </c>
      <c r="I648" s="97" t="s">
        <v>247</v>
      </c>
      <c r="J648" s="98">
        <v>0</v>
      </c>
      <c r="K648" s="98">
        <v>4244644809</v>
      </c>
      <c r="L648" s="97"/>
      <c r="M648" s="97"/>
      <c r="N648" s="97"/>
      <c r="O648" s="97"/>
      <c r="P648" s="97"/>
      <c r="Q648" s="97" t="s">
        <v>488</v>
      </c>
      <c r="R648" s="97"/>
      <c r="S648" s="97"/>
      <c r="T648" s="851">
        <f t="shared" si="10"/>
        <v>-4244644809</v>
      </c>
    </row>
    <row r="649" spans="1:20">
      <c r="A649" s="96">
        <v>45626</v>
      </c>
      <c r="B649" s="96">
        <v>45626</v>
      </c>
      <c r="C649" s="97" t="s">
        <v>515</v>
      </c>
      <c r="D649" s="96"/>
      <c r="E649" s="97"/>
      <c r="F649" s="97" t="s">
        <v>472</v>
      </c>
      <c r="G649" s="97" t="s">
        <v>446</v>
      </c>
      <c r="H649" s="97" t="s">
        <v>251</v>
      </c>
      <c r="I649" s="97" t="s">
        <v>247</v>
      </c>
      <c r="J649" s="98">
        <v>0</v>
      </c>
      <c r="K649" s="98">
        <v>242054794</v>
      </c>
      <c r="L649" s="97"/>
      <c r="M649" s="97"/>
      <c r="N649" s="97"/>
      <c r="O649" s="97"/>
      <c r="P649" s="97"/>
      <c r="Q649" s="97" t="s">
        <v>488</v>
      </c>
      <c r="R649" s="97"/>
      <c r="S649" s="97"/>
      <c r="T649" s="851">
        <f t="shared" si="10"/>
        <v>-242054794</v>
      </c>
    </row>
    <row r="650" spans="1:20">
      <c r="A650" s="96">
        <v>45626</v>
      </c>
      <c r="B650" s="96">
        <v>45626</v>
      </c>
      <c r="C650" s="97" t="s">
        <v>515</v>
      </c>
      <c r="D650" s="96"/>
      <c r="E650" s="97"/>
      <c r="F650" s="97" t="s">
        <v>472</v>
      </c>
      <c r="G650" s="97" t="s">
        <v>446</v>
      </c>
      <c r="H650" s="97" t="s">
        <v>255</v>
      </c>
      <c r="I650" s="97" t="s">
        <v>247</v>
      </c>
      <c r="J650" s="98">
        <v>0</v>
      </c>
      <c r="K650" s="98">
        <v>648560645</v>
      </c>
      <c r="L650" s="97"/>
      <c r="M650" s="97"/>
      <c r="N650" s="97"/>
      <c r="O650" s="97"/>
      <c r="P650" s="97"/>
      <c r="Q650" s="97" t="s">
        <v>488</v>
      </c>
      <c r="R650" s="97"/>
      <c r="S650" s="97"/>
      <c r="T650" s="851">
        <f t="shared" si="10"/>
        <v>-648560645</v>
      </c>
    </row>
    <row r="651" spans="1:20">
      <c r="A651" s="96">
        <v>45626</v>
      </c>
      <c r="B651" s="96">
        <v>45626</v>
      </c>
      <c r="C651" s="97" t="s">
        <v>515</v>
      </c>
      <c r="D651" s="96"/>
      <c r="E651" s="97"/>
      <c r="F651" s="97" t="s">
        <v>472</v>
      </c>
      <c r="G651" s="97" t="s">
        <v>446</v>
      </c>
      <c r="H651" s="97" t="s">
        <v>259</v>
      </c>
      <c r="I651" s="97" t="s">
        <v>247</v>
      </c>
      <c r="J651" s="98">
        <v>0</v>
      </c>
      <c r="K651" s="98">
        <v>344683150</v>
      </c>
      <c r="L651" s="97"/>
      <c r="M651" s="97"/>
      <c r="N651" s="97"/>
      <c r="O651" s="97"/>
      <c r="P651" s="97"/>
      <c r="Q651" s="97" t="s">
        <v>488</v>
      </c>
      <c r="R651" s="97"/>
      <c r="S651" s="97"/>
      <c r="T651" s="851">
        <f t="shared" si="10"/>
        <v>-344683150</v>
      </c>
    </row>
    <row r="652" spans="1:20">
      <c r="A652" s="96">
        <v>45626</v>
      </c>
      <c r="B652" s="96">
        <v>45626</v>
      </c>
      <c r="C652" s="97" t="s">
        <v>515</v>
      </c>
      <c r="D652" s="96"/>
      <c r="E652" s="97"/>
      <c r="F652" s="97" t="s">
        <v>472</v>
      </c>
      <c r="G652" s="97" t="s">
        <v>446</v>
      </c>
      <c r="H652" s="97" t="s">
        <v>745</v>
      </c>
      <c r="I652" s="97" t="s">
        <v>247</v>
      </c>
      <c r="J652" s="98">
        <v>0</v>
      </c>
      <c r="K652" s="98">
        <v>1546786264</v>
      </c>
      <c r="L652" s="97"/>
      <c r="M652" s="97"/>
      <c r="N652" s="97"/>
      <c r="O652" s="97"/>
      <c r="P652" s="97"/>
      <c r="Q652" s="97" t="s">
        <v>488</v>
      </c>
      <c r="R652" s="97"/>
      <c r="S652" s="97"/>
      <c r="T652" s="851">
        <f t="shared" si="10"/>
        <v>-1546786264</v>
      </c>
    </row>
    <row r="653" spans="1:20">
      <c r="A653" s="96">
        <v>45626</v>
      </c>
      <c r="B653" s="96">
        <v>45626</v>
      </c>
      <c r="C653" s="97" t="s">
        <v>515</v>
      </c>
      <c r="D653" s="96"/>
      <c r="E653" s="97"/>
      <c r="F653" s="97" t="s">
        <v>472</v>
      </c>
      <c r="G653" s="97" t="s">
        <v>446</v>
      </c>
      <c r="H653" s="97" t="s">
        <v>754</v>
      </c>
      <c r="I653" s="97" t="s">
        <v>247</v>
      </c>
      <c r="J653" s="98">
        <v>0</v>
      </c>
      <c r="K653" s="98">
        <v>8970000</v>
      </c>
      <c r="L653" s="97"/>
      <c r="M653" s="97"/>
      <c r="N653" s="97"/>
      <c r="O653" s="97"/>
      <c r="P653" s="97"/>
      <c r="Q653" s="97" t="s">
        <v>488</v>
      </c>
      <c r="R653" s="97"/>
      <c r="S653" s="97"/>
      <c r="T653" s="851">
        <f t="shared" si="10"/>
        <v>-8970000</v>
      </c>
    </row>
    <row r="654" spans="1:20">
      <c r="A654" s="96">
        <v>45626</v>
      </c>
      <c r="B654" s="96">
        <v>45626</v>
      </c>
      <c r="C654" s="97" t="s">
        <v>515</v>
      </c>
      <c r="D654" s="96"/>
      <c r="E654" s="97"/>
      <c r="F654" s="97" t="s">
        <v>472</v>
      </c>
      <c r="G654" s="97" t="s">
        <v>446</v>
      </c>
      <c r="H654" s="97" t="s">
        <v>261</v>
      </c>
      <c r="I654" s="97" t="s">
        <v>247</v>
      </c>
      <c r="J654" s="98">
        <v>0</v>
      </c>
      <c r="K654" s="98">
        <v>10257534</v>
      </c>
      <c r="L654" s="97"/>
      <c r="M654" s="97"/>
      <c r="N654" s="97"/>
      <c r="O654" s="97"/>
      <c r="P654" s="97"/>
      <c r="Q654" s="97" t="s">
        <v>488</v>
      </c>
      <c r="R654" s="97"/>
      <c r="S654" s="97"/>
      <c r="T654" s="851">
        <f t="shared" si="10"/>
        <v>-10257534</v>
      </c>
    </row>
    <row r="655" spans="1:20">
      <c r="A655" s="96">
        <v>45626</v>
      </c>
      <c r="B655" s="96">
        <v>45626</v>
      </c>
      <c r="C655" s="97" t="s">
        <v>515</v>
      </c>
      <c r="D655" s="96"/>
      <c r="E655" s="97"/>
      <c r="F655" s="97" t="s">
        <v>472</v>
      </c>
      <c r="G655" s="97" t="s">
        <v>446</v>
      </c>
      <c r="H655" s="97" t="s">
        <v>263</v>
      </c>
      <c r="I655" s="97" t="s">
        <v>247</v>
      </c>
      <c r="J655" s="98">
        <v>0</v>
      </c>
      <c r="K655" s="98">
        <v>933</v>
      </c>
      <c r="L655" s="97"/>
      <c r="M655" s="97"/>
      <c r="N655" s="97"/>
      <c r="O655" s="97"/>
      <c r="P655" s="97"/>
      <c r="Q655" s="97" t="s">
        <v>488</v>
      </c>
      <c r="R655" s="97"/>
      <c r="S655" s="97"/>
      <c r="T655" s="851">
        <f t="shared" si="10"/>
        <v>-933</v>
      </c>
    </row>
    <row r="656" spans="1:20">
      <c r="A656" s="96">
        <v>45626</v>
      </c>
      <c r="B656" s="96">
        <v>45626</v>
      </c>
      <c r="C656" s="97" t="s">
        <v>515</v>
      </c>
      <c r="D656" s="96"/>
      <c r="E656" s="97"/>
      <c r="F656" s="97" t="s">
        <v>473</v>
      </c>
      <c r="G656" s="97" t="s">
        <v>446</v>
      </c>
      <c r="H656" s="97" t="s">
        <v>303</v>
      </c>
      <c r="I656" s="97" t="s">
        <v>303</v>
      </c>
      <c r="J656" s="98">
        <v>849553998</v>
      </c>
      <c r="K656" s="98">
        <v>0</v>
      </c>
      <c r="L656" s="97"/>
      <c r="M656" s="97"/>
      <c r="N656" s="97"/>
      <c r="O656" s="97"/>
      <c r="P656" s="97"/>
      <c r="Q656" s="97" t="s">
        <v>488</v>
      </c>
      <c r="R656" s="97"/>
      <c r="S656" s="97"/>
      <c r="T656" s="851">
        <f t="shared" si="10"/>
        <v>849553998</v>
      </c>
    </row>
    <row r="657" spans="1:20">
      <c r="A657" s="96">
        <v>45626</v>
      </c>
      <c r="B657" s="96">
        <v>45626</v>
      </c>
      <c r="C657" s="97" t="s">
        <v>515</v>
      </c>
      <c r="D657" s="96"/>
      <c r="E657" s="97"/>
      <c r="F657" s="97" t="s">
        <v>474</v>
      </c>
      <c r="G657" s="97" t="s">
        <v>446</v>
      </c>
      <c r="H657" s="97" t="s">
        <v>309</v>
      </c>
      <c r="I657" s="97" t="s">
        <v>305</v>
      </c>
      <c r="J657" s="98">
        <v>0</v>
      </c>
      <c r="K657" s="98">
        <v>756237583</v>
      </c>
      <c r="L657" s="97"/>
      <c r="M657" s="97"/>
      <c r="N657" s="97"/>
      <c r="O657" s="97"/>
      <c r="P657" s="97"/>
      <c r="Q657" s="97" t="s">
        <v>488</v>
      </c>
      <c r="R657" s="97"/>
      <c r="S657" s="97"/>
      <c r="T657" s="851">
        <f t="shared" si="10"/>
        <v>-756237583</v>
      </c>
    </row>
    <row r="658" spans="1:20">
      <c r="A658" s="96">
        <v>45626</v>
      </c>
      <c r="B658" s="96">
        <v>45626</v>
      </c>
      <c r="C658" s="97" t="s">
        <v>515</v>
      </c>
      <c r="D658" s="96"/>
      <c r="E658" s="97"/>
      <c r="F658" s="97" t="s">
        <v>474</v>
      </c>
      <c r="G658" s="97" t="s">
        <v>446</v>
      </c>
      <c r="H658" s="97" t="s">
        <v>329</v>
      </c>
      <c r="I658" s="97" t="s">
        <v>305</v>
      </c>
      <c r="J658" s="98">
        <v>0</v>
      </c>
      <c r="K658" s="98">
        <v>120798818</v>
      </c>
      <c r="L658" s="97"/>
      <c r="M658" s="97"/>
      <c r="N658" s="97"/>
      <c r="O658" s="97"/>
      <c r="P658" s="97"/>
      <c r="Q658" s="97" t="s">
        <v>488</v>
      </c>
      <c r="R658" s="97"/>
      <c r="S658" s="97"/>
      <c r="T658" s="851">
        <f t="shared" si="10"/>
        <v>-120798818</v>
      </c>
    </row>
    <row r="659" spans="1:20">
      <c r="A659" s="96">
        <v>45626</v>
      </c>
      <c r="B659" s="96">
        <v>45626</v>
      </c>
      <c r="C659" s="97" t="s">
        <v>515</v>
      </c>
      <c r="D659" s="96"/>
      <c r="E659" s="97"/>
      <c r="F659" s="97" t="s">
        <v>474</v>
      </c>
      <c r="G659" s="97" t="s">
        <v>446</v>
      </c>
      <c r="H659" s="97" t="s">
        <v>331</v>
      </c>
      <c r="I659" s="97" t="s">
        <v>305</v>
      </c>
      <c r="J659" s="98">
        <v>833786</v>
      </c>
      <c r="K659" s="98">
        <v>0</v>
      </c>
      <c r="L659" s="97"/>
      <c r="M659" s="97"/>
      <c r="N659" s="97"/>
      <c r="O659" s="97"/>
      <c r="P659" s="97"/>
      <c r="Q659" s="97" t="s">
        <v>488</v>
      </c>
      <c r="R659" s="97"/>
      <c r="S659" s="97"/>
      <c r="T659" s="851">
        <f t="shared" si="10"/>
        <v>833786</v>
      </c>
    </row>
    <row r="660" spans="1:20">
      <c r="A660" s="96">
        <v>45626</v>
      </c>
      <c r="B660" s="96">
        <v>45626</v>
      </c>
      <c r="C660" s="97" t="s">
        <v>515</v>
      </c>
      <c r="D660" s="96"/>
      <c r="E660" s="97"/>
      <c r="F660" s="97" t="s">
        <v>474</v>
      </c>
      <c r="G660" s="97" t="s">
        <v>446</v>
      </c>
      <c r="H660" s="97" t="s">
        <v>307</v>
      </c>
      <c r="I660" s="97" t="s">
        <v>305</v>
      </c>
      <c r="J660" s="98">
        <v>6068053638</v>
      </c>
      <c r="K660" s="98">
        <v>0</v>
      </c>
      <c r="L660" s="97"/>
      <c r="M660" s="97"/>
      <c r="N660" s="97"/>
      <c r="O660" s="97"/>
      <c r="P660" s="97"/>
      <c r="Q660" s="97" t="s">
        <v>488</v>
      </c>
      <c r="R660" s="97"/>
      <c r="S660" s="97"/>
      <c r="T660" s="851">
        <f t="shared" si="10"/>
        <v>6068053638</v>
      </c>
    </row>
    <row r="661" spans="1:20">
      <c r="A661" s="96">
        <v>45626</v>
      </c>
      <c r="B661" s="96">
        <v>45626</v>
      </c>
      <c r="C661" s="97" t="s">
        <v>515</v>
      </c>
      <c r="D661" s="96"/>
      <c r="E661" s="97"/>
      <c r="F661" s="97" t="s">
        <v>474</v>
      </c>
      <c r="G661" s="97" t="s">
        <v>446</v>
      </c>
      <c r="H661" s="97" t="s">
        <v>313</v>
      </c>
      <c r="I661" s="97" t="s">
        <v>305</v>
      </c>
      <c r="J661" s="98">
        <v>88519583</v>
      </c>
      <c r="K661" s="98">
        <v>0</v>
      </c>
      <c r="L661" s="97"/>
      <c r="M661" s="97"/>
      <c r="N661" s="97"/>
      <c r="O661" s="97"/>
      <c r="P661" s="97"/>
      <c r="Q661" s="97" t="s">
        <v>488</v>
      </c>
      <c r="R661" s="97"/>
      <c r="S661" s="97"/>
      <c r="T661" s="851">
        <f t="shared" si="10"/>
        <v>88519583</v>
      </c>
    </row>
    <row r="662" spans="1:20">
      <c r="A662" s="96">
        <v>45626</v>
      </c>
      <c r="B662" s="96">
        <v>45626</v>
      </c>
      <c r="C662" s="97" t="s">
        <v>515</v>
      </c>
      <c r="D662" s="96"/>
      <c r="E662" s="97"/>
      <c r="F662" s="97" t="s">
        <v>474</v>
      </c>
      <c r="G662" s="97" t="s">
        <v>446</v>
      </c>
      <c r="H662" s="97" t="s">
        <v>317</v>
      </c>
      <c r="I662" s="97" t="s">
        <v>305</v>
      </c>
      <c r="J662" s="98">
        <v>80636709</v>
      </c>
      <c r="K662" s="98">
        <v>0</v>
      </c>
      <c r="L662" s="97"/>
      <c r="M662" s="97"/>
      <c r="N662" s="97"/>
      <c r="O662" s="97"/>
      <c r="P662" s="97"/>
      <c r="Q662" s="97" t="s">
        <v>488</v>
      </c>
      <c r="R662" s="97"/>
      <c r="S662" s="97"/>
      <c r="T662" s="851">
        <f t="shared" si="10"/>
        <v>80636709</v>
      </c>
    </row>
    <row r="663" spans="1:20">
      <c r="A663" s="96">
        <v>45626</v>
      </c>
      <c r="B663" s="96">
        <v>45626</v>
      </c>
      <c r="C663" s="97" t="s">
        <v>515</v>
      </c>
      <c r="D663" s="96"/>
      <c r="E663" s="97"/>
      <c r="F663" s="97" t="s">
        <v>474</v>
      </c>
      <c r="G663" s="97" t="s">
        <v>446</v>
      </c>
      <c r="H663" s="97" t="s">
        <v>325</v>
      </c>
      <c r="I663" s="97" t="s">
        <v>305</v>
      </c>
      <c r="J663" s="98">
        <v>10726027</v>
      </c>
      <c r="K663" s="98">
        <v>0</v>
      </c>
      <c r="L663" s="97"/>
      <c r="M663" s="97"/>
      <c r="N663" s="97"/>
      <c r="O663" s="97"/>
      <c r="P663" s="97"/>
      <c r="Q663" s="97" t="s">
        <v>488</v>
      </c>
      <c r="R663" s="97"/>
      <c r="S663" s="97"/>
      <c r="T663" s="851">
        <f t="shared" si="10"/>
        <v>10726027</v>
      </c>
    </row>
    <row r="664" spans="1:20">
      <c r="A664" s="96">
        <v>45626</v>
      </c>
      <c r="B664" s="96">
        <v>45626</v>
      </c>
      <c r="C664" s="97" t="s">
        <v>515</v>
      </c>
      <c r="D664" s="96"/>
      <c r="E664" s="97"/>
      <c r="F664" s="97" t="s">
        <v>474</v>
      </c>
      <c r="G664" s="97" t="s">
        <v>446</v>
      </c>
      <c r="H664" s="97" t="s">
        <v>327</v>
      </c>
      <c r="I664" s="97" t="s">
        <v>305</v>
      </c>
      <c r="J664" s="98">
        <v>255616443</v>
      </c>
      <c r="K664" s="98">
        <v>0</v>
      </c>
      <c r="L664" s="97"/>
      <c r="M664" s="97"/>
      <c r="N664" s="97"/>
      <c r="O664" s="97"/>
      <c r="P664" s="97"/>
      <c r="Q664" s="97" t="s">
        <v>488</v>
      </c>
      <c r="R664" s="97"/>
      <c r="S664" s="97"/>
      <c r="T664" s="851">
        <f t="shared" si="10"/>
        <v>255616443</v>
      </c>
    </row>
    <row r="665" spans="1:20">
      <c r="A665" s="96">
        <v>45626</v>
      </c>
      <c r="B665" s="96">
        <v>45626</v>
      </c>
      <c r="C665" s="97" t="s">
        <v>515</v>
      </c>
      <c r="D665" s="96"/>
      <c r="E665" s="97"/>
      <c r="F665" s="97" t="s">
        <v>475</v>
      </c>
      <c r="G665" s="97" t="s">
        <v>446</v>
      </c>
      <c r="H665" s="97" t="s">
        <v>337</v>
      </c>
      <c r="I665" s="97" t="s">
        <v>333</v>
      </c>
      <c r="J665" s="98">
        <v>7348463</v>
      </c>
      <c r="K665" s="98">
        <v>0</v>
      </c>
      <c r="L665" s="97"/>
      <c r="M665" s="97"/>
      <c r="N665" s="97"/>
      <c r="O665" s="97"/>
      <c r="P665" s="97"/>
      <c r="Q665" s="97" t="s">
        <v>488</v>
      </c>
      <c r="R665" s="97"/>
      <c r="S665" s="97"/>
      <c r="T665" s="851">
        <f t="shared" si="10"/>
        <v>7348463</v>
      </c>
    </row>
    <row r="666" spans="1:20">
      <c r="A666" s="96">
        <v>45626</v>
      </c>
      <c r="B666" s="96">
        <v>45626</v>
      </c>
      <c r="C666" s="97" t="s">
        <v>515</v>
      </c>
      <c r="D666" s="96"/>
      <c r="E666" s="97"/>
      <c r="F666" s="97" t="s">
        <v>475</v>
      </c>
      <c r="G666" s="97" t="s">
        <v>446</v>
      </c>
      <c r="H666" s="97" t="s">
        <v>343</v>
      </c>
      <c r="I666" s="97" t="s">
        <v>333</v>
      </c>
      <c r="J666" s="98">
        <v>1780250</v>
      </c>
      <c r="K666" s="98">
        <v>0</v>
      </c>
      <c r="L666" s="97"/>
      <c r="M666" s="97"/>
      <c r="N666" s="97"/>
      <c r="O666" s="97"/>
      <c r="P666" s="97"/>
      <c r="Q666" s="97" t="s">
        <v>488</v>
      </c>
      <c r="R666" s="97"/>
      <c r="S666" s="97"/>
      <c r="T666" s="851">
        <f t="shared" si="10"/>
        <v>1780250</v>
      </c>
    </row>
    <row r="667" spans="1:20">
      <c r="A667" s="96">
        <v>45626</v>
      </c>
      <c r="B667" s="96">
        <v>45626</v>
      </c>
      <c r="C667" s="97" t="s">
        <v>515</v>
      </c>
      <c r="D667" s="96"/>
      <c r="E667" s="97"/>
      <c r="F667" s="97" t="s">
        <v>475</v>
      </c>
      <c r="G667" s="97" t="s">
        <v>446</v>
      </c>
      <c r="H667" s="97" t="s">
        <v>348</v>
      </c>
      <c r="I667" s="97" t="s">
        <v>333</v>
      </c>
      <c r="J667" s="98">
        <v>441889890</v>
      </c>
      <c r="K667" s="98">
        <v>0</v>
      </c>
      <c r="L667" s="97"/>
      <c r="M667" s="97"/>
      <c r="N667" s="97"/>
      <c r="O667" s="97"/>
      <c r="P667" s="97"/>
      <c r="Q667" s="97" t="s">
        <v>488</v>
      </c>
      <c r="R667" s="97"/>
      <c r="S667" s="97"/>
      <c r="T667" s="851">
        <f t="shared" si="10"/>
        <v>441889890</v>
      </c>
    </row>
    <row r="668" spans="1:20">
      <c r="A668" s="96">
        <v>45626</v>
      </c>
      <c r="B668" s="96">
        <v>45626</v>
      </c>
      <c r="C668" s="97" t="s">
        <v>515</v>
      </c>
      <c r="D668" s="96"/>
      <c r="E668" s="97"/>
      <c r="F668" s="97" t="s">
        <v>475</v>
      </c>
      <c r="G668" s="97" t="s">
        <v>446</v>
      </c>
      <c r="H668" s="97" t="s">
        <v>350</v>
      </c>
      <c r="I668" s="97" t="s">
        <v>333</v>
      </c>
      <c r="J668" s="98">
        <v>11006134</v>
      </c>
      <c r="K668" s="98">
        <v>0</v>
      </c>
      <c r="L668" s="97"/>
      <c r="M668" s="97"/>
      <c r="N668" s="97"/>
      <c r="O668" s="97"/>
      <c r="P668" s="97"/>
      <c r="Q668" s="97" t="s">
        <v>488</v>
      </c>
      <c r="R668" s="97"/>
      <c r="S668" s="97"/>
      <c r="T668" s="851">
        <f t="shared" si="10"/>
        <v>11006134</v>
      </c>
    </row>
    <row r="669" spans="1:20">
      <c r="A669" s="96">
        <v>45626</v>
      </c>
      <c r="B669" s="96">
        <v>45626</v>
      </c>
      <c r="C669" s="97" t="s">
        <v>515</v>
      </c>
      <c r="D669" s="96"/>
      <c r="E669" s="97"/>
      <c r="F669" s="97" t="s">
        <v>475</v>
      </c>
      <c r="G669" s="97" t="s">
        <v>446</v>
      </c>
      <c r="H669" s="97" t="s">
        <v>354</v>
      </c>
      <c r="I669" s="97" t="s">
        <v>333</v>
      </c>
      <c r="J669" s="98">
        <v>1842186</v>
      </c>
      <c r="K669" s="98">
        <v>0</v>
      </c>
      <c r="L669" s="97"/>
      <c r="M669" s="97"/>
      <c r="N669" s="97"/>
      <c r="O669" s="97"/>
      <c r="P669" s="97"/>
      <c r="Q669" s="97" t="s">
        <v>488</v>
      </c>
      <c r="R669" s="97"/>
      <c r="S669" s="97"/>
      <c r="T669" s="851">
        <f t="shared" si="10"/>
        <v>1842186</v>
      </c>
    </row>
    <row r="670" spans="1:20">
      <c r="A670" s="96">
        <v>45626</v>
      </c>
      <c r="B670" s="96">
        <v>45626</v>
      </c>
      <c r="C670" s="97" t="s">
        <v>515</v>
      </c>
      <c r="D670" s="96"/>
      <c r="E670" s="97"/>
      <c r="F670" s="97" t="s">
        <v>475</v>
      </c>
      <c r="G670" s="97" t="s">
        <v>446</v>
      </c>
      <c r="H670" s="97" t="s">
        <v>356</v>
      </c>
      <c r="I670" s="97" t="s">
        <v>333</v>
      </c>
      <c r="J670" s="98">
        <v>312525</v>
      </c>
      <c r="K670" s="98">
        <v>0</v>
      </c>
      <c r="L670" s="97"/>
      <c r="M670" s="97"/>
      <c r="N670" s="97"/>
      <c r="O670" s="97"/>
      <c r="P670" s="97"/>
      <c r="Q670" s="97" t="s">
        <v>488</v>
      </c>
      <c r="R670" s="97"/>
      <c r="S670" s="97"/>
      <c r="T670" s="851">
        <f t="shared" si="10"/>
        <v>312525</v>
      </c>
    </row>
    <row r="671" spans="1:20">
      <c r="A671" s="96">
        <v>45626</v>
      </c>
      <c r="B671" s="96">
        <v>45626</v>
      </c>
      <c r="C671" s="97" t="s">
        <v>515</v>
      </c>
      <c r="D671" s="96"/>
      <c r="E671" s="97"/>
      <c r="F671" s="97" t="s">
        <v>475</v>
      </c>
      <c r="G671" s="97" t="s">
        <v>446</v>
      </c>
      <c r="H671" s="97" t="s">
        <v>361</v>
      </c>
      <c r="I671" s="97" t="s">
        <v>333</v>
      </c>
      <c r="J671" s="98">
        <v>18272254</v>
      </c>
      <c r="K671" s="98">
        <v>0</v>
      </c>
      <c r="L671" s="97"/>
      <c r="M671" s="97"/>
      <c r="N671" s="97"/>
      <c r="O671" s="97"/>
      <c r="P671" s="97"/>
      <c r="Q671" s="97" t="s">
        <v>488</v>
      </c>
      <c r="R671" s="97"/>
      <c r="S671" s="97"/>
      <c r="T671" s="851">
        <f t="shared" si="10"/>
        <v>18272254</v>
      </c>
    </row>
    <row r="672" spans="1:20">
      <c r="A672" s="96">
        <v>45626</v>
      </c>
      <c r="B672" s="96">
        <v>45626</v>
      </c>
      <c r="C672" s="97" t="s">
        <v>515</v>
      </c>
      <c r="D672" s="96"/>
      <c r="E672" s="97"/>
      <c r="F672" s="97" t="s">
        <v>475</v>
      </c>
      <c r="G672" s="97" t="s">
        <v>446</v>
      </c>
      <c r="H672" s="97" t="s">
        <v>363</v>
      </c>
      <c r="I672" s="97" t="s">
        <v>333</v>
      </c>
      <c r="J672" s="98">
        <v>280000</v>
      </c>
      <c r="K672" s="98">
        <v>0</v>
      </c>
      <c r="L672" s="97"/>
      <c r="M672" s="97"/>
      <c r="N672" s="97"/>
      <c r="O672" s="97"/>
      <c r="P672" s="97"/>
      <c r="Q672" s="97" t="s">
        <v>488</v>
      </c>
      <c r="R672" s="97"/>
      <c r="S672" s="97"/>
      <c r="T672" s="851">
        <f t="shared" si="10"/>
        <v>280000</v>
      </c>
    </row>
    <row r="673" spans="1:20">
      <c r="A673" s="96">
        <v>45626</v>
      </c>
      <c r="B673" s="96">
        <v>45626</v>
      </c>
      <c r="C673" s="97" t="s">
        <v>515</v>
      </c>
      <c r="D673" s="96"/>
      <c r="E673" s="97"/>
      <c r="F673" s="97" t="s">
        <v>475</v>
      </c>
      <c r="G673" s="97" t="s">
        <v>446</v>
      </c>
      <c r="H673" s="97" t="s">
        <v>370</v>
      </c>
      <c r="I673" s="97" t="s">
        <v>333</v>
      </c>
      <c r="J673" s="98">
        <v>758619340</v>
      </c>
      <c r="K673" s="98">
        <v>0</v>
      </c>
      <c r="L673" s="97"/>
      <c r="M673" s="97"/>
      <c r="N673" s="97"/>
      <c r="O673" s="97"/>
      <c r="P673" s="97"/>
      <c r="Q673" s="97" t="s">
        <v>488</v>
      </c>
      <c r="R673" s="97"/>
      <c r="S673" s="97"/>
      <c r="T673" s="851">
        <f t="shared" si="10"/>
        <v>758619340</v>
      </c>
    </row>
    <row r="674" spans="1:20">
      <c r="A674" s="96">
        <v>45626</v>
      </c>
      <c r="B674" s="96">
        <v>45626</v>
      </c>
      <c r="C674" s="97" t="s">
        <v>515</v>
      </c>
      <c r="D674" s="96"/>
      <c r="E674" s="97"/>
      <c r="F674" s="97" t="s">
        <v>476</v>
      </c>
      <c r="G674" s="97" t="s">
        <v>446</v>
      </c>
      <c r="H674" s="97" t="s">
        <v>378</v>
      </c>
      <c r="I674" s="97" t="s">
        <v>374</v>
      </c>
      <c r="J674" s="98">
        <v>236588407</v>
      </c>
      <c r="K674" s="98">
        <v>0</v>
      </c>
      <c r="L674" s="97"/>
      <c r="M674" s="97"/>
      <c r="N674" s="97"/>
      <c r="O674" s="97"/>
      <c r="P674" s="97"/>
      <c r="Q674" s="97" t="s">
        <v>488</v>
      </c>
      <c r="R674" s="97"/>
      <c r="S674" s="97"/>
      <c r="T674" s="851">
        <f t="shared" si="10"/>
        <v>236588407</v>
      </c>
    </row>
    <row r="675" spans="1:20">
      <c r="A675" s="96">
        <v>45626</v>
      </c>
      <c r="B675" s="96">
        <v>45626</v>
      </c>
      <c r="C675" s="97" t="s">
        <v>515</v>
      </c>
      <c r="D675" s="96"/>
      <c r="E675" s="97"/>
      <c r="F675" s="97" t="s">
        <v>476</v>
      </c>
      <c r="G675" s="97" t="s">
        <v>446</v>
      </c>
      <c r="H675" s="97" t="s">
        <v>379</v>
      </c>
      <c r="I675" s="97" t="s">
        <v>374</v>
      </c>
      <c r="J675" s="98">
        <v>14182000</v>
      </c>
      <c r="K675" s="98">
        <v>0</v>
      </c>
      <c r="L675" s="97"/>
      <c r="M675" s="97"/>
      <c r="N675" s="97"/>
      <c r="O675" s="97"/>
      <c r="P675" s="97"/>
      <c r="Q675" s="97" t="s">
        <v>488</v>
      </c>
      <c r="R675" s="97"/>
      <c r="S675" s="97"/>
      <c r="T675" s="851">
        <f t="shared" si="10"/>
        <v>14182000</v>
      </c>
    </row>
    <row r="676" spans="1:20">
      <c r="A676" s="96">
        <v>45626</v>
      </c>
      <c r="B676" s="96">
        <v>45626</v>
      </c>
      <c r="C676" s="97" t="s">
        <v>515</v>
      </c>
      <c r="D676" s="96"/>
      <c r="E676" s="97"/>
      <c r="F676" s="97" t="s">
        <v>476</v>
      </c>
      <c r="G676" s="97" t="s">
        <v>446</v>
      </c>
      <c r="H676" s="97" t="s">
        <v>380</v>
      </c>
      <c r="I676" s="97" t="s">
        <v>374</v>
      </c>
      <c r="J676" s="98">
        <v>500000</v>
      </c>
      <c r="K676" s="98">
        <v>0</v>
      </c>
      <c r="L676" s="97"/>
      <c r="M676" s="97"/>
      <c r="N676" s="97"/>
      <c r="O676" s="97"/>
      <c r="P676" s="97"/>
      <c r="Q676" s="97" t="s">
        <v>488</v>
      </c>
      <c r="R676" s="97"/>
      <c r="S676" s="97"/>
      <c r="T676" s="851">
        <f t="shared" si="10"/>
        <v>500000</v>
      </c>
    </row>
    <row r="677" spans="1:20">
      <c r="A677" s="96">
        <v>45626</v>
      </c>
      <c r="B677" s="96">
        <v>45626</v>
      </c>
      <c r="C677" s="97" t="s">
        <v>515</v>
      </c>
      <c r="D677" s="96"/>
      <c r="E677" s="97"/>
      <c r="F677" s="97" t="s">
        <v>476</v>
      </c>
      <c r="G677" s="97" t="s">
        <v>446</v>
      </c>
      <c r="H677" s="97" t="s">
        <v>381</v>
      </c>
      <c r="I677" s="97" t="s">
        <v>374</v>
      </c>
      <c r="J677" s="98">
        <v>8750997</v>
      </c>
      <c r="K677" s="98">
        <v>0</v>
      </c>
      <c r="L677" s="97"/>
      <c r="M677" s="97"/>
      <c r="N677" s="97"/>
      <c r="O677" s="97"/>
      <c r="P677" s="97"/>
      <c r="Q677" s="97" t="s">
        <v>488</v>
      </c>
      <c r="R677" s="97"/>
      <c r="S677" s="97"/>
      <c r="T677" s="851">
        <f t="shared" si="10"/>
        <v>8750997</v>
      </c>
    </row>
    <row r="678" spans="1:20">
      <c r="A678" s="96">
        <v>45626</v>
      </c>
      <c r="B678" s="96">
        <v>45626</v>
      </c>
      <c r="C678" s="97" t="s">
        <v>515</v>
      </c>
      <c r="D678" s="96"/>
      <c r="E678" s="97"/>
      <c r="F678" s="97" t="s">
        <v>476</v>
      </c>
      <c r="G678" s="97" t="s">
        <v>446</v>
      </c>
      <c r="H678" s="97" t="s">
        <v>383</v>
      </c>
      <c r="I678" s="97" t="s">
        <v>374</v>
      </c>
      <c r="J678" s="98">
        <v>32041326</v>
      </c>
      <c r="K678" s="98">
        <v>0</v>
      </c>
      <c r="L678" s="97"/>
      <c r="M678" s="97"/>
      <c r="N678" s="97"/>
      <c r="O678" s="97"/>
      <c r="P678" s="97"/>
      <c r="Q678" s="97" t="s">
        <v>488</v>
      </c>
      <c r="R678" s="97"/>
      <c r="S678" s="97"/>
      <c r="T678" s="851">
        <f t="shared" si="10"/>
        <v>32041326</v>
      </c>
    </row>
    <row r="679" spans="1:20">
      <c r="A679" s="96">
        <v>45626</v>
      </c>
      <c r="B679" s="96">
        <v>45626</v>
      </c>
      <c r="C679" s="97" t="s">
        <v>515</v>
      </c>
      <c r="D679" s="96"/>
      <c r="E679" s="97"/>
      <c r="F679" s="97" t="s">
        <v>476</v>
      </c>
      <c r="G679" s="97" t="s">
        <v>446</v>
      </c>
      <c r="H679" s="97" t="s">
        <v>387</v>
      </c>
      <c r="I679" s="97" t="s">
        <v>374</v>
      </c>
      <c r="J679" s="98">
        <v>188983857</v>
      </c>
      <c r="K679" s="98">
        <v>0</v>
      </c>
      <c r="L679" s="97"/>
      <c r="M679" s="97"/>
      <c r="N679" s="97"/>
      <c r="O679" s="97"/>
      <c r="P679" s="97"/>
      <c r="Q679" s="97" t="s">
        <v>488</v>
      </c>
      <c r="R679" s="97"/>
      <c r="S679" s="97"/>
      <c r="T679" s="851">
        <f t="shared" si="10"/>
        <v>188983857</v>
      </c>
    </row>
    <row r="680" spans="1:20">
      <c r="A680" s="96">
        <v>45626</v>
      </c>
      <c r="B680" s="96">
        <v>45626</v>
      </c>
      <c r="C680" s="97" t="s">
        <v>515</v>
      </c>
      <c r="D680" s="96"/>
      <c r="E680" s="97"/>
      <c r="F680" s="97" t="s">
        <v>476</v>
      </c>
      <c r="G680" s="97" t="s">
        <v>446</v>
      </c>
      <c r="H680" s="97" t="s">
        <v>389</v>
      </c>
      <c r="I680" s="97" t="s">
        <v>374</v>
      </c>
      <c r="J680" s="98">
        <v>4410687</v>
      </c>
      <c r="K680" s="98">
        <v>0</v>
      </c>
      <c r="L680" s="97"/>
      <c r="M680" s="97"/>
      <c r="N680" s="97"/>
      <c r="O680" s="97"/>
      <c r="P680" s="97"/>
      <c r="Q680" s="97" t="s">
        <v>488</v>
      </c>
      <c r="R680" s="97"/>
      <c r="S680" s="97"/>
      <c r="T680" s="851">
        <f t="shared" si="10"/>
        <v>4410687</v>
      </c>
    </row>
    <row r="681" spans="1:20">
      <c r="A681" s="96">
        <v>45626</v>
      </c>
      <c r="B681" s="96">
        <v>45626</v>
      </c>
      <c r="C681" s="97" t="s">
        <v>515</v>
      </c>
      <c r="D681" s="96"/>
      <c r="E681" s="97"/>
      <c r="F681" s="97" t="s">
        <v>476</v>
      </c>
      <c r="G681" s="97" t="s">
        <v>446</v>
      </c>
      <c r="H681" s="97" t="s">
        <v>393</v>
      </c>
      <c r="I681" s="97" t="s">
        <v>374</v>
      </c>
      <c r="J681" s="98">
        <v>7501566</v>
      </c>
      <c r="K681" s="98">
        <v>0</v>
      </c>
      <c r="L681" s="97"/>
      <c r="M681" s="97"/>
      <c r="N681" s="97"/>
      <c r="O681" s="97"/>
      <c r="P681" s="97"/>
      <c r="Q681" s="97" t="s">
        <v>488</v>
      </c>
      <c r="R681" s="97"/>
      <c r="S681" s="97"/>
      <c r="T681" s="851">
        <f t="shared" si="10"/>
        <v>7501566</v>
      </c>
    </row>
    <row r="682" spans="1:20">
      <c r="A682" s="96">
        <v>45626</v>
      </c>
      <c r="B682" s="96">
        <v>45626</v>
      </c>
      <c r="C682" s="97" t="s">
        <v>515</v>
      </c>
      <c r="D682" s="96"/>
      <c r="E682" s="97"/>
      <c r="F682" s="97" t="s">
        <v>476</v>
      </c>
      <c r="G682" s="97" t="s">
        <v>446</v>
      </c>
      <c r="H682" s="97" t="s">
        <v>395</v>
      </c>
      <c r="I682" s="97" t="s">
        <v>374</v>
      </c>
      <c r="J682" s="98">
        <v>269455868</v>
      </c>
      <c r="K682" s="98">
        <v>0</v>
      </c>
      <c r="L682" s="97"/>
      <c r="M682" s="97"/>
      <c r="N682" s="97"/>
      <c r="O682" s="97"/>
      <c r="P682" s="97"/>
      <c r="Q682" s="97" t="s">
        <v>488</v>
      </c>
      <c r="R682" s="97"/>
      <c r="S682" s="97"/>
      <c r="T682" s="851">
        <f t="shared" si="10"/>
        <v>269455868</v>
      </c>
    </row>
    <row r="683" spans="1:20">
      <c r="A683" s="96">
        <v>45626</v>
      </c>
      <c r="B683" s="96">
        <v>45626</v>
      </c>
      <c r="C683" s="97" t="s">
        <v>515</v>
      </c>
      <c r="D683" s="96"/>
      <c r="E683" s="97"/>
      <c r="F683" s="97" t="s">
        <v>476</v>
      </c>
      <c r="G683" s="97" t="s">
        <v>446</v>
      </c>
      <c r="H683" s="97" t="s">
        <v>397</v>
      </c>
      <c r="I683" s="97" t="s">
        <v>374</v>
      </c>
      <c r="J683" s="98">
        <v>52234278</v>
      </c>
      <c r="K683" s="98">
        <v>0</v>
      </c>
      <c r="L683" s="97"/>
      <c r="M683" s="97"/>
      <c r="N683" s="97"/>
      <c r="O683" s="97"/>
      <c r="P683" s="97"/>
      <c r="Q683" s="97" t="s">
        <v>488</v>
      </c>
      <c r="R683" s="97"/>
      <c r="S683" s="97"/>
      <c r="T683" s="851">
        <f t="shared" si="10"/>
        <v>52234278</v>
      </c>
    </row>
    <row r="684" spans="1:20">
      <c r="A684" s="96">
        <v>45626</v>
      </c>
      <c r="B684" s="96">
        <v>45626</v>
      </c>
      <c r="C684" s="97" t="s">
        <v>515</v>
      </c>
      <c r="D684" s="96"/>
      <c r="E684" s="97"/>
      <c r="F684" s="97" t="s">
        <v>476</v>
      </c>
      <c r="G684" s="97" t="s">
        <v>446</v>
      </c>
      <c r="H684" s="97" t="s">
        <v>398</v>
      </c>
      <c r="I684" s="97" t="s">
        <v>374</v>
      </c>
      <c r="J684" s="98">
        <v>12931996</v>
      </c>
      <c r="K684" s="98">
        <v>0</v>
      </c>
      <c r="L684" s="97"/>
      <c r="M684" s="97"/>
      <c r="N684" s="97"/>
      <c r="O684" s="97"/>
      <c r="P684" s="97"/>
      <c r="Q684" s="97" t="s">
        <v>488</v>
      </c>
      <c r="R684" s="97"/>
      <c r="S684" s="97"/>
      <c r="T684" s="851">
        <f t="shared" si="10"/>
        <v>12931996</v>
      </c>
    </row>
    <row r="685" spans="1:20">
      <c r="A685" s="96">
        <v>45626</v>
      </c>
      <c r="B685" s="96">
        <v>45626</v>
      </c>
      <c r="C685" s="97" t="s">
        <v>515</v>
      </c>
      <c r="D685" s="96"/>
      <c r="E685" s="97"/>
      <c r="F685" s="97" t="s">
        <v>476</v>
      </c>
      <c r="G685" s="97" t="s">
        <v>446</v>
      </c>
      <c r="H685" s="97" t="s">
        <v>400</v>
      </c>
      <c r="I685" s="97" t="s">
        <v>374</v>
      </c>
      <c r="J685" s="98">
        <v>684720</v>
      </c>
      <c r="K685" s="98">
        <v>0</v>
      </c>
      <c r="L685" s="97"/>
      <c r="M685" s="97"/>
      <c r="N685" s="97"/>
      <c r="O685" s="97"/>
      <c r="P685" s="97"/>
      <c r="Q685" s="97" t="s">
        <v>488</v>
      </c>
      <c r="R685" s="97"/>
      <c r="S685" s="97"/>
      <c r="T685" s="851">
        <f t="shared" si="10"/>
        <v>684720</v>
      </c>
    </row>
    <row r="686" spans="1:20">
      <c r="A686" s="96">
        <v>45626</v>
      </c>
      <c r="B686" s="96">
        <v>45626</v>
      </c>
      <c r="C686" s="97" t="s">
        <v>515</v>
      </c>
      <c r="D686" s="96"/>
      <c r="E686" s="97"/>
      <c r="F686" s="97" t="s">
        <v>476</v>
      </c>
      <c r="G686" s="97" t="s">
        <v>446</v>
      </c>
      <c r="H686" s="97" t="s">
        <v>405</v>
      </c>
      <c r="I686" s="97" t="s">
        <v>374</v>
      </c>
      <c r="J686" s="98">
        <v>12000000</v>
      </c>
      <c r="K686" s="98">
        <v>0</v>
      </c>
      <c r="L686" s="97"/>
      <c r="M686" s="97"/>
      <c r="N686" s="97"/>
      <c r="O686" s="97"/>
      <c r="P686" s="97"/>
      <c r="Q686" s="97" t="s">
        <v>488</v>
      </c>
      <c r="R686" s="97"/>
      <c r="S686" s="97"/>
      <c r="T686" s="851">
        <f t="shared" si="10"/>
        <v>12000000</v>
      </c>
    </row>
    <row r="687" spans="1:20">
      <c r="A687" s="96">
        <v>45626</v>
      </c>
      <c r="B687" s="96">
        <v>45626</v>
      </c>
      <c r="C687" s="97" t="s">
        <v>515</v>
      </c>
      <c r="D687" s="96"/>
      <c r="E687" s="97"/>
      <c r="F687" s="97" t="s">
        <v>476</v>
      </c>
      <c r="G687" s="97" t="s">
        <v>446</v>
      </c>
      <c r="H687" s="97" t="s">
        <v>407</v>
      </c>
      <c r="I687" s="97" t="s">
        <v>374</v>
      </c>
      <c r="J687" s="98">
        <v>64393939</v>
      </c>
      <c r="K687" s="98">
        <v>0</v>
      </c>
      <c r="L687" s="97"/>
      <c r="M687" s="97"/>
      <c r="N687" s="97"/>
      <c r="O687" s="97"/>
      <c r="P687" s="97"/>
      <c r="Q687" s="97" t="s">
        <v>488</v>
      </c>
      <c r="R687" s="97"/>
      <c r="S687" s="97"/>
      <c r="T687" s="851">
        <f t="shared" si="10"/>
        <v>64393939</v>
      </c>
    </row>
    <row r="688" spans="1:20">
      <c r="A688" s="96">
        <v>45626</v>
      </c>
      <c r="B688" s="96">
        <v>45626</v>
      </c>
      <c r="C688" s="97" t="s">
        <v>515</v>
      </c>
      <c r="D688" s="96"/>
      <c r="E688" s="97"/>
      <c r="F688" s="97" t="s">
        <v>476</v>
      </c>
      <c r="G688" s="97" t="s">
        <v>446</v>
      </c>
      <c r="H688" s="97" t="s">
        <v>413</v>
      </c>
      <c r="I688" s="97" t="s">
        <v>374</v>
      </c>
      <c r="J688" s="98">
        <v>18929992</v>
      </c>
      <c r="K688" s="98">
        <v>0</v>
      </c>
      <c r="L688" s="97"/>
      <c r="M688" s="97"/>
      <c r="N688" s="97"/>
      <c r="O688" s="97"/>
      <c r="P688" s="97"/>
      <c r="Q688" s="97" t="s">
        <v>488</v>
      </c>
      <c r="R688" s="97"/>
      <c r="S688" s="97"/>
      <c r="T688" s="851">
        <f t="shared" si="10"/>
        <v>18929992</v>
      </c>
    </row>
    <row r="689" spans="1:20">
      <c r="A689" s="96">
        <v>45626</v>
      </c>
      <c r="B689" s="96">
        <v>45626</v>
      </c>
      <c r="C689" s="97" t="s">
        <v>515</v>
      </c>
      <c r="D689" s="96"/>
      <c r="E689" s="97"/>
      <c r="F689" s="97" t="s">
        <v>476</v>
      </c>
      <c r="G689" s="97" t="s">
        <v>446</v>
      </c>
      <c r="H689" s="97" t="s">
        <v>415</v>
      </c>
      <c r="I689" s="97" t="s">
        <v>374</v>
      </c>
      <c r="J689" s="98">
        <v>1636364</v>
      </c>
      <c r="K689" s="98">
        <v>0</v>
      </c>
      <c r="L689" s="97"/>
      <c r="M689" s="97"/>
      <c r="N689" s="97"/>
      <c r="O689" s="97"/>
      <c r="P689" s="97"/>
      <c r="Q689" s="97" t="s">
        <v>488</v>
      </c>
      <c r="R689" s="97"/>
      <c r="S689" s="97"/>
      <c r="T689" s="851">
        <f t="shared" si="10"/>
        <v>1636364</v>
      </c>
    </row>
    <row r="690" spans="1:20">
      <c r="A690" s="96">
        <v>45626</v>
      </c>
      <c r="B690" s="96">
        <v>45626</v>
      </c>
      <c r="C690" s="97" t="s">
        <v>515</v>
      </c>
      <c r="D690" s="96"/>
      <c r="E690" s="97"/>
      <c r="F690" s="97" t="s">
        <v>476</v>
      </c>
      <c r="G690" s="97" t="s">
        <v>446</v>
      </c>
      <c r="H690" s="97" t="s">
        <v>419</v>
      </c>
      <c r="I690" s="97" t="s">
        <v>374</v>
      </c>
      <c r="J690" s="98">
        <v>1950000</v>
      </c>
      <c r="K690" s="98">
        <v>0</v>
      </c>
      <c r="L690" s="97"/>
      <c r="M690" s="97"/>
      <c r="N690" s="97"/>
      <c r="O690" s="97"/>
      <c r="P690" s="97"/>
      <c r="Q690" s="97" t="s">
        <v>488</v>
      </c>
      <c r="R690" s="97"/>
      <c r="S690" s="97"/>
      <c r="T690" s="851">
        <f t="shared" si="10"/>
        <v>1950000</v>
      </c>
    </row>
    <row r="691" spans="1:20">
      <c r="A691" s="96">
        <v>45626</v>
      </c>
      <c r="B691" s="96">
        <v>45626</v>
      </c>
      <c r="C691" s="97" t="s">
        <v>515</v>
      </c>
      <c r="D691" s="96"/>
      <c r="E691" s="97"/>
      <c r="F691" s="97" t="s">
        <v>476</v>
      </c>
      <c r="G691" s="97" t="s">
        <v>446</v>
      </c>
      <c r="H691" s="97" t="s">
        <v>421</v>
      </c>
      <c r="I691" s="97" t="s">
        <v>374</v>
      </c>
      <c r="J691" s="98">
        <v>6328148</v>
      </c>
      <c r="K691" s="98">
        <v>0</v>
      </c>
      <c r="L691" s="97"/>
      <c r="M691" s="97"/>
      <c r="N691" s="97"/>
      <c r="O691" s="97"/>
      <c r="P691" s="97"/>
      <c r="Q691" s="97" t="s">
        <v>488</v>
      </c>
      <c r="R691" s="97"/>
      <c r="S691" s="97"/>
      <c r="T691" s="851">
        <f t="shared" si="10"/>
        <v>6328148</v>
      </c>
    </row>
    <row r="692" spans="1:20">
      <c r="A692" s="96">
        <v>45626</v>
      </c>
      <c r="B692" s="96">
        <v>45626</v>
      </c>
      <c r="C692" s="97" t="s">
        <v>515</v>
      </c>
      <c r="D692" s="96"/>
      <c r="E692" s="97"/>
      <c r="F692" s="97" t="s">
        <v>476</v>
      </c>
      <c r="G692" s="97" t="s">
        <v>446</v>
      </c>
      <c r="H692" s="97" t="s">
        <v>422</v>
      </c>
      <c r="I692" s="97" t="s">
        <v>374</v>
      </c>
      <c r="J692" s="98">
        <v>13772727</v>
      </c>
      <c r="K692" s="98">
        <v>0</v>
      </c>
      <c r="L692" s="97"/>
      <c r="M692" s="97"/>
      <c r="N692" s="97"/>
      <c r="O692" s="97"/>
      <c r="P692" s="97"/>
      <c r="Q692" s="97" t="s">
        <v>488</v>
      </c>
      <c r="R692" s="97"/>
      <c r="S692" s="97"/>
      <c r="T692" s="851">
        <f t="shared" si="10"/>
        <v>13772727</v>
      </c>
    </row>
    <row r="693" spans="1:20">
      <c r="A693" s="96">
        <v>45626</v>
      </c>
      <c r="B693" s="96">
        <v>45626</v>
      </c>
      <c r="C693" s="97" t="s">
        <v>515</v>
      </c>
      <c r="D693" s="96"/>
      <c r="E693" s="97"/>
      <c r="F693" s="97" t="s">
        <v>476</v>
      </c>
      <c r="G693" s="97" t="s">
        <v>446</v>
      </c>
      <c r="H693" s="97" t="s">
        <v>424</v>
      </c>
      <c r="I693" s="97" t="s">
        <v>374</v>
      </c>
      <c r="J693" s="98">
        <v>17452500</v>
      </c>
      <c r="K693" s="98">
        <v>0</v>
      </c>
      <c r="L693" s="97"/>
      <c r="M693" s="97"/>
      <c r="N693" s="97"/>
      <c r="O693" s="97"/>
      <c r="P693" s="97"/>
      <c r="Q693" s="97" t="s">
        <v>488</v>
      </c>
      <c r="R693" s="97"/>
      <c r="S693" s="97"/>
      <c r="T693" s="851">
        <f t="shared" si="10"/>
        <v>17452500</v>
      </c>
    </row>
    <row r="694" spans="1:20">
      <c r="A694" s="96">
        <v>45626</v>
      </c>
      <c r="B694" s="96">
        <v>45626</v>
      </c>
      <c r="C694" s="97" t="s">
        <v>515</v>
      </c>
      <c r="D694" s="96"/>
      <c r="E694" s="97"/>
      <c r="F694" s="97" t="s">
        <v>476</v>
      </c>
      <c r="G694" s="97" t="s">
        <v>446</v>
      </c>
      <c r="H694" s="97" t="s">
        <v>425</v>
      </c>
      <c r="I694" s="97" t="s">
        <v>374</v>
      </c>
      <c r="J694" s="98">
        <v>3710631</v>
      </c>
      <c r="K694" s="98">
        <v>0</v>
      </c>
      <c r="L694" s="97"/>
      <c r="M694" s="97"/>
      <c r="N694" s="97"/>
      <c r="O694" s="97"/>
      <c r="P694" s="97"/>
      <c r="Q694" s="97" t="s">
        <v>488</v>
      </c>
      <c r="R694" s="97"/>
      <c r="S694" s="97"/>
      <c r="T694" s="851">
        <f t="shared" si="10"/>
        <v>3710631</v>
      </c>
    </row>
    <row r="695" spans="1:20">
      <c r="A695" s="96">
        <v>45626</v>
      </c>
      <c r="B695" s="96">
        <v>45626</v>
      </c>
      <c r="C695" s="97" t="s">
        <v>515</v>
      </c>
      <c r="D695" s="96"/>
      <c r="E695" s="97"/>
      <c r="F695" s="97" t="s">
        <v>476</v>
      </c>
      <c r="G695" s="97" t="s">
        <v>446</v>
      </c>
      <c r="H695" s="97" t="s">
        <v>427</v>
      </c>
      <c r="I695" s="97" t="s">
        <v>374</v>
      </c>
      <c r="J695" s="98">
        <v>5444052</v>
      </c>
      <c r="K695" s="98">
        <v>0</v>
      </c>
      <c r="L695" s="97"/>
      <c r="M695" s="97"/>
      <c r="N695" s="97"/>
      <c r="O695" s="97"/>
      <c r="P695" s="97"/>
      <c r="Q695" s="97" t="s">
        <v>488</v>
      </c>
      <c r="R695" s="97"/>
      <c r="S695" s="97"/>
      <c r="T695" s="851">
        <f t="shared" si="10"/>
        <v>5444052</v>
      </c>
    </row>
    <row r="696" spans="1:20">
      <c r="A696" s="96">
        <v>45626</v>
      </c>
      <c r="B696" s="96">
        <v>45626</v>
      </c>
      <c r="C696" s="97" t="s">
        <v>515</v>
      </c>
      <c r="D696" s="96"/>
      <c r="E696" s="97"/>
      <c r="F696" s="97" t="s">
        <v>476</v>
      </c>
      <c r="G696" s="97" t="s">
        <v>446</v>
      </c>
      <c r="H696" s="97" t="s">
        <v>431</v>
      </c>
      <c r="I696" s="97" t="s">
        <v>374</v>
      </c>
      <c r="J696" s="98">
        <v>685957</v>
      </c>
      <c r="K696" s="98">
        <v>0</v>
      </c>
      <c r="L696" s="97"/>
      <c r="M696" s="97"/>
      <c r="N696" s="97"/>
      <c r="O696" s="97"/>
      <c r="P696" s="97"/>
      <c r="Q696" s="97" t="s">
        <v>488</v>
      </c>
      <c r="R696" s="97"/>
      <c r="S696" s="97"/>
      <c r="T696" s="851">
        <f t="shared" si="10"/>
        <v>685957</v>
      </c>
    </row>
    <row r="697" spans="1:20">
      <c r="A697" s="96">
        <v>45626</v>
      </c>
      <c r="B697" s="96">
        <v>45626</v>
      </c>
      <c r="C697" s="97" t="s">
        <v>515</v>
      </c>
      <c r="D697" s="96"/>
      <c r="E697" s="97"/>
      <c r="F697" s="97" t="s">
        <v>476</v>
      </c>
      <c r="G697" s="97" t="s">
        <v>446</v>
      </c>
      <c r="H697" s="97" t="s">
        <v>435</v>
      </c>
      <c r="I697" s="97" t="s">
        <v>374</v>
      </c>
      <c r="J697" s="98">
        <v>17335046</v>
      </c>
      <c r="K697" s="98">
        <v>0</v>
      </c>
      <c r="L697" s="97"/>
      <c r="M697" s="97"/>
      <c r="N697" s="97"/>
      <c r="O697" s="97"/>
      <c r="P697" s="97"/>
      <c r="Q697" s="97" t="s">
        <v>488</v>
      </c>
      <c r="R697" s="97"/>
      <c r="S697" s="97"/>
      <c r="T697" s="851">
        <f t="shared" si="10"/>
        <v>17335046</v>
      </c>
    </row>
    <row r="698" spans="1:20">
      <c r="A698" s="96">
        <v>45626</v>
      </c>
      <c r="B698" s="96">
        <v>45626</v>
      </c>
      <c r="C698" s="97" t="s">
        <v>515</v>
      </c>
      <c r="D698" s="96"/>
      <c r="E698" s="97"/>
      <c r="F698" s="97" t="s">
        <v>476</v>
      </c>
      <c r="G698" s="97" t="s">
        <v>446</v>
      </c>
      <c r="H698" s="97" t="s">
        <v>437</v>
      </c>
      <c r="I698" s="97" t="s">
        <v>374</v>
      </c>
      <c r="J698" s="98">
        <v>4581959</v>
      </c>
      <c r="K698" s="98">
        <v>0</v>
      </c>
      <c r="L698" s="97"/>
      <c r="M698" s="97"/>
      <c r="N698" s="97"/>
      <c r="O698" s="97"/>
      <c r="P698" s="97"/>
      <c r="Q698" s="97" t="s">
        <v>488</v>
      </c>
      <c r="R698" s="97"/>
      <c r="S698" s="97"/>
      <c r="T698" s="851">
        <f t="shared" si="10"/>
        <v>4581959</v>
      </c>
    </row>
    <row r="699" spans="1:20">
      <c r="A699" s="96">
        <v>45626</v>
      </c>
      <c r="B699" s="96">
        <v>45626</v>
      </c>
      <c r="C699" s="97" t="s">
        <v>515</v>
      </c>
      <c r="D699" s="96"/>
      <c r="E699" s="97"/>
      <c r="F699" s="97" t="s">
        <v>477</v>
      </c>
      <c r="G699" s="97" t="s">
        <v>446</v>
      </c>
      <c r="H699" s="97" t="s">
        <v>442</v>
      </c>
      <c r="I699" s="97" t="s">
        <v>442</v>
      </c>
      <c r="J699" s="98">
        <v>0</v>
      </c>
      <c r="K699" s="98">
        <v>17491000</v>
      </c>
      <c r="L699" s="97"/>
      <c r="M699" s="97"/>
      <c r="N699" s="97"/>
      <c r="O699" s="97"/>
      <c r="P699" s="97"/>
      <c r="Q699" s="97" t="s">
        <v>488</v>
      </c>
      <c r="R699" s="97"/>
      <c r="S699" s="97"/>
      <c r="T699" s="851">
        <f t="shared" si="10"/>
        <v>-17491000</v>
      </c>
    </row>
    <row r="700" spans="1:20">
      <c r="A700" s="96">
        <v>45626</v>
      </c>
      <c r="B700" s="96">
        <v>45626</v>
      </c>
      <c r="C700" s="97" t="s">
        <v>515</v>
      </c>
      <c r="D700" s="96"/>
      <c r="E700" s="97"/>
      <c r="F700" s="97" t="s">
        <v>479</v>
      </c>
      <c r="G700" s="97" t="s">
        <v>446</v>
      </c>
      <c r="H700" s="97" t="s">
        <v>217</v>
      </c>
      <c r="I700" s="97" t="s">
        <v>213</v>
      </c>
      <c r="J700" s="98">
        <v>0</v>
      </c>
      <c r="K700" s="98">
        <v>1106871211</v>
      </c>
      <c r="L700" s="97"/>
      <c r="M700" s="97"/>
      <c r="N700" s="97"/>
      <c r="O700" s="97"/>
      <c r="P700" s="97"/>
      <c r="Q700" s="97" t="s">
        <v>488</v>
      </c>
      <c r="R700" s="97"/>
      <c r="S700" s="97"/>
      <c r="T700" s="851">
        <f t="shared" si="10"/>
        <v>-1106871211</v>
      </c>
    </row>
    <row r="701" spans="1:20">
      <c r="A701" s="96">
        <v>45657</v>
      </c>
      <c r="B701" s="96">
        <v>45657</v>
      </c>
      <c r="C701" s="97" t="s">
        <v>516</v>
      </c>
      <c r="D701" s="96"/>
      <c r="E701" s="97"/>
      <c r="F701" s="97" t="s">
        <v>468</v>
      </c>
      <c r="G701" s="97" t="s">
        <v>446</v>
      </c>
      <c r="H701" s="97" t="s">
        <v>720</v>
      </c>
      <c r="I701" s="97" t="s">
        <v>219</v>
      </c>
      <c r="J701" s="98">
        <v>0</v>
      </c>
      <c r="K701" s="98">
        <v>1</v>
      </c>
      <c r="L701" s="97"/>
      <c r="M701" s="97"/>
      <c r="N701" s="97"/>
      <c r="O701" s="97"/>
      <c r="P701" s="97"/>
      <c r="Q701" s="97" t="s">
        <v>488</v>
      </c>
      <c r="R701" s="97"/>
      <c r="S701" s="97"/>
      <c r="T701" s="851">
        <f t="shared" si="10"/>
        <v>-1</v>
      </c>
    </row>
    <row r="702" spans="1:20">
      <c r="A702" s="96">
        <v>45657</v>
      </c>
      <c r="B702" s="96">
        <v>45657</v>
      </c>
      <c r="C702" s="97" t="s">
        <v>516</v>
      </c>
      <c r="D702" s="96"/>
      <c r="E702" s="97"/>
      <c r="F702" s="97" t="s">
        <v>468</v>
      </c>
      <c r="G702" s="97" t="s">
        <v>446</v>
      </c>
      <c r="H702" s="97" t="s">
        <v>223</v>
      </c>
      <c r="I702" s="97" t="s">
        <v>219</v>
      </c>
      <c r="J702" s="98">
        <v>0</v>
      </c>
      <c r="K702" s="98">
        <v>4</v>
      </c>
      <c r="L702" s="97"/>
      <c r="M702" s="97"/>
      <c r="N702" s="97"/>
      <c r="O702" s="97"/>
      <c r="P702" s="97"/>
      <c r="Q702" s="97" t="s">
        <v>488</v>
      </c>
      <c r="R702" s="97"/>
      <c r="S702" s="97"/>
      <c r="T702" s="851">
        <f t="shared" si="10"/>
        <v>-4</v>
      </c>
    </row>
    <row r="703" spans="1:20">
      <c r="A703" s="96">
        <v>45657</v>
      </c>
      <c r="B703" s="96">
        <v>45657</v>
      </c>
      <c r="C703" s="97" t="s">
        <v>516</v>
      </c>
      <c r="D703" s="96"/>
      <c r="E703" s="97"/>
      <c r="F703" s="97" t="s">
        <v>468</v>
      </c>
      <c r="G703" s="97" t="s">
        <v>446</v>
      </c>
      <c r="H703" s="97" t="s">
        <v>225</v>
      </c>
      <c r="I703" s="97" t="s">
        <v>219</v>
      </c>
      <c r="J703" s="98">
        <v>0</v>
      </c>
      <c r="K703" s="98">
        <v>1782000</v>
      </c>
      <c r="L703" s="97"/>
      <c r="M703" s="97"/>
      <c r="N703" s="97"/>
      <c r="O703" s="97"/>
      <c r="P703" s="97"/>
      <c r="Q703" s="97" t="s">
        <v>488</v>
      </c>
      <c r="R703" s="97"/>
      <c r="S703" s="97"/>
      <c r="T703" s="851">
        <f t="shared" si="10"/>
        <v>-1782000</v>
      </c>
    </row>
    <row r="704" spans="1:20">
      <c r="A704" s="96">
        <v>45657</v>
      </c>
      <c r="B704" s="96">
        <v>45657</v>
      </c>
      <c r="C704" s="97" t="s">
        <v>516</v>
      </c>
      <c r="D704" s="96"/>
      <c r="E704" s="97"/>
      <c r="F704" s="97" t="s">
        <v>468</v>
      </c>
      <c r="G704" s="97" t="s">
        <v>446</v>
      </c>
      <c r="H704" s="97" t="s">
        <v>227</v>
      </c>
      <c r="I704" s="97" t="s">
        <v>219</v>
      </c>
      <c r="J704" s="98">
        <v>0</v>
      </c>
      <c r="K704" s="98">
        <v>4806000</v>
      </c>
      <c r="L704" s="97"/>
      <c r="M704" s="97"/>
      <c r="N704" s="97"/>
      <c r="O704" s="97"/>
      <c r="P704" s="97"/>
      <c r="Q704" s="97" t="s">
        <v>488</v>
      </c>
      <c r="R704" s="97"/>
      <c r="S704" s="97"/>
      <c r="T704" s="851">
        <f t="shared" si="10"/>
        <v>-4806000</v>
      </c>
    </row>
    <row r="705" spans="1:20">
      <c r="A705" s="96">
        <v>45657</v>
      </c>
      <c r="B705" s="96">
        <v>45657</v>
      </c>
      <c r="C705" s="97" t="s">
        <v>516</v>
      </c>
      <c r="D705" s="96"/>
      <c r="E705" s="97"/>
      <c r="F705" s="97" t="s">
        <v>468</v>
      </c>
      <c r="G705" s="97" t="s">
        <v>446</v>
      </c>
      <c r="H705" s="97" t="s">
        <v>231</v>
      </c>
      <c r="I705" s="97" t="s">
        <v>219</v>
      </c>
      <c r="J705" s="98">
        <v>0</v>
      </c>
      <c r="K705" s="98">
        <v>138361154</v>
      </c>
      <c r="L705" s="97"/>
      <c r="M705" s="97"/>
      <c r="N705" s="97"/>
      <c r="O705" s="97"/>
      <c r="P705" s="97"/>
      <c r="Q705" s="97" t="s">
        <v>488</v>
      </c>
      <c r="R705" s="97"/>
      <c r="S705" s="97"/>
      <c r="T705" s="851">
        <f t="shared" si="10"/>
        <v>-138361154</v>
      </c>
    </row>
    <row r="706" spans="1:20">
      <c r="A706" s="96">
        <v>45657</v>
      </c>
      <c r="B706" s="96">
        <v>45657</v>
      </c>
      <c r="C706" s="97" t="s">
        <v>516</v>
      </c>
      <c r="D706" s="96"/>
      <c r="E706" s="97"/>
      <c r="F706" s="97" t="s">
        <v>468</v>
      </c>
      <c r="G706" s="97" t="s">
        <v>446</v>
      </c>
      <c r="H706" s="97" t="s">
        <v>233</v>
      </c>
      <c r="I706" s="97" t="s">
        <v>219</v>
      </c>
      <c r="J706" s="98">
        <v>0</v>
      </c>
      <c r="K706" s="98">
        <v>1544000</v>
      </c>
      <c r="L706" s="97"/>
      <c r="M706" s="97"/>
      <c r="N706" s="97"/>
      <c r="O706" s="97"/>
      <c r="P706" s="97"/>
      <c r="Q706" s="97" t="s">
        <v>488</v>
      </c>
      <c r="R706" s="97"/>
      <c r="S706" s="97"/>
      <c r="T706" s="851">
        <f t="shared" si="10"/>
        <v>-1544000</v>
      </c>
    </row>
    <row r="707" spans="1:20">
      <c r="A707" s="96">
        <v>45657</v>
      </c>
      <c r="B707" s="96">
        <v>45657</v>
      </c>
      <c r="C707" s="97" t="s">
        <v>516</v>
      </c>
      <c r="D707" s="96"/>
      <c r="E707" s="97"/>
      <c r="F707" s="97" t="s">
        <v>468</v>
      </c>
      <c r="G707" s="97" t="s">
        <v>446</v>
      </c>
      <c r="H707" s="97" t="s">
        <v>235</v>
      </c>
      <c r="I707" s="97" t="s">
        <v>219</v>
      </c>
      <c r="J707" s="98">
        <v>0</v>
      </c>
      <c r="K707" s="98">
        <v>9573962</v>
      </c>
      <c r="L707" s="97"/>
      <c r="M707" s="97"/>
      <c r="N707" s="97"/>
      <c r="O707" s="97"/>
      <c r="P707" s="97"/>
      <c r="Q707" s="97" t="s">
        <v>488</v>
      </c>
      <c r="R707" s="97"/>
      <c r="S707" s="97"/>
      <c r="T707" s="851">
        <f t="shared" si="10"/>
        <v>-9573962</v>
      </c>
    </row>
    <row r="708" spans="1:20">
      <c r="A708" s="96">
        <v>45657</v>
      </c>
      <c r="B708" s="96">
        <v>45657</v>
      </c>
      <c r="C708" s="97" t="s">
        <v>516</v>
      </c>
      <c r="D708" s="96"/>
      <c r="E708" s="97"/>
      <c r="F708" s="97" t="s">
        <v>468</v>
      </c>
      <c r="G708" s="97" t="s">
        <v>446</v>
      </c>
      <c r="H708" s="97" t="s">
        <v>241</v>
      </c>
      <c r="I708" s="97" t="s">
        <v>219</v>
      </c>
      <c r="J708" s="98">
        <v>0</v>
      </c>
      <c r="K708" s="98">
        <v>938850</v>
      </c>
      <c r="L708" s="97"/>
      <c r="M708" s="97"/>
      <c r="N708" s="97"/>
      <c r="O708" s="97"/>
      <c r="P708" s="97"/>
      <c r="Q708" s="97" t="s">
        <v>488</v>
      </c>
      <c r="R708" s="97"/>
      <c r="S708" s="97"/>
      <c r="T708" s="851">
        <f t="shared" si="10"/>
        <v>-938850</v>
      </c>
    </row>
    <row r="709" spans="1:20">
      <c r="A709" s="96">
        <v>45657</v>
      </c>
      <c r="B709" s="96">
        <v>45657</v>
      </c>
      <c r="C709" s="97" t="s">
        <v>516</v>
      </c>
      <c r="D709" s="96"/>
      <c r="E709" s="97"/>
      <c r="F709" s="97" t="s">
        <v>468</v>
      </c>
      <c r="G709" s="97" t="s">
        <v>446</v>
      </c>
      <c r="H709" s="97" t="s">
        <v>243</v>
      </c>
      <c r="I709" s="97" t="s">
        <v>219</v>
      </c>
      <c r="J709" s="98">
        <v>0</v>
      </c>
      <c r="K709" s="98">
        <v>316000000</v>
      </c>
      <c r="L709" s="97"/>
      <c r="M709" s="97"/>
      <c r="N709" s="97"/>
      <c r="O709" s="97"/>
      <c r="P709" s="97"/>
      <c r="Q709" s="97" t="s">
        <v>488</v>
      </c>
      <c r="R709" s="97"/>
      <c r="S709" s="97"/>
      <c r="T709" s="851">
        <f t="shared" ref="T709:T772" si="11">J709-K709</f>
        <v>-316000000</v>
      </c>
    </row>
    <row r="710" spans="1:20">
      <c r="A710" s="96">
        <v>45657</v>
      </c>
      <c r="B710" s="96">
        <v>45657</v>
      </c>
      <c r="C710" s="97" t="s">
        <v>516</v>
      </c>
      <c r="D710" s="96"/>
      <c r="E710" s="97"/>
      <c r="F710" s="97" t="s">
        <v>468</v>
      </c>
      <c r="G710" s="97" t="s">
        <v>446</v>
      </c>
      <c r="H710" s="97" t="s">
        <v>245</v>
      </c>
      <c r="I710" s="97" t="s">
        <v>219</v>
      </c>
      <c r="J710" s="98">
        <v>0</v>
      </c>
      <c r="K710" s="98">
        <v>700000</v>
      </c>
      <c r="L710" s="97"/>
      <c r="M710" s="97"/>
      <c r="N710" s="97"/>
      <c r="O710" s="97"/>
      <c r="P710" s="97"/>
      <c r="Q710" s="97" t="s">
        <v>488</v>
      </c>
      <c r="R710" s="97"/>
      <c r="S710" s="97"/>
      <c r="T710" s="851">
        <f t="shared" si="11"/>
        <v>-700000</v>
      </c>
    </row>
    <row r="711" spans="1:20">
      <c r="A711" s="96">
        <v>45657</v>
      </c>
      <c r="B711" s="96">
        <v>45657</v>
      </c>
      <c r="C711" s="97" t="s">
        <v>516</v>
      </c>
      <c r="D711" s="96"/>
      <c r="E711" s="97"/>
      <c r="F711" s="97" t="s">
        <v>468</v>
      </c>
      <c r="G711" s="97" t="s">
        <v>446</v>
      </c>
      <c r="H711" s="97" t="s">
        <v>237</v>
      </c>
      <c r="I711" s="97" t="s">
        <v>219</v>
      </c>
      <c r="J711" s="98">
        <v>112073654</v>
      </c>
      <c r="K711" s="98">
        <v>0</v>
      </c>
      <c r="L711" s="97"/>
      <c r="M711" s="97"/>
      <c r="N711" s="97"/>
      <c r="O711" s="97"/>
      <c r="P711" s="97"/>
      <c r="Q711" s="97" t="s">
        <v>488</v>
      </c>
      <c r="R711" s="97"/>
      <c r="S711" s="97"/>
      <c r="T711" s="851">
        <f t="shared" si="11"/>
        <v>112073654</v>
      </c>
    </row>
    <row r="712" spans="1:20">
      <c r="A712" s="96">
        <v>45657</v>
      </c>
      <c r="B712" s="96">
        <v>45657</v>
      </c>
      <c r="C712" s="97" t="s">
        <v>516</v>
      </c>
      <c r="D712" s="96"/>
      <c r="E712" s="97"/>
      <c r="F712" s="97" t="s">
        <v>472</v>
      </c>
      <c r="G712" s="97" t="s">
        <v>446</v>
      </c>
      <c r="H712" s="97" t="s">
        <v>249</v>
      </c>
      <c r="I712" s="97" t="s">
        <v>247</v>
      </c>
      <c r="J712" s="98">
        <v>0</v>
      </c>
      <c r="K712" s="98">
        <v>5134892652</v>
      </c>
      <c r="L712" s="97"/>
      <c r="M712" s="97"/>
      <c r="N712" s="97"/>
      <c r="O712" s="97"/>
      <c r="P712" s="97"/>
      <c r="Q712" s="97" t="s">
        <v>488</v>
      </c>
      <c r="R712" s="97"/>
      <c r="S712" s="97"/>
      <c r="T712" s="851">
        <f t="shared" si="11"/>
        <v>-5134892652</v>
      </c>
    </row>
    <row r="713" spans="1:20">
      <c r="A713" s="96">
        <v>45657</v>
      </c>
      <c r="B713" s="96">
        <v>45657</v>
      </c>
      <c r="C713" s="97" t="s">
        <v>516</v>
      </c>
      <c r="D713" s="96"/>
      <c r="E713" s="97"/>
      <c r="F713" s="97" t="s">
        <v>472</v>
      </c>
      <c r="G713" s="97" t="s">
        <v>446</v>
      </c>
      <c r="H713" s="97" t="s">
        <v>255</v>
      </c>
      <c r="I713" s="97" t="s">
        <v>247</v>
      </c>
      <c r="J713" s="98">
        <v>0</v>
      </c>
      <c r="K713" s="98">
        <v>1418991685</v>
      </c>
      <c r="L713" s="97"/>
      <c r="M713" s="97"/>
      <c r="N713" s="97"/>
      <c r="O713" s="97"/>
      <c r="P713" s="97"/>
      <c r="Q713" s="97" t="s">
        <v>488</v>
      </c>
      <c r="R713" s="97"/>
      <c r="S713" s="97"/>
      <c r="T713" s="851">
        <f t="shared" si="11"/>
        <v>-1418991685</v>
      </c>
    </row>
    <row r="714" spans="1:20">
      <c r="A714" s="96">
        <v>45657</v>
      </c>
      <c r="B714" s="96">
        <v>45657</v>
      </c>
      <c r="C714" s="97" t="s">
        <v>516</v>
      </c>
      <c r="D714" s="96"/>
      <c r="E714" s="97"/>
      <c r="F714" s="97" t="s">
        <v>472</v>
      </c>
      <c r="G714" s="97" t="s">
        <v>446</v>
      </c>
      <c r="H714" s="97" t="s">
        <v>257</v>
      </c>
      <c r="I714" s="97" t="s">
        <v>247</v>
      </c>
      <c r="J714" s="98">
        <v>0</v>
      </c>
      <c r="K714" s="98">
        <v>6303504422</v>
      </c>
      <c r="L714" s="97"/>
      <c r="M714" s="97"/>
      <c r="N714" s="97"/>
      <c r="O714" s="97"/>
      <c r="P714" s="97"/>
      <c r="Q714" s="97" t="s">
        <v>488</v>
      </c>
      <c r="R714" s="97"/>
      <c r="S714" s="97"/>
      <c r="T714" s="851">
        <f t="shared" si="11"/>
        <v>-6303504422</v>
      </c>
    </row>
    <row r="715" spans="1:20">
      <c r="A715" s="96">
        <v>45657</v>
      </c>
      <c r="B715" s="96">
        <v>45657</v>
      </c>
      <c r="C715" s="97" t="s">
        <v>516</v>
      </c>
      <c r="D715" s="96"/>
      <c r="E715" s="97"/>
      <c r="F715" s="97" t="s">
        <v>472</v>
      </c>
      <c r="G715" s="97" t="s">
        <v>446</v>
      </c>
      <c r="H715" s="97" t="s">
        <v>259</v>
      </c>
      <c r="I715" s="97" t="s">
        <v>247</v>
      </c>
      <c r="J715" s="98">
        <v>0</v>
      </c>
      <c r="K715" s="98">
        <v>475223710</v>
      </c>
      <c r="L715" s="97"/>
      <c r="M715" s="97"/>
      <c r="N715" s="97"/>
      <c r="O715" s="97"/>
      <c r="P715" s="97"/>
      <c r="Q715" s="97" t="s">
        <v>488</v>
      </c>
      <c r="R715" s="97"/>
      <c r="S715" s="97"/>
      <c r="T715" s="851">
        <f t="shared" si="11"/>
        <v>-475223710</v>
      </c>
    </row>
    <row r="716" spans="1:20">
      <c r="A716" s="96">
        <v>45657</v>
      </c>
      <c r="B716" s="96">
        <v>45657</v>
      </c>
      <c r="C716" s="97" t="s">
        <v>516</v>
      </c>
      <c r="D716" s="96"/>
      <c r="E716" s="97"/>
      <c r="F716" s="97" t="s">
        <v>472</v>
      </c>
      <c r="G716" s="97" t="s">
        <v>446</v>
      </c>
      <c r="H716" s="97" t="s">
        <v>745</v>
      </c>
      <c r="I716" s="97" t="s">
        <v>247</v>
      </c>
      <c r="J716" s="98">
        <v>0</v>
      </c>
      <c r="K716" s="98">
        <v>1617687438</v>
      </c>
      <c r="L716" s="97"/>
      <c r="M716" s="97"/>
      <c r="N716" s="97"/>
      <c r="O716" s="97"/>
      <c r="P716" s="97"/>
      <c r="Q716" s="97" t="s">
        <v>488</v>
      </c>
      <c r="R716" s="97"/>
      <c r="S716" s="97"/>
      <c r="T716" s="851">
        <f t="shared" si="11"/>
        <v>-1617687438</v>
      </c>
    </row>
    <row r="717" spans="1:20">
      <c r="A717" s="96">
        <v>45657</v>
      </c>
      <c r="B717" s="96">
        <v>45657</v>
      </c>
      <c r="C717" s="97" t="s">
        <v>516</v>
      </c>
      <c r="D717" s="96"/>
      <c r="E717" s="97"/>
      <c r="F717" s="97" t="s">
        <v>472</v>
      </c>
      <c r="G717" s="97" t="s">
        <v>446</v>
      </c>
      <c r="H717" s="97" t="s">
        <v>251</v>
      </c>
      <c r="I717" s="97" t="s">
        <v>247</v>
      </c>
      <c r="J717" s="98">
        <v>359332575</v>
      </c>
      <c r="K717" s="98">
        <v>0</v>
      </c>
      <c r="L717" s="97"/>
      <c r="M717" s="97"/>
      <c r="N717" s="97"/>
      <c r="O717" s="97"/>
      <c r="P717" s="97"/>
      <c r="Q717" s="97" t="s">
        <v>488</v>
      </c>
      <c r="R717" s="97"/>
      <c r="S717" s="97"/>
      <c r="T717" s="851">
        <f t="shared" si="11"/>
        <v>359332575</v>
      </c>
    </row>
    <row r="718" spans="1:20">
      <c r="A718" s="96">
        <v>45657</v>
      </c>
      <c r="B718" s="96">
        <v>45657</v>
      </c>
      <c r="C718" s="97" t="s">
        <v>516</v>
      </c>
      <c r="D718" s="96"/>
      <c r="E718" s="97"/>
      <c r="F718" s="97" t="s">
        <v>473</v>
      </c>
      <c r="G718" s="97" t="s">
        <v>446</v>
      </c>
      <c r="H718" s="97" t="s">
        <v>303</v>
      </c>
      <c r="I718" s="97" t="s">
        <v>303</v>
      </c>
      <c r="J718" s="98">
        <v>823307200</v>
      </c>
      <c r="K718" s="98">
        <v>0</v>
      </c>
      <c r="L718" s="97"/>
      <c r="M718" s="97"/>
      <c r="N718" s="97"/>
      <c r="O718" s="97"/>
      <c r="P718" s="97"/>
      <c r="Q718" s="97" t="s">
        <v>488</v>
      </c>
      <c r="R718" s="97"/>
      <c r="S718" s="97"/>
      <c r="T718" s="851">
        <f t="shared" si="11"/>
        <v>823307200</v>
      </c>
    </row>
    <row r="719" spans="1:20">
      <c r="A719" s="96">
        <v>45657</v>
      </c>
      <c r="B719" s="96">
        <v>45657</v>
      </c>
      <c r="C719" s="97" t="s">
        <v>516</v>
      </c>
      <c r="D719" s="96"/>
      <c r="E719" s="97"/>
      <c r="F719" s="97" t="s">
        <v>474</v>
      </c>
      <c r="G719" s="97" t="s">
        <v>446</v>
      </c>
      <c r="H719" s="97" t="s">
        <v>309</v>
      </c>
      <c r="I719" s="97" t="s">
        <v>305</v>
      </c>
      <c r="J719" s="98">
        <v>0</v>
      </c>
      <c r="K719" s="98">
        <v>991360132</v>
      </c>
      <c r="L719" s="97"/>
      <c r="M719" s="97"/>
      <c r="N719" s="97"/>
      <c r="O719" s="97"/>
      <c r="P719" s="97"/>
      <c r="Q719" s="97" t="s">
        <v>488</v>
      </c>
      <c r="R719" s="97"/>
      <c r="S719" s="97"/>
      <c r="T719" s="851">
        <f t="shared" si="11"/>
        <v>-991360132</v>
      </c>
    </row>
    <row r="720" spans="1:20">
      <c r="A720" s="96">
        <v>45657</v>
      </c>
      <c r="B720" s="96">
        <v>45657</v>
      </c>
      <c r="C720" s="97" t="s">
        <v>516</v>
      </c>
      <c r="D720" s="96"/>
      <c r="E720" s="97"/>
      <c r="F720" s="97" t="s">
        <v>474</v>
      </c>
      <c r="G720" s="97" t="s">
        <v>446</v>
      </c>
      <c r="H720" s="97" t="s">
        <v>329</v>
      </c>
      <c r="I720" s="97" t="s">
        <v>305</v>
      </c>
      <c r="J720" s="98">
        <v>0</v>
      </c>
      <c r="K720" s="98">
        <v>414661526</v>
      </c>
      <c r="L720" s="97"/>
      <c r="M720" s="97"/>
      <c r="N720" s="97"/>
      <c r="O720" s="97"/>
      <c r="P720" s="97"/>
      <c r="Q720" s="97" t="s">
        <v>488</v>
      </c>
      <c r="R720" s="97"/>
      <c r="S720" s="97"/>
      <c r="T720" s="851">
        <f t="shared" si="11"/>
        <v>-414661526</v>
      </c>
    </row>
    <row r="721" spans="1:20">
      <c r="A721" s="96">
        <v>45657</v>
      </c>
      <c r="B721" s="96">
        <v>45657</v>
      </c>
      <c r="C721" s="97" t="s">
        <v>516</v>
      </c>
      <c r="D721" s="96"/>
      <c r="E721" s="97"/>
      <c r="F721" s="97" t="s">
        <v>474</v>
      </c>
      <c r="G721" s="97" t="s">
        <v>446</v>
      </c>
      <c r="H721" s="97" t="s">
        <v>331</v>
      </c>
      <c r="I721" s="97" t="s">
        <v>305</v>
      </c>
      <c r="J721" s="98">
        <v>421093</v>
      </c>
      <c r="K721" s="98">
        <v>0</v>
      </c>
      <c r="L721" s="97"/>
      <c r="M721" s="97"/>
      <c r="N721" s="97"/>
      <c r="O721" s="97"/>
      <c r="P721" s="97"/>
      <c r="Q721" s="97" t="s">
        <v>488</v>
      </c>
      <c r="R721" s="97"/>
      <c r="S721" s="97"/>
      <c r="T721" s="851">
        <f t="shared" si="11"/>
        <v>421093</v>
      </c>
    </row>
    <row r="722" spans="1:20">
      <c r="A722" s="96">
        <v>45657</v>
      </c>
      <c r="B722" s="96">
        <v>45657</v>
      </c>
      <c r="C722" s="97" t="s">
        <v>516</v>
      </c>
      <c r="D722" s="96"/>
      <c r="E722" s="97"/>
      <c r="F722" s="97" t="s">
        <v>474</v>
      </c>
      <c r="G722" s="97" t="s">
        <v>446</v>
      </c>
      <c r="H722" s="97" t="s">
        <v>313</v>
      </c>
      <c r="I722" s="97" t="s">
        <v>305</v>
      </c>
      <c r="J722" s="98">
        <v>316111041</v>
      </c>
      <c r="K722" s="98">
        <v>0</v>
      </c>
      <c r="L722" s="97"/>
      <c r="M722" s="97"/>
      <c r="N722" s="97"/>
      <c r="O722" s="97"/>
      <c r="P722" s="97"/>
      <c r="Q722" s="97" t="s">
        <v>488</v>
      </c>
      <c r="R722" s="97"/>
      <c r="S722" s="97"/>
      <c r="T722" s="851">
        <f t="shared" si="11"/>
        <v>316111041</v>
      </c>
    </row>
    <row r="723" spans="1:20">
      <c r="A723" s="96">
        <v>45657</v>
      </c>
      <c r="B723" s="96">
        <v>45657</v>
      </c>
      <c r="C723" s="97" t="s">
        <v>516</v>
      </c>
      <c r="D723" s="96"/>
      <c r="E723" s="97"/>
      <c r="F723" s="97" t="s">
        <v>474</v>
      </c>
      <c r="G723" s="97" t="s">
        <v>446</v>
      </c>
      <c r="H723" s="97" t="s">
        <v>317</v>
      </c>
      <c r="I723" s="97" t="s">
        <v>305</v>
      </c>
      <c r="J723" s="98">
        <v>11153094</v>
      </c>
      <c r="K723" s="98">
        <v>0</v>
      </c>
      <c r="L723" s="97"/>
      <c r="M723" s="97"/>
      <c r="N723" s="97"/>
      <c r="O723" s="97"/>
      <c r="P723" s="97"/>
      <c r="Q723" s="97" t="s">
        <v>488</v>
      </c>
      <c r="R723" s="97"/>
      <c r="S723" s="97"/>
      <c r="T723" s="851">
        <f t="shared" si="11"/>
        <v>11153094</v>
      </c>
    </row>
    <row r="724" spans="1:20">
      <c r="A724" s="96">
        <v>45657</v>
      </c>
      <c r="B724" s="96">
        <v>45657</v>
      </c>
      <c r="C724" s="97" t="s">
        <v>516</v>
      </c>
      <c r="D724" s="96"/>
      <c r="E724" s="97"/>
      <c r="F724" s="97" t="s">
        <v>474</v>
      </c>
      <c r="G724" s="97" t="s">
        <v>446</v>
      </c>
      <c r="H724" s="97" t="s">
        <v>747</v>
      </c>
      <c r="I724" s="97" t="s">
        <v>305</v>
      </c>
      <c r="J724" s="98">
        <v>81427</v>
      </c>
      <c r="K724" s="98">
        <v>0</v>
      </c>
      <c r="L724" s="97"/>
      <c r="M724" s="97"/>
      <c r="N724" s="97"/>
      <c r="O724" s="97"/>
      <c r="P724" s="97"/>
      <c r="Q724" s="97" t="s">
        <v>488</v>
      </c>
      <c r="R724" s="97"/>
      <c r="S724" s="97"/>
      <c r="T724" s="851">
        <f t="shared" si="11"/>
        <v>81427</v>
      </c>
    </row>
    <row r="725" spans="1:20">
      <c r="A725" s="96">
        <v>45657</v>
      </c>
      <c r="B725" s="96">
        <v>45657</v>
      </c>
      <c r="C725" s="97" t="s">
        <v>516</v>
      </c>
      <c r="D725" s="96"/>
      <c r="E725" s="97"/>
      <c r="F725" s="97" t="s">
        <v>474</v>
      </c>
      <c r="G725" s="97" t="s">
        <v>446</v>
      </c>
      <c r="H725" s="97" t="s">
        <v>325</v>
      </c>
      <c r="I725" s="97" t="s">
        <v>305</v>
      </c>
      <c r="J725" s="98">
        <v>11083562</v>
      </c>
      <c r="K725" s="98">
        <v>0</v>
      </c>
      <c r="L725" s="97"/>
      <c r="M725" s="97"/>
      <c r="N725" s="97"/>
      <c r="O725" s="97"/>
      <c r="P725" s="97"/>
      <c r="Q725" s="97" t="s">
        <v>488</v>
      </c>
      <c r="R725" s="97"/>
      <c r="S725" s="97"/>
      <c r="T725" s="851">
        <f t="shared" si="11"/>
        <v>11083562</v>
      </c>
    </row>
    <row r="726" spans="1:20">
      <c r="A726" s="96">
        <v>45657</v>
      </c>
      <c r="B726" s="96">
        <v>45657</v>
      </c>
      <c r="C726" s="97" t="s">
        <v>516</v>
      </c>
      <c r="D726" s="96"/>
      <c r="E726" s="97"/>
      <c r="F726" s="97" t="s">
        <v>474</v>
      </c>
      <c r="G726" s="97" t="s">
        <v>446</v>
      </c>
      <c r="H726" s="97" t="s">
        <v>327</v>
      </c>
      <c r="I726" s="97" t="s">
        <v>305</v>
      </c>
      <c r="J726" s="98">
        <v>561875957</v>
      </c>
      <c r="K726" s="98">
        <v>0</v>
      </c>
      <c r="L726" s="97"/>
      <c r="M726" s="97"/>
      <c r="N726" s="97"/>
      <c r="O726" s="97"/>
      <c r="P726" s="97"/>
      <c r="Q726" s="97" t="s">
        <v>488</v>
      </c>
      <c r="R726" s="97"/>
      <c r="S726" s="97"/>
      <c r="T726" s="851">
        <f t="shared" si="11"/>
        <v>561875957</v>
      </c>
    </row>
    <row r="727" spans="1:20">
      <c r="A727" s="96">
        <v>45657</v>
      </c>
      <c r="B727" s="96">
        <v>45657</v>
      </c>
      <c r="C727" s="97" t="s">
        <v>516</v>
      </c>
      <c r="D727" s="96"/>
      <c r="E727" s="97"/>
      <c r="F727" s="97" t="s">
        <v>474</v>
      </c>
      <c r="G727" s="97" t="s">
        <v>446</v>
      </c>
      <c r="H727" s="97" t="s">
        <v>307</v>
      </c>
      <c r="I727" s="97" t="s">
        <v>305</v>
      </c>
      <c r="J727" s="98">
        <v>5950606597</v>
      </c>
      <c r="K727" s="98">
        <v>0</v>
      </c>
      <c r="L727" s="97"/>
      <c r="M727" s="97"/>
      <c r="N727" s="97"/>
      <c r="O727" s="97"/>
      <c r="P727" s="97"/>
      <c r="Q727" s="97" t="s">
        <v>488</v>
      </c>
      <c r="R727" s="97"/>
      <c r="S727" s="97"/>
      <c r="T727" s="851">
        <f t="shared" si="11"/>
        <v>5950606597</v>
      </c>
    </row>
    <row r="728" spans="1:20">
      <c r="A728" s="96">
        <v>45657</v>
      </c>
      <c r="B728" s="96">
        <v>45657</v>
      </c>
      <c r="C728" s="97" t="s">
        <v>516</v>
      </c>
      <c r="D728" s="96"/>
      <c r="E728" s="97"/>
      <c r="F728" s="97" t="s">
        <v>475</v>
      </c>
      <c r="G728" s="97" t="s">
        <v>446</v>
      </c>
      <c r="H728" s="97" t="s">
        <v>337</v>
      </c>
      <c r="I728" s="97" t="s">
        <v>333</v>
      </c>
      <c r="J728" s="98">
        <v>11541818</v>
      </c>
      <c r="K728" s="98">
        <v>0</v>
      </c>
      <c r="L728" s="97"/>
      <c r="M728" s="97"/>
      <c r="N728" s="97"/>
      <c r="O728" s="97"/>
      <c r="P728" s="97"/>
      <c r="Q728" s="97" t="s">
        <v>488</v>
      </c>
      <c r="R728" s="97"/>
      <c r="S728" s="97"/>
      <c r="T728" s="851">
        <f t="shared" si="11"/>
        <v>11541818</v>
      </c>
    </row>
    <row r="729" spans="1:20">
      <c r="A729" s="96">
        <v>45657</v>
      </c>
      <c r="B729" s="96">
        <v>45657</v>
      </c>
      <c r="C729" s="97" t="s">
        <v>516</v>
      </c>
      <c r="D729" s="96"/>
      <c r="E729" s="97"/>
      <c r="F729" s="97" t="s">
        <v>475</v>
      </c>
      <c r="G729" s="97" t="s">
        <v>446</v>
      </c>
      <c r="H729" s="97" t="s">
        <v>348</v>
      </c>
      <c r="I729" s="97" t="s">
        <v>333</v>
      </c>
      <c r="J729" s="98">
        <v>380180667</v>
      </c>
      <c r="K729" s="98">
        <v>0</v>
      </c>
      <c r="L729" s="97"/>
      <c r="M729" s="97"/>
      <c r="N729" s="97"/>
      <c r="O729" s="97"/>
      <c r="P729" s="97"/>
      <c r="Q729" s="97" t="s">
        <v>488</v>
      </c>
      <c r="R729" s="97"/>
      <c r="S729" s="97"/>
      <c r="T729" s="851">
        <f t="shared" si="11"/>
        <v>380180667</v>
      </c>
    </row>
    <row r="730" spans="1:20">
      <c r="A730" s="96">
        <v>45657</v>
      </c>
      <c r="B730" s="96">
        <v>45657</v>
      </c>
      <c r="C730" s="97" t="s">
        <v>516</v>
      </c>
      <c r="D730" s="96"/>
      <c r="E730" s="97"/>
      <c r="F730" s="97" t="s">
        <v>475</v>
      </c>
      <c r="G730" s="97" t="s">
        <v>446</v>
      </c>
      <c r="H730" s="97" t="s">
        <v>350</v>
      </c>
      <c r="I730" s="97" t="s">
        <v>333</v>
      </c>
      <c r="J730" s="98">
        <v>82756217</v>
      </c>
      <c r="K730" s="98">
        <v>0</v>
      </c>
      <c r="L730" s="97"/>
      <c r="M730" s="97"/>
      <c r="N730" s="97"/>
      <c r="O730" s="97"/>
      <c r="P730" s="97"/>
      <c r="Q730" s="97" t="s">
        <v>488</v>
      </c>
      <c r="R730" s="97"/>
      <c r="S730" s="97"/>
      <c r="T730" s="851">
        <f t="shared" si="11"/>
        <v>82756217</v>
      </c>
    </row>
    <row r="731" spans="1:20">
      <c r="A731" s="96">
        <v>45657</v>
      </c>
      <c r="B731" s="96">
        <v>45657</v>
      </c>
      <c r="C731" s="97" t="s">
        <v>516</v>
      </c>
      <c r="D731" s="96"/>
      <c r="E731" s="97"/>
      <c r="F731" s="97" t="s">
        <v>475</v>
      </c>
      <c r="G731" s="97" t="s">
        <v>446</v>
      </c>
      <c r="H731" s="97" t="s">
        <v>354</v>
      </c>
      <c r="I731" s="97" t="s">
        <v>333</v>
      </c>
      <c r="J731" s="98">
        <v>1801572</v>
      </c>
      <c r="K731" s="98">
        <v>0</v>
      </c>
      <c r="L731" s="97"/>
      <c r="M731" s="97"/>
      <c r="N731" s="97"/>
      <c r="O731" s="97"/>
      <c r="P731" s="97"/>
      <c r="Q731" s="97" t="s">
        <v>488</v>
      </c>
      <c r="R731" s="97"/>
      <c r="S731" s="97"/>
      <c r="T731" s="851">
        <f t="shared" si="11"/>
        <v>1801572</v>
      </c>
    </row>
    <row r="732" spans="1:20">
      <c r="A732" s="96">
        <v>45657</v>
      </c>
      <c r="B732" s="96">
        <v>45657</v>
      </c>
      <c r="C732" s="97" t="s">
        <v>516</v>
      </c>
      <c r="D732" s="96"/>
      <c r="E732" s="97"/>
      <c r="F732" s="97" t="s">
        <v>475</v>
      </c>
      <c r="G732" s="97" t="s">
        <v>446</v>
      </c>
      <c r="H732" s="97" t="s">
        <v>356</v>
      </c>
      <c r="I732" s="97" t="s">
        <v>333</v>
      </c>
      <c r="J732" s="98">
        <v>312525</v>
      </c>
      <c r="K732" s="98">
        <v>0</v>
      </c>
      <c r="L732" s="97"/>
      <c r="M732" s="97"/>
      <c r="N732" s="97"/>
      <c r="O732" s="97"/>
      <c r="P732" s="97"/>
      <c r="Q732" s="97" t="s">
        <v>488</v>
      </c>
      <c r="R732" s="97"/>
      <c r="S732" s="97"/>
      <c r="T732" s="851">
        <f t="shared" si="11"/>
        <v>312525</v>
      </c>
    </row>
    <row r="733" spans="1:20">
      <c r="A733" s="96">
        <v>45657</v>
      </c>
      <c r="B733" s="96">
        <v>45657</v>
      </c>
      <c r="C733" s="97" t="s">
        <v>516</v>
      </c>
      <c r="D733" s="96"/>
      <c r="E733" s="97"/>
      <c r="F733" s="97" t="s">
        <v>475</v>
      </c>
      <c r="G733" s="97" t="s">
        <v>446</v>
      </c>
      <c r="H733" s="97" t="s">
        <v>361</v>
      </c>
      <c r="I733" s="97" t="s">
        <v>333</v>
      </c>
      <c r="J733" s="98">
        <v>18272254</v>
      </c>
      <c r="K733" s="98">
        <v>0</v>
      </c>
      <c r="L733" s="97"/>
      <c r="M733" s="97"/>
      <c r="N733" s="97"/>
      <c r="O733" s="97"/>
      <c r="P733" s="97"/>
      <c r="Q733" s="97" t="s">
        <v>488</v>
      </c>
      <c r="R733" s="97"/>
      <c r="S733" s="97"/>
      <c r="T733" s="851">
        <f t="shared" si="11"/>
        <v>18272254</v>
      </c>
    </row>
    <row r="734" spans="1:20">
      <c r="A734" s="96">
        <v>45657</v>
      </c>
      <c r="B734" s="96">
        <v>45657</v>
      </c>
      <c r="C734" s="97" t="s">
        <v>516</v>
      </c>
      <c r="D734" s="96"/>
      <c r="E734" s="97"/>
      <c r="F734" s="97" t="s">
        <v>475</v>
      </c>
      <c r="G734" s="97" t="s">
        <v>446</v>
      </c>
      <c r="H734" s="97" t="s">
        <v>363</v>
      </c>
      <c r="I734" s="97" t="s">
        <v>333</v>
      </c>
      <c r="J734" s="98">
        <v>270000</v>
      </c>
      <c r="K734" s="98">
        <v>0</v>
      </c>
      <c r="L734" s="97"/>
      <c r="M734" s="97"/>
      <c r="N734" s="97"/>
      <c r="O734" s="97"/>
      <c r="P734" s="97"/>
      <c r="Q734" s="97" t="s">
        <v>488</v>
      </c>
      <c r="R734" s="97"/>
      <c r="S734" s="97"/>
      <c r="T734" s="851">
        <f t="shared" si="11"/>
        <v>270000</v>
      </c>
    </row>
    <row r="735" spans="1:20">
      <c r="A735" s="96">
        <v>45657</v>
      </c>
      <c r="B735" s="96">
        <v>45657</v>
      </c>
      <c r="C735" s="97" t="s">
        <v>516</v>
      </c>
      <c r="D735" s="96"/>
      <c r="E735" s="97"/>
      <c r="F735" s="97" t="s">
        <v>475</v>
      </c>
      <c r="G735" s="97" t="s">
        <v>446</v>
      </c>
      <c r="H735" s="97" t="s">
        <v>367</v>
      </c>
      <c r="I735" s="97" t="s">
        <v>333</v>
      </c>
      <c r="J735" s="98">
        <v>305676</v>
      </c>
      <c r="K735" s="98">
        <v>0</v>
      </c>
      <c r="L735" s="97"/>
      <c r="M735" s="97"/>
      <c r="N735" s="97"/>
      <c r="O735" s="97"/>
      <c r="P735" s="97"/>
      <c r="Q735" s="97" t="s">
        <v>488</v>
      </c>
      <c r="R735" s="97"/>
      <c r="S735" s="97"/>
      <c r="T735" s="851">
        <f t="shared" si="11"/>
        <v>305676</v>
      </c>
    </row>
    <row r="736" spans="1:20">
      <c r="A736" s="96">
        <v>45657</v>
      </c>
      <c r="B736" s="96">
        <v>45657</v>
      </c>
      <c r="C736" s="97" t="s">
        <v>516</v>
      </c>
      <c r="D736" s="96"/>
      <c r="E736" s="97"/>
      <c r="F736" s="97" t="s">
        <v>475</v>
      </c>
      <c r="G736" s="97" t="s">
        <v>446</v>
      </c>
      <c r="H736" s="97" t="s">
        <v>370</v>
      </c>
      <c r="I736" s="97" t="s">
        <v>333</v>
      </c>
      <c r="J736" s="98">
        <v>332693589</v>
      </c>
      <c r="K736" s="98">
        <v>0</v>
      </c>
      <c r="L736" s="97"/>
      <c r="M736" s="97"/>
      <c r="N736" s="97"/>
      <c r="O736" s="97"/>
      <c r="P736" s="97"/>
      <c r="Q736" s="97" t="s">
        <v>488</v>
      </c>
      <c r="R736" s="97"/>
      <c r="S736" s="97"/>
      <c r="T736" s="851">
        <f t="shared" si="11"/>
        <v>332693589</v>
      </c>
    </row>
    <row r="737" spans="1:20">
      <c r="A737" s="96">
        <v>45657</v>
      </c>
      <c r="B737" s="96">
        <v>45657</v>
      </c>
      <c r="C737" s="97" t="s">
        <v>516</v>
      </c>
      <c r="D737" s="96"/>
      <c r="E737" s="97"/>
      <c r="F737" s="97" t="s">
        <v>476</v>
      </c>
      <c r="G737" s="97" t="s">
        <v>446</v>
      </c>
      <c r="H737" s="97" t="s">
        <v>378</v>
      </c>
      <c r="I737" s="97" t="s">
        <v>374</v>
      </c>
      <c r="J737" s="98">
        <v>300884546</v>
      </c>
      <c r="K737" s="98">
        <v>0</v>
      </c>
      <c r="L737" s="97"/>
      <c r="M737" s="97"/>
      <c r="N737" s="97"/>
      <c r="O737" s="97"/>
      <c r="P737" s="97"/>
      <c r="Q737" s="97" t="s">
        <v>488</v>
      </c>
      <c r="R737" s="97"/>
      <c r="S737" s="97"/>
      <c r="T737" s="851">
        <f t="shared" si="11"/>
        <v>300884546</v>
      </c>
    </row>
    <row r="738" spans="1:20">
      <c r="A738" s="96">
        <v>45657</v>
      </c>
      <c r="B738" s="96">
        <v>45657</v>
      </c>
      <c r="C738" s="97" t="s">
        <v>516</v>
      </c>
      <c r="D738" s="96"/>
      <c r="E738" s="97"/>
      <c r="F738" s="97" t="s">
        <v>476</v>
      </c>
      <c r="G738" s="97" t="s">
        <v>446</v>
      </c>
      <c r="H738" s="97" t="s">
        <v>379</v>
      </c>
      <c r="I738" s="97" t="s">
        <v>374</v>
      </c>
      <c r="J738" s="98">
        <v>6442000</v>
      </c>
      <c r="K738" s="98">
        <v>0</v>
      </c>
      <c r="L738" s="97"/>
      <c r="M738" s="97"/>
      <c r="N738" s="97"/>
      <c r="O738" s="97"/>
      <c r="P738" s="97"/>
      <c r="Q738" s="97" t="s">
        <v>488</v>
      </c>
      <c r="R738" s="97"/>
      <c r="S738" s="97"/>
      <c r="T738" s="851">
        <f t="shared" si="11"/>
        <v>6442000</v>
      </c>
    </row>
    <row r="739" spans="1:20">
      <c r="A739" s="96">
        <v>45657</v>
      </c>
      <c r="B739" s="96">
        <v>45657</v>
      </c>
      <c r="C739" s="97" t="s">
        <v>516</v>
      </c>
      <c r="D739" s="96"/>
      <c r="E739" s="97"/>
      <c r="F739" s="97" t="s">
        <v>476</v>
      </c>
      <c r="G739" s="97" t="s">
        <v>446</v>
      </c>
      <c r="H739" s="97" t="s">
        <v>380</v>
      </c>
      <c r="I739" s="97" t="s">
        <v>374</v>
      </c>
      <c r="J739" s="98">
        <v>24561333</v>
      </c>
      <c r="K739" s="98">
        <v>0</v>
      </c>
      <c r="L739" s="97"/>
      <c r="M739" s="97"/>
      <c r="N739" s="97"/>
      <c r="O739" s="97"/>
      <c r="P739" s="97"/>
      <c r="Q739" s="97" t="s">
        <v>488</v>
      </c>
      <c r="R739" s="97"/>
      <c r="S739" s="97"/>
      <c r="T739" s="851">
        <f t="shared" si="11"/>
        <v>24561333</v>
      </c>
    </row>
    <row r="740" spans="1:20">
      <c r="A740" s="96">
        <v>45657</v>
      </c>
      <c r="B740" s="96">
        <v>45657</v>
      </c>
      <c r="C740" s="97" t="s">
        <v>516</v>
      </c>
      <c r="D740" s="96"/>
      <c r="E740" s="97"/>
      <c r="F740" s="97" t="s">
        <v>476</v>
      </c>
      <c r="G740" s="97" t="s">
        <v>446</v>
      </c>
      <c r="H740" s="97" t="s">
        <v>381</v>
      </c>
      <c r="I740" s="97" t="s">
        <v>374</v>
      </c>
      <c r="J740" s="98">
        <v>6595449</v>
      </c>
      <c r="K740" s="98">
        <v>0</v>
      </c>
      <c r="L740" s="97"/>
      <c r="M740" s="97"/>
      <c r="N740" s="97"/>
      <c r="O740" s="97"/>
      <c r="P740" s="97"/>
      <c r="Q740" s="97" t="s">
        <v>488</v>
      </c>
      <c r="R740" s="97"/>
      <c r="S740" s="97"/>
      <c r="T740" s="851">
        <f t="shared" si="11"/>
        <v>6595449</v>
      </c>
    </row>
    <row r="741" spans="1:20">
      <c r="A741" s="96">
        <v>45657</v>
      </c>
      <c r="B741" s="96">
        <v>45657</v>
      </c>
      <c r="C741" s="97" t="s">
        <v>516</v>
      </c>
      <c r="D741" s="96"/>
      <c r="E741" s="97"/>
      <c r="F741" s="97" t="s">
        <v>476</v>
      </c>
      <c r="G741" s="97" t="s">
        <v>446</v>
      </c>
      <c r="H741" s="97" t="s">
        <v>383</v>
      </c>
      <c r="I741" s="97" t="s">
        <v>374</v>
      </c>
      <c r="J741" s="98">
        <v>32041326</v>
      </c>
      <c r="K741" s="98">
        <v>0</v>
      </c>
      <c r="L741" s="97"/>
      <c r="M741" s="97"/>
      <c r="N741" s="97"/>
      <c r="O741" s="97"/>
      <c r="P741" s="97"/>
      <c r="Q741" s="97" t="s">
        <v>488</v>
      </c>
      <c r="R741" s="97"/>
      <c r="S741" s="97"/>
      <c r="T741" s="851">
        <f t="shared" si="11"/>
        <v>32041326</v>
      </c>
    </row>
    <row r="742" spans="1:20">
      <c r="A742" s="96">
        <v>45657</v>
      </c>
      <c r="B742" s="96">
        <v>45657</v>
      </c>
      <c r="C742" s="97" t="s">
        <v>516</v>
      </c>
      <c r="D742" s="96"/>
      <c r="E742" s="97"/>
      <c r="F742" s="97" t="s">
        <v>476</v>
      </c>
      <c r="G742" s="97" t="s">
        <v>446</v>
      </c>
      <c r="H742" s="97" t="s">
        <v>387</v>
      </c>
      <c r="I742" s="97" t="s">
        <v>374</v>
      </c>
      <c r="J742" s="98">
        <v>163861806</v>
      </c>
      <c r="K742" s="98">
        <v>0</v>
      </c>
      <c r="L742" s="97"/>
      <c r="M742" s="97"/>
      <c r="N742" s="97"/>
      <c r="O742" s="97"/>
      <c r="P742" s="97"/>
      <c r="Q742" s="97" t="s">
        <v>488</v>
      </c>
      <c r="R742" s="97"/>
      <c r="S742" s="97"/>
      <c r="T742" s="851">
        <f t="shared" si="11"/>
        <v>163861806</v>
      </c>
    </row>
    <row r="743" spans="1:20">
      <c r="A743" s="96">
        <v>45657</v>
      </c>
      <c r="B743" s="96">
        <v>45657</v>
      </c>
      <c r="C743" s="97" t="s">
        <v>516</v>
      </c>
      <c r="D743" s="96"/>
      <c r="E743" s="97"/>
      <c r="F743" s="97" t="s">
        <v>476</v>
      </c>
      <c r="G743" s="97" t="s">
        <v>446</v>
      </c>
      <c r="H743" s="97" t="s">
        <v>389</v>
      </c>
      <c r="I743" s="97" t="s">
        <v>374</v>
      </c>
      <c r="J743" s="98">
        <v>815866</v>
      </c>
      <c r="K743" s="98">
        <v>0</v>
      </c>
      <c r="L743" s="97"/>
      <c r="M743" s="97"/>
      <c r="N743" s="97"/>
      <c r="O743" s="97"/>
      <c r="P743" s="97"/>
      <c r="Q743" s="97" t="s">
        <v>488</v>
      </c>
      <c r="R743" s="97"/>
      <c r="S743" s="97"/>
      <c r="T743" s="851">
        <f t="shared" si="11"/>
        <v>815866</v>
      </c>
    </row>
    <row r="744" spans="1:20">
      <c r="A744" s="96">
        <v>45657</v>
      </c>
      <c r="B744" s="96">
        <v>45657</v>
      </c>
      <c r="C744" s="97" t="s">
        <v>516</v>
      </c>
      <c r="D744" s="96"/>
      <c r="E744" s="97"/>
      <c r="F744" s="97" t="s">
        <v>476</v>
      </c>
      <c r="G744" s="97" t="s">
        <v>446</v>
      </c>
      <c r="H744" s="97" t="s">
        <v>391</v>
      </c>
      <c r="I744" s="97" t="s">
        <v>374</v>
      </c>
      <c r="J744" s="98">
        <v>1983477</v>
      </c>
      <c r="K744" s="98">
        <v>0</v>
      </c>
      <c r="L744" s="97"/>
      <c r="M744" s="97"/>
      <c r="N744" s="97"/>
      <c r="O744" s="97"/>
      <c r="P744" s="97"/>
      <c r="Q744" s="97" t="s">
        <v>488</v>
      </c>
      <c r="R744" s="97"/>
      <c r="S744" s="97"/>
      <c r="T744" s="851">
        <f t="shared" si="11"/>
        <v>1983477</v>
      </c>
    </row>
    <row r="745" spans="1:20">
      <c r="A745" s="96">
        <v>45657</v>
      </c>
      <c r="B745" s="96">
        <v>45657</v>
      </c>
      <c r="C745" s="97" t="s">
        <v>516</v>
      </c>
      <c r="D745" s="96"/>
      <c r="E745" s="97"/>
      <c r="F745" s="97" t="s">
        <v>476</v>
      </c>
      <c r="G745" s="97" t="s">
        <v>446</v>
      </c>
      <c r="H745" s="97" t="s">
        <v>393</v>
      </c>
      <c r="I745" s="97" t="s">
        <v>374</v>
      </c>
      <c r="J745" s="98">
        <v>8347635</v>
      </c>
      <c r="K745" s="98">
        <v>0</v>
      </c>
      <c r="L745" s="97"/>
      <c r="M745" s="97"/>
      <c r="N745" s="97"/>
      <c r="O745" s="97"/>
      <c r="P745" s="97"/>
      <c r="Q745" s="97" t="s">
        <v>488</v>
      </c>
      <c r="R745" s="97"/>
      <c r="S745" s="97"/>
      <c r="T745" s="851">
        <f t="shared" si="11"/>
        <v>8347635</v>
      </c>
    </row>
    <row r="746" spans="1:20">
      <c r="A746" s="96">
        <v>45657</v>
      </c>
      <c r="B746" s="96">
        <v>45657</v>
      </c>
      <c r="C746" s="97" t="s">
        <v>516</v>
      </c>
      <c r="D746" s="96"/>
      <c r="E746" s="97"/>
      <c r="F746" s="97" t="s">
        <v>476</v>
      </c>
      <c r="G746" s="97" t="s">
        <v>446</v>
      </c>
      <c r="H746" s="97" t="s">
        <v>395</v>
      </c>
      <c r="I746" s="97" t="s">
        <v>374</v>
      </c>
      <c r="J746" s="98">
        <v>4776000</v>
      </c>
      <c r="K746" s="98">
        <v>0</v>
      </c>
      <c r="L746" s="97"/>
      <c r="M746" s="97"/>
      <c r="N746" s="97"/>
      <c r="O746" s="97"/>
      <c r="P746" s="97"/>
      <c r="Q746" s="97" t="s">
        <v>488</v>
      </c>
      <c r="R746" s="97"/>
      <c r="S746" s="97"/>
      <c r="T746" s="851">
        <f t="shared" si="11"/>
        <v>4776000</v>
      </c>
    </row>
    <row r="747" spans="1:20">
      <c r="A747" s="96">
        <v>45657</v>
      </c>
      <c r="B747" s="96">
        <v>45657</v>
      </c>
      <c r="C747" s="97" t="s">
        <v>516</v>
      </c>
      <c r="D747" s="96"/>
      <c r="E747" s="97"/>
      <c r="F747" s="97" t="s">
        <v>476</v>
      </c>
      <c r="G747" s="97" t="s">
        <v>446</v>
      </c>
      <c r="H747" s="97" t="s">
        <v>398</v>
      </c>
      <c r="I747" s="97" t="s">
        <v>374</v>
      </c>
      <c r="J747" s="98">
        <v>3156447</v>
      </c>
      <c r="K747" s="98">
        <v>0</v>
      </c>
      <c r="L747" s="97"/>
      <c r="M747" s="97"/>
      <c r="N747" s="97"/>
      <c r="O747" s="97"/>
      <c r="P747" s="97"/>
      <c r="Q747" s="97" t="s">
        <v>488</v>
      </c>
      <c r="R747" s="97"/>
      <c r="S747" s="97"/>
      <c r="T747" s="851">
        <f t="shared" si="11"/>
        <v>3156447</v>
      </c>
    </row>
    <row r="748" spans="1:20">
      <c r="A748" s="96">
        <v>45657</v>
      </c>
      <c r="B748" s="96">
        <v>45657</v>
      </c>
      <c r="C748" s="97" t="s">
        <v>516</v>
      </c>
      <c r="D748" s="96"/>
      <c r="E748" s="97"/>
      <c r="F748" s="97" t="s">
        <v>476</v>
      </c>
      <c r="G748" s="97" t="s">
        <v>446</v>
      </c>
      <c r="H748" s="97" t="s">
        <v>401</v>
      </c>
      <c r="I748" s="97" t="s">
        <v>374</v>
      </c>
      <c r="J748" s="98">
        <v>1108983</v>
      </c>
      <c r="K748" s="98">
        <v>0</v>
      </c>
      <c r="L748" s="97"/>
      <c r="M748" s="97"/>
      <c r="N748" s="97"/>
      <c r="O748" s="97"/>
      <c r="P748" s="97"/>
      <c r="Q748" s="97" t="s">
        <v>488</v>
      </c>
      <c r="R748" s="97"/>
      <c r="S748" s="97"/>
      <c r="T748" s="851">
        <f t="shared" si="11"/>
        <v>1108983</v>
      </c>
    </row>
    <row r="749" spans="1:20">
      <c r="A749" s="96">
        <v>45657</v>
      </c>
      <c r="B749" s="96">
        <v>45657</v>
      </c>
      <c r="C749" s="97" t="s">
        <v>516</v>
      </c>
      <c r="D749" s="96"/>
      <c r="E749" s="97"/>
      <c r="F749" s="97" t="s">
        <v>476</v>
      </c>
      <c r="G749" s="97" t="s">
        <v>446</v>
      </c>
      <c r="H749" s="97" t="s">
        <v>405</v>
      </c>
      <c r="I749" s="97" t="s">
        <v>374</v>
      </c>
      <c r="J749" s="98">
        <v>12000000</v>
      </c>
      <c r="K749" s="98">
        <v>0</v>
      </c>
      <c r="L749" s="97"/>
      <c r="M749" s="97"/>
      <c r="N749" s="97"/>
      <c r="O749" s="97"/>
      <c r="P749" s="97"/>
      <c r="Q749" s="97" t="s">
        <v>488</v>
      </c>
      <c r="R749" s="97"/>
      <c r="S749" s="97"/>
      <c r="T749" s="851">
        <f t="shared" si="11"/>
        <v>12000000</v>
      </c>
    </row>
    <row r="750" spans="1:20">
      <c r="A750" s="96">
        <v>45657</v>
      </c>
      <c r="B750" s="96">
        <v>45657</v>
      </c>
      <c r="C750" s="97" t="s">
        <v>516</v>
      </c>
      <c r="D750" s="96"/>
      <c r="E750" s="97"/>
      <c r="F750" s="97" t="s">
        <v>476</v>
      </c>
      <c r="G750" s="97" t="s">
        <v>446</v>
      </c>
      <c r="H750" s="97" t="s">
        <v>407</v>
      </c>
      <c r="I750" s="97" t="s">
        <v>374</v>
      </c>
      <c r="J750" s="98">
        <v>64393939</v>
      </c>
      <c r="K750" s="98">
        <v>0</v>
      </c>
      <c r="L750" s="97"/>
      <c r="M750" s="97"/>
      <c r="N750" s="97"/>
      <c r="O750" s="97"/>
      <c r="P750" s="97"/>
      <c r="Q750" s="97" t="s">
        <v>488</v>
      </c>
      <c r="R750" s="97"/>
      <c r="S750" s="97"/>
      <c r="T750" s="851">
        <f t="shared" si="11"/>
        <v>64393939</v>
      </c>
    </row>
    <row r="751" spans="1:20">
      <c r="A751" s="96">
        <v>45657</v>
      </c>
      <c r="B751" s="96">
        <v>45657</v>
      </c>
      <c r="C751" s="97" t="s">
        <v>516</v>
      </c>
      <c r="D751" s="96"/>
      <c r="E751" s="97"/>
      <c r="F751" s="97" t="s">
        <v>476</v>
      </c>
      <c r="G751" s="97" t="s">
        <v>446</v>
      </c>
      <c r="H751" s="97" t="s">
        <v>413</v>
      </c>
      <c r="I751" s="97" t="s">
        <v>374</v>
      </c>
      <c r="J751" s="98">
        <v>22562519</v>
      </c>
      <c r="K751" s="98">
        <v>0</v>
      </c>
      <c r="L751" s="97"/>
      <c r="M751" s="97"/>
      <c r="N751" s="97"/>
      <c r="O751" s="97"/>
      <c r="P751" s="97"/>
      <c r="Q751" s="97" t="s">
        <v>488</v>
      </c>
      <c r="R751" s="97"/>
      <c r="S751" s="97"/>
      <c r="T751" s="851">
        <f t="shared" si="11"/>
        <v>22562519</v>
      </c>
    </row>
    <row r="752" spans="1:20">
      <c r="A752" s="96">
        <v>45657</v>
      </c>
      <c r="B752" s="96">
        <v>45657</v>
      </c>
      <c r="C752" s="97" t="s">
        <v>516</v>
      </c>
      <c r="D752" s="96"/>
      <c r="E752" s="97"/>
      <c r="F752" s="97" t="s">
        <v>476</v>
      </c>
      <c r="G752" s="97" t="s">
        <v>446</v>
      </c>
      <c r="H752" s="97" t="s">
        <v>415</v>
      </c>
      <c r="I752" s="97" t="s">
        <v>374</v>
      </c>
      <c r="J752" s="98">
        <v>1636364</v>
      </c>
      <c r="K752" s="98">
        <v>0</v>
      </c>
      <c r="L752" s="97"/>
      <c r="M752" s="97"/>
      <c r="N752" s="97"/>
      <c r="O752" s="97"/>
      <c r="P752" s="97"/>
      <c r="Q752" s="97" t="s">
        <v>488</v>
      </c>
      <c r="R752" s="97"/>
      <c r="S752" s="97"/>
      <c r="T752" s="851">
        <f t="shared" si="11"/>
        <v>1636364</v>
      </c>
    </row>
    <row r="753" spans="1:20">
      <c r="A753" s="96">
        <v>45657</v>
      </c>
      <c r="B753" s="96">
        <v>45657</v>
      </c>
      <c r="C753" s="97" t="s">
        <v>516</v>
      </c>
      <c r="D753" s="96"/>
      <c r="E753" s="97"/>
      <c r="F753" s="97" t="s">
        <v>476</v>
      </c>
      <c r="G753" s="97" t="s">
        <v>446</v>
      </c>
      <c r="H753" s="97" t="s">
        <v>419</v>
      </c>
      <c r="I753" s="97" t="s">
        <v>374</v>
      </c>
      <c r="J753" s="98">
        <v>1950000</v>
      </c>
      <c r="K753" s="98">
        <v>0</v>
      </c>
      <c r="L753" s="97"/>
      <c r="M753" s="97"/>
      <c r="N753" s="97"/>
      <c r="O753" s="97"/>
      <c r="P753" s="97"/>
      <c r="Q753" s="97" t="s">
        <v>488</v>
      </c>
      <c r="R753" s="97"/>
      <c r="S753" s="97"/>
      <c r="T753" s="851">
        <f t="shared" si="11"/>
        <v>1950000</v>
      </c>
    </row>
    <row r="754" spans="1:20">
      <c r="A754" s="96">
        <v>45657</v>
      </c>
      <c r="B754" s="96">
        <v>45657</v>
      </c>
      <c r="C754" s="97" t="s">
        <v>516</v>
      </c>
      <c r="D754" s="96"/>
      <c r="E754" s="97"/>
      <c r="F754" s="97" t="s">
        <v>476</v>
      </c>
      <c r="G754" s="97" t="s">
        <v>446</v>
      </c>
      <c r="H754" s="97" t="s">
        <v>421</v>
      </c>
      <c r="I754" s="97" t="s">
        <v>374</v>
      </c>
      <c r="J754" s="98">
        <v>5634355</v>
      </c>
      <c r="K754" s="98">
        <v>0</v>
      </c>
      <c r="L754" s="97"/>
      <c r="M754" s="97"/>
      <c r="N754" s="97"/>
      <c r="O754" s="97"/>
      <c r="P754" s="97"/>
      <c r="Q754" s="97" t="s">
        <v>488</v>
      </c>
      <c r="R754" s="97"/>
      <c r="S754" s="97"/>
      <c r="T754" s="851">
        <f t="shared" si="11"/>
        <v>5634355</v>
      </c>
    </row>
    <row r="755" spans="1:20">
      <c r="A755" s="96">
        <v>45657</v>
      </c>
      <c r="B755" s="96">
        <v>45657</v>
      </c>
      <c r="C755" s="97" t="s">
        <v>516</v>
      </c>
      <c r="D755" s="96"/>
      <c r="E755" s="97"/>
      <c r="F755" s="97" t="s">
        <v>476</v>
      </c>
      <c r="G755" s="97" t="s">
        <v>446</v>
      </c>
      <c r="H755" s="97" t="s">
        <v>424</v>
      </c>
      <c r="I755" s="97" t="s">
        <v>374</v>
      </c>
      <c r="J755" s="98">
        <v>17452500</v>
      </c>
      <c r="K755" s="98">
        <v>0</v>
      </c>
      <c r="L755" s="97"/>
      <c r="M755" s="97"/>
      <c r="N755" s="97"/>
      <c r="O755" s="97"/>
      <c r="P755" s="97"/>
      <c r="Q755" s="97" t="s">
        <v>488</v>
      </c>
      <c r="R755" s="97"/>
      <c r="S755" s="97"/>
      <c r="T755" s="851">
        <f t="shared" si="11"/>
        <v>17452500</v>
      </c>
    </row>
    <row r="756" spans="1:20">
      <c r="A756" s="96">
        <v>45657</v>
      </c>
      <c r="B756" s="96">
        <v>45657</v>
      </c>
      <c r="C756" s="97" t="s">
        <v>516</v>
      </c>
      <c r="D756" s="96"/>
      <c r="E756" s="97"/>
      <c r="F756" s="97" t="s">
        <v>476</v>
      </c>
      <c r="G756" s="97" t="s">
        <v>446</v>
      </c>
      <c r="H756" s="97" t="s">
        <v>425</v>
      </c>
      <c r="I756" s="97" t="s">
        <v>374</v>
      </c>
      <c r="J756" s="98">
        <v>3710631</v>
      </c>
      <c r="K756" s="98">
        <v>0</v>
      </c>
      <c r="L756" s="97"/>
      <c r="M756" s="97"/>
      <c r="N756" s="97"/>
      <c r="O756" s="97"/>
      <c r="P756" s="97"/>
      <c r="Q756" s="97" t="s">
        <v>488</v>
      </c>
      <c r="R756" s="97"/>
      <c r="S756" s="97"/>
      <c r="T756" s="851">
        <f t="shared" si="11"/>
        <v>3710631</v>
      </c>
    </row>
    <row r="757" spans="1:20">
      <c r="A757" s="96">
        <v>45657</v>
      </c>
      <c r="B757" s="96">
        <v>45657</v>
      </c>
      <c r="C757" s="97" t="s">
        <v>516</v>
      </c>
      <c r="D757" s="96"/>
      <c r="E757" s="97"/>
      <c r="F757" s="97" t="s">
        <v>476</v>
      </c>
      <c r="G757" s="97" t="s">
        <v>446</v>
      </c>
      <c r="H757" s="97" t="s">
        <v>427</v>
      </c>
      <c r="I757" s="97" t="s">
        <v>374</v>
      </c>
      <c r="J757" s="98">
        <v>5444052</v>
      </c>
      <c r="K757" s="98">
        <v>0</v>
      </c>
      <c r="L757" s="97"/>
      <c r="M757" s="97"/>
      <c r="N757" s="97"/>
      <c r="O757" s="97"/>
      <c r="P757" s="97"/>
      <c r="Q757" s="97" t="s">
        <v>488</v>
      </c>
      <c r="R757" s="97"/>
      <c r="S757" s="97"/>
      <c r="T757" s="851">
        <f t="shared" si="11"/>
        <v>5444052</v>
      </c>
    </row>
    <row r="758" spans="1:20">
      <c r="A758" s="96">
        <v>45657</v>
      </c>
      <c r="B758" s="96">
        <v>45657</v>
      </c>
      <c r="C758" s="97" t="s">
        <v>516</v>
      </c>
      <c r="D758" s="96"/>
      <c r="E758" s="97"/>
      <c r="F758" s="97" t="s">
        <v>476</v>
      </c>
      <c r="G758" s="97" t="s">
        <v>446</v>
      </c>
      <c r="H758" s="97" t="s">
        <v>431</v>
      </c>
      <c r="I758" s="97" t="s">
        <v>374</v>
      </c>
      <c r="J758" s="98">
        <v>353333</v>
      </c>
      <c r="K758" s="98">
        <v>0</v>
      </c>
      <c r="L758" s="97"/>
      <c r="M758" s="97"/>
      <c r="N758" s="97"/>
      <c r="O758" s="97"/>
      <c r="P758" s="97"/>
      <c r="Q758" s="97" t="s">
        <v>488</v>
      </c>
      <c r="R758" s="97"/>
      <c r="S758" s="97"/>
      <c r="T758" s="851">
        <f t="shared" si="11"/>
        <v>353333</v>
      </c>
    </row>
    <row r="759" spans="1:20">
      <c r="A759" s="96">
        <v>45657</v>
      </c>
      <c r="B759" s="96">
        <v>45657</v>
      </c>
      <c r="C759" s="97" t="s">
        <v>516</v>
      </c>
      <c r="D759" s="96"/>
      <c r="E759" s="97"/>
      <c r="F759" s="97" t="s">
        <v>476</v>
      </c>
      <c r="G759" s="97" t="s">
        <v>446</v>
      </c>
      <c r="H759" s="97" t="s">
        <v>435</v>
      </c>
      <c r="I759" s="97" t="s">
        <v>374</v>
      </c>
      <c r="J759" s="98">
        <v>74322789</v>
      </c>
      <c r="K759" s="98">
        <v>0</v>
      </c>
      <c r="L759" s="97"/>
      <c r="M759" s="97"/>
      <c r="N759" s="97"/>
      <c r="O759" s="97"/>
      <c r="P759" s="97"/>
      <c r="Q759" s="97" t="s">
        <v>488</v>
      </c>
      <c r="R759" s="97"/>
      <c r="S759" s="97"/>
      <c r="T759" s="851">
        <f t="shared" si="11"/>
        <v>74322789</v>
      </c>
    </row>
    <row r="760" spans="1:20">
      <c r="A760" s="96">
        <v>45657</v>
      </c>
      <c r="B760" s="96">
        <v>45657</v>
      </c>
      <c r="C760" s="97" t="s">
        <v>516</v>
      </c>
      <c r="D760" s="96"/>
      <c r="E760" s="97"/>
      <c r="F760" s="97" t="s">
        <v>476</v>
      </c>
      <c r="G760" s="97" t="s">
        <v>446</v>
      </c>
      <c r="H760" s="97" t="s">
        <v>437</v>
      </c>
      <c r="I760" s="97" t="s">
        <v>374</v>
      </c>
      <c r="J760" s="98">
        <v>1021484</v>
      </c>
      <c r="K760" s="98">
        <v>0</v>
      </c>
      <c r="L760" s="97"/>
      <c r="M760" s="97"/>
      <c r="N760" s="97"/>
      <c r="O760" s="97"/>
      <c r="P760" s="97"/>
      <c r="Q760" s="97" t="s">
        <v>488</v>
      </c>
      <c r="R760" s="97"/>
      <c r="S760" s="97"/>
      <c r="T760" s="851">
        <f t="shared" si="11"/>
        <v>1021484</v>
      </c>
    </row>
    <row r="761" spans="1:20">
      <c r="A761" s="96">
        <v>45657</v>
      </c>
      <c r="B761" s="96">
        <v>45657</v>
      </c>
      <c r="C761" s="97" t="s">
        <v>516</v>
      </c>
      <c r="D761" s="96"/>
      <c r="E761" s="97"/>
      <c r="F761" s="97" t="s">
        <v>477</v>
      </c>
      <c r="G761" s="97" t="s">
        <v>446</v>
      </c>
      <c r="H761" s="97" t="s">
        <v>442</v>
      </c>
      <c r="I761" s="97" t="s">
        <v>442</v>
      </c>
      <c r="J761" s="98">
        <v>0</v>
      </c>
      <c r="K761" s="98">
        <v>1000002</v>
      </c>
      <c r="L761" s="97"/>
      <c r="M761" s="97"/>
      <c r="N761" s="97"/>
      <c r="O761" s="97"/>
      <c r="P761" s="97"/>
      <c r="Q761" s="97" t="s">
        <v>488</v>
      </c>
      <c r="R761" s="97"/>
      <c r="S761" s="97"/>
      <c r="T761" s="851">
        <f t="shared" si="11"/>
        <v>-1000002</v>
      </c>
    </row>
    <row r="762" spans="1:20">
      <c r="A762" s="96">
        <v>45657</v>
      </c>
      <c r="B762" s="96">
        <v>45657</v>
      </c>
      <c r="C762" s="97" t="s">
        <v>516</v>
      </c>
      <c r="D762" s="96"/>
      <c r="E762" s="97"/>
      <c r="F762" s="97" t="s">
        <v>478</v>
      </c>
      <c r="G762" s="97" t="s">
        <v>446</v>
      </c>
      <c r="H762" s="97" t="s">
        <v>444</v>
      </c>
      <c r="I762" s="97" t="s">
        <v>444</v>
      </c>
      <c r="J762" s="98">
        <v>6763665</v>
      </c>
      <c r="K762" s="98">
        <v>0</v>
      </c>
      <c r="L762" s="97"/>
      <c r="M762" s="97"/>
      <c r="N762" s="97"/>
      <c r="O762" s="97"/>
      <c r="P762" s="97"/>
      <c r="Q762" s="97" t="s">
        <v>488</v>
      </c>
      <c r="R762" s="97"/>
      <c r="S762" s="97"/>
      <c r="T762" s="851">
        <f t="shared" si="11"/>
        <v>6763665</v>
      </c>
    </row>
    <row r="763" spans="1:20">
      <c r="A763" s="96">
        <v>45657</v>
      </c>
      <c r="B763" s="96">
        <v>45657</v>
      </c>
      <c r="C763" s="97" t="s">
        <v>516</v>
      </c>
      <c r="D763" s="96"/>
      <c r="E763" s="97"/>
      <c r="F763" s="97" t="s">
        <v>479</v>
      </c>
      <c r="G763" s="97" t="s">
        <v>446</v>
      </c>
      <c r="H763" s="97" t="s">
        <v>217</v>
      </c>
      <c r="I763" s="97" t="s">
        <v>213</v>
      </c>
      <c r="J763" s="98">
        <v>7085026521</v>
      </c>
      <c r="K763" s="98">
        <v>0</v>
      </c>
      <c r="L763" s="97"/>
      <c r="M763" s="97"/>
      <c r="N763" s="97"/>
      <c r="O763" s="97"/>
      <c r="P763" s="97"/>
      <c r="Q763" s="97" t="s">
        <v>488</v>
      </c>
      <c r="R763" s="97"/>
      <c r="S763" s="97"/>
      <c r="T763" s="851">
        <f t="shared" si="11"/>
        <v>7085026521</v>
      </c>
    </row>
    <row r="764" spans="1:20">
      <c r="A764" s="96"/>
      <c r="B764" s="96"/>
      <c r="C764" s="97"/>
      <c r="D764" s="96"/>
      <c r="E764" s="97"/>
      <c r="F764" s="97"/>
      <c r="G764" s="97"/>
      <c r="H764" s="97"/>
      <c r="I764" s="97"/>
      <c r="J764" s="98"/>
      <c r="K764" s="98"/>
      <c r="L764" s="97"/>
      <c r="M764" s="97"/>
      <c r="N764" s="97"/>
      <c r="O764" s="97"/>
      <c r="P764" s="97"/>
      <c r="Q764" s="97"/>
      <c r="R764" s="97"/>
      <c r="S764" s="97"/>
      <c r="T764" s="851">
        <f t="shared" si="11"/>
        <v>0</v>
      </c>
    </row>
    <row r="765" spans="1:20">
      <c r="A765" s="96"/>
      <c r="B765" s="96"/>
      <c r="C765" s="97"/>
      <c r="D765" s="96"/>
      <c r="E765" s="97"/>
      <c r="F765" s="97"/>
      <c r="G765" s="97"/>
      <c r="H765" s="97"/>
      <c r="I765" s="97"/>
      <c r="J765" s="98"/>
      <c r="K765" s="98"/>
      <c r="L765" s="97"/>
      <c r="M765" s="97"/>
      <c r="N765" s="97"/>
      <c r="O765" s="97"/>
      <c r="P765" s="97"/>
      <c r="Q765" s="97"/>
      <c r="R765" s="97"/>
      <c r="S765" s="97"/>
      <c r="T765" s="851">
        <f t="shared" si="11"/>
        <v>0</v>
      </c>
    </row>
    <row r="766" spans="1:20">
      <c r="A766" s="96"/>
      <c r="B766" s="96"/>
      <c r="C766" s="97"/>
      <c r="D766" s="96"/>
      <c r="E766" s="97"/>
      <c r="F766" s="97"/>
      <c r="G766" s="97"/>
      <c r="H766" s="97"/>
      <c r="I766" s="97"/>
      <c r="J766" s="98"/>
      <c r="K766" s="98"/>
      <c r="L766" s="97"/>
      <c r="M766" s="97"/>
      <c r="N766" s="97"/>
      <c r="O766" s="97"/>
      <c r="P766" s="97"/>
      <c r="Q766" s="97"/>
      <c r="R766" s="97"/>
      <c r="S766" s="97"/>
      <c r="T766" s="851">
        <f t="shared" si="11"/>
        <v>0</v>
      </c>
    </row>
    <row r="767" spans="1:20">
      <c r="A767" s="96"/>
      <c r="B767" s="96"/>
      <c r="C767" s="97"/>
      <c r="D767" s="96"/>
      <c r="E767" s="97"/>
      <c r="F767" s="97"/>
      <c r="G767" s="97"/>
      <c r="H767" s="97"/>
      <c r="I767" s="97"/>
      <c r="J767" s="98"/>
      <c r="K767" s="98"/>
      <c r="L767" s="97"/>
      <c r="M767" s="97"/>
      <c r="N767" s="97"/>
      <c r="O767" s="97"/>
      <c r="P767" s="97"/>
      <c r="Q767" s="97"/>
      <c r="R767" s="97"/>
      <c r="S767" s="97"/>
      <c r="T767" s="851">
        <f t="shared" si="11"/>
        <v>0</v>
      </c>
    </row>
    <row r="768" spans="1:20">
      <c r="A768" s="96"/>
      <c r="B768" s="96"/>
      <c r="C768" s="97"/>
      <c r="D768" s="96"/>
      <c r="E768" s="97"/>
      <c r="F768" s="97"/>
      <c r="G768" s="97"/>
      <c r="H768" s="97"/>
      <c r="I768" s="97"/>
      <c r="J768" s="98"/>
      <c r="K768" s="98"/>
      <c r="L768" s="97"/>
      <c r="M768" s="97"/>
      <c r="N768" s="97"/>
      <c r="O768" s="97"/>
      <c r="P768" s="97"/>
      <c r="Q768" s="97"/>
      <c r="R768" s="97"/>
      <c r="S768" s="97"/>
      <c r="T768" s="851">
        <f t="shared" si="11"/>
        <v>0</v>
      </c>
    </row>
    <row r="769" spans="1:20">
      <c r="A769" s="96"/>
      <c r="B769" s="96"/>
      <c r="C769" s="97"/>
      <c r="D769" s="96"/>
      <c r="E769" s="97"/>
      <c r="F769" s="97"/>
      <c r="G769" s="97"/>
      <c r="H769" s="97"/>
      <c r="I769" s="97"/>
      <c r="J769" s="98"/>
      <c r="K769" s="98"/>
      <c r="L769" s="97"/>
      <c r="M769" s="97"/>
      <c r="N769" s="97"/>
      <c r="O769" s="97"/>
      <c r="P769" s="97"/>
      <c r="Q769" s="97"/>
      <c r="R769" s="97"/>
      <c r="S769" s="97"/>
      <c r="T769" s="851">
        <f t="shared" si="11"/>
        <v>0</v>
      </c>
    </row>
    <row r="770" spans="1:20">
      <c r="A770" s="96"/>
      <c r="B770" s="96"/>
      <c r="C770" s="97"/>
      <c r="D770" s="96"/>
      <c r="E770" s="97"/>
      <c r="F770" s="97"/>
      <c r="G770" s="97"/>
      <c r="H770" s="97"/>
      <c r="I770" s="97"/>
      <c r="J770" s="98"/>
      <c r="K770" s="98"/>
      <c r="L770" s="97"/>
      <c r="M770" s="97"/>
      <c r="N770" s="97"/>
      <c r="O770" s="97"/>
      <c r="P770" s="97"/>
      <c r="Q770" s="97"/>
      <c r="R770" s="97"/>
      <c r="S770" s="97"/>
      <c r="T770" s="851">
        <f t="shared" si="11"/>
        <v>0</v>
      </c>
    </row>
    <row r="771" spans="1:20">
      <c r="A771" s="96"/>
      <c r="B771" s="96"/>
      <c r="C771" s="97"/>
      <c r="D771" s="96"/>
      <c r="E771" s="97"/>
      <c r="F771" s="97"/>
      <c r="G771" s="97"/>
      <c r="H771" s="97"/>
      <c r="I771" s="97"/>
      <c r="J771" s="98"/>
      <c r="K771" s="98"/>
      <c r="L771" s="97"/>
      <c r="M771" s="97"/>
      <c r="N771" s="97"/>
      <c r="O771" s="97"/>
      <c r="P771" s="97"/>
      <c r="Q771" s="97"/>
      <c r="R771" s="97"/>
      <c r="S771" s="97"/>
      <c r="T771" s="851">
        <f t="shared" si="11"/>
        <v>0</v>
      </c>
    </row>
    <row r="772" spans="1:20">
      <c r="A772" s="96"/>
      <c r="B772" s="96"/>
      <c r="C772" s="97"/>
      <c r="D772" s="96"/>
      <c r="E772" s="97"/>
      <c r="F772" s="97"/>
      <c r="G772" s="97"/>
      <c r="H772" s="97"/>
      <c r="I772" s="97"/>
      <c r="J772" s="98"/>
      <c r="K772" s="98"/>
      <c r="L772" s="97"/>
      <c r="M772" s="97"/>
      <c r="N772" s="97"/>
      <c r="O772" s="97"/>
      <c r="P772" s="97"/>
      <c r="Q772" s="97"/>
      <c r="R772" s="97"/>
      <c r="S772" s="97"/>
      <c r="T772" s="851">
        <f t="shared" si="11"/>
        <v>0</v>
      </c>
    </row>
    <row r="773" spans="1:20">
      <c r="A773" s="96"/>
      <c r="B773" s="96"/>
      <c r="C773" s="97"/>
      <c r="D773" s="96"/>
      <c r="E773" s="97"/>
      <c r="F773" s="97"/>
      <c r="G773" s="97"/>
      <c r="H773" s="97"/>
      <c r="I773" s="97"/>
      <c r="J773" s="98"/>
      <c r="K773" s="98"/>
      <c r="L773" s="97"/>
      <c r="M773" s="97"/>
      <c r="N773" s="97"/>
      <c r="O773" s="97"/>
      <c r="P773" s="97"/>
      <c r="Q773" s="97"/>
      <c r="R773" s="97"/>
      <c r="S773" s="97"/>
      <c r="T773" s="851">
        <f t="shared" ref="T773:T833" si="12">J773-K773</f>
        <v>0</v>
      </c>
    </row>
    <row r="774" spans="1:20">
      <c r="A774" s="96"/>
      <c r="B774" s="96"/>
      <c r="C774" s="97"/>
      <c r="D774" s="96"/>
      <c r="E774" s="97"/>
      <c r="F774" s="97"/>
      <c r="G774" s="97"/>
      <c r="H774" s="97"/>
      <c r="I774" s="97"/>
      <c r="J774" s="98"/>
      <c r="K774" s="98"/>
      <c r="L774" s="97"/>
      <c r="M774" s="97"/>
      <c r="N774" s="97"/>
      <c r="O774" s="97"/>
      <c r="P774" s="97"/>
      <c r="Q774" s="97"/>
      <c r="R774" s="97"/>
      <c r="S774" s="97"/>
      <c r="T774" s="851">
        <f t="shared" si="12"/>
        <v>0</v>
      </c>
    </row>
    <row r="775" spans="1:20">
      <c r="A775" s="96"/>
      <c r="B775" s="96"/>
      <c r="C775" s="97"/>
      <c r="D775" s="96"/>
      <c r="E775" s="97"/>
      <c r="F775" s="97"/>
      <c r="G775" s="97"/>
      <c r="H775" s="97"/>
      <c r="I775" s="97"/>
      <c r="J775" s="98"/>
      <c r="K775" s="98"/>
      <c r="L775" s="97"/>
      <c r="M775" s="97"/>
      <c r="N775" s="97"/>
      <c r="O775" s="97"/>
      <c r="P775" s="97"/>
      <c r="Q775" s="97"/>
      <c r="R775" s="97"/>
      <c r="S775" s="97"/>
      <c r="T775" s="851">
        <f t="shared" si="12"/>
        <v>0</v>
      </c>
    </row>
    <row r="776" spans="1:20">
      <c r="A776" s="96"/>
      <c r="B776" s="96"/>
      <c r="C776" s="97"/>
      <c r="D776" s="96"/>
      <c r="E776" s="97"/>
      <c r="F776" s="97"/>
      <c r="G776" s="97"/>
      <c r="H776" s="97"/>
      <c r="I776" s="97"/>
      <c r="J776" s="98"/>
      <c r="K776" s="98"/>
      <c r="L776" s="97"/>
      <c r="M776" s="97"/>
      <c r="N776" s="97"/>
      <c r="O776" s="97"/>
      <c r="P776" s="97"/>
      <c r="Q776" s="97"/>
      <c r="R776" s="97"/>
      <c r="S776" s="97"/>
      <c r="T776" s="851">
        <f t="shared" si="12"/>
        <v>0</v>
      </c>
    </row>
    <row r="777" spans="1:20">
      <c r="A777" s="96"/>
      <c r="B777" s="96"/>
      <c r="C777" s="97"/>
      <c r="D777" s="96"/>
      <c r="E777" s="97"/>
      <c r="F777" s="97"/>
      <c r="G777" s="97"/>
      <c r="H777" s="97"/>
      <c r="I777" s="97"/>
      <c r="J777" s="98"/>
      <c r="K777" s="98"/>
      <c r="L777" s="97"/>
      <c r="M777" s="97"/>
      <c r="N777" s="97"/>
      <c r="O777" s="97"/>
      <c r="P777" s="97"/>
      <c r="Q777" s="97"/>
      <c r="R777" s="97"/>
      <c r="S777" s="97"/>
      <c r="T777" s="851">
        <f t="shared" si="12"/>
        <v>0</v>
      </c>
    </row>
    <row r="778" spans="1:20">
      <c r="A778" s="96"/>
      <c r="B778" s="96"/>
      <c r="C778" s="97"/>
      <c r="D778" s="96"/>
      <c r="E778" s="97"/>
      <c r="F778" s="97"/>
      <c r="G778" s="97"/>
      <c r="H778" s="97"/>
      <c r="I778" s="97"/>
      <c r="J778" s="98"/>
      <c r="K778" s="98"/>
      <c r="L778" s="97"/>
      <c r="M778" s="97"/>
      <c r="N778" s="97"/>
      <c r="O778" s="97"/>
      <c r="P778" s="97"/>
      <c r="Q778" s="97"/>
      <c r="R778" s="97"/>
      <c r="S778" s="97"/>
      <c r="T778" s="851">
        <f t="shared" si="12"/>
        <v>0</v>
      </c>
    </row>
    <row r="779" spans="1:20">
      <c r="A779" s="96"/>
      <c r="B779" s="96"/>
      <c r="C779" s="97"/>
      <c r="D779" s="96"/>
      <c r="E779" s="97"/>
      <c r="F779" s="97"/>
      <c r="G779" s="97"/>
      <c r="H779" s="97"/>
      <c r="I779" s="97"/>
      <c r="J779" s="98"/>
      <c r="K779" s="98"/>
      <c r="L779" s="97"/>
      <c r="M779" s="97"/>
      <c r="N779" s="97"/>
      <c r="O779" s="97"/>
      <c r="P779" s="97"/>
      <c r="Q779" s="97"/>
      <c r="R779" s="97"/>
      <c r="S779" s="97"/>
      <c r="T779" s="851">
        <f t="shared" si="12"/>
        <v>0</v>
      </c>
    </row>
    <row r="780" spans="1:20">
      <c r="A780" s="96"/>
      <c r="B780" s="96"/>
      <c r="C780" s="97"/>
      <c r="D780" s="96"/>
      <c r="E780" s="97"/>
      <c r="F780" s="97"/>
      <c r="G780" s="97"/>
      <c r="H780" s="97"/>
      <c r="I780" s="97"/>
      <c r="J780" s="98"/>
      <c r="K780" s="98"/>
      <c r="L780" s="97"/>
      <c r="M780" s="97"/>
      <c r="N780" s="97"/>
      <c r="O780" s="97"/>
      <c r="P780" s="97"/>
      <c r="Q780" s="97"/>
      <c r="R780" s="97"/>
      <c r="S780" s="97"/>
      <c r="T780" s="851">
        <f t="shared" si="12"/>
        <v>0</v>
      </c>
    </row>
    <row r="781" spans="1:20">
      <c r="A781" s="96"/>
      <c r="B781" s="96"/>
      <c r="C781" s="97"/>
      <c r="D781" s="96"/>
      <c r="E781" s="97"/>
      <c r="F781" s="97"/>
      <c r="G781" s="97"/>
      <c r="H781" s="97"/>
      <c r="I781" s="97"/>
      <c r="J781" s="98"/>
      <c r="K781" s="98"/>
      <c r="L781" s="97"/>
      <c r="M781" s="97"/>
      <c r="N781" s="97"/>
      <c r="O781" s="97"/>
      <c r="P781" s="97"/>
      <c r="Q781" s="97"/>
      <c r="R781" s="97"/>
      <c r="S781" s="97"/>
      <c r="T781" s="851">
        <f t="shared" si="12"/>
        <v>0</v>
      </c>
    </row>
    <row r="782" spans="1:20">
      <c r="A782" s="96"/>
      <c r="B782" s="96"/>
      <c r="C782" s="97"/>
      <c r="D782" s="96"/>
      <c r="E782" s="97"/>
      <c r="F782" s="97"/>
      <c r="G782" s="97"/>
      <c r="H782" s="97"/>
      <c r="I782" s="97"/>
      <c r="J782" s="98"/>
      <c r="K782" s="98"/>
      <c r="L782" s="97"/>
      <c r="M782" s="97"/>
      <c r="N782" s="97"/>
      <c r="O782" s="97"/>
      <c r="P782" s="97"/>
      <c r="Q782" s="97"/>
      <c r="R782" s="97"/>
      <c r="S782" s="97"/>
      <c r="T782" s="851">
        <f t="shared" si="12"/>
        <v>0</v>
      </c>
    </row>
    <row r="783" spans="1:20">
      <c r="A783" s="96"/>
      <c r="B783" s="96"/>
      <c r="C783" s="97"/>
      <c r="D783" s="96"/>
      <c r="E783" s="97"/>
      <c r="F783" s="97"/>
      <c r="G783" s="97"/>
      <c r="H783" s="97"/>
      <c r="I783" s="97"/>
      <c r="J783" s="98"/>
      <c r="K783" s="98"/>
      <c r="L783" s="97"/>
      <c r="M783" s="97"/>
      <c r="N783" s="97"/>
      <c r="O783" s="97"/>
      <c r="P783" s="97"/>
      <c r="Q783" s="97"/>
      <c r="R783" s="97"/>
      <c r="S783" s="97"/>
      <c r="T783" s="851">
        <f t="shared" si="12"/>
        <v>0</v>
      </c>
    </row>
    <row r="784" spans="1:20">
      <c r="A784" s="96"/>
      <c r="B784" s="96"/>
      <c r="C784" s="97"/>
      <c r="D784" s="96"/>
      <c r="E784" s="97"/>
      <c r="F784" s="97"/>
      <c r="G784" s="97"/>
      <c r="H784" s="97"/>
      <c r="I784" s="97"/>
      <c r="J784" s="98"/>
      <c r="K784" s="98"/>
      <c r="L784" s="97"/>
      <c r="M784" s="97"/>
      <c r="N784" s="97"/>
      <c r="O784" s="97"/>
      <c r="P784" s="97"/>
      <c r="Q784" s="97"/>
      <c r="R784" s="97"/>
      <c r="S784" s="97"/>
      <c r="T784" s="851">
        <f t="shared" si="12"/>
        <v>0</v>
      </c>
    </row>
    <row r="785" spans="1:20">
      <c r="A785" s="96"/>
      <c r="B785" s="96"/>
      <c r="C785" s="97"/>
      <c r="D785" s="96"/>
      <c r="E785" s="97"/>
      <c r="F785" s="97"/>
      <c r="G785" s="97"/>
      <c r="H785" s="97"/>
      <c r="I785" s="97"/>
      <c r="J785" s="98"/>
      <c r="K785" s="98"/>
      <c r="L785" s="97"/>
      <c r="M785" s="97"/>
      <c r="N785" s="97"/>
      <c r="O785" s="97"/>
      <c r="P785" s="97"/>
      <c r="Q785" s="97"/>
      <c r="R785" s="97"/>
      <c r="S785" s="97"/>
      <c r="T785" s="851">
        <f t="shared" si="12"/>
        <v>0</v>
      </c>
    </row>
    <row r="786" spans="1:20">
      <c r="A786" s="96"/>
      <c r="B786" s="96"/>
      <c r="C786" s="97"/>
      <c r="D786" s="96"/>
      <c r="E786" s="97"/>
      <c r="F786" s="97"/>
      <c r="G786" s="97"/>
      <c r="H786" s="97"/>
      <c r="I786" s="97"/>
      <c r="J786" s="98"/>
      <c r="K786" s="98"/>
      <c r="L786" s="97"/>
      <c r="M786" s="97"/>
      <c r="N786" s="97"/>
      <c r="O786" s="97"/>
      <c r="P786" s="97"/>
      <c r="Q786" s="97"/>
      <c r="R786" s="97"/>
      <c r="S786" s="97"/>
      <c r="T786" s="851">
        <f t="shared" si="12"/>
        <v>0</v>
      </c>
    </row>
    <row r="787" spans="1:20">
      <c r="A787" s="96"/>
      <c r="B787" s="96"/>
      <c r="C787" s="97"/>
      <c r="D787" s="96"/>
      <c r="E787" s="97"/>
      <c r="F787" s="97"/>
      <c r="G787" s="97"/>
      <c r="H787" s="97"/>
      <c r="I787" s="97"/>
      <c r="J787" s="98"/>
      <c r="K787" s="98"/>
      <c r="L787" s="97"/>
      <c r="M787" s="97"/>
      <c r="N787" s="97"/>
      <c r="O787" s="97"/>
      <c r="P787" s="97"/>
      <c r="Q787" s="97"/>
      <c r="R787" s="97"/>
      <c r="S787" s="97"/>
      <c r="T787" s="851">
        <f t="shared" si="12"/>
        <v>0</v>
      </c>
    </row>
    <row r="788" spans="1:20">
      <c r="A788" s="96"/>
      <c r="B788" s="96"/>
      <c r="C788" s="97"/>
      <c r="D788" s="96"/>
      <c r="E788" s="97"/>
      <c r="F788" s="97"/>
      <c r="G788" s="97"/>
      <c r="H788" s="97"/>
      <c r="I788" s="97"/>
      <c r="J788" s="98"/>
      <c r="K788" s="98"/>
      <c r="L788" s="97"/>
      <c r="M788" s="97"/>
      <c r="N788" s="97"/>
      <c r="O788" s="97"/>
      <c r="P788" s="97"/>
      <c r="Q788" s="97"/>
      <c r="R788" s="97"/>
      <c r="S788" s="97"/>
      <c r="T788" s="851">
        <f t="shared" si="12"/>
        <v>0</v>
      </c>
    </row>
    <row r="789" spans="1:20">
      <c r="A789" s="96"/>
      <c r="B789" s="96"/>
      <c r="C789" s="97"/>
      <c r="D789" s="96"/>
      <c r="E789" s="97"/>
      <c r="F789" s="97"/>
      <c r="G789" s="97"/>
      <c r="H789" s="97"/>
      <c r="I789" s="97"/>
      <c r="J789" s="98"/>
      <c r="K789" s="98"/>
      <c r="L789" s="97"/>
      <c r="M789" s="97"/>
      <c r="N789" s="97"/>
      <c r="O789" s="97"/>
      <c r="P789" s="97"/>
      <c r="Q789" s="97"/>
      <c r="R789" s="97"/>
      <c r="S789" s="97"/>
      <c r="T789" s="851">
        <f t="shared" si="12"/>
        <v>0</v>
      </c>
    </row>
    <row r="790" spans="1:20">
      <c r="A790" s="96"/>
      <c r="B790" s="96"/>
      <c r="C790" s="97"/>
      <c r="D790" s="96"/>
      <c r="E790" s="97"/>
      <c r="F790" s="97"/>
      <c r="G790" s="97"/>
      <c r="H790" s="97"/>
      <c r="I790" s="97"/>
      <c r="J790" s="98"/>
      <c r="K790" s="98"/>
      <c r="L790" s="97"/>
      <c r="M790" s="97"/>
      <c r="N790" s="97"/>
      <c r="O790" s="97"/>
      <c r="P790" s="97"/>
      <c r="Q790" s="97"/>
      <c r="R790" s="97"/>
      <c r="S790" s="97"/>
      <c r="T790" s="851">
        <f t="shared" si="12"/>
        <v>0</v>
      </c>
    </row>
    <row r="791" spans="1:20">
      <c r="A791" s="96"/>
      <c r="B791" s="96"/>
      <c r="C791" s="97"/>
      <c r="D791" s="96"/>
      <c r="E791" s="97"/>
      <c r="F791" s="97"/>
      <c r="G791" s="97"/>
      <c r="H791" s="97"/>
      <c r="I791" s="97"/>
      <c r="J791" s="98"/>
      <c r="K791" s="98"/>
      <c r="L791" s="97"/>
      <c r="M791" s="97"/>
      <c r="N791" s="97"/>
      <c r="O791" s="97"/>
      <c r="P791" s="97"/>
      <c r="Q791" s="97"/>
      <c r="R791" s="97"/>
      <c r="S791" s="97"/>
      <c r="T791" s="851">
        <f t="shared" si="12"/>
        <v>0</v>
      </c>
    </row>
    <row r="792" spans="1:20">
      <c r="A792" s="96"/>
      <c r="B792" s="96"/>
      <c r="C792" s="97"/>
      <c r="D792" s="96"/>
      <c r="E792" s="97"/>
      <c r="F792" s="97"/>
      <c r="G792" s="97"/>
      <c r="H792" s="97"/>
      <c r="I792" s="97"/>
      <c r="J792" s="98"/>
      <c r="K792" s="98"/>
      <c r="L792" s="97"/>
      <c r="M792" s="97"/>
      <c r="N792" s="97"/>
      <c r="O792" s="97"/>
      <c r="P792" s="97"/>
      <c r="Q792" s="97"/>
      <c r="R792" s="97"/>
      <c r="S792" s="97"/>
      <c r="T792" s="851">
        <f t="shared" si="12"/>
        <v>0</v>
      </c>
    </row>
    <row r="793" spans="1:20">
      <c r="A793" s="96"/>
      <c r="B793" s="96"/>
      <c r="C793" s="97"/>
      <c r="D793" s="96"/>
      <c r="E793" s="97"/>
      <c r="F793" s="97"/>
      <c r="G793" s="97"/>
      <c r="H793" s="97"/>
      <c r="I793" s="97"/>
      <c r="J793" s="98"/>
      <c r="K793" s="98"/>
      <c r="L793" s="97"/>
      <c r="M793" s="97"/>
      <c r="N793" s="97"/>
      <c r="O793" s="97"/>
      <c r="P793" s="97"/>
      <c r="Q793" s="97"/>
      <c r="R793" s="97"/>
      <c r="S793" s="97"/>
      <c r="T793" s="851">
        <f t="shared" si="12"/>
        <v>0</v>
      </c>
    </row>
    <row r="794" spans="1:20">
      <c r="A794" s="96"/>
      <c r="B794" s="96"/>
      <c r="C794" s="97"/>
      <c r="D794" s="96"/>
      <c r="E794" s="97"/>
      <c r="F794" s="97"/>
      <c r="G794" s="97"/>
      <c r="H794" s="97"/>
      <c r="I794" s="97"/>
      <c r="J794" s="98"/>
      <c r="K794" s="98"/>
      <c r="L794" s="97"/>
      <c r="M794" s="97"/>
      <c r="N794" s="97"/>
      <c r="O794" s="97"/>
      <c r="P794" s="97"/>
      <c r="Q794" s="97"/>
      <c r="R794" s="97"/>
      <c r="S794" s="97"/>
      <c r="T794" s="851">
        <f t="shared" si="12"/>
        <v>0</v>
      </c>
    </row>
    <row r="795" spans="1:20">
      <c r="A795" s="96"/>
      <c r="B795" s="96"/>
      <c r="C795" s="97"/>
      <c r="D795" s="96"/>
      <c r="E795" s="97"/>
      <c r="F795" s="97"/>
      <c r="G795" s="97"/>
      <c r="H795" s="97"/>
      <c r="I795" s="97"/>
      <c r="J795" s="98"/>
      <c r="K795" s="98"/>
      <c r="L795" s="97"/>
      <c r="M795" s="97"/>
      <c r="N795" s="97"/>
      <c r="O795" s="97"/>
      <c r="P795" s="97"/>
      <c r="Q795" s="97"/>
      <c r="R795" s="97"/>
      <c r="S795" s="97"/>
      <c r="T795" s="851">
        <f t="shared" si="12"/>
        <v>0</v>
      </c>
    </row>
    <row r="796" spans="1:20">
      <c r="A796" s="96"/>
      <c r="B796" s="96"/>
      <c r="C796" s="97"/>
      <c r="D796" s="96"/>
      <c r="E796" s="97"/>
      <c r="F796" s="97"/>
      <c r="G796" s="97"/>
      <c r="H796" s="97"/>
      <c r="I796" s="97"/>
      <c r="J796" s="98"/>
      <c r="K796" s="98"/>
      <c r="L796" s="97"/>
      <c r="M796" s="97"/>
      <c r="N796" s="97"/>
      <c r="O796" s="97"/>
      <c r="P796" s="97"/>
      <c r="Q796" s="97"/>
      <c r="R796" s="97"/>
      <c r="S796" s="97"/>
      <c r="T796" s="851">
        <f t="shared" si="12"/>
        <v>0</v>
      </c>
    </row>
    <row r="797" spans="1:20">
      <c r="A797" s="96"/>
      <c r="B797" s="96"/>
      <c r="C797" s="97"/>
      <c r="D797" s="96"/>
      <c r="E797" s="97"/>
      <c r="F797" s="97"/>
      <c r="G797" s="97"/>
      <c r="H797" s="97"/>
      <c r="I797" s="97"/>
      <c r="J797" s="98"/>
      <c r="K797" s="98"/>
      <c r="L797" s="97"/>
      <c r="M797" s="97"/>
      <c r="N797" s="97"/>
      <c r="O797" s="97"/>
      <c r="P797" s="97"/>
      <c r="Q797" s="97"/>
      <c r="R797" s="97"/>
      <c r="S797" s="97"/>
      <c r="T797" s="851">
        <f t="shared" si="12"/>
        <v>0</v>
      </c>
    </row>
    <row r="798" spans="1:20">
      <c r="A798" s="96"/>
      <c r="B798" s="96"/>
      <c r="C798" s="97"/>
      <c r="D798" s="96"/>
      <c r="E798" s="97"/>
      <c r="F798" s="97"/>
      <c r="G798" s="97"/>
      <c r="H798" s="97"/>
      <c r="I798" s="97"/>
      <c r="J798" s="98"/>
      <c r="K798" s="98"/>
      <c r="L798" s="97"/>
      <c r="M798" s="97"/>
      <c r="N798" s="97"/>
      <c r="O798" s="97"/>
      <c r="P798" s="97"/>
      <c r="Q798" s="97"/>
      <c r="R798" s="97"/>
      <c r="S798" s="97"/>
      <c r="T798" s="851">
        <f t="shared" si="12"/>
        <v>0</v>
      </c>
    </row>
    <row r="799" spans="1:20">
      <c r="A799" s="96"/>
      <c r="B799" s="96"/>
      <c r="C799" s="97"/>
      <c r="D799" s="96"/>
      <c r="E799" s="97"/>
      <c r="F799" s="97"/>
      <c r="G799" s="97"/>
      <c r="H799" s="97"/>
      <c r="I799" s="97"/>
      <c r="J799" s="98"/>
      <c r="K799" s="98"/>
      <c r="L799" s="97"/>
      <c r="M799" s="97"/>
      <c r="N799" s="97"/>
      <c r="O799" s="97"/>
      <c r="P799" s="97"/>
      <c r="Q799" s="97"/>
      <c r="R799" s="97"/>
      <c r="S799" s="97"/>
      <c r="T799" s="851">
        <f t="shared" si="12"/>
        <v>0</v>
      </c>
    </row>
    <row r="800" spans="1:20">
      <c r="A800" s="96"/>
      <c r="B800" s="96"/>
      <c r="C800" s="97"/>
      <c r="D800" s="96"/>
      <c r="E800" s="97"/>
      <c r="F800" s="97"/>
      <c r="G800" s="97"/>
      <c r="H800" s="97"/>
      <c r="I800" s="97"/>
      <c r="J800" s="98"/>
      <c r="K800" s="98"/>
      <c r="L800" s="97"/>
      <c r="M800" s="97"/>
      <c r="N800" s="97"/>
      <c r="O800" s="97"/>
      <c r="P800" s="97"/>
      <c r="Q800" s="97"/>
      <c r="R800" s="97"/>
      <c r="S800" s="97"/>
      <c r="T800" s="851">
        <f t="shared" si="12"/>
        <v>0</v>
      </c>
    </row>
    <row r="801" spans="1:20">
      <c r="A801" s="96"/>
      <c r="B801" s="96"/>
      <c r="C801" s="97"/>
      <c r="D801" s="96"/>
      <c r="E801" s="97"/>
      <c r="F801" s="97"/>
      <c r="G801" s="97"/>
      <c r="H801" s="97"/>
      <c r="I801" s="97"/>
      <c r="J801" s="98"/>
      <c r="K801" s="98"/>
      <c r="L801" s="97"/>
      <c r="M801" s="97"/>
      <c r="N801" s="97"/>
      <c r="O801" s="97"/>
      <c r="P801" s="97"/>
      <c r="Q801" s="97"/>
      <c r="R801" s="97"/>
      <c r="S801" s="97"/>
      <c r="T801" s="851">
        <f t="shared" si="12"/>
        <v>0</v>
      </c>
    </row>
    <row r="802" spans="1:20">
      <c r="A802" s="96"/>
      <c r="B802" s="96"/>
      <c r="C802" s="97"/>
      <c r="D802" s="96"/>
      <c r="E802" s="97"/>
      <c r="F802" s="97"/>
      <c r="G802" s="97"/>
      <c r="H802" s="97"/>
      <c r="I802" s="97"/>
      <c r="J802" s="98"/>
      <c r="K802" s="98"/>
      <c r="L802" s="97"/>
      <c r="M802" s="97"/>
      <c r="N802" s="97"/>
      <c r="O802" s="97"/>
      <c r="P802" s="97"/>
      <c r="Q802" s="97"/>
      <c r="R802" s="97"/>
      <c r="S802" s="97"/>
      <c r="T802" s="851">
        <f t="shared" si="12"/>
        <v>0</v>
      </c>
    </row>
    <row r="803" spans="1:20">
      <c r="A803" s="96"/>
      <c r="B803" s="96"/>
      <c r="C803" s="97"/>
      <c r="D803" s="96"/>
      <c r="E803" s="97"/>
      <c r="F803" s="97"/>
      <c r="G803" s="97"/>
      <c r="H803" s="97"/>
      <c r="I803" s="97"/>
      <c r="J803" s="98"/>
      <c r="K803" s="98"/>
      <c r="L803" s="97"/>
      <c r="M803" s="97"/>
      <c r="N803" s="97"/>
      <c r="O803" s="97"/>
      <c r="P803" s="97"/>
      <c r="Q803" s="97"/>
      <c r="R803" s="97"/>
      <c r="S803" s="97"/>
      <c r="T803" s="851">
        <f t="shared" si="12"/>
        <v>0</v>
      </c>
    </row>
    <row r="804" spans="1:20">
      <c r="A804" s="96"/>
      <c r="B804" s="96"/>
      <c r="C804" s="97"/>
      <c r="D804" s="96"/>
      <c r="E804" s="97"/>
      <c r="F804" s="97"/>
      <c r="G804" s="97"/>
      <c r="H804" s="97"/>
      <c r="I804" s="97"/>
      <c r="J804" s="98"/>
      <c r="K804" s="98"/>
      <c r="L804" s="97"/>
      <c r="M804" s="97"/>
      <c r="N804" s="97"/>
      <c r="O804" s="97"/>
      <c r="P804" s="97"/>
      <c r="Q804" s="97"/>
      <c r="R804" s="97"/>
      <c r="S804" s="97"/>
      <c r="T804" s="851">
        <f t="shared" si="12"/>
        <v>0</v>
      </c>
    </row>
    <row r="805" spans="1:20">
      <c r="A805" s="96"/>
      <c r="B805" s="96"/>
      <c r="C805" s="97"/>
      <c r="D805" s="96"/>
      <c r="E805" s="97"/>
      <c r="F805" s="97"/>
      <c r="G805" s="97"/>
      <c r="H805" s="97"/>
      <c r="I805" s="97"/>
      <c r="J805" s="98"/>
      <c r="K805" s="98"/>
      <c r="L805" s="97"/>
      <c r="M805" s="97"/>
      <c r="N805" s="97"/>
      <c r="O805" s="97"/>
      <c r="P805" s="97"/>
      <c r="Q805" s="97"/>
      <c r="R805" s="97"/>
      <c r="S805" s="97"/>
      <c r="T805" s="851">
        <f t="shared" si="12"/>
        <v>0</v>
      </c>
    </row>
    <row r="806" spans="1:20">
      <c r="A806" s="96"/>
      <c r="B806" s="96"/>
      <c r="C806" s="97"/>
      <c r="D806" s="96"/>
      <c r="E806" s="97"/>
      <c r="F806" s="97"/>
      <c r="G806" s="97"/>
      <c r="H806" s="97"/>
      <c r="I806" s="97"/>
      <c r="J806" s="98"/>
      <c r="K806" s="98"/>
      <c r="L806" s="97"/>
      <c r="M806" s="97"/>
      <c r="N806" s="97"/>
      <c r="O806" s="97"/>
      <c r="P806" s="97"/>
      <c r="Q806" s="97"/>
      <c r="R806" s="97"/>
      <c r="S806" s="97"/>
      <c r="T806" s="851">
        <f t="shared" si="12"/>
        <v>0</v>
      </c>
    </row>
    <row r="807" spans="1:20">
      <c r="A807" s="96"/>
      <c r="B807" s="96"/>
      <c r="C807" s="97"/>
      <c r="D807" s="96"/>
      <c r="E807" s="97"/>
      <c r="F807" s="97"/>
      <c r="G807" s="97"/>
      <c r="H807" s="97"/>
      <c r="I807" s="97"/>
      <c r="J807" s="98"/>
      <c r="K807" s="98"/>
      <c r="L807" s="97"/>
      <c r="M807" s="97"/>
      <c r="N807" s="97"/>
      <c r="O807" s="97"/>
      <c r="P807" s="97"/>
      <c r="Q807" s="97"/>
      <c r="R807" s="97"/>
      <c r="S807" s="97"/>
      <c r="T807" s="851">
        <f t="shared" si="12"/>
        <v>0</v>
      </c>
    </row>
    <row r="808" spans="1:20">
      <c r="A808" s="96"/>
      <c r="B808" s="96"/>
      <c r="C808" s="97"/>
      <c r="D808" s="96"/>
      <c r="E808" s="97"/>
      <c r="F808" s="97"/>
      <c r="G808" s="97"/>
      <c r="H808" s="97"/>
      <c r="I808" s="97"/>
      <c r="J808" s="98"/>
      <c r="K808" s="98"/>
      <c r="L808" s="97"/>
      <c r="M808" s="97"/>
      <c r="N808" s="97"/>
      <c r="O808" s="97"/>
      <c r="P808" s="97"/>
      <c r="Q808" s="97"/>
      <c r="R808" s="97"/>
      <c r="S808" s="97"/>
      <c r="T808" s="851">
        <f t="shared" si="12"/>
        <v>0</v>
      </c>
    </row>
    <row r="809" spans="1:20">
      <c r="A809" s="96"/>
      <c r="B809" s="96"/>
      <c r="C809" s="97"/>
      <c r="D809" s="96"/>
      <c r="E809" s="97"/>
      <c r="F809" s="97"/>
      <c r="G809" s="97"/>
      <c r="H809" s="97"/>
      <c r="I809" s="97"/>
      <c r="J809" s="98"/>
      <c r="K809" s="98"/>
      <c r="L809" s="97"/>
      <c r="M809" s="97"/>
      <c r="N809" s="97"/>
      <c r="O809" s="97"/>
      <c r="P809" s="97"/>
      <c r="Q809" s="97"/>
      <c r="R809" s="97"/>
      <c r="S809" s="97"/>
      <c r="T809" s="851">
        <f t="shared" si="12"/>
        <v>0</v>
      </c>
    </row>
    <row r="810" spans="1:20">
      <c r="A810" s="96"/>
      <c r="B810" s="96"/>
      <c r="C810" s="97"/>
      <c r="D810" s="96"/>
      <c r="E810" s="97"/>
      <c r="F810" s="97"/>
      <c r="G810" s="97"/>
      <c r="H810" s="97"/>
      <c r="I810" s="97"/>
      <c r="J810" s="98"/>
      <c r="K810" s="98"/>
      <c r="L810" s="97"/>
      <c r="M810" s="97"/>
      <c r="N810" s="97"/>
      <c r="O810" s="97"/>
      <c r="P810" s="97"/>
      <c r="Q810" s="97"/>
      <c r="R810" s="97"/>
      <c r="S810" s="97"/>
      <c r="T810" s="851">
        <f t="shared" si="12"/>
        <v>0</v>
      </c>
    </row>
    <row r="811" spans="1:20">
      <c r="A811" s="96"/>
      <c r="B811" s="96"/>
      <c r="C811" s="97"/>
      <c r="D811" s="96"/>
      <c r="E811" s="97"/>
      <c r="F811" s="97"/>
      <c r="G811" s="97"/>
      <c r="H811" s="97"/>
      <c r="I811" s="97"/>
      <c r="J811" s="98"/>
      <c r="K811" s="98"/>
      <c r="L811" s="97"/>
      <c r="M811" s="97"/>
      <c r="N811" s="97"/>
      <c r="O811" s="97"/>
      <c r="P811" s="97"/>
      <c r="Q811" s="97"/>
      <c r="R811" s="97"/>
      <c r="S811" s="97"/>
      <c r="T811" s="851">
        <f t="shared" si="12"/>
        <v>0</v>
      </c>
    </row>
    <row r="812" spans="1:20">
      <c r="A812" s="96"/>
      <c r="B812" s="96"/>
      <c r="C812" s="97"/>
      <c r="D812" s="96"/>
      <c r="E812" s="97"/>
      <c r="F812" s="97"/>
      <c r="G812" s="97"/>
      <c r="H812" s="97"/>
      <c r="I812" s="97"/>
      <c r="J812" s="98"/>
      <c r="K812" s="98"/>
      <c r="L812" s="97"/>
      <c r="M812" s="97"/>
      <c r="N812" s="97"/>
      <c r="O812" s="97"/>
      <c r="P812" s="97"/>
      <c r="Q812" s="97"/>
      <c r="R812" s="97"/>
      <c r="S812" s="97"/>
      <c r="T812" s="851">
        <f t="shared" si="12"/>
        <v>0</v>
      </c>
    </row>
    <row r="813" spans="1:20">
      <c r="A813" s="96"/>
      <c r="B813" s="96"/>
      <c r="C813" s="97"/>
      <c r="D813" s="96"/>
      <c r="E813" s="97"/>
      <c r="F813" s="97"/>
      <c r="G813" s="97"/>
      <c r="H813" s="97"/>
      <c r="I813" s="97"/>
      <c r="J813" s="98"/>
      <c r="K813" s="98"/>
      <c r="L813" s="97"/>
      <c r="M813" s="97"/>
      <c r="N813" s="97"/>
      <c r="O813" s="97"/>
      <c r="P813" s="97"/>
      <c r="Q813" s="97"/>
      <c r="R813" s="97"/>
      <c r="S813" s="97"/>
      <c r="T813" s="851">
        <f t="shared" si="12"/>
        <v>0</v>
      </c>
    </row>
    <row r="814" spans="1:20">
      <c r="A814" s="96"/>
      <c r="B814" s="96"/>
      <c r="C814" s="97"/>
      <c r="D814" s="96"/>
      <c r="E814" s="97"/>
      <c r="F814" s="97"/>
      <c r="G814" s="97"/>
      <c r="H814" s="97"/>
      <c r="I814" s="97"/>
      <c r="J814" s="98"/>
      <c r="K814" s="98"/>
      <c r="L814" s="97"/>
      <c r="M814" s="97"/>
      <c r="N814" s="97"/>
      <c r="O814" s="97"/>
      <c r="P814" s="97"/>
      <c r="Q814" s="97"/>
      <c r="R814" s="97"/>
      <c r="S814" s="97"/>
      <c r="T814" s="851">
        <f t="shared" si="12"/>
        <v>0</v>
      </c>
    </row>
    <row r="815" spans="1:20">
      <c r="A815" s="96"/>
      <c r="B815" s="96"/>
      <c r="C815" s="97"/>
      <c r="D815" s="96"/>
      <c r="E815" s="97"/>
      <c r="F815" s="97"/>
      <c r="G815" s="97"/>
      <c r="H815" s="97"/>
      <c r="I815" s="97"/>
      <c r="J815" s="98"/>
      <c r="K815" s="98"/>
      <c r="L815" s="97"/>
      <c r="M815" s="97"/>
      <c r="N815" s="97"/>
      <c r="O815" s="97"/>
      <c r="P815" s="97"/>
      <c r="Q815" s="97"/>
      <c r="R815" s="97"/>
      <c r="S815" s="97"/>
      <c r="T815" s="851">
        <f t="shared" si="12"/>
        <v>0</v>
      </c>
    </row>
    <row r="816" spans="1:20">
      <c r="A816" s="96"/>
      <c r="B816" s="96"/>
      <c r="C816" s="97"/>
      <c r="D816" s="96"/>
      <c r="E816" s="97"/>
      <c r="F816" s="97"/>
      <c r="G816" s="97"/>
      <c r="H816" s="97"/>
      <c r="I816" s="97"/>
      <c r="J816" s="98"/>
      <c r="K816" s="98"/>
      <c r="L816" s="97"/>
      <c r="M816" s="97"/>
      <c r="N816" s="97"/>
      <c r="O816" s="97"/>
      <c r="P816" s="97"/>
      <c r="Q816" s="97"/>
      <c r="R816" s="97"/>
      <c r="S816" s="97"/>
      <c r="T816" s="851">
        <f t="shared" si="12"/>
        <v>0</v>
      </c>
    </row>
    <row r="817" spans="1:20">
      <c r="A817" s="96"/>
      <c r="B817" s="96"/>
      <c r="C817" s="97"/>
      <c r="D817" s="96"/>
      <c r="E817" s="97"/>
      <c r="F817" s="97"/>
      <c r="G817" s="97"/>
      <c r="H817" s="97"/>
      <c r="I817" s="97"/>
      <c r="J817" s="98"/>
      <c r="K817" s="98"/>
      <c r="L817" s="97"/>
      <c r="M817" s="97"/>
      <c r="N817" s="97"/>
      <c r="O817" s="97"/>
      <c r="P817" s="97"/>
      <c r="Q817" s="97"/>
      <c r="R817" s="97"/>
      <c r="S817" s="97"/>
      <c r="T817" s="851">
        <f t="shared" si="12"/>
        <v>0</v>
      </c>
    </row>
    <row r="818" spans="1:20">
      <c r="A818" s="96"/>
      <c r="B818" s="96"/>
      <c r="C818" s="97"/>
      <c r="D818" s="96"/>
      <c r="E818" s="97"/>
      <c r="F818" s="97"/>
      <c r="G818" s="97"/>
      <c r="H818" s="97"/>
      <c r="I818" s="97"/>
      <c r="J818" s="98"/>
      <c r="K818" s="98"/>
      <c r="L818" s="97"/>
      <c r="M818" s="97"/>
      <c r="N818" s="97"/>
      <c r="O818" s="97"/>
      <c r="P818" s="97"/>
      <c r="Q818" s="97"/>
      <c r="R818" s="97"/>
      <c r="S818" s="97"/>
      <c r="T818" s="851">
        <f t="shared" si="12"/>
        <v>0</v>
      </c>
    </row>
    <row r="819" spans="1:20">
      <c r="A819" s="96"/>
      <c r="B819" s="96"/>
      <c r="C819" s="97"/>
      <c r="D819" s="96"/>
      <c r="E819" s="97"/>
      <c r="F819" s="97"/>
      <c r="G819" s="97"/>
      <c r="H819" s="97"/>
      <c r="I819" s="97"/>
      <c r="J819" s="98"/>
      <c r="K819" s="98"/>
      <c r="L819" s="97"/>
      <c r="M819" s="97"/>
      <c r="N819" s="97"/>
      <c r="O819" s="97"/>
      <c r="P819" s="97"/>
      <c r="Q819" s="97"/>
      <c r="R819" s="97"/>
      <c r="S819" s="97"/>
      <c r="T819" s="851">
        <f t="shared" si="12"/>
        <v>0</v>
      </c>
    </row>
    <row r="820" spans="1:20">
      <c r="A820" s="96"/>
      <c r="B820" s="96"/>
      <c r="C820" s="97"/>
      <c r="D820" s="96"/>
      <c r="E820" s="97"/>
      <c r="F820" s="97"/>
      <c r="G820" s="97"/>
      <c r="H820" s="97"/>
      <c r="I820" s="97"/>
      <c r="J820" s="98"/>
      <c r="K820" s="98"/>
      <c r="L820" s="97"/>
      <c r="M820" s="97"/>
      <c r="N820" s="97"/>
      <c r="O820" s="97"/>
      <c r="P820" s="97"/>
      <c r="Q820" s="97"/>
      <c r="R820" s="97"/>
      <c r="S820" s="97"/>
      <c r="T820" s="851">
        <f t="shared" si="12"/>
        <v>0</v>
      </c>
    </row>
    <row r="821" spans="1:20">
      <c r="A821" s="96"/>
      <c r="B821" s="96"/>
      <c r="C821" s="97"/>
      <c r="D821" s="96"/>
      <c r="E821" s="97"/>
      <c r="F821" s="97"/>
      <c r="G821" s="97"/>
      <c r="H821" s="97"/>
      <c r="I821" s="97"/>
      <c r="J821" s="98"/>
      <c r="K821" s="98"/>
      <c r="L821" s="97"/>
      <c r="M821" s="97"/>
      <c r="N821" s="97"/>
      <c r="O821" s="97"/>
      <c r="P821" s="97"/>
      <c r="Q821" s="97"/>
      <c r="R821" s="97"/>
      <c r="S821" s="97"/>
      <c r="T821" s="851">
        <f t="shared" si="12"/>
        <v>0</v>
      </c>
    </row>
    <row r="822" spans="1:20">
      <c r="A822" s="96"/>
      <c r="B822" s="96"/>
      <c r="C822" s="97"/>
      <c r="D822" s="96"/>
      <c r="E822" s="97"/>
      <c r="F822" s="97"/>
      <c r="G822" s="97"/>
      <c r="H822" s="97"/>
      <c r="I822" s="97"/>
      <c r="J822" s="98"/>
      <c r="K822" s="98"/>
      <c r="L822" s="97"/>
      <c r="M822" s="97"/>
      <c r="N822" s="97"/>
      <c r="O822" s="97"/>
      <c r="P822" s="97"/>
      <c r="Q822" s="97"/>
      <c r="R822" s="97"/>
      <c r="S822" s="97"/>
      <c r="T822" s="851">
        <f t="shared" si="12"/>
        <v>0</v>
      </c>
    </row>
    <row r="823" spans="1:20">
      <c r="A823" s="96"/>
      <c r="B823" s="96"/>
      <c r="C823" s="97"/>
      <c r="D823" s="96"/>
      <c r="E823" s="97"/>
      <c r="F823" s="97"/>
      <c r="G823" s="97"/>
      <c r="H823" s="97"/>
      <c r="I823" s="97"/>
      <c r="J823" s="98"/>
      <c r="K823" s="98"/>
      <c r="L823" s="97"/>
      <c r="M823" s="97"/>
      <c r="N823" s="97"/>
      <c r="O823" s="97"/>
      <c r="P823" s="97"/>
      <c r="Q823" s="97"/>
      <c r="R823" s="97"/>
      <c r="S823" s="97"/>
      <c r="T823" s="851">
        <f t="shared" si="12"/>
        <v>0</v>
      </c>
    </row>
    <row r="824" spans="1:20">
      <c r="A824" s="96"/>
      <c r="B824" s="96"/>
      <c r="C824" s="97"/>
      <c r="D824" s="96"/>
      <c r="E824" s="97"/>
      <c r="F824" s="97"/>
      <c r="G824" s="97"/>
      <c r="H824" s="97"/>
      <c r="I824" s="97"/>
      <c r="J824" s="98"/>
      <c r="K824" s="98"/>
      <c r="L824" s="97"/>
      <c r="M824" s="97"/>
      <c r="N824" s="97"/>
      <c r="O824" s="97"/>
      <c r="P824" s="97"/>
      <c r="Q824" s="97"/>
      <c r="R824" s="97"/>
      <c r="S824" s="97"/>
      <c r="T824" s="851">
        <f t="shared" si="12"/>
        <v>0</v>
      </c>
    </row>
    <row r="825" spans="1:20">
      <c r="A825" s="96"/>
      <c r="B825" s="96"/>
      <c r="C825" s="97"/>
      <c r="D825" s="96"/>
      <c r="E825" s="97"/>
      <c r="F825" s="97"/>
      <c r="G825" s="97"/>
      <c r="H825" s="97"/>
      <c r="I825" s="97"/>
      <c r="J825" s="98"/>
      <c r="K825" s="98"/>
      <c r="L825" s="97"/>
      <c r="M825" s="97"/>
      <c r="N825" s="97"/>
      <c r="O825" s="97"/>
      <c r="P825" s="97"/>
      <c r="Q825" s="97"/>
      <c r="R825" s="97"/>
      <c r="S825" s="97"/>
      <c r="T825" s="851">
        <f t="shared" si="12"/>
        <v>0</v>
      </c>
    </row>
    <row r="826" spans="1:20">
      <c r="A826" s="96"/>
      <c r="B826" s="96"/>
      <c r="C826" s="97"/>
      <c r="D826" s="96"/>
      <c r="E826" s="97"/>
      <c r="F826" s="97"/>
      <c r="G826" s="97"/>
      <c r="H826" s="97"/>
      <c r="I826" s="97"/>
      <c r="J826" s="98"/>
      <c r="K826" s="98"/>
      <c r="L826" s="97"/>
      <c r="M826" s="97"/>
      <c r="N826" s="97"/>
      <c r="O826" s="97"/>
      <c r="P826" s="97"/>
      <c r="Q826" s="97"/>
      <c r="R826" s="97"/>
      <c r="S826" s="97"/>
      <c r="T826" s="851">
        <f t="shared" si="12"/>
        <v>0</v>
      </c>
    </row>
    <row r="827" spans="1:20">
      <c r="A827" s="96"/>
      <c r="B827" s="96"/>
      <c r="C827" s="97"/>
      <c r="D827" s="96"/>
      <c r="E827" s="97"/>
      <c r="F827" s="97"/>
      <c r="G827" s="97"/>
      <c r="H827" s="97"/>
      <c r="I827" s="97"/>
      <c r="J827" s="98"/>
      <c r="K827" s="98"/>
      <c r="L827" s="97"/>
      <c r="M827" s="97"/>
      <c r="N827" s="97"/>
      <c r="O827" s="97"/>
      <c r="P827" s="97"/>
      <c r="Q827" s="97"/>
      <c r="R827" s="97"/>
      <c r="S827" s="97"/>
      <c r="T827" s="851">
        <f t="shared" si="12"/>
        <v>0</v>
      </c>
    </row>
    <row r="828" spans="1:20">
      <c r="A828" s="96"/>
      <c r="B828" s="96"/>
      <c r="C828" s="97"/>
      <c r="D828" s="96"/>
      <c r="E828" s="97"/>
      <c r="F828" s="97"/>
      <c r="G828" s="97"/>
      <c r="H828" s="97"/>
      <c r="I828" s="97"/>
      <c r="J828" s="98"/>
      <c r="K828" s="98"/>
      <c r="L828" s="97"/>
      <c r="M828" s="97"/>
      <c r="N828" s="97"/>
      <c r="O828" s="97"/>
      <c r="P828" s="97"/>
      <c r="Q828" s="97"/>
      <c r="R828" s="97"/>
      <c r="S828" s="97"/>
      <c r="T828" s="851">
        <f t="shared" si="12"/>
        <v>0</v>
      </c>
    </row>
    <row r="829" spans="1:20">
      <c r="A829" s="96"/>
      <c r="B829" s="96"/>
      <c r="C829" s="97"/>
      <c r="D829" s="96"/>
      <c r="E829" s="97"/>
      <c r="F829" s="97"/>
      <c r="G829" s="97"/>
      <c r="H829" s="97"/>
      <c r="I829" s="97"/>
      <c r="J829" s="98"/>
      <c r="K829" s="98"/>
      <c r="L829" s="97"/>
      <c r="M829" s="97"/>
      <c r="N829" s="97"/>
      <c r="O829" s="97"/>
      <c r="P829" s="97"/>
      <c r="Q829" s="97"/>
      <c r="R829" s="97"/>
      <c r="S829" s="97"/>
      <c r="T829" s="851">
        <f t="shared" si="12"/>
        <v>0</v>
      </c>
    </row>
    <row r="830" spans="1:20">
      <c r="A830" s="96"/>
      <c r="B830" s="96"/>
      <c r="C830" s="97"/>
      <c r="D830" s="96"/>
      <c r="E830" s="97"/>
      <c r="F830" s="97"/>
      <c r="G830" s="97"/>
      <c r="H830" s="97"/>
      <c r="I830" s="97"/>
      <c r="J830" s="98"/>
      <c r="K830" s="98"/>
      <c r="L830" s="97"/>
      <c r="M830" s="97"/>
      <c r="N830" s="97"/>
      <c r="O830" s="97"/>
      <c r="P830" s="97"/>
      <c r="Q830" s="97"/>
      <c r="R830" s="97"/>
      <c r="S830" s="97"/>
      <c r="T830" s="851">
        <f t="shared" si="12"/>
        <v>0</v>
      </c>
    </row>
    <row r="831" spans="1:20">
      <c r="A831" s="96"/>
      <c r="B831" s="96"/>
      <c r="C831" s="97"/>
      <c r="D831" s="96"/>
      <c r="E831" s="97"/>
      <c r="F831" s="97"/>
      <c r="G831" s="97"/>
      <c r="H831" s="97"/>
      <c r="I831" s="97"/>
      <c r="J831" s="98"/>
      <c r="K831" s="98"/>
      <c r="L831" s="97"/>
      <c r="M831" s="97"/>
      <c r="N831" s="97"/>
      <c r="O831" s="97"/>
      <c r="P831" s="97"/>
      <c r="Q831" s="97"/>
      <c r="R831" s="97"/>
      <c r="S831" s="97"/>
      <c r="T831" s="851">
        <f t="shared" si="12"/>
        <v>0</v>
      </c>
    </row>
    <row r="832" spans="1:20">
      <c r="A832" s="96"/>
      <c r="B832" s="96"/>
      <c r="C832" s="97"/>
      <c r="D832" s="96"/>
      <c r="E832" s="97"/>
      <c r="F832" s="97"/>
      <c r="G832" s="97"/>
      <c r="H832" s="97"/>
      <c r="I832" s="97"/>
      <c r="J832" s="98"/>
      <c r="K832" s="98"/>
      <c r="L832" s="97"/>
      <c r="M832" s="97"/>
      <c r="N832" s="97"/>
      <c r="O832" s="97"/>
      <c r="P832" s="97"/>
      <c r="Q832" s="97"/>
      <c r="R832" s="97"/>
      <c r="S832" s="97"/>
      <c r="T832" s="851">
        <f t="shared" si="12"/>
        <v>0</v>
      </c>
    </row>
    <row r="833" spans="1:20">
      <c r="A833" s="96"/>
      <c r="B833" s="96"/>
      <c r="C833" s="97"/>
      <c r="D833" s="96"/>
      <c r="E833" s="97"/>
      <c r="F833" s="97"/>
      <c r="G833" s="97"/>
      <c r="H833" s="97"/>
      <c r="I833" s="97"/>
      <c r="J833" s="98"/>
      <c r="K833" s="98"/>
      <c r="L833" s="97"/>
      <c r="M833" s="97"/>
      <c r="N833" s="97"/>
      <c r="O833" s="97"/>
      <c r="P833" s="97"/>
      <c r="Q833" s="97"/>
      <c r="R833" s="97"/>
      <c r="S833" s="97"/>
      <c r="T833" s="851">
        <f t="shared" si="12"/>
        <v>0</v>
      </c>
    </row>
  </sheetData>
  <autoFilter ref="A3:T833" xr:uid="{145BDE67-378C-4CEE-A501-6F7303F35195}"/>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38EA7-F097-48BA-944F-59D4F52566D5}">
  <sheetPr codeName="Sheet12"/>
  <dimension ref="A3:S183"/>
  <sheetViews>
    <sheetView zoomScale="70" zoomScaleNormal="70" workbookViewId="0">
      <selection activeCell="Q28" sqref="Q28"/>
    </sheetView>
  </sheetViews>
  <sheetFormatPr defaultRowHeight="15"/>
  <cols>
    <col min="9" max="10" width="11.42578125" bestFit="1" customWidth="1"/>
    <col min="18" max="18" width="10.140625" bestFit="1" customWidth="1"/>
    <col min="19" max="19" width="14.140625" bestFit="1" customWidth="1"/>
  </cols>
  <sheetData>
    <row r="3" spans="1:19" ht="33.75">
      <c r="A3" s="93" t="s">
        <v>449</v>
      </c>
      <c r="B3" s="93" t="s">
        <v>450</v>
      </c>
      <c r="C3" s="94" t="s">
        <v>451</v>
      </c>
      <c r="D3" s="93" t="s">
        <v>452</v>
      </c>
      <c r="E3" s="94" t="s">
        <v>453</v>
      </c>
      <c r="F3" s="94" t="s">
        <v>455</v>
      </c>
      <c r="G3" s="94" t="s">
        <v>456</v>
      </c>
      <c r="H3" s="94" t="s">
        <v>457</v>
      </c>
      <c r="I3" s="95" t="s">
        <v>459</v>
      </c>
      <c r="J3" s="95" t="s">
        <v>460</v>
      </c>
      <c r="K3" s="94" t="s">
        <v>461</v>
      </c>
      <c r="L3" s="94" t="s">
        <v>462</v>
      </c>
      <c r="M3" s="94" t="s">
        <v>750</v>
      </c>
      <c r="N3" s="94" t="s">
        <v>751</v>
      </c>
      <c r="O3" s="94" t="s">
        <v>464</v>
      </c>
      <c r="P3" s="94" t="s">
        <v>465</v>
      </c>
      <c r="Q3" s="94" t="s">
        <v>752</v>
      </c>
      <c r="R3" s="94" t="s">
        <v>466</v>
      </c>
      <c r="S3" s="100" t="s">
        <v>499</v>
      </c>
    </row>
    <row r="4" spans="1:19">
      <c r="A4" s="96">
        <v>45322</v>
      </c>
      <c r="B4" s="96">
        <v>45322</v>
      </c>
      <c r="C4" s="97" t="s">
        <v>503</v>
      </c>
      <c r="D4" s="96"/>
      <c r="E4" s="97"/>
      <c r="F4" s="97" t="s">
        <v>487</v>
      </c>
      <c r="G4" s="97" t="s">
        <v>71</v>
      </c>
      <c r="H4" s="97" t="s">
        <v>267</v>
      </c>
      <c r="I4" s="98">
        <v>2113637</v>
      </c>
      <c r="J4" s="98">
        <v>0</v>
      </c>
      <c r="K4" s="97"/>
      <c r="L4" s="97"/>
      <c r="M4" s="97"/>
      <c r="N4" s="97"/>
      <c r="O4" s="97"/>
      <c r="Q4" s="97"/>
      <c r="R4" s="97" t="s">
        <v>488</v>
      </c>
      <c r="S4" s="101">
        <f>I4-J4</f>
        <v>2113637</v>
      </c>
    </row>
    <row r="5" spans="1:19">
      <c r="A5" s="96">
        <v>45322</v>
      </c>
      <c r="B5" s="96">
        <v>45322</v>
      </c>
      <c r="C5" s="97" t="s">
        <v>503</v>
      </c>
      <c r="D5" s="96"/>
      <c r="E5" s="97"/>
      <c r="F5" s="97" t="s">
        <v>487</v>
      </c>
      <c r="G5" s="97" t="s">
        <v>71</v>
      </c>
      <c r="H5" s="97" t="s">
        <v>269</v>
      </c>
      <c r="I5" s="98">
        <v>252539102</v>
      </c>
      <c r="J5" s="98">
        <v>0</v>
      </c>
      <c r="K5" s="97"/>
      <c r="L5" s="97"/>
      <c r="M5" s="97"/>
      <c r="N5" s="97"/>
      <c r="O5" s="97"/>
      <c r="Q5" s="97"/>
      <c r="R5" s="97" t="s">
        <v>488</v>
      </c>
      <c r="S5" s="101">
        <f t="shared" ref="S5:S68" si="0">I5-J5</f>
        <v>252539102</v>
      </c>
    </row>
    <row r="6" spans="1:19">
      <c r="A6" s="96">
        <v>45322</v>
      </c>
      <c r="B6" s="96">
        <v>45322</v>
      </c>
      <c r="C6" s="97" t="s">
        <v>503</v>
      </c>
      <c r="D6" s="96"/>
      <c r="E6" s="97"/>
      <c r="F6" s="97" t="s">
        <v>487</v>
      </c>
      <c r="G6" s="97" t="s">
        <v>71</v>
      </c>
      <c r="H6" s="97" t="s">
        <v>273</v>
      </c>
      <c r="I6" s="98">
        <v>35612551</v>
      </c>
      <c r="J6" s="98">
        <v>0</v>
      </c>
      <c r="K6" s="97"/>
      <c r="L6" s="97"/>
      <c r="M6" s="97"/>
      <c r="N6" s="97"/>
      <c r="O6" s="97"/>
      <c r="Q6" s="97"/>
      <c r="R6" s="97" t="s">
        <v>488</v>
      </c>
      <c r="S6" s="101">
        <f t="shared" si="0"/>
        <v>35612551</v>
      </c>
    </row>
    <row r="7" spans="1:19">
      <c r="A7" s="96">
        <v>45322</v>
      </c>
      <c r="B7" s="96">
        <v>45322</v>
      </c>
      <c r="C7" s="97" t="s">
        <v>503</v>
      </c>
      <c r="D7" s="96"/>
      <c r="E7" s="97"/>
      <c r="F7" s="97" t="s">
        <v>487</v>
      </c>
      <c r="G7" s="97" t="s">
        <v>71</v>
      </c>
      <c r="H7" s="97" t="s">
        <v>277</v>
      </c>
      <c r="I7" s="98">
        <v>47067686</v>
      </c>
      <c r="J7" s="98">
        <v>0</v>
      </c>
      <c r="K7" s="97"/>
      <c r="L7" s="97"/>
      <c r="M7" s="97"/>
      <c r="N7" s="97"/>
      <c r="O7" s="97"/>
      <c r="Q7" s="97"/>
      <c r="R7" s="97" t="s">
        <v>488</v>
      </c>
      <c r="S7" s="101">
        <f t="shared" si="0"/>
        <v>47067686</v>
      </c>
    </row>
    <row r="8" spans="1:19">
      <c r="A8" s="96">
        <v>45322</v>
      </c>
      <c r="B8" s="96">
        <v>45322</v>
      </c>
      <c r="C8" s="97" t="s">
        <v>503</v>
      </c>
      <c r="D8" s="96"/>
      <c r="E8" s="97"/>
      <c r="F8" s="97" t="s">
        <v>487</v>
      </c>
      <c r="G8" s="97" t="s">
        <v>71</v>
      </c>
      <c r="H8" s="97" t="s">
        <v>281</v>
      </c>
      <c r="I8" s="98">
        <v>4551290</v>
      </c>
      <c r="J8" s="98">
        <v>0</v>
      </c>
      <c r="K8" s="97"/>
      <c r="L8" s="97"/>
      <c r="M8" s="97"/>
      <c r="N8" s="97"/>
      <c r="O8" s="97"/>
      <c r="Q8" s="97"/>
      <c r="R8" s="97" t="s">
        <v>488</v>
      </c>
      <c r="S8" s="101">
        <f t="shared" si="0"/>
        <v>4551290</v>
      </c>
    </row>
    <row r="9" spans="1:19">
      <c r="A9" s="96">
        <v>45322</v>
      </c>
      <c r="B9" s="96">
        <v>45322</v>
      </c>
      <c r="C9" s="97" t="s">
        <v>503</v>
      </c>
      <c r="D9" s="96"/>
      <c r="E9" s="97"/>
      <c r="F9" s="97" t="s">
        <v>487</v>
      </c>
      <c r="G9" s="97" t="s">
        <v>71</v>
      </c>
      <c r="H9" s="97" t="s">
        <v>283</v>
      </c>
      <c r="I9" s="98">
        <v>81853176</v>
      </c>
      <c r="J9" s="98">
        <v>0</v>
      </c>
      <c r="K9" s="97"/>
      <c r="L9" s="97"/>
      <c r="M9" s="97"/>
      <c r="N9" s="97"/>
      <c r="O9" s="97"/>
      <c r="Q9" s="97"/>
      <c r="R9" s="97" t="s">
        <v>488</v>
      </c>
      <c r="S9" s="101">
        <f t="shared" si="0"/>
        <v>81853176</v>
      </c>
    </row>
    <row r="10" spans="1:19">
      <c r="A10" s="96">
        <v>45322</v>
      </c>
      <c r="B10" s="96">
        <v>45322</v>
      </c>
      <c r="C10" s="97" t="s">
        <v>503</v>
      </c>
      <c r="D10" s="96"/>
      <c r="E10" s="97"/>
      <c r="F10" s="97" t="s">
        <v>487</v>
      </c>
      <c r="G10" s="97" t="s">
        <v>71</v>
      </c>
      <c r="H10" s="97" t="s">
        <v>285</v>
      </c>
      <c r="I10" s="98">
        <v>600000</v>
      </c>
      <c r="J10" s="98">
        <v>0</v>
      </c>
      <c r="K10" s="97"/>
      <c r="L10" s="97"/>
      <c r="M10" s="97"/>
      <c r="N10" s="97"/>
      <c r="O10" s="97"/>
      <c r="Q10" s="97"/>
      <c r="R10" s="97" t="s">
        <v>488</v>
      </c>
      <c r="S10" s="101">
        <f t="shared" si="0"/>
        <v>600000</v>
      </c>
    </row>
    <row r="11" spans="1:19">
      <c r="A11" s="96">
        <v>45322</v>
      </c>
      <c r="B11" s="96">
        <v>45322</v>
      </c>
      <c r="C11" s="97" t="s">
        <v>503</v>
      </c>
      <c r="D11" s="96"/>
      <c r="E11" s="97"/>
      <c r="F11" s="97" t="s">
        <v>487</v>
      </c>
      <c r="G11" s="97" t="s">
        <v>71</v>
      </c>
      <c r="H11" s="97" t="s">
        <v>287</v>
      </c>
      <c r="I11" s="98">
        <v>28232550</v>
      </c>
      <c r="J11" s="98">
        <v>0</v>
      </c>
      <c r="K11" s="97"/>
      <c r="L11" s="97"/>
      <c r="M11" s="97"/>
      <c r="N11" s="97"/>
      <c r="O11" s="97"/>
      <c r="Q11" s="97"/>
      <c r="R11" s="97" t="s">
        <v>488</v>
      </c>
      <c r="S11" s="101">
        <f t="shared" si="0"/>
        <v>28232550</v>
      </c>
    </row>
    <row r="12" spans="1:19">
      <c r="A12" s="96">
        <v>45322</v>
      </c>
      <c r="B12" s="96">
        <v>45322</v>
      </c>
      <c r="C12" s="97" t="s">
        <v>503</v>
      </c>
      <c r="D12" s="96"/>
      <c r="E12" s="97"/>
      <c r="F12" s="97" t="s">
        <v>487</v>
      </c>
      <c r="G12" s="97" t="s">
        <v>71</v>
      </c>
      <c r="H12" s="97" t="s">
        <v>289</v>
      </c>
      <c r="I12" s="98">
        <v>14561623</v>
      </c>
      <c r="J12" s="98">
        <v>0</v>
      </c>
      <c r="K12" s="97"/>
      <c r="L12" s="97"/>
      <c r="M12" s="97"/>
      <c r="N12" s="97"/>
      <c r="O12" s="97"/>
      <c r="Q12" s="97"/>
      <c r="R12" s="97" t="s">
        <v>488</v>
      </c>
      <c r="S12" s="101">
        <f t="shared" si="0"/>
        <v>14561623</v>
      </c>
    </row>
    <row r="13" spans="1:19">
      <c r="A13" s="96">
        <v>45322</v>
      </c>
      <c r="B13" s="96">
        <v>45322</v>
      </c>
      <c r="C13" s="97" t="s">
        <v>503</v>
      </c>
      <c r="D13" s="96"/>
      <c r="E13" s="97"/>
      <c r="F13" s="97" t="s">
        <v>487</v>
      </c>
      <c r="G13" s="97" t="s">
        <v>71</v>
      </c>
      <c r="H13" s="97" t="s">
        <v>291</v>
      </c>
      <c r="I13" s="98">
        <v>613437759</v>
      </c>
      <c r="J13" s="98">
        <v>0</v>
      </c>
      <c r="K13" s="97"/>
      <c r="L13" s="97"/>
      <c r="M13" s="97"/>
      <c r="N13" s="97"/>
      <c r="O13" s="97"/>
      <c r="Q13" s="97"/>
      <c r="R13" s="97" t="s">
        <v>488</v>
      </c>
      <c r="S13" s="101">
        <f t="shared" si="0"/>
        <v>613437759</v>
      </c>
    </row>
    <row r="14" spans="1:19">
      <c r="A14" s="96">
        <v>45322</v>
      </c>
      <c r="B14" s="96">
        <v>45322</v>
      </c>
      <c r="C14" s="97" t="s">
        <v>503</v>
      </c>
      <c r="D14" s="96"/>
      <c r="E14" s="97"/>
      <c r="F14" s="97" t="s">
        <v>487</v>
      </c>
      <c r="G14" s="97" t="s">
        <v>71</v>
      </c>
      <c r="H14" s="97" t="s">
        <v>295</v>
      </c>
      <c r="I14" s="98">
        <v>2535000</v>
      </c>
      <c r="J14" s="98">
        <v>0</v>
      </c>
      <c r="K14" s="97"/>
      <c r="L14" s="97"/>
      <c r="M14" s="97"/>
      <c r="N14" s="97"/>
      <c r="O14" s="97"/>
      <c r="Q14" s="97"/>
      <c r="R14" s="97" t="s">
        <v>488</v>
      </c>
      <c r="S14" s="101">
        <f t="shared" si="0"/>
        <v>2535000</v>
      </c>
    </row>
    <row r="15" spans="1:19">
      <c r="A15" s="96">
        <v>45322</v>
      </c>
      <c r="B15" s="96">
        <v>45322</v>
      </c>
      <c r="C15" s="97" t="s">
        <v>503</v>
      </c>
      <c r="D15" s="96"/>
      <c r="E15" s="97"/>
      <c r="F15" s="97" t="s">
        <v>487</v>
      </c>
      <c r="G15" s="97" t="s">
        <v>71</v>
      </c>
      <c r="H15" s="97" t="s">
        <v>297</v>
      </c>
      <c r="I15" s="98">
        <v>740000</v>
      </c>
      <c r="J15" s="98">
        <v>0</v>
      </c>
      <c r="K15" s="97"/>
      <c r="L15" s="97"/>
      <c r="M15" s="97"/>
      <c r="N15" s="97"/>
      <c r="O15" s="97"/>
      <c r="Q15" s="97"/>
      <c r="R15" s="97" t="s">
        <v>488</v>
      </c>
      <c r="S15" s="101">
        <f t="shared" si="0"/>
        <v>740000</v>
      </c>
    </row>
    <row r="16" spans="1:19">
      <c r="A16" s="96">
        <v>45322</v>
      </c>
      <c r="B16" s="96">
        <v>45322</v>
      </c>
      <c r="C16" s="97" t="s">
        <v>503</v>
      </c>
      <c r="D16" s="96"/>
      <c r="E16" s="97"/>
      <c r="F16" s="97" t="s">
        <v>487</v>
      </c>
      <c r="G16" s="97" t="s">
        <v>71</v>
      </c>
      <c r="H16" s="97" t="s">
        <v>299</v>
      </c>
      <c r="I16" s="98">
        <v>2227500</v>
      </c>
      <c r="J16" s="98">
        <v>0</v>
      </c>
      <c r="K16" s="97"/>
      <c r="L16" s="97"/>
      <c r="M16" s="97"/>
      <c r="N16" s="97"/>
      <c r="O16" s="97"/>
      <c r="Q16" s="97"/>
      <c r="R16" s="97" t="s">
        <v>488</v>
      </c>
      <c r="S16" s="101">
        <f t="shared" si="0"/>
        <v>2227500</v>
      </c>
    </row>
    <row r="17" spans="1:19">
      <c r="A17" s="96">
        <v>45322</v>
      </c>
      <c r="B17" s="96">
        <v>45322</v>
      </c>
      <c r="C17" s="97" t="s">
        <v>503</v>
      </c>
      <c r="D17" s="96"/>
      <c r="E17" s="97"/>
      <c r="F17" s="97" t="s">
        <v>487</v>
      </c>
      <c r="G17" s="97" t="s">
        <v>71</v>
      </c>
      <c r="H17" s="97" t="s">
        <v>301</v>
      </c>
      <c r="I17" s="98">
        <v>1655409</v>
      </c>
      <c r="J17" s="98">
        <v>0</v>
      </c>
      <c r="K17" s="97"/>
      <c r="L17" s="97"/>
      <c r="M17" s="97"/>
      <c r="N17" s="97"/>
      <c r="O17" s="97"/>
      <c r="Q17" s="97"/>
      <c r="R17" s="97" t="s">
        <v>488</v>
      </c>
      <c r="S17" s="101">
        <f t="shared" si="0"/>
        <v>1655409</v>
      </c>
    </row>
    <row r="18" spans="1:19">
      <c r="A18" s="96">
        <v>45322</v>
      </c>
      <c r="B18" s="96">
        <v>45322</v>
      </c>
      <c r="C18" s="97" t="s">
        <v>503</v>
      </c>
      <c r="D18" s="96"/>
      <c r="E18" s="97"/>
      <c r="F18" s="97" t="s">
        <v>473</v>
      </c>
      <c r="G18" s="97" t="s">
        <v>71</v>
      </c>
      <c r="H18" s="97" t="s">
        <v>303</v>
      </c>
      <c r="I18" s="98">
        <v>0</v>
      </c>
      <c r="J18" s="98">
        <v>1087727283</v>
      </c>
      <c r="K18" s="97"/>
      <c r="L18" s="97"/>
      <c r="M18" s="97"/>
      <c r="N18" s="97"/>
      <c r="O18" s="97"/>
      <c r="Q18" s="97"/>
      <c r="R18" s="97" t="s">
        <v>488</v>
      </c>
      <c r="S18" s="101">
        <f t="shared" si="0"/>
        <v>-1087727283</v>
      </c>
    </row>
    <row r="19" spans="1:19">
      <c r="A19" s="96">
        <v>45351</v>
      </c>
      <c r="B19" s="96">
        <v>45351</v>
      </c>
      <c r="C19" s="97" t="s">
        <v>504</v>
      </c>
      <c r="D19" s="96"/>
      <c r="E19" s="97"/>
      <c r="F19" s="97" t="s">
        <v>487</v>
      </c>
      <c r="G19" s="97" t="s">
        <v>71</v>
      </c>
      <c r="H19" s="97" t="s">
        <v>267</v>
      </c>
      <c r="I19" s="98">
        <v>2113622</v>
      </c>
      <c r="J19" s="98">
        <v>0</v>
      </c>
      <c r="K19" s="97"/>
      <c r="L19" s="97"/>
      <c r="M19" s="97"/>
      <c r="N19" s="97"/>
      <c r="O19" s="97"/>
      <c r="Q19" s="97"/>
      <c r="R19" s="97" t="s">
        <v>488</v>
      </c>
      <c r="S19" s="101">
        <f t="shared" si="0"/>
        <v>2113622</v>
      </c>
    </row>
    <row r="20" spans="1:19">
      <c r="A20" s="96">
        <v>45351</v>
      </c>
      <c r="B20" s="96">
        <v>45351</v>
      </c>
      <c r="C20" s="97" t="s">
        <v>504</v>
      </c>
      <c r="D20" s="96"/>
      <c r="E20" s="97"/>
      <c r="F20" s="97" t="s">
        <v>487</v>
      </c>
      <c r="G20" s="97" t="s">
        <v>71</v>
      </c>
      <c r="H20" s="97" t="s">
        <v>269</v>
      </c>
      <c r="I20" s="98">
        <v>252539102</v>
      </c>
      <c r="J20" s="98">
        <v>0</v>
      </c>
      <c r="K20" s="97"/>
      <c r="L20" s="97"/>
      <c r="M20" s="97"/>
      <c r="N20" s="97"/>
      <c r="O20" s="97"/>
      <c r="Q20" s="97"/>
      <c r="R20" s="97" t="s">
        <v>488</v>
      </c>
      <c r="S20" s="101">
        <f t="shared" si="0"/>
        <v>252539102</v>
      </c>
    </row>
    <row r="21" spans="1:19">
      <c r="A21" s="96">
        <v>45351</v>
      </c>
      <c r="B21" s="96">
        <v>45351</v>
      </c>
      <c r="C21" s="97" t="s">
        <v>504</v>
      </c>
      <c r="D21" s="96"/>
      <c r="E21" s="97"/>
      <c r="F21" s="97" t="s">
        <v>487</v>
      </c>
      <c r="G21" s="97" t="s">
        <v>71</v>
      </c>
      <c r="H21" s="97" t="s">
        <v>273</v>
      </c>
      <c r="I21" s="98">
        <v>78987106</v>
      </c>
      <c r="J21" s="98">
        <v>0</v>
      </c>
      <c r="K21" s="97"/>
      <c r="L21" s="97"/>
      <c r="M21" s="97"/>
      <c r="N21" s="97"/>
      <c r="O21" s="97"/>
      <c r="Q21" s="97"/>
      <c r="R21" s="97" t="s">
        <v>488</v>
      </c>
      <c r="S21" s="101">
        <f t="shared" si="0"/>
        <v>78987106</v>
      </c>
    </row>
    <row r="22" spans="1:19">
      <c r="A22" s="96">
        <v>45351</v>
      </c>
      <c r="B22" s="96">
        <v>45351</v>
      </c>
      <c r="C22" s="97" t="s">
        <v>504</v>
      </c>
      <c r="D22" s="96"/>
      <c r="E22" s="97"/>
      <c r="F22" s="97" t="s">
        <v>487</v>
      </c>
      <c r="G22" s="97" t="s">
        <v>71</v>
      </c>
      <c r="H22" s="97" t="s">
        <v>277</v>
      </c>
      <c r="I22" s="98">
        <v>57999356</v>
      </c>
      <c r="J22" s="98">
        <v>0</v>
      </c>
      <c r="K22" s="97"/>
      <c r="L22" s="97"/>
      <c r="M22" s="97"/>
      <c r="N22" s="97"/>
      <c r="O22" s="97"/>
      <c r="Q22" s="97"/>
      <c r="R22" s="97" t="s">
        <v>488</v>
      </c>
      <c r="S22" s="101">
        <f t="shared" si="0"/>
        <v>57999356</v>
      </c>
    </row>
    <row r="23" spans="1:19">
      <c r="A23" s="96">
        <v>45351</v>
      </c>
      <c r="B23" s="96">
        <v>45351</v>
      </c>
      <c r="C23" s="97" t="s">
        <v>504</v>
      </c>
      <c r="D23" s="96"/>
      <c r="E23" s="97"/>
      <c r="F23" s="97" t="s">
        <v>487</v>
      </c>
      <c r="G23" s="97" t="s">
        <v>71</v>
      </c>
      <c r="H23" s="97" t="s">
        <v>281</v>
      </c>
      <c r="I23" s="98">
        <v>2199765</v>
      </c>
      <c r="J23" s="98">
        <v>0</v>
      </c>
      <c r="K23" s="97"/>
      <c r="L23" s="97"/>
      <c r="M23" s="97"/>
      <c r="N23" s="97"/>
      <c r="O23" s="97"/>
      <c r="Q23" s="97"/>
      <c r="R23" s="97" t="s">
        <v>488</v>
      </c>
      <c r="S23" s="101">
        <f t="shared" si="0"/>
        <v>2199765</v>
      </c>
    </row>
    <row r="24" spans="1:19">
      <c r="A24" s="96">
        <v>45351</v>
      </c>
      <c r="B24" s="96">
        <v>45351</v>
      </c>
      <c r="C24" s="97" t="s">
        <v>504</v>
      </c>
      <c r="D24" s="96"/>
      <c r="E24" s="97"/>
      <c r="F24" s="97" t="s">
        <v>487</v>
      </c>
      <c r="G24" s="97" t="s">
        <v>71</v>
      </c>
      <c r="H24" s="97" t="s">
        <v>283</v>
      </c>
      <c r="I24" s="98">
        <v>324300631</v>
      </c>
      <c r="J24" s="98">
        <v>0</v>
      </c>
      <c r="K24" s="97"/>
      <c r="L24" s="97"/>
      <c r="M24" s="97"/>
      <c r="N24" s="97"/>
      <c r="O24" s="97"/>
      <c r="Q24" s="97"/>
      <c r="R24" s="97" t="s">
        <v>488</v>
      </c>
      <c r="S24" s="101">
        <f t="shared" si="0"/>
        <v>324300631</v>
      </c>
    </row>
    <row r="25" spans="1:19">
      <c r="A25" s="96">
        <v>45351</v>
      </c>
      <c r="B25" s="96">
        <v>45351</v>
      </c>
      <c r="C25" s="97" t="s">
        <v>504</v>
      </c>
      <c r="D25" s="96"/>
      <c r="E25" s="97"/>
      <c r="F25" s="97" t="s">
        <v>487</v>
      </c>
      <c r="G25" s="97" t="s">
        <v>71</v>
      </c>
      <c r="H25" s="97" t="s">
        <v>285</v>
      </c>
      <c r="I25" s="98">
        <v>600000</v>
      </c>
      <c r="J25" s="98">
        <v>0</v>
      </c>
      <c r="K25" s="97"/>
      <c r="L25" s="97"/>
      <c r="M25" s="97"/>
      <c r="N25" s="97"/>
      <c r="O25" s="97"/>
      <c r="Q25" s="97"/>
      <c r="R25" s="97" t="s">
        <v>488</v>
      </c>
      <c r="S25" s="101">
        <f t="shared" si="0"/>
        <v>600000</v>
      </c>
    </row>
    <row r="26" spans="1:19">
      <c r="A26" s="96">
        <v>45351</v>
      </c>
      <c r="B26" s="96">
        <v>45351</v>
      </c>
      <c r="C26" s="97" t="s">
        <v>504</v>
      </c>
      <c r="D26" s="96"/>
      <c r="E26" s="97"/>
      <c r="F26" s="97" t="s">
        <v>487</v>
      </c>
      <c r="G26" s="97" t="s">
        <v>71</v>
      </c>
      <c r="H26" s="97" t="s">
        <v>287</v>
      </c>
      <c r="I26" s="98">
        <v>22076454</v>
      </c>
      <c r="J26" s="98">
        <v>0</v>
      </c>
      <c r="K26" s="97"/>
      <c r="L26" s="97"/>
      <c r="M26" s="97"/>
      <c r="N26" s="97"/>
      <c r="O26" s="97"/>
      <c r="Q26" s="97"/>
      <c r="R26" s="97" t="s">
        <v>488</v>
      </c>
      <c r="S26" s="101">
        <f t="shared" si="0"/>
        <v>22076454</v>
      </c>
    </row>
    <row r="27" spans="1:19">
      <c r="A27" s="96">
        <v>45351</v>
      </c>
      <c r="B27" s="96">
        <v>45351</v>
      </c>
      <c r="C27" s="97" t="s">
        <v>504</v>
      </c>
      <c r="D27" s="96"/>
      <c r="E27" s="97"/>
      <c r="F27" s="97" t="s">
        <v>487</v>
      </c>
      <c r="G27" s="97" t="s">
        <v>71</v>
      </c>
      <c r="H27" s="97" t="s">
        <v>289</v>
      </c>
      <c r="I27" s="98">
        <v>14561623</v>
      </c>
      <c r="J27" s="98">
        <v>0</v>
      </c>
      <c r="K27" s="97"/>
      <c r="L27" s="97"/>
      <c r="M27" s="97"/>
      <c r="N27" s="97"/>
      <c r="O27" s="97"/>
      <c r="Q27" s="97"/>
      <c r="R27" s="97" t="s">
        <v>488</v>
      </c>
      <c r="S27" s="101">
        <f t="shared" si="0"/>
        <v>14561623</v>
      </c>
    </row>
    <row r="28" spans="1:19">
      <c r="A28" s="96">
        <v>45351</v>
      </c>
      <c r="B28" s="96">
        <v>45351</v>
      </c>
      <c r="C28" s="97" t="s">
        <v>504</v>
      </c>
      <c r="D28" s="96"/>
      <c r="E28" s="97"/>
      <c r="F28" s="97" t="s">
        <v>487</v>
      </c>
      <c r="G28" s="97" t="s">
        <v>71</v>
      </c>
      <c r="H28" s="97" t="s">
        <v>291</v>
      </c>
      <c r="I28" s="98">
        <v>570855661</v>
      </c>
      <c r="J28" s="98">
        <v>0</v>
      </c>
      <c r="K28" s="97"/>
      <c r="L28" s="97"/>
      <c r="M28" s="97"/>
      <c r="N28" s="97"/>
      <c r="O28" s="97"/>
      <c r="Q28" s="97"/>
      <c r="R28" s="97" t="s">
        <v>488</v>
      </c>
      <c r="S28" s="101">
        <f t="shared" si="0"/>
        <v>570855661</v>
      </c>
    </row>
    <row r="29" spans="1:19">
      <c r="A29" s="96">
        <v>45351</v>
      </c>
      <c r="B29" s="96">
        <v>45351</v>
      </c>
      <c r="C29" s="97" t="s">
        <v>504</v>
      </c>
      <c r="D29" s="96"/>
      <c r="E29" s="97"/>
      <c r="F29" s="97" t="s">
        <v>487</v>
      </c>
      <c r="G29" s="97" t="s">
        <v>71</v>
      </c>
      <c r="H29" s="97" t="s">
        <v>293</v>
      </c>
      <c r="I29" s="98">
        <v>8727272</v>
      </c>
      <c r="J29" s="98">
        <v>0</v>
      </c>
      <c r="K29" s="97"/>
      <c r="L29" s="97"/>
      <c r="M29" s="97"/>
      <c r="N29" s="97"/>
      <c r="O29" s="97"/>
      <c r="Q29" s="97"/>
      <c r="R29" s="97" t="s">
        <v>488</v>
      </c>
      <c r="S29" s="101">
        <f t="shared" si="0"/>
        <v>8727272</v>
      </c>
    </row>
    <row r="30" spans="1:19">
      <c r="A30" s="96">
        <v>45351</v>
      </c>
      <c r="B30" s="96">
        <v>45351</v>
      </c>
      <c r="C30" s="97" t="s">
        <v>504</v>
      </c>
      <c r="D30" s="96"/>
      <c r="E30" s="97"/>
      <c r="F30" s="97" t="s">
        <v>487</v>
      </c>
      <c r="G30" s="97" t="s">
        <v>71</v>
      </c>
      <c r="H30" s="97" t="s">
        <v>295</v>
      </c>
      <c r="I30" s="98">
        <v>5000000</v>
      </c>
      <c r="J30" s="98">
        <v>0</v>
      </c>
      <c r="K30" s="97"/>
      <c r="L30" s="97"/>
      <c r="M30" s="97"/>
      <c r="N30" s="97"/>
      <c r="O30" s="97"/>
      <c r="Q30" s="97"/>
      <c r="R30" s="97" t="s">
        <v>488</v>
      </c>
      <c r="S30" s="101">
        <f t="shared" si="0"/>
        <v>5000000</v>
      </c>
    </row>
    <row r="31" spans="1:19">
      <c r="A31" s="96">
        <v>45351</v>
      </c>
      <c r="B31" s="96">
        <v>45351</v>
      </c>
      <c r="C31" s="97" t="s">
        <v>504</v>
      </c>
      <c r="D31" s="96"/>
      <c r="E31" s="97"/>
      <c r="F31" s="97" t="s">
        <v>487</v>
      </c>
      <c r="G31" s="97" t="s">
        <v>71</v>
      </c>
      <c r="H31" s="97" t="s">
        <v>297</v>
      </c>
      <c r="I31" s="98">
        <v>658182</v>
      </c>
      <c r="J31" s="98">
        <v>0</v>
      </c>
      <c r="K31" s="97"/>
      <c r="L31" s="97"/>
      <c r="M31" s="97"/>
      <c r="N31" s="97"/>
      <c r="O31" s="97"/>
      <c r="Q31" s="97"/>
      <c r="R31" s="97" t="s">
        <v>488</v>
      </c>
      <c r="S31" s="101">
        <f t="shared" si="0"/>
        <v>658182</v>
      </c>
    </row>
    <row r="32" spans="1:19">
      <c r="A32" s="96">
        <v>45351</v>
      </c>
      <c r="B32" s="96">
        <v>45351</v>
      </c>
      <c r="C32" s="97" t="s">
        <v>504</v>
      </c>
      <c r="D32" s="96"/>
      <c r="E32" s="97"/>
      <c r="F32" s="97" t="s">
        <v>487</v>
      </c>
      <c r="G32" s="97" t="s">
        <v>71</v>
      </c>
      <c r="H32" s="97" t="s">
        <v>299</v>
      </c>
      <c r="I32" s="98">
        <v>1863000</v>
      </c>
      <c r="J32" s="98">
        <v>0</v>
      </c>
      <c r="K32" s="97"/>
      <c r="L32" s="97"/>
      <c r="M32" s="97"/>
      <c r="N32" s="97"/>
      <c r="O32" s="97"/>
      <c r="Q32" s="97"/>
      <c r="R32" s="97" t="s">
        <v>488</v>
      </c>
      <c r="S32" s="101">
        <f t="shared" si="0"/>
        <v>1863000</v>
      </c>
    </row>
    <row r="33" spans="1:19">
      <c r="A33" s="96">
        <v>45351</v>
      </c>
      <c r="B33" s="96">
        <v>45351</v>
      </c>
      <c r="C33" s="97" t="s">
        <v>504</v>
      </c>
      <c r="D33" s="96"/>
      <c r="E33" s="97"/>
      <c r="F33" s="97" t="s">
        <v>487</v>
      </c>
      <c r="G33" s="97" t="s">
        <v>71</v>
      </c>
      <c r="H33" s="97" t="s">
        <v>301</v>
      </c>
      <c r="I33" s="98">
        <v>2458238</v>
      </c>
      <c r="J33" s="98">
        <v>0</v>
      </c>
      <c r="K33" s="97"/>
      <c r="L33" s="97"/>
      <c r="M33" s="97"/>
      <c r="N33" s="97"/>
      <c r="O33" s="97"/>
      <c r="Q33" s="97"/>
      <c r="R33" s="97" t="s">
        <v>488</v>
      </c>
      <c r="S33" s="101">
        <f t="shared" si="0"/>
        <v>2458238</v>
      </c>
    </row>
    <row r="34" spans="1:19">
      <c r="A34" s="96">
        <v>45351</v>
      </c>
      <c r="B34" s="96">
        <v>45351</v>
      </c>
      <c r="C34" s="97" t="s">
        <v>504</v>
      </c>
      <c r="D34" s="96"/>
      <c r="E34" s="97"/>
      <c r="F34" s="97" t="s">
        <v>473</v>
      </c>
      <c r="G34" s="97" t="s">
        <v>71</v>
      </c>
      <c r="H34" s="97" t="s">
        <v>303</v>
      </c>
      <c r="I34" s="98">
        <v>0</v>
      </c>
      <c r="J34" s="98">
        <v>1344940012</v>
      </c>
      <c r="K34" s="97"/>
      <c r="L34" s="97"/>
      <c r="M34" s="97"/>
      <c r="N34" s="97"/>
      <c r="O34" s="97"/>
      <c r="Q34" s="97"/>
      <c r="R34" s="97" t="s">
        <v>488</v>
      </c>
      <c r="S34" s="101">
        <f t="shared" si="0"/>
        <v>-1344940012</v>
      </c>
    </row>
    <row r="35" spans="1:19">
      <c r="A35" s="96">
        <v>45382</v>
      </c>
      <c r="B35" s="96">
        <v>45382</v>
      </c>
      <c r="C35" s="97" t="s">
        <v>507</v>
      </c>
      <c r="D35" s="96"/>
      <c r="E35" s="97"/>
      <c r="F35" s="97" t="s">
        <v>487</v>
      </c>
      <c r="G35" s="97" t="s">
        <v>71</v>
      </c>
      <c r="H35" s="97" t="s">
        <v>269</v>
      </c>
      <c r="I35" s="98">
        <v>252539102</v>
      </c>
      <c r="J35" s="98">
        <v>0</v>
      </c>
      <c r="K35" s="97"/>
      <c r="L35" s="97"/>
      <c r="M35" s="97"/>
      <c r="N35" s="97"/>
      <c r="O35" s="97"/>
      <c r="Q35" s="97"/>
      <c r="R35" s="97" t="s">
        <v>488</v>
      </c>
      <c r="S35" s="101">
        <f t="shared" si="0"/>
        <v>252539102</v>
      </c>
    </row>
    <row r="36" spans="1:19">
      <c r="A36" s="96">
        <v>45382</v>
      </c>
      <c r="B36" s="96">
        <v>45382</v>
      </c>
      <c r="C36" s="97" t="s">
        <v>507</v>
      </c>
      <c r="D36" s="96"/>
      <c r="E36" s="97"/>
      <c r="F36" s="97" t="s">
        <v>487</v>
      </c>
      <c r="G36" s="97" t="s">
        <v>71</v>
      </c>
      <c r="H36" s="97" t="s">
        <v>273</v>
      </c>
      <c r="I36" s="98">
        <v>31809466</v>
      </c>
      <c r="J36" s="98">
        <v>0</v>
      </c>
      <c r="K36" s="97"/>
      <c r="L36" s="97"/>
      <c r="M36" s="97"/>
      <c r="N36" s="97"/>
      <c r="O36" s="97"/>
      <c r="Q36" s="97"/>
      <c r="R36" s="97" t="s">
        <v>488</v>
      </c>
      <c r="S36" s="101">
        <f t="shared" si="0"/>
        <v>31809466</v>
      </c>
    </row>
    <row r="37" spans="1:19">
      <c r="A37" s="96">
        <v>45382</v>
      </c>
      <c r="B37" s="96">
        <v>45382</v>
      </c>
      <c r="C37" s="97" t="s">
        <v>507</v>
      </c>
      <c r="D37" s="96"/>
      <c r="E37" s="97"/>
      <c r="F37" s="97" t="s">
        <v>487</v>
      </c>
      <c r="G37" s="97" t="s">
        <v>71</v>
      </c>
      <c r="H37" s="97" t="s">
        <v>277</v>
      </c>
      <c r="I37" s="98">
        <v>46214173</v>
      </c>
      <c r="J37" s="98">
        <v>0</v>
      </c>
      <c r="K37" s="97"/>
      <c r="L37" s="97"/>
      <c r="M37" s="97"/>
      <c r="N37" s="97"/>
      <c r="O37" s="97"/>
      <c r="Q37" s="97"/>
      <c r="R37" s="97" t="s">
        <v>488</v>
      </c>
      <c r="S37" s="101">
        <f t="shared" si="0"/>
        <v>46214173</v>
      </c>
    </row>
    <row r="38" spans="1:19">
      <c r="A38" s="96">
        <v>45382</v>
      </c>
      <c r="B38" s="96">
        <v>45382</v>
      </c>
      <c r="C38" s="97" t="s">
        <v>507</v>
      </c>
      <c r="D38" s="96"/>
      <c r="E38" s="97"/>
      <c r="F38" s="97" t="s">
        <v>487</v>
      </c>
      <c r="G38" s="97" t="s">
        <v>71</v>
      </c>
      <c r="H38" s="97" t="s">
        <v>281</v>
      </c>
      <c r="I38" s="98">
        <v>2222712</v>
      </c>
      <c r="J38" s="98">
        <v>0</v>
      </c>
      <c r="K38" s="97"/>
      <c r="L38" s="97"/>
      <c r="M38" s="97"/>
      <c r="N38" s="97"/>
      <c r="O38" s="97"/>
      <c r="Q38" s="97"/>
      <c r="R38" s="97" t="s">
        <v>488</v>
      </c>
      <c r="S38" s="101">
        <f t="shared" si="0"/>
        <v>2222712</v>
      </c>
    </row>
    <row r="39" spans="1:19">
      <c r="A39" s="96">
        <v>45382</v>
      </c>
      <c r="B39" s="96">
        <v>45382</v>
      </c>
      <c r="C39" s="97" t="s">
        <v>507</v>
      </c>
      <c r="D39" s="96"/>
      <c r="E39" s="97"/>
      <c r="F39" s="97" t="s">
        <v>487</v>
      </c>
      <c r="G39" s="97" t="s">
        <v>71</v>
      </c>
      <c r="H39" s="97" t="s">
        <v>283</v>
      </c>
      <c r="I39" s="98">
        <v>175416142</v>
      </c>
      <c r="J39" s="98">
        <v>0</v>
      </c>
      <c r="K39" s="97"/>
      <c r="L39" s="97"/>
      <c r="M39" s="97"/>
      <c r="N39" s="97"/>
      <c r="O39" s="97"/>
      <c r="Q39" s="97"/>
      <c r="R39" s="97" t="s">
        <v>488</v>
      </c>
      <c r="S39" s="101">
        <f t="shared" si="0"/>
        <v>175416142</v>
      </c>
    </row>
    <row r="40" spans="1:19">
      <c r="A40" s="96">
        <v>45382</v>
      </c>
      <c r="B40" s="96">
        <v>45382</v>
      </c>
      <c r="C40" s="97" t="s">
        <v>507</v>
      </c>
      <c r="D40" s="96"/>
      <c r="E40" s="97"/>
      <c r="F40" s="97" t="s">
        <v>487</v>
      </c>
      <c r="G40" s="97" t="s">
        <v>71</v>
      </c>
      <c r="H40" s="97" t="s">
        <v>285</v>
      </c>
      <c r="I40" s="98">
        <v>600000</v>
      </c>
      <c r="J40" s="98">
        <v>0</v>
      </c>
      <c r="K40" s="97"/>
      <c r="L40" s="97"/>
      <c r="M40" s="97"/>
      <c r="N40" s="97"/>
      <c r="O40" s="97"/>
      <c r="Q40" s="97"/>
      <c r="R40" s="97" t="s">
        <v>488</v>
      </c>
      <c r="S40" s="101">
        <f t="shared" si="0"/>
        <v>600000</v>
      </c>
    </row>
    <row r="41" spans="1:19">
      <c r="A41" s="96">
        <v>45382</v>
      </c>
      <c r="B41" s="96">
        <v>45382</v>
      </c>
      <c r="C41" s="97" t="s">
        <v>507</v>
      </c>
      <c r="D41" s="96"/>
      <c r="E41" s="97"/>
      <c r="F41" s="97" t="s">
        <v>487</v>
      </c>
      <c r="G41" s="97" t="s">
        <v>71</v>
      </c>
      <c r="H41" s="97" t="s">
        <v>287</v>
      </c>
      <c r="I41" s="98">
        <v>22076455</v>
      </c>
      <c r="J41" s="98">
        <v>0</v>
      </c>
      <c r="K41" s="97"/>
      <c r="L41" s="97"/>
      <c r="M41" s="97"/>
      <c r="N41" s="97"/>
      <c r="O41" s="97"/>
      <c r="Q41" s="97"/>
      <c r="R41" s="97" t="s">
        <v>488</v>
      </c>
      <c r="S41" s="101">
        <f t="shared" si="0"/>
        <v>22076455</v>
      </c>
    </row>
    <row r="42" spans="1:19">
      <c r="A42" s="96">
        <v>45382</v>
      </c>
      <c r="B42" s="96">
        <v>45382</v>
      </c>
      <c r="C42" s="97" t="s">
        <v>507</v>
      </c>
      <c r="D42" s="96"/>
      <c r="E42" s="97"/>
      <c r="F42" s="97" t="s">
        <v>487</v>
      </c>
      <c r="G42" s="97" t="s">
        <v>71</v>
      </c>
      <c r="H42" s="97" t="s">
        <v>289</v>
      </c>
      <c r="I42" s="98">
        <v>14561623</v>
      </c>
      <c r="J42" s="98">
        <v>0</v>
      </c>
      <c r="K42" s="97"/>
      <c r="L42" s="97"/>
      <c r="M42" s="97"/>
      <c r="N42" s="97"/>
      <c r="O42" s="97"/>
      <c r="Q42" s="97"/>
      <c r="R42" s="97" t="s">
        <v>488</v>
      </c>
      <c r="S42" s="101">
        <f t="shared" si="0"/>
        <v>14561623</v>
      </c>
    </row>
    <row r="43" spans="1:19">
      <c r="A43" s="96">
        <v>45382</v>
      </c>
      <c r="B43" s="96">
        <v>45382</v>
      </c>
      <c r="C43" s="97" t="s">
        <v>507</v>
      </c>
      <c r="D43" s="96"/>
      <c r="E43" s="97"/>
      <c r="F43" s="97" t="s">
        <v>487</v>
      </c>
      <c r="G43" s="97" t="s">
        <v>71</v>
      </c>
      <c r="H43" s="97" t="s">
        <v>291</v>
      </c>
      <c r="I43" s="98">
        <v>627478351</v>
      </c>
      <c r="J43" s="98">
        <v>0</v>
      </c>
      <c r="K43" s="97"/>
      <c r="L43" s="97"/>
      <c r="M43" s="97"/>
      <c r="N43" s="97"/>
      <c r="O43" s="97"/>
      <c r="Q43" s="97"/>
      <c r="R43" s="97" t="s">
        <v>488</v>
      </c>
      <c r="S43" s="101">
        <f t="shared" si="0"/>
        <v>627478351</v>
      </c>
    </row>
    <row r="44" spans="1:19">
      <c r="A44" s="96">
        <v>45382</v>
      </c>
      <c r="B44" s="96">
        <v>45382</v>
      </c>
      <c r="C44" s="97" t="s">
        <v>507</v>
      </c>
      <c r="D44" s="96"/>
      <c r="E44" s="97"/>
      <c r="F44" s="97" t="s">
        <v>487</v>
      </c>
      <c r="G44" s="97" t="s">
        <v>71</v>
      </c>
      <c r="H44" s="97" t="s">
        <v>293</v>
      </c>
      <c r="I44" s="98">
        <v>4363636</v>
      </c>
      <c r="J44" s="98">
        <v>0</v>
      </c>
      <c r="K44" s="97"/>
      <c r="L44" s="97"/>
      <c r="M44" s="97"/>
      <c r="N44" s="97"/>
      <c r="O44" s="97"/>
      <c r="Q44" s="97"/>
      <c r="R44" s="97" t="s">
        <v>488</v>
      </c>
      <c r="S44" s="101">
        <f t="shared" si="0"/>
        <v>4363636</v>
      </c>
    </row>
    <row r="45" spans="1:19">
      <c r="A45" s="96">
        <v>45382</v>
      </c>
      <c r="B45" s="96">
        <v>45382</v>
      </c>
      <c r="C45" s="97" t="s">
        <v>507</v>
      </c>
      <c r="D45" s="96"/>
      <c r="E45" s="97"/>
      <c r="F45" s="97" t="s">
        <v>487</v>
      </c>
      <c r="G45" s="97" t="s">
        <v>71</v>
      </c>
      <c r="H45" s="97" t="s">
        <v>295</v>
      </c>
      <c r="I45" s="98">
        <v>5000000</v>
      </c>
      <c r="J45" s="98">
        <v>0</v>
      </c>
      <c r="K45" s="97"/>
      <c r="L45" s="97"/>
      <c r="M45" s="97"/>
      <c r="N45" s="97"/>
      <c r="O45" s="97"/>
      <c r="Q45" s="97"/>
      <c r="R45" s="97" t="s">
        <v>488</v>
      </c>
      <c r="S45" s="101">
        <f t="shared" si="0"/>
        <v>5000000</v>
      </c>
    </row>
    <row r="46" spans="1:19">
      <c r="A46" s="96">
        <v>45382</v>
      </c>
      <c r="B46" s="96">
        <v>45382</v>
      </c>
      <c r="C46" s="97" t="s">
        <v>507</v>
      </c>
      <c r="D46" s="96"/>
      <c r="E46" s="97"/>
      <c r="F46" s="97" t="s">
        <v>487</v>
      </c>
      <c r="G46" s="97" t="s">
        <v>71</v>
      </c>
      <c r="H46" s="97" t="s">
        <v>299</v>
      </c>
      <c r="I46" s="98">
        <v>1933500</v>
      </c>
      <c r="J46" s="98">
        <v>0</v>
      </c>
      <c r="K46" s="97"/>
      <c r="L46" s="97"/>
      <c r="M46" s="97"/>
      <c r="N46" s="97"/>
      <c r="O46" s="97"/>
      <c r="Q46" s="97"/>
      <c r="R46" s="97" t="s">
        <v>488</v>
      </c>
      <c r="S46" s="101">
        <f t="shared" si="0"/>
        <v>1933500</v>
      </c>
    </row>
    <row r="47" spans="1:19">
      <c r="A47" s="96">
        <v>45382</v>
      </c>
      <c r="B47" s="96">
        <v>45382</v>
      </c>
      <c r="C47" s="97" t="s">
        <v>507</v>
      </c>
      <c r="D47" s="96"/>
      <c r="E47" s="97"/>
      <c r="F47" s="97" t="s">
        <v>487</v>
      </c>
      <c r="G47" s="97" t="s">
        <v>71</v>
      </c>
      <c r="H47" s="97" t="s">
        <v>301</v>
      </c>
      <c r="I47" s="98">
        <v>11417619</v>
      </c>
      <c r="J47" s="98">
        <v>0</v>
      </c>
      <c r="K47" s="97"/>
      <c r="L47" s="97"/>
      <c r="M47" s="97"/>
      <c r="N47" s="97"/>
      <c r="O47" s="97"/>
      <c r="Q47" s="97"/>
      <c r="R47" s="97" t="s">
        <v>488</v>
      </c>
      <c r="S47" s="101">
        <f t="shared" si="0"/>
        <v>11417619</v>
      </c>
    </row>
    <row r="48" spans="1:19">
      <c r="A48" s="96">
        <v>45382</v>
      </c>
      <c r="B48" s="96">
        <v>45382</v>
      </c>
      <c r="C48" s="97" t="s">
        <v>507</v>
      </c>
      <c r="D48" s="96"/>
      <c r="E48" s="97"/>
      <c r="F48" s="97" t="s">
        <v>473</v>
      </c>
      <c r="G48" s="97" t="s">
        <v>71</v>
      </c>
      <c r="H48" s="97" t="s">
        <v>303</v>
      </c>
      <c r="I48" s="98">
        <v>0</v>
      </c>
      <c r="J48" s="98">
        <v>1195632779</v>
      </c>
      <c r="K48" s="97"/>
      <c r="L48" s="97"/>
      <c r="M48" s="97"/>
      <c r="N48" s="97"/>
      <c r="O48" s="97"/>
      <c r="Q48" s="97"/>
      <c r="R48" s="97" t="s">
        <v>488</v>
      </c>
      <c r="S48" s="101">
        <f t="shared" si="0"/>
        <v>-1195632779</v>
      </c>
    </row>
    <row r="49" spans="1:19">
      <c r="A49" s="96">
        <v>45412</v>
      </c>
      <c r="B49" s="96">
        <v>45412</v>
      </c>
      <c r="C49" s="97" t="s">
        <v>508</v>
      </c>
      <c r="D49" s="96"/>
      <c r="E49" s="97"/>
      <c r="F49" s="97" t="s">
        <v>487</v>
      </c>
      <c r="G49" s="97" t="s">
        <v>71</v>
      </c>
      <c r="H49" s="97" t="s">
        <v>269</v>
      </c>
      <c r="I49" s="98">
        <v>301543676</v>
      </c>
      <c r="J49" s="98">
        <v>0</v>
      </c>
      <c r="K49" s="97"/>
      <c r="L49" s="97"/>
      <c r="M49" s="97"/>
      <c r="N49" s="97"/>
      <c r="O49" s="97"/>
      <c r="Q49" s="97"/>
      <c r="R49" s="97" t="s">
        <v>488</v>
      </c>
      <c r="S49" s="101">
        <f t="shared" si="0"/>
        <v>301543676</v>
      </c>
    </row>
    <row r="50" spans="1:19">
      <c r="A50" s="96">
        <v>45412</v>
      </c>
      <c r="B50" s="96">
        <v>45412</v>
      </c>
      <c r="C50" s="97" t="s">
        <v>508</v>
      </c>
      <c r="D50" s="96"/>
      <c r="E50" s="97"/>
      <c r="F50" s="97" t="s">
        <v>487</v>
      </c>
      <c r="G50" s="97" t="s">
        <v>71</v>
      </c>
      <c r="H50" s="97" t="s">
        <v>273</v>
      </c>
      <c r="I50" s="98">
        <v>27742537</v>
      </c>
      <c r="J50" s="98">
        <v>0</v>
      </c>
      <c r="K50" s="97"/>
      <c r="L50" s="97"/>
      <c r="M50" s="97"/>
      <c r="N50" s="97"/>
      <c r="O50" s="97"/>
      <c r="Q50" s="97"/>
      <c r="R50" s="97" t="s">
        <v>488</v>
      </c>
      <c r="S50" s="101">
        <f t="shared" si="0"/>
        <v>27742537</v>
      </c>
    </row>
    <row r="51" spans="1:19">
      <c r="A51" s="96">
        <v>45412</v>
      </c>
      <c r="B51" s="96">
        <v>45412</v>
      </c>
      <c r="C51" s="97" t="s">
        <v>508</v>
      </c>
      <c r="D51" s="96"/>
      <c r="E51" s="97"/>
      <c r="F51" s="97" t="s">
        <v>487</v>
      </c>
      <c r="G51" s="97" t="s">
        <v>71</v>
      </c>
      <c r="H51" s="97" t="s">
        <v>277</v>
      </c>
      <c r="I51" s="98">
        <v>42754294</v>
      </c>
      <c r="J51" s="98">
        <v>0</v>
      </c>
      <c r="K51" s="97"/>
      <c r="L51" s="97"/>
      <c r="M51" s="97"/>
      <c r="N51" s="97"/>
      <c r="O51" s="97"/>
      <c r="Q51" s="97"/>
      <c r="R51" s="97" t="s">
        <v>488</v>
      </c>
      <c r="S51" s="101">
        <f t="shared" si="0"/>
        <v>42754294</v>
      </c>
    </row>
    <row r="52" spans="1:19">
      <c r="A52" s="96">
        <v>45412</v>
      </c>
      <c r="B52" s="96">
        <v>45412</v>
      </c>
      <c r="C52" s="97" t="s">
        <v>508</v>
      </c>
      <c r="D52" s="96"/>
      <c r="E52" s="97"/>
      <c r="F52" s="97" t="s">
        <v>487</v>
      </c>
      <c r="G52" s="97" t="s">
        <v>71</v>
      </c>
      <c r="H52" s="97" t="s">
        <v>281</v>
      </c>
      <c r="I52" s="98">
        <v>2249250</v>
      </c>
      <c r="J52" s="98">
        <v>0</v>
      </c>
      <c r="K52" s="97"/>
      <c r="L52" s="97"/>
      <c r="M52" s="97"/>
      <c r="N52" s="97"/>
      <c r="O52" s="97"/>
      <c r="Q52" s="97"/>
      <c r="R52" s="97" t="s">
        <v>488</v>
      </c>
      <c r="S52" s="101">
        <f t="shared" si="0"/>
        <v>2249250</v>
      </c>
    </row>
    <row r="53" spans="1:19">
      <c r="A53" s="96">
        <v>45412</v>
      </c>
      <c r="B53" s="96">
        <v>45412</v>
      </c>
      <c r="C53" s="97" t="s">
        <v>508</v>
      </c>
      <c r="D53" s="96"/>
      <c r="E53" s="97"/>
      <c r="F53" s="97" t="s">
        <v>487</v>
      </c>
      <c r="G53" s="97" t="s">
        <v>71</v>
      </c>
      <c r="H53" s="97" t="s">
        <v>283</v>
      </c>
      <c r="I53" s="98">
        <v>210920964</v>
      </c>
      <c r="J53" s="98">
        <v>0</v>
      </c>
      <c r="K53" s="97"/>
      <c r="L53" s="97"/>
      <c r="M53" s="97"/>
      <c r="N53" s="97"/>
      <c r="O53" s="97"/>
      <c r="Q53" s="97"/>
      <c r="R53" s="97" t="s">
        <v>488</v>
      </c>
      <c r="S53" s="101">
        <f t="shared" si="0"/>
        <v>210920964</v>
      </c>
    </row>
    <row r="54" spans="1:19">
      <c r="A54" s="96">
        <v>45412</v>
      </c>
      <c r="B54" s="96">
        <v>45412</v>
      </c>
      <c r="C54" s="97" t="s">
        <v>508</v>
      </c>
      <c r="D54" s="96"/>
      <c r="E54" s="97"/>
      <c r="F54" s="97" t="s">
        <v>487</v>
      </c>
      <c r="G54" s="97" t="s">
        <v>71</v>
      </c>
      <c r="H54" s="97" t="s">
        <v>285</v>
      </c>
      <c r="I54" s="98">
        <v>600000</v>
      </c>
      <c r="J54" s="98">
        <v>0</v>
      </c>
      <c r="K54" s="97"/>
      <c r="L54" s="97"/>
      <c r="M54" s="97"/>
      <c r="N54" s="97"/>
      <c r="O54" s="97"/>
      <c r="Q54" s="97"/>
      <c r="R54" s="97" t="s">
        <v>488</v>
      </c>
      <c r="S54" s="101">
        <f t="shared" si="0"/>
        <v>600000</v>
      </c>
    </row>
    <row r="55" spans="1:19">
      <c r="A55" s="96">
        <v>45412</v>
      </c>
      <c r="B55" s="96">
        <v>45412</v>
      </c>
      <c r="C55" s="97" t="s">
        <v>508</v>
      </c>
      <c r="D55" s="96"/>
      <c r="E55" s="97"/>
      <c r="F55" s="97" t="s">
        <v>487</v>
      </c>
      <c r="G55" s="97" t="s">
        <v>71</v>
      </c>
      <c r="H55" s="97" t="s">
        <v>287</v>
      </c>
      <c r="I55" s="98">
        <v>17452500</v>
      </c>
      <c r="J55" s="98">
        <v>0</v>
      </c>
      <c r="K55" s="97"/>
      <c r="L55" s="97"/>
      <c r="M55" s="97"/>
      <c r="N55" s="97"/>
      <c r="O55" s="97"/>
      <c r="Q55" s="97"/>
      <c r="R55" s="97" t="s">
        <v>488</v>
      </c>
      <c r="S55" s="101">
        <f t="shared" si="0"/>
        <v>17452500</v>
      </c>
    </row>
    <row r="56" spans="1:19">
      <c r="A56" s="96">
        <v>45412</v>
      </c>
      <c r="B56" s="96">
        <v>45412</v>
      </c>
      <c r="C56" s="97" t="s">
        <v>508</v>
      </c>
      <c r="D56" s="96"/>
      <c r="E56" s="97"/>
      <c r="F56" s="97" t="s">
        <v>487</v>
      </c>
      <c r="G56" s="97" t="s">
        <v>71</v>
      </c>
      <c r="H56" s="97" t="s">
        <v>289</v>
      </c>
      <c r="I56" s="98">
        <v>14561623</v>
      </c>
      <c r="J56" s="98">
        <v>0</v>
      </c>
      <c r="K56" s="97"/>
      <c r="L56" s="97"/>
      <c r="M56" s="97"/>
      <c r="N56" s="97"/>
      <c r="O56" s="97"/>
      <c r="Q56" s="97"/>
      <c r="R56" s="97" t="s">
        <v>488</v>
      </c>
      <c r="S56" s="101">
        <f t="shared" si="0"/>
        <v>14561623</v>
      </c>
    </row>
    <row r="57" spans="1:19">
      <c r="A57" s="96">
        <v>45412</v>
      </c>
      <c r="B57" s="96">
        <v>45412</v>
      </c>
      <c r="C57" s="97" t="s">
        <v>508</v>
      </c>
      <c r="D57" s="96"/>
      <c r="E57" s="97"/>
      <c r="F57" s="97" t="s">
        <v>487</v>
      </c>
      <c r="G57" s="97" t="s">
        <v>71</v>
      </c>
      <c r="H57" s="97" t="s">
        <v>291</v>
      </c>
      <c r="I57" s="98">
        <v>576431125</v>
      </c>
      <c r="J57" s="98">
        <v>0</v>
      </c>
      <c r="K57" s="97"/>
      <c r="L57" s="97"/>
      <c r="M57" s="97"/>
      <c r="N57" s="97"/>
      <c r="O57" s="97"/>
      <c r="Q57" s="97"/>
      <c r="R57" s="97" t="s">
        <v>488</v>
      </c>
      <c r="S57" s="101">
        <f t="shared" si="0"/>
        <v>576431125</v>
      </c>
    </row>
    <row r="58" spans="1:19">
      <c r="A58" s="96">
        <v>45412</v>
      </c>
      <c r="B58" s="96">
        <v>45412</v>
      </c>
      <c r="C58" s="97" t="s">
        <v>508</v>
      </c>
      <c r="D58" s="96"/>
      <c r="E58" s="97"/>
      <c r="F58" s="97" t="s">
        <v>487</v>
      </c>
      <c r="G58" s="97" t="s">
        <v>71</v>
      </c>
      <c r="H58" s="97" t="s">
        <v>295</v>
      </c>
      <c r="I58" s="98">
        <v>5000000</v>
      </c>
      <c r="J58" s="98">
        <v>0</v>
      </c>
      <c r="K58" s="97"/>
      <c r="L58" s="97"/>
      <c r="M58" s="97"/>
      <c r="N58" s="97"/>
      <c r="O58" s="97"/>
      <c r="Q58" s="97"/>
      <c r="R58" s="97" t="s">
        <v>488</v>
      </c>
      <c r="S58" s="101">
        <f t="shared" si="0"/>
        <v>5000000</v>
      </c>
    </row>
    <row r="59" spans="1:19">
      <c r="A59" s="96">
        <v>45412</v>
      </c>
      <c r="B59" s="96">
        <v>45412</v>
      </c>
      <c r="C59" s="97" t="s">
        <v>508</v>
      </c>
      <c r="D59" s="96"/>
      <c r="E59" s="97"/>
      <c r="F59" s="97" t="s">
        <v>487</v>
      </c>
      <c r="G59" s="97" t="s">
        <v>71</v>
      </c>
      <c r="H59" s="97" t="s">
        <v>297</v>
      </c>
      <c r="I59" s="98">
        <v>1720000</v>
      </c>
      <c r="J59" s="98">
        <v>0</v>
      </c>
      <c r="K59" s="97"/>
      <c r="L59" s="97"/>
      <c r="M59" s="97"/>
      <c r="N59" s="97"/>
      <c r="O59" s="97"/>
      <c r="Q59" s="97"/>
      <c r="R59" s="97" t="s">
        <v>488</v>
      </c>
      <c r="S59" s="101">
        <f t="shared" si="0"/>
        <v>1720000</v>
      </c>
    </row>
    <row r="60" spans="1:19">
      <c r="A60" s="96">
        <v>45412</v>
      </c>
      <c r="B60" s="96">
        <v>45412</v>
      </c>
      <c r="C60" s="97" t="s">
        <v>508</v>
      </c>
      <c r="D60" s="96"/>
      <c r="E60" s="97"/>
      <c r="F60" s="97" t="s">
        <v>487</v>
      </c>
      <c r="G60" s="97" t="s">
        <v>71</v>
      </c>
      <c r="H60" s="97" t="s">
        <v>299</v>
      </c>
      <c r="I60" s="98">
        <v>3018000</v>
      </c>
      <c r="J60" s="98">
        <v>0</v>
      </c>
      <c r="K60" s="97"/>
      <c r="L60" s="97"/>
      <c r="M60" s="97"/>
      <c r="N60" s="97"/>
      <c r="O60" s="97"/>
      <c r="Q60" s="97"/>
      <c r="R60" s="97" t="s">
        <v>488</v>
      </c>
      <c r="S60" s="101">
        <f t="shared" si="0"/>
        <v>3018000</v>
      </c>
    </row>
    <row r="61" spans="1:19">
      <c r="A61" s="96">
        <v>45412</v>
      </c>
      <c r="B61" s="96">
        <v>45412</v>
      </c>
      <c r="C61" s="97" t="s">
        <v>508</v>
      </c>
      <c r="D61" s="96"/>
      <c r="E61" s="97"/>
      <c r="F61" s="97" t="s">
        <v>487</v>
      </c>
      <c r="G61" s="97" t="s">
        <v>71</v>
      </c>
      <c r="H61" s="97" t="s">
        <v>301</v>
      </c>
      <c r="I61" s="98">
        <v>939400</v>
      </c>
      <c r="J61" s="98">
        <v>0</v>
      </c>
      <c r="K61" s="97"/>
      <c r="L61" s="97"/>
      <c r="M61" s="97"/>
      <c r="N61" s="97"/>
      <c r="O61" s="97"/>
      <c r="Q61" s="97"/>
      <c r="R61" s="97" t="s">
        <v>488</v>
      </c>
      <c r="S61" s="101">
        <f t="shared" si="0"/>
        <v>939400</v>
      </c>
    </row>
    <row r="62" spans="1:19">
      <c r="A62" s="96">
        <v>45412</v>
      </c>
      <c r="B62" s="96">
        <v>45412</v>
      </c>
      <c r="C62" s="97" t="s">
        <v>508</v>
      </c>
      <c r="D62" s="96"/>
      <c r="E62" s="97"/>
      <c r="F62" s="97" t="s">
        <v>473</v>
      </c>
      <c r="G62" s="97" t="s">
        <v>71</v>
      </c>
      <c r="H62" s="97" t="s">
        <v>303</v>
      </c>
      <c r="I62" s="98">
        <v>0</v>
      </c>
      <c r="J62" s="98">
        <v>1204933369</v>
      </c>
      <c r="K62" s="97"/>
      <c r="L62" s="97"/>
      <c r="M62" s="97"/>
      <c r="N62" s="97"/>
      <c r="O62" s="97"/>
      <c r="Q62" s="97"/>
      <c r="R62" s="97" t="s">
        <v>488</v>
      </c>
      <c r="S62" s="101">
        <f t="shared" si="0"/>
        <v>-1204933369</v>
      </c>
    </row>
    <row r="63" spans="1:19">
      <c r="A63" s="96">
        <v>45443</v>
      </c>
      <c r="B63" s="96">
        <v>45443</v>
      </c>
      <c r="C63" s="97" t="s">
        <v>509</v>
      </c>
      <c r="D63" s="96"/>
      <c r="E63" s="97"/>
      <c r="F63" s="97" t="s">
        <v>487</v>
      </c>
      <c r="G63" s="97" t="s">
        <v>71</v>
      </c>
      <c r="H63" s="97" t="s">
        <v>269</v>
      </c>
      <c r="I63" s="98">
        <v>301543676</v>
      </c>
      <c r="J63" s="98">
        <v>0</v>
      </c>
      <c r="K63" s="97"/>
      <c r="L63" s="97"/>
      <c r="M63" s="97"/>
      <c r="N63" s="97"/>
      <c r="O63" s="97"/>
      <c r="Q63" s="97"/>
      <c r="R63" s="97" t="s">
        <v>488</v>
      </c>
      <c r="S63" s="101">
        <f t="shared" si="0"/>
        <v>301543676</v>
      </c>
    </row>
    <row r="64" spans="1:19">
      <c r="A64" s="96">
        <v>45443</v>
      </c>
      <c r="B64" s="96">
        <v>45443</v>
      </c>
      <c r="C64" s="97" t="s">
        <v>509</v>
      </c>
      <c r="D64" s="96"/>
      <c r="E64" s="97"/>
      <c r="F64" s="97" t="s">
        <v>487</v>
      </c>
      <c r="G64" s="97" t="s">
        <v>71</v>
      </c>
      <c r="H64" s="97" t="s">
        <v>273</v>
      </c>
      <c r="I64" s="98">
        <v>123474301</v>
      </c>
      <c r="J64" s="98">
        <v>0</v>
      </c>
      <c r="K64" s="97"/>
      <c r="L64" s="97"/>
      <c r="M64" s="97"/>
      <c r="N64" s="97"/>
      <c r="O64" s="97"/>
      <c r="Q64" s="97"/>
      <c r="R64" s="97" t="s">
        <v>488</v>
      </c>
      <c r="S64" s="101">
        <f t="shared" si="0"/>
        <v>123474301</v>
      </c>
    </row>
    <row r="65" spans="1:19">
      <c r="A65" s="96">
        <v>45443</v>
      </c>
      <c r="B65" s="96">
        <v>45443</v>
      </c>
      <c r="C65" s="97" t="s">
        <v>509</v>
      </c>
      <c r="D65" s="96"/>
      <c r="E65" s="97"/>
      <c r="F65" s="97" t="s">
        <v>487</v>
      </c>
      <c r="G65" s="97" t="s">
        <v>71</v>
      </c>
      <c r="H65" s="97" t="s">
        <v>277</v>
      </c>
      <c r="I65" s="98">
        <v>53234103</v>
      </c>
      <c r="J65" s="98">
        <v>0</v>
      </c>
      <c r="K65" s="97"/>
      <c r="L65" s="97"/>
      <c r="M65" s="97"/>
      <c r="N65" s="97"/>
      <c r="O65" s="97"/>
      <c r="Q65" s="97"/>
      <c r="R65" s="97" t="s">
        <v>488</v>
      </c>
      <c r="S65" s="101">
        <f t="shared" si="0"/>
        <v>53234103</v>
      </c>
    </row>
    <row r="66" spans="1:19">
      <c r="A66" s="96">
        <v>45443</v>
      </c>
      <c r="B66" s="96">
        <v>45443</v>
      </c>
      <c r="C66" s="97" t="s">
        <v>509</v>
      </c>
      <c r="D66" s="96"/>
      <c r="E66" s="97"/>
      <c r="F66" s="97" t="s">
        <v>487</v>
      </c>
      <c r="G66" s="97" t="s">
        <v>71</v>
      </c>
      <c r="H66" s="97" t="s">
        <v>281</v>
      </c>
      <c r="I66" s="98">
        <v>2285691</v>
      </c>
      <c r="J66" s="98">
        <v>0</v>
      </c>
      <c r="K66" s="97"/>
      <c r="L66" s="97"/>
      <c r="M66" s="97"/>
      <c r="N66" s="97"/>
      <c r="O66" s="97"/>
      <c r="Q66" s="97"/>
      <c r="R66" s="97" t="s">
        <v>488</v>
      </c>
      <c r="S66" s="101">
        <f t="shared" si="0"/>
        <v>2285691</v>
      </c>
    </row>
    <row r="67" spans="1:19">
      <c r="A67" s="96">
        <v>45443</v>
      </c>
      <c r="B67" s="96">
        <v>45443</v>
      </c>
      <c r="C67" s="97" t="s">
        <v>509</v>
      </c>
      <c r="D67" s="96"/>
      <c r="E67" s="97"/>
      <c r="F67" s="97" t="s">
        <v>487</v>
      </c>
      <c r="G67" s="97" t="s">
        <v>71</v>
      </c>
      <c r="H67" s="97" t="s">
        <v>283</v>
      </c>
      <c r="I67" s="98">
        <v>190946811</v>
      </c>
      <c r="J67" s="98">
        <v>0</v>
      </c>
      <c r="K67" s="97"/>
      <c r="L67" s="97"/>
      <c r="M67" s="97"/>
      <c r="N67" s="97"/>
      <c r="O67" s="97"/>
      <c r="Q67" s="97"/>
      <c r="R67" s="97" t="s">
        <v>488</v>
      </c>
      <c r="S67" s="101">
        <f t="shared" si="0"/>
        <v>190946811</v>
      </c>
    </row>
    <row r="68" spans="1:19">
      <c r="A68" s="96">
        <v>45443</v>
      </c>
      <c r="B68" s="96">
        <v>45443</v>
      </c>
      <c r="C68" s="97" t="s">
        <v>509</v>
      </c>
      <c r="D68" s="96"/>
      <c r="E68" s="97"/>
      <c r="F68" s="97" t="s">
        <v>487</v>
      </c>
      <c r="G68" s="97" t="s">
        <v>71</v>
      </c>
      <c r="H68" s="97" t="s">
        <v>285</v>
      </c>
      <c r="I68" s="98">
        <v>600000</v>
      </c>
      <c r="J68" s="98">
        <v>0</v>
      </c>
      <c r="K68" s="97"/>
      <c r="L68" s="97"/>
      <c r="M68" s="97"/>
      <c r="N68" s="97"/>
      <c r="O68" s="97"/>
      <c r="Q68" s="97"/>
      <c r="R68" s="97" t="s">
        <v>488</v>
      </c>
      <c r="S68" s="101">
        <f t="shared" si="0"/>
        <v>600000</v>
      </c>
    </row>
    <row r="69" spans="1:19">
      <c r="A69" s="96">
        <v>45443</v>
      </c>
      <c r="B69" s="96">
        <v>45443</v>
      </c>
      <c r="C69" s="97" t="s">
        <v>509</v>
      </c>
      <c r="D69" s="96"/>
      <c r="E69" s="97"/>
      <c r="F69" s="97" t="s">
        <v>487</v>
      </c>
      <c r="G69" s="97" t="s">
        <v>71</v>
      </c>
      <c r="H69" s="97" t="s">
        <v>287</v>
      </c>
      <c r="I69" s="98">
        <v>17452500</v>
      </c>
      <c r="J69" s="98">
        <v>0</v>
      </c>
      <c r="K69" s="97"/>
      <c r="L69" s="97"/>
      <c r="M69" s="97"/>
      <c r="N69" s="97"/>
      <c r="O69" s="97"/>
      <c r="Q69" s="97"/>
      <c r="R69" s="97" t="s">
        <v>488</v>
      </c>
      <c r="S69" s="101">
        <f t="shared" ref="S69:S132" si="1">I69-J69</f>
        <v>17452500</v>
      </c>
    </row>
    <row r="70" spans="1:19">
      <c r="A70" s="96">
        <v>45443</v>
      </c>
      <c r="B70" s="96">
        <v>45443</v>
      </c>
      <c r="C70" s="97" t="s">
        <v>509</v>
      </c>
      <c r="D70" s="96"/>
      <c r="E70" s="97"/>
      <c r="F70" s="97" t="s">
        <v>487</v>
      </c>
      <c r="G70" s="97" t="s">
        <v>71</v>
      </c>
      <c r="H70" s="97" t="s">
        <v>289</v>
      </c>
      <c r="I70" s="98">
        <v>14561623</v>
      </c>
      <c r="J70" s="98">
        <v>0</v>
      </c>
      <c r="K70" s="97"/>
      <c r="L70" s="97"/>
      <c r="M70" s="97"/>
      <c r="N70" s="97"/>
      <c r="O70" s="97"/>
      <c r="Q70" s="97"/>
      <c r="R70" s="97" t="s">
        <v>488</v>
      </c>
      <c r="S70" s="101">
        <f t="shared" si="1"/>
        <v>14561623</v>
      </c>
    </row>
    <row r="71" spans="1:19">
      <c r="A71" s="96">
        <v>45443</v>
      </c>
      <c r="B71" s="96">
        <v>45443</v>
      </c>
      <c r="C71" s="97" t="s">
        <v>509</v>
      </c>
      <c r="D71" s="96"/>
      <c r="E71" s="97"/>
      <c r="F71" s="97" t="s">
        <v>487</v>
      </c>
      <c r="G71" s="97" t="s">
        <v>71</v>
      </c>
      <c r="H71" s="97" t="s">
        <v>291</v>
      </c>
      <c r="I71" s="98">
        <v>603768405</v>
      </c>
      <c r="J71" s="98">
        <v>0</v>
      </c>
      <c r="K71" s="97"/>
      <c r="L71" s="97"/>
      <c r="M71" s="97"/>
      <c r="N71" s="97"/>
      <c r="O71" s="97"/>
      <c r="Q71" s="97"/>
      <c r="R71" s="97" t="s">
        <v>488</v>
      </c>
      <c r="S71" s="101">
        <f t="shared" si="1"/>
        <v>603768405</v>
      </c>
    </row>
    <row r="72" spans="1:19">
      <c r="A72" s="96">
        <v>45443</v>
      </c>
      <c r="B72" s="96">
        <v>45443</v>
      </c>
      <c r="C72" s="97" t="s">
        <v>509</v>
      </c>
      <c r="D72" s="96"/>
      <c r="E72" s="97"/>
      <c r="F72" s="97" t="s">
        <v>487</v>
      </c>
      <c r="G72" s="97" t="s">
        <v>71</v>
      </c>
      <c r="H72" s="97" t="s">
        <v>293</v>
      </c>
      <c r="I72" s="98">
        <v>8727272</v>
      </c>
      <c r="J72" s="98">
        <v>0</v>
      </c>
      <c r="K72" s="97"/>
      <c r="L72" s="97"/>
      <c r="M72" s="97"/>
      <c r="N72" s="97"/>
      <c r="O72" s="97"/>
      <c r="Q72" s="97"/>
      <c r="R72" s="97" t="s">
        <v>488</v>
      </c>
      <c r="S72" s="101">
        <f t="shared" si="1"/>
        <v>8727272</v>
      </c>
    </row>
    <row r="73" spans="1:19">
      <c r="A73" s="96">
        <v>45443</v>
      </c>
      <c r="B73" s="96">
        <v>45443</v>
      </c>
      <c r="C73" s="97" t="s">
        <v>509</v>
      </c>
      <c r="D73" s="96"/>
      <c r="E73" s="97"/>
      <c r="F73" s="97" t="s">
        <v>487</v>
      </c>
      <c r="G73" s="97" t="s">
        <v>71</v>
      </c>
      <c r="H73" s="97" t="s">
        <v>295</v>
      </c>
      <c r="I73" s="98">
        <v>5000000</v>
      </c>
      <c r="J73" s="98">
        <v>0</v>
      </c>
      <c r="K73" s="97"/>
      <c r="L73" s="97"/>
      <c r="M73" s="97"/>
      <c r="N73" s="97"/>
      <c r="O73" s="97"/>
      <c r="Q73" s="97"/>
      <c r="R73" s="97" t="s">
        <v>488</v>
      </c>
      <c r="S73" s="101">
        <f t="shared" si="1"/>
        <v>5000000</v>
      </c>
    </row>
    <row r="74" spans="1:19">
      <c r="A74" s="96">
        <v>45443</v>
      </c>
      <c r="B74" s="96">
        <v>45443</v>
      </c>
      <c r="C74" s="97" t="s">
        <v>509</v>
      </c>
      <c r="D74" s="96"/>
      <c r="E74" s="97"/>
      <c r="F74" s="97" t="s">
        <v>487</v>
      </c>
      <c r="G74" s="97" t="s">
        <v>71</v>
      </c>
      <c r="H74" s="97" t="s">
        <v>297</v>
      </c>
      <c r="I74" s="98">
        <v>820000</v>
      </c>
      <c r="J74" s="98">
        <v>0</v>
      </c>
      <c r="K74" s="97"/>
      <c r="L74" s="97"/>
      <c r="M74" s="97"/>
      <c r="N74" s="97"/>
      <c r="O74" s="97"/>
      <c r="Q74" s="97"/>
      <c r="R74" s="97" t="s">
        <v>488</v>
      </c>
      <c r="S74" s="101">
        <f t="shared" si="1"/>
        <v>820000</v>
      </c>
    </row>
    <row r="75" spans="1:19">
      <c r="A75" s="96">
        <v>45443</v>
      </c>
      <c r="B75" s="96">
        <v>45443</v>
      </c>
      <c r="C75" s="97" t="s">
        <v>509</v>
      </c>
      <c r="D75" s="96"/>
      <c r="E75" s="97"/>
      <c r="F75" s="97" t="s">
        <v>487</v>
      </c>
      <c r="G75" s="97" t="s">
        <v>71</v>
      </c>
      <c r="H75" s="97" t="s">
        <v>299</v>
      </c>
      <c r="I75" s="98">
        <v>1102500</v>
      </c>
      <c r="J75" s="98">
        <v>0</v>
      </c>
      <c r="K75" s="97"/>
      <c r="L75" s="97"/>
      <c r="M75" s="97"/>
      <c r="N75" s="97"/>
      <c r="O75" s="97"/>
      <c r="Q75" s="97"/>
      <c r="R75" s="97" t="s">
        <v>488</v>
      </c>
      <c r="S75" s="101">
        <f t="shared" si="1"/>
        <v>1102500</v>
      </c>
    </row>
    <row r="76" spans="1:19">
      <c r="A76" s="96">
        <v>45443</v>
      </c>
      <c r="B76" s="96">
        <v>45443</v>
      </c>
      <c r="C76" s="97" t="s">
        <v>509</v>
      </c>
      <c r="D76" s="96"/>
      <c r="E76" s="97"/>
      <c r="F76" s="97" t="s">
        <v>487</v>
      </c>
      <c r="G76" s="97" t="s">
        <v>71</v>
      </c>
      <c r="H76" s="97" t="s">
        <v>301</v>
      </c>
      <c r="I76" s="98">
        <v>1517100</v>
      </c>
      <c r="J76" s="98">
        <v>0</v>
      </c>
      <c r="K76" s="97"/>
      <c r="L76" s="97"/>
      <c r="M76" s="97"/>
      <c r="N76" s="97"/>
      <c r="O76" s="97"/>
      <c r="Q76" s="97"/>
      <c r="R76" s="97" t="s">
        <v>488</v>
      </c>
      <c r="S76" s="101">
        <f t="shared" si="1"/>
        <v>1517100</v>
      </c>
    </row>
    <row r="77" spans="1:19">
      <c r="A77" s="96">
        <v>45443</v>
      </c>
      <c r="B77" s="96">
        <v>45443</v>
      </c>
      <c r="C77" s="97" t="s">
        <v>509</v>
      </c>
      <c r="D77" s="96"/>
      <c r="E77" s="97"/>
      <c r="F77" s="97" t="s">
        <v>473</v>
      </c>
      <c r="G77" s="97" t="s">
        <v>71</v>
      </c>
      <c r="H77" s="97" t="s">
        <v>303</v>
      </c>
      <c r="I77" s="98">
        <v>0</v>
      </c>
      <c r="J77" s="98">
        <v>1325033982</v>
      </c>
      <c r="K77" s="97"/>
      <c r="L77" s="97"/>
      <c r="M77" s="97"/>
      <c r="N77" s="97"/>
      <c r="O77" s="97"/>
      <c r="Q77" s="97"/>
      <c r="R77" s="97" t="s">
        <v>488</v>
      </c>
      <c r="S77" s="101">
        <f t="shared" si="1"/>
        <v>-1325033982</v>
      </c>
    </row>
    <row r="78" spans="1:19">
      <c r="A78" s="96">
        <v>45473</v>
      </c>
      <c r="B78" s="96">
        <v>45473</v>
      </c>
      <c r="C78" s="97" t="s">
        <v>510</v>
      </c>
      <c r="D78" s="96"/>
      <c r="E78" s="97"/>
      <c r="F78" s="97" t="s">
        <v>487</v>
      </c>
      <c r="G78" s="97" t="s">
        <v>71</v>
      </c>
      <c r="H78" s="97" t="s">
        <v>299</v>
      </c>
      <c r="I78" s="98">
        <v>10080014</v>
      </c>
      <c r="J78" s="98">
        <v>0</v>
      </c>
      <c r="K78" s="97"/>
      <c r="L78" s="97"/>
      <c r="M78" s="97"/>
      <c r="N78" s="97"/>
      <c r="O78" s="97"/>
      <c r="Q78" s="97"/>
      <c r="R78" s="97" t="s">
        <v>488</v>
      </c>
      <c r="S78" s="101">
        <f t="shared" si="1"/>
        <v>10080014</v>
      </c>
    </row>
    <row r="79" spans="1:19">
      <c r="A79" s="96">
        <v>45473</v>
      </c>
      <c r="B79" s="96">
        <v>45473</v>
      </c>
      <c r="C79" s="97" t="s">
        <v>510</v>
      </c>
      <c r="D79" s="96"/>
      <c r="E79" s="97"/>
      <c r="F79" s="97" t="s">
        <v>487</v>
      </c>
      <c r="G79" s="97" t="s">
        <v>71</v>
      </c>
      <c r="H79" s="97" t="s">
        <v>301</v>
      </c>
      <c r="I79" s="98">
        <v>1974500</v>
      </c>
      <c r="J79" s="98">
        <v>0</v>
      </c>
      <c r="K79" s="97"/>
      <c r="L79" s="97"/>
      <c r="M79" s="97"/>
      <c r="N79" s="97"/>
      <c r="O79" s="97"/>
      <c r="Q79" s="97"/>
      <c r="R79" s="97" t="s">
        <v>488</v>
      </c>
      <c r="S79" s="101">
        <f t="shared" si="1"/>
        <v>1974500</v>
      </c>
    </row>
    <row r="80" spans="1:19">
      <c r="A80" s="96">
        <v>45473</v>
      </c>
      <c r="B80" s="96">
        <v>45473</v>
      </c>
      <c r="C80" s="97" t="s">
        <v>510</v>
      </c>
      <c r="D80" s="96"/>
      <c r="E80" s="97"/>
      <c r="F80" s="97" t="s">
        <v>487</v>
      </c>
      <c r="G80" s="97" t="s">
        <v>71</v>
      </c>
      <c r="H80" s="97" t="s">
        <v>269</v>
      </c>
      <c r="I80" s="98">
        <v>301543676</v>
      </c>
      <c r="J80" s="98">
        <v>0</v>
      </c>
      <c r="K80" s="97"/>
      <c r="L80" s="97"/>
      <c r="M80" s="97"/>
      <c r="N80" s="97"/>
      <c r="O80" s="97"/>
      <c r="Q80" s="97"/>
      <c r="R80" s="97" t="s">
        <v>488</v>
      </c>
      <c r="S80" s="101">
        <f t="shared" si="1"/>
        <v>301543676</v>
      </c>
    </row>
    <row r="81" spans="1:19">
      <c r="A81" s="96">
        <v>45473</v>
      </c>
      <c r="B81" s="96">
        <v>45473</v>
      </c>
      <c r="C81" s="97" t="s">
        <v>510</v>
      </c>
      <c r="D81" s="96"/>
      <c r="E81" s="97"/>
      <c r="F81" s="97" t="s">
        <v>487</v>
      </c>
      <c r="G81" s="97" t="s">
        <v>71</v>
      </c>
      <c r="H81" s="97" t="s">
        <v>273</v>
      </c>
      <c r="I81" s="98">
        <v>65292142</v>
      </c>
      <c r="J81" s="98">
        <v>0</v>
      </c>
      <c r="K81" s="97"/>
      <c r="L81" s="97"/>
      <c r="M81" s="97"/>
      <c r="N81" s="97"/>
      <c r="O81" s="97"/>
      <c r="Q81" s="97"/>
      <c r="R81" s="97" t="s">
        <v>488</v>
      </c>
      <c r="S81" s="101">
        <f t="shared" si="1"/>
        <v>65292142</v>
      </c>
    </row>
    <row r="82" spans="1:19">
      <c r="A82" s="96">
        <v>45473</v>
      </c>
      <c r="B82" s="96">
        <v>45473</v>
      </c>
      <c r="C82" s="97" t="s">
        <v>510</v>
      </c>
      <c r="D82" s="96"/>
      <c r="E82" s="97"/>
      <c r="F82" s="97" t="s">
        <v>487</v>
      </c>
      <c r="G82" s="97" t="s">
        <v>71</v>
      </c>
      <c r="H82" s="97" t="s">
        <v>275</v>
      </c>
      <c r="I82" s="98">
        <v>8237414</v>
      </c>
      <c r="J82" s="98">
        <v>0</v>
      </c>
      <c r="K82" s="97"/>
      <c r="L82" s="97"/>
      <c r="M82" s="97"/>
      <c r="N82" s="97"/>
      <c r="O82" s="97"/>
      <c r="Q82" s="97"/>
      <c r="R82" s="97" t="s">
        <v>488</v>
      </c>
      <c r="S82" s="101">
        <f t="shared" si="1"/>
        <v>8237414</v>
      </c>
    </row>
    <row r="83" spans="1:19">
      <c r="A83" s="96">
        <v>45473</v>
      </c>
      <c r="B83" s="96">
        <v>45473</v>
      </c>
      <c r="C83" s="97" t="s">
        <v>510</v>
      </c>
      <c r="D83" s="96"/>
      <c r="E83" s="97"/>
      <c r="F83" s="97" t="s">
        <v>487</v>
      </c>
      <c r="G83" s="97" t="s">
        <v>71</v>
      </c>
      <c r="H83" s="97" t="s">
        <v>277</v>
      </c>
      <c r="I83" s="98">
        <v>39551867</v>
      </c>
      <c r="J83" s="98">
        <v>0</v>
      </c>
      <c r="K83" s="97"/>
      <c r="L83" s="97"/>
      <c r="M83" s="97"/>
      <c r="N83" s="97"/>
      <c r="O83" s="97"/>
      <c r="Q83" s="97"/>
      <c r="R83" s="97" t="s">
        <v>488</v>
      </c>
      <c r="S83" s="101">
        <f t="shared" si="1"/>
        <v>39551867</v>
      </c>
    </row>
    <row r="84" spans="1:19">
      <c r="A84" s="96">
        <v>45473</v>
      </c>
      <c r="B84" s="96">
        <v>45473</v>
      </c>
      <c r="C84" s="97" t="s">
        <v>510</v>
      </c>
      <c r="D84" s="96"/>
      <c r="E84" s="97"/>
      <c r="F84" s="97" t="s">
        <v>487</v>
      </c>
      <c r="G84" s="97" t="s">
        <v>71</v>
      </c>
      <c r="H84" s="97" t="s">
        <v>281</v>
      </c>
      <c r="I84" s="98">
        <v>2287758</v>
      </c>
      <c r="J84" s="98">
        <v>0</v>
      </c>
      <c r="K84" s="97"/>
      <c r="L84" s="97"/>
      <c r="M84" s="97"/>
      <c r="N84" s="97"/>
      <c r="O84" s="97"/>
      <c r="Q84" s="97"/>
      <c r="R84" s="97" t="s">
        <v>488</v>
      </c>
      <c r="S84" s="101">
        <f t="shared" si="1"/>
        <v>2287758</v>
      </c>
    </row>
    <row r="85" spans="1:19">
      <c r="A85" s="96">
        <v>45473</v>
      </c>
      <c r="B85" s="96">
        <v>45473</v>
      </c>
      <c r="C85" s="97" t="s">
        <v>510</v>
      </c>
      <c r="D85" s="96"/>
      <c r="E85" s="97"/>
      <c r="F85" s="97" t="s">
        <v>487</v>
      </c>
      <c r="G85" s="97" t="s">
        <v>71</v>
      </c>
      <c r="H85" s="97" t="s">
        <v>283</v>
      </c>
      <c r="I85" s="98">
        <v>304915575</v>
      </c>
      <c r="J85" s="98">
        <v>0</v>
      </c>
      <c r="K85" s="97"/>
      <c r="L85" s="97"/>
      <c r="M85" s="97"/>
      <c r="N85" s="97"/>
      <c r="O85" s="97"/>
      <c r="Q85" s="97"/>
      <c r="R85" s="97" t="s">
        <v>488</v>
      </c>
      <c r="S85" s="101">
        <f t="shared" si="1"/>
        <v>304915575</v>
      </c>
    </row>
    <row r="86" spans="1:19">
      <c r="A86" s="96">
        <v>45473</v>
      </c>
      <c r="B86" s="96">
        <v>45473</v>
      </c>
      <c r="C86" s="97" t="s">
        <v>510</v>
      </c>
      <c r="D86" s="96"/>
      <c r="E86" s="97"/>
      <c r="F86" s="97" t="s">
        <v>487</v>
      </c>
      <c r="G86" s="97" t="s">
        <v>71</v>
      </c>
      <c r="H86" s="97" t="s">
        <v>285</v>
      </c>
      <c r="I86" s="98">
        <v>600000</v>
      </c>
      <c r="J86" s="98">
        <v>0</v>
      </c>
      <c r="K86" s="97"/>
      <c r="L86" s="97"/>
      <c r="M86" s="97"/>
      <c r="N86" s="97"/>
      <c r="O86" s="97"/>
      <c r="Q86" s="97"/>
      <c r="R86" s="97" t="s">
        <v>488</v>
      </c>
      <c r="S86" s="101">
        <f t="shared" si="1"/>
        <v>600000</v>
      </c>
    </row>
    <row r="87" spans="1:19">
      <c r="A87" s="96">
        <v>45473</v>
      </c>
      <c r="B87" s="96">
        <v>45473</v>
      </c>
      <c r="C87" s="97" t="s">
        <v>510</v>
      </c>
      <c r="D87" s="96"/>
      <c r="E87" s="97"/>
      <c r="F87" s="97" t="s">
        <v>487</v>
      </c>
      <c r="G87" s="97" t="s">
        <v>71</v>
      </c>
      <c r="H87" s="97" t="s">
        <v>287</v>
      </c>
      <c r="I87" s="98">
        <v>17452500</v>
      </c>
      <c r="J87" s="98">
        <v>0</v>
      </c>
      <c r="K87" s="97"/>
      <c r="L87" s="97"/>
      <c r="M87" s="97"/>
      <c r="N87" s="97"/>
      <c r="O87" s="97"/>
      <c r="Q87" s="97"/>
      <c r="R87" s="97" t="s">
        <v>488</v>
      </c>
      <c r="S87" s="101">
        <f t="shared" si="1"/>
        <v>17452500</v>
      </c>
    </row>
    <row r="88" spans="1:19">
      <c r="A88" s="96">
        <v>45473</v>
      </c>
      <c r="B88" s="96">
        <v>45473</v>
      </c>
      <c r="C88" s="97" t="s">
        <v>510</v>
      </c>
      <c r="D88" s="96"/>
      <c r="E88" s="97"/>
      <c r="F88" s="97" t="s">
        <v>487</v>
      </c>
      <c r="G88" s="97" t="s">
        <v>71</v>
      </c>
      <c r="H88" s="97" t="s">
        <v>289</v>
      </c>
      <c r="I88" s="98">
        <v>14561623</v>
      </c>
      <c r="J88" s="98">
        <v>0</v>
      </c>
      <c r="K88" s="97"/>
      <c r="L88" s="97"/>
      <c r="M88" s="97"/>
      <c r="N88" s="97"/>
      <c r="O88" s="97"/>
      <c r="Q88" s="97"/>
      <c r="R88" s="97" t="s">
        <v>488</v>
      </c>
      <c r="S88" s="101">
        <f t="shared" si="1"/>
        <v>14561623</v>
      </c>
    </row>
    <row r="89" spans="1:19">
      <c r="A89" s="96">
        <v>45473</v>
      </c>
      <c r="B89" s="96">
        <v>45473</v>
      </c>
      <c r="C89" s="97" t="s">
        <v>510</v>
      </c>
      <c r="D89" s="96"/>
      <c r="E89" s="97"/>
      <c r="F89" s="97" t="s">
        <v>487</v>
      </c>
      <c r="G89" s="97" t="s">
        <v>71</v>
      </c>
      <c r="H89" s="97" t="s">
        <v>291</v>
      </c>
      <c r="I89" s="98">
        <v>543789616</v>
      </c>
      <c r="J89" s="98">
        <v>0</v>
      </c>
      <c r="K89" s="97"/>
      <c r="L89" s="97"/>
      <c r="M89" s="97"/>
      <c r="N89" s="97"/>
      <c r="O89" s="97"/>
      <c r="Q89" s="97"/>
      <c r="R89" s="97" t="s">
        <v>488</v>
      </c>
      <c r="S89" s="101">
        <f t="shared" si="1"/>
        <v>543789616</v>
      </c>
    </row>
    <row r="90" spans="1:19">
      <c r="A90" s="96">
        <v>45473</v>
      </c>
      <c r="B90" s="96">
        <v>45473</v>
      </c>
      <c r="C90" s="97" t="s">
        <v>510</v>
      </c>
      <c r="D90" s="96"/>
      <c r="E90" s="97"/>
      <c r="F90" s="97" t="s">
        <v>487</v>
      </c>
      <c r="G90" s="97" t="s">
        <v>71</v>
      </c>
      <c r="H90" s="97" t="s">
        <v>295</v>
      </c>
      <c r="I90" s="98">
        <v>5000000</v>
      </c>
      <c r="J90" s="98">
        <v>0</v>
      </c>
      <c r="K90" s="97"/>
      <c r="L90" s="97"/>
      <c r="M90" s="97"/>
      <c r="N90" s="97"/>
      <c r="O90" s="97"/>
      <c r="Q90" s="97"/>
      <c r="R90" s="97" t="s">
        <v>488</v>
      </c>
      <c r="S90" s="101">
        <f t="shared" si="1"/>
        <v>5000000</v>
      </c>
    </row>
    <row r="91" spans="1:19">
      <c r="A91" s="96">
        <v>45473</v>
      </c>
      <c r="B91" s="96">
        <v>45473</v>
      </c>
      <c r="C91" s="97" t="s">
        <v>510</v>
      </c>
      <c r="D91" s="96"/>
      <c r="E91" s="97"/>
      <c r="F91" s="97" t="s">
        <v>487</v>
      </c>
      <c r="G91" s="97" t="s">
        <v>71</v>
      </c>
      <c r="H91" s="97" t="s">
        <v>297</v>
      </c>
      <c r="I91" s="98">
        <v>0</v>
      </c>
      <c r="J91" s="98">
        <v>2417266</v>
      </c>
      <c r="K91" s="97"/>
      <c r="L91" s="97"/>
      <c r="M91" s="97"/>
      <c r="N91" s="97"/>
      <c r="O91" s="97"/>
      <c r="Q91" s="97"/>
      <c r="R91" s="97" t="s">
        <v>488</v>
      </c>
      <c r="S91" s="101">
        <f t="shared" si="1"/>
        <v>-2417266</v>
      </c>
    </row>
    <row r="92" spans="1:19">
      <c r="A92" s="96">
        <v>45473</v>
      </c>
      <c r="B92" s="96">
        <v>45473</v>
      </c>
      <c r="C92" s="97" t="s">
        <v>510</v>
      </c>
      <c r="D92" s="96"/>
      <c r="E92" s="97"/>
      <c r="F92" s="97" t="s">
        <v>473</v>
      </c>
      <c r="G92" s="97" t="s">
        <v>71</v>
      </c>
      <c r="H92" s="97" t="s">
        <v>303</v>
      </c>
      <c r="I92" s="98">
        <v>0</v>
      </c>
      <c r="J92" s="98">
        <v>1312869419</v>
      </c>
      <c r="K92" s="97"/>
      <c r="L92" s="97"/>
      <c r="M92" s="97"/>
      <c r="N92" s="97"/>
      <c r="O92" s="97"/>
      <c r="Q92" s="97"/>
      <c r="R92" s="97" t="s">
        <v>488</v>
      </c>
      <c r="S92" s="101">
        <f t="shared" si="1"/>
        <v>-1312869419</v>
      </c>
    </row>
    <row r="93" spans="1:19">
      <c r="A93" s="96">
        <v>45504</v>
      </c>
      <c r="B93" s="96">
        <v>45504</v>
      </c>
      <c r="C93" s="97" t="s">
        <v>511</v>
      </c>
      <c r="D93" s="96"/>
      <c r="E93" s="97"/>
      <c r="F93" s="97" t="s">
        <v>487</v>
      </c>
      <c r="G93" s="97" t="s">
        <v>71</v>
      </c>
      <c r="H93" s="97" t="s">
        <v>269</v>
      </c>
      <c r="I93" s="98">
        <v>301543676</v>
      </c>
      <c r="J93" s="98">
        <v>0</v>
      </c>
      <c r="K93" s="97"/>
      <c r="L93" s="97"/>
      <c r="M93" s="97"/>
      <c r="N93" s="97"/>
      <c r="O93" s="97"/>
      <c r="P93" s="97"/>
      <c r="Q93" s="97"/>
      <c r="R93" s="97"/>
      <c r="S93" s="101">
        <f t="shared" si="1"/>
        <v>301543676</v>
      </c>
    </row>
    <row r="94" spans="1:19">
      <c r="A94" s="96">
        <v>45504</v>
      </c>
      <c r="B94" s="96">
        <v>45504</v>
      </c>
      <c r="C94" s="97" t="s">
        <v>511</v>
      </c>
      <c r="D94" s="96"/>
      <c r="E94" s="97"/>
      <c r="F94" s="97" t="s">
        <v>487</v>
      </c>
      <c r="G94" s="97" t="s">
        <v>71</v>
      </c>
      <c r="H94" s="97" t="s">
        <v>273</v>
      </c>
      <c r="I94" s="98">
        <v>45535636</v>
      </c>
      <c r="J94" s="98">
        <v>0</v>
      </c>
      <c r="K94" s="97"/>
      <c r="L94" s="97"/>
      <c r="M94" s="97"/>
      <c r="N94" s="97"/>
      <c r="O94" s="97"/>
      <c r="P94" s="97"/>
      <c r="Q94" s="97"/>
      <c r="R94" s="97"/>
      <c r="S94" s="101">
        <f t="shared" si="1"/>
        <v>45535636</v>
      </c>
    </row>
    <row r="95" spans="1:19">
      <c r="A95" s="96">
        <v>45504</v>
      </c>
      <c r="B95" s="96">
        <v>45504</v>
      </c>
      <c r="C95" s="97" t="s">
        <v>511</v>
      </c>
      <c r="D95" s="96"/>
      <c r="E95" s="97"/>
      <c r="F95" s="97" t="s">
        <v>487</v>
      </c>
      <c r="G95" s="97" t="s">
        <v>71</v>
      </c>
      <c r="H95" s="97" t="s">
        <v>277</v>
      </c>
      <c r="I95" s="98">
        <v>35411071</v>
      </c>
      <c r="J95" s="98">
        <v>0</v>
      </c>
      <c r="K95" s="97"/>
      <c r="L95" s="97"/>
      <c r="M95" s="97"/>
      <c r="N95" s="97"/>
      <c r="O95" s="97"/>
      <c r="P95" s="97"/>
      <c r="Q95" s="97"/>
      <c r="R95" s="97"/>
      <c r="S95" s="101">
        <f t="shared" si="1"/>
        <v>35411071</v>
      </c>
    </row>
    <row r="96" spans="1:19">
      <c r="A96" s="96">
        <v>45504</v>
      </c>
      <c r="B96" s="96">
        <v>45504</v>
      </c>
      <c r="C96" s="97" t="s">
        <v>511</v>
      </c>
      <c r="D96" s="96"/>
      <c r="E96" s="97"/>
      <c r="F96" s="97" t="s">
        <v>487</v>
      </c>
      <c r="G96" s="97" t="s">
        <v>71</v>
      </c>
      <c r="H96" s="97" t="s">
        <v>281</v>
      </c>
      <c r="I96" s="98">
        <v>2290005</v>
      </c>
      <c r="J96" s="98">
        <v>0</v>
      </c>
      <c r="K96" s="97"/>
      <c r="L96" s="97"/>
      <c r="M96" s="97"/>
      <c r="N96" s="97"/>
      <c r="O96" s="97"/>
      <c r="P96" s="97"/>
      <c r="Q96" s="97"/>
      <c r="R96" s="97"/>
      <c r="S96" s="101">
        <f t="shared" si="1"/>
        <v>2290005</v>
      </c>
    </row>
    <row r="97" spans="1:19">
      <c r="A97" s="96">
        <v>45504</v>
      </c>
      <c r="B97" s="96">
        <v>45504</v>
      </c>
      <c r="C97" s="97" t="s">
        <v>511</v>
      </c>
      <c r="D97" s="96"/>
      <c r="E97" s="97"/>
      <c r="F97" s="97" t="s">
        <v>487</v>
      </c>
      <c r="G97" s="97" t="s">
        <v>71</v>
      </c>
      <c r="H97" s="97" t="s">
        <v>283</v>
      </c>
      <c r="I97" s="98">
        <v>177918248</v>
      </c>
      <c r="J97" s="98">
        <v>0</v>
      </c>
      <c r="K97" s="97"/>
      <c r="L97" s="97"/>
      <c r="M97" s="97"/>
      <c r="N97" s="97"/>
      <c r="O97" s="97"/>
      <c r="P97" s="97"/>
      <c r="Q97" s="97"/>
      <c r="R97" s="97"/>
      <c r="S97" s="101">
        <f t="shared" si="1"/>
        <v>177918248</v>
      </c>
    </row>
    <row r="98" spans="1:19">
      <c r="A98" s="96">
        <v>45504</v>
      </c>
      <c r="B98" s="96">
        <v>45504</v>
      </c>
      <c r="C98" s="97" t="s">
        <v>511</v>
      </c>
      <c r="D98" s="96"/>
      <c r="E98" s="97"/>
      <c r="F98" s="97" t="s">
        <v>487</v>
      </c>
      <c r="G98" s="97" t="s">
        <v>71</v>
      </c>
      <c r="H98" s="97" t="s">
        <v>285</v>
      </c>
      <c r="I98" s="98">
        <v>600000</v>
      </c>
      <c r="J98" s="98">
        <v>0</v>
      </c>
      <c r="K98" s="97"/>
      <c r="L98" s="97"/>
      <c r="M98" s="97"/>
      <c r="N98" s="97"/>
      <c r="O98" s="97"/>
      <c r="P98" s="97"/>
      <c r="Q98" s="97"/>
      <c r="R98" s="97"/>
      <c r="S98" s="101">
        <f t="shared" si="1"/>
        <v>600000</v>
      </c>
    </row>
    <row r="99" spans="1:19">
      <c r="A99" s="96">
        <v>45504</v>
      </c>
      <c r="B99" s="96">
        <v>45504</v>
      </c>
      <c r="C99" s="97" t="s">
        <v>511</v>
      </c>
      <c r="D99" s="96"/>
      <c r="E99" s="97"/>
      <c r="F99" s="97" t="s">
        <v>487</v>
      </c>
      <c r="G99" s="97" t="s">
        <v>71</v>
      </c>
      <c r="H99" s="97" t="s">
        <v>287</v>
      </c>
      <c r="I99" s="98">
        <v>17452500</v>
      </c>
      <c r="J99" s="98">
        <v>0</v>
      </c>
      <c r="K99" s="97"/>
      <c r="L99" s="97"/>
      <c r="M99" s="97"/>
      <c r="N99" s="97"/>
      <c r="O99" s="97"/>
      <c r="P99" s="97"/>
      <c r="Q99" s="97"/>
      <c r="R99" s="97"/>
      <c r="S99" s="101">
        <f t="shared" si="1"/>
        <v>17452500</v>
      </c>
    </row>
    <row r="100" spans="1:19">
      <c r="A100" s="96">
        <v>45504</v>
      </c>
      <c r="B100" s="96">
        <v>45504</v>
      </c>
      <c r="C100" s="97" t="s">
        <v>511</v>
      </c>
      <c r="D100" s="96"/>
      <c r="E100" s="97"/>
      <c r="F100" s="97" t="s">
        <v>487</v>
      </c>
      <c r="G100" s="97" t="s">
        <v>71</v>
      </c>
      <c r="H100" s="97" t="s">
        <v>289</v>
      </c>
      <c r="I100" s="98">
        <v>14561623</v>
      </c>
      <c r="J100" s="98">
        <v>0</v>
      </c>
      <c r="K100" s="97"/>
      <c r="L100" s="97"/>
      <c r="M100" s="97"/>
      <c r="N100" s="97"/>
      <c r="O100" s="97"/>
      <c r="P100" s="97"/>
      <c r="Q100" s="97"/>
      <c r="R100" s="97"/>
      <c r="S100" s="101">
        <f t="shared" si="1"/>
        <v>14561623</v>
      </c>
    </row>
    <row r="101" spans="1:19">
      <c r="A101" s="96">
        <v>45504</v>
      </c>
      <c r="B101" s="96">
        <v>45504</v>
      </c>
      <c r="C101" s="97" t="s">
        <v>511</v>
      </c>
      <c r="D101" s="96"/>
      <c r="E101" s="97"/>
      <c r="F101" s="97" t="s">
        <v>487</v>
      </c>
      <c r="G101" s="97" t="s">
        <v>71</v>
      </c>
      <c r="H101" s="97" t="s">
        <v>291</v>
      </c>
      <c r="I101" s="98">
        <v>462396346</v>
      </c>
      <c r="J101" s="98">
        <v>0</v>
      </c>
      <c r="K101" s="97"/>
      <c r="L101" s="97"/>
      <c r="M101" s="97"/>
      <c r="N101" s="97"/>
      <c r="O101" s="97"/>
      <c r="P101" s="97"/>
      <c r="Q101" s="97"/>
      <c r="R101" s="97"/>
      <c r="S101" s="101">
        <f t="shared" si="1"/>
        <v>462396346</v>
      </c>
    </row>
    <row r="102" spans="1:19">
      <c r="A102" s="96">
        <v>45504</v>
      </c>
      <c r="B102" s="96">
        <v>45504</v>
      </c>
      <c r="C102" s="97" t="s">
        <v>511</v>
      </c>
      <c r="D102" s="96"/>
      <c r="E102" s="97"/>
      <c r="F102" s="97" t="s">
        <v>487</v>
      </c>
      <c r="G102" s="97" t="s">
        <v>71</v>
      </c>
      <c r="H102" s="97" t="s">
        <v>293</v>
      </c>
      <c r="I102" s="98">
        <v>4363636</v>
      </c>
      <c r="J102" s="98">
        <v>0</v>
      </c>
      <c r="K102" s="97"/>
      <c r="L102" s="97"/>
      <c r="M102" s="97"/>
      <c r="N102" s="97"/>
      <c r="O102" s="97"/>
      <c r="P102" s="97"/>
      <c r="Q102" s="97"/>
      <c r="R102" s="97"/>
      <c r="S102" s="101">
        <f t="shared" si="1"/>
        <v>4363636</v>
      </c>
    </row>
    <row r="103" spans="1:19">
      <c r="A103" s="96">
        <v>45504</v>
      </c>
      <c r="B103" s="96">
        <v>45504</v>
      </c>
      <c r="C103" s="97" t="s">
        <v>511</v>
      </c>
      <c r="D103" s="96"/>
      <c r="E103" s="97"/>
      <c r="F103" s="97" t="s">
        <v>487</v>
      </c>
      <c r="G103" s="97" t="s">
        <v>71</v>
      </c>
      <c r="H103" s="97" t="s">
        <v>295</v>
      </c>
      <c r="I103" s="98">
        <v>5000000</v>
      </c>
      <c r="J103" s="98">
        <v>0</v>
      </c>
      <c r="K103" s="97"/>
      <c r="L103" s="97"/>
      <c r="M103" s="97"/>
      <c r="N103" s="97"/>
      <c r="O103" s="97"/>
      <c r="P103" s="97"/>
      <c r="Q103" s="97"/>
      <c r="R103" s="97"/>
      <c r="S103" s="101">
        <f t="shared" si="1"/>
        <v>5000000</v>
      </c>
    </row>
    <row r="104" spans="1:19">
      <c r="A104" s="96">
        <v>45504</v>
      </c>
      <c r="B104" s="96">
        <v>45504</v>
      </c>
      <c r="C104" s="97" t="s">
        <v>511</v>
      </c>
      <c r="D104" s="96"/>
      <c r="E104" s="97"/>
      <c r="F104" s="97" t="s">
        <v>487</v>
      </c>
      <c r="G104" s="97" t="s">
        <v>71</v>
      </c>
      <c r="H104" s="97" t="s">
        <v>297</v>
      </c>
      <c r="I104" s="98">
        <v>371819</v>
      </c>
      <c r="J104" s="98">
        <v>0</v>
      </c>
      <c r="K104" s="97"/>
      <c r="L104" s="97"/>
      <c r="M104" s="97"/>
      <c r="N104" s="97"/>
      <c r="O104" s="97"/>
      <c r="P104" s="97"/>
      <c r="Q104" s="97"/>
      <c r="R104" s="97"/>
      <c r="S104" s="101">
        <f t="shared" si="1"/>
        <v>371819</v>
      </c>
    </row>
    <row r="105" spans="1:19">
      <c r="A105" s="96">
        <v>45504</v>
      </c>
      <c r="B105" s="96">
        <v>45504</v>
      </c>
      <c r="C105" s="97" t="s">
        <v>511</v>
      </c>
      <c r="D105" s="96"/>
      <c r="E105" s="97"/>
      <c r="F105" s="97" t="s">
        <v>487</v>
      </c>
      <c r="G105" s="97" t="s">
        <v>71</v>
      </c>
      <c r="H105" s="97" t="s">
        <v>299</v>
      </c>
      <c r="I105" s="98">
        <v>1663500</v>
      </c>
      <c r="J105" s="98">
        <v>0</v>
      </c>
      <c r="K105" s="97"/>
      <c r="L105" s="97"/>
      <c r="M105" s="97"/>
      <c r="N105" s="97"/>
      <c r="O105" s="97"/>
      <c r="P105" s="97"/>
      <c r="Q105" s="97"/>
      <c r="R105" s="97"/>
      <c r="S105" s="101">
        <f t="shared" si="1"/>
        <v>1663500</v>
      </c>
    </row>
    <row r="106" spans="1:19">
      <c r="A106" s="96">
        <v>45504</v>
      </c>
      <c r="B106" s="96">
        <v>45504</v>
      </c>
      <c r="C106" s="97" t="s">
        <v>511</v>
      </c>
      <c r="D106" s="96"/>
      <c r="E106" s="97"/>
      <c r="F106" s="97" t="s">
        <v>487</v>
      </c>
      <c r="G106" s="97" t="s">
        <v>71</v>
      </c>
      <c r="H106" s="97" t="s">
        <v>301</v>
      </c>
      <c r="I106" s="98">
        <v>1635700</v>
      </c>
      <c r="J106" s="98">
        <v>0</v>
      </c>
      <c r="K106" s="97"/>
      <c r="L106" s="97"/>
      <c r="M106" s="97"/>
      <c r="N106" s="97"/>
      <c r="O106" s="97"/>
      <c r="P106" s="97"/>
      <c r="Q106" s="97"/>
      <c r="R106" s="97"/>
      <c r="S106" s="101">
        <f t="shared" si="1"/>
        <v>1635700</v>
      </c>
    </row>
    <row r="107" spans="1:19">
      <c r="A107" s="96">
        <v>45504</v>
      </c>
      <c r="B107" s="96">
        <v>45504</v>
      </c>
      <c r="C107" s="97" t="s">
        <v>511</v>
      </c>
      <c r="D107" s="96"/>
      <c r="E107" s="97"/>
      <c r="F107" s="97" t="s">
        <v>473</v>
      </c>
      <c r="G107" s="97" t="s">
        <v>71</v>
      </c>
      <c r="H107" s="97" t="s">
        <v>303</v>
      </c>
      <c r="I107" s="98">
        <v>0</v>
      </c>
      <c r="J107" s="98">
        <v>1070743760</v>
      </c>
      <c r="K107" s="97"/>
      <c r="L107" s="97"/>
      <c r="M107" s="97"/>
      <c r="N107" s="97"/>
      <c r="O107" s="97"/>
      <c r="P107" s="97"/>
      <c r="Q107" s="97"/>
      <c r="R107" s="97"/>
      <c r="S107" s="101">
        <f t="shared" si="1"/>
        <v>-1070743760</v>
      </c>
    </row>
    <row r="108" spans="1:19">
      <c r="A108" s="96">
        <v>45535</v>
      </c>
      <c r="B108" s="96">
        <v>45535</v>
      </c>
      <c r="C108" s="97" t="s">
        <v>512</v>
      </c>
      <c r="D108" s="96"/>
      <c r="E108" s="97"/>
      <c r="F108" s="97" t="s">
        <v>487</v>
      </c>
      <c r="G108" s="97" t="s">
        <v>71</v>
      </c>
      <c r="H108" s="97" t="s">
        <v>297</v>
      </c>
      <c r="I108" s="98">
        <v>85455</v>
      </c>
      <c r="J108" s="98">
        <v>0</v>
      </c>
      <c r="K108" s="97"/>
      <c r="L108" s="97"/>
      <c r="M108" s="97"/>
      <c r="N108" s="97"/>
      <c r="O108" s="97"/>
      <c r="P108" s="97"/>
      <c r="Q108" s="97"/>
      <c r="R108" s="97"/>
      <c r="S108" s="101">
        <f t="shared" si="1"/>
        <v>85455</v>
      </c>
    </row>
    <row r="109" spans="1:19">
      <c r="A109" s="96">
        <v>45535</v>
      </c>
      <c r="B109" s="96">
        <v>45535</v>
      </c>
      <c r="C109" s="97" t="s">
        <v>512</v>
      </c>
      <c r="D109" s="96"/>
      <c r="E109" s="97"/>
      <c r="F109" s="97" t="s">
        <v>487</v>
      </c>
      <c r="G109" s="97" t="s">
        <v>71</v>
      </c>
      <c r="H109" s="97" t="s">
        <v>299</v>
      </c>
      <c r="I109" s="98">
        <v>1890000</v>
      </c>
      <c r="J109" s="98">
        <v>0</v>
      </c>
      <c r="K109" s="97"/>
      <c r="L109" s="97"/>
      <c r="M109" s="97"/>
      <c r="N109" s="97"/>
      <c r="O109" s="97"/>
      <c r="P109" s="97"/>
      <c r="Q109" s="97"/>
      <c r="R109" s="97"/>
      <c r="S109" s="101">
        <f t="shared" si="1"/>
        <v>1890000</v>
      </c>
    </row>
    <row r="110" spans="1:19">
      <c r="A110" s="96">
        <v>45535</v>
      </c>
      <c r="B110" s="96">
        <v>45535</v>
      </c>
      <c r="C110" s="97" t="s">
        <v>512</v>
      </c>
      <c r="D110" s="96"/>
      <c r="E110" s="97"/>
      <c r="F110" s="97" t="s">
        <v>487</v>
      </c>
      <c r="G110" s="97" t="s">
        <v>71</v>
      </c>
      <c r="H110" s="97" t="s">
        <v>301</v>
      </c>
      <c r="I110" s="98">
        <v>1257300</v>
      </c>
      <c r="J110" s="98">
        <v>0</v>
      </c>
      <c r="K110" s="97"/>
      <c r="L110" s="97"/>
      <c r="M110" s="97"/>
      <c r="N110" s="97"/>
      <c r="O110" s="97"/>
      <c r="P110" s="97"/>
      <c r="Q110" s="97"/>
      <c r="R110" s="97"/>
      <c r="S110" s="101">
        <f t="shared" si="1"/>
        <v>1257300</v>
      </c>
    </row>
    <row r="111" spans="1:19">
      <c r="A111" s="96">
        <v>45535</v>
      </c>
      <c r="B111" s="96">
        <v>45535</v>
      </c>
      <c r="C111" s="97" t="s">
        <v>512</v>
      </c>
      <c r="D111" s="96"/>
      <c r="E111" s="97"/>
      <c r="F111" s="97" t="s">
        <v>487</v>
      </c>
      <c r="G111" s="97" t="s">
        <v>71</v>
      </c>
      <c r="H111" s="97" t="s">
        <v>269</v>
      </c>
      <c r="I111" s="98">
        <v>301543676</v>
      </c>
      <c r="J111" s="98">
        <v>0</v>
      </c>
      <c r="K111" s="97"/>
      <c r="L111" s="97"/>
      <c r="M111" s="97"/>
      <c r="N111" s="97"/>
      <c r="O111" s="97"/>
      <c r="P111" s="97"/>
      <c r="Q111" s="97"/>
      <c r="R111" s="97"/>
      <c r="S111" s="101">
        <f t="shared" si="1"/>
        <v>301543676</v>
      </c>
    </row>
    <row r="112" spans="1:19">
      <c r="A112" s="96">
        <v>45535</v>
      </c>
      <c r="B112" s="96">
        <v>45535</v>
      </c>
      <c r="C112" s="97" t="s">
        <v>512</v>
      </c>
      <c r="D112" s="96"/>
      <c r="E112" s="97"/>
      <c r="F112" s="97" t="s">
        <v>487</v>
      </c>
      <c r="G112" s="97" t="s">
        <v>71</v>
      </c>
      <c r="H112" s="97" t="s">
        <v>273</v>
      </c>
      <c r="I112" s="98">
        <v>126595709</v>
      </c>
      <c r="J112" s="98">
        <v>0</v>
      </c>
      <c r="K112" s="97"/>
      <c r="L112" s="97"/>
      <c r="M112" s="97"/>
      <c r="N112" s="97"/>
      <c r="O112" s="97"/>
      <c r="P112" s="97"/>
      <c r="Q112" s="97"/>
      <c r="R112" s="97"/>
      <c r="S112" s="101">
        <f t="shared" si="1"/>
        <v>126595709</v>
      </c>
    </row>
    <row r="113" spans="1:19">
      <c r="A113" s="96">
        <v>45535</v>
      </c>
      <c r="B113" s="96">
        <v>45535</v>
      </c>
      <c r="C113" s="97" t="s">
        <v>512</v>
      </c>
      <c r="D113" s="96"/>
      <c r="E113" s="97"/>
      <c r="F113" s="97" t="s">
        <v>487</v>
      </c>
      <c r="G113" s="97" t="s">
        <v>71</v>
      </c>
      <c r="H113" s="97" t="s">
        <v>277</v>
      </c>
      <c r="I113" s="98">
        <v>41482054</v>
      </c>
      <c r="J113" s="98">
        <v>0</v>
      </c>
      <c r="K113" s="97"/>
      <c r="L113" s="97"/>
      <c r="M113" s="97"/>
      <c r="N113" s="97"/>
      <c r="O113" s="97"/>
      <c r="P113" s="97"/>
      <c r="Q113" s="97"/>
      <c r="R113" s="97"/>
      <c r="S113" s="101">
        <f t="shared" si="1"/>
        <v>41482054</v>
      </c>
    </row>
    <row r="114" spans="1:19">
      <c r="A114" s="96">
        <v>45535</v>
      </c>
      <c r="B114" s="96">
        <v>45535</v>
      </c>
      <c r="C114" s="97" t="s">
        <v>512</v>
      </c>
      <c r="D114" s="96"/>
      <c r="E114" s="97"/>
      <c r="F114" s="97" t="s">
        <v>487</v>
      </c>
      <c r="G114" s="97" t="s">
        <v>71</v>
      </c>
      <c r="H114" s="97" t="s">
        <v>281</v>
      </c>
      <c r="I114" s="98">
        <v>2264814</v>
      </c>
      <c r="J114" s="98">
        <v>0</v>
      </c>
      <c r="K114" s="97"/>
      <c r="L114" s="97"/>
      <c r="M114" s="97"/>
      <c r="N114" s="97"/>
      <c r="O114" s="97"/>
      <c r="P114" s="97"/>
      <c r="Q114" s="97"/>
      <c r="R114" s="97"/>
      <c r="S114" s="101">
        <f t="shared" si="1"/>
        <v>2264814</v>
      </c>
    </row>
    <row r="115" spans="1:19">
      <c r="A115" s="96">
        <v>45535</v>
      </c>
      <c r="B115" s="96">
        <v>45535</v>
      </c>
      <c r="C115" s="97" t="s">
        <v>512</v>
      </c>
      <c r="D115" s="96"/>
      <c r="E115" s="97"/>
      <c r="F115" s="97" t="s">
        <v>487</v>
      </c>
      <c r="G115" s="97" t="s">
        <v>71</v>
      </c>
      <c r="H115" s="97" t="s">
        <v>283</v>
      </c>
      <c r="I115" s="98">
        <v>222175565</v>
      </c>
      <c r="J115" s="98">
        <v>0</v>
      </c>
      <c r="K115" s="97"/>
      <c r="L115" s="97"/>
      <c r="M115" s="97"/>
      <c r="N115" s="97"/>
      <c r="O115" s="97"/>
      <c r="P115" s="97"/>
      <c r="Q115" s="97"/>
      <c r="R115" s="97"/>
      <c r="S115" s="101">
        <f t="shared" si="1"/>
        <v>222175565</v>
      </c>
    </row>
    <row r="116" spans="1:19">
      <c r="A116" s="96">
        <v>45535</v>
      </c>
      <c r="B116" s="96">
        <v>45535</v>
      </c>
      <c r="C116" s="97" t="s">
        <v>512</v>
      </c>
      <c r="D116" s="96"/>
      <c r="E116" s="97"/>
      <c r="F116" s="97" t="s">
        <v>487</v>
      </c>
      <c r="G116" s="97" t="s">
        <v>71</v>
      </c>
      <c r="H116" s="97" t="s">
        <v>285</v>
      </c>
      <c r="I116" s="98">
        <v>600000</v>
      </c>
      <c r="J116" s="98">
        <v>0</v>
      </c>
      <c r="K116" s="97"/>
      <c r="L116" s="97"/>
      <c r="M116" s="97"/>
      <c r="N116" s="97"/>
      <c r="O116" s="97"/>
      <c r="P116" s="97"/>
      <c r="Q116" s="97"/>
      <c r="R116" s="97"/>
      <c r="S116" s="101">
        <f t="shared" si="1"/>
        <v>600000</v>
      </c>
    </row>
    <row r="117" spans="1:19">
      <c r="A117" s="96">
        <v>45535</v>
      </c>
      <c r="B117" s="96">
        <v>45535</v>
      </c>
      <c r="C117" s="97" t="s">
        <v>512</v>
      </c>
      <c r="D117" s="96"/>
      <c r="E117" s="97"/>
      <c r="F117" s="97" t="s">
        <v>487</v>
      </c>
      <c r="G117" s="97" t="s">
        <v>71</v>
      </c>
      <c r="H117" s="97" t="s">
        <v>287</v>
      </c>
      <c r="I117" s="98">
        <v>17452500</v>
      </c>
      <c r="J117" s="98">
        <v>0</v>
      </c>
      <c r="K117" s="97"/>
      <c r="L117" s="97"/>
      <c r="M117" s="97"/>
      <c r="N117" s="97"/>
      <c r="O117" s="97"/>
      <c r="P117" s="97"/>
      <c r="Q117" s="97"/>
      <c r="R117" s="97"/>
      <c r="S117" s="101">
        <f t="shared" si="1"/>
        <v>17452500</v>
      </c>
    </row>
    <row r="118" spans="1:19">
      <c r="A118" s="96">
        <v>45535</v>
      </c>
      <c r="B118" s="96">
        <v>45535</v>
      </c>
      <c r="C118" s="97" t="s">
        <v>512</v>
      </c>
      <c r="D118" s="96"/>
      <c r="E118" s="97"/>
      <c r="F118" s="97" t="s">
        <v>487</v>
      </c>
      <c r="G118" s="97" t="s">
        <v>71</v>
      </c>
      <c r="H118" s="97" t="s">
        <v>289</v>
      </c>
      <c r="I118" s="98">
        <v>14561623</v>
      </c>
      <c r="J118" s="98">
        <v>0</v>
      </c>
      <c r="K118" s="97"/>
      <c r="L118" s="97"/>
      <c r="M118" s="97"/>
      <c r="N118" s="97"/>
      <c r="O118" s="97"/>
      <c r="P118" s="97"/>
      <c r="Q118" s="97"/>
      <c r="R118" s="97"/>
      <c r="S118" s="101">
        <f t="shared" si="1"/>
        <v>14561623</v>
      </c>
    </row>
    <row r="119" spans="1:19">
      <c r="A119" s="96">
        <v>45535</v>
      </c>
      <c r="B119" s="96">
        <v>45535</v>
      </c>
      <c r="C119" s="97" t="s">
        <v>512</v>
      </c>
      <c r="D119" s="96"/>
      <c r="E119" s="97"/>
      <c r="F119" s="97" t="s">
        <v>487</v>
      </c>
      <c r="G119" s="97" t="s">
        <v>71</v>
      </c>
      <c r="H119" s="97" t="s">
        <v>291</v>
      </c>
      <c r="I119" s="98">
        <v>407336566</v>
      </c>
      <c r="J119" s="98">
        <v>0</v>
      </c>
      <c r="K119" s="97"/>
      <c r="L119" s="97"/>
      <c r="M119" s="97"/>
      <c r="N119" s="97"/>
      <c r="O119" s="97"/>
      <c r="P119" s="97"/>
      <c r="Q119" s="97"/>
      <c r="R119" s="97"/>
      <c r="S119" s="101">
        <f t="shared" si="1"/>
        <v>407336566</v>
      </c>
    </row>
    <row r="120" spans="1:19">
      <c r="A120" s="96">
        <v>45535</v>
      </c>
      <c r="B120" s="96">
        <v>45535</v>
      </c>
      <c r="C120" s="97" t="s">
        <v>512</v>
      </c>
      <c r="D120" s="96"/>
      <c r="E120" s="97"/>
      <c r="F120" s="97" t="s">
        <v>487</v>
      </c>
      <c r="G120" s="97" t="s">
        <v>71</v>
      </c>
      <c r="H120" s="97" t="s">
        <v>293</v>
      </c>
      <c r="I120" s="98">
        <v>4363636</v>
      </c>
      <c r="J120" s="98">
        <v>0</v>
      </c>
      <c r="K120" s="97"/>
      <c r="L120" s="97"/>
      <c r="M120" s="97"/>
      <c r="N120" s="97"/>
      <c r="O120" s="97"/>
      <c r="P120" s="97"/>
      <c r="Q120" s="97"/>
      <c r="R120" s="97"/>
      <c r="S120" s="101">
        <f t="shared" si="1"/>
        <v>4363636</v>
      </c>
    </row>
    <row r="121" spans="1:19">
      <c r="A121" s="96">
        <v>45535</v>
      </c>
      <c r="B121" s="96">
        <v>45535</v>
      </c>
      <c r="C121" s="97" t="s">
        <v>512</v>
      </c>
      <c r="D121" s="96"/>
      <c r="E121" s="97"/>
      <c r="F121" s="97" t="s">
        <v>487</v>
      </c>
      <c r="G121" s="97" t="s">
        <v>71</v>
      </c>
      <c r="H121" s="97" t="s">
        <v>295</v>
      </c>
      <c r="I121" s="98">
        <v>0</v>
      </c>
      <c r="J121" s="98">
        <v>1000000</v>
      </c>
      <c r="K121" s="97"/>
      <c r="L121" s="97"/>
      <c r="M121" s="97"/>
      <c r="N121" s="97"/>
      <c r="O121" s="97"/>
      <c r="P121" s="97"/>
      <c r="Q121" s="97"/>
      <c r="R121" s="97"/>
      <c r="S121" s="101">
        <f t="shared" si="1"/>
        <v>-1000000</v>
      </c>
    </row>
    <row r="122" spans="1:19">
      <c r="A122" s="96">
        <v>45535</v>
      </c>
      <c r="B122" s="96">
        <v>45535</v>
      </c>
      <c r="C122" s="97" t="s">
        <v>512</v>
      </c>
      <c r="D122" s="96"/>
      <c r="E122" s="97"/>
      <c r="F122" s="97" t="s">
        <v>473</v>
      </c>
      <c r="G122" s="97" t="s">
        <v>71</v>
      </c>
      <c r="H122" s="97" t="s">
        <v>303</v>
      </c>
      <c r="I122" s="98">
        <v>0</v>
      </c>
      <c r="J122" s="98">
        <v>1140608898</v>
      </c>
      <c r="K122" s="97"/>
      <c r="L122" s="97"/>
      <c r="M122" s="97"/>
      <c r="N122" s="97"/>
      <c r="O122" s="97"/>
      <c r="P122" s="97"/>
      <c r="Q122" s="97"/>
      <c r="R122" s="97"/>
      <c r="S122" s="101">
        <f t="shared" si="1"/>
        <v>-1140608898</v>
      </c>
    </row>
    <row r="123" spans="1:19">
      <c r="A123" s="96">
        <v>45565</v>
      </c>
      <c r="B123" s="96">
        <v>45565</v>
      </c>
      <c r="C123" s="97" t="s">
        <v>513</v>
      </c>
      <c r="D123" s="96"/>
      <c r="E123" s="97"/>
      <c r="F123" s="97" t="s">
        <v>487</v>
      </c>
      <c r="G123" s="97" t="s">
        <v>71</v>
      </c>
      <c r="H123" s="97" t="s">
        <v>269</v>
      </c>
      <c r="I123" s="98">
        <v>301543676</v>
      </c>
      <c r="J123" s="98">
        <v>0</v>
      </c>
      <c r="K123" s="97"/>
      <c r="L123" s="97"/>
      <c r="M123" s="97"/>
      <c r="N123" s="97"/>
      <c r="O123" s="97"/>
      <c r="P123" s="97"/>
      <c r="Q123" s="97"/>
      <c r="R123" s="97"/>
      <c r="S123" s="101">
        <f t="shared" si="1"/>
        <v>301543676</v>
      </c>
    </row>
    <row r="124" spans="1:19">
      <c r="A124" s="96">
        <v>45565</v>
      </c>
      <c r="B124" s="96">
        <v>45565</v>
      </c>
      <c r="C124" s="97" t="s">
        <v>513</v>
      </c>
      <c r="D124" s="96"/>
      <c r="E124" s="97"/>
      <c r="F124" s="97" t="s">
        <v>487</v>
      </c>
      <c r="G124" s="97" t="s">
        <v>71</v>
      </c>
      <c r="H124" s="97" t="s">
        <v>273</v>
      </c>
      <c r="I124" s="98">
        <v>103785501</v>
      </c>
      <c r="J124" s="98">
        <v>0</v>
      </c>
      <c r="K124" s="97"/>
      <c r="L124" s="97"/>
      <c r="M124" s="97"/>
      <c r="N124" s="97"/>
      <c r="O124" s="97"/>
      <c r="P124" s="97"/>
      <c r="Q124" s="97"/>
      <c r="R124" s="97"/>
      <c r="S124" s="101">
        <f t="shared" si="1"/>
        <v>103785501</v>
      </c>
    </row>
    <row r="125" spans="1:19">
      <c r="A125" s="96">
        <v>45565</v>
      </c>
      <c r="B125" s="96">
        <v>45565</v>
      </c>
      <c r="C125" s="97" t="s">
        <v>513</v>
      </c>
      <c r="D125" s="96"/>
      <c r="E125" s="97"/>
      <c r="F125" s="97" t="s">
        <v>487</v>
      </c>
      <c r="G125" s="97" t="s">
        <v>71</v>
      </c>
      <c r="H125" s="97" t="s">
        <v>275</v>
      </c>
      <c r="I125" s="98">
        <v>3990794</v>
      </c>
      <c r="J125" s="98">
        <v>0</v>
      </c>
      <c r="K125" s="97"/>
      <c r="L125" s="97"/>
      <c r="M125" s="97"/>
      <c r="N125" s="97"/>
      <c r="O125" s="97"/>
      <c r="P125" s="97"/>
      <c r="Q125" s="97"/>
      <c r="R125" s="97"/>
      <c r="S125" s="101">
        <f t="shared" si="1"/>
        <v>3990794</v>
      </c>
    </row>
    <row r="126" spans="1:19">
      <c r="A126" s="96">
        <v>45565</v>
      </c>
      <c r="B126" s="96">
        <v>45565</v>
      </c>
      <c r="C126" s="97" t="s">
        <v>513</v>
      </c>
      <c r="D126" s="96"/>
      <c r="E126" s="97"/>
      <c r="F126" s="97" t="s">
        <v>487</v>
      </c>
      <c r="G126" s="97" t="s">
        <v>71</v>
      </c>
      <c r="H126" s="97" t="s">
        <v>277</v>
      </c>
      <c r="I126" s="98">
        <v>27200651</v>
      </c>
      <c r="J126" s="98">
        <v>0</v>
      </c>
      <c r="K126" s="97"/>
      <c r="L126" s="97"/>
      <c r="M126" s="97"/>
      <c r="N126" s="97"/>
      <c r="O126" s="97"/>
      <c r="P126" s="97"/>
      <c r="Q126" s="97"/>
      <c r="R126" s="97"/>
      <c r="S126" s="101">
        <f t="shared" si="1"/>
        <v>27200651</v>
      </c>
    </row>
    <row r="127" spans="1:19">
      <c r="A127" s="96">
        <v>45565</v>
      </c>
      <c r="B127" s="96">
        <v>45565</v>
      </c>
      <c r="C127" s="97" t="s">
        <v>513</v>
      </c>
      <c r="D127" s="96"/>
      <c r="E127" s="97"/>
      <c r="F127" s="97" t="s">
        <v>487</v>
      </c>
      <c r="G127" s="97" t="s">
        <v>71</v>
      </c>
      <c r="H127" s="97" t="s">
        <v>281</v>
      </c>
      <c r="I127" s="98">
        <v>9329384</v>
      </c>
      <c r="J127" s="98">
        <v>0</v>
      </c>
      <c r="K127" s="97"/>
      <c r="L127" s="97"/>
      <c r="M127" s="97"/>
      <c r="N127" s="97"/>
      <c r="O127" s="97"/>
      <c r="P127" s="97"/>
      <c r="Q127" s="97"/>
      <c r="R127" s="97"/>
      <c r="S127" s="101">
        <f t="shared" si="1"/>
        <v>9329384</v>
      </c>
    </row>
    <row r="128" spans="1:19">
      <c r="A128" s="96">
        <v>45565</v>
      </c>
      <c r="B128" s="96">
        <v>45565</v>
      </c>
      <c r="C128" s="97" t="s">
        <v>513</v>
      </c>
      <c r="D128" s="96"/>
      <c r="E128" s="97"/>
      <c r="F128" s="97" t="s">
        <v>487</v>
      </c>
      <c r="G128" s="97" t="s">
        <v>71</v>
      </c>
      <c r="H128" s="97" t="s">
        <v>283</v>
      </c>
      <c r="I128" s="98">
        <v>323251384</v>
      </c>
      <c r="J128" s="98">
        <v>0</v>
      </c>
      <c r="K128" s="97"/>
      <c r="L128" s="97"/>
      <c r="M128" s="97"/>
      <c r="N128" s="97"/>
      <c r="O128" s="97"/>
      <c r="P128" s="97"/>
      <c r="Q128" s="97"/>
      <c r="R128" s="97"/>
      <c r="S128" s="101">
        <f t="shared" si="1"/>
        <v>323251384</v>
      </c>
    </row>
    <row r="129" spans="1:19">
      <c r="A129" s="96">
        <v>45565</v>
      </c>
      <c r="B129" s="96">
        <v>45565</v>
      </c>
      <c r="C129" s="97" t="s">
        <v>513</v>
      </c>
      <c r="D129" s="96"/>
      <c r="E129" s="97"/>
      <c r="F129" s="97" t="s">
        <v>487</v>
      </c>
      <c r="G129" s="97" t="s">
        <v>71</v>
      </c>
      <c r="H129" s="97" t="s">
        <v>285</v>
      </c>
      <c r="I129" s="98">
        <v>600000</v>
      </c>
      <c r="J129" s="98">
        <v>0</v>
      </c>
      <c r="K129" s="97"/>
      <c r="L129" s="97"/>
      <c r="M129" s="97"/>
      <c r="N129" s="97"/>
      <c r="O129" s="97"/>
      <c r="P129" s="97"/>
      <c r="Q129" s="97"/>
      <c r="R129" s="97"/>
      <c r="S129" s="101">
        <f t="shared" si="1"/>
        <v>600000</v>
      </c>
    </row>
    <row r="130" spans="1:19">
      <c r="A130" s="96">
        <v>45565</v>
      </c>
      <c r="B130" s="96">
        <v>45565</v>
      </c>
      <c r="C130" s="97" t="s">
        <v>513</v>
      </c>
      <c r="D130" s="96"/>
      <c r="E130" s="97"/>
      <c r="F130" s="97" t="s">
        <v>487</v>
      </c>
      <c r="G130" s="97" t="s">
        <v>71</v>
      </c>
      <c r="H130" s="97" t="s">
        <v>287</v>
      </c>
      <c r="I130" s="98">
        <v>17452500</v>
      </c>
      <c r="J130" s="98">
        <v>0</v>
      </c>
      <c r="K130" s="97"/>
      <c r="L130" s="97"/>
      <c r="M130" s="97"/>
      <c r="N130" s="97"/>
      <c r="O130" s="97"/>
      <c r="P130" s="97"/>
      <c r="Q130" s="97"/>
      <c r="R130" s="97"/>
      <c r="S130" s="101">
        <f t="shared" si="1"/>
        <v>17452500</v>
      </c>
    </row>
    <row r="131" spans="1:19">
      <c r="A131" s="96">
        <v>45565</v>
      </c>
      <c r="B131" s="96">
        <v>45565</v>
      </c>
      <c r="C131" s="97" t="s">
        <v>513</v>
      </c>
      <c r="D131" s="96"/>
      <c r="E131" s="97"/>
      <c r="F131" s="97" t="s">
        <v>487</v>
      </c>
      <c r="G131" s="97" t="s">
        <v>71</v>
      </c>
      <c r="H131" s="97" t="s">
        <v>289</v>
      </c>
      <c r="I131" s="98">
        <v>14561623</v>
      </c>
      <c r="J131" s="98">
        <v>0</v>
      </c>
      <c r="K131" s="97"/>
      <c r="L131" s="97"/>
      <c r="M131" s="97"/>
      <c r="N131" s="97"/>
      <c r="O131" s="97"/>
      <c r="P131" s="97"/>
      <c r="Q131" s="97"/>
      <c r="R131" s="97"/>
      <c r="S131" s="101">
        <f t="shared" si="1"/>
        <v>14561623</v>
      </c>
    </row>
    <row r="132" spans="1:19">
      <c r="A132" s="96">
        <v>45565</v>
      </c>
      <c r="B132" s="96">
        <v>45565</v>
      </c>
      <c r="C132" s="97" t="s">
        <v>513</v>
      </c>
      <c r="D132" s="96"/>
      <c r="E132" s="97"/>
      <c r="F132" s="97" t="s">
        <v>487</v>
      </c>
      <c r="G132" s="97" t="s">
        <v>71</v>
      </c>
      <c r="H132" s="97" t="s">
        <v>291</v>
      </c>
      <c r="I132" s="98">
        <v>344328262</v>
      </c>
      <c r="J132" s="98">
        <v>0</v>
      </c>
      <c r="K132" s="97"/>
      <c r="L132" s="97"/>
      <c r="M132" s="97"/>
      <c r="N132" s="97"/>
      <c r="O132" s="97"/>
      <c r="P132" s="97"/>
      <c r="Q132" s="97"/>
      <c r="R132" s="97"/>
      <c r="S132" s="101">
        <f t="shared" si="1"/>
        <v>344328262</v>
      </c>
    </row>
    <row r="133" spans="1:19">
      <c r="A133" s="96">
        <v>45565</v>
      </c>
      <c r="B133" s="96">
        <v>45565</v>
      </c>
      <c r="C133" s="97" t="s">
        <v>513</v>
      </c>
      <c r="D133" s="96"/>
      <c r="E133" s="97"/>
      <c r="F133" s="97" t="s">
        <v>487</v>
      </c>
      <c r="G133" s="97" t="s">
        <v>71</v>
      </c>
      <c r="H133" s="97" t="s">
        <v>293</v>
      </c>
      <c r="I133" s="98">
        <v>4363636</v>
      </c>
      <c r="J133" s="98">
        <v>0</v>
      </c>
      <c r="K133" s="97"/>
      <c r="L133" s="97"/>
      <c r="M133" s="97"/>
      <c r="N133" s="97"/>
      <c r="O133" s="97"/>
      <c r="P133" s="97"/>
      <c r="Q133" s="97"/>
      <c r="R133" s="97"/>
      <c r="S133" s="101">
        <f t="shared" ref="S133:S183" si="2">I133-J133</f>
        <v>4363636</v>
      </c>
    </row>
    <row r="134" spans="1:19">
      <c r="A134" s="96">
        <v>45565</v>
      </c>
      <c r="B134" s="96">
        <v>45565</v>
      </c>
      <c r="C134" s="97" t="s">
        <v>513</v>
      </c>
      <c r="D134" s="96"/>
      <c r="E134" s="97"/>
      <c r="F134" s="97" t="s">
        <v>487</v>
      </c>
      <c r="G134" s="97" t="s">
        <v>71</v>
      </c>
      <c r="H134" s="97" t="s">
        <v>295</v>
      </c>
      <c r="I134" s="98">
        <v>5000000</v>
      </c>
      <c r="J134" s="98">
        <v>0</v>
      </c>
      <c r="K134" s="97"/>
      <c r="L134" s="97"/>
      <c r="M134" s="97"/>
      <c r="N134" s="97"/>
      <c r="O134" s="97"/>
      <c r="P134" s="97"/>
      <c r="Q134" s="97"/>
      <c r="R134" s="97"/>
      <c r="S134" s="101">
        <f t="shared" si="2"/>
        <v>5000000</v>
      </c>
    </row>
    <row r="135" spans="1:19">
      <c r="A135" s="96">
        <v>45565</v>
      </c>
      <c r="B135" s="96">
        <v>45565</v>
      </c>
      <c r="C135" s="97" t="s">
        <v>513</v>
      </c>
      <c r="D135" s="96"/>
      <c r="E135" s="97"/>
      <c r="F135" s="97" t="s">
        <v>487</v>
      </c>
      <c r="G135" s="97" t="s">
        <v>71</v>
      </c>
      <c r="H135" s="97" t="s">
        <v>297</v>
      </c>
      <c r="I135" s="98">
        <v>124545</v>
      </c>
      <c r="J135" s="98">
        <v>0</v>
      </c>
      <c r="K135" s="97"/>
      <c r="L135" s="97"/>
      <c r="M135" s="97"/>
      <c r="N135" s="97"/>
      <c r="O135" s="97"/>
      <c r="P135" s="97"/>
      <c r="Q135" s="97"/>
      <c r="R135" s="97"/>
      <c r="S135" s="101">
        <f t="shared" si="2"/>
        <v>124545</v>
      </c>
    </row>
    <row r="136" spans="1:19">
      <c r="A136" s="96">
        <v>45565</v>
      </c>
      <c r="B136" s="96">
        <v>45565</v>
      </c>
      <c r="C136" s="97" t="s">
        <v>513</v>
      </c>
      <c r="D136" s="96"/>
      <c r="E136" s="97"/>
      <c r="F136" s="97" t="s">
        <v>487</v>
      </c>
      <c r="G136" s="97" t="s">
        <v>71</v>
      </c>
      <c r="H136" s="97" t="s">
        <v>299</v>
      </c>
      <c r="I136" s="98">
        <v>12650907</v>
      </c>
      <c r="J136" s="98">
        <v>0</v>
      </c>
      <c r="K136" s="97"/>
      <c r="L136" s="97"/>
      <c r="M136" s="97"/>
      <c r="N136" s="97"/>
      <c r="O136" s="97"/>
      <c r="P136" s="97"/>
      <c r="Q136" s="97"/>
      <c r="R136" s="97"/>
      <c r="S136" s="101">
        <f t="shared" si="2"/>
        <v>12650907</v>
      </c>
    </row>
    <row r="137" spans="1:19">
      <c r="A137" s="96">
        <v>45565</v>
      </c>
      <c r="B137" s="96">
        <v>45565</v>
      </c>
      <c r="C137" s="97" t="s">
        <v>513</v>
      </c>
      <c r="D137" s="96"/>
      <c r="E137" s="97"/>
      <c r="F137" s="97" t="s">
        <v>487</v>
      </c>
      <c r="G137" s="97" t="s">
        <v>71</v>
      </c>
      <c r="H137" s="97" t="s">
        <v>301</v>
      </c>
      <c r="I137" s="98">
        <v>817300</v>
      </c>
      <c r="J137" s="98">
        <v>0</v>
      </c>
      <c r="K137" s="97"/>
      <c r="L137" s="97"/>
      <c r="M137" s="97"/>
      <c r="N137" s="97"/>
      <c r="O137" s="97"/>
      <c r="P137" s="97"/>
      <c r="Q137" s="97"/>
      <c r="R137" s="97"/>
      <c r="S137" s="101">
        <f t="shared" si="2"/>
        <v>817300</v>
      </c>
    </row>
    <row r="138" spans="1:19">
      <c r="A138" s="96">
        <v>45565</v>
      </c>
      <c r="B138" s="96">
        <v>45565</v>
      </c>
      <c r="C138" s="97" t="s">
        <v>513</v>
      </c>
      <c r="D138" s="96"/>
      <c r="E138" s="97"/>
      <c r="F138" s="97" t="s">
        <v>473</v>
      </c>
      <c r="G138" s="97" t="s">
        <v>71</v>
      </c>
      <c r="H138" s="97" t="s">
        <v>303</v>
      </c>
      <c r="I138" s="98">
        <v>0</v>
      </c>
      <c r="J138" s="98">
        <v>1169000163</v>
      </c>
      <c r="K138" s="97"/>
      <c r="L138" s="97"/>
      <c r="M138" s="97"/>
      <c r="N138" s="97"/>
      <c r="O138" s="97"/>
      <c r="P138" s="97"/>
      <c r="Q138" s="97"/>
      <c r="R138" s="97"/>
      <c r="S138" s="101">
        <f t="shared" si="2"/>
        <v>-1169000163</v>
      </c>
    </row>
    <row r="139" spans="1:19">
      <c r="A139" s="96">
        <v>45596</v>
      </c>
      <c r="B139" s="96">
        <v>45596</v>
      </c>
      <c r="C139" s="97" t="s">
        <v>514</v>
      </c>
      <c r="D139" s="96"/>
      <c r="E139" s="97"/>
      <c r="F139" s="97" t="s">
        <v>487</v>
      </c>
      <c r="G139" s="97" t="s">
        <v>71</v>
      </c>
      <c r="H139" s="97" t="s">
        <v>269</v>
      </c>
      <c r="I139" s="98">
        <v>301543676</v>
      </c>
      <c r="J139" s="98">
        <v>0</v>
      </c>
      <c r="K139" s="97"/>
      <c r="L139" s="97"/>
      <c r="M139" s="97"/>
      <c r="N139" s="97"/>
      <c r="O139" s="97"/>
      <c r="P139" s="97"/>
      <c r="Q139" s="97"/>
      <c r="R139" s="97"/>
      <c r="S139" s="101">
        <f t="shared" si="2"/>
        <v>301543676</v>
      </c>
    </row>
    <row r="140" spans="1:19">
      <c r="A140" s="96">
        <v>45596</v>
      </c>
      <c r="B140" s="96">
        <v>45596</v>
      </c>
      <c r="C140" s="97" t="s">
        <v>514</v>
      </c>
      <c r="D140" s="96"/>
      <c r="E140" s="97"/>
      <c r="F140" s="97" t="s">
        <v>487</v>
      </c>
      <c r="G140" s="97" t="s">
        <v>71</v>
      </c>
      <c r="H140" s="97" t="s">
        <v>273</v>
      </c>
      <c r="I140" s="98">
        <v>104672539</v>
      </c>
      <c r="J140" s="98">
        <v>0</v>
      </c>
      <c r="K140" s="97"/>
      <c r="L140" s="97"/>
      <c r="M140" s="97"/>
      <c r="N140" s="97"/>
      <c r="O140" s="97"/>
      <c r="P140" s="97"/>
      <c r="Q140" s="97"/>
      <c r="R140" s="97"/>
      <c r="S140" s="101">
        <f t="shared" si="2"/>
        <v>104672539</v>
      </c>
    </row>
    <row r="141" spans="1:19">
      <c r="A141" s="96">
        <v>45596</v>
      </c>
      <c r="B141" s="96">
        <v>45596</v>
      </c>
      <c r="C141" s="97" t="s">
        <v>514</v>
      </c>
      <c r="D141" s="96"/>
      <c r="E141" s="97"/>
      <c r="F141" s="97" t="s">
        <v>487</v>
      </c>
      <c r="G141" s="97" t="s">
        <v>71</v>
      </c>
      <c r="H141" s="97" t="s">
        <v>275</v>
      </c>
      <c r="I141" s="98">
        <v>3995397</v>
      </c>
      <c r="J141" s="98">
        <v>0</v>
      </c>
      <c r="K141" s="97"/>
      <c r="L141" s="97"/>
      <c r="M141" s="97"/>
      <c r="N141" s="97"/>
      <c r="O141" s="97"/>
      <c r="P141" s="97"/>
      <c r="Q141" s="97"/>
      <c r="R141" s="97"/>
      <c r="S141" s="101">
        <f t="shared" si="2"/>
        <v>3995397</v>
      </c>
    </row>
    <row r="142" spans="1:19">
      <c r="A142" s="96">
        <v>45596</v>
      </c>
      <c r="B142" s="96">
        <v>45596</v>
      </c>
      <c r="C142" s="97" t="s">
        <v>514</v>
      </c>
      <c r="D142" s="96"/>
      <c r="E142" s="97"/>
      <c r="F142" s="97" t="s">
        <v>487</v>
      </c>
      <c r="G142" s="97" t="s">
        <v>71</v>
      </c>
      <c r="H142" s="97" t="s">
        <v>277</v>
      </c>
      <c r="I142" s="98">
        <v>30161485</v>
      </c>
      <c r="J142" s="98">
        <v>0</v>
      </c>
      <c r="K142" s="97"/>
      <c r="L142" s="97"/>
      <c r="M142" s="97"/>
      <c r="N142" s="97"/>
      <c r="O142" s="97"/>
      <c r="P142" s="97"/>
      <c r="Q142" s="97"/>
      <c r="R142" s="97"/>
      <c r="S142" s="101">
        <f t="shared" si="2"/>
        <v>30161485</v>
      </c>
    </row>
    <row r="143" spans="1:19">
      <c r="A143" s="96">
        <v>45596</v>
      </c>
      <c r="B143" s="96">
        <v>45596</v>
      </c>
      <c r="C143" s="97" t="s">
        <v>514</v>
      </c>
      <c r="D143" s="96"/>
      <c r="E143" s="97"/>
      <c r="F143" s="97" t="s">
        <v>487</v>
      </c>
      <c r="G143" s="97" t="s">
        <v>71</v>
      </c>
      <c r="H143" s="97" t="s">
        <v>281</v>
      </c>
      <c r="I143" s="98">
        <v>2235756</v>
      </c>
      <c r="J143" s="98">
        <v>0</v>
      </c>
      <c r="K143" s="97"/>
      <c r="L143" s="97"/>
      <c r="M143" s="97"/>
      <c r="N143" s="97"/>
      <c r="O143" s="97"/>
      <c r="P143" s="97"/>
      <c r="Q143" s="97"/>
      <c r="R143" s="97"/>
      <c r="S143" s="101">
        <f t="shared" si="2"/>
        <v>2235756</v>
      </c>
    </row>
    <row r="144" spans="1:19">
      <c r="A144" s="96">
        <v>45596</v>
      </c>
      <c r="B144" s="96">
        <v>45596</v>
      </c>
      <c r="C144" s="97" t="s">
        <v>514</v>
      </c>
      <c r="D144" s="96"/>
      <c r="E144" s="97"/>
      <c r="F144" s="97" t="s">
        <v>487</v>
      </c>
      <c r="G144" s="97" t="s">
        <v>71</v>
      </c>
      <c r="H144" s="97" t="s">
        <v>283</v>
      </c>
      <c r="I144" s="98">
        <v>70541325</v>
      </c>
      <c r="J144" s="98">
        <v>0</v>
      </c>
      <c r="K144" s="97"/>
      <c r="L144" s="97"/>
      <c r="M144" s="97"/>
      <c r="N144" s="97"/>
      <c r="O144" s="97"/>
      <c r="P144" s="97"/>
      <c r="Q144" s="97"/>
      <c r="R144" s="97"/>
      <c r="S144" s="101">
        <f t="shared" si="2"/>
        <v>70541325</v>
      </c>
    </row>
    <row r="145" spans="1:19">
      <c r="A145" s="96">
        <v>45596</v>
      </c>
      <c r="B145" s="96">
        <v>45596</v>
      </c>
      <c r="C145" s="97" t="s">
        <v>514</v>
      </c>
      <c r="D145" s="96"/>
      <c r="E145" s="97"/>
      <c r="F145" s="97" t="s">
        <v>487</v>
      </c>
      <c r="G145" s="97" t="s">
        <v>71</v>
      </c>
      <c r="H145" s="97" t="s">
        <v>285</v>
      </c>
      <c r="I145" s="98">
        <v>1285714</v>
      </c>
      <c r="J145" s="98">
        <v>0</v>
      </c>
      <c r="K145" s="97"/>
      <c r="L145" s="97"/>
      <c r="M145" s="97"/>
      <c r="N145" s="97"/>
      <c r="O145" s="97"/>
      <c r="P145" s="97"/>
      <c r="Q145" s="97"/>
      <c r="R145" s="97"/>
      <c r="S145" s="101">
        <f t="shared" si="2"/>
        <v>1285714</v>
      </c>
    </row>
    <row r="146" spans="1:19">
      <c r="A146" s="96">
        <v>45596</v>
      </c>
      <c r="B146" s="96">
        <v>45596</v>
      </c>
      <c r="C146" s="97" t="s">
        <v>514</v>
      </c>
      <c r="D146" s="96"/>
      <c r="E146" s="97"/>
      <c r="F146" s="97" t="s">
        <v>487</v>
      </c>
      <c r="G146" s="97" t="s">
        <v>71</v>
      </c>
      <c r="H146" s="97" t="s">
        <v>287</v>
      </c>
      <c r="I146" s="98">
        <v>17452500</v>
      </c>
      <c r="J146" s="98">
        <v>0</v>
      </c>
      <c r="K146" s="97"/>
      <c r="L146" s="97"/>
      <c r="M146" s="97"/>
      <c r="N146" s="97"/>
      <c r="O146" s="97"/>
      <c r="P146" s="97"/>
      <c r="Q146" s="97"/>
      <c r="R146" s="97"/>
      <c r="S146" s="101">
        <f t="shared" si="2"/>
        <v>17452500</v>
      </c>
    </row>
    <row r="147" spans="1:19">
      <c r="A147" s="96">
        <v>45596</v>
      </c>
      <c r="B147" s="96">
        <v>45596</v>
      </c>
      <c r="C147" s="97" t="s">
        <v>514</v>
      </c>
      <c r="D147" s="96"/>
      <c r="E147" s="97"/>
      <c r="F147" s="97" t="s">
        <v>487</v>
      </c>
      <c r="G147" s="97" t="s">
        <v>71</v>
      </c>
      <c r="H147" s="97" t="s">
        <v>289</v>
      </c>
      <c r="I147" s="98">
        <v>14561623</v>
      </c>
      <c r="J147" s="98">
        <v>0</v>
      </c>
      <c r="K147" s="97"/>
      <c r="L147" s="97"/>
      <c r="M147" s="97"/>
      <c r="N147" s="97"/>
      <c r="O147" s="97"/>
      <c r="P147" s="97"/>
      <c r="Q147" s="97"/>
      <c r="R147" s="97"/>
      <c r="S147" s="101">
        <f t="shared" si="2"/>
        <v>14561623</v>
      </c>
    </row>
    <row r="148" spans="1:19">
      <c r="A148" s="96">
        <v>45596</v>
      </c>
      <c r="B148" s="96">
        <v>45596</v>
      </c>
      <c r="C148" s="97" t="s">
        <v>514</v>
      </c>
      <c r="D148" s="96"/>
      <c r="E148" s="97"/>
      <c r="F148" s="97" t="s">
        <v>487</v>
      </c>
      <c r="G148" s="97" t="s">
        <v>71</v>
      </c>
      <c r="H148" s="97" t="s">
        <v>291</v>
      </c>
      <c r="I148" s="98">
        <v>304718436</v>
      </c>
      <c r="J148" s="98">
        <v>0</v>
      </c>
      <c r="K148" s="97"/>
      <c r="L148" s="97"/>
      <c r="M148" s="97"/>
      <c r="N148" s="97"/>
      <c r="O148" s="97"/>
      <c r="P148" s="97"/>
      <c r="Q148" s="97"/>
      <c r="R148" s="97"/>
      <c r="S148" s="101">
        <f t="shared" si="2"/>
        <v>304718436</v>
      </c>
    </row>
    <row r="149" spans="1:19">
      <c r="A149" s="96">
        <v>45596</v>
      </c>
      <c r="B149" s="96">
        <v>45596</v>
      </c>
      <c r="C149" s="97" t="s">
        <v>514</v>
      </c>
      <c r="D149" s="96"/>
      <c r="E149" s="97"/>
      <c r="F149" s="97" t="s">
        <v>487</v>
      </c>
      <c r="G149" s="97" t="s">
        <v>71</v>
      </c>
      <c r="H149" s="97" t="s">
        <v>295</v>
      </c>
      <c r="I149" s="98">
        <v>5000000</v>
      </c>
      <c r="J149" s="98">
        <v>0</v>
      </c>
      <c r="K149" s="97"/>
      <c r="L149" s="97"/>
      <c r="M149" s="97"/>
      <c r="N149" s="97"/>
      <c r="O149" s="97"/>
      <c r="P149" s="97"/>
      <c r="Q149" s="97"/>
      <c r="R149" s="97"/>
      <c r="S149" s="101">
        <f t="shared" si="2"/>
        <v>5000000</v>
      </c>
    </row>
    <row r="150" spans="1:19">
      <c r="A150" s="96">
        <v>45596</v>
      </c>
      <c r="B150" s="96">
        <v>45596</v>
      </c>
      <c r="C150" s="97" t="s">
        <v>514</v>
      </c>
      <c r="D150" s="96"/>
      <c r="E150" s="97"/>
      <c r="F150" s="97" t="s">
        <v>487</v>
      </c>
      <c r="G150" s="97" t="s">
        <v>71</v>
      </c>
      <c r="H150" s="97" t="s">
        <v>301</v>
      </c>
      <c r="I150" s="98">
        <v>613800</v>
      </c>
      <c r="J150" s="98">
        <v>0</v>
      </c>
      <c r="K150" s="97"/>
      <c r="L150" s="97"/>
      <c r="M150" s="97"/>
      <c r="N150" s="97"/>
      <c r="O150" s="97"/>
      <c r="P150" s="97"/>
      <c r="Q150" s="97"/>
      <c r="R150" s="97"/>
      <c r="S150" s="101">
        <f t="shared" si="2"/>
        <v>613800</v>
      </c>
    </row>
    <row r="151" spans="1:19">
      <c r="A151" s="96">
        <v>45596</v>
      </c>
      <c r="B151" s="96">
        <v>45596</v>
      </c>
      <c r="C151" s="97" t="s">
        <v>514</v>
      </c>
      <c r="D151" s="96"/>
      <c r="E151" s="97"/>
      <c r="F151" s="97" t="s">
        <v>487</v>
      </c>
      <c r="G151" s="97" t="s">
        <v>71</v>
      </c>
      <c r="H151" s="97" t="s">
        <v>299</v>
      </c>
      <c r="I151" s="98">
        <v>0</v>
      </c>
      <c r="J151" s="98">
        <v>333000</v>
      </c>
      <c r="K151" s="97"/>
      <c r="L151" s="97"/>
      <c r="M151" s="97"/>
      <c r="N151" s="97"/>
      <c r="O151" s="97"/>
      <c r="P151" s="97"/>
      <c r="Q151" s="97"/>
      <c r="R151" s="97"/>
      <c r="S151" s="101">
        <f t="shared" si="2"/>
        <v>-333000</v>
      </c>
    </row>
    <row r="152" spans="1:19">
      <c r="A152" s="96">
        <v>45596</v>
      </c>
      <c r="B152" s="96">
        <v>45596</v>
      </c>
      <c r="C152" s="97" t="s">
        <v>514</v>
      </c>
      <c r="D152" s="96"/>
      <c r="E152" s="97"/>
      <c r="F152" s="97" t="s">
        <v>473</v>
      </c>
      <c r="G152" s="97" t="s">
        <v>71</v>
      </c>
      <c r="H152" s="97" t="s">
        <v>303</v>
      </c>
      <c r="I152" s="98">
        <v>0</v>
      </c>
      <c r="J152" s="98">
        <v>856449251</v>
      </c>
      <c r="K152" s="97"/>
      <c r="L152" s="97"/>
      <c r="M152" s="97"/>
      <c r="N152" s="97"/>
      <c r="O152" s="97"/>
      <c r="P152" s="97"/>
      <c r="Q152" s="97"/>
      <c r="R152" s="97"/>
      <c r="S152" s="101">
        <f t="shared" si="2"/>
        <v>-856449251</v>
      </c>
    </row>
    <row r="153" spans="1:19">
      <c r="A153" s="96">
        <v>45626</v>
      </c>
      <c r="B153" s="96">
        <v>45626</v>
      </c>
      <c r="C153" s="97" t="s">
        <v>515</v>
      </c>
      <c r="D153" s="96"/>
      <c r="E153" s="97"/>
      <c r="F153" s="97" t="s">
        <v>487</v>
      </c>
      <c r="G153" s="97" t="s">
        <v>71</v>
      </c>
      <c r="H153" s="97" t="s">
        <v>269</v>
      </c>
      <c r="I153" s="98">
        <v>301543676</v>
      </c>
      <c r="J153" s="98">
        <v>0</v>
      </c>
      <c r="K153" s="97"/>
      <c r="L153" s="97"/>
      <c r="M153" s="97"/>
      <c r="N153" s="97"/>
      <c r="O153" s="97"/>
      <c r="P153" s="97"/>
      <c r="Q153" s="97"/>
      <c r="R153" s="97"/>
      <c r="S153" s="101">
        <f t="shared" si="2"/>
        <v>301543676</v>
      </c>
    </row>
    <row r="154" spans="1:19">
      <c r="A154" s="96">
        <v>45626</v>
      </c>
      <c r="B154" s="96">
        <v>45626</v>
      </c>
      <c r="C154" s="97" t="s">
        <v>515</v>
      </c>
      <c r="D154" s="96"/>
      <c r="E154" s="97"/>
      <c r="F154" s="97" t="s">
        <v>487</v>
      </c>
      <c r="G154" s="97" t="s">
        <v>71</v>
      </c>
      <c r="H154" s="97" t="s">
        <v>273</v>
      </c>
      <c r="I154" s="98">
        <v>46412557</v>
      </c>
      <c r="J154" s="98">
        <v>0</v>
      </c>
      <c r="K154" s="97"/>
      <c r="L154" s="97"/>
      <c r="M154" s="97"/>
      <c r="N154" s="97"/>
      <c r="O154" s="97"/>
      <c r="P154" s="97"/>
      <c r="Q154" s="97"/>
      <c r="R154" s="97"/>
      <c r="S154" s="101">
        <f t="shared" si="2"/>
        <v>46412557</v>
      </c>
    </row>
    <row r="155" spans="1:19">
      <c r="A155" s="96">
        <v>45626</v>
      </c>
      <c r="B155" s="96">
        <v>45626</v>
      </c>
      <c r="C155" s="97" t="s">
        <v>515</v>
      </c>
      <c r="D155" s="96"/>
      <c r="E155" s="97"/>
      <c r="F155" s="97" t="s">
        <v>487</v>
      </c>
      <c r="G155" s="97" t="s">
        <v>71</v>
      </c>
      <c r="H155" s="97" t="s">
        <v>277</v>
      </c>
      <c r="I155" s="98">
        <v>20558721</v>
      </c>
      <c r="J155" s="98">
        <v>0</v>
      </c>
      <c r="K155" s="97"/>
      <c r="L155" s="97"/>
      <c r="M155" s="97"/>
      <c r="N155" s="97"/>
      <c r="O155" s="97"/>
      <c r="P155" s="97"/>
      <c r="Q155" s="97"/>
      <c r="R155" s="97"/>
      <c r="S155" s="101">
        <f t="shared" si="2"/>
        <v>20558721</v>
      </c>
    </row>
    <row r="156" spans="1:19">
      <c r="A156" s="96">
        <v>45626</v>
      </c>
      <c r="B156" s="96">
        <v>45626</v>
      </c>
      <c r="C156" s="97" t="s">
        <v>515</v>
      </c>
      <c r="D156" s="96"/>
      <c r="E156" s="97"/>
      <c r="F156" s="97" t="s">
        <v>487</v>
      </c>
      <c r="G156" s="97" t="s">
        <v>71</v>
      </c>
      <c r="H156" s="97" t="s">
        <v>281</v>
      </c>
      <c r="I156" s="98">
        <v>6964911</v>
      </c>
      <c r="J156" s="98">
        <v>0</v>
      </c>
      <c r="K156" s="97"/>
      <c r="L156" s="97"/>
      <c r="M156" s="97"/>
      <c r="N156" s="97"/>
      <c r="O156" s="97"/>
      <c r="P156" s="97"/>
      <c r="Q156" s="97"/>
      <c r="R156" s="97"/>
      <c r="S156" s="101">
        <f t="shared" si="2"/>
        <v>6964911</v>
      </c>
    </row>
    <row r="157" spans="1:19">
      <c r="A157" s="96">
        <v>45626</v>
      </c>
      <c r="B157" s="96">
        <v>45626</v>
      </c>
      <c r="C157" s="97" t="s">
        <v>515</v>
      </c>
      <c r="D157" s="96"/>
      <c r="E157" s="97"/>
      <c r="F157" s="97" t="s">
        <v>487</v>
      </c>
      <c r="G157" s="97" t="s">
        <v>71</v>
      </c>
      <c r="H157" s="97" t="s">
        <v>283</v>
      </c>
      <c r="I157" s="98">
        <v>192724272</v>
      </c>
      <c r="J157" s="98">
        <v>0</v>
      </c>
      <c r="K157" s="97"/>
      <c r="L157" s="97"/>
      <c r="M157" s="97"/>
      <c r="N157" s="97"/>
      <c r="O157" s="97"/>
      <c r="P157" s="97"/>
      <c r="Q157" s="97"/>
      <c r="R157" s="97"/>
      <c r="S157" s="101">
        <f t="shared" si="2"/>
        <v>192724272</v>
      </c>
    </row>
    <row r="158" spans="1:19">
      <c r="A158" s="96">
        <v>45626</v>
      </c>
      <c r="B158" s="96">
        <v>45626</v>
      </c>
      <c r="C158" s="97" t="s">
        <v>515</v>
      </c>
      <c r="D158" s="96"/>
      <c r="E158" s="97"/>
      <c r="F158" s="97" t="s">
        <v>487</v>
      </c>
      <c r="G158" s="97" t="s">
        <v>71</v>
      </c>
      <c r="H158" s="97" t="s">
        <v>285</v>
      </c>
      <c r="I158" s="98">
        <v>1285714</v>
      </c>
      <c r="J158" s="98">
        <v>0</v>
      </c>
      <c r="K158" s="97"/>
      <c r="L158" s="97"/>
      <c r="M158" s="97"/>
      <c r="N158" s="97"/>
      <c r="O158" s="97"/>
      <c r="P158" s="97"/>
      <c r="Q158" s="97"/>
      <c r="R158" s="97"/>
      <c r="S158" s="101">
        <f t="shared" si="2"/>
        <v>1285714</v>
      </c>
    </row>
    <row r="159" spans="1:19">
      <c r="A159" s="96">
        <v>45626</v>
      </c>
      <c r="B159" s="96">
        <v>45626</v>
      </c>
      <c r="C159" s="97" t="s">
        <v>515</v>
      </c>
      <c r="D159" s="96"/>
      <c r="E159" s="97"/>
      <c r="F159" s="97" t="s">
        <v>487</v>
      </c>
      <c r="G159" s="97" t="s">
        <v>71</v>
      </c>
      <c r="H159" s="97" t="s">
        <v>287</v>
      </c>
      <c r="I159" s="98">
        <v>17452500</v>
      </c>
      <c r="J159" s="98">
        <v>0</v>
      </c>
      <c r="K159" s="97"/>
      <c r="L159" s="97"/>
      <c r="M159" s="97"/>
      <c r="N159" s="97"/>
      <c r="O159" s="97"/>
      <c r="P159" s="97"/>
      <c r="Q159" s="97"/>
      <c r="R159" s="97"/>
      <c r="S159" s="101">
        <f t="shared" si="2"/>
        <v>17452500</v>
      </c>
    </row>
    <row r="160" spans="1:19">
      <c r="A160" s="96">
        <v>45626</v>
      </c>
      <c r="B160" s="96">
        <v>45626</v>
      </c>
      <c r="C160" s="97" t="s">
        <v>515</v>
      </c>
      <c r="D160" s="96"/>
      <c r="E160" s="97"/>
      <c r="F160" s="97" t="s">
        <v>487</v>
      </c>
      <c r="G160" s="97" t="s">
        <v>71</v>
      </c>
      <c r="H160" s="97" t="s">
        <v>289</v>
      </c>
      <c r="I160" s="98">
        <v>14561623</v>
      </c>
      <c r="J160" s="98">
        <v>0</v>
      </c>
      <c r="K160" s="97"/>
      <c r="L160" s="97"/>
      <c r="M160" s="97"/>
      <c r="N160" s="97"/>
      <c r="O160" s="97"/>
      <c r="P160" s="97"/>
      <c r="Q160" s="97"/>
      <c r="R160" s="97"/>
      <c r="S160" s="101">
        <f t="shared" si="2"/>
        <v>14561623</v>
      </c>
    </row>
    <row r="161" spans="1:19">
      <c r="A161" s="96">
        <v>45626</v>
      </c>
      <c r="B161" s="96">
        <v>45626</v>
      </c>
      <c r="C161" s="97" t="s">
        <v>515</v>
      </c>
      <c r="D161" s="96"/>
      <c r="E161" s="97"/>
      <c r="F161" s="97" t="s">
        <v>487</v>
      </c>
      <c r="G161" s="97" t="s">
        <v>71</v>
      </c>
      <c r="H161" s="97" t="s">
        <v>291</v>
      </c>
      <c r="I161" s="98">
        <v>240804488</v>
      </c>
      <c r="J161" s="98">
        <v>0</v>
      </c>
      <c r="K161" s="97"/>
      <c r="L161" s="97"/>
      <c r="M161" s="97"/>
      <c r="N161" s="97"/>
      <c r="O161" s="97"/>
      <c r="P161" s="97"/>
      <c r="Q161" s="97"/>
      <c r="R161" s="97"/>
      <c r="S161" s="101">
        <f t="shared" si="2"/>
        <v>240804488</v>
      </c>
    </row>
    <row r="162" spans="1:19">
      <c r="A162" s="96">
        <v>45626</v>
      </c>
      <c r="B162" s="96">
        <v>45626</v>
      </c>
      <c r="C162" s="97" t="s">
        <v>515</v>
      </c>
      <c r="D162" s="96"/>
      <c r="E162" s="97"/>
      <c r="F162" s="97" t="s">
        <v>487</v>
      </c>
      <c r="G162" s="97" t="s">
        <v>71</v>
      </c>
      <c r="H162" s="97" t="s">
        <v>295</v>
      </c>
      <c r="I162" s="98">
        <v>5000000</v>
      </c>
      <c r="J162" s="98">
        <v>0</v>
      </c>
      <c r="K162" s="97"/>
      <c r="L162" s="97"/>
      <c r="M162" s="97"/>
      <c r="N162" s="97"/>
      <c r="O162" s="97"/>
      <c r="P162" s="97"/>
      <c r="Q162" s="97"/>
      <c r="R162" s="97"/>
      <c r="S162" s="101">
        <f t="shared" si="2"/>
        <v>5000000</v>
      </c>
    </row>
    <row r="163" spans="1:19">
      <c r="A163" s="96">
        <v>45626</v>
      </c>
      <c r="B163" s="96">
        <v>45626</v>
      </c>
      <c r="C163" s="97" t="s">
        <v>515</v>
      </c>
      <c r="D163" s="96"/>
      <c r="E163" s="97"/>
      <c r="F163" s="97" t="s">
        <v>487</v>
      </c>
      <c r="G163" s="97" t="s">
        <v>71</v>
      </c>
      <c r="H163" s="97" t="s">
        <v>297</v>
      </c>
      <c r="I163" s="98">
        <v>83636</v>
      </c>
      <c r="J163" s="98">
        <v>0</v>
      </c>
      <c r="K163" s="97"/>
      <c r="L163" s="97"/>
      <c r="M163" s="97"/>
      <c r="N163" s="97"/>
      <c r="O163" s="97"/>
      <c r="P163" s="97"/>
      <c r="Q163" s="97"/>
      <c r="R163" s="97"/>
      <c r="S163" s="101">
        <f t="shared" si="2"/>
        <v>83636</v>
      </c>
    </row>
    <row r="164" spans="1:19">
      <c r="A164" s="96">
        <v>45626</v>
      </c>
      <c r="B164" s="96">
        <v>45626</v>
      </c>
      <c r="C164" s="97" t="s">
        <v>515</v>
      </c>
      <c r="D164" s="96"/>
      <c r="E164" s="97"/>
      <c r="F164" s="97" t="s">
        <v>487</v>
      </c>
      <c r="G164" s="97" t="s">
        <v>71</v>
      </c>
      <c r="H164" s="97" t="s">
        <v>299</v>
      </c>
      <c r="I164" s="98">
        <v>1173000</v>
      </c>
      <c r="J164" s="98">
        <v>0</v>
      </c>
      <c r="K164" s="97"/>
      <c r="L164" s="97"/>
      <c r="M164" s="97"/>
      <c r="N164" s="97"/>
      <c r="O164" s="97"/>
      <c r="P164" s="97"/>
      <c r="Q164" s="97"/>
      <c r="R164" s="97"/>
      <c r="S164" s="101">
        <f t="shared" si="2"/>
        <v>1173000</v>
      </c>
    </row>
    <row r="165" spans="1:19">
      <c r="A165" s="96">
        <v>45626</v>
      </c>
      <c r="B165" s="96">
        <v>45626</v>
      </c>
      <c r="C165" s="97" t="s">
        <v>515</v>
      </c>
      <c r="D165" s="96"/>
      <c r="E165" s="97"/>
      <c r="F165" s="97" t="s">
        <v>487</v>
      </c>
      <c r="G165" s="97" t="s">
        <v>71</v>
      </c>
      <c r="H165" s="97" t="s">
        <v>301</v>
      </c>
      <c r="I165" s="98">
        <v>988900</v>
      </c>
      <c r="J165" s="98">
        <v>0</v>
      </c>
      <c r="K165" s="97"/>
      <c r="L165" s="97"/>
      <c r="M165" s="97"/>
      <c r="N165" s="97"/>
      <c r="O165" s="97"/>
      <c r="P165" s="97"/>
      <c r="Q165" s="97"/>
      <c r="R165" s="97"/>
      <c r="S165" s="101">
        <f t="shared" si="2"/>
        <v>988900</v>
      </c>
    </row>
    <row r="166" spans="1:19">
      <c r="A166" s="96">
        <v>45626</v>
      </c>
      <c r="B166" s="96">
        <v>45626</v>
      </c>
      <c r="C166" s="97" t="s">
        <v>515</v>
      </c>
      <c r="D166" s="96"/>
      <c r="E166" s="97"/>
      <c r="F166" s="97" t="s">
        <v>473</v>
      </c>
      <c r="G166" s="97" t="s">
        <v>71</v>
      </c>
      <c r="H166" s="97" t="s">
        <v>303</v>
      </c>
      <c r="I166" s="98">
        <v>0</v>
      </c>
      <c r="J166" s="98">
        <v>849553998</v>
      </c>
      <c r="K166" s="97"/>
      <c r="L166" s="97"/>
      <c r="M166" s="97"/>
      <c r="N166" s="97"/>
      <c r="O166" s="97"/>
      <c r="P166" s="97"/>
      <c r="Q166" s="97"/>
      <c r="R166" s="97"/>
      <c r="S166" s="101">
        <f t="shared" si="2"/>
        <v>-849553998</v>
      </c>
    </row>
    <row r="167" spans="1:19">
      <c r="A167" s="96">
        <v>45657</v>
      </c>
      <c r="B167" s="96">
        <v>45657</v>
      </c>
      <c r="C167" s="97" t="s">
        <v>516</v>
      </c>
      <c r="D167" s="96"/>
      <c r="E167" s="97"/>
      <c r="F167" s="97" t="s">
        <v>487</v>
      </c>
      <c r="G167" s="97" t="s">
        <v>71</v>
      </c>
      <c r="H167" s="97" t="s">
        <v>269</v>
      </c>
      <c r="I167" s="98">
        <v>301543676</v>
      </c>
      <c r="J167" s="98">
        <v>0</v>
      </c>
      <c r="K167" s="97"/>
      <c r="L167" s="97"/>
      <c r="M167" s="97"/>
      <c r="N167" s="97"/>
      <c r="O167" s="97"/>
      <c r="P167" s="97"/>
      <c r="Q167" s="97"/>
      <c r="R167" s="97"/>
      <c r="S167" s="101">
        <f t="shared" si="2"/>
        <v>301543676</v>
      </c>
    </row>
    <row r="168" spans="1:19">
      <c r="A168" s="96">
        <v>45657</v>
      </c>
      <c r="B168" s="96">
        <v>45657</v>
      </c>
      <c r="C168" s="97" t="s">
        <v>516</v>
      </c>
      <c r="D168" s="96"/>
      <c r="E168" s="97"/>
      <c r="F168" s="97" t="s">
        <v>487</v>
      </c>
      <c r="G168" s="97" t="s">
        <v>71</v>
      </c>
      <c r="H168" s="97" t="s">
        <v>273</v>
      </c>
      <c r="I168" s="98">
        <v>82888583</v>
      </c>
      <c r="J168" s="98">
        <v>0</v>
      </c>
      <c r="K168" s="97"/>
      <c r="L168" s="97"/>
      <c r="M168" s="97"/>
      <c r="N168" s="97"/>
      <c r="O168" s="97"/>
      <c r="P168" s="97"/>
      <c r="Q168" s="97"/>
      <c r="R168" s="97"/>
      <c r="S168" s="101">
        <f t="shared" si="2"/>
        <v>82888583</v>
      </c>
    </row>
    <row r="169" spans="1:19">
      <c r="A169" s="96">
        <v>45657</v>
      </c>
      <c r="B169" s="96">
        <v>45657</v>
      </c>
      <c r="C169" s="97" t="s">
        <v>516</v>
      </c>
      <c r="D169" s="96"/>
      <c r="E169" s="97"/>
      <c r="F169" s="97" t="s">
        <v>487</v>
      </c>
      <c r="G169" s="97" t="s">
        <v>71</v>
      </c>
      <c r="H169" s="97" t="s">
        <v>275</v>
      </c>
      <c r="I169" s="98">
        <v>3991581</v>
      </c>
      <c r="J169" s="98">
        <v>0</v>
      </c>
      <c r="K169" s="97"/>
      <c r="L169" s="97"/>
      <c r="M169" s="97"/>
      <c r="N169" s="97"/>
      <c r="O169" s="97"/>
      <c r="P169" s="97"/>
      <c r="Q169" s="97"/>
      <c r="R169" s="97"/>
      <c r="S169" s="101">
        <f t="shared" si="2"/>
        <v>3991581</v>
      </c>
    </row>
    <row r="170" spans="1:19">
      <c r="A170" s="96">
        <v>45657</v>
      </c>
      <c r="B170" s="96">
        <v>45657</v>
      </c>
      <c r="C170" s="97" t="s">
        <v>516</v>
      </c>
      <c r="D170" s="96"/>
      <c r="E170" s="97"/>
      <c r="F170" s="97" t="s">
        <v>487</v>
      </c>
      <c r="G170" s="97" t="s">
        <v>71</v>
      </c>
      <c r="H170" s="97" t="s">
        <v>277</v>
      </c>
      <c r="I170" s="98">
        <v>17533826</v>
      </c>
      <c r="J170" s="98">
        <v>0</v>
      </c>
      <c r="K170" s="97"/>
      <c r="L170" s="97"/>
      <c r="M170" s="97"/>
      <c r="N170" s="97"/>
      <c r="O170" s="97"/>
      <c r="P170" s="97"/>
      <c r="Q170" s="97"/>
      <c r="R170" s="97"/>
      <c r="S170" s="101">
        <f t="shared" si="2"/>
        <v>17533826</v>
      </c>
    </row>
    <row r="171" spans="1:19">
      <c r="A171" s="96">
        <v>45657</v>
      </c>
      <c r="B171" s="96">
        <v>45657</v>
      </c>
      <c r="C171" s="97" t="s">
        <v>516</v>
      </c>
      <c r="D171" s="96"/>
      <c r="E171" s="97"/>
      <c r="F171" s="97" t="s">
        <v>487</v>
      </c>
      <c r="G171" s="97" t="s">
        <v>71</v>
      </c>
      <c r="H171" s="97" t="s">
        <v>281</v>
      </c>
      <c r="I171" s="98">
        <v>4418835</v>
      </c>
      <c r="J171" s="98">
        <v>0</v>
      </c>
      <c r="K171" s="97"/>
      <c r="L171" s="97"/>
      <c r="M171" s="97"/>
      <c r="N171" s="97"/>
      <c r="O171" s="97"/>
      <c r="P171" s="97"/>
      <c r="Q171" s="97"/>
      <c r="R171" s="97"/>
      <c r="S171" s="101">
        <f t="shared" si="2"/>
        <v>4418835</v>
      </c>
    </row>
    <row r="172" spans="1:19">
      <c r="A172" s="96">
        <v>45657</v>
      </c>
      <c r="B172" s="96">
        <v>45657</v>
      </c>
      <c r="C172" s="97" t="s">
        <v>516</v>
      </c>
      <c r="D172" s="96"/>
      <c r="E172" s="97"/>
      <c r="F172" s="97" t="s">
        <v>487</v>
      </c>
      <c r="G172" s="97" t="s">
        <v>71</v>
      </c>
      <c r="H172" s="97" t="s">
        <v>283</v>
      </c>
      <c r="I172" s="98">
        <v>187897361</v>
      </c>
      <c r="J172" s="98">
        <v>0</v>
      </c>
      <c r="K172" s="97"/>
      <c r="L172" s="97"/>
      <c r="M172" s="97"/>
      <c r="N172" s="97"/>
      <c r="O172" s="97"/>
      <c r="P172" s="97"/>
      <c r="Q172" s="97"/>
      <c r="R172" s="97"/>
      <c r="S172" s="101">
        <f t="shared" si="2"/>
        <v>187897361</v>
      </c>
    </row>
    <row r="173" spans="1:19">
      <c r="A173" s="96">
        <v>45657</v>
      </c>
      <c r="B173" s="96">
        <v>45657</v>
      </c>
      <c r="C173" s="97" t="s">
        <v>516</v>
      </c>
      <c r="D173" s="96"/>
      <c r="E173" s="97"/>
      <c r="F173" s="97" t="s">
        <v>487</v>
      </c>
      <c r="G173" s="97" t="s">
        <v>71</v>
      </c>
      <c r="H173" s="97" t="s">
        <v>285</v>
      </c>
      <c r="I173" s="98">
        <v>1285714</v>
      </c>
      <c r="J173" s="98">
        <v>0</v>
      </c>
      <c r="K173" s="97"/>
      <c r="L173" s="97"/>
      <c r="M173" s="97"/>
      <c r="N173" s="97"/>
      <c r="O173" s="97"/>
      <c r="P173" s="97"/>
      <c r="Q173" s="97"/>
      <c r="R173" s="97"/>
      <c r="S173" s="101">
        <f t="shared" si="2"/>
        <v>1285714</v>
      </c>
    </row>
    <row r="174" spans="1:19">
      <c r="A174" s="96">
        <v>45657</v>
      </c>
      <c r="B174" s="96">
        <v>45657</v>
      </c>
      <c r="C174" s="97" t="s">
        <v>516</v>
      </c>
      <c r="D174" s="96"/>
      <c r="E174" s="97"/>
      <c r="F174" s="97" t="s">
        <v>487</v>
      </c>
      <c r="G174" s="97" t="s">
        <v>71</v>
      </c>
      <c r="H174" s="97" t="s">
        <v>287</v>
      </c>
      <c r="I174" s="98">
        <v>17452500</v>
      </c>
      <c r="J174" s="98">
        <v>0</v>
      </c>
      <c r="K174" s="97"/>
      <c r="L174" s="97"/>
      <c r="M174" s="97"/>
      <c r="N174" s="97"/>
      <c r="O174" s="97"/>
      <c r="P174" s="97"/>
      <c r="Q174" s="97"/>
      <c r="R174" s="97"/>
      <c r="S174" s="101">
        <f t="shared" si="2"/>
        <v>17452500</v>
      </c>
    </row>
    <row r="175" spans="1:19">
      <c r="A175" s="96">
        <v>45657</v>
      </c>
      <c r="B175" s="96">
        <v>45657</v>
      </c>
      <c r="C175" s="97" t="s">
        <v>516</v>
      </c>
      <c r="D175" s="96"/>
      <c r="E175" s="97"/>
      <c r="F175" s="97" t="s">
        <v>487</v>
      </c>
      <c r="G175" s="97" t="s">
        <v>71</v>
      </c>
      <c r="H175" s="97" t="s">
        <v>289</v>
      </c>
      <c r="I175" s="98">
        <v>14561623</v>
      </c>
      <c r="J175" s="98">
        <v>0</v>
      </c>
      <c r="K175" s="97"/>
      <c r="L175" s="97"/>
      <c r="M175" s="97"/>
      <c r="N175" s="97"/>
      <c r="O175" s="97"/>
      <c r="P175" s="97"/>
      <c r="Q175" s="97"/>
      <c r="R175" s="97"/>
      <c r="S175" s="101">
        <f t="shared" si="2"/>
        <v>14561623</v>
      </c>
    </row>
    <row r="176" spans="1:19">
      <c r="A176" s="96">
        <v>45657</v>
      </c>
      <c r="B176" s="96">
        <v>45657</v>
      </c>
      <c r="C176" s="97" t="s">
        <v>516</v>
      </c>
      <c r="D176" s="96"/>
      <c r="E176" s="97"/>
      <c r="F176" s="97" t="s">
        <v>487</v>
      </c>
      <c r="G176" s="97" t="s">
        <v>71</v>
      </c>
      <c r="H176" s="97" t="s">
        <v>291</v>
      </c>
      <c r="I176" s="98">
        <v>183013609</v>
      </c>
      <c r="J176" s="98">
        <v>0</v>
      </c>
      <c r="K176" s="97"/>
      <c r="L176" s="97"/>
      <c r="M176" s="97"/>
      <c r="N176" s="97"/>
      <c r="O176" s="97"/>
      <c r="P176" s="97"/>
      <c r="Q176" s="97"/>
      <c r="R176" s="97"/>
      <c r="S176" s="101">
        <f t="shared" si="2"/>
        <v>183013609</v>
      </c>
    </row>
    <row r="177" spans="1:19">
      <c r="A177" s="96">
        <v>45657</v>
      </c>
      <c r="B177" s="96">
        <v>45657</v>
      </c>
      <c r="C177" s="97" t="s">
        <v>516</v>
      </c>
      <c r="D177" s="96"/>
      <c r="E177" s="97"/>
      <c r="F177" s="97" t="s">
        <v>487</v>
      </c>
      <c r="G177" s="97" t="s">
        <v>71</v>
      </c>
      <c r="H177" s="97" t="s">
        <v>295</v>
      </c>
      <c r="I177" s="98">
        <v>5000000</v>
      </c>
      <c r="J177" s="98">
        <v>0</v>
      </c>
      <c r="K177" s="97"/>
      <c r="L177" s="97"/>
      <c r="M177" s="97"/>
      <c r="N177" s="97"/>
      <c r="O177" s="97"/>
      <c r="P177" s="97"/>
      <c r="Q177" s="97"/>
      <c r="R177" s="97"/>
      <c r="S177" s="101">
        <f t="shared" si="2"/>
        <v>5000000</v>
      </c>
    </row>
    <row r="178" spans="1:19">
      <c r="A178" s="96">
        <v>45657</v>
      </c>
      <c r="B178" s="96">
        <v>45657</v>
      </c>
      <c r="C178" s="97" t="s">
        <v>516</v>
      </c>
      <c r="D178" s="96"/>
      <c r="E178" s="97"/>
      <c r="F178" s="97" t="s">
        <v>487</v>
      </c>
      <c r="G178" s="97" t="s">
        <v>71</v>
      </c>
      <c r="H178" s="97" t="s">
        <v>297</v>
      </c>
      <c r="I178" s="98">
        <v>81818</v>
      </c>
      <c r="J178" s="98">
        <v>0</v>
      </c>
      <c r="K178" s="97"/>
      <c r="L178" s="97"/>
      <c r="M178" s="97"/>
      <c r="N178" s="97"/>
      <c r="O178" s="97"/>
      <c r="P178" s="97"/>
      <c r="Q178" s="97"/>
      <c r="R178" s="97"/>
      <c r="S178" s="101">
        <f t="shared" si="2"/>
        <v>81818</v>
      </c>
    </row>
    <row r="179" spans="1:19">
      <c r="A179" s="96">
        <v>45657</v>
      </c>
      <c r="B179" s="96">
        <v>45657</v>
      </c>
      <c r="C179" s="97" t="s">
        <v>516</v>
      </c>
      <c r="D179" s="96"/>
      <c r="E179" s="97"/>
      <c r="F179" s="97" t="s">
        <v>487</v>
      </c>
      <c r="G179" s="97" t="s">
        <v>71</v>
      </c>
      <c r="H179" s="97" t="s">
        <v>299</v>
      </c>
      <c r="I179" s="98">
        <v>2256000</v>
      </c>
      <c r="J179" s="98">
        <v>0</v>
      </c>
      <c r="K179" s="97"/>
      <c r="L179" s="97"/>
      <c r="M179" s="97"/>
      <c r="N179" s="97"/>
      <c r="O179" s="97"/>
      <c r="P179" s="97"/>
      <c r="Q179" s="97"/>
      <c r="R179" s="97"/>
      <c r="S179" s="101">
        <f t="shared" si="2"/>
        <v>2256000</v>
      </c>
    </row>
    <row r="180" spans="1:19">
      <c r="A180" s="96">
        <v>45657</v>
      </c>
      <c r="B180" s="96">
        <v>45657</v>
      </c>
      <c r="C180" s="97" t="s">
        <v>516</v>
      </c>
      <c r="D180" s="96"/>
      <c r="E180" s="97"/>
      <c r="F180" s="97" t="s">
        <v>487</v>
      </c>
      <c r="G180" s="97" t="s">
        <v>71</v>
      </c>
      <c r="H180" s="97" t="s">
        <v>301</v>
      </c>
      <c r="I180" s="98">
        <v>1382074</v>
      </c>
      <c r="J180" s="98">
        <v>0</v>
      </c>
      <c r="K180" s="97"/>
      <c r="L180" s="97"/>
      <c r="M180" s="97"/>
      <c r="N180" s="97"/>
      <c r="O180" s="97"/>
      <c r="P180" s="97"/>
      <c r="Q180" s="97"/>
      <c r="R180" s="97"/>
      <c r="S180" s="101">
        <f t="shared" si="2"/>
        <v>1382074</v>
      </c>
    </row>
    <row r="181" spans="1:19">
      <c r="A181" s="96">
        <v>45657</v>
      </c>
      <c r="B181" s="96">
        <v>45657</v>
      </c>
      <c r="C181" s="97" t="s">
        <v>516</v>
      </c>
      <c r="D181" s="96"/>
      <c r="E181" s="97"/>
      <c r="F181" s="97" t="s">
        <v>473</v>
      </c>
      <c r="G181" s="97" t="s">
        <v>71</v>
      </c>
      <c r="H181" s="97" t="s">
        <v>303</v>
      </c>
      <c r="I181" s="98">
        <v>0</v>
      </c>
      <c r="J181" s="98">
        <v>823307200</v>
      </c>
      <c r="K181" s="97"/>
      <c r="L181" s="97"/>
      <c r="M181" s="97"/>
      <c r="N181" s="97"/>
      <c r="O181" s="97"/>
      <c r="P181" s="97"/>
      <c r="Q181" s="97"/>
      <c r="R181" s="97"/>
      <c r="S181" s="101">
        <f t="shared" si="2"/>
        <v>-823307200</v>
      </c>
    </row>
    <row r="182" spans="1:19">
      <c r="A182" s="96"/>
      <c r="B182" s="96"/>
      <c r="C182" s="97"/>
      <c r="D182" s="96"/>
      <c r="E182" s="97"/>
      <c r="F182" s="97"/>
      <c r="G182" s="97"/>
      <c r="H182" s="97"/>
      <c r="I182" s="98"/>
      <c r="J182" s="98"/>
      <c r="K182" s="97"/>
      <c r="L182" s="97"/>
      <c r="M182" s="97"/>
      <c r="N182" s="97"/>
      <c r="O182" s="97"/>
      <c r="P182" s="97"/>
      <c r="Q182" s="97"/>
      <c r="R182" s="97"/>
      <c r="S182" s="101">
        <f t="shared" si="2"/>
        <v>0</v>
      </c>
    </row>
    <row r="183" spans="1:19">
      <c r="A183" s="96"/>
      <c r="B183" s="96"/>
      <c r="C183" s="97"/>
      <c r="D183" s="96"/>
      <c r="E183" s="97"/>
      <c r="F183" s="97"/>
      <c r="G183" s="97"/>
      <c r="H183" s="97"/>
      <c r="I183" s="98"/>
      <c r="J183" s="98"/>
      <c r="K183" s="97"/>
      <c r="L183" s="97"/>
      <c r="M183" s="97"/>
      <c r="N183" s="97"/>
      <c r="O183" s="97"/>
      <c r="P183" s="97"/>
      <c r="Q183" s="97"/>
      <c r="R183" s="97"/>
      <c r="S183" s="101">
        <f t="shared" si="2"/>
        <v>0</v>
      </c>
    </row>
  </sheetData>
  <autoFilter ref="A3:S3" xr:uid="{E5638EA7-F097-48BA-944F-59D4F52566D5}"/>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DBBB6-4BD0-44DB-9AA7-D94C32C36E2F}">
  <sheetPr codeName="Sheet29"/>
  <dimension ref="A5:AI683"/>
  <sheetViews>
    <sheetView topLeftCell="I3" zoomScale="55" zoomScaleNormal="55" workbookViewId="0">
      <selection activeCell="T6" sqref="T6"/>
    </sheetView>
  </sheetViews>
  <sheetFormatPr defaultRowHeight="15"/>
  <cols>
    <col min="1" max="1" width="13.42578125" customWidth="1"/>
    <col min="2" max="2" width="9.5703125" bestFit="1" customWidth="1"/>
    <col min="3" max="3" width="15.85546875" bestFit="1" customWidth="1"/>
    <col min="4" max="4" width="12.140625" bestFit="1" customWidth="1"/>
    <col min="5" max="5" width="36" bestFit="1" customWidth="1"/>
    <col min="6" max="7" width="12" bestFit="1" customWidth="1"/>
    <col min="8" max="8" width="16.140625" bestFit="1" customWidth="1"/>
    <col min="9" max="9" width="6" bestFit="1" customWidth="1"/>
    <col min="10" max="10" width="12.42578125" bestFit="1" customWidth="1"/>
    <col min="11" max="11" width="9.5703125" bestFit="1" customWidth="1"/>
    <col min="13" max="13" width="21.85546875" bestFit="1" customWidth="1"/>
    <col min="14" max="14" width="15" bestFit="1" customWidth="1"/>
    <col min="19" max="19" width="20.85546875" bestFit="1" customWidth="1"/>
    <col min="20" max="20" width="17.140625" bestFit="1" customWidth="1"/>
    <col min="21" max="21" width="12" hidden="1" customWidth="1"/>
    <col min="22" max="23" width="17.85546875" hidden="1" customWidth="1"/>
    <col min="24" max="24" width="17.5703125" hidden="1" customWidth="1"/>
    <col min="25" max="25" width="1.140625" hidden="1" customWidth="1"/>
    <col min="26" max="26" width="17.140625" hidden="1" customWidth="1"/>
    <col min="27" max="27" width="32.140625" hidden="1" customWidth="1"/>
    <col min="28" max="28" width="18" hidden="1" customWidth="1"/>
    <col min="29" max="29" width="0" hidden="1" customWidth="1"/>
    <col min="30" max="30" width="1.140625" customWidth="1"/>
    <col min="31" max="31" width="14.85546875" bestFit="1" customWidth="1"/>
    <col min="32" max="32" width="55.42578125" bestFit="1" customWidth="1"/>
    <col min="33" max="33" width="16.140625" bestFit="1" customWidth="1"/>
  </cols>
  <sheetData>
    <row r="5" spans="1:35">
      <c r="A5" s="240" t="s">
        <v>755</v>
      </c>
      <c r="B5" s="241"/>
      <c r="C5" s="241" t="s">
        <v>756</v>
      </c>
      <c r="D5" s="241"/>
      <c r="E5" s="241" t="s">
        <v>455</v>
      </c>
      <c r="F5" s="241" t="s">
        <v>456</v>
      </c>
      <c r="G5" s="241"/>
      <c r="H5" s="241" t="s">
        <v>757</v>
      </c>
      <c r="I5" s="241" t="s">
        <v>758</v>
      </c>
      <c r="J5" s="241" t="s">
        <v>759</v>
      </c>
      <c r="K5" s="242" t="s">
        <v>760</v>
      </c>
      <c r="N5" s="255">
        <f>SUBTOTAL(109,N8:N483)</f>
        <v>65336629267</v>
      </c>
    </row>
    <row r="6" spans="1:35" s="248" customFormat="1">
      <c r="A6" s="243" t="s">
        <v>761</v>
      </c>
      <c r="B6" s="244" t="s">
        <v>762</v>
      </c>
      <c r="C6" s="244" t="s">
        <v>763</v>
      </c>
      <c r="D6" s="244" t="s">
        <v>462</v>
      </c>
      <c r="E6" s="245"/>
      <c r="F6" s="244" t="s">
        <v>11</v>
      </c>
      <c r="G6" s="244" t="s">
        <v>12</v>
      </c>
      <c r="H6" s="245"/>
      <c r="I6" s="245"/>
      <c r="J6" s="245"/>
      <c r="K6" s="246"/>
      <c r="L6" s="221" t="s">
        <v>764</v>
      </c>
      <c r="M6" s="221" t="s">
        <v>765</v>
      </c>
      <c r="N6" s="247" t="s">
        <v>766</v>
      </c>
    </row>
    <row r="7" spans="1:35">
      <c r="A7" s="249">
        <v>1</v>
      </c>
      <c r="B7" s="250">
        <v>2</v>
      </c>
      <c r="C7" s="250">
        <v>3</v>
      </c>
      <c r="D7" s="250">
        <v>4</v>
      </c>
      <c r="E7" s="250">
        <v>5</v>
      </c>
      <c r="F7" s="250">
        <v>6</v>
      </c>
      <c r="G7" s="250">
        <v>7</v>
      </c>
      <c r="H7" s="250">
        <v>8</v>
      </c>
      <c r="I7" s="250">
        <v>9</v>
      </c>
      <c r="J7" s="250">
        <v>10</v>
      </c>
      <c r="K7" s="251">
        <v>11</v>
      </c>
      <c r="L7" s="250">
        <v>12</v>
      </c>
      <c r="M7" s="250">
        <v>13</v>
      </c>
      <c r="N7" s="250">
        <v>14</v>
      </c>
      <c r="V7" s="255">
        <f>SUBTOTAL(109,V9:V66)</f>
        <v>-2708373676</v>
      </c>
    </row>
    <row r="8" spans="1:35">
      <c r="A8" s="1460">
        <v>45322</v>
      </c>
      <c r="B8" s="1461" t="s">
        <v>767</v>
      </c>
      <c r="C8" s="637"/>
      <c r="D8" s="637"/>
      <c r="E8" s="1462" t="s">
        <v>768</v>
      </c>
      <c r="F8" s="638" t="s">
        <v>769</v>
      </c>
      <c r="G8" s="1461" t="s">
        <v>770</v>
      </c>
      <c r="H8" s="1463">
        <v>126291396</v>
      </c>
      <c r="I8" s="253">
        <v>1</v>
      </c>
      <c r="J8" s="253">
        <v>0</v>
      </c>
      <c r="K8" s="254"/>
      <c r="L8" t="str">
        <f>LEFT(M8,1)</f>
        <v>6</v>
      </c>
      <c r="M8" s="638" t="str">
        <f>G8</f>
        <v>63311</v>
      </c>
      <c r="N8" s="255">
        <f t="shared" ref="N8:N71" si="0">IF(LEFT(F8,1)="9",H8,-H8)</f>
        <v>126291396</v>
      </c>
      <c r="S8" s="256" t="s">
        <v>469</v>
      </c>
      <c r="T8" t="s">
        <v>771</v>
      </c>
      <c r="U8" t="s">
        <v>469</v>
      </c>
      <c r="V8" t="s">
        <v>771</v>
      </c>
      <c r="W8" t="s">
        <v>772</v>
      </c>
      <c r="X8" t="s">
        <v>773</v>
      </c>
      <c r="Y8" s="641"/>
      <c r="Z8" t="s">
        <v>774</v>
      </c>
      <c r="AA8" t="s">
        <v>775</v>
      </c>
      <c r="AB8" t="s">
        <v>776</v>
      </c>
      <c r="AC8" t="s">
        <v>777</v>
      </c>
      <c r="AD8" s="641"/>
      <c r="AE8" t="s">
        <v>778</v>
      </c>
      <c r="AF8" t="s">
        <v>775</v>
      </c>
      <c r="AG8" t="s">
        <v>779</v>
      </c>
      <c r="AH8" t="s">
        <v>777</v>
      </c>
    </row>
    <row r="9" spans="1:35">
      <c r="A9" s="1460">
        <v>45322</v>
      </c>
      <c r="B9" s="1461" t="s">
        <v>767</v>
      </c>
      <c r="C9" s="637"/>
      <c r="D9" s="637"/>
      <c r="E9" s="1462" t="s">
        <v>780</v>
      </c>
      <c r="F9" s="638" t="s">
        <v>769</v>
      </c>
      <c r="G9" s="1461" t="s">
        <v>781</v>
      </c>
      <c r="H9" s="1463">
        <v>70423672</v>
      </c>
      <c r="I9" s="253">
        <v>1</v>
      </c>
      <c r="J9" s="253">
        <v>0</v>
      </c>
      <c r="K9" s="254"/>
      <c r="L9" t="str">
        <f t="shared" ref="L9:L72" si="1">LEFT(M9,1)</f>
        <v>6</v>
      </c>
      <c r="M9" s="638" t="str">
        <f t="shared" ref="M9:M72" si="2">G9</f>
        <v>63312</v>
      </c>
      <c r="N9" s="255">
        <f t="shared" si="0"/>
        <v>70423672</v>
      </c>
      <c r="S9" s="257" t="s">
        <v>782</v>
      </c>
      <c r="T9" s="258">
        <v>-587651594</v>
      </c>
      <c r="U9" s="233">
        <v>5152</v>
      </c>
      <c r="V9" s="255">
        <v>-60635322</v>
      </c>
      <c r="W9" t="s">
        <v>251</v>
      </c>
      <c r="X9" s="257">
        <v>5152</v>
      </c>
      <c r="Y9" s="642"/>
      <c r="Z9" s="257">
        <v>5152</v>
      </c>
      <c r="AA9" t="s">
        <v>783</v>
      </c>
      <c r="AB9" s="233" t="s">
        <v>251</v>
      </c>
      <c r="AC9">
        <v>0</v>
      </c>
      <c r="AD9" s="641" t="s">
        <v>784</v>
      </c>
      <c r="AE9" s="257">
        <v>51101030201</v>
      </c>
      <c r="AF9" t="s">
        <v>785</v>
      </c>
      <c r="AG9" s="233" t="s">
        <v>251</v>
      </c>
      <c r="AH9">
        <v>0</v>
      </c>
      <c r="AI9" t="s">
        <v>784</v>
      </c>
    </row>
    <row r="10" spans="1:35">
      <c r="A10" s="1460">
        <v>45322</v>
      </c>
      <c r="B10" s="1461" t="s">
        <v>767</v>
      </c>
      <c r="C10" s="637"/>
      <c r="D10" s="637"/>
      <c r="E10" s="1462" t="s">
        <v>786</v>
      </c>
      <c r="F10" s="638" t="s">
        <v>769</v>
      </c>
      <c r="G10" s="1461" t="s">
        <v>787</v>
      </c>
      <c r="H10" s="1463">
        <v>5833333</v>
      </c>
      <c r="I10" s="253">
        <v>1</v>
      </c>
      <c r="J10" s="253">
        <v>0</v>
      </c>
      <c r="K10" s="254"/>
      <c r="L10" t="str">
        <f t="shared" si="1"/>
        <v>6</v>
      </c>
      <c r="M10" s="638" t="str">
        <f t="shared" si="2"/>
        <v>63313</v>
      </c>
      <c r="N10" s="255">
        <f t="shared" si="0"/>
        <v>5833333</v>
      </c>
      <c r="S10" s="257" t="s">
        <v>770</v>
      </c>
      <c r="T10" s="258">
        <v>1872773164</v>
      </c>
      <c r="U10" s="233">
        <v>6414</v>
      </c>
      <c r="V10" s="255">
        <v>4893194</v>
      </c>
      <c r="W10" t="e">
        <v>#N/A</v>
      </c>
      <c r="X10" s="257">
        <v>0</v>
      </c>
      <c r="Y10" s="642"/>
      <c r="Z10" s="257">
        <v>6414</v>
      </c>
      <c r="AA10" t="s">
        <v>270</v>
      </c>
      <c r="AB10" s="233" t="s">
        <v>345</v>
      </c>
      <c r="AC10">
        <v>0</v>
      </c>
      <c r="AD10" s="641"/>
      <c r="AE10" s="257">
        <v>63311</v>
      </c>
      <c r="AF10" t="s">
        <v>788</v>
      </c>
      <c r="AG10" s="233" t="s">
        <v>789</v>
      </c>
      <c r="AH10">
        <v>0</v>
      </c>
    </row>
    <row r="11" spans="1:35">
      <c r="A11" s="1460">
        <v>45322</v>
      </c>
      <c r="B11" s="1461" t="s">
        <v>767</v>
      </c>
      <c r="C11" s="637"/>
      <c r="D11" s="637"/>
      <c r="E11" s="1462" t="s">
        <v>790</v>
      </c>
      <c r="F11" s="638" t="s">
        <v>769</v>
      </c>
      <c r="G11" s="1461" t="s">
        <v>791</v>
      </c>
      <c r="H11" s="1463">
        <v>1037900428</v>
      </c>
      <c r="I11" s="253">
        <v>1</v>
      </c>
      <c r="J11" s="253">
        <v>0</v>
      </c>
      <c r="K11" s="254"/>
      <c r="L11" t="str">
        <f t="shared" si="1"/>
        <v>6</v>
      </c>
      <c r="M11" s="638" t="str">
        <f t="shared" si="2"/>
        <v>6331711</v>
      </c>
      <c r="N11" s="255">
        <f t="shared" si="0"/>
        <v>1037900428</v>
      </c>
      <c r="S11" s="257" t="s">
        <v>781</v>
      </c>
      <c r="T11" s="258">
        <v>528166673</v>
      </c>
      <c r="U11" s="233">
        <v>6422</v>
      </c>
      <c r="V11" s="255">
        <v>4957500</v>
      </c>
      <c r="W11" t="s">
        <v>411</v>
      </c>
      <c r="X11" s="257">
        <v>6422</v>
      </c>
      <c r="Y11" s="642"/>
      <c r="Z11" s="257">
        <v>6422</v>
      </c>
      <c r="AA11" t="s">
        <v>792</v>
      </c>
      <c r="AB11" s="233" t="s">
        <v>505</v>
      </c>
      <c r="AC11">
        <v>0</v>
      </c>
      <c r="AD11" s="641"/>
      <c r="AE11" s="257">
        <v>63312</v>
      </c>
      <c r="AF11" t="s">
        <v>793</v>
      </c>
      <c r="AG11" s="233" t="s">
        <v>789</v>
      </c>
      <c r="AH11">
        <v>0</v>
      </c>
    </row>
    <row r="12" spans="1:35">
      <c r="A12" s="1460">
        <v>45322</v>
      </c>
      <c r="B12" s="1461" t="s">
        <v>767</v>
      </c>
      <c r="C12" s="637"/>
      <c r="D12" s="637"/>
      <c r="E12" s="1462" t="s">
        <v>794</v>
      </c>
      <c r="F12" s="638" t="s">
        <v>769</v>
      </c>
      <c r="G12" s="1461" t="s">
        <v>795</v>
      </c>
      <c r="H12" s="1463">
        <v>67306000</v>
      </c>
      <c r="I12" s="253">
        <v>1</v>
      </c>
      <c r="J12" s="253">
        <v>0</v>
      </c>
      <c r="K12" s="254"/>
      <c r="L12" t="str">
        <f>LEFT(M12,1)</f>
        <v>6</v>
      </c>
      <c r="M12" s="638" t="str">
        <f t="shared" si="2"/>
        <v>6331712</v>
      </c>
      <c r="N12" s="255">
        <f t="shared" si="0"/>
        <v>67306000</v>
      </c>
      <c r="S12" s="257" t="s">
        <v>787</v>
      </c>
      <c r="T12" s="258">
        <v>142690000</v>
      </c>
      <c r="U12" s="233">
        <v>6423</v>
      </c>
      <c r="V12" s="255">
        <v>339294752</v>
      </c>
      <c r="W12" t="s">
        <v>381</v>
      </c>
      <c r="X12" s="257">
        <v>6423</v>
      </c>
      <c r="Y12" s="642"/>
      <c r="Z12" s="257">
        <v>6423</v>
      </c>
      <c r="AA12" t="s">
        <v>796</v>
      </c>
      <c r="AB12" s="233" t="s">
        <v>381</v>
      </c>
      <c r="AC12">
        <v>0</v>
      </c>
      <c r="AD12" s="641"/>
      <c r="AE12" s="257">
        <v>63313</v>
      </c>
      <c r="AF12" t="s">
        <v>797</v>
      </c>
      <c r="AG12" s="233" t="s">
        <v>789</v>
      </c>
      <c r="AH12">
        <v>0</v>
      </c>
    </row>
    <row r="13" spans="1:35">
      <c r="A13" s="1460">
        <v>45322</v>
      </c>
      <c r="B13" s="1461" t="s">
        <v>767</v>
      </c>
      <c r="C13" s="637"/>
      <c r="D13" s="637"/>
      <c r="E13" s="1462" t="s">
        <v>798</v>
      </c>
      <c r="F13" s="638" t="s">
        <v>769</v>
      </c>
      <c r="G13" s="1461" t="s">
        <v>799</v>
      </c>
      <c r="H13" s="1463">
        <v>3785206</v>
      </c>
      <c r="I13" s="253">
        <v>1</v>
      </c>
      <c r="J13" s="253">
        <v>0</v>
      </c>
      <c r="K13" s="254"/>
      <c r="L13" t="str">
        <f t="shared" si="1"/>
        <v>6</v>
      </c>
      <c r="M13" s="638" t="str">
        <f t="shared" si="2"/>
        <v>63345</v>
      </c>
      <c r="N13" s="255">
        <f t="shared" si="0"/>
        <v>3785206</v>
      </c>
      <c r="S13" s="257" t="s">
        <v>791</v>
      </c>
      <c r="T13" s="258">
        <v>11784648621</v>
      </c>
      <c r="U13" s="233">
        <v>6424</v>
      </c>
      <c r="V13" s="255">
        <v>1057566833</v>
      </c>
      <c r="W13" t="e">
        <v>#N/A</v>
      </c>
      <c r="X13" s="257">
        <v>0</v>
      </c>
      <c r="Y13" s="642"/>
      <c r="Z13" s="257">
        <v>6424</v>
      </c>
      <c r="AA13" t="s">
        <v>800</v>
      </c>
      <c r="AB13" s="233" t="s">
        <v>383</v>
      </c>
      <c r="AC13">
        <v>0</v>
      </c>
      <c r="AD13" s="641"/>
      <c r="AE13" s="257">
        <v>6331711</v>
      </c>
      <c r="AF13" t="s">
        <v>801</v>
      </c>
      <c r="AG13" s="233" t="s">
        <v>789</v>
      </c>
      <c r="AH13">
        <v>0</v>
      </c>
    </row>
    <row r="14" spans="1:35">
      <c r="A14" s="1460">
        <v>45322</v>
      </c>
      <c r="B14" s="1461" t="s">
        <v>767</v>
      </c>
      <c r="C14" s="637"/>
      <c r="D14" s="637"/>
      <c r="E14" s="1462" t="s">
        <v>802</v>
      </c>
      <c r="F14" s="638" t="s">
        <v>769</v>
      </c>
      <c r="G14" s="1461" t="s">
        <v>337</v>
      </c>
      <c r="H14" s="1463">
        <v>393278022</v>
      </c>
      <c r="I14" s="253">
        <v>1</v>
      </c>
      <c r="J14" s="253">
        <v>0</v>
      </c>
      <c r="K14" s="254"/>
      <c r="L14" t="str">
        <f t="shared" si="1"/>
        <v>6</v>
      </c>
      <c r="M14" s="638" t="str">
        <f t="shared" si="2"/>
        <v>64111</v>
      </c>
      <c r="N14" s="255">
        <f t="shared" si="0"/>
        <v>393278022</v>
      </c>
      <c r="S14" s="257" t="s">
        <v>795</v>
      </c>
      <c r="T14" s="258">
        <v>739716000</v>
      </c>
      <c r="U14" s="233">
        <v>6425</v>
      </c>
      <c r="V14" s="255">
        <v>13033084</v>
      </c>
      <c r="W14" t="s">
        <v>384</v>
      </c>
      <c r="X14" s="257">
        <v>6425</v>
      </c>
      <c r="Y14" s="642"/>
      <c r="Z14" s="257">
        <v>6425</v>
      </c>
      <c r="AA14" t="s">
        <v>803</v>
      </c>
      <c r="AB14" s="233" t="s">
        <v>384</v>
      </c>
      <c r="AC14">
        <v>0</v>
      </c>
      <c r="AD14" s="641"/>
      <c r="AE14" s="257">
        <v>6331712</v>
      </c>
      <c r="AF14" t="s">
        <v>804</v>
      </c>
      <c r="AG14" s="233" t="s">
        <v>789</v>
      </c>
      <c r="AH14">
        <v>0</v>
      </c>
    </row>
    <row r="15" spans="1:35">
      <c r="A15" s="1460">
        <v>45322</v>
      </c>
      <c r="B15" s="1461" t="s">
        <v>767</v>
      </c>
      <c r="C15" s="637"/>
      <c r="D15" s="637"/>
      <c r="E15" s="1462" t="s">
        <v>805</v>
      </c>
      <c r="F15" s="638" t="s">
        <v>769</v>
      </c>
      <c r="G15" s="1461" t="s">
        <v>782</v>
      </c>
      <c r="H15" s="1463">
        <v>210623288</v>
      </c>
      <c r="I15" s="253">
        <v>1</v>
      </c>
      <c r="J15" s="253">
        <v>0</v>
      </c>
      <c r="K15" s="254"/>
      <c r="L15" t="str">
        <f t="shared" si="1"/>
        <v>5</v>
      </c>
      <c r="M15" s="638" t="str">
        <f>G15</f>
        <v>51101030201</v>
      </c>
      <c r="N15" s="255">
        <f t="shared" si="0"/>
        <v>210623288</v>
      </c>
      <c r="S15" s="257" t="s">
        <v>806</v>
      </c>
      <c r="T15" s="258">
        <v>5172416668</v>
      </c>
      <c r="U15" s="233">
        <v>6428</v>
      </c>
      <c r="V15" s="255">
        <v>277470172</v>
      </c>
      <c r="W15" t="e">
        <v>#N/A</v>
      </c>
      <c r="X15" s="257">
        <v>0</v>
      </c>
      <c r="Y15" s="642"/>
      <c r="Z15" s="257">
        <v>6428</v>
      </c>
      <c r="AA15" t="s">
        <v>807</v>
      </c>
      <c r="AB15" s="233" t="s">
        <v>434</v>
      </c>
      <c r="AC15">
        <v>0</v>
      </c>
      <c r="AD15" s="641"/>
      <c r="AE15" s="257">
        <v>633173</v>
      </c>
      <c r="AF15" t="s">
        <v>808</v>
      </c>
      <c r="AG15" s="233" t="s">
        <v>789</v>
      </c>
      <c r="AH15">
        <v>0</v>
      </c>
    </row>
    <row r="16" spans="1:35">
      <c r="A16" s="1460">
        <v>45322</v>
      </c>
      <c r="B16" s="1461" t="s">
        <v>767</v>
      </c>
      <c r="C16" s="637"/>
      <c r="D16" s="637"/>
      <c r="E16" s="1462" t="s">
        <v>809</v>
      </c>
      <c r="F16" s="638" t="s">
        <v>769</v>
      </c>
      <c r="G16" s="1461" t="s">
        <v>810</v>
      </c>
      <c r="H16" s="1463">
        <v>36762682</v>
      </c>
      <c r="I16" s="253">
        <v>1</v>
      </c>
      <c r="J16" s="253">
        <v>0</v>
      </c>
      <c r="K16" s="254"/>
      <c r="L16" t="str">
        <f t="shared" si="1"/>
        <v>6</v>
      </c>
      <c r="M16" s="638" t="str">
        <f t="shared" si="2"/>
        <v>642708</v>
      </c>
      <c r="N16" s="255">
        <f t="shared" si="0"/>
        <v>36762682</v>
      </c>
      <c r="S16" s="257" t="s">
        <v>811</v>
      </c>
      <c r="T16" s="258">
        <v>1358344765</v>
      </c>
      <c r="U16" s="233">
        <v>7114</v>
      </c>
      <c r="V16" s="255">
        <v>-10248</v>
      </c>
      <c r="W16" t="e">
        <v>#N/A</v>
      </c>
      <c r="X16" s="257">
        <v>0</v>
      </c>
      <c r="Y16" s="642"/>
      <c r="Z16" s="257">
        <v>7114</v>
      </c>
      <c r="AA16" t="s">
        <v>443</v>
      </c>
      <c r="AB16" s="233" t="s">
        <v>442</v>
      </c>
      <c r="AC16">
        <v>0</v>
      </c>
      <c r="AD16" s="641"/>
      <c r="AE16" s="257">
        <v>633174</v>
      </c>
      <c r="AF16" t="s">
        <v>812</v>
      </c>
      <c r="AG16" s="233" t="s">
        <v>789</v>
      </c>
      <c r="AH16">
        <v>0</v>
      </c>
    </row>
    <row r="17" spans="1:34">
      <c r="A17" s="1460">
        <v>45322</v>
      </c>
      <c r="B17" s="1461" t="s">
        <v>767</v>
      </c>
      <c r="C17" s="637"/>
      <c r="D17" s="637"/>
      <c r="E17" s="1462" t="s">
        <v>813</v>
      </c>
      <c r="F17" s="638" t="s">
        <v>769</v>
      </c>
      <c r="G17" s="1461" t="s">
        <v>814</v>
      </c>
      <c r="H17" s="1463">
        <v>23479554</v>
      </c>
      <c r="I17" s="253">
        <v>1</v>
      </c>
      <c r="J17" s="253">
        <v>0</v>
      </c>
      <c r="K17" s="254"/>
      <c r="L17" t="str">
        <f t="shared" si="1"/>
        <v>6</v>
      </c>
      <c r="M17" s="638" t="str">
        <f t="shared" si="2"/>
        <v>642709</v>
      </c>
      <c r="N17" s="255">
        <f t="shared" si="0"/>
        <v>23479554</v>
      </c>
      <c r="S17" s="257" t="s">
        <v>815</v>
      </c>
      <c r="T17" s="258">
        <v>5065767262</v>
      </c>
      <c r="U17" s="233">
        <v>42112</v>
      </c>
      <c r="V17" s="255"/>
      <c r="W17" t="e">
        <v>#N/A</v>
      </c>
      <c r="X17" s="257">
        <v>0</v>
      </c>
      <c r="Y17" s="642"/>
      <c r="Z17" s="257">
        <v>42112</v>
      </c>
      <c r="AA17" t="s">
        <v>816</v>
      </c>
      <c r="AB17" s="233">
        <v>0</v>
      </c>
      <c r="AC17">
        <v>0</v>
      </c>
      <c r="AD17" s="641"/>
      <c r="AE17" s="257">
        <v>633175</v>
      </c>
      <c r="AF17" t="s">
        <v>817</v>
      </c>
      <c r="AG17" s="233" t="s">
        <v>789</v>
      </c>
      <c r="AH17">
        <v>0</v>
      </c>
    </row>
    <row r="18" spans="1:34">
      <c r="A18" s="1460">
        <v>45322</v>
      </c>
      <c r="B18" s="1461" t="s">
        <v>767</v>
      </c>
      <c r="C18" s="637"/>
      <c r="D18" s="637"/>
      <c r="E18" s="1462" t="s">
        <v>818</v>
      </c>
      <c r="F18" s="638" t="s">
        <v>769</v>
      </c>
      <c r="G18" s="1461" t="s">
        <v>819</v>
      </c>
      <c r="H18" s="1463">
        <v>412363</v>
      </c>
      <c r="I18" s="253">
        <v>1</v>
      </c>
      <c r="J18" s="253">
        <v>0</v>
      </c>
      <c r="K18" s="254"/>
      <c r="L18" t="str">
        <f t="shared" si="1"/>
        <v>6</v>
      </c>
      <c r="M18" s="638" t="str">
        <f t="shared" si="2"/>
        <v>642710</v>
      </c>
      <c r="N18" s="255">
        <f t="shared" si="0"/>
        <v>412363</v>
      </c>
      <c r="S18" s="257" t="s">
        <v>820</v>
      </c>
      <c r="T18" s="258">
        <v>193861809</v>
      </c>
      <c r="U18" s="233">
        <v>42122</v>
      </c>
      <c r="V18" s="255"/>
      <c r="W18" t="e">
        <v>#N/A</v>
      </c>
      <c r="X18" s="257">
        <v>0</v>
      </c>
      <c r="Y18" s="642"/>
      <c r="Z18" s="257">
        <v>42122</v>
      </c>
      <c r="AA18" t="s">
        <v>821</v>
      </c>
      <c r="AB18" s="233">
        <v>0</v>
      </c>
      <c r="AC18">
        <v>0</v>
      </c>
      <c r="AD18" s="641"/>
      <c r="AE18" s="257">
        <v>63341</v>
      </c>
      <c r="AF18" t="s">
        <v>822</v>
      </c>
      <c r="AG18" s="233" t="s">
        <v>823</v>
      </c>
      <c r="AH18">
        <v>0</v>
      </c>
    </row>
    <row r="19" spans="1:34">
      <c r="A19" s="1460">
        <v>45322</v>
      </c>
      <c r="B19" s="1461" t="s">
        <v>767</v>
      </c>
      <c r="C19" s="637"/>
      <c r="D19" s="637"/>
      <c r="E19" s="1462" t="s">
        <v>824</v>
      </c>
      <c r="F19" s="638" t="s">
        <v>769</v>
      </c>
      <c r="G19" s="1461" t="s">
        <v>825</v>
      </c>
      <c r="H19" s="1463">
        <v>8939587</v>
      </c>
      <c r="I19" s="253">
        <v>1</v>
      </c>
      <c r="J19" s="253">
        <v>0</v>
      </c>
      <c r="K19" s="254"/>
      <c r="L19" t="str">
        <f t="shared" si="1"/>
        <v>6</v>
      </c>
      <c r="M19" s="638" t="str">
        <f t="shared" si="2"/>
        <v>642711</v>
      </c>
      <c r="N19" s="255">
        <f t="shared" si="0"/>
        <v>8939587</v>
      </c>
      <c r="S19" s="257" t="s">
        <v>799</v>
      </c>
      <c r="T19" s="258">
        <v>46362997</v>
      </c>
      <c r="U19" s="233">
        <v>51118</v>
      </c>
      <c r="V19" s="255">
        <v>-100000</v>
      </c>
      <c r="W19" t="e">
        <v>#N/A</v>
      </c>
      <c r="X19" s="257">
        <v>0</v>
      </c>
      <c r="Y19" s="642"/>
      <c r="Z19" s="257">
        <v>51118</v>
      </c>
      <c r="AA19" t="s">
        <v>246</v>
      </c>
      <c r="AB19" s="233" t="s">
        <v>245</v>
      </c>
      <c r="AC19">
        <v>0</v>
      </c>
      <c r="AD19" s="641"/>
      <c r="AE19" s="257">
        <v>63345</v>
      </c>
      <c r="AF19" t="s">
        <v>826</v>
      </c>
      <c r="AG19" s="233" t="s">
        <v>823</v>
      </c>
      <c r="AH19">
        <v>0</v>
      </c>
    </row>
    <row r="20" spans="1:34">
      <c r="A20" s="1460">
        <v>45322</v>
      </c>
      <c r="B20" s="1461" t="s">
        <v>767</v>
      </c>
      <c r="C20" s="637"/>
      <c r="D20" s="637"/>
      <c r="E20" s="1462" t="s">
        <v>827</v>
      </c>
      <c r="F20" s="638" t="s">
        <v>769</v>
      </c>
      <c r="G20" s="1461" t="s">
        <v>828</v>
      </c>
      <c r="H20" s="1463">
        <v>1653900</v>
      </c>
      <c r="I20" s="253">
        <v>1</v>
      </c>
      <c r="J20" s="253">
        <v>0</v>
      </c>
      <c r="K20" s="254"/>
      <c r="L20" t="str">
        <f t="shared" si="1"/>
        <v>6</v>
      </c>
      <c r="M20" s="638" t="str">
        <f t="shared" si="2"/>
        <v>642712</v>
      </c>
      <c r="N20" s="255">
        <f t="shared" si="0"/>
        <v>1653900</v>
      </c>
      <c r="S20" s="257" t="s">
        <v>337</v>
      </c>
      <c r="T20" s="258">
        <v>0</v>
      </c>
      <c r="U20" s="233">
        <v>63208</v>
      </c>
      <c r="V20" s="255">
        <v>24130000</v>
      </c>
      <c r="W20" t="e">
        <v>#N/A</v>
      </c>
      <c r="X20" s="257">
        <v>6328</v>
      </c>
      <c r="Y20" s="642"/>
      <c r="Z20" s="257">
        <v>63208</v>
      </c>
      <c r="AA20" t="s">
        <v>829</v>
      </c>
      <c r="AB20" s="233" t="s">
        <v>315</v>
      </c>
      <c r="AC20">
        <v>0</v>
      </c>
      <c r="AD20" s="641"/>
      <c r="AE20" s="257">
        <v>64111</v>
      </c>
      <c r="AF20" t="s">
        <v>830</v>
      </c>
      <c r="AG20" s="233" t="s">
        <v>831</v>
      </c>
      <c r="AH20">
        <v>0</v>
      </c>
    </row>
    <row r="21" spans="1:34">
      <c r="A21" s="1460">
        <v>45322</v>
      </c>
      <c r="B21" s="1461" t="s">
        <v>767</v>
      </c>
      <c r="C21" s="637"/>
      <c r="D21" s="637"/>
      <c r="E21" s="1462" t="s">
        <v>832</v>
      </c>
      <c r="F21" s="638" t="s">
        <v>769</v>
      </c>
      <c r="G21" s="1461" t="s">
        <v>833</v>
      </c>
      <c r="H21" s="1463">
        <v>113587481</v>
      </c>
      <c r="I21" s="253">
        <v>1</v>
      </c>
      <c r="J21" s="253">
        <v>0</v>
      </c>
      <c r="K21" s="254"/>
      <c r="L21" t="str">
        <f t="shared" si="1"/>
        <v>6</v>
      </c>
      <c r="M21" s="638" t="str">
        <f t="shared" si="2"/>
        <v>642799</v>
      </c>
      <c r="N21" s="255">
        <f t="shared" si="0"/>
        <v>113587481</v>
      </c>
      <c r="S21" s="257" t="s">
        <v>339</v>
      </c>
      <c r="T21" s="258">
        <v>0</v>
      </c>
      <c r="U21" s="233">
        <v>63311</v>
      </c>
      <c r="V21" s="255">
        <v>748235535</v>
      </c>
      <c r="W21" t="e">
        <v>#N/A</v>
      </c>
      <c r="X21" s="257">
        <v>0</v>
      </c>
      <c r="Y21" s="642"/>
      <c r="Z21" s="257">
        <v>63311</v>
      </c>
      <c r="AA21" t="s">
        <v>834</v>
      </c>
      <c r="AB21" s="233" t="s">
        <v>789</v>
      </c>
      <c r="AC21" t="s">
        <v>835</v>
      </c>
      <c r="AD21" s="641"/>
      <c r="AE21" s="257">
        <v>64112</v>
      </c>
      <c r="AF21" t="s">
        <v>836</v>
      </c>
      <c r="AG21" s="233" t="s">
        <v>837</v>
      </c>
      <c r="AH21" t="s">
        <v>835</v>
      </c>
    </row>
    <row r="22" spans="1:34">
      <c r="A22" s="1460">
        <v>45322</v>
      </c>
      <c r="B22" s="1461" t="s">
        <v>767</v>
      </c>
      <c r="C22" s="637"/>
      <c r="D22" s="637"/>
      <c r="E22" s="1462" t="s">
        <v>838</v>
      </c>
      <c r="F22" s="638" t="s">
        <v>769</v>
      </c>
      <c r="G22" s="1461" t="s">
        <v>839</v>
      </c>
      <c r="H22" s="1463">
        <v>356207662</v>
      </c>
      <c r="I22" s="253">
        <v>1</v>
      </c>
      <c r="J22" s="253">
        <v>0</v>
      </c>
      <c r="K22" s="254"/>
      <c r="L22" t="str">
        <f t="shared" si="1"/>
        <v>6</v>
      </c>
      <c r="M22" s="638" t="str">
        <f t="shared" si="2"/>
        <v>642701</v>
      </c>
      <c r="N22" s="255">
        <f t="shared" si="0"/>
        <v>356207662</v>
      </c>
      <c r="S22" s="257" t="s">
        <v>345</v>
      </c>
      <c r="T22" s="258">
        <v>0</v>
      </c>
      <c r="U22" s="233">
        <v>63312</v>
      </c>
      <c r="V22" s="255">
        <v>706788125</v>
      </c>
      <c r="W22" t="e">
        <v>#N/A</v>
      </c>
      <c r="X22" s="257">
        <v>0</v>
      </c>
      <c r="Y22" s="642"/>
      <c r="Z22" s="257">
        <v>63312</v>
      </c>
      <c r="AA22" t="s">
        <v>840</v>
      </c>
      <c r="AB22" s="233" t="s">
        <v>789</v>
      </c>
      <c r="AC22" t="s">
        <v>835</v>
      </c>
      <c r="AD22" s="641"/>
      <c r="AE22" s="257">
        <v>6414</v>
      </c>
      <c r="AF22" t="s">
        <v>841</v>
      </c>
      <c r="AG22" s="233" t="s">
        <v>345</v>
      </c>
      <c r="AH22" t="s">
        <v>835</v>
      </c>
    </row>
    <row r="23" spans="1:34">
      <c r="A23" s="1460">
        <v>45322</v>
      </c>
      <c r="B23" s="1461" t="s">
        <v>767</v>
      </c>
      <c r="C23" s="637"/>
      <c r="D23" s="637"/>
      <c r="E23" s="1462" t="s">
        <v>842</v>
      </c>
      <c r="F23" s="638" t="s">
        <v>769</v>
      </c>
      <c r="G23" s="1461" t="s">
        <v>843</v>
      </c>
      <c r="H23" s="1463">
        <v>8105816</v>
      </c>
      <c r="I23" s="253">
        <v>1</v>
      </c>
      <c r="J23" s="253">
        <v>0</v>
      </c>
      <c r="K23" s="254"/>
      <c r="L23" t="str">
        <f t="shared" si="1"/>
        <v>6</v>
      </c>
      <c r="M23" s="638" t="str">
        <f t="shared" si="2"/>
        <v>642702</v>
      </c>
      <c r="N23" s="255">
        <f t="shared" si="0"/>
        <v>8105816</v>
      </c>
      <c r="S23" s="257" t="s">
        <v>844</v>
      </c>
      <c r="T23" s="258">
        <v>0</v>
      </c>
      <c r="U23" s="233">
        <v>63313</v>
      </c>
      <c r="V23" s="255">
        <v>100000001</v>
      </c>
      <c r="W23" t="e">
        <v>#N/A</v>
      </c>
      <c r="X23" s="257">
        <v>0</v>
      </c>
      <c r="Y23" s="642"/>
      <c r="Z23" s="257">
        <v>63313</v>
      </c>
      <c r="AA23" t="s">
        <v>845</v>
      </c>
      <c r="AB23" s="233" t="s">
        <v>789</v>
      </c>
      <c r="AC23" t="s">
        <v>835</v>
      </c>
      <c r="AD23" s="641"/>
      <c r="AE23" s="257">
        <v>641702</v>
      </c>
      <c r="AF23" t="s">
        <v>846</v>
      </c>
      <c r="AG23" s="233" t="s">
        <v>348</v>
      </c>
      <c r="AH23" t="s">
        <v>835</v>
      </c>
    </row>
    <row r="24" spans="1:34">
      <c r="A24" s="1460">
        <v>45322</v>
      </c>
      <c r="B24" s="1461" t="s">
        <v>767</v>
      </c>
      <c r="C24" s="637"/>
      <c r="D24" s="637"/>
      <c r="E24" s="1462" t="s">
        <v>847</v>
      </c>
      <c r="F24" s="638" t="s">
        <v>769</v>
      </c>
      <c r="G24" s="1461" t="s">
        <v>848</v>
      </c>
      <c r="H24" s="1463">
        <v>4477135</v>
      </c>
      <c r="I24" s="253">
        <v>1</v>
      </c>
      <c r="J24" s="253">
        <v>0</v>
      </c>
      <c r="K24" s="254"/>
      <c r="L24" t="str">
        <f t="shared" si="1"/>
        <v>6</v>
      </c>
      <c r="M24" s="638" t="str">
        <f t="shared" si="2"/>
        <v>642703</v>
      </c>
      <c r="N24" s="255">
        <f t="shared" si="0"/>
        <v>4477135</v>
      </c>
      <c r="S24" s="257" t="s">
        <v>849</v>
      </c>
      <c r="T24" s="258">
        <v>0</v>
      </c>
      <c r="U24" s="233">
        <v>63341</v>
      </c>
      <c r="V24" s="255">
        <v>53161378</v>
      </c>
      <c r="W24" t="e">
        <v>#N/A</v>
      </c>
      <c r="X24" s="257">
        <v>0</v>
      </c>
      <c r="Y24" s="642"/>
      <c r="Z24" s="257">
        <v>63341</v>
      </c>
      <c r="AA24" t="s">
        <v>850</v>
      </c>
      <c r="AB24" s="233" t="s">
        <v>823</v>
      </c>
      <c r="AC24" t="s">
        <v>851</v>
      </c>
      <c r="AD24" s="641"/>
      <c r="AE24" s="257">
        <v>641704</v>
      </c>
      <c r="AF24" t="s">
        <v>852</v>
      </c>
      <c r="AG24" s="233" t="s">
        <v>350</v>
      </c>
      <c r="AH24" t="s">
        <v>851</v>
      </c>
    </row>
    <row r="25" spans="1:34">
      <c r="A25" s="1460">
        <v>45322</v>
      </c>
      <c r="B25" s="1461" t="s">
        <v>767</v>
      </c>
      <c r="C25" s="637"/>
      <c r="D25" s="637"/>
      <c r="E25" s="1462" t="s">
        <v>853</v>
      </c>
      <c r="F25" s="638" t="s">
        <v>769</v>
      </c>
      <c r="G25" s="1461" t="s">
        <v>854</v>
      </c>
      <c r="H25" s="1463">
        <v>18330000</v>
      </c>
      <c r="I25" s="253">
        <v>1</v>
      </c>
      <c r="J25" s="253">
        <v>0</v>
      </c>
      <c r="K25" s="254"/>
      <c r="L25" t="str">
        <f t="shared" si="1"/>
        <v>6</v>
      </c>
      <c r="M25" s="638" t="str">
        <f t="shared" si="2"/>
        <v>642704</v>
      </c>
      <c r="N25" s="255">
        <f t="shared" si="0"/>
        <v>18330000</v>
      </c>
      <c r="S25" s="257" t="s">
        <v>855</v>
      </c>
      <c r="T25" s="258">
        <v>0</v>
      </c>
      <c r="U25" s="233">
        <v>63345</v>
      </c>
      <c r="V25" s="255">
        <v>22005196</v>
      </c>
      <c r="W25" t="e">
        <v>#N/A</v>
      </c>
      <c r="X25" s="257">
        <v>0</v>
      </c>
      <c r="Y25" s="642"/>
      <c r="Z25" s="257">
        <v>63345</v>
      </c>
      <c r="AA25" t="s">
        <v>856</v>
      </c>
      <c r="AB25" s="233" t="s">
        <v>823</v>
      </c>
      <c r="AC25" t="s">
        <v>851</v>
      </c>
      <c r="AD25" s="641"/>
      <c r="AE25" s="257">
        <v>641802</v>
      </c>
      <c r="AF25" t="s">
        <v>857</v>
      </c>
      <c r="AG25" s="233" t="s">
        <v>372</v>
      </c>
      <c r="AH25" t="s">
        <v>851</v>
      </c>
    </row>
    <row r="26" spans="1:34">
      <c r="A26" s="1460">
        <v>45322</v>
      </c>
      <c r="B26" s="1461" t="s">
        <v>767</v>
      </c>
      <c r="C26" s="637"/>
      <c r="D26" s="637"/>
      <c r="E26" s="1462" t="s">
        <v>858</v>
      </c>
      <c r="F26" s="638" t="s">
        <v>769</v>
      </c>
      <c r="G26" s="1461" t="s">
        <v>859</v>
      </c>
      <c r="H26" s="1463">
        <v>31556000</v>
      </c>
      <c r="I26" s="253">
        <v>1</v>
      </c>
      <c r="J26" s="253">
        <v>0</v>
      </c>
      <c r="K26" s="254"/>
      <c r="L26" t="str">
        <f t="shared" si="1"/>
        <v>6</v>
      </c>
      <c r="M26" s="638" t="str">
        <f t="shared" si="2"/>
        <v>642706</v>
      </c>
      <c r="N26" s="255">
        <f t="shared" si="0"/>
        <v>31556000</v>
      </c>
      <c r="S26" s="257" t="s">
        <v>860</v>
      </c>
      <c r="T26" s="258">
        <v>0</v>
      </c>
      <c r="U26" s="233">
        <v>64113</v>
      </c>
      <c r="V26" s="255">
        <v>2364000</v>
      </c>
      <c r="W26" t="e">
        <v>#N/A</v>
      </c>
      <c r="X26" s="257">
        <v>0</v>
      </c>
      <c r="Y26" s="642"/>
      <c r="Z26" s="257">
        <v>64113</v>
      </c>
      <c r="AA26" t="s">
        <v>861</v>
      </c>
      <c r="AB26" s="233" t="s">
        <v>341</v>
      </c>
      <c r="AC26">
        <v>0</v>
      </c>
      <c r="AD26" s="641"/>
      <c r="AE26" s="257">
        <v>641809</v>
      </c>
      <c r="AF26" t="s">
        <v>862</v>
      </c>
      <c r="AG26" s="233" t="s">
        <v>723</v>
      </c>
      <c r="AH26">
        <v>0</v>
      </c>
    </row>
    <row r="27" spans="1:34">
      <c r="A27" s="1460">
        <v>45322</v>
      </c>
      <c r="B27" s="1461" t="s">
        <v>767</v>
      </c>
      <c r="C27" s="637"/>
      <c r="D27" s="637"/>
      <c r="E27" s="1462" t="s">
        <v>863</v>
      </c>
      <c r="F27" s="638" t="s">
        <v>769</v>
      </c>
      <c r="G27" s="1461" t="s">
        <v>864</v>
      </c>
      <c r="H27" s="1463">
        <v>14887403</v>
      </c>
      <c r="I27" s="253">
        <v>1</v>
      </c>
      <c r="J27" s="253">
        <v>0</v>
      </c>
      <c r="K27" s="254"/>
      <c r="L27" t="str">
        <f t="shared" si="1"/>
        <v>6</v>
      </c>
      <c r="M27" s="638" t="str">
        <f t="shared" si="2"/>
        <v>642707</v>
      </c>
      <c r="N27" s="255">
        <f t="shared" si="0"/>
        <v>14887403</v>
      </c>
      <c r="S27" s="257" t="s">
        <v>378</v>
      </c>
      <c r="T27" s="258">
        <v>18940639098</v>
      </c>
      <c r="U27" s="233">
        <v>64211</v>
      </c>
      <c r="V27" s="255">
        <v>5150899065</v>
      </c>
      <c r="W27" t="s">
        <v>378</v>
      </c>
      <c r="X27" s="257">
        <v>64211</v>
      </c>
      <c r="Y27" s="642"/>
      <c r="Z27" s="257">
        <v>64211</v>
      </c>
      <c r="AA27" t="s">
        <v>865</v>
      </c>
      <c r="AB27" s="233" t="s">
        <v>721</v>
      </c>
      <c r="AC27">
        <v>0</v>
      </c>
      <c r="AD27" s="641"/>
      <c r="AE27" s="257">
        <v>64211</v>
      </c>
      <c r="AF27" t="s">
        <v>866</v>
      </c>
      <c r="AG27" s="233" t="s">
        <v>721</v>
      </c>
      <c r="AH27">
        <v>0</v>
      </c>
    </row>
    <row r="28" spans="1:34">
      <c r="A28" s="1460">
        <v>45322</v>
      </c>
      <c r="B28" s="1461" t="s">
        <v>767</v>
      </c>
      <c r="C28" s="637"/>
      <c r="D28" s="637"/>
      <c r="E28" s="1462" t="s">
        <v>867</v>
      </c>
      <c r="F28" s="638" t="s">
        <v>769</v>
      </c>
      <c r="G28" s="1461" t="s">
        <v>378</v>
      </c>
      <c r="H28" s="1463">
        <v>1312125314</v>
      </c>
      <c r="I28" s="253">
        <v>1</v>
      </c>
      <c r="J28" s="253">
        <v>0</v>
      </c>
      <c r="K28" s="254"/>
      <c r="L28" t="str">
        <f t="shared" si="1"/>
        <v>6</v>
      </c>
      <c r="M28" s="638" t="str">
        <f t="shared" si="2"/>
        <v>64211</v>
      </c>
      <c r="N28" s="255">
        <f t="shared" si="0"/>
        <v>1312125314</v>
      </c>
      <c r="S28" s="257" t="s">
        <v>379</v>
      </c>
      <c r="T28" s="258">
        <v>1126314000</v>
      </c>
      <c r="U28" s="233">
        <v>64212</v>
      </c>
      <c r="V28" s="255">
        <v>313687200</v>
      </c>
      <c r="W28" t="s">
        <v>379</v>
      </c>
      <c r="X28" s="257">
        <v>64212</v>
      </c>
      <c r="Y28" s="642"/>
      <c r="Z28" s="257">
        <v>64212</v>
      </c>
      <c r="AA28" t="s">
        <v>868</v>
      </c>
      <c r="AB28" s="233" t="s">
        <v>722</v>
      </c>
      <c r="AC28">
        <v>0</v>
      </c>
      <c r="AD28" s="641"/>
      <c r="AE28" s="257">
        <v>64212</v>
      </c>
      <c r="AF28" t="s">
        <v>869</v>
      </c>
      <c r="AG28" s="233" t="s">
        <v>722</v>
      </c>
      <c r="AH28">
        <v>0</v>
      </c>
    </row>
    <row r="29" spans="1:34">
      <c r="A29" s="1460">
        <v>45322</v>
      </c>
      <c r="B29" s="1461" t="s">
        <v>767</v>
      </c>
      <c r="C29" s="637"/>
      <c r="D29" s="637"/>
      <c r="E29" s="1462" t="s">
        <v>870</v>
      </c>
      <c r="F29" s="638" t="s">
        <v>769</v>
      </c>
      <c r="G29" s="1461" t="s">
        <v>379</v>
      </c>
      <c r="H29" s="1463">
        <v>71205000</v>
      </c>
      <c r="I29" s="253">
        <v>1</v>
      </c>
      <c r="J29" s="253">
        <v>0</v>
      </c>
      <c r="K29" s="254"/>
      <c r="L29" t="str">
        <f t="shared" si="1"/>
        <v>6</v>
      </c>
      <c r="M29" s="638" t="str">
        <f t="shared" si="2"/>
        <v>64212</v>
      </c>
      <c r="N29" s="255">
        <f t="shared" si="0"/>
        <v>71205000</v>
      </c>
      <c r="S29" s="257" t="s">
        <v>505</v>
      </c>
      <c r="T29" s="258">
        <v>276302355</v>
      </c>
      <c r="U29" s="233">
        <v>82122</v>
      </c>
      <c r="V29" s="255">
        <v>-224586386</v>
      </c>
      <c r="W29" t="e">
        <v>#N/A</v>
      </c>
      <c r="X29" s="257">
        <v>0</v>
      </c>
      <c r="Y29" s="642"/>
      <c r="Z29" s="257">
        <v>82122</v>
      </c>
      <c r="AA29" t="s">
        <v>871</v>
      </c>
      <c r="AB29" s="233" t="s">
        <v>872</v>
      </c>
      <c r="AC29">
        <v>0</v>
      </c>
      <c r="AD29" s="641"/>
      <c r="AE29" s="257">
        <v>6422</v>
      </c>
      <c r="AF29" t="s">
        <v>873</v>
      </c>
      <c r="AG29" s="233" t="s">
        <v>505</v>
      </c>
      <c r="AH29">
        <v>0</v>
      </c>
    </row>
    <row r="30" spans="1:34">
      <c r="A30" s="1460">
        <v>45322</v>
      </c>
      <c r="B30" s="1461" t="s">
        <v>767</v>
      </c>
      <c r="C30" s="637"/>
      <c r="D30" s="637"/>
      <c r="E30" s="1462" t="s">
        <v>874</v>
      </c>
      <c r="F30" s="638" t="s">
        <v>769</v>
      </c>
      <c r="G30" s="1461" t="s">
        <v>505</v>
      </c>
      <c r="H30" s="1463">
        <v>25706593</v>
      </c>
      <c r="I30" s="253">
        <v>1</v>
      </c>
      <c r="J30" s="253">
        <v>0</v>
      </c>
      <c r="K30" s="254"/>
      <c r="L30" t="str">
        <f t="shared" si="1"/>
        <v>6</v>
      </c>
      <c r="M30" s="638" t="str">
        <f t="shared" si="2"/>
        <v>6422</v>
      </c>
      <c r="N30" s="255">
        <f t="shared" si="0"/>
        <v>25706593</v>
      </c>
      <c r="S30" s="257" t="s">
        <v>381</v>
      </c>
      <c r="T30" s="258">
        <v>515666988</v>
      </c>
      <c r="U30" s="233">
        <v>633173</v>
      </c>
      <c r="V30" s="255">
        <v>1077759739</v>
      </c>
      <c r="W30" t="e">
        <v>#N/A</v>
      </c>
      <c r="X30" s="257">
        <v>0</v>
      </c>
      <c r="Y30" s="642"/>
      <c r="Z30" s="257">
        <v>633173</v>
      </c>
      <c r="AA30" t="s">
        <v>875</v>
      </c>
      <c r="AB30" s="233" t="s">
        <v>789</v>
      </c>
      <c r="AC30" t="s">
        <v>835</v>
      </c>
      <c r="AD30" s="641"/>
      <c r="AE30" s="257">
        <v>6423</v>
      </c>
      <c r="AF30" t="s">
        <v>876</v>
      </c>
      <c r="AG30" s="233" t="s">
        <v>381</v>
      </c>
      <c r="AH30" t="s">
        <v>835</v>
      </c>
    </row>
    <row r="31" spans="1:34">
      <c r="A31" s="1460">
        <v>45322</v>
      </c>
      <c r="B31" s="1461" t="s">
        <v>767</v>
      </c>
      <c r="C31" s="637"/>
      <c r="D31" s="637"/>
      <c r="E31" s="1462" t="s">
        <v>877</v>
      </c>
      <c r="F31" s="638" t="s">
        <v>769</v>
      </c>
      <c r="G31" s="1461" t="s">
        <v>381</v>
      </c>
      <c r="H31" s="1463">
        <v>11619826</v>
      </c>
      <c r="I31" s="253">
        <v>1</v>
      </c>
      <c r="J31" s="253">
        <v>0</v>
      </c>
      <c r="K31" s="254"/>
      <c r="L31" t="str">
        <f t="shared" si="1"/>
        <v>6</v>
      </c>
      <c r="M31" s="638" t="str">
        <f t="shared" si="2"/>
        <v>6423</v>
      </c>
      <c r="N31" s="255">
        <f t="shared" si="0"/>
        <v>11619826</v>
      </c>
      <c r="S31" s="257" t="s">
        <v>383</v>
      </c>
      <c r="T31" s="258">
        <v>1152591094</v>
      </c>
      <c r="U31" s="233">
        <v>633174</v>
      </c>
      <c r="V31" s="255">
        <v>975432502</v>
      </c>
      <c r="W31" t="e">
        <v>#N/A</v>
      </c>
      <c r="X31" s="257">
        <v>0</v>
      </c>
      <c r="Y31" s="642"/>
      <c r="Z31" s="257">
        <v>633174</v>
      </c>
      <c r="AA31" t="s">
        <v>878</v>
      </c>
      <c r="AB31" s="233" t="s">
        <v>789</v>
      </c>
      <c r="AC31" t="s">
        <v>835</v>
      </c>
      <c r="AD31" s="641"/>
      <c r="AE31" s="257">
        <v>6424</v>
      </c>
      <c r="AF31" t="s">
        <v>879</v>
      </c>
      <c r="AG31" s="233" t="s">
        <v>383</v>
      </c>
      <c r="AH31" t="s">
        <v>835</v>
      </c>
    </row>
    <row r="32" spans="1:34">
      <c r="A32" s="1460">
        <v>45322</v>
      </c>
      <c r="B32" s="1461" t="s">
        <v>767</v>
      </c>
      <c r="C32" s="637"/>
      <c r="D32" s="637"/>
      <c r="E32" s="1462" t="s">
        <v>880</v>
      </c>
      <c r="F32" s="638" t="s">
        <v>769</v>
      </c>
      <c r="G32" s="1461" t="s">
        <v>383</v>
      </c>
      <c r="H32" s="1463">
        <v>92002440</v>
      </c>
      <c r="I32" s="253">
        <v>1</v>
      </c>
      <c r="J32" s="253">
        <v>0</v>
      </c>
      <c r="K32" s="254"/>
      <c r="L32" t="str">
        <f t="shared" si="1"/>
        <v>6</v>
      </c>
      <c r="M32" s="638" t="str">
        <f t="shared" si="2"/>
        <v>6424</v>
      </c>
      <c r="N32" s="255">
        <f t="shared" si="0"/>
        <v>92002440</v>
      </c>
      <c r="S32" s="257" t="s">
        <v>384</v>
      </c>
      <c r="T32" s="258">
        <v>24199469</v>
      </c>
      <c r="U32" s="233">
        <v>633175</v>
      </c>
      <c r="V32" s="255">
        <v>2222336285</v>
      </c>
      <c r="W32" t="e">
        <v>#N/A</v>
      </c>
      <c r="X32" s="257">
        <v>0</v>
      </c>
      <c r="Y32" s="642"/>
      <c r="Z32" s="257">
        <v>633175</v>
      </c>
      <c r="AA32" t="s">
        <v>881</v>
      </c>
      <c r="AB32" s="233" t="s">
        <v>789</v>
      </c>
      <c r="AC32" t="s">
        <v>835</v>
      </c>
      <c r="AD32" s="641"/>
      <c r="AE32" s="257">
        <v>6425</v>
      </c>
      <c r="AF32" t="s">
        <v>882</v>
      </c>
      <c r="AG32" s="233" t="s">
        <v>384</v>
      </c>
      <c r="AH32" t="s">
        <v>835</v>
      </c>
    </row>
    <row r="33" spans="1:34">
      <c r="A33" s="1460">
        <v>45322</v>
      </c>
      <c r="B33" s="1461" t="s">
        <v>767</v>
      </c>
      <c r="C33" s="637"/>
      <c r="D33" s="637"/>
      <c r="E33" s="1462" t="s">
        <v>883</v>
      </c>
      <c r="F33" s="638" t="s">
        <v>769</v>
      </c>
      <c r="G33" s="1461" t="s">
        <v>384</v>
      </c>
      <c r="H33" s="1463">
        <v>3000000</v>
      </c>
      <c r="I33" s="253">
        <v>1</v>
      </c>
      <c r="J33" s="253">
        <v>0</v>
      </c>
      <c r="K33" s="254"/>
      <c r="L33" t="str">
        <f t="shared" si="1"/>
        <v>6</v>
      </c>
      <c r="M33" s="638" t="str">
        <f t="shared" si="2"/>
        <v>6425</v>
      </c>
      <c r="N33" s="255">
        <f t="shared" si="0"/>
        <v>3000000</v>
      </c>
      <c r="S33" s="257" t="s">
        <v>839</v>
      </c>
      <c r="T33" s="258">
        <v>4454466235</v>
      </c>
      <c r="U33" s="233">
        <v>633178</v>
      </c>
      <c r="V33" s="255">
        <v>5288575</v>
      </c>
      <c r="W33" t="e">
        <v>#N/A</v>
      </c>
      <c r="X33" s="257">
        <v>0</v>
      </c>
      <c r="Y33" s="642"/>
      <c r="Z33" s="257">
        <v>633178</v>
      </c>
      <c r="AA33" t="s">
        <v>445</v>
      </c>
      <c r="AB33" s="233" t="s">
        <v>789</v>
      </c>
      <c r="AC33" t="s">
        <v>835</v>
      </c>
      <c r="AD33" s="641"/>
      <c r="AE33" s="257">
        <v>642701</v>
      </c>
      <c r="AF33" t="s">
        <v>884</v>
      </c>
      <c r="AG33" s="233" t="s">
        <v>424</v>
      </c>
      <c r="AH33" t="s">
        <v>835</v>
      </c>
    </row>
    <row r="34" spans="1:34">
      <c r="A34" s="1460">
        <v>45322</v>
      </c>
      <c r="B34" s="1461" t="s">
        <v>767</v>
      </c>
      <c r="C34" s="637"/>
      <c r="D34" s="637"/>
      <c r="E34" s="1462" t="s">
        <v>885</v>
      </c>
      <c r="F34" s="638" t="s">
        <v>769</v>
      </c>
      <c r="G34" s="1461" t="s">
        <v>339</v>
      </c>
      <c r="H34" s="1463">
        <v>35392000</v>
      </c>
      <c r="I34" s="253">
        <v>1</v>
      </c>
      <c r="J34" s="253">
        <v>0</v>
      </c>
      <c r="K34" s="254"/>
      <c r="L34" t="str">
        <f t="shared" si="1"/>
        <v>6</v>
      </c>
      <c r="M34" s="638" t="str">
        <f t="shared" si="2"/>
        <v>64112</v>
      </c>
      <c r="N34" s="255">
        <f t="shared" si="0"/>
        <v>35392000</v>
      </c>
      <c r="S34" s="257" t="s">
        <v>843</v>
      </c>
      <c r="T34" s="258">
        <v>357750689</v>
      </c>
      <c r="U34" s="233">
        <v>641702</v>
      </c>
      <c r="V34" s="255">
        <v>3490781</v>
      </c>
      <c r="W34" t="e">
        <v>#N/A</v>
      </c>
      <c r="X34" s="257">
        <v>0</v>
      </c>
      <c r="Y34" s="642"/>
      <c r="Z34" s="257">
        <v>641702</v>
      </c>
      <c r="AA34" t="s">
        <v>886</v>
      </c>
      <c r="AB34" s="233" t="s">
        <v>348</v>
      </c>
      <c r="AC34">
        <v>0</v>
      </c>
      <c r="AD34" s="641"/>
      <c r="AE34" s="257">
        <v>642702</v>
      </c>
      <c r="AF34" t="s">
        <v>887</v>
      </c>
      <c r="AG34" s="233" t="s">
        <v>413</v>
      </c>
      <c r="AH34">
        <v>0</v>
      </c>
    </row>
    <row r="35" spans="1:34">
      <c r="A35" s="1460">
        <v>45322</v>
      </c>
      <c r="B35" s="1461" t="s">
        <v>767</v>
      </c>
      <c r="C35" s="637"/>
      <c r="D35" s="637"/>
      <c r="E35" s="1462" t="s">
        <v>888</v>
      </c>
      <c r="F35" s="638" t="s">
        <v>769</v>
      </c>
      <c r="G35" s="1461" t="s">
        <v>345</v>
      </c>
      <c r="H35" s="1463">
        <v>7223287</v>
      </c>
      <c r="I35" s="253">
        <v>1</v>
      </c>
      <c r="J35" s="253">
        <v>0</v>
      </c>
      <c r="K35" s="254"/>
      <c r="L35" t="str">
        <f t="shared" si="1"/>
        <v>6</v>
      </c>
      <c r="M35" s="638" t="str">
        <f t="shared" si="2"/>
        <v>6414</v>
      </c>
      <c r="N35" s="255">
        <f t="shared" si="0"/>
        <v>7223287</v>
      </c>
      <c r="S35" s="257" t="s">
        <v>848</v>
      </c>
      <c r="T35" s="258">
        <v>63807789</v>
      </c>
      <c r="U35" s="233">
        <v>641704</v>
      </c>
      <c r="V35" s="255">
        <v>33669442</v>
      </c>
      <c r="W35" t="e">
        <v>#N/A</v>
      </c>
      <c r="X35" s="257">
        <v>0</v>
      </c>
      <c r="Y35" s="642"/>
      <c r="Z35" s="257">
        <v>641704</v>
      </c>
      <c r="AA35" t="s">
        <v>889</v>
      </c>
      <c r="AB35" s="233" t="s">
        <v>350</v>
      </c>
      <c r="AC35">
        <v>0</v>
      </c>
      <c r="AD35" s="641"/>
      <c r="AE35" s="257">
        <v>642703</v>
      </c>
      <c r="AF35" t="s">
        <v>890</v>
      </c>
      <c r="AG35" s="233" t="s">
        <v>391</v>
      </c>
      <c r="AH35">
        <v>0</v>
      </c>
    </row>
    <row r="36" spans="1:34">
      <c r="A36" s="1460">
        <v>45322</v>
      </c>
      <c r="B36" s="1461" t="s">
        <v>767</v>
      </c>
      <c r="C36" s="637"/>
      <c r="D36" s="637"/>
      <c r="E36" s="1462" t="s">
        <v>891</v>
      </c>
      <c r="F36" s="638" t="s">
        <v>769</v>
      </c>
      <c r="G36" s="1461" t="s">
        <v>844</v>
      </c>
      <c r="H36" s="1463">
        <v>1538387</v>
      </c>
      <c r="I36" s="253">
        <v>1</v>
      </c>
      <c r="J36" s="253">
        <v>0</v>
      </c>
      <c r="K36" s="254"/>
      <c r="L36" t="str">
        <f t="shared" si="1"/>
        <v>6</v>
      </c>
      <c r="M36" s="638" t="str">
        <f t="shared" si="2"/>
        <v>641702</v>
      </c>
      <c r="N36" s="255">
        <f t="shared" si="0"/>
        <v>1538387</v>
      </c>
      <c r="S36" s="257" t="s">
        <v>854</v>
      </c>
      <c r="T36" s="258">
        <v>202610004</v>
      </c>
      <c r="U36" s="233">
        <v>641801</v>
      </c>
      <c r="V36" s="255">
        <v>2755000</v>
      </c>
      <c r="W36" t="e">
        <v>#N/A</v>
      </c>
      <c r="X36" s="257">
        <v>0</v>
      </c>
      <c r="Y36" s="642"/>
      <c r="Z36" s="257">
        <v>641801</v>
      </c>
      <c r="AA36" t="s">
        <v>892</v>
      </c>
      <c r="AB36" s="233" t="s">
        <v>370</v>
      </c>
      <c r="AC36">
        <v>0</v>
      </c>
      <c r="AD36" s="641"/>
      <c r="AE36" s="257">
        <v>642704</v>
      </c>
      <c r="AF36" t="s">
        <v>893</v>
      </c>
      <c r="AG36" s="233" t="s">
        <v>415</v>
      </c>
      <c r="AH36">
        <v>0</v>
      </c>
    </row>
    <row r="37" spans="1:34">
      <c r="A37" s="1460">
        <v>45322</v>
      </c>
      <c r="B37" s="1461" t="s">
        <v>767</v>
      </c>
      <c r="C37" s="637"/>
      <c r="D37" s="637"/>
      <c r="E37" s="1462" t="s">
        <v>894</v>
      </c>
      <c r="F37" s="638" t="s">
        <v>769</v>
      </c>
      <c r="G37" s="1461" t="s">
        <v>849</v>
      </c>
      <c r="H37" s="1463">
        <v>4178335</v>
      </c>
      <c r="I37" s="253">
        <v>1</v>
      </c>
      <c r="J37" s="253">
        <v>0</v>
      </c>
      <c r="K37" s="254"/>
      <c r="L37" t="str">
        <f t="shared" si="1"/>
        <v>6</v>
      </c>
      <c r="M37" s="638" t="str">
        <f t="shared" si="2"/>
        <v>641704</v>
      </c>
      <c r="N37" s="255">
        <f t="shared" si="0"/>
        <v>4178335</v>
      </c>
      <c r="S37" s="257" t="s">
        <v>859</v>
      </c>
      <c r="T37" s="258">
        <v>504765688</v>
      </c>
      <c r="U37" s="233">
        <v>641802</v>
      </c>
      <c r="V37" s="255">
        <v>104076001</v>
      </c>
      <c r="W37" t="e">
        <v>#N/A</v>
      </c>
      <c r="X37" s="257">
        <v>0</v>
      </c>
      <c r="Y37" s="642"/>
      <c r="Z37" s="257">
        <v>641802</v>
      </c>
      <c r="AA37" t="s">
        <v>895</v>
      </c>
      <c r="AB37" s="233" t="s">
        <v>372</v>
      </c>
      <c r="AC37">
        <v>0</v>
      </c>
      <c r="AD37" s="641"/>
      <c r="AE37" s="257">
        <v>642706</v>
      </c>
      <c r="AF37" t="s">
        <v>896</v>
      </c>
      <c r="AG37" s="233" t="s">
        <v>400</v>
      </c>
      <c r="AH37">
        <v>0</v>
      </c>
    </row>
    <row r="38" spans="1:34">
      <c r="A38" s="1460">
        <v>45322</v>
      </c>
      <c r="B38" s="1461" t="s">
        <v>767</v>
      </c>
      <c r="C38" s="637"/>
      <c r="D38" s="637"/>
      <c r="E38" s="1462" t="s">
        <v>897</v>
      </c>
      <c r="F38" s="638" t="s">
        <v>769</v>
      </c>
      <c r="G38" s="1461" t="s">
        <v>855</v>
      </c>
      <c r="H38" s="1463">
        <v>12500000</v>
      </c>
      <c r="I38" s="253">
        <v>1</v>
      </c>
      <c r="J38" s="253">
        <v>0</v>
      </c>
      <c r="K38" s="254"/>
      <c r="L38" t="str">
        <f t="shared" si="1"/>
        <v>6</v>
      </c>
      <c r="M38" s="638" t="str">
        <f t="shared" si="2"/>
        <v>641802</v>
      </c>
      <c r="N38" s="255">
        <f t="shared" si="0"/>
        <v>12500000</v>
      </c>
      <c r="S38" s="257" t="s">
        <v>864</v>
      </c>
      <c r="T38" s="258">
        <v>769260652</v>
      </c>
      <c r="U38" s="233">
        <v>642701</v>
      </c>
      <c r="V38" s="255">
        <v>888335931</v>
      </c>
      <c r="W38" t="e">
        <v>#N/A</v>
      </c>
      <c r="X38" s="257">
        <v>64272</v>
      </c>
      <c r="Y38" s="642"/>
      <c r="Z38" s="257">
        <v>642701</v>
      </c>
      <c r="AA38" t="s">
        <v>898</v>
      </c>
      <c r="AB38" s="233" t="s">
        <v>424</v>
      </c>
      <c r="AC38">
        <v>0</v>
      </c>
      <c r="AD38" s="641"/>
      <c r="AE38" s="257">
        <v>642707</v>
      </c>
      <c r="AF38" t="s">
        <v>899</v>
      </c>
      <c r="AG38" s="233" t="s">
        <v>422</v>
      </c>
      <c r="AH38">
        <v>0</v>
      </c>
    </row>
    <row r="39" spans="1:34">
      <c r="A39" s="1460">
        <v>45322</v>
      </c>
      <c r="B39" s="1461" t="s">
        <v>767</v>
      </c>
      <c r="C39" s="637"/>
      <c r="D39" s="637"/>
      <c r="E39" s="1462" t="s">
        <v>900</v>
      </c>
      <c r="F39" s="638" t="s">
        <v>769</v>
      </c>
      <c r="G39" s="1461" t="s">
        <v>860</v>
      </c>
      <c r="H39" s="1463">
        <v>36300</v>
      </c>
      <c r="I39" s="253">
        <v>1</v>
      </c>
      <c r="J39" s="253">
        <v>0</v>
      </c>
      <c r="K39" s="254"/>
      <c r="L39" t="str">
        <f t="shared" si="1"/>
        <v>6</v>
      </c>
      <c r="M39" s="638" t="str">
        <f t="shared" si="2"/>
        <v>641809</v>
      </c>
      <c r="N39" s="255">
        <f t="shared" si="0"/>
        <v>36300</v>
      </c>
      <c r="S39" s="257" t="s">
        <v>810</v>
      </c>
      <c r="T39" s="258">
        <v>664875032</v>
      </c>
      <c r="U39" s="233">
        <v>642702</v>
      </c>
      <c r="V39" s="255">
        <v>156120445</v>
      </c>
      <c r="W39" t="e">
        <v>#N/A</v>
      </c>
      <c r="X39" s="257">
        <v>64271</v>
      </c>
      <c r="Y39" s="642"/>
      <c r="Z39" s="257">
        <v>642702</v>
      </c>
      <c r="AA39" t="s">
        <v>901</v>
      </c>
      <c r="AB39" s="233" t="s">
        <v>413</v>
      </c>
      <c r="AC39">
        <v>0</v>
      </c>
      <c r="AD39" s="641"/>
      <c r="AE39" s="257">
        <v>642708</v>
      </c>
      <c r="AF39" t="s">
        <v>902</v>
      </c>
      <c r="AG39" s="233" t="s">
        <v>437</v>
      </c>
      <c r="AH39">
        <v>0</v>
      </c>
    </row>
    <row r="40" spans="1:34">
      <c r="A40" s="1460">
        <v>45322</v>
      </c>
      <c r="B40" s="1461" t="s">
        <v>767</v>
      </c>
      <c r="C40" s="637"/>
      <c r="D40" s="637"/>
      <c r="E40" s="1462" t="s">
        <v>903</v>
      </c>
      <c r="F40" s="638" t="s">
        <v>769</v>
      </c>
      <c r="G40" s="1461" t="s">
        <v>806</v>
      </c>
      <c r="H40" s="1463">
        <v>431470746</v>
      </c>
      <c r="I40" s="253">
        <v>1</v>
      </c>
      <c r="J40" s="253">
        <v>0</v>
      </c>
      <c r="K40" s="254"/>
      <c r="L40" t="str">
        <f t="shared" si="1"/>
        <v>6</v>
      </c>
      <c r="M40" s="638" t="str">
        <f t="shared" si="2"/>
        <v>633173</v>
      </c>
      <c r="N40" s="255">
        <f t="shared" si="0"/>
        <v>431470746</v>
      </c>
      <c r="S40" s="257" t="s">
        <v>814</v>
      </c>
      <c r="T40" s="258">
        <v>99681037</v>
      </c>
      <c r="U40" s="233">
        <v>642703</v>
      </c>
      <c r="V40" s="255">
        <v>102719034</v>
      </c>
      <c r="W40" t="e">
        <v>#N/A</v>
      </c>
      <c r="X40" s="257">
        <v>0</v>
      </c>
      <c r="Y40" s="642"/>
      <c r="Z40" s="257">
        <v>642703</v>
      </c>
      <c r="AA40" t="s">
        <v>904</v>
      </c>
      <c r="AB40" s="233" t="s">
        <v>391</v>
      </c>
      <c r="AC40">
        <v>0</v>
      </c>
      <c r="AD40" s="641"/>
      <c r="AE40" s="257">
        <v>642709</v>
      </c>
      <c r="AF40" t="s">
        <v>905</v>
      </c>
      <c r="AG40" s="233" t="s">
        <v>435</v>
      </c>
      <c r="AH40">
        <v>0</v>
      </c>
    </row>
    <row r="41" spans="1:34">
      <c r="A41" s="1460">
        <v>45322</v>
      </c>
      <c r="B41" s="1461" t="s">
        <v>767</v>
      </c>
      <c r="C41" s="637"/>
      <c r="D41" s="637"/>
      <c r="E41" s="1462" t="s">
        <v>906</v>
      </c>
      <c r="F41" s="638" t="s">
        <v>769</v>
      </c>
      <c r="G41" s="1461" t="s">
        <v>811</v>
      </c>
      <c r="H41" s="1463">
        <v>112194335</v>
      </c>
      <c r="I41" s="253">
        <v>1</v>
      </c>
      <c r="J41" s="253">
        <v>0</v>
      </c>
      <c r="K41" s="254"/>
      <c r="L41" t="str">
        <f t="shared" si="1"/>
        <v>6</v>
      </c>
      <c r="M41" s="638" t="str">
        <f t="shared" si="2"/>
        <v>633174</v>
      </c>
      <c r="N41" s="255">
        <f t="shared" si="0"/>
        <v>112194335</v>
      </c>
      <c r="S41" s="257" t="s">
        <v>819</v>
      </c>
      <c r="T41" s="258">
        <v>7376556</v>
      </c>
      <c r="U41" s="233">
        <v>642704</v>
      </c>
      <c r="V41" s="255">
        <v>113900968</v>
      </c>
      <c r="W41" t="e">
        <v>#N/A</v>
      </c>
      <c r="X41" s="257">
        <v>0</v>
      </c>
      <c r="Y41" s="642"/>
      <c r="Z41" s="257">
        <v>642704</v>
      </c>
      <c r="AA41" t="s">
        <v>907</v>
      </c>
      <c r="AB41" s="233" t="s">
        <v>415</v>
      </c>
      <c r="AC41">
        <v>0</v>
      </c>
      <c r="AD41" s="641"/>
      <c r="AE41" s="257">
        <v>642710</v>
      </c>
      <c r="AF41" t="s">
        <v>908</v>
      </c>
      <c r="AG41" s="233" t="s">
        <v>434</v>
      </c>
      <c r="AH41">
        <v>0</v>
      </c>
    </row>
    <row r="42" spans="1:34">
      <c r="A42" s="1460">
        <v>45322</v>
      </c>
      <c r="B42" s="1461" t="s">
        <v>767</v>
      </c>
      <c r="C42" s="637"/>
      <c r="D42" s="637"/>
      <c r="E42" s="1462" t="s">
        <v>909</v>
      </c>
      <c r="F42" s="638" t="s">
        <v>769</v>
      </c>
      <c r="G42" s="1461" t="s">
        <v>815</v>
      </c>
      <c r="H42" s="1463">
        <v>254618265</v>
      </c>
      <c r="I42" s="253">
        <v>1</v>
      </c>
      <c r="J42" s="253">
        <v>0</v>
      </c>
      <c r="K42" s="254"/>
      <c r="L42" t="str">
        <f t="shared" si="1"/>
        <v>6</v>
      </c>
      <c r="M42" s="638" t="str">
        <f t="shared" si="2"/>
        <v>633175</v>
      </c>
      <c r="N42" s="255">
        <f t="shared" si="0"/>
        <v>254618265</v>
      </c>
      <c r="S42" s="257" t="s">
        <v>825</v>
      </c>
      <c r="T42" s="258">
        <v>106919909</v>
      </c>
      <c r="U42" s="233">
        <v>642705</v>
      </c>
      <c r="V42" s="255">
        <v>304000000</v>
      </c>
      <c r="W42" t="e">
        <v>#N/A</v>
      </c>
      <c r="X42" s="257">
        <v>64273</v>
      </c>
      <c r="Y42" s="642"/>
      <c r="Z42" s="257">
        <v>642705</v>
      </c>
      <c r="AA42" t="s">
        <v>910</v>
      </c>
      <c r="AB42" s="233" t="s">
        <v>407</v>
      </c>
      <c r="AC42">
        <v>0</v>
      </c>
      <c r="AD42" s="641"/>
      <c r="AE42" s="257">
        <v>642711</v>
      </c>
      <c r="AF42" t="s">
        <v>911</v>
      </c>
      <c r="AG42" s="233" t="s">
        <v>434</v>
      </c>
      <c r="AH42">
        <v>0</v>
      </c>
    </row>
    <row r="43" spans="1:34">
      <c r="A43" s="1460">
        <v>45322</v>
      </c>
      <c r="B43" s="1461" t="s">
        <v>767</v>
      </c>
      <c r="C43" s="637"/>
      <c r="D43" s="637"/>
      <c r="E43" s="1462" t="s">
        <v>912</v>
      </c>
      <c r="F43" s="638" t="s">
        <v>769</v>
      </c>
      <c r="G43" s="1461" t="s">
        <v>820</v>
      </c>
      <c r="H43" s="1463">
        <v>11354466</v>
      </c>
      <c r="I43" s="253">
        <v>1</v>
      </c>
      <c r="J43" s="253">
        <v>0</v>
      </c>
      <c r="K43" s="254"/>
      <c r="L43" t="str">
        <f t="shared" si="1"/>
        <v>6</v>
      </c>
      <c r="M43" s="638" t="str">
        <f t="shared" si="2"/>
        <v>63341</v>
      </c>
      <c r="N43" s="255">
        <f t="shared" si="0"/>
        <v>11354466</v>
      </c>
      <c r="S43" s="257" t="s">
        <v>828</v>
      </c>
      <c r="T43" s="258">
        <v>22724702</v>
      </c>
      <c r="U43" s="233">
        <v>642706</v>
      </c>
      <c r="V43" s="255">
        <v>166853767</v>
      </c>
      <c r="W43" t="e">
        <v>#N/A</v>
      </c>
      <c r="X43" s="257">
        <v>0</v>
      </c>
      <c r="Y43" s="642"/>
      <c r="Z43" s="257">
        <v>642706</v>
      </c>
      <c r="AA43" t="s">
        <v>913</v>
      </c>
      <c r="AB43" s="233" t="s">
        <v>400</v>
      </c>
      <c r="AC43">
        <v>0</v>
      </c>
      <c r="AD43" s="641"/>
      <c r="AE43" s="257">
        <v>642712</v>
      </c>
      <c r="AF43" t="s">
        <v>914</v>
      </c>
      <c r="AG43" s="233" t="s">
        <v>393</v>
      </c>
      <c r="AH43">
        <v>0</v>
      </c>
    </row>
    <row r="44" spans="1:34">
      <c r="A44" s="1460">
        <v>45351</v>
      </c>
      <c r="B44" s="1461" t="s">
        <v>915</v>
      </c>
      <c r="C44" s="637"/>
      <c r="D44" s="637"/>
      <c r="E44" s="1462" t="s">
        <v>768</v>
      </c>
      <c r="F44" s="638" t="s">
        <v>769</v>
      </c>
      <c r="G44" s="1461" t="s">
        <v>770</v>
      </c>
      <c r="H44" s="1463">
        <v>122535485</v>
      </c>
      <c r="I44" s="253">
        <v>1</v>
      </c>
      <c r="J44" s="253">
        <v>0</v>
      </c>
      <c r="K44" s="254"/>
      <c r="L44" t="str">
        <f t="shared" si="1"/>
        <v>6</v>
      </c>
      <c r="M44" s="638" t="str">
        <f t="shared" si="2"/>
        <v>63311</v>
      </c>
      <c r="N44" s="255">
        <f t="shared" si="0"/>
        <v>122535485</v>
      </c>
      <c r="S44" s="257" t="s">
        <v>833</v>
      </c>
      <c r="T44" s="258">
        <v>371260751</v>
      </c>
      <c r="U44" s="233">
        <v>642707</v>
      </c>
      <c r="V44" s="255">
        <v>342485326</v>
      </c>
      <c r="W44" t="e">
        <v>#N/A</v>
      </c>
      <c r="X44" s="257">
        <v>0</v>
      </c>
      <c r="Y44" s="642"/>
      <c r="Z44" s="257">
        <v>642707</v>
      </c>
      <c r="AA44" t="s">
        <v>916</v>
      </c>
      <c r="AB44" s="233" t="s">
        <v>422</v>
      </c>
      <c r="AC44">
        <v>0</v>
      </c>
      <c r="AD44" s="641"/>
      <c r="AE44" s="257">
        <v>642799</v>
      </c>
      <c r="AF44" t="s">
        <v>917</v>
      </c>
      <c r="AG44" s="233" t="s">
        <v>437</v>
      </c>
      <c r="AH44">
        <v>0</v>
      </c>
    </row>
    <row r="45" spans="1:34">
      <c r="A45" s="1460">
        <v>45351</v>
      </c>
      <c r="B45" s="1461" t="s">
        <v>915</v>
      </c>
      <c r="C45" s="637"/>
      <c r="D45" s="637"/>
      <c r="E45" s="1462" t="s">
        <v>847</v>
      </c>
      <c r="F45" s="638" t="s">
        <v>769</v>
      </c>
      <c r="G45" s="1461" t="s">
        <v>848</v>
      </c>
      <c r="H45" s="1463">
        <v>529216</v>
      </c>
      <c r="I45" s="253">
        <v>1</v>
      </c>
      <c r="J45" s="253">
        <v>0</v>
      </c>
      <c r="K45" s="254"/>
      <c r="L45" t="str">
        <f t="shared" si="1"/>
        <v>6</v>
      </c>
      <c r="M45" s="638" t="str">
        <f t="shared" si="2"/>
        <v>642703</v>
      </c>
      <c r="N45" s="255">
        <f t="shared" si="0"/>
        <v>529216</v>
      </c>
      <c r="S45" s="257" t="s">
        <v>918</v>
      </c>
      <c r="T45" s="258">
        <v>1281082193</v>
      </c>
      <c r="U45" s="233">
        <v>642708</v>
      </c>
      <c r="V45" s="255">
        <v>974112949</v>
      </c>
      <c r="W45" t="e">
        <v>#N/A</v>
      </c>
      <c r="X45" s="257">
        <v>0</v>
      </c>
      <c r="Y45" s="642"/>
      <c r="Z45" s="257">
        <v>642708</v>
      </c>
      <c r="AA45" t="s">
        <v>919</v>
      </c>
      <c r="AB45" s="233" t="s">
        <v>437</v>
      </c>
      <c r="AC45">
        <v>0</v>
      </c>
      <c r="AD45" s="641"/>
      <c r="AE45" s="257">
        <v>51101030203</v>
      </c>
      <c r="AF45" t="s">
        <v>920</v>
      </c>
      <c r="AG45" s="233" t="s">
        <v>251</v>
      </c>
      <c r="AH45">
        <v>0</v>
      </c>
    </row>
    <row r="46" spans="1:34">
      <c r="A46" s="1460">
        <v>45351</v>
      </c>
      <c r="B46" s="1461" t="s">
        <v>915</v>
      </c>
      <c r="C46" s="637"/>
      <c r="D46" s="637"/>
      <c r="E46" s="1462" t="s">
        <v>853</v>
      </c>
      <c r="F46" s="638" t="s">
        <v>769</v>
      </c>
      <c r="G46" s="1461" t="s">
        <v>854</v>
      </c>
      <c r="H46" s="1463">
        <v>18163334</v>
      </c>
      <c r="I46" s="253">
        <v>1</v>
      </c>
      <c r="J46" s="253">
        <v>0</v>
      </c>
      <c r="K46" s="254"/>
      <c r="L46" t="str">
        <f t="shared" si="1"/>
        <v>6</v>
      </c>
      <c r="M46" s="638" t="str">
        <f t="shared" si="2"/>
        <v>642704</v>
      </c>
      <c r="N46" s="255">
        <f t="shared" si="0"/>
        <v>18163334</v>
      </c>
      <c r="S46" s="257" t="s">
        <v>921</v>
      </c>
      <c r="T46" s="258">
        <v>2600000</v>
      </c>
      <c r="U46" s="233">
        <v>642709</v>
      </c>
      <c r="V46" s="255">
        <v>41422937</v>
      </c>
      <c r="W46" t="e">
        <v>#N/A</v>
      </c>
      <c r="X46" s="257">
        <v>0</v>
      </c>
      <c r="Y46" s="642"/>
      <c r="Z46" s="257">
        <v>642709</v>
      </c>
      <c r="AA46" t="s">
        <v>922</v>
      </c>
      <c r="AB46" s="233" t="s">
        <v>435</v>
      </c>
      <c r="AC46">
        <v>0</v>
      </c>
      <c r="AD46" s="641"/>
      <c r="AE46" s="257">
        <v>63314</v>
      </c>
      <c r="AF46" t="s">
        <v>923</v>
      </c>
      <c r="AG46" s="233" t="s">
        <v>789</v>
      </c>
      <c r="AH46">
        <v>0</v>
      </c>
    </row>
    <row r="47" spans="1:34">
      <c r="A47" s="1460">
        <v>45351</v>
      </c>
      <c r="B47" s="1461" t="s">
        <v>915</v>
      </c>
      <c r="C47" s="637"/>
      <c r="D47" s="637"/>
      <c r="E47" s="1462" t="s">
        <v>858</v>
      </c>
      <c r="F47" s="638" t="s">
        <v>769</v>
      </c>
      <c r="G47" s="1461" t="s">
        <v>859</v>
      </c>
      <c r="H47" s="1463">
        <v>41100491</v>
      </c>
      <c r="I47" s="253">
        <v>1</v>
      </c>
      <c r="J47" s="253">
        <v>0</v>
      </c>
      <c r="K47" s="254"/>
      <c r="L47" t="str">
        <f t="shared" si="1"/>
        <v>6</v>
      </c>
      <c r="M47" s="638" t="str">
        <f t="shared" si="2"/>
        <v>642706</v>
      </c>
      <c r="N47" s="255">
        <f t="shared" si="0"/>
        <v>41100491</v>
      </c>
      <c r="S47" s="257" t="s">
        <v>924</v>
      </c>
      <c r="T47" s="258">
        <v>0</v>
      </c>
      <c r="U47" s="233">
        <v>642710</v>
      </c>
      <c r="V47" s="255">
        <v>9827831</v>
      </c>
      <c r="W47" t="e">
        <v>#N/A</v>
      </c>
      <c r="X47" s="257">
        <v>0</v>
      </c>
      <c r="Y47" s="642"/>
      <c r="Z47" s="257">
        <v>642710</v>
      </c>
      <c r="AA47" t="s">
        <v>925</v>
      </c>
      <c r="AB47" s="233" t="s">
        <v>434</v>
      </c>
      <c r="AC47">
        <v>0</v>
      </c>
      <c r="AD47" s="641"/>
      <c r="AE47" s="257">
        <v>64131</v>
      </c>
      <c r="AF47" t="s">
        <v>926</v>
      </c>
      <c r="AG47" s="233" t="s">
        <v>343</v>
      </c>
      <c r="AH47">
        <v>0</v>
      </c>
    </row>
    <row r="48" spans="1:34">
      <c r="A48" s="1460">
        <v>45351</v>
      </c>
      <c r="B48" s="1461" t="s">
        <v>915</v>
      </c>
      <c r="C48" s="637"/>
      <c r="D48" s="637"/>
      <c r="E48" s="1462" t="s">
        <v>863</v>
      </c>
      <c r="F48" s="638" t="s">
        <v>769</v>
      </c>
      <c r="G48" s="1461" t="s">
        <v>864</v>
      </c>
      <c r="H48" s="1463">
        <v>14675407</v>
      </c>
      <c r="I48" s="253">
        <v>1</v>
      </c>
      <c r="J48" s="253">
        <v>0</v>
      </c>
      <c r="K48" s="254"/>
      <c r="L48" t="str">
        <f t="shared" si="1"/>
        <v>6</v>
      </c>
      <c r="M48" s="638" t="str">
        <f t="shared" si="2"/>
        <v>642707</v>
      </c>
      <c r="N48" s="255">
        <f t="shared" si="0"/>
        <v>14675407</v>
      </c>
      <c r="S48" s="257" t="s">
        <v>927</v>
      </c>
      <c r="T48" s="258">
        <v>0</v>
      </c>
      <c r="U48" s="233">
        <v>642711</v>
      </c>
      <c r="V48" s="255">
        <v>102078290</v>
      </c>
      <c r="W48" t="e">
        <v>#N/A</v>
      </c>
      <c r="X48" s="257">
        <v>64276</v>
      </c>
      <c r="Y48" s="642"/>
      <c r="Z48" s="257">
        <v>642711</v>
      </c>
      <c r="AA48" t="s">
        <v>928</v>
      </c>
      <c r="AB48" s="233" t="s">
        <v>434</v>
      </c>
      <c r="AC48">
        <v>0</v>
      </c>
      <c r="AD48" s="641"/>
      <c r="AE48" s="257">
        <v>641701</v>
      </c>
      <c r="AF48" t="s">
        <v>929</v>
      </c>
      <c r="AG48" s="233" t="s">
        <v>363</v>
      </c>
      <c r="AH48">
        <v>0</v>
      </c>
    </row>
    <row r="49" spans="1:35">
      <c r="A49" s="1460">
        <v>45351</v>
      </c>
      <c r="B49" s="1461" t="s">
        <v>915</v>
      </c>
      <c r="C49" s="637"/>
      <c r="D49" s="637"/>
      <c r="E49" s="1462" t="s">
        <v>809</v>
      </c>
      <c r="F49" s="638" t="s">
        <v>769</v>
      </c>
      <c r="G49" s="1461" t="s">
        <v>810</v>
      </c>
      <c r="H49" s="1463">
        <v>83079382</v>
      </c>
      <c r="I49" s="253">
        <v>1</v>
      </c>
      <c r="J49" s="253">
        <v>0</v>
      </c>
      <c r="K49" s="254"/>
      <c r="L49" t="str">
        <f t="shared" si="1"/>
        <v>6</v>
      </c>
      <c r="M49" s="638" t="str">
        <f t="shared" si="2"/>
        <v>642708</v>
      </c>
      <c r="N49" s="255">
        <f t="shared" si="0"/>
        <v>83079382</v>
      </c>
      <c r="S49" s="257" t="s">
        <v>930</v>
      </c>
      <c r="T49" s="258">
        <v>401358563</v>
      </c>
      <c r="U49" s="233">
        <v>642712</v>
      </c>
      <c r="V49" s="255">
        <v>6752907</v>
      </c>
      <c r="W49" t="e">
        <v>#N/A</v>
      </c>
      <c r="X49" s="257">
        <v>0</v>
      </c>
      <c r="Y49" s="642"/>
      <c r="Z49" s="257">
        <v>642712</v>
      </c>
      <c r="AA49" t="s">
        <v>931</v>
      </c>
      <c r="AB49" s="233" t="s">
        <v>393</v>
      </c>
      <c r="AC49">
        <v>0</v>
      </c>
      <c r="AD49" s="641"/>
      <c r="AE49" s="257">
        <v>8114</v>
      </c>
      <c r="AF49" t="s">
        <v>932</v>
      </c>
      <c r="AG49" s="233" t="s">
        <v>444</v>
      </c>
      <c r="AH49">
        <v>0</v>
      </c>
    </row>
    <row r="50" spans="1:35">
      <c r="A50" s="1460">
        <v>45351</v>
      </c>
      <c r="B50" s="1461" t="s">
        <v>915</v>
      </c>
      <c r="C50" s="637"/>
      <c r="D50" s="637"/>
      <c r="E50" s="1462" t="s">
        <v>813</v>
      </c>
      <c r="F50" s="638" t="s">
        <v>769</v>
      </c>
      <c r="G50" s="1461" t="s">
        <v>814</v>
      </c>
      <c r="H50" s="1463">
        <v>10663422</v>
      </c>
      <c r="I50" s="253">
        <v>1</v>
      </c>
      <c r="J50" s="253">
        <v>0</v>
      </c>
      <c r="K50" s="254"/>
      <c r="L50" t="str">
        <f t="shared" si="1"/>
        <v>6</v>
      </c>
      <c r="M50" s="638" t="str">
        <f t="shared" si="2"/>
        <v>642709</v>
      </c>
      <c r="N50" s="255">
        <f t="shared" si="0"/>
        <v>10663422</v>
      </c>
      <c r="S50" s="257" t="s">
        <v>933</v>
      </c>
      <c r="T50" s="258">
        <v>0</v>
      </c>
      <c r="U50" s="233">
        <v>642799</v>
      </c>
      <c r="V50" s="255">
        <v>152083376</v>
      </c>
      <c r="W50" t="e">
        <v>#N/A</v>
      </c>
      <c r="X50" s="257">
        <v>64278</v>
      </c>
      <c r="Y50" s="642"/>
      <c r="Z50" s="257">
        <v>642799</v>
      </c>
      <c r="AA50" t="s">
        <v>934</v>
      </c>
      <c r="AB50" s="233" t="s">
        <v>437</v>
      </c>
      <c r="AC50">
        <v>0</v>
      </c>
      <c r="AD50" s="641"/>
      <c r="AE50" s="257">
        <v>641801</v>
      </c>
      <c r="AF50" t="s">
        <v>935</v>
      </c>
      <c r="AG50" s="233" t="s">
        <v>370</v>
      </c>
      <c r="AH50">
        <v>0</v>
      </c>
    </row>
    <row r="51" spans="1:35">
      <c r="A51" s="1460">
        <v>45351</v>
      </c>
      <c r="B51" s="1461" t="s">
        <v>915</v>
      </c>
      <c r="C51" s="637"/>
      <c r="D51" s="637"/>
      <c r="E51" s="1462" t="s">
        <v>870</v>
      </c>
      <c r="F51" s="638" t="s">
        <v>769</v>
      </c>
      <c r="G51" s="1461" t="s">
        <v>379</v>
      </c>
      <c r="H51" s="1463">
        <v>63465000</v>
      </c>
      <c r="I51" s="253">
        <v>1</v>
      </c>
      <c r="J51" s="253">
        <v>0</v>
      </c>
      <c r="K51" s="254"/>
      <c r="L51" t="str">
        <f t="shared" si="1"/>
        <v>6</v>
      </c>
      <c r="M51" s="638" t="str">
        <f t="shared" si="2"/>
        <v>64212</v>
      </c>
      <c r="N51" s="255">
        <f t="shared" si="0"/>
        <v>63465000</v>
      </c>
      <c r="S51" s="257" t="s">
        <v>936</v>
      </c>
      <c r="T51" s="258">
        <v>41680000</v>
      </c>
      <c r="U51" s="233">
        <v>5110208</v>
      </c>
      <c r="V51" s="255">
        <v>-7073256381</v>
      </c>
      <c r="W51" t="e">
        <v>#N/A</v>
      </c>
      <c r="X51" s="257">
        <v>0</v>
      </c>
      <c r="Y51" s="642"/>
      <c r="Z51" s="257">
        <v>5110208</v>
      </c>
      <c r="AA51" t="s">
        <v>937</v>
      </c>
      <c r="AB51" s="233" t="s">
        <v>249</v>
      </c>
      <c r="AC51" t="s">
        <v>938</v>
      </c>
      <c r="AD51" s="641"/>
      <c r="AE51" s="257">
        <v>63201010301</v>
      </c>
      <c r="AF51" t="s">
        <v>939</v>
      </c>
      <c r="AG51" s="233" t="s">
        <v>315</v>
      </c>
      <c r="AH51" t="s">
        <v>938</v>
      </c>
    </row>
    <row r="52" spans="1:35">
      <c r="A52" s="1460">
        <v>45351</v>
      </c>
      <c r="B52" s="1461" t="s">
        <v>915</v>
      </c>
      <c r="C52" s="637"/>
      <c r="D52" s="637"/>
      <c r="E52" s="1462" t="s">
        <v>874</v>
      </c>
      <c r="F52" s="638" t="s">
        <v>769</v>
      </c>
      <c r="G52" s="1461" t="s">
        <v>505</v>
      </c>
      <c r="H52" s="1463">
        <v>21142870</v>
      </c>
      <c r="I52" s="253">
        <v>1</v>
      </c>
      <c r="J52" s="253">
        <v>0</v>
      </c>
      <c r="K52" s="254"/>
      <c r="L52" t="str">
        <f t="shared" si="1"/>
        <v>6</v>
      </c>
      <c r="M52" s="638" t="str">
        <f t="shared" si="2"/>
        <v>6422</v>
      </c>
      <c r="N52" s="255">
        <f t="shared" si="0"/>
        <v>21142870</v>
      </c>
      <c r="S52" s="257" t="s">
        <v>940</v>
      </c>
      <c r="T52" s="258">
        <v>18652505</v>
      </c>
      <c r="U52" s="233">
        <v>5110501</v>
      </c>
      <c r="V52" s="255">
        <v>-2486505311</v>
      </c>
      <c r="W52" t="e">
        <v>#N/A</v>
      </c>
      <c r="X52" s="257">
        <v>0</v>
      </c>
      <c r="Y52" s="642"/>
      <c r="Z52" s="257">
        <v>5110501</v>
      </c>
      <c r="AA52" t="s">
        <v>941</v>
      </c>
      <c r="AB52" s="233" t="s">
        <v>942</v>
      </c>
      <c r="AC52" t="s">
        <v>835</v>
      </c>
      <c r="AD52" s="641"/>
      <c r="AE52" s="257">
        <v>63201010505</v>
      </c>
      <c r="AF52" t="s">
        <v>943</v>
      </c>
      <c r="AG52" s="233" t="s">
        <v>313</v>
      </c>
      <c r="AH52" t="s">
        <v>835</v>
      </c>
    </row>
    <row r="53" spans="1:35">
      <c r="A53" s="1460">
        <v>45351</v>
      </c>
      <c r="B53" s="1461" t="s">
        <v>915</v>
      </c>
      <c r="C53" s="637"/>
      <c r="D53" s="637"/>
      <c r="E53" s="1462" t="s">
        <v>877</v>
      </c>
      <c r="F53" s="638" t="s">
        <v>769</v>
      </c>
      <c r="G53" s="1461" t="s">
        <v>381</v>
      </c>
      <c r="H53" s="1463">
        <v>7394940</v>
      </c>
      <c r="I53" s="253">
        <v>1</v>
      </c>
      <c r="J53" s="253">
        <v>0</v>
      </c>
      <c r="K53" s="254"/>
      <c r="L53" t="str">
        <f t="shared" si="1"/>
        <v>6</v>
      </c>
      <c r="M53" s="638" t="str">
        <f t="shared" si="2"/>
        <v>6423</v>
      </c>
      <c r="N53" s="255">
        <f t="shared" si="0"/>
        <v>7394940</v>
      </c>
      <c r="S53" s="257" t="s">
        <v>944</v>
      </c>
      <c r="T53" s="258">
        <v>15398710</v>
      </c>
      <c r="U53" s="233">
        <v>5110508</v>
      </c>
      <c r="V53" s="255">
        <v>-98839479</v>
      </c>
      <c r="W53" t="e">
        <v>#N/A</v>
      </c>
      <c r="X53" s="257">
        <v>51158</v>
      </c>
      <c r="Y53" s="642"/>
      <c r="Z53" s="257">
        <v>5110508</v>
      </c>
      <c r="AA53" t="s">
        <v>945</v>
      </c>
      <c r="AB53" s="233" t="s">
        <v>942</v>
      </c>
      <c r="AC53" t="s">
        <v>835</v>
      </c>
      <c r="AD53" s="641"/>
      <c r="AE53" s="257">
        <v>63201020301</v>
      </c>
      <c r="AF53" t="s">
        <v>946</v>
      </c>
      <c r="AG53" s="233" t="s">
        <v>315</v>
      </c>
      <c r="AH53" t="s">
        <v>835</v>
      </c>
    </row>
    <row r="54" spans="1:35">
      <c r="A54" s="1460">
        <v>45351</v>
      </c>
      <c r="B54" s="1461" t="s">
        <v>915</v>
      </c>
      <c r="C54" s="637"/>
      <c r="D54" s="637"/>
      <c r="E54" s="1462" t="s">
        <v>880</v>
      </c>
      <c r="F54" s="638" t="s">
        <v>769</v>
      </c>
      <c r="G54" s="1461" t="s">
        <v>383</v>
      </c>
      <c r="H54" s="1463">
        <v>91450284</v>
      </c>
      <c r="I54" s="253">
        <v>1</v>
      </c>
      <c r="J54" s="253">
        <v>0</v>
      </c>
      <c r="K54" s="254"/>
      <c r="L54" t="str">
        <f t="shared" si="1"/>
        <v>6</v>
      </c>
      <c r="M54" s="638" t="str">
        <f t="shared" si="2"/>
        <v>6424</v>
      </c>
      <c r="N54" s="255">
        <f t="shared" si="0"/>
        <v>91450284</v>
      </c>
      <c r="S54" s="257" t="s">
        <v>947</v>
      </c>
      <c r="T54" s="258">
        <v>42453628</v>
      </c>
      <c r="U54" s="233">
        <v>5110801</v>
      </c>
      <c r="V54" s="255">
        <v>-53039164</v>
      </c>
      <c r="W54" t="e">
        <v>#N/A</v>
      </c>
      <c r="X54" s="257">
        <v>0</v>
      </c>
      <c r="Y54" s="642"/>
      <c r="Z54" s="257">
        <v>5110801</v>
      </c>
      <c r="AA54" t="s">
        <v>850</v>
      </c>
      <c r="AB54" s="233" t="s">
        <v>948</v>
      </c>
      <c r="AC54" t="s">
        <v>851</v>
      </c>
      <c r="AD54" s="641"/>
      <c r="AE54" s="257">
        <v>63208</v>
      </c>
      <c r="AF54" t="s">
        <v>949</v>
      </c>
      <c r="AG54" s="233" t="s">
        <v>315</v>
      </c>
      <c r="AH54" t="s">
        <v>851</v>
      </c>
    </row>
    <row r="55" spans="1:35">
      <c r="A55" s="1460">
        <v>45351</v>
      </c>
      <c r="B55" s="1461" t="s">
        <v>915</v>
      </c>
      <c r="C55" s="637"/>
      <c r="D55" s="637"/>
      <c r="E55" s="1462" t="s">
        <v>950</v>
      </c>
      <c r="F55" s="638" t="s">
        <v>769</v>
      </c>
      <c r="G55" s="1461" t="s">
        <v>918</v>
      </c>
      <c r="H55" s="1463">
        <v>1422205479</v>
      </c>
      <c r="I55" s="253">
        <v>1</v>
      </c>
      <c r="J55" s="253">
        <v>0</v>
      </c>
      <c r="K55" s="254"/>
      <c r="L55" t="str">
        <f t="shared" si="1"/>
        <v>5</v>
      </c>
      <c r="M55" s="638" t="str">
        <f t="shared" si="2"/>
        <v>51101030203</v>
      </c>
      <c r="N55" s="255">
        <f t="shared" si="0"/>
        <v>1422205479</v>
      </c>
      <c r="S55" s="257" t="s">
        <v>951</v>
      </c>
      <c r="T55" s="258">
        <v>121093615</v>
      </c>
      <c r="U55" s="233">
        <v>5110802</v>
      </c>
      <c r="V55" s="255">
        <v>-22287928</v>
      </c>
      <c r="W55" t="e">
        <v>#N/A</v>
      </c>
      <c r="X55" s="257">
        <v>0</v>
      </c>
      <c r="Y55" s="642"/>
      <c r="Z55" s="257">
        <v>5110802</v>
      </c>
      <c r="AA55" t="s">
        <v>952</v>
      </c>
      <c r="AB55" s="233" t="s">
        <v>948</v>
      </c>
      <c r="AC55" t="s">
        <v>851</v>
      </c>
      <c r="AD55" s="641"/>
      <c r="AE55" s="257">
        <v>6333311</v>
      </c>
      <c r="AF55" t="s">
        <v>953</v>
      </c>
      <c r="AG55" s="233" t="s">
        <v>789</v>
      </c>
      <c r="AH55" t="s">
        <v>851</v>
      </c>
    </row>
    <row r="56" spans="1:35">
      <c r="A56" s="1460">
        <v>45351</v>
      </c>
      <c r="B56" s="1461" t="s">
        <v>915</v>
      </c>
      <c r="C56" s="637"/>
      <c r="D56" s="637"/>
      <c r="E56" s="1462" t="s">
        <v>818</v>
      </c>
      <c r="F56" s="638" t="s">
        <v>769</v>
      </c>
      <c r="G56" s="1461" t="s">
        <v>819</v>
      </c>
      <c r="H56" s="1463">
        <v>196363</v>
      </c>
      <c r="I56" s="253">
        <v>1</v>
      </c>
      <c r="J56" s="253">
        <v>0</v>
      </c>
      <c r="K56" s="254"/>
      <c r="L56" t="str">
        <f t="shared" si="1"/>
        <v>6</v>
      </c>
      <c r="M56" s="638" t="str">
        <f t="shared" si="2"/>
        <v>642710</v>
      </c>
      <c r="N56" s="255">
        <f t="shared" si="0"/>
        <v>196363</v>
      </c>
      <c r="S56" s="257" t="s">
        <v>954</v>
      </c>
      <c r="T56" s="258">
        <v>12690000</v>
      </c>
      <c r="U56" s="233">
        <v>6331711</v>
      </c>
      <c r="V56" s="255">
        <v>4290846257</v>
      </c>
      <c r="W56" t="e">
        <v>#N/A</v>
      </c>
      <c r="X56" s="257">
        <v>0</v>
      </c>
      <c r="Y56" s="642"/>
      <c r="Z56" s="257">
        <v>6331711</v>
      </c>
      <c r="AA56" t="s">
        <v>955</v>
      </c>
      <c r="AB56" s="233" t="s">
        <v>789</v>
      </c>
      <c r="AC56" t="s">
        <v>835</v>
      </c>
      <c r="AD56" s="641"/>
      <c r="AE56" s="257">
        <v>6333312</v>
      </c>
      <c r="AF56" t="s">
        <v>956</v>
      </c>
      <c r="AG56" s="233" t="s">
        <v>789</v>
      </c>
      <c r="AH56" t="s">
        <v>835</v>
      </c>
    </row>
    <row r="57" spans="1:35">
      <c r="A57" s="1460">
        <v>45351</v>
      </c>
      <c r="B57" s="1461" t="s">
        <v>915</v>
      </c>
      <c r="C57" s="637"/>
      <c r="D57" s="637"/>
      <c r="E57" s="1462" t="s">
        <v>824</v>
      </c>
      <c r="F57" s="638" t="s">
        <v>769</v>
      </c>
      <c r="G57" s="1461" t="s">
        <v>825</v>
      </c>
      <c r="H57" s="1463">
        <v>5562049</v>
      </c>
      <c r="I57" s="253">
        <v>1</v>
      </c>
      <c r="J57" s="253">
        <v>0</v>
      </c>
      <c r="K57" s="254"/>
      <c r="L57" t="str">
        <f t="shared" si="1"/>
        <v>6</v>
      </c>
      <c r="M57" s="638" t="str">
        <f t="shared" si="2"/>
        <v>642711</v>
      </c>
      <c r="N57" s="255">
        <f t="shared" si="0"/>
        <v>5562049</v>
      </c>
      <c r="S57" s="257" t="s">
        <v>957</v>
      </c>
      <c r="T57" s="258">
        <v>0</v>
      </c>
      <c r="U57" s="233">
        <v>6331712</v>
      </c>
      <c r="V57" s="255">
        <v>372790000</v>
      </c>
      <c r="W57" t="e">
        <v>#N/A</v>
      </c>
      <c r="X57" s="257">
        <v>0</v>
      </c>
      <c r="Y57" s="642"/>
      <c r="Z57" s="257">
        <v>6331712</v>
      </c>
      <c r="AA57" t="s">
        <v>958</v>
      </c>
      <c r="AB57" s="233" t="s">
        <v>789</v>
      </c>
      <c r="AC57" t="s">
        <v>835</v>
      </c>
      <c r="AD57" s="641"/>
      <c r="AE57" s="257">
        <v>64132</v>
      </c>
      <c r="AF57" t="s">
        <v>959</v>
      </c>
      <c r="AG57" s="233" t="s">
        <v>369</v>
      </c>
      <c r="AH57" t="s">
        <v>835</v>
      </c>
    </row>
    <row r="58" spans="1:35">
      <c r="A58" s="1460">
        <v>45351</v>
      </c>
      <c r="B58" s="1461" t="s">
        <v>915</v>
      </c>
      <c r="C58" s="637"/>
      <c r="D58" s="637"/>
      <c r="E58" s="1462" t="s">
        <v>827</v>
      </c>
      <c r="F58" s="638" t="s">
        <v>769</v>
      </c>
      <c r="G58" s="1461" t="s">
        <v>828</v>
      </c>
      <c r="H58" s="1463">
        <v>442100</v>
      </c>
      <c r="I58" s="253">
        <v>1</v>
      </c>
      <c r="J58" s="253">
        <v>0</v>
      </c>
      <c r="K58" s="254"/>
      <c r="L58" t="str">
        <f t="shared" si="1"/>
        <v>6</v>
      </c>
      <c r="M58" s="638" t="str">
        <f t="shared" si="2"/>
        <v>642712</v>
      </c>
      <c r="N58" s="255">
        <f t="shared" si="0"/>
        <v>442100</v>
      </c>
      <c r="S58" s="257" t="s">
        <v>960</v>
      </c>
      <c r="T58" s="258">
        <v>0</v>
      </c>
      <c r="U58" s="233">
        <v>511030101</v>
      </c>
      <c r="V58" s="255">
        <v>-1307537334</v>
      </c>
      <c r="W58" t="e">
        <v>#N/A</v>
      </c>
      <c r="X58" s="257">
        <v>0</v>
      </c>
      <c r="Y58" s="642"/>
      <c r="Z58" s="257">
        <v>511030101</v>
      </c>
      <c r="AA58" t="s">
        <v>961</v>
      </c>
      <c r="AB58" s="233" t="s">
        <v>261</v>
      </c>
      <c r="AC58">
        <v>0</v>
      </c>
      <c r="AD58" s="641"/>
      <c r="AE58" s="257">
        <v>641703</v>
      </c>
      <c r="AF58" t="s">
        <v>962</v>
      </c>
      <c r="AG58" s="233" t="s">
        <v>363</v>
      </c>
      <c r="AH58">
        <v>0</v>
      </c>
    </row>
    <row r="59" spans="1:35">
      <c r="A59" s="1460">
        <v>45351</v>
      </c>
      <c r="B59" s="1461" t="s">
        <v>915</v>
      </c>
      <c r="C59" s="637"/>
      <c r="D59" s="637"/>
      <c r="E59" s="1462" t="s">
        <v>832</v>
      </c>
      <c r="F59" s="638" t="s">
        <v>769</v>
      </c>
      <c r="G59" s="1461" t="s">
        <v>833</v>
      </c>
      <c r="H59" s="1463">
        <v>13197370</v>
      </c>
      <c r="I59" s="253">
        <v>1</v>
      </c>
      <c r="J59" s="253">
        <v>0</v>
      </c>
      <c r="K59" s="254"/>
      <c r="L59" t="str">
        <f t="shared" si="1"/>
        <v>6</v>
      </c>
      <c r="M59" s="638" t="str">
        <f t="shared" si="2"/>
        <v>642799</v>
      </c>
      <c r="N59" s="255">
        <f t="shared" si="0"/>
        <v>13197370</v>
      </c>
      <c r="S59" s="257" t="s">
        <v>963</v>
      </c>
      <c r="T59" s="258">
        <v>0</v>
      </c>
      <c r="U59" s="233">
        <v>511030201</v>
      </c>
      <c r="V59" s="255">
        <v>-390053032</v>
      </c>
      <c r="W59" t="e">
        <v>#N/A</v>
      </c>
      <c r="X59" s="257">
        <v>0</v>
      </c>
      <c r="Y59" s="642"/>
      <c r="Z59" s="257">
        <v>511030201</v>
      </c>
      <c r="AA59" t="s">
        <v>964</v>
      </c>
      <c r="AB59" s="233" t="s">
        <v>261</v>
      </c>
      <c r="AC59">
        <v>0</v>
      </c>
      <c r="AD59" s="641"/>
      <c r="AE59" s="257">
        <v>641705</v>
      </c>
      <c r="AF59" t="s">
        <v>965</v>
      </c>
      <c r="AG59" s="233" t="s">
        <v>363</v>
      </c>
      <c r="AH59">
        <v>0</v>
      </c>
    </row>
    <row r="60" spans="1:35">
      <c r="A60" s="1460">
        <v>45351</v>
      </c>
      <c r="B60" s="1461" t="s">
        <v>915</v>
      </c>
      <c r="C60" s="637"/>
      <c r="D60" s="637"/>
      <c r="E60" s="1462" t="s">
        <v>966</v>
      </c>
      <c r="F60" s="638" t="s">
        <v>769</v>
      </c>
      <c r="G60" s="1461" t="s">
        <v>967</v>
      </c>
      <c r="H60" s="1463">
        <v>25304107</v>
      </c>
      <c r="I60" s="253">
        <v>1</v>
      </c>
      <c r="J60" s="253">
        <v>0</v>
      </c>
      <c r="K60" s="254"/>
      <c r="L60" t="str">
        <f t="shared" si="1"/>
        <v>6</v>
      </c>
      <c r="M60" s="638" t="str">
        <f t="shared" si="2"/>
        <v>642899</v>
      </c>
      <c r="N60" s="255">
        <f t="shared" si="0"/>
        <v>25304107</v>
      </c>
      <c r="S60" s="257" t="s">
        <v>968</v>
      </c>
      <c r="T60" s="258">
        <v>0</v>
      </c>
      <c r="U60" s="233">
        <v>51101010405</v>
      </c>
      <c r="V60" s="255">
        <v>-1836448800</v>
      </c>
      <c r="W60" t="e">
        <v>#N/A</v>
      </c>
      <c r="X60" s="257">
        <v>0</v>
      </c>
      <c r="Y60" s="642"/>
      <c r="Z60" s="257">
        <v>51101010405</v>
      </c>
      <c r="AA60" t="s">
        <v>969</v>
      </c>
      <c r="AB60" s="233" t="s">
        <v>257</v>
      </c>
      <c r="AC60" t="s">
        <v>970</v>
      </c>
      <c r="AD60" s="641" t="s">
        <v>681</v>
      </c>
      <c r="AE60" s="257">
        <v>641706</v>
      </c>
      <c r="AF60" t="s">
        <v>971</v>
      </c>
      <c r="AG60" s="233" t="s">
        <v>363</v>
      </c>
      <c r="AH60" t="s">
        <v>970</v>
      </c>
      <c r="AI60" t="s">
        <v>681</v>
      </c>
    </row>
    <row r="61" spans="1:35">
      <c r="A61" s="1460">
        <v>45351</v>
      </c>
      <c r="B61" s="1461" t="s">
        <v>915</v>
      </c>
      <c r="C61" s="637"/>
      <c r="D61" s="637"/>
      <c r="E61" s="1462" t="s">
        <v>972</v>
      </c>
      <c r="F61" s="638" t="s">
        <v>769</v>
      </c>
      <c r="G61" s="1461" t="s">
        <v>930</v>
      </c>
      <c r="H61" s="1463">
        <v>28350</v>
      </c>
      <c r="I61" s="253">
        <v>1</v>
      </c>
      <c r="J61" s="253">
        <v>0</v>
      </c>
      <c r="K61" s="254"/>
      <c r="L61" t="str">
        <f t="shared" si="1"/>
        <v>8</v>
      </c>
      <c r="M61" s="638" t="str">
        <f t="shared" si="2"/>
        <v>8114</v>
      </c>
      <c r="N61" s="255">
        <f t="shared" si="0"/>
        <v>28350</v>
      </c>
      <c r="S61" s="257" t="s">
        <v>973</v>
      </c>
      <c r="T61" s="258">
        <v>3300000</v>
      </c>
      <c r="U61" s="233">
        <v>51101010505</v>
      </c>
      <c r="V61" s="255">
        <v>-8133412984</v>
      </c>
      <c r="W61" t="e">
        <v>#N/A</v>
      </c>
      <c r="X61" s="257">
        <v>51111505</v>
      </c>
      <c r="Y61" s="642"/>
      <c r="Z61" s="257">
        <v>51101010505</v>
      </c>
      <c r="AA61" t="s">
        <v>974</v>
      </c>
      <c r="AB61" s="233" t="s">
        <v>257</v>
      </c>
      <c r="AC61">
        <v>0</v>
      </c>
      <c r="AD61" s="641" t="s">
        <v>681</v>
      </c>
      <c r="AE61" s="257">
        <v>6322105</v>
      </c>
      <c r="AF61" t="s">
        <v>975</v>
      </c>
      <c r="AG61" s="233" t="s">
        <v>315</v>
      </c>
      <c r="AH61">
        <v>0</v>
      </c>
      <c r="AI61" t="s">
        <v>681</v>
      </c>
    </row>
    <row r="62" spans="1:35">
      <c r="A62" s="1460">
        <v>45351</v>
      </c>
      <c r="B62" s="1461" t="s">
        <v>915</v>
      </c>
      <c r="C62" s="637"/>
      <c r="D62" s="637"/>
      <c r="E62" s="1462" t="s">
        <v>838</v>
      </c>
      <c r="F62" s="638" t="s">
        <v>769</v>
      </c>
      <c r="G62" s="1461" t="s">
        <v>839</v>
      </c>
      <c r="H62" s="1463">
        <v>356207662</v>
      </c>
      <c r="I62" s="253">
        <v>1</v>
      </c>
      <c r="J62" s="253">
        <v>0</v>
      </c>
      <c r="K62" s="254"/>
      <c r="L62" t="str">
        <f t="shared" si="1"/>
        <v>6</v>
      </c>
      <c r="M62" s="638" t="str">
        <f t="shared" si="2"/>
        <v>642701</v>
      </c>
      <c r="N62" s="255">
        <f t="shared" si="0"/>
        <v>356207662</v>
      </c>
      <c r="S62" s="257" t="s">
        <v>976</v>
      </c>
      <c r="T62" s="258">
        <v>-3224571123</v>
      </c>
      <c r="U62" s="233">
        <v>51101020306</v>
      </c>
      <c r="V62" s="255">
        <v>-861800000</v>
      </c>
      <c r="W62" t="e">
        <v>#N/A</v>
      </c>
      <c r="X62" s="257">
        <v>0</v>
      </c>
      <c r="Y62" s="642"/>
      <c r="Z62" s="257">
        <v>51101020306</v>
      </c>
      <c r="AA62" t="s">
        <v>977</v>
      </c>
      <c r="AB62" s="233" t="s">
        <v>978</v>
      </c>
      <c r="AC62">
        <v>0</v>
      </c>
      <c r="AD62" s="641"/>
      <c r="AE62" s="257">
        <v>51101010306</v>
      </c>
      <c r="AF62" t="s">
        <v>979</v>
      </c>
      <c r="AG62" s="233" t="s">
        <v>754</v>
      </c>
      <c r="AH62">
        <v>0</v>
      </c>
    </row>
    <row r="63" spans="1:35">
      <c r="A63" s="1460">
        <v>45351</v>
      </c>
      <c r="B63" s="1461" t="s">
        <v>915</v>
      </c>
      <c r="C63" s="637"/>
      <c r="D63" s="637"/>
      <c r="E63" s="1462" t="s">
        <v>842</v>
      </c>
      <c r="F63" s="638" t="s">
        <v>769</v>
      </c>
      <c r="G63" s="1461" t="s">
        <v>843</v>
      </c>
      <c r="H63" s="1463">
        <v>23332956</v>
      </c>
      <c r="I63" s="253">
        <v>1</v>
      </c>
      <c r="J63" s="253">
        <v>0</v>
      </c>
      <c r="K63" s="254"/>
      <c r="L63" t="str">
        <f t="shared" si="1"/>
        <v>6</v>
      </c>
      <c r="M63" s="638" t="str">
        <f t="shared" si="2"/>
        <v>642702</v>
      </c>
      <c r="N63" s="255">
        <f t="shared" si="0"/>
        <v>23332956</v>
      </c>
      <c r="S63" s="257" t="s">
        <v>980</v>
      </c>
      <c r="T63" s="258">
        <v>-8044575345</v>
      </c>
      <c r="U63" s="233">
        <v>51101020405</v>
      </c>
      <c r="V63" s="255">
        <v>0</v>
      </c>
      <c r="W63" t="e">
        <v>#N/A</v>
      </c>
      <c r="X63" s="257">
        <v>0</v>
      </c>
      <c r="Y63" s="642"/>
      <c r="Z63" s="257">
        <v>51101020405</v>
      </c>
      <c r="AA63" t="s">
        <v>981</v>
      </c>
      <c r="AB63" s="233" t="s">
        <v>978</v>
      </c>
      <c r="AC63">
        <v>0</v>
      </c>
      <c r="AD63" s="641"/>
      <c r="AE63" s="257">
        <v>51101030202</v>
      </c>
      <c r="AF63" t="s">
        <v>982</v>
      </c>
      <c r="AG63" s="233" t="s">
        <v>251</v>
      </c>
      <c r="AH63">
        <v>0</v>
      </c>
    </row>
    <row r="64" spans="1:35">
      <c r="A64" s="1460">
        <v>45351</v>
      </c>
      <c r="B64" s="1461" t="s">
        <v>915</v>
      </c>
      <c r="C64" s="637"/>
      <c r="D64" s="637"/>
      <c r="E64" s="1462" t="s">
        <v>983</v>
      </c>
      <c r="F64" s="638" t="s">
        <v>769</v>
      </c>
      <c r="G64" s="1461" t="s">
        <v>924</v>
      </c>
      <c r="H64" s="1463">
        <v>26840000</v>
      </c>
      <c r="I64" s="253">
        <v>1</v>
      </c>
      <c r="J64" s="253">
        <v>0</v>
      </c>
      <c r="K64" s="254"/>
      <c r="L64" t="str">
        <f t="shared" si="1"/>
        <v>6</v>
      </c>
      <c r="M64" s="638" t="str">
        <f t="shared" si="2"/>
        <v>64131</v>
      </c>
      <c r="N64" s="255">
        <f t="shared" si="0"/>
        <v>26840000</v>
      </c>
      <c r="S64" s="257" t="s">
        <v>984</v>
      </c>
      <c r="T64" s="258">
        <v>-12135199856</v>
      </c>
      <c r="U64" s="233">
        <v>51101020406</v>
      </c>
      <c r="V64" s="255">
        <v>-299315068</v>
      </c>
      <c r="W64" t="e">
        <v>#N/A</v>
      </c>
      <c r="X64" s="257">
        <v>0</v>
      </c>
      <c r="Y64" s="642"/>
      <c r="Z64" s="257">
        <v>51101020406</v>
      </c>
      <c r="AA64" t="s">
        <v>977</v>
      </c>
      <c r="AB64" s="233" t="s">
        <v>978</v>
      </c>
      <c r="AC64">
        <v>0</v>
      </c>
      <c r="AD64" s="641"/>
      <c r="AE64" s="257">
        <v>511030101</v>
      </c>
      <c r="AF64" t="s">
        <v>985</v>
      </c>
      <c r="AG64" s="233" t="s">
        <v>261</v>
      </c>
      <c r="AH64">
        <v>0</v>
      </c>
    </row>
    <row r="65" spans="1:34">
      <c r="A65" s="1460">
        <v>45351</v>
      </c>
      <c r="B65" s="1461" t="s">
        <v>915</v>
      </c>
      <c r="C65" s="637"/>
      <c r="D65" s="637"/>
      <c r="E65" s="1462" t="s">
        <v>888</v>
      </c>
      <c r="F65" s="638" t="s">
        <v>769</v>
      </c>
      <c r="G65" s="1461" t="s">
        <v>345</v>
      </c>
      <c r="H65" s="1463">
        <v>7223287</v>
      </c>
      <c r="I65" s="253">
        <v>1</v>
      </c>
      <c r="J65" s="253">
        <v>0</v>
      </c>
      <c r="K65" s="254"/>
      <c r="L65" t="str">
        <f t="shared" si="1"/>
        <v>6</v>
      </c>
      <c r="M65" s="638" t="str">
        <f t="shared" si="2"/>
        <v>6414</v>
      </c>
      <c r="N65" s="255">
        <f t="shared" si="0"/>
        <v>7223287</v>
      </c>
      <c r="S65" s="257" t="s">
        <v>986</v>
      </c>
      <c r="T65" s="258">
        <v>-1349730576</v>
      </c>
      <c r="U65" s="233">
        <v>51101020505</v>
      </c>
      <c r="V65" s="255">
        <v>-1286835617</v>
      </c>
      <c r="W65" t="e">
        <v>#N/A</v>
      </c>
      <c r="X65" s="257">
        <v>51101020505</v>
      </c>
      <c r="Y65" s="642"/>
      <c r="Z65" s="257">
        <v>51101020505</v>
      </c>
      <c r="AA65" t="s">
        <v>987</v>
      </c>
      <c r="AB65" s="398" t="s">
        <v>978</v>
      </c>
      <c r="AC65">
        <v>0</v>
      </c>
      <c r="AD65" s="641"/>
      <c r="AE65" s="257">
        <v>511030201</v>
      </c>
      <c r="AF65" t="s">
        <v>988</v>
      </c>
      <c r="AG65" s="233" t="s">
        <v>261</v>
      </c>
      <c r="AH65">
        <v>0</v>
      </c>
    </row>
    <row r="66" spans="1:34">
      <c r="A66" s="1460">
        <v>45351</v>
      </c>
      <c r="B66" s="1461" t="s">
        <v>915</v>
      </c>
      <c r="C66" s="637"/>
      <c r="D66" s="637"/>
      <c r="E66" s="1462" t="s">
        <v>989</v>
      </c>
      <c r="F66" s="638" t="s">
        <v>769</v>
      </c>
      <c r="G66" s="1461" t="s">
        <v>927</v>
      </c>
      <c r="H66" s="1463">
        <v>5400000</v>
      </c>
      <c r="I66" s="253">
        <v>1</v>
      </c>
      <c r="J66" s="253">
        <v>0</v>
      </c>
      <c r="K66" s="254"/>
      <c r="L66" t="str">
        <f t="shared" si="1"/>
        <v>6</v>
      </c>
      <c r="M66" s="638" t="str">
        <f t="shared" si="2"/>
        <v>641701</v>
      </c>
      <c r="N66" s="255">
        <f t="shared" si="0"/>
        <v>5400000</v>
      </c>
      <c r="S66" s="257" t="s">
        <v>990</v>
      </c>
      <c r="T66" s="258">
        <v>-6829993173</v>
      </c>
      <c r="U66" s="233">
        <v>63201010101</v>
      </c>
      <c r="V66" s="255">
        <v>158665000</v>
      </c>
      <c r="W66" t="e">
        <v>#N/A</v>
      </c>
      <c r="X66" s="257">
        <v>0</v>
      </c>
      <c r="Y66" s="642"/>
      <c r="Z66" s="257">
        <v>63201010101</v>
      </c>
      <c r="AA66" t="s">
        <v>991</v>
      </c>
      <c r="AB66" s="233" t="s">
        <v>317</v>
      </c>
      <c r="AC66">
        <v>0</v>
      </c>
      <c r="AD66" s="641"/>
      <c r="AE66" s="257">
        <v>5110501</v>
      </c>
      <c r="AF66" t="s">
        <v>992</v>
      </c>
      <c r="AG66" s="233" t="s">
        <v>942</v>
      </c>
      <c r="AH66">
        <v>0</v>
      </c>
    </row>
    <row r="67" spans="1:34">
      <c r="A67" s="1460">
        <v>45351</v>
      </c>
      <c r="B67" s="1461" t="s">
        <v>915</v>
      </c>
      <c r="C67" s="637"/>
      <c r="D67" s="637"/>
      <c r="E67" s="1462" t="s">
        <v>891</v>
      </c>
      <c r="F67" s="638" t="s">
        <v>769</v>
      </c>
      <c r="G67" s="1461" t="s">
        <v>844</v>
      </c>
      <c r="H67" s="1463">
        <v>2299904</v>
      </c>
      <c r="I67" s="253">
        <v>1</v>
      </c>
      <c r="J67" s="253">
        <v>0</v>
      </c>
      <c r="K67" s="254"/>
      <c r="L67" t="str">
        <f t="shared" si="1"/>
        <v>6</v>
      </c>
      <c r="M67" s="638" t="str">
        <f t="shared" si="2"/>
        <v>641702</v>
      </c>
      <c r="N67" s="255">
        <f t="shared" si="0"/>
        <v>2299904</v>
      </c>
      <c r="S67" s="257" t="s">
        <v>993</v>
      </c>
      <c r="T67" s="258">
        <v>-748728570</v>
      </c>
      <c r="U67" t="s">
        <v>481</v>
      </c>
      <c r="V67" s="255">
        <v>0</v>
      </c>
      <c r="W67" t="e">
        <v>#N/A</v>
      </c>
      <c r="AE67" s="257">
        <v>5110508</v>
      </c>
      <c r="AF67" t="s">
        <v>994</v>
      </c>
      <c r="AG67" s="233" t="s">
        <v>942</v>
      </c>
    </row>
    <row r="68" spans="1:34">
      <c r="A68" s="1460">
        <v>45351</v>
      </c>
      <c r="B68" s="1461" t="s">
        <v>915</v>
      </c>
      <c r="C68" s="637"/>
      <c r="D68" s="637"/>
      <c r="E68" s="1462" t="s">
        <v>900</v>
      </c>
      <c r="F68" s="638" t="s">
        <v>769</v>
      </c>
      <c r="G68" s="1461" t="s">
        <v>860</v>
      </c>
      <c r="H68" s="1463">
        <v>12100</v>
      </c>
      <c r="I68" s="253">
        <v>1</v>
      </c>
      <c r="J68" s="253">
        <v>0</v>
      </c>
      <c r="K68" s="254"/>
      <c r="L68" t="str">
        <f t="shared" si="1"/>
        <v>6</v>
      </c>
      <c r="M68" s="638" t="str">
        <f t="shared" si="2"/>
        <v>641809</v>
      </c>
      <c r="N68" s="255">
        <f t="shared" si="0"/>
        <v>12100</v>
      </c>
      <c r="S68" s="257" t="s">
        <v>995</v>
      </c>
      <c r="T68" s="258">
        <v>-189509555</v>
      </c>
      <c r="AE68" s="257">
        <v>5110801</v>
      </c>
      <c r="AF68" t="s">
        <v>822</v>
      </c>
      <c r="AG68" s="233" t="s">
        <v>948</v>
      </c>
    </row>
    <row r="69" spans="1:34">
      <c r="A69" s="1460">
        <v>45351</v>
      </c>
      <c r="B69" s="1461" t="s">
        <v>915</v>
      </c>
      <c r="C69" s="637"/>
      <c r="D69" s="637"/>
      <c r="E69" s="1462" t="s">
        <v>867</v>
      </c>
      <c r="F69" s="638" t="s">
        <v>769</v>
      </c>
      <c r="G69" s="1461" t="s">
        <v>378</v>
      </c>
      <c r="H69" s="1463">
        <v>1429893934</v>
      </c>
      <c r="I69" s="253">
        <v>1</v>
      </c>
      <c r="J69" s="253">
        <v>0</v>
      </c>
      <c r="K69" s="254"/>
      <c r="L69" t="str">
        <f t="shared" si="1"/>
        <v>6</v>
      </c>
      <c r="M69" s="638" t="str">
        <f t="shared" si="2"/>
        <v>64211</v>
      </c>
      <c r="N69" s="255">
        <f t="shared" si="0"/>
        <v>1429893934</v>
      </c>
      <c r="S69" s="257" t="s">
        <v>996</v>
      </c>
      <c r="T69" s="258">
        <v>-46253652</v>
      </c>
      <c r="AE69" s="257">
        <v>5110802</v>
      </c>
      <c r="AF69" t="s">
        <v>997</v>
      </c>
      <c r="AG69" s="233" t="s">
        <v>948</v>
      </c>
    </row>
    <row r="70" spans="1:34">
      <c r="A70" s="1460">
        <v>45351</v>
      </c>
      <c r="B70" s="1461" t="s">
        <v>915</v>
      </c>
      <c r="C70" s="637"/>
      <c r="D70" s="637"/>
      <c r="E70" s="1462" t="s">
        <v>906</v>
      </c>
      <c r="F70" s="638" t="s">
        <v>769</v>
      </c>
      <c r="G70" s="1461" t="s">
        <v>811</v>
      </c>
      <c r="H70" s="1463">
        <v>112194335</v>
      </c>
      <c r="I70" s="253">
        <v>1</v>
      </c>
      <c r="J70" s="253">
        <v>0</v>
      </c>
      <c r="K70" s="254"/>
      <c r="L70" t="str">
        <f t="shared" si="1"/>
        <v>6</v>
      </c>
      <c r="M70" s="638" t="str">
        <f t="shared" si="2"/>
        <v>633174</v>
      </c>
      <c r="N70" s="255">
        <f t="shared" si="0"/>
        <v>112194335</v>
      </c>
      <c r="S70" s="257" t="s">
        <v>998</v>
      </c>
      <c r="T70" s="258">
        <v>-9887740004</v>
      </c>
      <c r="AE70" s="257">
        <v>51118</v>
      </c>
      <c r="AF70" t="s">
        <v>999</v>
      </c>
      <c r="AG70" s="233" t="s">
        <v>245</v>
      </c>
    </row>
    <row r="71" spans="1:34">
      <c r="A71" s="1460">
        <v>45351</v>
      </c>
      <c r="B71" s="1461" t="s">
        <v>915</v>
      </c>
      <c r="C71" s="637"/>
      <c r="D71" s="637"/>
      <c r="E71" s="1462" t="s">
        <v>909</v>
      </c>
      <c r="F71" s="638" t="s">
        <v>769</v>
      </c>
      <c r="G71" s="1461" t="s">
        <v>815</v>
      </c>
      <c r="H71" s="1463">
        <v>262951598</v>
      </c>
      <c r="I71" s="253">
        <v>1</v>
      </c>
      <c r="J71" s="253">
        <v>0</v>
      </c>
      <c r="K71" s="254"/>
      <c r="L71" t="str">
        <f t="shared" si="1"/>
        <v>6</v>
      </c>
      <c r="M71" s="638" t="str">
        <f t="shared" si="2"/>
        <v>633175</v>
      </c>
      <c r="N71" s="255">
        <f t="shared" si="0"/>
        <v>262951598</v>
      </c>
      <c r="S71" s="257" t="s">
        <v>251</v>
      </c>
      <c r="T71" s="258">
        <v>-33277416</v>
      </c>
      <c r="AE71" s="257">
        <v>5152</v>
      </c>
      <c r="AF71" t="s">
        <v>1000</v>
      </c>
      <c r="AG71" s="233" t="s">
        <v>251</v>
      </c>
    </row>
    <row r="72" spans="1:34">
      <c r="A72" s="1460">
        <v>45351</v>
      </c>
      <c r="B72" s="1461" t="s">
        <v>915</v>
      </c>
      <c r="C72" s="637"/>
      <c r="D72" s="637"/>
      <c r="E72" s="1462" t="s">
        <v>912</v>
      </c>
      <c r="F72" s="638" t="s">
        <v>769</v>
      </c>
      <c r="G72" s="1461" t="s">
        <v>820</v>
      </c>
      <c r="H72" s="1463">
        <v>10268867</v>
      </c>
      <c r="I72" s="253">
        <v>1</v>
      </c>
      <c r="J72" s="253">
        <v>0</v>
      </c>
      <c r="K72" s="254"/>
      <c r="L72" t="str">
        <f t="shared" si="1"/>
        <v>6</v>
      </c>
      <c r="M72" s="638" t="str">
        <f t="shared" si="2"/>
        <v>63341</v>
      </c>
      <c r="N72" s="255">
        <f t="shared" ref="N72:N135" si="3">IF(LEFT(F72,1)="9",H72,-H72)</f>
        <v>10268867</v>
      </c>
      <c r="S72" s="257" t="s">
        <v>1001</v>
      </c>
      <c r="T72" s="258">
        <v>-442278855</v>
      </c>
      <c r="AE72" s="257">
        <v>7114</v>
      </c>
      <c r="AF72" t="s">
        <v>1002</v>
      </c>
      <c r="AG72" s="233" t="s">
        <v>442</v>
      </c>
    </row>
    <row r="73" spans="1:34">
      <c r="A73" s="1460">
        <v>45351</v>
      </c>
      <c r="B73" s="1461" t="s">
        <v>915</v>
      </c>
      <c r="C73" s="637"/>
      <c r="D73" s="637"/>
      <c r="E73" s="1462" t="s">
        <v>798</v>
      </c>
      <c r="F73" s="638" t="s">
        <v>769</v>
      </c>
      <c r="G73" s="1461" t="s">
        <v>799</v>
      </c>
      <c r="H73" s="1463">
        <v>3428248</v>
      </c>
      <c r="I73" s="253">
        <v>1</v>
      </c>
      <c r="J73" s="253">
        <v>0</v>
      </c>
      <c r="K73" s="254"/>
      <c r="L73" t="str">
        <f t="shared" ref="L73:L136" si="4">LEFT(M73,1)</f>
        <v>6</v>
      </c>
      <c r="M73" s="638" t="str">
        <f t="shared" ref="M73:M136" si="5">G73</f>
        <v>63345</v>
      </c>
      <c r="N73" s="255">
        <f t="shared" si="3"/>
        <v>3428248</v>
      </c>
      <c r="S73" s="257" t="s">
        <v>1003</v>
      </c>
      <c r="T73" s="258">
        <v>-20888990167</v>
      </c>
      <c r="AE73" s="257">
        <v>42112</v>
      </c>
      <c r="AF73" t="s">
        <v>1004</v>
      </c>
      <c r="AG73" s="233">
        <v>0</v>
      </c>
    </row>
    <row r="74" spans="1:34">
      <c r="A74" s="1460">
        <v>45351</v>
      </c>
      <c r="B74" s="1461" t="s">
        <v>915</v>
      </c>
      <c r="C74" s="637"/>
      <c r="D74" s="637"/>
      <c r="E74" s="1462" t="s">
        <v>802</v>
      </c>
      <c r="F74" s="638" t="s">
        <v>769</v>
      </c>
      <c r="G74" s="1461" t="s">
        <v>337</v>
      </c>
      <c r="H74" s="1463">
        <v>407967307</v>
      </c>
      <c r="I74" s="253">
        <v>1</v>
      </c>
      <c r="J74" s="253">
        <v>0</v>
      </c>
      <c r="K74" s="254"/>
      <c r="L74" t="str">
        <f t="shared" si="4"/>
        <v>6</v>
      </c>
      <c r="M74" s="638" t="str">
        <f t="shared" si="5"/>
        <v>64111</v>
      </c>
      <c r="N74" s="255">
        <f t="shared" si="3"/>
        <v>407967307</v>
      </c>
      <c r="S74" s="257" t="s">
        <v>1005</v>
      </c>
      <c r="T74" s="258">
        <v>-675669673</v>
      </c>
      <c r="AE74" s="257">
        <v>42122</v>
      </c>
      <c r="AF74" t="s">
        <v>1006</v>
      </c>
      <c r="AG74" s="233">
        <v>0</v>
      </c>
    </row>
    <row r="75" spans="1:34">
      <c r="A75" s="1460">
        <v>45351</v>
      </c>
      <c r="B75" s="1461" t="s">
        <v>915</v>
      </c>
      <c r="C75" s="637"/>
      <c r="D75" s="637"/>
      <c r="E75" s="1462" t="s">
        <v>885</v>
      </c>
      <c r="F75" s="638" t="s">
        <v>769</v>
      </c>
      <c r="G75" s="1461" t="s">
        <v>339</v>
      </c>
      <c r="H75" s="1463">
        <v>35392000</v>
      </c>
      <c r="I75" s="253">
        <v>1</v>
      </c>
      <c r="J75" s="253">
        <v>0</v>
      </c>
      <c r="K75" s="254"/>
      <c r="L75" t="str">
        <f t="shared" si="4"/>
        <v>6</v>
      </c>
      <c r="M75" s="638" t="str">
        <f t="shared" si="5"/>
        <v>64112</v>
      </c>
      <c r="N75" s="255">
        <f t="shared" si="3"/>
        <v>35392000</v>
      </c>
      <c r="S75" s="257" t="s">
        <v>1007</v>
      </c>
      <c r="T75" s="258">
        <v>-4758419170</v>
      </c>
      <c r="AE75" s="257">
        <v>51101010505</v>
      </c>
      <c r="AF75" t="s">
        <v>1008</v>
      </c>
      <c r="AG75" s="233" t="s">
        <v>257</v>
      </c>
    </row>
    <row r="76" spans="1:34">
      <c r="A76" s="1460">
        <v>45351</v>
      </c>
      <c r="B76" s="1461" t="s">
        <v>915</v>
      </c>
      <c r="C76" s="637"/>
      <c r="D76" s="637"/>
      <c r="E76" s="1462" t="s">
        <v>780</v>
      </c>
      <c r="F76" s="638" t="s">
        <v>769</v>
      </c>
      <c r="G76" s="1461" t="s">
        <v>781</v>
      </c>
      <c r="H76" s="1463">
        <v>35242999</v>
      </c>
      <c r="I76" s="253">
        <v>1</v>
      </c>
      <c r="J76" s="253">
        <v>0</v>
      </c>
      <c r="K76" s="254"/>
      <c r="L76" t="str">
        <f t="shared" si="4"/>
        <v>6</v>
      </c>
      <c r="M76" s="638" t="str">
        <f t="shared" si="5"/>
        <v>63312</v>
      </c>
      <c r="N76" s="255">
        <f t="shared" si="3"/>
        <v>35242999</v>
      </c>
      <c r="S76" s="257" t="s">
        <v>1009</v>
      </c>
      <c r="T76" s="258">
        <v>-128799000</v>
      </c>
      <c r="AE76" s="257">
        <v>5110701</v>
      </c>
      <c r="AF76" t="s">
        <v>1010</v>
      </c>
      <c r="AG76" s="233" t="s">
        <v>942</v>
      </c>
    </row>
    <row r="77" spans="1:34">
      <c r="A77" s="1460">
        <v>45351</v>
      </c>
      <c r="B77" s="1461" t="s">
        <v>915</v>
      </c>
      <c r="C77" s="637"/>
      <c r="D77" s="637"/>
      <c r="E77" s="1462" t="s">
        <v>786</v>
      </c>
      <c r="F77" s="638" t="s">
        <v>769</v>
      </c>
      <c r="G77" s="1461" t="s">
        <v>787</v>
      </c>
      <c r="H77" s="1463">
        <v>5833333</v>
      </c>
      <c r="I77" s="253">
        <v>1</v>
      </c>
      <c r="J77" s="253">
        <v>0</v>
      </c>
      <c r="K77" s="254"/>
      <c r="L77" t="str">
        <f t="shared" si="4"/>
        <v>6</v>
      </c>
      <c r="M77" s="638" t="str">
        <f t="shared" si="5"/>
        <v>63313</v>
      </c>
      <c r="N77" s="255">
        <f t="shared" si="3"/>
        <v>5833333</v>
      </c>
      <c r="S77" s="257" t="s">
        <v>1011</v>
      </c>
      <c r="T77" s="258">
        <v>-485770913</v>
      </c>
      <c r="AE77" s="257">
        <v>5110208</v>
      </c>
      <c r="AF77" t="s">
        <v>1012</v>
      </c>
      <c r="AG77" s="233" t="s">
        <v>249</v>
      </c>
    </row>
    <row r="78" spans="1:34">
      <c r="A78" s="1460">
        <v>45351</v>
      </c>
      <c r="B78" s="1461" t="s">
        <v>915</v>
      </c>
      <c r="C78" s="637"/>
      <c r="D78" s="637"/>
      <c r="E78" s="1462" t="s">
        <v>1013</v>
      </c>
      <c r="F78" s="638" t="s">
        <v>769</v>
      </c>
      <c r="G78" s="1461" t="s">
        <v>921</v>
      </c>
      <c r="H78" s="1463">
        <v>2600000</v>
      </c>
      <c r="I78" s="253">
        <v>1</v>
      </c>
      <c r="J78" s="253">
        <v>0</v>
      </c>
      <c r="K78" s="254"/>
      <c r="L78" t="str">
        <f t="shared" si="4"/>
        <v>6</v>
      </c>
      <c r="M78" s="638" t="str">
        <f t="shared" si="5"/>
        <v>63314</v>
      </c>
      <c r="N78" s="255">
        <f t="shared" si="3"/>
        <v>2600000</v>
      </c>
      <c r="S78" s="257" t="s">
        <v>1014</v>
      </c>
      <c r="T78" s="258">
        <v>-6000000</v>
      </c>
      <c r="AE78" s="257">
        <v>51101010301</v>
      </c>
      <c r="AF78" t="s">
        <v>1015</v>
      </c>
      <c r="AG78" s="233" t="s">
        <v>754</v>
      </c>
    </row>
    <row r="79" spans="1:34">
      <c r="A79" s="1460">
        <v>45351</v>
      </c>
      <c r="B79" s="1461" t="s">
        <v>915</v>
      </c>
      <c r="C79" s="637"/>
      <c r="D79" s="637"/>
      <c r="E79" s="1462" t="s">
        <v>790</v>
      </c>
      <c r="F79" s="638" t="s">
        <v>769</v>
      </c>
      <c r="G79" s="1461" t="s">
        <v>791</v>
      </c>
      <c r="H79" s="1463">
        <v>1025573236</v>
      </c>
      <c r="I79" s="253">
        <v>1</v>
      </c>
      <c r="J79" s="253">
        <v>0</v>
      </c>
      <c r="K79" s="254"/>
      <c r="L79" t="str">
        <f t="shared" si="4"/>
        <v>6</v>
      </c>
      <c r="M79" s="638" t="str">
        <f t="shared" si="5"/>
        <v>6331711</v>
      </c>
      <c r="N79" s="255">
        <f t="shared" si="3"/>
        <v>1025573236</v>
      </c>
      <c r="S79" s="257" t="s">
        <v>1016</v>
      </c>
      <c r="T79" s="258">
        <v>692224658</v>
      </c>
      <c r="AE79" s="257">
        <v>51101020306</v>
      </c>
      <c r="AF79" t="s">
        <v>1017</v>
      </c>
      <c r="AG79" s="233" t="s">
        <v>978</v>
      </c>
    </row>
    <row r="80" spans="1:34">
      <c r="A80" s="1460">
        <v>45351</v>
      </c>
      <c r="B80" s="1461" t="s">
        <v>915</v>
      </c>
      <c r="C80" s="637"/>
      <c r="D80" s="637"/>
      <c r="E80" s="1462" t="s">
        <v>794</v>
      </c>
      <c r="F80" s="638" t="s">
        <v>769</v>
      </c>
      <c r="G80" s="1461" t="s">
        <v>795</v>
      </c>
      <c r="H80" s="1463">
        <v>65896000</v>
      </c>
      <c r="I80" s="253">
        <v>1</v>
      </c>
      <c r="J80" s="253">
        <v>0</v>
      </c>
      <c r="K80" s="254"/>
      <c r="L80" t="str">
        <f t="shared" si="4"/>
        <v>6</v>
      </c>
      <c r="M80" s="638" t="str">
        <f t="shared" si="5"/>
        <v>6331712</v>
      </c>
      <c r="N80" s="255">
        <f t="shared" si="3"/>
        <v>65896000</v>
      </c>
      <c r="S80" s="257" t="s">
        <v>967</v>
      </c>
      <c r="T80" s="258">
        <v>254736324</v>
      </c>
      <c r="AE80" s="257">
        <v>642899</v>
      </c>
      <c r="AF80" t="s">
        <v>1018</v>
      </c>
      <c r="AG80" s="233" t="s">
        <v>434</v>
      </c>
    </row>
    <row r="81" spans="1:34">
      <c r="A81" s="1460">
        <v>45351</v>
      </c>
      <c r="B81" s="1461" t="s">
        <v>915</v>
      </c>
      <c r="C81" s="637"/>
      <c r="D81" s="637"/>
      <c r="E81" s="1462" t="s">
        <v>903</v>
      </c>
      <c r="F81" s="638" t="s">
        <v>769</v>
      </c>
      <c r="G81" s="1461" t="s">
        <v>806</v>
      </c>
      <c r="H81" s="1463">
        <v>433567520</v>
      </c>
      <c r="I81" s="253">
        <v>1</v>
      </c>
      <c r="J81" s="253">
        <v>0</v>
      </c>
      <c r="K81" s="254"/>
      <c r="L81" t="str">
        <f t="shared" si="4"/>
        <v>6</v>
      </c>
      <c r="M81" s="638" t="str">
        <f t="shared" si="5"/>
        <v>633173</v>
      </c>
      <c r="N81" s="255">
        <f t="shared" si="3"/>
        <v>433567520</v>
      </c>
      <c r="S81" s="257" t="s">
        <v>309</v>
      </c>
      <c r="T81" s="258">
        <v>1718534241</v>
      </c>
      <c r="AE81" s="257">
        <v>6352</v>
      </c>
      <c r="AF81" t="s">
        <v>1019</v>
      </c>
      <c r="AG81" s="233" t="s">
        <v>325</v>
      </c>
    </row>
    <row r="82" spans="1:34">
      <c r="A82" s="1460">
        <v>45382</v>
      </c>
      <c r="B82" s="1461" t="s">
        <v>1020</v>
      </c>
      <c r="C82" s="637"/>
      <c r="D82" s="637"/>
      <c r="E82" s="1462" t="s">
        <v>1021</v>
      </c>
      <c r="F82" s="638" t="s">
        <v>769</v>
      </c>
      <c r="G82" s="1461" t="s">
        <v>933</v>
      </c>
      <c r="H82" s="1463">
        <v>500000</v>
      </c>
      <c r="I82" s="253">
        <v>1</v>
      </c>
      <c r="J82" s="253">
        <v>0</v>
      </c>
      <c r="K82" s="254"/>
      <c r="L82" t="str">
        <f t="shared" si="4"/>
        <v>6</v>
      </c>
      <c r="M82" s="638" t="str">
        <f t="shared" si="5"/>
        <v>641801</v>
      </c>
      <c r="N82" s="255">
        <f t="shared" si="3"/>
        <v>500000</v>
      </c>
      <c r="S82" s="257" t="s">
        <v>1022</v>
      </c>
      <c r="T82" s="258">
        <v>0</v>
      </c>
      <c r="AE82" s="257">
        <v>63201030306</v>
      </c>
      <c r="AF82" t="s">
        <v>1023</v>
      </c>
      <c r="AG82" s="233" t="s">
        <v>1024</v>
      </c>
    </row>
    <row r="83" spans="1:34">
      <c r="A83" s="1460">
        <v>45382</v>
      </c>
      <c r="B83" s="1461" t="s">
        <v>1020</v>
      </c>
      <c r="C83" s="637"/>
      <c r="D83" s="637"/>
      <c r="E83" s="1462" t="s">
        <v>867</v>
      </c>
      <c r="F83" s="638" t="s">
        <v>769</v>
      </c>
      <c r="G83" s="1461" t="s">
        <v>378</v>
      </c>
      <c r="H83" s="1463">
        <v>1321233523</v>
      </c>
      <c r="I83" s="253">
        <v>1</v>
      </c>
      <c r="J83" s="253">
        <v>0</v>
      </c>
      <c r="K83" s="254"/>
      <c r="L83" t="str">
        <f t="shared" si="4"/>
        <v>6</v>
      </c>
      <c r="M83" s="638" t="str">
        <f t="shared" si="5"/>
        <v>64211</v>
      </c>
      <c r="N83" s="255">
        <f t="shared" si="3"/>
        <v>1321233523</v>
      </c>
      <c r="S83" s="257" t="s">
        <v>1025</v>
      </c>
      <c r="T83" s="258">
        <v>0</v>
      </c>
      <c r="AE83" s="257">
        <v>63201030301</v>
      </c>
      <c r="AF83" t="s">
        <v>1026</v>
      </c>
      <c r="AG83" s="233" t="s">
        <v>1024</v>
      </c>
    </row>
    <row r="84" spans="1:34">
      <c r="A84" s="1460">
        <v>45382</v>
      </c>
      <c r="B84" s="1461" t="s">
        <v>1020</v>
      </c>
      <c r="C84" s="637"/>
      <c r="D84" s="637"/>
      <c r="E84" s="1462" t="s">
        <v>870</v>
      </c>
      <c r="F84" s="638" t="s">
        <v>769</v>
      </c>
      <c r="G84" s="1461" t="s">
        <v>379</v>
      </c>
      <c r="H84" s="1463">
        <v>63167000</v>
      </c>
      <c r="I84" s="253">
        <v>1</v>
      </c>
      <c r="J84" s="253">
        <v>0</v>
      </c>
      <c r="K84" s="254"/>
      <c r="L84" t="str">
        <f t="shared" si="4"/>
        <v>6</v>
      </c>
      <c r="M84" s="638" t="str">
        <f t="shared" si="5"/>
        <v>64212</v>
      </c>
      <c r="N84" s="255">
        <f t="shared" si="3"/>
        <v>63167000</v>
      </c>
      <c r="S84" s="257" t="s">
        <v>1027</v>
      </c>
      <c r="T84" s="258">
        <v>14857875</v>
      </c>
      <c r="AE84" s="257">
        <v>642801</v>
      </c>
      <c r="AF84" t="s">
        <v>1028</v>
      </c>
      <c r="AG84" s="233" t="s">
        <v>434</v>
      </c>
    </row>
    <row r="85" spans="1:34">
      <c r="A85" s="1460">
        <v>45382</v>
      </c>
      <c r="B85" s="1461" t="s">
        <v>1020</v>
      </c>
      <c r="C85" s="637"/>
      <c r="D85" s="637"/>
      <c r="E85" s="1462" t="s">
        <v>874</v>
      </c>
      <c r="F85" s="638" t="s">
        <v>769</v>
      </c>
      <c r="G85" s="1461" t="s">
        <v>505</v>
      </c>
      <c r="H85" s="1463">
        <v>25685561</v>
      </c>
      <c r="I85" s="253">
        <v>1</v>
      </c>
      <c r="J85" s="253">
        <v>0</v>
      </c>
      <c r="K85" s="254"/>
      <c r="L85" t="str">
        <f t="shared" si="4"/>
        <v>6</v>
      </c>
      <c r="M85" s="638" t="str">
        <f t="shared" si="5"/>
        <v>6422</v>
      </c>
      <c r="N85" s="255">
        <f t="shared" si="3"/>
        <v>25685561</v>
      </c>
      <c r="S85" s="257" t="s">
        <v>1029</v>
      </c>
      <c r="T85" s="258">
        <v>66837822</v>
      </c>
      <c r="AE85" s="257">
        <v>642803</v>
      </c>
      <c r="AF85" t="s">
        <v>1030</v>
      </c>
      <c r="AG85" s="233" t="s">
        <v>434</v>
      </c>
      <c r="AH85" t="s">
        <v>681</v>
      </c>
    </row>
    <row r="86" spans="1:34">
      <c r="A86" s="1460">
        <v>45382</v>
      </c>
      <c r="B86" s="1461" t="s">
        <v>1020</v>
      </c>
      <c r="C86" s="637"/>
      <c r="D86" s="637"/>
      <c r="E86" s="1462" t="s">
        <v>909</v>
      </c>
      <c r="F86" s="638" t="s">
        <v>769</v>
      </c>
      <c r="G86" s="1461" t="s">
        <v>815</v>
      </c>
      <c r="H86" s="1463">
        <v>272151598</v>
      </c>
      <c r="I86" s="253">
        <v>1</v>
      </c>
      <c r="J86" s="253">
        <v>0</v>
      </c>
      <c r="K86" s="254"/>
      <c r="L86" t="str">
        <f t="shared" si="4"/>
        <v>6</v>
      </c>
      <c r="M86" s="638" t="str">
        <f t="shared" si="5"/>
        <v>633175</v>
      </c>
      <c r="N86" s="255">
        <f t="shared" si="3"/>
        <v>272151598</v>
      </c>
      <c r="S86" s="257" t="s">
        <v>1031</v>
      </c>
      <c r="T86" s="258">
        <v>124851935</v>
      </c>
      <c r="AE86" s="257">
        <v>642716</v>
      </c>
      <c r="AF86" t="s">
        <v>1032</v>
      </c>
      <c r="AG86" s="233" t="s">
        <v>421</v>
      </c>
    </row>
    <row r="87" spans="1:34">
      <c r="A87" s="1460">
        <v>45382</v>
      </c>
      <c r="B87" s="1461" t="s">
        <v>1020</v>
      </c>
      <c r="C87" s="637"/>
      <c r="D87" s="637"/>
      <c r="E87" s="1462" t="s">
        <v>912</v>
      </c>
      <c r="F87" s="638" t="s">
        <v>769</v>
      </c>
      <c r="G87" s="1461" t="s">
        <v>820</v>
      </c>
      <c r="H87" s="1463">
        <v>11854480</v>
      </c>
      <c r="I87" s="253">
        <v>1</v>
      </c>
      <c r="J87" s="253">
        <v>0</v>
      </c>
      <c r="K87" s="254"/>
      <c r="L87" t="str">
        <f t="shared" si="4"/>
        <v>6</v>
      </c>
      <c r="M87" s="638" t="str">
        <f t="shared" si="5"/>
        <v>63341</v>
      </c>
      <c r="N87" s="255">
        <f t="shared" si="3"/>
        <v>11854480</v>
      </c>
      <c r="S87" s="257" t="s">
        <v>1033</v>
      </c>
      <c r="T87" s="258">
        <v>63775319</v>
      </c>
      <c r="AE87" s="257">
        <v>642802</v>
      </c>
      <c r="AF87" t="s">
        <v>1034</v>
      </c>
      <c r="AG87" s="233" t="s">
        <v>434</v>
      </c>
    </row>
    <row r="88" spans="1:34">
      <c r="A88" s="1460">
        <v>45382</v>
      </c>
      <c r="B88" s="1461" t="s">
        <v>1020</v>
      </c>
      <c r="C88" s="637"/>
      <c r="D88" s="637"/>
      <c r="E88" s="1462" t="s">
        <v>798</v>
      </c>
      <c r="F88" s="638" t="s">
        <v>769</v>
      </c>
      <c r="G88" s="1461" t="s">
        <v>799</v>
      </c>
      <c r="H88" s="1463">
        <v>4432299</v>
      </c>
      <c r="I88" s="253">
        <v>1</v>
      </c>
      <c r="J88" s="253">
        <v>0</v>
      </c>
      <c r="K88" s="254"/>
      <c r="L88" t="str">
        <f t="shared" si="4"/>
        <v>6</v>
      </c>
      <c r="M88" s="638" t="str">
        <f t="shared" si="5"/>
        <v>63345</v>
      </c>
      <c r="N88" s="255">
        <f t="shared" si="3"/>
        <v>4432299</v>
      </c>
      <c r="S88" s="257" t="s">
        <v>1035</v>
      </c>
      <c r="T88" s="258">
        <v>40605987</v>
      </c>
      <c r="AE88" s="257">
        <v>642805</v>
      </c>
      <c r="AF88" t="s">
        <v>1036</v>
      </c>
      <c r="AG88" s="233" t="s">
        <v>434</v>
      </c>
    </row>
    <row r="89" spans="1:34">
      <c r="A89" s="1460">
        <v>45382</v>
      </c>
      <c r="B89" s="1461" t="s">
        <v>1020</v>
      </c>
      <c r="C89" s="637"/>
      <c r="D89" s="637"/>
      <c r="E89" s="1462" t="s">
        <v>802</v>
      </c>
      <c r="F89" s="638" t="s">
        <v>769</v>
      </c>
      <c r="G89" s="1461" t="s">
        <v>337</v>
      </c>
      <c r="H89" s="1463">
        <v>342382061</v>
      </c>
      <c r="I89" s="253">
        <v>1</v>
      </c>
      <c r="J89" s="253">
        <v>0</v>
      </c>
      <c r="K89" s="254"/>
      <c r="L89" t="str">
        <f t="shared" si="4"/>
        <v>6</v>
      </c>
      <c r="M89" s="638" t="str">
        <f t="shared" si="5"/>
        <v>64111</v>
      </c>
      <c r="N89" s="255">
        <f t="shared" si="3"/>
        <v>342382061</v>
      </c>
      <c r="S89" s="257" t="s">
        <v>1037</v>
      </c>
      <c r="T89" s="258">
        <v>116510400</v>
      </c>
      <c r="AE89" s="257">
        <v>642717</v>
      </c>
      <c r="AF89" t="s">
        <v>1038</v>
      </c>
      <c r="AG89" s="233" t="s">
        <v>421</v>
      </c>
    </row>
    <row r="90" spans="1:34">
      <c r="A90" s="1460">
        <v>45382</v>
      </c>
      <c r="B90" s="1461" t="s">
        <v>1020</v>
      </c>
      <c r="C90" s="637"/>
      <c r="D90" s="637"/>
      <c r="E90" s="1462" t="s">
        <v>885</v>
      </c>
      <c r="F90" s="638" t="s">
        <v>769</v>
      </c>
      <c r="G90" s="1461" t="s">
        <v>339</v>
      </c>
      <c r="H90" s="1463">
        <v>32290000</v>
      </c>
      <c r="I90" s="253">
        <v>1</v>
      </c>
      <c r="J90" s="253">
        <v>0</v>
      </c>
      <c r="K90" s="254"/>
      <c r="L90" t="str">
        <f t="shared" si="4"/>
        <v>6</v>
      </c>
      <c r="M90" s="638" t="str">
        <f t="shared" si="5"/>
        <v>64112</v>
      </c>
      <c r="N90" s="255">
        <f t="shared" si="3"/>
        <v>32290000</v>
      </c>
      <c r="S90" s="257" t="s">
        <v>1039</v>
      </c>
      <c r="T90" s="258">
        <v>929876100</v>
      </c>
      <c r="AE90" s="257">
        <v>642713</v>
      </c>
      <c r="AF90" t="s">
        <v>1040</v>
      </c>
      <c r="AG90" s="233" t="s">
        <v>421</v>
      </c>
    </row>
    <row r="91" spans="1:34">
      <c r="A91" s="1460">
        <v>45382</v>
      </c>
      <c r="B91" s="1461" t="s">
        <v>1020</v>
      </c>
      <c r="C91" s="637"/>
      <c r="D91" s="637"/>
      <c r="E91" s="1462" t="s">
        <v>983</v>
      </c>
      <c r="F91" s="638" t="s">
        <v>769</v>
      </c>
      <c r="G91" s="1461" t="s">
        <v>924</v>
      </c>
      <c r="H91" s="1463">
        <v>26840000</v>
      </c>
      <c r="I91" s="253">
        <v>1</v>
      </c>
      <c r="J91" s="253">
        <v>0</v>
      </c>
      <c r="K91" s="254"/>
      <c r="L91" t="str">
        <f t="shared" si="4"/>
        <v>6</v>
      </c>
      <c r="M91" s="638" t="str">
        <f t="shared" si="5"/>
        <v>64131</v>
      </c>
      <c r="N91" s="255">
        <f t="shared" si="3"/>
        <v>26840000</v>
      </c>
      <c r="S91" s="257" t="s">
        <v>1041</v>
      </c>
      <c r="T91" s="258">
        <v>431260084</v>
      </c>
      <c r="AE91" s="257">
        <v>642715</v>
      </c>
      <c r="AF91" t="s">
        <v>1042</v>
      </c>
      <c r="AG91" s="233" t="s">
        <v>421</v>
      </c>
    </row>
    <row r="92" spans="1:34">
      <c r="A92" s="1460">
        <v>45382</v>
      </c>
      <c r="B92" s="1461" t="s">
        <v>1020</v>
      </c>
      <c r="C92" s="637"/>
      <c r="D92" s="637"/>
      <c r="E92" s="1462" t="s">
        <v>780</v>
      </c>
      <c r="F92" s="638" t="s">
        <v>769</v>
      </c>
      <c r="G92" s="1461" t="s">
        <v>781</v>
      </c>
      <c r="H92" s="1463">
        <v>41166667</v>
      </c>
      <c r="I92" s="253">
        <v>1</v>
      </c>
      <c r="J92" s="253">
        <v>0</v>
      </c>
      <c r="K92" s="254"/>
      <c r="L92" t="str">
        <f t="shared" si="4"/>
        <v>6</v>
      </c>
      <c r="M92" s="638" t="str">
        <f t="shared" si="5"/>
        <v>63312</v>
      </c>
      <c r="N92" s="255">
        <f t="shared" si="3"/>
        <v>41166667</v>
      </c>
      <c r="S92" s="257" t="s">
        <v>1043</v>
      </c>
      <c r="T92" s="258">
        <v>208239522</v>
      </c>
      <c r="AE92" s="257">
        <v>642714</v>
      </c>
      <c r="AF92" t="s">
        <v>1044</v>
      </c>
      <c r="AG92" s="233" t="s">
        <v>421</v>
      </c>
    </row>
    <row r="93" spans="1:34">
      <c r="A93" s="1460">
        <v>45382</v>
      </c>
      <c r="B93" s="1461" t="s">
        <v>1020</v>
      </c>
      <c r="C93" s="637"/>
      <c r="D93" s="637"/>
      <c r="E93" s="1462" t="s">
        <v>786</v>
      </c>
      <c r="F93" s="638" t="s">
        <v>769</v>
      </c>
      <c r="G93" s="1461" t="s">
        <v>787</v>
      </c>
      <c r="H93" s="1463">
        <v>5833333</v>
      </c>
      <c r="I93" s="253">
        <v>1</v>
      </c>
      <c r="J93" s="253">
        <v>0</v>
      </c>
      <c r="K93" s="254"/>
      <c r="L93" t="str">
        <f t="shared" si="4"/>
        <v>6</v>
      </c>
      <c r="M93" s="638" t="str">
        <f t="shared" si="5"/>
        <v>63313</v>
      </c>
      <c r="N93" s="255">
        <f t="shared" si="3"/>
        <v>5833333</v>
      </c>
      <c r="S93" s="257" t="s">
        <v>1045</v>
      </c>
      <c r="T93" s="258">
        <v>60686654</v>
      </c>
      <c r="AE93" s="257">
        <v>642718</v>
      </c>
      <c r="AF93" t="s">
        <v>1046</v>
      </c>
      <c r="AG93" s="233" t="s">
        <v>421</v>
      </c>
    </row>
    <row r="94" spans="1:34">
      <c r="A94" s="1460">
        <v>45382</v>
      </c>
      <c r="B94" s="1461" t="s">
        <v>1020</v>
      </c>
      <c r="C94" s="637"/>
      <c r="D94" s="637"/>
      <c r="E94" s="1462" t="s">
        <v>790</v>
      </c>
      <c r="F94" s="638" t="s">
        <v>769</v>
      </c>
      <c r="G94" s="1461" t="s">
        <v>791</v>
      </c>
      <c r="H94" s="1463">
        <v>1008443477</v>
      </c>
      <c r="I94" s="253">
        <v>1</v>
      </c>
      <c r="J94" s="253">
        <v>0</v>
      </c>
      <c r="K94" s="254"/>
      <c r="L94" t="str">
        <f t="shared" si="4"/>
        <v>6</v>
      </c>
      <c r="M94" s="638" t="str">
        <f t="shared" si="5"/>
        <v>6331711</v>
      </c>
      <c r="N94" s="255">
        <f t="shared" si="3"/>
        <v>1008443477</v>
      </c>
      <c r="S94" s="257" t="s">
        <v>1047</v>
      </c>
      <c r="T94" s="258">
        <v>219572419</v>
      </c>
      <c r="AE94" s="257">
        <v>642804</v>
      </c>
      <c r="AF94" t="s">
        <v>1048</v>
      </c>
      <c r="AG94" s="233" t="s">
        <v>434</v>
      </c>
    </row>
    <row r="95" spans="1:34">
      <c r="A95" s="1460">
        <v>45382</v>
      </c>
      <c r="B95" s="1461" t="s">
        <v>1020</v>
      </c>
      <c r="C95" s="637"/>
      <c r="D95" s="637"/>
      <c r="E95" s="1462" t="s">
        <v>794</v>
      </c>
      <c r="F95" s="638" t="s">
        <v>769</v>
      </c>
      <c r="G95" s="1461" t="s">
        <v>795</v>
      </c>
      <c r="H95" s="1463">
        <v>65896000</v>
      </c>
      <c r="I95" s="253">
        <v>1</v>
      </c>
      <c r="J95" s="253">
        <v>0</v>
      </c>
      <c r="K95" s="254"/>
      <c r="L95" t="str">
        <f t="shared" si="4"/>
        <v>6</v>
      </c>
      <c r="M95" s="638" t="str">
        <f t="shared" si="5"/>
        <v>6331712</v>
      </c>
      <c r="N95" s="255">
        <f t="shared" si="3"/>
        <v>65896000</v>
      </c>
      <c r="S95" s="257" t="s">
        <v>1049</v>
      </c>
      <c r="T95" s="258">
        <v>-55817995</v>
      </c>
      <c r="AE95" s="257">
        <v>51101010305</v>
      </c>
      <c r="AF95" t="s">
        <v>1050</v>
      </c>
      <c r="AG95" s="233" t="s">
        <v>754</v>
      </c>
    </row>
    <row r="96" spans="1:34">
      <c r="A96" s="1460">
        <v>45382</v>
      </c>
      <c r="B96" s="1461" t="s">
        <v>1020</v>
      </c>
      <c r="C96" s="637"/>
      <c r="D96" s="637"/>
      <c r="E96" s="1462" t="s">
        <v>903</v>
      </c>
      <c r="F96" s="638" t="s">
        <v>769</v>
      </c>
      <c r="G96" s="1461" t="s">
        <v>806</v>
      </c>
      <c r="H96" s="1463">
        <v>338396454</v>
      </c>
      <c r="I96" s="253">
        <v>1</v>
      </c>
      <c r="J96" s="253">
        <v>0</v>
      </c>
      <c r="K96" s="254"/>
      <c r="L96" t="str">
        <f t="shared" si="4"/>
        <v>6</v>
      </c>
      <c r="M96" s="638" t="str">
        <f t="shared" si="5"/>
        <v>633173</v>
      </c>
      <c r="N96" s="255">
        <f t="shared" si="3"/>
        <v>338396454</v>
      </c>
      <c r="S96" s="257" t="s">
        <v>1051</v>
      </c>
      <c r="T96" s="258">
        <v>-2224088000</v>
      </c>
      <c r="AE96" s="257">
        <v>51101010406</v>
      </c>
      <c r="AF96" t="s">
        <v>1052</v>
      </c>
      <c r="AG96" s="233" t="s">
        <v>251</v>
      </c>
    </row>
    <row r="97" spans="1:33">
      <c r="A97" s="1460">
        <v>45382</v>
      </c>
      <c r="B97" s="1461" t="s">
        <v>1020</v>
      </c>
      <c r="C97" s="637"/>
      <c r="D97" s="637"/>
      <c r="E97" s="1462" t="s">
        <v>906</v>
      </c>
      <c r="F97" s="638" t="s">
        <v>769</v>
      </c>
      <c r="G97" s="1461" t="s">
        <v>811</v>
      </c>
      <c r="H97" s="1463">
        <v>112522380</v>
      </c>
      <c r="I97" s="253">
        <v>1</v>
      </c>
      <c r="J97" s="253">
        <v>0</v>
      </c>
      <c r="K97" s="254"/>
      <c r="L97" t="str">
        <f t="shared" si="4"/>
        <v>6</v>
      </c>
      <c r="M97" s="638" t="str">
        <f t="shared" si="5"/>
        <v>633174</v>
      </c>
      <c r="N97" s="255">
        <f t="shared" si="3"/>
        <v>112522380</v>
      </c>
      <c r="S97" s="257" t="s">
        <v>1053</v>
      </c>
      <c r="T97" s="258">
        <v>-55744000</v>
      </c>
      <c r="AE97" s="257">
        <v>51101020104</v>
      </c>
      <c r="AF97" t="s">
        <v>1054</v>
      </c>
      <c r="AG97" s="233" t="s">
        <v>978</v>
      </c>
    </row>
    <row r="98" spans="1:33">
      <c r="A98" s="1460">
        <v>45382</v>
      </c>
      <c r="B98" s="1461" t="s">
        <v>1020</v>
      </c>
      <c r="C98" s="637"/>
      <c r="D98" s="637"/>
      <c r="E98" s="1462" t="s">
        <v>768</v>
      </c>
      <c r="F98" s="638" t="s">
        <v>769</v>
      </c>
      <c r="G98" s="1461" t="s">
        <v>770</v>
      </c>
      <c r="H98" s="1463">
        <v>186045165</v>
      </c>
      <c r="I98" s="253">
        <v>1</v>
      </c>
      <c r="J98" s="253">
        <v>0</v>
      </c>
      <c r="K98" s="254"/>
      <c r="L98" t="str">
        <f t="shared" si="4"/>
        <v>6</v>
      </c>
      <c r="M98" s="638" t="str">
        <f t="shared" si="5"/>
        <v>63311</v>
      </c>
      <c r="N98" s="255">
        <f t="shared" si="3"/>
        <v>186045165</v>
      </c>
      <c r="S98" s="257" t="s">
        <v>1055</v>
      </c>
      <c r="T98" s="258">
        <v>-153026771</v>
      </c>
      <c r="AE98" s="257">
        <v>51101020301</v>
      </c>
      <c r="AF98" t="s">
        <v>1056</v>
      </c>
      <c r="AG98" s="233" t="s">
        <v>978</v>
      </c>
    </row>
    <row r="99" spans="1:33">
      <c r="A99" s="1460">
        <v>45382</v>
      </c>
      <c r="B99" s="1461" t="s">
        <v>1020</v>
      </c>
      <c r="C99" s="637"/>
      <c r="D99" s="637"/>
      <c r="E99" s="1462" t="s">
        <v>950</v>
      </c>
      <c r="F99" s="638" t="s">
        <v>769</v>
      </c>
      <c r="G99" s="1461" t="s">
        <v>918</v>
      </c>
      <c r="H99" s="1463">
        <v>338013699</v>
      </c>
      <c r="I99" s="253">
        <v>1</v>
      </c>
      <c r="J99" s="253">
        <v>0</v>
      </c>
      <c r="K99" s="254"/>
      <c r="L99" t="str">
        <f t="shared" si="4"/>
        <v>5</v>
      </c>
      <c r="M99" s="638" t="str">
        <f t="shared" si="5"/>
        <v>51101030203</v>
      </c>
      <c r="N99" s="255">
        <f t="shared" si="3"/>
        <v>338013699</v>
      </c>
      <c r="S99" s="257" t="s">
        <v>1057</v>
      </c>
      <c r="T99" s="258">
        <v>-12143841</v>
      </c>
      <c r="AE99" s="257">
        <v>51101020305</v>
      </c>
      <c r="AF99" t="s">
        <v>1058</v>
      </c>
      <c r="AG99" s="233" t="s">
        <v>978</v>
      </c>
    </row>
    <row r="100" spans="1:33">
      <c r="A100" s="1460">
        <v>45382</v>
      </c>
      <c r="B100" s="1461" t="s">
        <v>1020</v>
      </c>
      <c r="C100" s="637"/>
      <c r="D100" s="637"/>
      <c r="E100" s="1462" t="s">
        <v>827</v>
      </c>
      <c r="F100" s="638" t="s">
        <v>769</v>
      </c>
      <c r="G100" s="1461" t="s">
        <v>828</v>
      </c>
      <c r="H100" s="1463">
        <v>397100</v>
      </c>
      <c r="I100" s="253">
        <v>1</v>
      </c>
      <c r="J100" s="253">
        <v>0</v>
      </c>
      <c r="K100" s="254"/>
      <c r="L100" t="str">
        <f t="shared" si="4"/>
        <v>6</v>
      </c>
      <c r="M100" s="638" t="str">
        <f t="shared" si="5"/>
        <v>642712</v>
      </c>
      <c r="N100" s="255">
        <f t="shared" si="3"/>
        <v>397100</v>
      </c>
      <c r="S100" s="257" t="s">
        <v>1059</v>
      </c>
      <c r="T100" s="258">
        <v>-8580822</v>
      </c>
      <c r="AE100" s="257">
        <v>51102010101</v>
      </c>
      <c r="AF100" t="s">
        <v>1060</v>
      </c>
      <c r="AG100" s="233" t="s">
        <v>251</v>
      </c>
    </row>
    <row r="101" spans="1:33">
      <c r="A101" s="1460">
        <v>45382</v>
      </c>
      <c r="B101" s="1461" t="s">
        <v>1020</v>
      </c>
      <c r="C101" s="637"/>
      <c r="D101" s="637"/>
      <c r="E101" s="1462" t="s">
        <v>832</v>
      </c>
      <c r="F101" s="638" t="s">
        <v>769</v>
      </c>
      <c r="G101" s="1461" t="s">
        <v>833</v>
      </c>
      <c r="H101" s="1463">
        <v>4781029</v>
      </c>
      <c r="I101" s="253">
        <v>1</v>
      </c>
      <c r="J101" s="253">
        <v>0</v>
      </c>
      <c r="K101" s="254"/>
      <c r="L101" t="str">
        <f t="shared" si="4"/>
        <v>6</v>
      </c>
      <c r="M101" s="638" t="str">
        <f t="shared" si="5"/>
        <v>642799</v>
      </c>
      <c r="N101" s="255">
        <f t="shared" si="3"/>
        <v>4781029</v>
      </c>
      <c r="S101" s="257" t="s">
        <v>1061</v>
      </c>
      <c r="T101" s="258">
        <v>446354110</v>
      </c>
      <c r="AE101" s="257">
        <v>63201010406</v>
      </c>
      <c r="AF101" t="s">
        <v>1062</v>
      </c>
      <c r="AG101" s="233" t="s">
        <v>315</v>
      </c>
    </row>
    <row r="102" spans="1:33">
      <c r="A102" s="1460">
        <v>45382</v>
      </c>
      <c r="B102" s="1461" t="s">
        <v>1020</v>
      </c>
      <c r="C102" s="637"/>
      <c r="D102" s="637"/>
      <c r="E102" s="1462" t="s">
        <v>966</v>
      </c>
      <c r="F102" s="638" t="s">
        <v>769</v>
      </c>
      <c r="G102" s="1461" t="s">
        <v>967</v>
      </c>
      <c r="H102" s="1463">
        <v>66026724</v>
      </c>
      <c r="I102" s="253">
        <v>1</v>
      </c>
      <c r="J102" s="253">
        <v>0</v>
      </c>
      <c r="K102" s="254"/>
      <c r="L102" t="str">
        <f t="shared" si="4"/>
        <v>6</v>
      </c>
      <c r="M102" s="638" t="str">
        <f t="shared" si="5"/>
        <v>642899</v>
      </c>
      <c r="N102" s="255">
        <f t="shared" si="3"/>
        <v>66026724</v>
      </c>
      <c r="S102" s="257" t="s">
        <v>1063</v>
      </c>
      <c r="T102" s="258">
        <v>280500</v>
      </c>
      <c r="AE102" s="257">
        <v>633448</v>
      </c>
      <c r="AF102" t="s">
        <v>1064</v>
      </c>
      <c r="AG102" s="233" t="s">
        <v>789</v>
      </c>
    </row>
    <row r="103" spans="1:33">
      <c r="A103" s="1460">
        <v>45382</v>
      </c>
      <c r="B103" s="1461" t="s">
        <v>1020</v>
      </c>
      <c r="C103" s="637"/>
      <c r="D103" s="637"/>
      <c r="E103" s="1462" t="s">
        <v>858</v>
      </c>
      <c r="F103" s="638" t="s">
        <v>769</v>
      </c>
      <c r="G103" s="1461" t="s">
        <v>859</v>
      </c>
      <c r="H103" s="1463">
        <v>15103030</v>
      </c>
      <c r="I103" s="253">
        <v>1</v>
      </c>
      <c r="J103" s="253">
        <v>0</v>
      </c>
      <c r="K103" s="254"/>
      <c r="L103" t="str">
        <f t="shared" si="4"/>
        <v>6</v>
      </c>
      <c r="M103" s="638" t="str">
        <f t="shared" si="5"/>
        <v>642706</v>
      </c>
      <c r="N103" s="255">
        <f t="shared" si="3"/>
        <v>15103030</v>
      </c>
      <c r="S103" s="257" t="s">
        <v>1065</v>
      </c>
      <c r="T103" s="258">
        <v>204359627</v>
      </c>
      <c r="AE103" s="257">
        <v>63201030305</v>
      </c>
      <c r="AF103" t="s">
        <v>1066</v>
      </c>
      <c r="AG103" s="233" t="s">
        <v>1024</v>
      </c>
    </row>
    <row r="104" spans="1:33">
      <c r="A104" s="1460">
        <v>45382</v>
      </c>
      <c r="B104" s="1461" t="s">
        <v>1020</v>
      </c>
      <c r="C104" s="637"/>
      <c r="D104" s="637"/>
      <c r="E104" s="1462" t="s">
        <v>863</v>
      </c>
      <c r="F104" s="638" t="s">
        <v>769</v>
      </c>
      <c r="G104" s="1461" t="s">
        <v>864</v>
      </c>
      <c r="H104" s="1463">
        <v>29949320</v>
      </c>
      <c r="I104" s="253">
        <v>1</v>
      </c>
      <c r="J104" s="253">
        <v>0</v>
      </c>
      <c r="K104" s="254"/>
      <c r="L104" t="str">
        <f t="shared" si="4"/>
        <v>6</v>
      </c>
      <c r="M104" s="638" t="str">
        <f t="shared" si="5"/>
        <v>642707</v>
      </c>
      <c r="N104" s="255">
        <f t="shared" si="3"/>
        <v>29949320</v>
      </c>
      <c r="S104" s="257" t="s">
        <v>1067</v>
      </c>
      <c r="T104" s="258">
        <v>8872727273</v>
      </c>
      <c r="AE104" s="257">
        <v>633178</v>
      </c>
      <c r="AF104" t="s">
        <v>1064</v>
      </c>
      <c r="AG104" s="233" t="s">
        <v>789</v>
      </c>
    </row>
    <row r="105" spans="1:33">
      <c r="A105" s="1460">
        <v>45382</v>
      </c>
      <c r="B105" s="1461" t="s">
        <v>1020</v>
      </c>
      <c r="C105" s="637"/>
      <c r="D105" s="637"/>
      <c r="E105" s="1462" t="s">
        <v>809</v>
      </c>
      <c r="F105" s="638" t="s">
        <v>769</v>
      </c>
      <c r="G105" s="1461" t="s">
        <v>810</v>
      </c>
      <c r="H105" s="1463">
        <v>36762682</v>
      </c>
      <c r="I105" s="253">
        <v>1</v>
      </c>
      <c r="J105" s="253">
        <v>0</v>
      </c>
      <c r="K105" s="254"/>
      <c r="L105" t="str">
        <f t="shared" si="4"/>
        <v>6</v>
      </c>
      <c r="M105" s="638" t="str">
        <f t="shared" si="5"/>
        <v>642708</v>
      </c>
      <c r="N105" s="255">
        <f t="shared" si="3"/>
        <v>36762682</v>
      </c>
      <c r="S105" s="257" t="s">
        <v>481</v>
      </c>
      <c r="T105" s="258">
        <v>0</v>
      </c>
    </row>
    <row r="106" spans="1:33">
      <c r="A106" s="1460">
        <v>45382</v>
      </c>
      <c r="B106" s="1461" t="s">
        <v>1020</v>
      </c>
      <c r="C106" s="637"/>
      <c r="D106" s="637"/>
      <c r="E106" s="1462" t="s">
        <v>813</v>
      </c>
      <c r="F106" s="638" t="s">
        <v>769</v>
      </c>
      <c r="G106" s="1461" t="s">
        <v>814</v>
      </c>
      <c r="H106" s="1463">
        <v>13800092</v>
      </c>
      <c r="I106" s="253">
        <v>1</v>
      </c>
      <c r="J106" s="253">
        <v>0</v>
      </c>
      <c r="K106" s="254"/>
      <c r="L106" t="str">
        <f t="shared" si="4"/>
        <v>6</v>
      </c>
      <c r="M106" s="638" t="str">
        <f t="shared" si="5"/>
        <v>642709</v>
      </c>
      <c r="N106" s="255">
        <f t="shared" si="3"/>
        <v>13800092</v>
      </c>
    </row>
    <row r="107" spans="1:33">
      <c r="A107" s="1460">
        <v>45382</v>
      </c>
      <c r="B107" s="1461" t="s">
        <v>1020</v>
      </c>
      <c r="C107" s="637"/>
      <c r="D107" s="637"/>
      <c r="E107" s="1462" t="s">
        <v>818</v>
      </c>
      <c r="F107" s="638" t="s">
        <v>769</v>
      </c>
      <c r="G107" s="1461" t="s">
        <v>819</v>
      </c>
      <c r="H107" s="1463">
        <v>1846363</v>
      </c>
      <c r="I107" s="253">
        <v>1</v>
      </c>
      <c r="J107" s="253">
        <v>0</v>
      </c>
      <c r="K107" s="254"/>
      <c r="L107" t="str">
        <f t="shared" si="4"/>
        <v>6</v>
      </c>
      <c r="M107" s="638" t="str">
        <f t="shared" si="5"/>
        <v>642710</v>
      </c>
      <c r="N107" s="255">
        <f t="shared" si="3"/>
        <v>1846363</v>
      </c>
    </row>
    <row r="108" spans="1:33">
      <c r="A108" s="1460">
        <v>45382</v>
      </c>
      <c r="B108" s="1461" t="s">
        <v>1020</v>
      </c>
      <c r="C108" s="637"/>
      <c r="D108" s="637"/>
      <c r="E108" s="1462" t="s">
        <v>824</v>
      </c>
      <c r="F108" s="638" t="s">
        <v>769</v>
      </c>
      <c r="G108" s="1461" t="s">
        <v>825</v>
      </c>
      <c r="H108" s="1463">
        <v>1461779</v>
      </c>
      <c r="I108" s="253">
        <v>1</v>
      </c>
      <c r="J108" s="253">
        <v>0</v>
      </c>
      <c r="K108" s="254"/>
      <c r="L108" t="str">
        <f t="shared" si="4"/>
        <v>6</v>
      </c>
      <c r="M108" s="638" t="str">
        <f t="shared" si="5"/>
        <v>642711</v>
      </c>
      <c r="N108" s="255">
        <f t="shared" si="3"/>
        <v>1461779</v>
      </c>
    </row>
    <row r="109" spans="1:33">
      <c r="A109" s="1460">
        <v>45382</v>
      </c>
      <c r="B109" s="1461" t="s">
        <v>1020</v>
      </c>
      <c r="C109" s="637"/>
      <c r="D109" s="637"/>
      <c r="E109" s="1462" t="s">
        <v>877</v>
      </c>
      <c r="F109" s="638" t="s">
        <v>769</v>
      </c>
      <c r="G109" s="1461" t="s">
        <v>381</v>
      </c>
      <c r="H109" s="1463">
        <v>5777439</v>
      </c>
      <c r="I109" s="253">
        <v>1</v>
      </c>
      <c r="J109" s="253">
        <v>0</v>
      </c>
      <c r="K109" s="254"/>
      <c r="L109" t="str">
        <f t="shared" si="4"/>
        <v>6</v>
      </c>
      <c r="M109" s="638" t="str">
        <f t="shared" si="5"/>
        <v>6423</v>
      </c>
      <c r="N109" s="255">
        <f t="shared" si="3"/>
        <v>5777439</v>
      </c>
    </row>
    <row r="110" spans="1:33">
      <c r="A110" s="1460">
        <v>45382</v>
      </c>
      <c r="B110" s="1461" t="s">
        <v>1020</v>
      </c>
      <c r="C110" s="637"/>
      <c r="D110" s="637"/>
      <c r="E110" s="1462" t="s">
        <v>880</v>
      </c>
      <c r="F110" s="638" t="s">
        <v>769</v>
      </c>
      <c r="G110" s="1461" t="s">
        <v>383</v>
      </c>
      <c r="H110" s="1463">
        <v>91450284</v>
      </c>
      <c r="I110" s="253">
        <v>1</v>
      </c>
      <c r="J110" s="253">
        <v>0</v>
      </c>
      <c r="K110" s="254"/>
      <c r="L110" t="str">
        <f t="shared" si="4"/>
        <v>6</v>
      </c>
      <c r="M110" s="638" t="str">
        <f t="shared" si="5"/>
        <v>6424</v>
      </c>
      <c r="N110" s="255">
        <f t="shared" si="3"/>
        <v>91450284</v>
      </c>
    </row>
    <row r="111" spans="1:33">
      <c r="A111" s="1460">
        <v>45382</v>
      </c>
      <c r="B111" s="1461" t="s">
        <v>1020</v>
      </c>
      <c r="C111" s="637"/>
      <c r="D111" s="637"/>
      <c r="E111" s="1462" t="s">
        <v>838</v>
      </c>
      <c r="F111" s="638" t="s">
        <v>769</v>
      </c>
      <c r="G111" s="1461" t="s">
        <v>839</v>
      </c>
      <c r="H111" s="1463">
        <v>356207661</v>
      </c>
      <c r="I111" s="253">
        <v>1</v>
      </c>
      <c r="J111" s="253">
        <v>0</v>
      </c>
      <c r="K111" s="254"/>
      <c r="L111" t="str">
        <f t="shared" si="4"/>
        <v>6</v>
      </c>
      <c r="M111" s="638" t="str">
        <f t="shared" si="5"/>
        <v>642701</v>
      </c>
      <c r="N111" s="255">
        <f t="shared" si="3"/>
        <v>356207661</v>
      </c>
    </row>
    <row r="112" spans="1:33">
      <c r="A112" s="1460">
        <v>45382</v>
      </c>
      <c r="B112" s="1461" t="s">
        <v>1020</v>
      </c>
      <c r="C112" s="637"/>
      <c r="D112" s="637"/>
      <c r="E112" s="1462" t="s">
        <v>842</v>
      </c>
      <c r="F112" s="638" t="s">
        <v>769</v>
      </c>
      <c r="G112" s="1461" t="s">
        <v>843</v>
      </c>
      <c r="H112" s="1463">
        <v>18562294</v>
      </c>
      <c r="I112" s="253">
        <v>1</v>
      </c>
      <c r="J112" s="253">
        <v>0</v>
      </c>
      <c r="K112" s="254"/>
      <c r="L112" t="str">
        <f t="shared" si="4"/>
        <v>6</v>
      </c>
      <c r="M112" s="638" t="str">
        <f t="shared" si="5"/>
        <v>642702</v>
      </c>
      <c r="N112" s="255">
        <f t="shared" si="3"/>
        <v>18562294</v>
      </c>
    </row>
    <row r="113" spans="1:14">
      <c r="A113" s="1460">
        <v>45382</v>
      </c>
      <c r="B113" s="1461" t="s">
        <v>1020</v>
      </c>
      <c r="C113" s="637"/>
      <c r="D113" s="637"/>
      <c r="E113" s="1462" t="s">
        <v>847</v>
      </c>
      <c r="F113" s="638" t="s">
        <v>769</v>
      </c>
      <c r="G113" s="1461" t="s">
        <v>848</v>
      </c>
      <c r="H113" s="1463">
        <v>2649008</v>
      </c>
      <c r="I113" s="253">
        <v>1</v>
      </c>
      <c r="J113" s="253">
        <v>0</v>
      </c>
      <c r="K113" s="254"/>
      <c r="L113" t="str">
        <f t="shared" si="4"/>
        <v>6</v>
      </c>
      <c r="M113" s="638" t="str">
        <f t="shared" si="5"/>
        <v>642703</v>
      </c>
      <c r="N113" s="255">
        <f t="shared" si="3"/>
        <v>2649008</v>
      </c>
    </row>
    <row r="114" spans="1:14">
      <c r="A114" s="1460">
        <v>45382</v>
      </c>
      <c r="B114" s="1461" t="s">
        <v>1020</v>
      </c>
      <c r="C114" s="637"/>
      <c r="D114" s="637"/>
      <c r="E114" s="1462" t="s">
        <v>853</v>
      </c>
      <c r="F114" s="638" t="s">
        <v>769</v>
      </c>
      <c r="G114" s="1461" t="s">
        <v>854</v>
      </c>
      <c r="H114" s="1463">
        <v>18096667</v>
      </c>
      <c r="I114" s="253">
        <v>1</v>
      </c>
      <c r="J114" s="253">
        <v>0</v>
      </c>
      <c r="K114" s="254"/>
      <c r="L114" t="str">
        <f t="shared" si="4"/>
        <v>6</v>
      </c>
      <c r="M114" s="638" t="str">
        <f t="shared" si="5"/>
        <v>642704</v>
      </c>
      <c r="N114" s="255">
        <f t="shared" si="3"/>
        <v>18096667</v>
      </c>
    </row>
    <row r="115" spans="1:14">
      <c r="A115" s="1460">
        <v>45382</v>
      </c>
      <c r="B115" s="1461" t="s">
        <v>1020</v>
      </c>
      <c r="C115" s="637"/>
      <c r="D115" s="637"/>
      <c r="E115" s="1462" t="s">
        <v>888</v>
      </c>
      <c r="F115" s="638" t="s">
        <v>769</v>
      </c>
      <c r="G115" s="1461" t="s">
        <v>345</v>
      </c>
      <c r="H115" s="1463">
        <v>7223287</v>
      </c>
      <c r="I115" s="253">
        <v>1</v>
      </c>
      <c r="J115" s="253">
        <v>0</v>
      </c>
      <c r="K115" s="254"/>
      <c r="L115" t="str">
        <f t="shared" si="4"/>
        <v>6</v>
      </c>
      <c r="M115" s="638" t="str">
        <f t="shared" si="5"/>
        <v>6414</v>
      </c>
      <c r="N115" s="255">
        <f t="shared" si="3"/>
        <v>7223287</v>
      </c>
    </row>
    <row r="116" spans="1:14">
      <c r="A116" s="1460">
        <v>45382</v>
      </c>
      <c r="B116" s="1461" t="s">
        <v>1020</v>
      </c>
      <c r="C116" s="637"/>
      <c r="D116" s="637"/>
      <c r="E116" s="1462" t="s">
        <v>891</v>
      </c>
      <c r="F116" s="638" t="s">
        <v>769</v>
      </c>
      <c r="G116" s="1461" t="s">
        <v>844</v>
      </c>
      <c r="H116" s="1463">
        <v>2208595</v>
      </c>
      <c r="I116" s="253">
        <v>1</v>
      </c>
      <c r="J116" s="253">
        <v>0</v>
      </c>
      <c r="K116" s="254"/>
      <c r="L116" t="str">
        <f t="shared" si="4"/>
        <v>6</v>
      </c>
      <c r="M116" s="638" t="str">
        <f t="shared" si="5"/>
        <v>641702</v>
      </c>
      <c r="N116" s="255">
        <f t="shared" si="3"/>
        <v>2208595</v>
      </c>
    </row>
    <row r="117" spans="1:14">
      <c r="A117" s="1460">
        <v>45412</v>
      </c>
      <c r="B117" s="1461" t="s">
        <v>1068</v>
      </c>
      <c r="C117" s="637"/>
      <c r="D117" s="637"/>
      <c r="E117" s="1462" t="s">
        <v>903</v>
      </c>
      <c r="F117" s="638" t="s">
        <v>769</v>
      </c>
      <c r="G117" s="1461" t="s">
        <v>806</v>
      </c>
      <c r="H117" s="1463">
        <v>449454578</v>
      </c>
      <c r="I117" s="253">
        <v>1</v>
      </c>
      <c r="J117" s="253">
        <v>0</v>
      </c>
      <c r="K117" s="254"/>
      <c r="L117" t="str">
        <f t="shared" si="4"/>
        <v>6</v>
      </c>
      <c r="M117" s="638" t="str">
        <f t="shared" si="5"/>
        <v>633173</v>
      </c>
      <c r="N117" s="255">
        <f t="shared" si="3"/>
        <v>449454578</v>
      </c>
    </row>
    <row r="118" spans="1:14">
      <c r="A118" s="1460">
        <v>45412</v>
      </c>
      <c r="B118" s="1461" t="s">
        <v>1068</v>
      </c>
      <c r="C118" s="637"/>
      <c r="D118" s="637"/>
      <c r="E118" s="1462" t="s">
        <v>1069</v>
      </c>
      <c r="F118" s="638" t="s">
        <v>769</v>
      </c>
      <c r="G118" s="1461" t="s">
        <v>940</v>
      </c>
      <c r="H118" s="1463">
        <v>18652505</v>
      </c>
      <c r="I118" s="253">
        <v>1</v>
      </c>
      <c r="J118" s="253">
        <v>0</v>
      </c>
      <c r="K118" s="254"/>
      <c r="L118" t="str">
        <f t="shared" si="4"/>
        <v>6</v>
      </c>
      <c r="M118" s="638" t="str">
        <f t="shared" si="5"/>
        <v>63201010505</v>
      </c>
      <c r="N118" s="255">
        <f t="shared" si="3"/>
        <v>18652505</v>
      </c>
    </row>
    <row r="119" spans="1:14">
      <c r="A119" s="1460">
        <v>45412</v>
      </c>
      <c r="B119" s="1461" t="s">
        <v>1068</v>
      </c>
      <c r="C119" s="637"/>
      <c r="D119" s="637"/>
      <c r="E119" s="1462" t="s">
        <v>1070</v>
      </c>
      <c r="F119" s="638" t="s">
        <v>769</v>
      </c>
      <c r="G119" s="1461" t="s">
        <v>936</v>
      </c>
      <c r="H119" s="1463">
        <v>10070000</v>
      </c>
      <c r="I119" s="253">
        <v>1</v>
      </c>
      <c r="J119" s="253">
        <v>0</v>
      </c>
      <c r="K119" s="254"/>
      <c r="L119" t="str">
        <f t="shared" si="4"/>
        <v>6</v>
      </c>
      <c r="M119" s="638" t="str">
        <f t="shared" si="5"/>
        <v>63201010301</v>
      </c>
      <c r="N119" s="255">
        <f t="shared" si="3"/>
        <v>10070000</v>
      </c>
    </row>
    <row r="120" spans="1:14">
      <c r="A120" s="1460">
        <v>45412</v>
      </c>
      <c r="B120" s="1461" t="s">
        <v>1068</v>
      </c>
      <c r="C120" s="637"/>
      <c r="D120" s="637"/>
      <c r="E120" s="1462" t="s">
        <v>1071</v>
      </c>
      <c r="F120" s="638" t="s">
        <v>769</v>
      </c>
      <c r="G120" s="1461" t="s">
        <v>944</v>
      </c>
      <c r="H120" s="1463">
        <v>5126160</v>
      </c>
      <c r="I120" s="253">
        <v>1</v>
      </c>
      <c r="J120" s="253">
        <v>0</v>
      </c>
      <c r="K120" s="254"/>
      <c r="L120" t="str">
        <f t="shared" si="4"/>
        <v>6</v>
      </c>
      <c r="M120" s="638" t="str">
        <f t="shared" si="5"/>
        <v>63201020301</v>
      </c>
      <c r="N120" s="255">
        <f t="shared" si="3"/>
        <v>5126160</v>
      </c>
    </row>
    <row r="121" spans="1:14">
      <c r="A121" s="1460">
        <v>45412</v>
      </c>
      <c r="B121" s="1461" t="s">
        <v>1068</v>
      </c>
      <c r="C121" s="637"/>
      <c r="D121" s="637"/>
      <c r="E121" s="1462" t="s">
        <v>1072</v>
      </c>
      <c r="F121" s="638" t="s">
        <v>769</v>
      </c>
      <c r="G121" s="1461" t="s">
        <v>947</v>
      </c>
      <c r="H121" s="1463">
        <v>5125153</v>
      </c>
      <c r="I121" s="253">
        <v>1</v>
      </c>
      <c r="J121" s="253">
        <v>0</v>
      </c>
      <c r="K121" s="254"/>
      <c r="L121" t="str">
        <f t="shared" si="4"/>
        <v>6</v>
      </c>
      <c r="M121" s="638" t="str">
        <f t="shared" si="5"/>
        <v>63208</v>
      </c>
      <c r="N121" s="255">
        <f t="shared" si="3"/>
        <v>5125153</v>
      </c>
    </row>
    <row r="122" spans="1:14">
      <c r="A122" s="1460">
        <v>45412</v>
      </c>
      <c r="B122" s="1461" t="s">
        <v>1068</v>
      </c>
      <c r="C122" s="637"/>
      <c r="D122" s="637"/>
      <c r="E122" s="1462" t="s">
        <v>1073</v>
      </c>
      <c r="F122" s="638" t="s">
        <v>769</v>
      </c>
      <c r="G122" s="1461" t="s">
        <v>954</v>
      </c>
      <c r="H122" s="1463">
        <v>1410000</v>
      </c>
      <c r="I122" s="253">
        <v>1</v>
      </c>
      <c r="J122" s="253">
        <v>0</v>
      </c>
      <c r="K122" s="254"/>
      <c r="L122" t="str">
        <f t="shared" si="4"/>
        <v>6</v>
      </c>
      <c r="M122" s="638" t="str">
        <f t="shared" si="5"/>
        <v>6333312</v>
      </c>
      <c r="N122" s="255">
        <f t="shared" si="3"/>
        <v>1410000</v>
      </c>
    </row>
    <row r="123" spans="1:14">
      <c r="A123" s="1460">
        <v>45412</v>
      </c>
      <c r="B123" s="1461" t="s">
        <v>1068</v>
      </c>
      <c r="C123" s="637"/>
      <c r="D123" s="637"/>
      <c r="E123" s="1462" t="s">
        <v>838</v>
      </c>
      <c r="F123" s="638" t="s">
        <v>769</v>
      </c>
      <c r="G123" s="1461" t="s">
        <v>839</v>
      </c>
      <c r="H123" s="1463">
        <v>364571384</v>
      </c>
      <c r="I123" s="253">
        <v>1</v>
      </c>
      <c r="J123" s="253">
        <v>0</v>
      </c>
      <c r="K123" s="254"/>
      <c r="L123" t="str">
        <f t="shared" si="4"/>
        <v>6</v>
      </c>
      <c r="M123" s="638" t="str">
        <f t="shared" si="5"/>
        <v>642701</v>
      </c>
      <c r="N123" s="255">
        <f t="shared" si="3"/>
        <v>364571384</v>
      </c>
    </row>
    <row r="124" spans="1:14">
      <c r="A124" s="1460">
        <v>45412</v>
      </c>
      <c r="B124" s="1461" t="s">
        <v>1068</v>
      </c>
      <c r="C124" s="637"/>
      <c r="D124" s="637"/>
      <c r="E124" s="1462" t="s">
        <v>818</v>
      </c>
      <c r="F124" s="638" t="s">
        <v>769</v>
      </c>
      <c r="G124" s="1461" t="s">
        <v>819</v>
      </c>
      <c r="H124" s="1463">
        <v>898363</v>
      </c>
      <c r="I124" s="253">
        <v>1</v>
      </c>
      <c r="J124" s="253">
        <v>0</v>
      </c>
      <c r="K124" s="254"/>
      <c r="L124" t="str">
        <f t="shared" si="4"/>
        <v>6</v>
      </c>
      <c r="M124" s="638" t="str">
        <f t="shared" si="5"/>
        <v>642710</v>
      </c>
      <c r="N124" s="255">
        <f t="shared" si="3"/>
        <v>898363</v>
      </c>
    </row>
    <row r="125" spans="1:14">
      <c r="A125" s="1460">
        <v>45412</v>
      </c>
      <c r="B125" s="1461" t="s">
        <v>1068</v>
      </c>
      <c r="C125" s="637"/>
      <c r="D125" s="637"/>
      <c r="E125" s="1462" t="s">
        <v>867</v>
      </c>
      <c r="F125" s="638" t="s">
        <v>769</v>
      </c>
      <c r="G125" s="1461" t="s">
        <v>378</v>
      </c>
      <c r="H125" s="1463">
        <v>1281031427</v>
      </c>
      <c r="I125" s="253">
        <v>1</v>
      </c>
      <c r="J125" s="253">
        <v>0</v>
      </c>
      <c r="K125" s="254"/>
      <c r="L125" t="str">
        <f t="shared" si="4"/>
        <v>6</v>
      </c>
      <c r="M125" s="638" t="str">
        <f t="shared" si="5"/>
        <v>64211</v>
      </c>
      <c r="N125" s="255">
        <f t="shared" si="3"/>
        <v>1281031427</v>
      </c>
    </row>
    <row r="126" spans="1:14">
      <c r="A126" s="1460">
        <v>45412</v>
      </c>
      <c r="B126" s="1461" t="s">
        <v>1068</v>
      </c>
      <c r="C126" s="637"/>
      <c r="D126" s="637"/>
      <c r="E126" s="1462" t="s">
        <v>842</v>
      </c>
      <c r="F126" s="638" t="s">
        <v>769</v>
      </c>
      <c r="G126" s="1461" t="s">
        <v>843</v>
      </c>
      <c r="H126" s="1463">
        <v>39893508</v>
      </c>
      <c r="I126" s="253">
        <v>1</v>
      </c>
      <c r="J126" s="253">
        <v>0</v>
      </c>
      <c r="K126" s="254"/>
      <c r="L126" t="str">
        <f t="shared" si="4"/>
        <v>6</v>
      </c>
      <c r="M126" s="638" t="str">
        <f t="shared" si="5"/>
        <v>642702</v>
      </c>
      <c r="N126" s="255">
        <f t="shared" si="3"/>
        <v>39893508</v>
      </c>
    </row>
    <row r="127" spans="1:14">
      <c r="A127" s="1460">
        <v>45412</v>
      </c>
      <c r="B127" s="1461" t="s">
        <v>1068</v>
      </c>
      <c r="C127" s="637"/>
      <c r="D127" s="637"/>
      <c r="E127" s="1462" t="s">
        <v>863</v>
      </c>
      <c r="F127" s="638" t="s">
        <v>769</v>
      </c>
      <c r="G127" s="1461" t="s">
        <v>864</v>
      </c>
      <c r="H127" s="1463">
        <v>18907653</v>
      </c>
      <c r="I127" s="253">
        <v>1</v>
      </c>
      <c r="J127" s="253">
        <v>0</v>
      </c>
      <c r="K127" s="254"/>
      <c r="L127" t="str">
        <f t="shared" si="4"/>
        <v>6</v>
      </c>
      <c r="M127" s="638" t="str">
        <f t="shared" si="5"/>
        <v>642707</v>
      </c>
      <c r="N127" s="255">
        <f t="shared" si="3"/>
        <v>18907653</v>
      </c>
    </row>
    <row r="128" spans="1:14">
      <c r="A128" s="1460">
        <v>45412</v>
      </c>
      <c r="B128" s="1461" t="s">
        <v>1068</v>
      </c>
      <c r="C128" s="637"/>
      <c r="D128" s="637"/>
      <c r="E128" s="1462" t="s">
        <v>847</v>
      </c>
      <c r="F128" s="638" t="s">
        <v>769</v>
      </c>
      <c r="G128" s="1461" t="s">
        <v>848</v>
      </c>
      <c r="H128" s="1463">
        <v>5981075</v>
      </c>
      <c r="I128" s="253">
        <v>1</v>
      </c>
      <c r="J128" s="253">
        <v>0</v>
      </c>
      <c r="K128" s="254"/>
      <c r="L128" t="str">
        <f t="shared" si="4"/>
        <v>6</v>
      </c>
      <c r="M128" s="638" t="str">
        <f t="shared" si="5"/>
        <v>642703</v>
      </c>
      <c r="N128" s="255">
        <f t="shared" si="3"/>
        <v>5981075</v>
      </c>
    </row>
    <row r="129" spans="1:14">
      <c r="A129" s="1460">
        <v>45412</v>
      </c>
      <c r="B129" s="1461" t="s">
        <v>1068</v>
      </c>
      <c r="C129" s="637"/>
      <c r="D129" s="637"/>
      <c r="E129" s="1462" t="s">
        <v>827</v>
      </c>
      <c r="F129" s="638" t="s">
        <v>769</v>
      </c>
      <c r="G129" s="1461" t="s">
        <v>828</v>
      </c>
      <c r="H129" s="1463">
        <v>1952831</v>
      </c>
      <c r="I129" s="253">
        <v>1</v>
      </c>
      <c r="J129" s="253">
        <v>0</v>
      </c>
      <c r="K129" s="254"/>
      <c r="L129" t="str">
        <f t="shared" si="4"/>
        <v>6</v>
      </c>
      <c r="M129" s="638" t="str">
        <f t="shared" si="5"/>
        <v>642712</v>
      </c>
      <c r="N129" s="255">
        <f t="shared" si="3"/>
        <v>1952831</v>
      </c>
    </row>
    <row r="130" spans="1:14">
      <c r="A130" s="1460">
        <v>45412</v>
      </c>
      <c r="B130" s="1461" t="s">
        <v>1068</v>
      </c>
      <c r="C130" s="637"/>
      <c r="D130" s="637"/>
      <c r="E130" s="1462" t="s">
        <v>853</v>
      </c>
      <c r="F130" s="638" t="s">
        <v>769</v>
      </c>
      <c r="G130" s="1461" t="s">
        <v>854</v>
      </c>
      <c r="H130" s="1463">
        <v>17346667</v>
      </c>
      <c r="I130" s="253">
        <v>1</v>
      </c>
      <c r="J130" s="253">
        <v>0</v>
      </c>
      <c r="K130" s="254"/>
      <c r="L130" t="str">
        <f t="shared" si="4"/>
        <v>6</v>
      </c>
      <c r="M130" s="638" t="str">
        <f t="shared" si="5"/>
        <v>642704</v>
      </c>
      <c r="N130" s="255">
        <f t="shared" si="3"/>
        <v>17346667</v>
      </c>
    </row>
    <row r="131" spans="1:14">
      <c r="A131" s="1460">
        <v>45412</v>
      </c>
      <c r="B131" s="1461" t="s">
        <v>1068</v>
      </c>
      <c r="C131" s="637"/>
      <c r="D131" s="637"/>
      <c r="E131" s="1462" t="s">
        <v>983</v>
      </c>
      <c r="F131" s="638" t="s">
        <v>769</v>
      </c>
      <c r="G131" s="1461" t="s">
        <v>924</v>
      </c>
      <c r="H131" s="1463">
        <v>67324000</v>
      </c>
      <c r="I131" s="253">
        <v>1</v>
      </c>
      <c r="J131" s="253">
        <v>0</v>
      </c>
      <c r="K131" s="254"/>
      <c r="L131" t="str">
        <f t="shared" si="4"/>
        <v>6</v>
      </c>
      <c r="M131" s="638" t="str">
        <f t="shared" si="5"/>
        <v>64131</v>
      </c>
      <c r="N131" s="255">
        <f t="shared" si="3"/>
        <v>67324000</v>
      </c>
    </row>
    <row r="132" spans="1:14">
      <c r="A132" s="1460">
        <v>45412</v>
      </c>
      <c r="B132" s="1461" t="s">
        <v>1068</v>
      </c>
      <c r="C132" s="637"/>
      <c r="D132" s="637"/>
      <c r="E132" s="1462" t="s">
        <v>802</v>
      </c>
      <c r="F132" s="638" t="s">
        <v>769</v>
      </c>
      <c r="G132" s="1461" t="s">
        <v>337</v>
      </c>
      <c r="H132" s="1463">
        <v>393073579</v>
      </c>
      <c r="I132" s="253">
        <v>1</v>
      </c>
      <c r="J132" s="253">
        <v>0</v>
      </c>
      <c r="K132" s="254"/>
      <c r="L132" t="str">
        <f t="shared" si="4"/>
        <v>6</v>
      </c>
      <c r="M132" s="638" t="str">
        <f t="shared" si="5"/>
        <v>64111</v>
      </c>
      <c r="N132" s="255">
        <f t="shared" si="3"/>
        <v>393073579</v>
      </c>
    </row>
    <row r="133" spans="1:14">
      <c r="A133" s="1460">
        <v>45412</v>
      </c>
      <c r="B133" s="1461" t="s">
        <v>1068</v>
      </c>
      <c r="C133" s="637"/>
      <c r="D133" s="637"/>
      <c r="E133" s="1462" t="s">
        <v>888</v>
      </c>
      <c r="F133" s="638" t="s">
        <v>769</v>
      </c>
      <c r="G133" s="1461" t="s">
        <v>345</v>
      </c>
      <c r="H133" s="1463">
        <v>7223287</v>
      </c>
      <c r="I133" s="253">
        <v>1</v>
      </c>
      <c r="J133" s="253">
        <v>0</v>
      </c>
      <c r="K133" s="254"/>
      <c r="L133" t="str">
        <f t="shared" si="4"/>
        <v>6</v>
      </c>
      <c r="M133" s="638" t="str">
        <f t="shared" si="5"/>
        <v>6414</v>
      </c>
      <c r="N133" s="255">
        <f t="shared" si="3"/>
        <v>7223287</v>
      </c>
    </row>
    <row r="134" spans="1:14">
      <c r="A134" s="1460">
        <v>45412</v>
      </c>
      <c r="B134" s="1461" t="s">
        <v>1068</v>
      </c>
      <c r="C134" s="637"/>
      <c r="D134" s="637"/>
      <c r="E134" s="1462" t="s">
        <v>1074</v>
      </c>
      <c r="F134" s="638" t="s">
        <v>769</v>
      </c>
      <c r="G134" s="1461" t="s">
        <v>963</v>
      </c>
      <c r="H134" s="1463">
        <v>16200000</v>
      </c>
      <c r="I134" s="253">
        <v>1</v>
      </c>
      <c r="J134" s="253">
        <v>0</v>
      </c>
      <c r="K134" s="254"/>
      <c r="L134" t="str">
        <f t="shared" si="4"/>
        <v>6</v>
      </c>
      <c r="M134" s="638" t="str">
        <f t="shared" si="5"/>
        <v>641705</v>
      </c>
      <c r="N134" s="255">
        <f t="shared" si="3"/>
        <v>16200000</v>
      </c>
    </row>
    <row r="135" spans="1:14">
      <c r="A135" s="1460">
        <v>45412</v>
      </c>
      <c r="B135" s="1461" t="s">
        <v>1068</v>
      </c>
      <c r="C135" s="637"/>
      <c r="D135" s="637"/>
      <c r="E135" s="1462" t="s">
        <v>900</v>
      </c>
      <c r="F135" s="638" t="s">
        <v>769</v>
      </c>
      <c r="G135" s="1461" t="s">
        <v>860</v>
      </c>
      <c r="H135" s="1463">
        <v>2100000</v>
      </c>
      <c r="I135" s="253">
        <v>1</v>
      </c>
      <c r="J135" s="253">
        <v>0</v>
      </c>
      <c r="K135" s="254"/>
      <c r="L135" t="str">
        <f t="shared" si="4"/>
        <v>6</v>
      </c>
      <c r="M135" s="638" t="str">
        <f t="shared" si="5"/>
        <v>641809</v>
      </c>
      <c r="N135" s="255">
        <f t="shared" si="3"/>
        <v>2100000</v>
      </c>
    </row>
    <row r="136" spans="1:14">
      <c r="A136" s="1460">
        <v>45412</v>
      </c>
      <c r="B136" s="1461" t="s">
        <v>1068</v>
      </c>
      <c r="C136" s="637"/>
      <c r="D136" s="637"/>
      <c r="E136" s="1462" t="s">
        <v>870</v>
      </c>
      <c r="F136" s="638" t="s">
        <v>769</v>
      </c>
      <c r="G136" s="1461" t="s">
        <v>379</v>
      </c>
      <c r="H136" s="1463">
        <v>69979000</v>
      </c>
      <c r="I136" s="253">
        <v>1</v>
      </c>
      <c r="J136" s="253">
        <v>0</v>
      </c>
      <c r="K136" s="254"/>
      <c r="L136" t="str">
        <f t="shared" si="4"/>
        <v>6</v>
      </c>
      <c r="M136" s="638" t="str">
        <f t="shared" si="5"/>
        <v>64212</v>
      </c>
      <c r="N136" s="255">
        <f t="shared" ref="N136:N199" si="6">IF(LEFT(F136,1)="9",H136,-H136)</f>
        <v>69979000</v>
      </c>
    </row>
    <row r="137" spans="1:14">
      <c r="A137" s="1460">
        <v>45412</v>
      </c>
      <c r="B137" s="1461" t="s">
        <v>1068</v>
      </c>
      <c r="C137" s="637"/>
      <c r="D137" s="637"/>
      <c r="E137" s="1462" t="s">
        <v>1075</v>
      </c>
      <c r="F137" s="638" t="s">
        <v>769</v>
      </c>
      <c r="G137" s="1461" t="s">
        <v>960</v>
      </c>
      <c r="H137" s="1463">
        <v>75848000</v>
      </c>
      <c r="I137" s="253">
        <v>1</v>
      </c>
      <c r="J137" s="253">
        <v>0</v>
      </c>
      <c r="K137" s="254"/>
      <c r="L137" t="str">
        <f t="shared" ref="L137:L200" si="7">LEFT(M137,1)</f>
        <v>6</v>
      </c>
      <c r="M137" s="638" t="str">
        <f t="shared" ref="M137:M200" si="8">G137</f>
        <v>641703</v>
      </c>
      <c r="N137" s="255">
        <f t="shared" si="6"/>
        <v>75848000</v>
      </c>
    </row>
    <row r="138" spans="1:14">
      <c r="A138" s="1460">
        <v>45412</v>
      </c>
      <c r="B138" s="1461" t="s">
        <v>1068</v>
      </c>
      <c r="C138" s="637"/>
      <c r="D138" s="637"/>
      <c r="E138" s="1462" t="s">
        <v>897</v>
      </c>
      <c r="F138" s="638" t="s">
        <v>769</v>
      </c>
      <c r="G138" s="1461" t="s">
        <v>855</v>
      </c>
      <c r="H138" s="1463">
        <v>10600000</v>
      </c>
      <c r="I138" s="253">
        <v>1</v>
      </c>
      <c r="J138" s="253">
        <v>0</v>
      </c>
      <c r="K138" s="254"/>
      <c r="L138" t="str">
        <f t="shared" si="7"/>
        <v>6</v>
      </c>
      <c r="M138" s="638" t="str">
        <f t="shared" si="8"/>
        <v>641802</v>
      </c>
      <c r="N138" s="255">
        <f t="shared" si="6"/>
        <v>10600000</v>
      </c>
    </row>
    <row r="139" spans="1:14">
      <c r="A139" s="1460">
        <v>45412</v>
      </c>
      <c r="B139" s="1461" t="s">
        <v>1068</v>
      </c>
      <c r="C139" s="637"/>
      <c r="D139" s="637"/>
      <c r="E139" s="1462" t="s">
        <v>885</v>
      </c>
      <c r="F139" s="638" t="s">
        <v>769</v>
      </c>
      <c r="G139" s="1461" t="s">
        <v>339</v>
      </c>
      <c r="H139" s="1463">
        <v>30470000</v>
      </c>
      <c r="I139" s="253">
        <v>1</v>
      </c>
      <c r="J139" s="253">
        <v>0</v>
      </c>
      <c r="K139" s="254"/>
      <c r="L139" t="str">
        <f t="shared" si="7"/>
        <v>6</v>
      </c>
      <c r="M139" s="638" t="str">
        <f t="shared" si="8"/>
        <v>64112</v>
      </c>
      <c r="N139" s="255">
        <f t="shared" si="6"/>
        <v>30470000</v>
      </c>
    </row>
    <row r="140" spans="1:14">
      <c r="A140" s="1460">
        <v>45412</v>
      </c>
      <c r="B140" s="1461" t="s">
        <v>1068</v>
      </c>
      <c r="C140" s="637"/>
      <c r="D140" s="637"/>
      <c r="E140" s="1462" t="s">
        <v>1076</v>
      </c>
      <c r="F140" s="638" t="s">
        <v>769</v>
      </c>
      <c r="G140" s="1461" t="s">
        <v>957</v>
      </c>
      <c r="H140" s="1463">
        <v>1115917</v>
      </c>
      <c r="I140" s="253">
        <v>1</v>
      </c>
      <c r="J140" s="253">
        <v>0</v>
      </c>
      <c r="K140" s="254"/>
      <c r="L140" t="str">
        <f t="shared" si="7"/>
        <v>6</v>
      </c>
      <c r="M140" s="638" t="str">
        <f t="shared" si="8"/>
        <v>64132</v>
      </c>
      <c r="N140" s="255">
        <f t="shared" si="6"/>
        <v>1115917</v>
      </c>
    </row>
    <row r="141" spans="1:14">
      <c r="A141" s="1460">
        <v>45412</v>
      </c>
      <c r="B141" s="1461" t="s">
        <v>1068</v>
      </c>
      <c r="C141" s="637"/>
      <c r="D141" s="637"/>
      <c r="E141" s="1462" t="s">
        <v>891</v>
      </c>
      <c r="F141" s="638" t="s">
        <v>769</v>
      </c>
      <c r="G141" s="1461" t="s">
        <v>844</v>
      </c>
      <c r="H141" s="1463">
        <v>2855669</v>
      </c>
      <c r="I141" s="253">
        <v>1</v>
      </c>
      <c r="J141" s="253">
        <v>0</v>
      </c>
      <c r="K141" s="254"/>
      <c r="L141" t="str">
        <f t="shared" si="7"/>
        <v>6</v>
      </c>
      <c r="M141" s="638" t="str">
        <f t="shared" si="8"/>
        <v>641702</v>
      </c>
      <c r="N141" s="255">
        <f t="shared" si="6"/>
        <v>2855669</v>
      </c>
    </row>
    <row r="142" spans="1:14">
      <c r="A142" s="1460">
        <v>45412</v>
      </c>
      <c r="B142" s="1461" t="s">
        <v>1068</v>
      </c>
      <c r="C142" s="637"/>
      <c r="D142" s="637"/>
      <c r="E142" s="1462" t="s">
        <v>1021</v>
      </c>
      <c r="F142" s="638" t="s">
        <v>769</v>
      </c>
      <c r="G142" s="1461" t="s">
        <v>933</v>
      </c>
      <c r="H142" s="1463">
        <v>1520000</v>
      </c>
      <c r="I142" s="253">
        <v>1</v>
      </c>
      <c r="J142" s="253">
        <v>0</v>
      </c>
      <c r="K142" s="254"/>
      <c r="L142" t="str">
        <f t="shared" si="7"/>
        <v>6</v>
      </c>
      <c r="M142" s="638" t="str">
        <f t="shared" si="8"/>
        <v>641801</v>
      </c>
      <c r="N142" s="255">
        <f t="shared" si="6"/>
        <v>1520000</v>
      </c>
    </row>
    <row r="143" spans="1:14">
      <c r="A143" s="1460">
        <v>45412</v>
      </c>
      <c r="B143" s="1461" t="s">
        <v>1068</v>
      </c>
      <c r="C143" s="637"/>
      <c r="D143" s="637"/>
      <c r="E143" s="1462" t="s">
        <v>768</v>
      </c>
      <c r="F143" s="638" t="s">
        <v>769</v>
      </c>
      <c r="G143" s="1461" t="s">
        <v>770</v>
      </c>
      <c r="H143" s="1463">
        <v>185766909</v>
      </c>
      <c r="I143" s="253">
        <v>1</v>
      </c>
      <c r="J143" s="253">
        <v>0</v>
      </c>
      <c r="K143" s="254"/>
      <c r="L143" t="str">
        <f t="shared" si="7"/>
        <v>6</v>
      </c>
      <c r="M143" s="638" t="str">
        <f t="shared" si="8"/>
        <v>63311</v>
      </c>
      <c r="N143" s="255">
        <f t="shared" si="6"/>
        <v>185766909</v>
      </c>
    </row>
    <row r="144" spans="1:14">
      <c r="A144" s="1460">
        <v>45412</v>
      </c>
      <c r="B144" s="1461" t="s">
        <v>1068</v>
      </c>
      <c r="C144" s="637"/>
      <c r="D144" s="637"/>
      <c r="E144" s="1462" t="s">
        <v>780</v>
      </c>
      <c r="F144" s="638" t="s">
        <v>769</v>
      </c>
      <c r="G144" s="1461" t="s">
        <v>781</v>
      </c>
      <c r="H144" s="1463">
        <v>38666667</v>
      </c>
      <c r="I144" s="253">
        <v>1</v>
      </c>
      <c r="J144" s="253">
        <v>0</v>
      </c>
      <c r="K144" s="254"/>
      <c r="L144" t="str">
        <f t="shared" si="7"/>
        <v>6</v>
      </c>
      <c r="M144" s="638" t="str">
        <f t="shared" si="8"/>
        <v>63312</v>
      </c>
      <c r="N144" s="255">
        <f t="shared" si="6"/>
        <v>38666667</v>
      </c>
    </row>
    <row r="145" spans="1:14">
      <c r="A145" s="1460">
        <v>45412</v>
      </c>
      <c r="B145" s="1461" t="s">
        <v>1068</v>
      </c>
      <c r="C145" s="637"/>
      <c r="D145" s="637"/>
      <c r="E145" s="1462" t="s">
        <v>786</v>
      </c>
      <c r="F145" s="638" t="s">
        <v>769</v>
      </c>
      <c r="G145" s="1461" t="s">
        <v>787</v>
      </c>
      <c r="H145" s="1463">
        <v>5833333</v>
      </c>
      <c r="I145" s="253">
        <v>1</v>
      </c>
      <c r="J145" s="253">
        <v>0</v>
      </c>
      <c r="K145" s="254"/>
      <c r="L145" t="str">
        <f t="shared" si="7"/>
        <v>6</v>
      </c>
      <c r="M145" s="638" t="str">
        <f t="shared" si="8"/>
        <v>63313</v>
      </c>
      <c r="N145" s="255">
        <f t="shared" si="6"/>
        <v>5833333</v>
      </c>
    </row>
    <row r="146" spans="1:14">
      <c r="A146" s="1460">
        <v>45412</v>
      </c>
      <c r="B146" s="1461" t="s">
        <v>1068</v>
      </c>
      <c r="C146" s="637"/>
      <c r="D146" s="637"/>
      <c r="E146" s="1462" t="s">
        <v>909</v>
      </c>
      <c r="F146" s="638" t="s">
        <v>769</v>
      </c>
      <c r="G146" s="1461" t="s">
        <v>815</v>
      </c>
      <c r="H146" s="1463">
        <v>395746337</v>
      </c>
      <c r="I146" s="253">
        <v>1</v>
      </c>
      <c r="J146" s="253">
        <v>0</v>
      </c>
      <c r="K146" s="254"/>
      <c r="L146" t="str">
        <f t="shared" si="7"/>
        <v>6</v>
      </c>
      <c r="M146" s="638" t="str">
        <f t="shared" si="8"/>
        <v>633175</v>
      </c>
      <c r="N146" s="255">
        <f t="shared" si="6"/>
        <v>395746337</v>
      </c>
    </row>
    <row r="147" spans="1:14">
      <c r="A147" s="1460">
        <v>45412</v>
      </c>
      <c r="B147" s="1461" t="s">
        <v>1068</v>
      </c>
      <c r="C147" s="637"/>
      <c r="D147" s="637"/>
      <c r="E147" s="1462" t="s">
        <v>790</v>
      </c>
      <c r="F147" s="638" t="s">
        <v>769</v>
      </c>
      <c r="G147" s="1461" t="s">
        <v>791</v>
      </c>
      <c r="H147" s="1463">
        <v>1257820585</v>
      </c>
      <c r="I147" s="253">
        <v>1</v>
      </c>
      <c r="J147" s="253">
        <v>0</v>
      </c>
      <c r="K147" s="254"/>
      <c r="L147" t="str">
        <f t="shared" si="7"/>
        <v>6</v>
      </c>
      <c r="M147" s="638" t="str">
        <f t="shared" si="8"/>
        <v>6331711</v>
      </c>
      <c r="N147" s="255">
        <f t="shared" si="6"/>
        <v>1257820585</v>
      </c>
    </row>
    <row r="148" spans="1:14">
      <c r="A148" s="1460">
        <v>45412</v>
      </c>
      <c r="B148" s="1461" t="s">
        <v>1068</v>
      </c>
      <c r="C148" s="637"/>
      <c r="D148" s="637"/>
      <c r="E148" s="1462" t="s">
        <v>1077</v>
      </c>
      <c r="F148" s="638" t="s">
        <v>769</v>
      </c>
      <c r="G148" s="1461" t="s">
        <v>309</v>
      </c>
      <c r="H148" s="1463">
        <v>72780822</v>
      </c>
      <c r="I148" s="253">
        <v>1</v>
      </c>
      <c r="J148" s="253">
        <v>0</v>
      </c>
      <c r="K148" s="254"/>
      <c r="L148" t="str">
        <f t="shared" si="7"/>
        <v>6</v>
      </c>
      <c r="M148" s="638" t="str">
        <f t="shared" si="8"/>
        <v>6352</v>
      </c>
      <c r="N148" s="255">
        <f t="shared" si="6"/>
        <v>72780822</v>
      </c>
    </row>
    <row r="149" spans="1:14">
      <c r="A149" s="1460">
        <v>45412</v>
      </c>
      <c r="B149" s="1461" t="s">
        <v>1068</v>
      </c>
      <c r="C149" s="637"/>
      <c r="D149" s="637"/>
      <c r="E149" s="1462" t="s">
        <v>906</v>
      </c>
      <c r="F149" s="638" t="s">
        <v>769</v>
      </c>
      <c r="G149" s="1461" t="s">
        <v>811</v>
      </c>
      <c r="H149" s="1463">
        <v>113492635</v>
      </c>
      <c r="I149" s="253">
        <v>1</v>
      </c>
      <c r="J149" s="253">
        <v>0</v>
      </c>
      <c r="K149" s="254"/>
      <c r="L149" t="str">
        <f t="shared" si="7"/>
        <v>6</v>
      </c>
      <c r="M149" s="638" t="str">
        <f t="shared" si="8"/>
        <v>633174</v>
      </c>
      <c r="N149" s="255">
        <f t="shared" si="6"/>
        <v>113492635</v>
      </c>
    </row>
    <row r="150" spans="1:14">
      <c r="A150" s="1460">
        <v>45412</v>
      </c>
      <c r="B150" s="1461" t="s">
        <v>1068</v>
      </c>
      <c r="C150" s="637"/>
      <c r="D150" s="637"/>
      <c r="E150" s="1462" t="s">
        <v>798</v>
      </c>
      <c r="F150" s="638" t="s">
        <v>769</v>
      </c>
      <c r="G150" s="1461" t="s">
        <v>799</v>
      </c>
      <c r="H150" s="1463">
        <v>4685354</v>
      </c>
      <c r="I150" s="253">
        <v>1</v>
      </c>
      <c r="J150" s="253">
        <v>0</v>
      </c>
      <c r="K150" s="254"/>
      <c r="L150" t="str">
        <f t="shared" si="7"/>
        <v>6</v>
      </c>
      <c r="M150" s="638" t="str">
        <f t="shared" si="8"/>
        <v>63345</v>
      </c>
      <c r="N150" s="255">
        <f t="shared" si="6"/>
        <v>4685354</v>
      </c>
    </row>
    <row r="151" spans="1:14">
      <c r="A151" s="1460">
        <v>45412</v>
      </c>
      <c r="B151" s="1461" t="s">
        <v>1068</v>
      </c>
      <c r="C151" s="637"/>
      <c r="D151" s="637"/>
      <c r="E151" s="1462" t="s">
        <v>912</v>
      </c>
      <c r="F151" s="638" t="s">
        <v>769</v>
      </c>
      <c r="G151" s="1461" t="s">
        <v>820</v>
      </c>
      <c r="H151" s="1463">
        <v>15384916</v>
      </c>
      <c r="I151" s="253">
        <v>1</v>
      </c>
      <c r="J151" s="253">
        <v>0</v>
      </c>
      <c r="K151" s="254"/>
      <c r="L151" t="str">
        <f t="shared" si="7"/>
        <v>6</v>
      </c>
      <c r="M151" s="638" t="str">
        <f t="shared" si="8"/>
        <v>63341</v>
      </c>
      <c r="N151" s="255">
        <f t="shared" si="6"/>
        <v>15384916</v>
      </c>
    </row>
    <row r="152" spans="1:14">
      <c r="A152" s="1460">
        <v>45412</v>
      </c>
      <c r="B152" s="1461" t="s">
        <v>1068</v>
      </c>
      <c r="C152" s="637"/>
      <c r="D152" s="637"/>
      <c r="E152" s="1462" t="s">
        <v>1078</v>
      </c>
      <c r="F152" s="638" t="s">
        <v>769</v>
      </c>
      <c r="G152" s="1461" t="s">
        <v>951</v>
      </c>
      <c r="H152" s="1463">
        <v>13000000</v>
      </c>
      <c r="I152" s="253">
        <v>1</v>
      </c>
      <c r="J152" s="253">
        <v>0</v>
      </c>
      <c r="K152" s="254"/>
      <c r="L152" t="str">
        <f t="shared" si="7"/>
        <v>6</v>
      </c>
      <c r="M152" s="638" t="str">
        <f t="shared" si="8"/>
        <v>6333311</v>
      </c>
      <c r="N152" s="255">
        <f t="shared" si="6"/>
        <v>13000000</v>
      </c>
    </row>
    <row r="153" spans="1:14">
      <c r="A153" s="1460">
        <v>45412</v>
      </c>
      <c r="B153" s="1461" t="s">
        <v>1068</v>
      </c>
      <c r="C153" s="637"/>
      <c r="D153" s="637"/>
      <c r="E153" s="1462" t="s">
        <v>794</v>
      </c>
      <c r="F153" s="638" t="s">
        <v>769</v>
      </c>
      <c r="G153" s="1461" t="s">
        <v>795</v>
      </c>
      <c r="H153" s="1463">
        <v>65486000</v>
      </c>
      <c r="I153" s="253">
        <v>1</v>
      </c>
      <c r="J153" s="253">
        <v>0</v>
      </c>
      <c r="K153" s="254"/>
      <c r="L153" t="str">
        <f t="shared" si="7"/>
        <v>6</v>
      </c>
      <c r="M153" s="638" t="str">
        <f t="shared" si="8"/>
        <v>6331712</v>
      </c>
      <c r="N153" s="255">
        <f t="shared" si="6"/>
        <v>65486000</v>
      </c>
    </row>
    <row r="154" spans="1:14">
      <c r="A154" s="1460">
        <v>45412</v>
      </c>
      <c r="B154" s="1461" t="s">
        <v>1068</v>
      </c>
      <c r="C154" s="637"/>
      <c r="D154" s="637"/>
      <c r="E154" s="1462" t="s">
        <v>950</v>
      </c>
      <c r="F154" s="638" t="s">
        <v>769</v>
      </c>
      <c r="G154" s="1461" t="s">
        <v>918</v>
      </c>
      <c r="H154" s="1463">
        <v>98630137</v>
      </c>
      <c r="I154" s="253">
        <v>1</v>
      </c>
      <c r="J154" s="253">
        <v>0</v>
      </c>
      <c r="K154" s="254"/>
      <c r="L154" t="str">
        <f t="shared" si="7"/>
        <v>5</v>
      </c>
      <c r="M154" s="638" t="str">
        <f t="shared" si="8"/>
        <v>51101030203</v>
      </c>
      <c r="N154" s="255">
        <f t="shared" si="6"/>
        <v>98630137</v>
      </c>
    </row>
    <row r="155" spans="1:14">
      <c r="A155" s="1460">
        <v>45412</v>
      </c>
      <c r="B155" s="1461" t="s">
        <v>1068</v>
      </c>
      <c r="C155" s="637"/>
      <c r="D155" s="637"/>
      <c r="E155" s="1462" t="s">
        <v>824</v>
      </c>
      <c r="F155" s="638" t="s">
        <v>769</v>
      </c>
      <c r="G155" s="1461" t="s">
        <v>825</v>
      </c>
      <c r="H155" s="1463">
        <v>8519477</v>
      </c>
      <c r="I155" s="253">
        <v>1</v>
      </c>
      <c r="J155" s="253">
        <v>0</v>
      </c>
      <c r="K155" s="254"/>
      <c r="L155" t="str">
        <f t="shared" si="7"/>
        <v>6</v>
      </c>
      <c r="M155" s="638" t="str">
        <f t="shared" si="8"/>
        <v>642711</v>
      </c>
      <c r="N155" s="255">
        <f t="shared" si="6"/>
        <v>8519477</v>
      </c>
    </row>
    <row r="156" spans="1:14">
      <c r="A156" s="1460">
        <v>45412</v>
      </c>
      <c r="B156" s="1461" t="s">
        <v>1068</v>
      </c>
      <c r="C156" s="637"/>
      <c r="D156" s="637"/>
      <c r="E156" s="1462" t="s">
        <v>832</v>
      </c>
      <c r="F156" s="638" t="s">
        <v>769</v>
      </c>
      <c r="G156" s="1461" t="s">
        <v>833</v>
      </c>
      <c r="H156" s="1463">
        <v>5151979</v>
      </c>
      <c r="I156" s="253">
        <v>1</v>
      </c>
      <c r="J156" s="253">
        <v>0</v>
      </c>
      <c r="K156" s="254"/>
      <c r="L156" t="str">
        <f t="shared" si="7"/>
        <v>6</v>
      </c>
      <c r="M156" s="638" t="str">
        <f t="shared" si="8"/>
        <v>642799</v>
      </c>
      <c r="N156" s="255">
        <f t="shared" si="6"/>
        <v>5151979</v>
      </c>
    </row>
    <row r="157" spans="1:14">
      <c r="A157" s="1460">
        <v>45412</v>
      </c>
      <c r="B157" s="1461" t="s">
        <v>1068</v>
      </c>
      <c r="C157" s="637"/>
      <c r="D157" s="637"/>
      <c r="E157" s="1462" t="s">
        <v>858</v>
      </c>
      <c r="F157" s="638" t="s">
        <v>769</v>
      </c>
      <c r="G157" s="1461" t="s">
        <v>859</v>
      </c>
      <c r="H157" s="1463">
        <v>9151000</v>
      </c>
      <c r="I157" s="253">
        <v>1</v>
      </c>
      <c r="J157" s="253">
        <v>0</v>
      </c>
      <c r="K157" s="254"/>
      <c r="L157" t="str">
        <f t="shared" si="7"/>
        <v>6</v>
      </c>
      <c r="M157" s="638" t="str">
        <f t="shared" si="8"/>
        <v>642706</v>
      </c>
      <c r="N157" s="255">
        <f t="shared" si="6"/>
        <v>9151000</v>
      </c>
    </row>
    <row r="158" spans="1:14">
      <c r="A158" s="1460">
        <v>45412</v>
      </c>
      <c r="B158" s="1461" t="s">
        <v>1068</v>
      </c>
      <c r="C158" s="637"/>
      <c r="D158" s="637"/>
      <c r="E158" s="1462" t="s">
        <v>883</v>
      </c>
      <c r="F158" s="638" t="s">
        <v>769</v>
      </c>
      <c r="G158" s="1461" t="s">
        <v>384</v>
      </c>
      <c r="H158" s="1463">
        <v>2000000</v>
      </c>
      <c r="I158" s="253">
        <v>1</v>
      </c>
      <c r="J158" s="253">
        <v>0</v>
      </c>
      <c r="K158" s="254"/>
      <c r="L158" t="str">
        <f t="shared" si="7"/>
        <v>6</v>
      </c>
      <c r="M158" s="638" t="str">
        <f t="shared" si="8"/>
        <v>6425</v>
      </c>
      <c r="N158" s="255">
        <f t="shared" si="6"/>
        <v>2000000</v>
      </c>
    </row>
    <row r="159" spans="1:14">
      <c r="A159" s="1460">
        <v>45412</v>
      </c>
      <c r="B159" s="1461" t="s">
        <v>1068</v>
      </c>
      <c r="C159" s="637"/>
      <c r="D159" s="637"/>
      <c r="E159" s="1462" t="s">
        <v>813</v>
      </c>
      <c r="F159" s="638" t="s">
        <v>769</v>
      </c>
      <c r="G159" s="1461" t="s">
        <v>814</v>
      </c>
      <c r="H159" s="1463">
        <v>7629120</v>
      </c>
      <c r="I159" s="253">
        <v>1</v>
      </c>
      <c r="J159" s="253">
        <v>0</v>
      </c>
      <c r="K159" s="254"/>
      <c r="L159" t="str">
        <f t="shared" si="7"/>
        <v>6</v>
      </c>
      <c r="M159" s="638" t="str">
        <f t="shared" si="8"/>
        <v>642709</v>
      </c>
      <c r="N159" s="255">
        <f t="shared" si="6"/>
        <v>7629120</v>
      </c>
    </row>
    <row r="160" spans="1:14">
      <c r="A160" s="1460">
        <v>45412</v>
      </c>
      <c r="B160" s="1461" t="s">
        <v>1068</v>
      </c>
      <c r="C160" s="637"/>
      <c r="D160" s="637"/>
      <c r="E160" s="1462" t="s">
        <v>809</v>
      </c>
      <c r="F160" s="638" t="s">
        <v>769</v>
      </c>
      <c r="G160" s="1461" t="s">
        <v>810</v>
      </c>
      <c r="H160" s="1463">
        <v>28206401</v>
      </c>
      <c r="I160" s="253">
        <v>1</v>
      </c>
      <c r="J160" s="253">
        <v>0</v>
      </c>
      <c r="K160" s="254"/>
      <c r="L160" t="str">
        <f t="shared" si="7"/>
        <v>6</v>
      </c>
      <c r="M160" s="638" t="str">
        <f t="shared" si="8"/>
        <v>642708</v>
      </c>
      <c r="N160" s="255">
        <f t="shared" si="6"/>
        <v>28206401</v>
      </c>
    </row>
    <row r="161" spans="1:16">
      <c r="A161" s="1460">
        <v>45412</v>
      </c>
      <c r="B161" s="1461" t="s">
        <v>1068</v>
      </c>
      <c r="C161" s="637"/>
      <c r="D161" s="637"/>
      <c r="E161" s="1462" t="s">
        <v>877</v>
      </c>
      <c r="F161" s="638" t="s">
        <v>769</v>
      </c>
      <c r="G161" s="1461" t="s">
        <v>381</v>
      </c>
      <c r="H161" s="1463">
        <v>4931921</v>
      </c>
      <c r="I161" s="253">
        <v>1</v>
      </c>
      <c r="J161" s="253">
        <v>0</v>
      </c>
      <c r="K161" s="254"/>
      <c r="L161" t="str">
        <f t="shared" si="7"/>
        <v>6</v>
      </c>
      <c r="M161" s="638" t="str">
        <f t="shared" si="8"/>
        <v>6423</v>
      </c>
      <c r="N161" s="255">
        <f t="shared" si="6"/>
        <v>4931921</v>
      </c>
    </row>
    <row r="162" spans="1:16">
      <c r="A162" s="1460">
        <v>45412</v>
      </c>
      <c r="B162" s="1461" t="s">
        <v>1068</v>
      </c>
      <c r="C162" s="637"/>
      <c r="D162" s="637"/>
      <c r="E162" s="1462" t="s">
        <v>874</v>
      </c>
      <c r="F162" s="638" t="s">
        <v>769</v>
      </c>
      <c r="G162" s="1461" t="s">
        <v>505</v>
      </c>
      <c r="H162" s="1463">
        <v>17972730</v>
      </c>
      <c r="I162" s="253">
        <v>1</v>
      </c>
      <c r="J162" s="253">
        <v>0</v>
      </c>
      <c r="K162" s="254"/>
      <c r="L162" t="str">
        <f t="shared" si="7"/>
        <v>6</v>
      </c>
      <c r="M162" s="638" t="str">
        <f t="shared" si="8"/>
        <v>6422</v>
      </c>
      <c r="N162" s="255">
        <f t="shared" si="6"/>
        <v>17972730</v>
      </c>
      <c r="P162" s="1608"/>
    </row>
    <row r="163" spans="1:16">
      <c r="A163" s="1460">
        <v>45412</v>
      </c>
      <c r="B163" s="1461" t="s">
        <v>1068</v>
      </c>
      <c r="C163" s="637"/>
      <c r="D163" s="637"/>
      <c r="E163" s="1462" t="s">
        <v>880</v>
      </c>
      <c r="F163" s="638" t="s">
        <v>769</v>
      </c>
      <c r="G163" s="1461" t="s">
        <v>383</v>
      </c>
      <c r="H163" s="1463">
        <v>91450284</v>
      </c>
      <c r="I163" s="253">
        <v>1</v>
      </c>
      <c r="J163" s="253">
        <v>0</v>
      </c>
      <c r="K163" s="254"/>
      <c r="L163" t="str">
        <f t="shared" si="7"/>
        <v>6</v>
      </c>
      <c r="M163" s="638" t="str">
        <f t="shared" si="8"/>
        <v>6424</v>
      </c>
      <c r="N163" s="255">
        <f t="shared" si="6"/>
        <v>91450284</v>
      </c>
    </row>
    <row r="164" spans="1:16">
      <c r="A164" s="1460">
        <v>45443</v>
      </c>
      <c r="B164" s="1461" t="s">
        <v>1079</v>
      </c>
      <c r="C164" s="637"/>
      <c r="D164" s="637"/>
      <c r="E164" s="1462" t="s">
        <v>853</v>
      </c>
      <c r="F164" s="638" t="s">
        <v>769</v>
      </c>
      <c r="G164" s="1461" t="s">
        <v>854</v>
      </c>
      <c r="H164" s="1463">
        <v>17196667</v>
      </c>
      <c r="I164" s="253">
        <v>1</v>
      </c>
      <c r="J164" s="253">
        <v>0</v>
      </c>
      <c r="K164" s="254"/>
      <c r="L164" t="str">
        <f t="shared" si="7"/>
        <v>6</v>
      </c>
      <c r="M164" s="638" t="str">
        <f t="shared" si="8"/>
        <v>642704</v>
      </c>
      <c r="N164" s="255">
        <f t="shared" si="6"/>
        <v>17196667</v>
      </c>
    </row>
    <row r="165" spans="1:16">
      <c r="A165" s="1460">
        <v>45443</v>
      </c>
      <c r="B165" s="1461" t="s">
        <v>1079</v>
      </c>
      <c r="C165" s="637"/>
      <c r="D165" s="637"/>
      <c r="E165" s="1462" t="s">
        <v>858</v>
      </c>
      <c r="F165" s="638" t="s">
        <v>769</v>
      </c>
      <c r="G165" s="1461" t="s">
        <v>859</v>
      </c>
      <c r="H165" s="1463">
        <v>52600550</v>
      </c>
      <c r="I165" s="253">
        <v>1</v>
      </c>
      <c r="J165" s="253">
        <v>0</v>
      </c>
      <c r="K165" s="254"/>
      <c r="L165" t="str">
        <f t="shared" si="7"/>
        <v>6</v>
      </c>
      <c r="M165" s="638" t="str">
        <f t="shared" si="8"/>
        <v>642706</v>
      </c>
      <c r="N165" s="255">
        <f t="shared" si="6"/>
        <v>52600550</v>
      </c>
    </row>
    <row r="166" spans="1:16">
      <c r="A166" s="1460">
        <v>45443</v>
      </c>
      <c r="B166" s="1461" t="s">
        <v>1079</v>
      </c>
      <c r="C166" s="637"/>
      <c r="D166" s="637"/>
      <c r="E166" s="1462" t="s">
        <v>863</v>
      </c>
      <c r="F166" s="638" t="s">
        <v>769</v>
      </c>
      <c r="G166" s="1461" t="s">
        <v>864</v>
      </c>
      <c r="H166" s="1463">
        <v>49886443</v>
      </c>
      <c r="I166" s="253">
        <v>1</v>
      </c>
      <c r="J166" s="253">
        <v>0</v>
      </c>
      <c r="K166" s="254"/>
      <c r="L166" t="str">
        <f t="shared" si="7"/>
        <v>6</v>
      </c>
      <c r="M166" s="638" t="str">
        <f t="shared" si="8"/>
        <v>642707</v>
      </c>
      <c r="N166" s="255">
        <f t="shared" si="6"/>
        <v>49886443</v>
      </c>
    </row>
    <row r="167" spans="1:16">
      <c r="A167" s="1460">
        <v>45443</v>
      </c>
      <c r="B167" s="1461" t="s">
        <v>1079</v>
      </c>
      <c r="C167" s="637"/>
      <c r="D167" s="637"/>
      <c r="E167" s="1462" t="s">
        <v>809</v>
      </c>
      <c r="F167" s="638" t="s">
        <v>769</v>
      </c>
      <c r="G167" s="1461" t="s">
        <v>810</v>
      </c>
      <c r="H167" s="1463">
        <v>77720112</v>
      </c>
      <c r="I167" s="253">
        <v>1</v>
      </c>
      <c r="J167" s="253">
        <v>0</v>
      </c>
      <c r="K167" s="254"/>
      <c r="L167" t="str">
        <f t="shared" si="7"/>
        <v>6</v>
      </c>
      <c r="M167" s="638" t="str">
        <f t="shared" si="8"/>
        <v>642708</v>
      </c>
      <c r="N167" s="255">
        <f t="shared" si="6"/>
        <v>77720112</v>
      </c>
    </row>
    <row r="168" spans="1:16">
      <c r="A168" s="1460">
        <v>45443</v>
      </c>
      <c r="B168" s="1461" t="s">
        <v>1079</v>
      </c>
      <c r="C168" s="637"/>
      <c r="D168" s="637"/>
      <c r="E168" s="1462" t="s">
        <v>813</v>
      </c>
      <c r="F168" s="638" t="s">
        <v>769</v>
      </c>
      <c r="G168" s="1461" t="s">
        <v>814</v>
      </c>
      <c r="H168" s="1463">
        <v>7183274</v>
      </c>
      <c r="I168" s="253">
        <v>1</v>
      </c>
      <c r="J168" s="253">
        <v>0</v>
      </c>
      <c r="K168" s="254"/>
      <c r="L168" t="str">
        <f t="shared" si="7"/>
        <v>6</v>
      </c>
      <c r="M168" s="638" t="str">
        <f t="shared" si="8"/>
        <v>642709</v>
      </c>
      <c r="N168" s="255">
        <f t="shared" si="6"/>
        <v>7183274</v>
      </c>
    </row>
    <row r="169" spans="1:16">
      <c r="A169" s="1460">
        <v>45443</v>
      </c>
      <c r="B169" s="1461" t="s">
        <v>1079</v>
      </c>
      <c r="C169" s="637"/>
      <c r="D169" s="637"/>
      <c r="E169" s="1462" t="s">
        <v>818</v>
      </c>
      <c r="F169" s="638" t="s">
        <v>769</v>
      </c>
      <c r="G169" s="1461" t="s">
        <v>819</v>
      </c>
      <c r="H169" s="1463">
        <v>605363</v>
      </c>
      <c r="I169" s="253">
        <v>1</v>
      </c>
      <c r="J169" s="253">
        <v>0</v>
      </c>
      <c r="K169" s="254"/>
      <c r="L169" t="str">
        <f t="shared" si="7"/>
        <v>6</v>
      </c>
      <c r="M169" s="638" t="str">
        <f t="shared" si="8"/>
        <v>642710</v>
      </c>
      <c r="N169" s="255">
        <f t="shared" si="6"/>
        <v>605363</v>
      </c>
    </row>
    <row r="170" spans="1:16">
      <c r="A170" s="1460">
        <v>45443</v>
      </c>
      <c r="B170" s="1461" t="s">
        <v>1079</v>
      </c>
      <c r="C170" s="637"/>
      <c r="D170" s="637"/>
      <c r="E170" s="1462" t="s">
        <v>877</v>
      </c>
      <c r="F170" s="638" t="s">
        <v>769</v>
      </c>
      <c r="G170" s="1461" t="s">
        <v>381</v>
      </c>
      <c r="H170" s="1463">
        <v>4798772</v>
      </c>
      <c r="I170" s="253">
        <v>1</v>
      </c>
      <c r="J170" s="253">
        <v>0</v>
      </c>
      <c r="K170" s="254"/>
      <c r="L170" t="str">
        <f t="shared" si="7"/>
        <v>6</v>
      </c>
      <c r="M170" s="638" t="str">
        <f t="shared" si="8"/>
        <v>6423</v>
      </c>
      <c r="N170" s="255">
        <f t="shared" si="6"/>
        <v>4798772</v>
      </c>
    </row>
    <row r="171" spans="1:16">
      <c r="A171" s="1460">
        <v>45443</v>
      </c>
      <c r="B171" s="1461" t="s">
        <v>1079</v>
      </c>
      <c r="C171" s="637"/>
      <c r="D171" s="637"/>
      <c r="E171" s="1462" t="s">
        <v>880</v>
      </c>
      <c r="F171" s="638" t="s">
        <v>769</v>
      </c>
      <c r="G171" s="1461" t="s">
        <v>383</v>
      </c>
      <c r="H171" s="1463">
        <v>91450284</v>
      </c>
      <c r="I171" s="253">
        <v>1</v>
      </c>
      <c r="J171" s="253">
        <v>0</v>
      </c>
      <c r="K171" s="254"/>
      <c r="L171" t="str">
        <f t="shared" si="7"/>
        <v>6</v>
      </c>
      <c r="M171" s="638" t="str">
        <f t="shared" si="8"/>
        <v>6424</v>
      </c>
      <c r="N171" s="255">
        <f t="shared" si="6"/>
        <v>91450284</v>
      </c>
    </row>
    <row r="172" spans="1:16">
      <c r="A172" s="1460">
        <v>45443</v>
      </c>
      <c r="B172" s="1461" t="s">
        <v>1079</v>
      </c>
      <c r="C172" s="637"/>
      <c r="D172" s="637"/>
      <c r="E172" s="1462" t="s">
        <v>883</v>
      </c>
      <c r="F172" s="638" t="s">
        <v>769</v>
      </c>
      <c r="G172" s="1461" t="s">
        <v>384</v>
      </c>
      <c r="H172" s="1463">
        <v>19192469</v>
      </c>
      <c r="I172" s="253">
        <v>1</v>
      </c>
      <c r="J172" s="253">
        <v>0</v>
      </c>
      <c r="K172" s="254"/>
      <c r="L172" t="str">
        <f t="shared" si="7"/>
        <v>6</v>
      </c>
      <c r="M172" s="638" t="str">
        <f t="shared" si="8"/>
        <v>6425</v>
      </c>
      <c r="N172" s="255">
        <f t="shared" si="6"/>
        <v>19192469</v>
      </c>
    </row>
    <row r="173" spans="1:16">
      <c r="A173" s="1460">
        <v>45443</v>
      </c>
      <c r="B173" s="1461" t="s">
        <v>1079</v>
      </c>
      <c r="C173" s="637"/>
      <c r="D173" s="637"/>
      <c r="E173" s="1462" t="s">
        <v>838</v>
      </c>
      <c r="F173" s="638" t="s">
        <v>769</v>
      </c>
      <c r="G173" s="1461" t="s">
        <v>839</v>
      </c>
      <c r="H173" s="1463">
        <v>368773223</v>
      </c>
      <c r="I173" s="253">
        <v>1</v>
      </c>
      <c r="J173" s="253">
        <v>0</v>
      </c>
      <c r="K173" s="254"/>
      <c r="L173" t="str">
        <f t="shared" si="7"/>
        <v>6</v>
      </c>
      <c r="M173" s="638" t="str">
        <f t="shared" si="8"/>
        <v>642701</v>
      </c>
      <c r="N173" s="255">
        <f t="shared" si="6"/>
        <v>368773223</v>
      </c>
    </row>
    <row r="174" spans="1:16">
      <c r="A174" s="1460">
        <v>45443</v>
      </c>
      <c r="B174" s="1461" t="s">
        <v>1079</v>
      </c>
      <c r="C174" s="637"/>
      <c r="D174" s="637"/>
      <c r="E174" s="1462" t="s">
        <v>842</v>
      </c>
      <c r="F174" s="638" t="s">
        <v>769</v>
      </c>
      <c r="G174" s="1461" t="s">
        <v>843</v>
      </c>
      <c r="H174" s="1463">
        <v>21712145</v>
      </c>
      <c r="I174" s="253">
        <v>1</v>
      </c>
      <c r="J174" s="253">
        <v>0</v>
      </c>
      <c r="K174" s="254"/>
      <c r="L174" t="str">
        <f t="shared" si="7"/>
        <v>6</v>
      </c>
      <c r="M174" s="638" t="str">
        <f t="shared" si="8"/>
        <v>642702</v>
      </c>
      <c r="N174" s="255">
        <f t="shared" si="6"/>
        <v>21712145</v>
      </c>
    </row>
    <row r="175" spans="1:16">
      <c r="A175" s="1460">
        <v>45443</v>
      </c>
      <c r="B175" s="1461" t="s">
        <v>1079</v>
      </c>
      <c r="C175" s="637"/>
      <c r="D175" s="637"/>
      <c r="E175" s="1462" t="s">
        <v>847</v>
      </c>
      <c r="F175" s="638" t="s">
        <v>769</v>
      </c>
      <c r="G175" s="1461" t="s">
        <v>848</v>
      </c>
      <c r="H175" s="1463">
        <v>5043452</v>
      </c>
      <c r="I175" s="253">
        <v>1</v>
      </c>
      <c r="J175" s="253">
        <v>0</v>
      </c>
      <c r="K175" s="254"/>
      <c r="L175" t="str">
        <f t="shared" si="7"/>
        <v>6</v>
      </c>
      <c r="M175" s="638" t="str">
        <f t="shared" si="8"/>
        <v>642703</v>
      </c>
      <c r="N175" s="255">
        <f t="shared" si="6"/>
        <v>5043452</v>
      </c>
    </row>
    <row r="176" spans="1:16">
      <c r="A176" s="1460">
        <v>45443</v>
      </c>
      <c r="B176" s="1461" t="s">
        <v>1079</v>
      </c>
      <c r="C176" s="637"/>
      <c r="D176" s="637"/>
      <c r="E176" s="1462" t="s">
        <v>1080</v>
      </c>
      <c r="F176" s="638" t="s">
        <v>769</v>
      </c>
      <c r="G176" s="1461" t="s">
        <v>968</v>
      </c>
      <c r="H176" s="1463">
        <v>4920000</v>
      </c>
      <c r="I176" s="253">
        <v>1</v>
      </c>
      <c r="J176" s="253">
        <v>0</v>
      </c>
      <c r="K176" s="254"/>
      <c r="L176" t="str">
        <f t="shared" si="7"/>
        <v>6</v>
      </c>
      <c r="M176" s="638" t="str">
        <f t="shared" si="8"/>
        <v>641706</v>
      </c>
      <c r="N176" s="255">
        <f t="shared" si="6"/>
        <v>4920000</v>
      </c>
    </row>
    <row r="177" spans="1:14">
      <c r="A177" s="1460">
        <v>45443</v>
      </c>
      <c r="B177" s="1461" t="s">
        <v>1079</v>
      </c>
      <c r="C177" s="637"/>
      <c r="D177" s="637"/>
      <c r="E177" s="1462" t="s">
        <v>824</v>
      </c>
      <c r="F177" s="638" t="s">
        <v>769</v>
      </c>
      <c r="G177" s="1461" t="s">
        <v>825</v>
      </c>
      <c r="H177" s="1463">
        <v>8141116</v>
      </c>
      <c r="I177" s="253">
        <v>1</v>
      </c>
      <c r="J177" s="253">
        <v>0</v>
      </c>
      <c r="K177" s="254"/>
      <c r="L177" t="str">
        <f t="shared" si="7"/>
        <v>6</v>
      </c>
      <c r="M177" s="638" t="str">
        <f t="shared" si="8"/>
        <v>642711</v>
      </c>
      <c r="N177" s="255">
        <f t="shared" si="6"/>
        <v>8141116</v>
      </c>
    </row>
    <row r="178" spans="1:14">
      <c r="A178" s="1460">
        <v>45443</v>
      </c>
      <c r="B178" s="1461" t="s">
        <v>1079</v>
      </c>
      <c r="C178" s="637"/>
      <c r="D178" s="637"/>
      <c r="E178" s="1462" t="s">
        <v>827</v>
      </c>
      <c r="F178" s="638" t="s">
        <v>769</v>
      </c>
      <c r="G178" s="1461" t="s">
        <v>828</v>
      </c>
      <c r="H178" s="1463">
        <v>1772100</v>
      </c>
      <c r="I178" s="253">
        <v>1</v>
      </c>
      <c r="J178" s="253">
        <v>0</v>
      </c>
      <c r="K178" s="254"/>
      <c r="L178" t="str">
        <f t="shared" si="7"/>
        <v>6</v>
      </c>
      <c r="M178" s="638" t="str">
        <f t="shared" si="8"/>
        <v>642712</v>
      </c>
      <c r="N178" s="255">
        <f t="shared" si="6"/>
        <v>1772100</v>
      </c>
    </row>
    <row r="179" spans="1:14">
      <c r="A179" s="1460">
        <v>45443</v>
      </c>
      <c r="B179" s="1461" t="s">
        <v>1079</v>
      </c>
      <c r="C179" s="637"/>
      <c r="D179" s="637"/>
      <c r="E179" s="1462" t="s">
        <v>832</v>
      </c>
      <c r="F179" s="638" t="s">
        <v>769</v>
      </c>
      <c r="G179" s="1461" t="s">
        <v>833</v>
      </c>
      <c r="H179" s="1463">
        <v>7703939</v>
      </c>
      <c r="I179" s="253">
        <v>1</v>
      </c>
      <c r="J179" s="253">
        <v>0</v>
      </c>
      <c r="K179" s="254"/>
      <c r="L179" t="str">
        <f t="shared" si="7"/>
        <v>6</v>
      </c>
      <c r="M179" s="638" t="str">
        <f t="shared" si="8"/>
        <v>642799</v>
      </c>
      <c r="N179" s="255">
        <f t="shared" si="6"/>
        <v>7703939</v>
      </c>
    </row>
    <row r="180" spans="1:14">
      <c r="A180" s="1460">
        <v>45443</v>
      </c>
      <c r="B180" s="1461" t="s">
        <v>1079</v>
      </c>
      <c r="C180" s="637"/>
      <c r="D180" s="637"/>
      <c r="E180" s="1462" t="s">
        <v>966</v>
      </c>
      <c r="F180" s="638" t="s">
        <v>769</v>
      </c>
      <c r="G180" s="1461" t="s">
        <v>967</v>
      </c>
      <c r="H180" s="1463">
        <v>4477248</v>
      </c>
      <c r="I180" s="253">
        <v>1</v>
      </c>
      <c r="J180" s="253">
        <v>0</v>
      </c>
      <c r="K180" s="254"/>
      <c r="L180" t="str">
        <f t="shared" si="7"/>
        <v>6</v>
      </c>
      <c r="M180" s="638" t="str">
        <f t="shared" si="8"/>
        <v>642899</v>
      </c>
      <c r="N180" s="255">
        <f t="shared" si="6"/>
        <v>4477248</v>
      </c>
    </row>
    <row r="181" spans="1:14">
      <c r="A181" s="1460">
        <v>45443</v>
      </c>
      <c r="B181" s="1461" t="s">
        <v>1079</v>
      </c>
      <c r="C181" s="637"/>
      <c r="D181" s="637"/>
      <c r="E181" s="1462" t="s">
        <v>1021</v>
      </c>
      <c r="F181" s="638" t="s">
        <v>769</v>
      </c>
      <c r="G181" s="1461" t="s">
        <v>933</v>
      </c>
      <c r="H181" s="1463">
        <v>4100000</v>
      </c>
      <c r="I181" s="253">
        <v>1</v>
      </c>
      <c r="J181" s="253">
        <v>0</v>
      </c>
      <c r="K181" s="254"/>
      <c r="L181" t="str">
        <f t="shared" si="7"/>
        <v>6</v>
      </c>
      <c r="M181" s="638" t="str">
        <f t="shared" si="8"/>
        <v>641801</v>
      </c>
      <c r="N181" s="255">
        <f t="shared" si="6"/>
        <v>4100000</v>
      </c>
    </row>
    <row r="182" spans="1:14">
      <c r="A182" s="1460">
        <v>45443</v>
      </c>
      <c r="B182" s="1461" t="s">
        <v>1079</v>
      </c>
      <c r="C182" s="637"/>
      <c r="D182" s="637"/>
      <c r="E182" s="1462" t="s">
        <v>897</v>
      </c>
      <c r="F182" s="638" t="s">
        <v>769</v>
      </c>
      <c r="G182" s="1461" t="s">
        <v>855</v>
      </c>
      <c r="H182" s="1463">
        <v>22399788</v>
      </c>
      <c r="I182" s="253">
        <v>1</v>
      </c>
      <c r="J182" s="253">
        <v>0</v>
      </c>
      <c r="K182" s="254"/>
      <c r="L182" t="str">
        <f t="shared" si="7"/>
        <v>6</v>
      </c>
      <c r="M182" s="638" t="str">
        <f t="shared" si="8"/>
        <v>641802</v>
      </c>
      <c r="N182" s="255">
        <f t="shared" si="6"/>
        <v>22399788</v>
      </c>
    </row>
    <row r="183" spans="1:14">
      <c r="A183" s="1460">
        <v>45443</v>
      </c>
      <c r="B183" s="1461" t="s">
        <v>1079</v>
      </c>
      <c r="C183" s="637"/>
      <c r="D183" s="637"/>
      <c r="E183" s="1462" t="s">
        <v>867</v>
      </c>
      <c r="F183" s="638" t="s">
        <v>769</v>
      </c>
      <c r="G183" s="1461" t="s">
        <v>378</v>
      </c>
      <c r="H183" s="1463">
        <v>1307942928</v>
      </c>
      <c r="I183" s="253">
        <v>1</v>
      </c>
      <c r="J183" s="253">
        <v>0</v>
      </c>
      <c r="K183" s="254"/>
      <c r="L183" t="str">
        <f t="shared" si="7"/>
        <v>6</v>
      </c>
      <c r="M183" s="638" t="str">
        <f t="shared" si="8"/>
        <v>64211</v>
      </c>
      <c r="N183" s="255">
        <f t="shared" si="6"/>
        <v>1307942928</v>
      </c>
    </row>
    <row r="184" spans="1:14">
      <c r="A184" s="1460">
        <v>45443</v>
      </c>
      <c r="B184" s="1461" t="s">
        <v>1079</v>
      </c>
      <c r="C184" s="637"/>
      <c r="D184" s="637"/>
      <c r="E184" s="1462" t="s">
        <v>870</v>
      </c>
      <c r="F184" s="638" t="s">
        <v>769</v>
      </c>
      <c r="G184" s="1461" t="s">
        <v>379</v>
      </c>
      <c r="H184" s="1463">
        <v>67949000</v>
      </c>
      <c r="I184" s="253">
        <v>1</v>
      </c>
      <c r="J184" s="253">
        <v>0</v>
      </c>
      <c r="K184" s="254"/>
      <c r="L184" t="str">
        <f t="shared" si="7"/>
        <v>6</v>
      </c>
      <c r="M184" s="638" t="str">
        <f t="shared" si="8"/>
        <v>64212</v>
      </c>
      <c r="N184" s="255">
        <f t="shared" si="6"/>
        <v>67949000</v>
      </c>
    </row>
    <row r="185" spans="1:14">
      <c r="A185" s="1460">
        <v>45443</v>
      </c>
      <c r="B185" s="1461" t="s">
        <v>1079</v>
      </c>
      <c r="C185" s="637"/>
      <c r="D185" s="637"/>
      <c r="E185" s="1462" t="s">
        <v>874</v>
      </c>
      <c r="F185" s="638" t="s">
        <v>769</v>
      </c>
      <c r="G185" s="1461" t="s">
        <v>505</v>
      </c>
      <c r="H185" s="1463">
        <v>19702695</v>
      </c>
      <c r="I185" s="253">
        <v>1</v>
      </c>
      <c r="J185" s="253">
        <v>0</v>
      </c>
      <c r="K185" s="254"/>
      <c r="L185" t="str">
        <f t="shared" si="7"/>
        <v>6</v>
      </c>
      <c r="M185" s="638" t="str">
        <f t="shared" si="8"/>
        <v>6422</v>
      </c>
      <c r="N185" s="255">
        <f t="shared" si="6"/>
        <v>19702695</v>
      </c>
    </row>
    <row r="186" spans="1:14">
      <c r="A186" s="1460">
        <v>45443</v>
      </c>
      <c r="B186" s="1461" t="s">
        <v>1079</v>
      </c>
      <c r="C186" s="637"/>
      <c r="D186" s="637"/>
      <c r="E186" s="1462" t="s">
        <v>983</v>
      </c>
      <c r="F186" s="638" t="s">
        <v>769</v>
      </c>
      <c r="G186" s="1461" t="s">
        <v>924</v>
      </c>
      <c r="H186" s="1463">
        <v>26840000</v>
      </c>
      <c r="I186" s="253">
        <v>1</v>
      </c>
      <c r="J186" s="253">
        <v>0</v>
      </c>
      <c r="K186" s="254"/>
      <c r="L186" t="str">
        <f t="shared" si="7"/>
        <v>6</v>
      </c>
      <c r="M186" s="638" t="str">
        <f t="shared" si="8"/>
        <v>64131</v>
      </c>
      <c r="N186" s="255">
        <f t="shared" si="6"/>
        <v>26840000</v>
      </c>
    </row>
    <row r="187" spans="1:14">
      <c r="A187" s="1460">
        <v>45443</v>
      </c>
      <c r="B187" s="1461" t="s">
        <v>1079</v>
      </c>
      <c r="C187" s="637"/>
      <c r="D187" s="637"/>
      <c r="E187" s="1462" t="s">
        <v>1076</v>
      </c>
      <c r="F187" s="638" t="s">
        <v>769</v>
      </c>
      <c r="G187" s="1461" t="s">
        <v>957</v>
      </c>
      <c r="H187" s="1463">
        <v>1594167</v>
      </c>
      <c r="I187" s="253">
        <v>1</v>
      </c>
      <c r="J187" s="253">
        <v>0</v>
      </c>
      <c r="K187" s="254"/>
      <c r="L187" t="str">
        <f t="shared" si="7"/>
        <v>6</v>
      </c>
      <c r="M187" s="638" t="str">
        <f t="shared" si="8"/>
        <v>64132</v>
      </c>
      <c r="N187" s="255">
        <f t="shared" si="6"/>
        <v>1594167</v>
      </c>
    </row>
    <row r="188" spans="1:14">
      <c r="A188" s="1460">
        <v>45443</v>
      </c>
      <c r="B188" s="1461" t="s">
        <v>1079</v>
      </c>
      <c r="C188" s="637"/>
      <c r="D188" s="637"/>
      <c r="E188" s="1462" t="s">
        <v>888</v>
      </c>
      <c r="F188" s="638" t="s">
        <v>769</v>
      </c>
      <c r="G188" s="1461" t="s">
        <v>345</v>
      </c>
      <c r="H188" s="1463">
        <v>7223287</v>
      </c>
      <c r="I188" s="253">
        <v>1</v>
      </c>
      <c r="J188" s="253">
        <v>0</v>
      </c>
      <c r="K188" s="254"/>
      <c r="L188" t="str">
        <f t="shared" si="7"/>
        <v>6</v>
      </c>
      <c r="M188" s="638" t="str">
        <f t="shared" si="8"/>
        <v>6414</v>
      </c>
      <c r="N188" s="255">
        <f t="shared" si="6"/>
        <v>7223287</v>
      </c>
    </row>
    <row r="189" spans="1:14">
      <c r="A189" s="1460">
        <v>45443</v>
      </c>
      <c r="B189" s="1461" t="s">
        <v>1079</v>
      </c>
      <c r="C189" s="637"/>
      <c r="D189" s="637"/>
      <c r="E189" s="1462" t="s">
        <v>891</v>
      </c>
      <c r="F189" s="638" t="s">
        <v>769</v>
      </c>
      <c r="G189" s="1461" t="s">
        <v>844</v>
      </c>
      <c r="H189" s="1463">
        <v>4990600</v>
      </c>
      <c r="I189" s="253">
        <v>1</v>
      </c>
      <c r="J189" s="253">
        <v>0</v>
      </c>
      <c r="K189" s="254"/>
      <c r="L189" t="str">
        <f t="shared" si="7"/>
        <v>6</v>
      </c>
      <c r="M189" s="638" t="str">
        <f t="shared" si="8"/>
        <v>641702</v>
      </c>
      <c r="N189" s="255">
        <f t="shared" si="6"/>
        <v>4990600</v>
      </c>
    </row>
    <row r="190" spans="1:14">
      <c r="A190" s="1460">
        <v>45443</v>
      </c>
      <c r="B190" s="1461" t="s">
        <v>1079</v>
      </c>
      <c r="C190" s="637"/>
      <c r="D190" s="637"/>
      <c r="E190" s="1462" t="s">
        <v>1075</v>
      </c>
      <c r="F190" s="638" t="s">
        <v>769</v>
      </c>
      <c r="G190" s="1461" t="s">
        <v>960</v>
      </c>
      <c r="H190" s="1463">
        <v>73226666</v>
      </c>
      <c r="I190" s="253">
        <v>1</v>
      </c>
      <c r="J190" s="253">
        <v>0</v>
      </c>
      <c r="K190" s="254"/>
      <c r="L190" t="str">
        <f t="shared" si="7"/>
        <v>6</v>
      </c>
      <c r="M190" s="638" t="str">
        <f t="shared" si="8"/>
        <v>641703</v>
      </c>
      <c r="N190" s="255">
        <f t="shared" si="6"/>
        <v>73226666</v>
      </c>
    </row>
    <row r="191" spans="1:14">
      <c r="A191" s="1460">
        <v>45443</v>
      </c>
      <c r="B191" s="1461" t="s">
        <v>1079</v>
      </c>
      <c r="C191" s="637"/>
      <c r="D191" s="637"/>
      <c r="E191" s="1462" t="s">
        <v>894</v>
      </c>
      <c r="F191" s="638" t="s">
        <v>769</v>
      </c>
      <c r="G191" s="1461" t="s">
        <v>849</v>
      </c>
      <c r="H191" s="1463">
        <v>4552000</v>
      </c>
      <c r="I191" s="253">
        <v>1</v>
      </c>
      <c r="J191" s="253">
        <v>0</v>
      </c>
      <c r="K191" s="254"/>
      <c r="L191" t="str">
        <f t="shared" si="7"/>
        <v>6</v>
      </c>
      <c r="M191" s="638" t="str">
        <f t="shared" si="8"/>
        <v>641704</v>
      </c>
      <c r="N191" s="255">
        <f t="shared" si="6"/>
        <v>4552000</v>
      </c>
    </row>
    <row r="192" spans="1:14">
      <c r="A192" s="1460">
        <v>45443</v>
      </c>
      <c r="B192" s="1461" t="s">
        <v>1079</v>
      </c>
      <c r="C192" s="637"/>
      <c r="D192" s="637"/>
      <c r="E192" s="1462" t="s">
        <v>1073</v>
      </c>
      <c r="F192" s="638" t="s">
        <v>769</v>
      </c>
      <c r="G192" s="1461" t="s">
        <v>954</v>
      </c>
      <c r="H192" s="1463">
        <v>1410000</v>
      </c>
      <c r="I192" s="253">
        <v>1</v>
      </c>
      <c r="J192" s="253">
        <v>0</v>
      </c>
      <c r="K192" s="254"/>
      <c r="L192" t="str">
        <f t="shared" si="7"/>
        <v>6</v>
      </c>
      <c r="M192" s="638" t="str">
        <f t="shared" si="8"/>
        <v>6333312</v>
      </c>
      <c r="N192" s="255">
        <f t="shared" si="6"/>
        <v>1410000</v>
      </c>
    </row>
    <row r="193" spans="1:14">
      <c r="A193" s="1460">
        <v>45443</v>
      </c>
      <c r="B193" s="1461" t="s">
        <v>1079</v>
      </c>
      <c r="C193" s="637"/>
      <c r="D193" s="637"/>
      <c r="E193" s="1462" t="s">
        <v>912</v>
      </c>
      <c r="F193" s="638" t="s">
        <v>769</v>
      </c>
      <c r="G193" s="1461" t="s">
        <v>820</v>
      </c>
      <c r="H193" s="1463">
        <v>16356731</v>
      </c>
      <c r="I193" s="253">
        <v>1</v>
      </c>
      <c r="J193" s="253">
        <v>0</v>
      </c>
      <c r="K193" s="254"/>
      <c r="L193" t="str">
        <f t="shared" si="7"/>
        <v>6</v>
      </c>
      <c r="M193" s="638" t="str">
        <f t="shared" si="8"/>
        <v>63341</v>
      </c>
      <c r="N193" s="255">
        <f t="shared" si="6"/>
        <v>16356731</v>
      </c>
    </row>
    <row r="194" spans="1:14">
      <c r="A194" s="1460">
        <v>45443</v>
      </c>
      <c r="B194" s="1461" t="s">
        <v>1079</v>
      </c>
      <c r="C194" s="637"/>
      <c r="D194" s="637"/>
      <c r="E194" s="1462" t="s">
        <v>798</v>
      </c>
      <c r="F194" s="638" t="s">
        <v>769</v>
      </c>
      <c r="G194" s="1461" t="s">
        <v>799</v>
      </c>
      <c r="H194" s="1463">
        <v>4397982</v>
      </c>
      <c r="I194" s="253">
        <v>1</v>
      </c>
      <c r="J194" s="253">
        <v>0</v>
      </c>
      <c r="K194" s="254"/>
      <c r="L194" t="str">
        <f t="shared" si="7"/>
        <v>6</v>
      </c>
      <c r="M194" s="638" t="str">
        <f t="shared" si="8"/>
        <v>63345</v>
      </c>
      <c r="N194" s="255">
        <f t="shared" si="6"/>
        <v>4397982</v>
      </c>
    </row>
    <row r="195" spans="1:14">
      <c r="A195" s="1460">
        <v>45443</v>
      </c>
      <c r="B195" s="1461" t="s">
        <v>1079</v>
      </c>
      <c r="C195" s="637"/>
      <c r="D195" s="637"/>
      <c r="E195" s="1462" t="s">
        <v>1077</v>
      </c>
      <c r="F195" s="638" t="s">
        <v>769</v>
      </c>
      <c r="G195" s="1461" t="s">
        <v>309</v>
      </c>
      <c r="H195" s="1463">
        <v>135521958</v>
      </c>
      <c r="I195" s="253">
        <v>1</v>
      </c>
      <c r="J195" s="253">
        <v>0</v>
      </c>
      <c r="K195" s="254"/>
      <c r="L195" t="str">
        <f t="shared" si="7"/>
        <v>6</v>
      </c>
      <c r="M195" s="638" t="str">
        <f t="shared" si="8"/>
        <v>6352</v>
      </c>
      <c r="N195" s="255">
        <f t="shared" si="6"/>
        <v>135521958</v>
      </c>
    </row>
    <row r="196" spans="1:14">
      <c r="A196" s="1460">
        <v>45443</v>
      </c>
      <c r="B196" s="1461" t="s">
        <v>1079</v>
      </c>
      <c r="C196" s="637"/>
      <c r="D196" s="637"/>
      <c r="E196" s="1462" t="s">
        <v>802</v>
      </c>
      <c r="F196" s="638" t="s">
        <v>769</v>
      </c>
      <c r="G196" s="1461" t="s">
        <v>337</v>
      </c>
      <c r="H196" s="1463">
        <v>417206829</v>
      </c>
      <c r="I196" s="253">
        <v>1</v>
      </c>
      <c r="J196" s="253">
        <v>0</v>
      </c>
      <c r="K196" s="254"/>
      <c r="L196" t="str">
        <f t="shared" si="7"/>
        <v>6</v>
      </c>
      <c r="M196" s="638" t="str">
        <f t="shared" si="8"/>
        <v>64111</v>
      </c>
      <c r="N196" s="255">
        <f t="shared" si="6"/>
        <v>417206829</v>
      </c>
    </row>
    <row r="197" spans="1:14">
      <c r="A197" s="1460">
        <v>45443</v>
      </c>
      <c r="B197" s="1461" t="s">
        <v>1079</v>
      </c>
      <c r="C197" s="637"/>
      <c r="D197" s="637"/>
      <c r="E197" s="1462" t="s">
        <v>885</v>
      </c>
      <c r="F197" s="638" t="s">
        <v>769</v>
      </c>
      <c r="G197" s="1461" t="s">
        <v>339</v>
      </c>
      <c r="H197" s="1463">
        <v>31880000</v>
      </c>
      <c r="I197" s="253">
        <v>1</v>
      </c>
      <c r="J197" s="253">
        <v>0</v>
      </c>
      <c r="K197" s="254"/>
      <c r="L197" t="str">
        <f t="shared" si="7"/>
        <v>6</v>
      </c>
      <c r="M197" s="638" t="str">
        <f t="shared" si="8"/>
        <v>64112</v>
      </c>
      <c r="N197" s="255">
        <f t="shared" si="6"/>
        <v>31880000</v>
      </c>
    </row>
    <row r="198" spans="1:14">
      <c r="A198" s="1460">
        <v>45443</v>
      </c>
      <c r="B198" s="1461" t="s">
        <v>1079</v>
      </c>
      <c r="C198" s="637"/>
      <c r="D198" s="637"/>
      <c r="E198" s="1462" t="s">
        <v>790</v>
      </c>
      <c r="F198" s="638" t="s">
        <v>769</v>
      </c>
      <c r="G198" s="1461" t="s">
        <v>791</v>
      </c>
      <c r="H198" s="1463">
        <v>1236879039</v>
      </c>
      <c r="I198" s="253">
        <v>1</v>
      </c>
      <c r="J198" s="253">
        <v>0</v>
      </c>
      <c r="K198" s="254"/>
      <c r="L198" t="str">
        <f t="shared" si="7"/>
        <v>6</v>
      </c>
      <c r="M198" s="638" t="str">
        <f t="shared" si="8"/>
        <v>6331711</v>
      </c>
      <c r="N198" s="255">
        <f t="shared" si="6"/>
        <v>1236879039</v>
      </c>
    </row>
    <row r="199" spans="1:14">
      <c r="A199" s="1460">
        <v>45443</v>
      </c>
      <c r="B199" s="1461" t="s">
        <v>1079</v>
      </c>
      <c r="C199" s="637"/>
      <c r="D199" s="637"/>
      <c r="E199" s="1462" t="s">
        <v>794</v>
      </c>
      <c r="F199" s="638" t="s">
        <v>769</v>
      </c>
      <c r="G199" s="1461" t="s">
        <v>795</v>
      </c>
      <c r="H199" s="1463">
        <v>63794000</v>
      </c>
      <c r="I199" s="253">
        <v>1</v>
      </c>
      <c r="J199" s="253">
        <v>0</v>
      </c>
      <c r="K199" s="254"/>
      <c r="L199" t="str">
        <f t="shared" si="7"/>
        <v>6</v>
      </c>
      <c r="M199" s="638" t="str">
        <f t="shared" si="8"/>
        <v>6331712</v>
      </c>
      <c r="N199" s="255">
        <f t="shared" si="6"/>
        <v>63794000</v>
      </c>
    </row>
    <row r="200" spans="1:14">
      <c r="A200" s="1460">
        <v>45443</v>
      </c>
      <c r="B200" s="1461" t="s">
        <v>1079</v>
      </c>
      <c r="C200" s="637"/>
      <c r="D200" s="637"/>
      <c r="E200" s="1462" t="s">
        <v>903</v>
      </c>
      <c r="F200" s="638" t="s">
        <v>769</v>
      </c>
      <c r="G200" s="1461" t="s">
        <v>806</v>
      </c>
      <c r="H200" s="1463">
        <v>459395741</v>
      </c>
      <c r="I200" s="253">
        <v>1</v>
      </c>
      <c r="J200" s="253">
        <v>0</v>
      </c>
      <c r="K200" s="254"/>
      <c r="L200" t="str">
        <f t="shared" si="7"/>
        <v>6</v>
      </c>
      <c r="M200" s="638" t="str">
        <f t="shared" si="8"/>
        <v>633173</v>
      </c>
      <c r="N200" s="255">
        <f t="shared" ref="N200:N263" si="9">IF(LEFT(F200,1)="9",H200,-H200)</f>
        <v>459395741</v>
      </c>
    </row>
    <row r="201" spans="1:14">
      <c r="A201" s="1460">
        <v>45443</v>
      </c>
      <c r="B201" s="1461" t="s">
        <v>1079</v>
      </c>
      <c r="C201" s="637"/>
      <c r="D201" s="637"/>
      <c r="E201" s="1462" t="s">
        <v>906</v>
      </c>
      <c r="F201" s="638" t="s">
        <v>769</v>
      </c>
      <c r="G201" s="1461" t="s">
        <v>811</v>
      </c>
      <c r="H201" s="1463">
        <v>113492635</v>
      </c>
      <c r="I201" s="253">
        <v>1</v>
      </c>
      <c r="J201" s="253">
        <v>0</v>
      </c>
      <c r="K201" s="254"/>
      <c r="L201" t="str">
        <f t="shared" ref="L201:L264" si="10">LEFT(M201,1)</f>
        <v>6</v>
      </c>
      <c r="M201" s="638" t="str">
        <f t="shared" ref="M201:M255" si="11">G201</f>
        <v>633174</v>
      </c>
      <c r="N201" s="255">
        <f t="shared" si="9"/>
        <v>113492635</v>
      </c>
    </row>
    <row r="202" spans="1:14">
      <c r="A202" s="1460">
        <v>45443</v>
      </c>
      <c r="B202" s="1461" t="s">
        <v>1079</v>
      </c>
      <c r="C202" s="637"/>
      <c r="D202" s="637"/>
      <c r="E202" s="1462" t="s">
        <v>909</v>
      </c>
      <c r="F202" s="638" t="s">
        <v>769</v>
      </c>
      <c r="G202" s="1461" t="s">
        <v>815</v>
      </c>
      <c r="H202" s="1463">
        <v>372646828</v>
      </c>
      <c r="I202" s="253">
        <v>1</v>
      </c>
      <c r="J202" s="253">
        <v>0</v>
      </c>
      <c r="K202" s="254"/>
      <c r="L202" t="str">
        <f t="shared" si="10"/>
        <v>6</v>
      </c>
      <c r="M202" s="638" t="str">
        <f t="shared" si="11"/>
        <v>633175</v>
      </c>
      <c r="N202" s="255">
        <f t="shared" si="9"/>
        <v>372646828</v>
      </c>
    </row>
    <row r="203" spans="1:14">
      <c r="A203" s="1460">
        <v>45443</v>
      </c>
      <c r="B203" s="1461" t="s">
        <v>1079</v>
      </c>
      <c r="C203" s="637"/>
      <c r="D203" s="637"/>
      <c r="E203" s="1462" t="s">
        <v>1078</v>
      </c>
      <c r="F203" s="638" t="s">
        <v>769</v>
      </c>
      <c r="G203" s="1461" t="s">
        <v>951</v>
      </c>
      <c r="H203" s="1463">
        <v>12065355</v>
      </c>
      <c r="I203" s="253">
        <v>1</v>
      </c>
      <c r="J203" s="253">
        <v>0</v>
      </c>
      <c r="K203" s="254"/>
      <c r="L203" t="str">
        <f t="shared" si="10"/>
        <v>6</v>
      </c>
      <c r="M203" s="638" t="str">
        <f t="shared" si="11"/>
        <v>6333311</v>
      </c>
      <c r="N203" s="255">
        <f t="shared" si="9"/>
        <v>12065355</v>
      </c>
    </row>
    <row r="204" spans="1:14">
      <c r="A204" s="1460">
        <v>45443</v>
      </c>
      <c r="B204" s="1461" t="s">
        <v>1079</v>
      </c>
      <c r="C204" s="637"/>
      <c r="D204" s="637"/>
      <c r="E204" s="1462" t="s">
        <v>1071</v>
      </c>
      <c r="F204" s="638" t="s">
        <v>769</v>
      </c>
      <c r="G204" s="1461" t="s">
        <v>944</v>
      </c>
      <c r="H204" s="1463">
        <v>5059450</v>
      </c>
      <c r="I204" s="253">
        <v>1</v>
      </c>
      <c r="J204" s="253">
        <v>0</v>
      </c>
      <c r="K204" s="254"/>
      <c r="L204" t="str">
        <f t="shared" si="10"/>
        <v>6</v>
      </c>
      <c r="M204" s="638" t="str">
        <f t="shared" si="11"/>
        <v>63201020301</v>
      </c>
      <c r="N204" s="255">
        <f t="shared" si="9"/>
        <v>5059450</v>
      </c>
    </row>
    <row r="205" spans="1:14">
      <c r="A205" s="1460">
        <v>45443</v>
      </c>
      <c r="B205" s="1461" t="s">
        <v>1079</v>
      </c>
      <c r="C205" s="637"/>
      <c r="D205" s="637"/>
      <c r="E205" s="1462" t="s">
        <v>1072</v>
      </c>
      <c r="F205" s="638" t="s">
        <v>769</v>
      </c>
      <c r="G205" s="1461" t="s">
        <v>947</v>
      </c>
      <c r="H205" s="1463">
        <v>5059750</v>
      </c>
      <c r="I205" s="253">
        <v>1</v>
      </c>
      <c r="J205" s="253">
        <v>0</v>
      </c>
      <c r="K205" s="254"/>
      <c r="L205" t="str">
        <f t="shared" si="10"/>
        <v>6</v>
      </c>
      <c r="M205" s="638" t="str">
        <f t="shared" si="11"/>
        <v>63208</v>
      </c>
      <c r="N205" s="255">
        <f t="shared" si="9"/>
        <v>5059750</v>
      </c>
    </row>
    <row r="206" spans="1:14">
      <c r="A206" s="1460">
        <v>45443</v>
      </c>
      <c r="B206" s="1461" t="s">
        <v>1079</v>
      </c>
      <c r="C206" s="637"/>
      <c r="D206" s="637"/>
      <c r="E206" s="1462" t="s">
        <v>768</v>
      </c>
      <c r="F206" s="638" t="s">
        <v>769</v>
      </c>
      <c r="G206" s="1461" t="s">
        <v>770</v>
      </c>
      <c r="H206" s="1463">
        <v>188762001</v>
      </c>
      <c r="I206" s="253">
        <v>1</v>
      </c>
      <c r="J206" s="253">
        <v>0</v>
      </c>
      <c r="K206" s="254"/>
      <c r="L206" t="str">
        <f t="shared" si="10"/>
        <v>6</v>
      </c>
      <c r="M206" s="638" t="str">
        <f t="shared" si="11"/>
        <v>63311</v>
      </c>
      <c r="N206" s="255">
        <f t="shared" si="9"/>
        <v>188762001</v>
      </c>
    </row>
    <row r="207" spans="1:14">
      <c r="A207" s="1460">
        <v>45443</v>
      </c>
      <c r="B207" s="1461" t="s">
        <v>1079</v>
      </c>
      <c r="C207" s="637"/>
      <c r="D207" s="637"/>
      <c r="E207" s="1462" t="s">
        <v>780</v>
      </c>
      <c r="F207" s="638" t="s">
        <v>769</v>
      </c>
      <c r="G207" s="1461" t="s">
        <v>781</v>
      </c>
      <c r="H207" s="1463">
        <v>42833334</v>
      </c>
      <c r="I207" s="253">
        <v>1</v>
      </c>
      <c r="J207" s="253">
        <v>0</v>
      </c>
      <c r="K207" s="254"/>
      <c r="L207" t="str">
        <f t="shared" si="10"/>
        <v>6</v>
      </c>
      <c r="M207" s="638" t="str">
        <f t="shared" si="11"/>
        <v>63312</v>
      </c>
      <c r="N207" s="255">
        <f t="shared" si="9"/>
        <v>42833334</v>
      </c>
    </row>
    <row r="208" spans="1:14">
      <c r="A208" s="1460">
        <v>45443</v>
      </c>
      <c r="B208" s="1461" t="s">
        <v>1079</v>
      </c>
      <c r="C208" s="637"/>
      <c r="D208" s="637"/>
      <c r="E208" s="1462" t="s">
        <v>786</v>
      </c>
      <c r="F208" s="638" t="s">
        <v>769</v>
      </c>
      <c r="G208" s="1461" t="s">
        <v>787</v>
      </c>
      <c r="H208" s="1463">
        <v>12086236</v>
      </c>
      <c r="I208" s="253">
        <v>1</v>
      </c>
      <c r="J208" s="253">
        <v>0</v>
      </c>
      <c r="K208" s="254"/>
      <c r="L208" t="str">
        <f t="shared" si="10"/>
        <v>6</v>
      </c>
      <c r="M208" s="638" t="str">
        <f t="shared" si="11"/>
        <v>63313</v>
      </c>
      <c r="N208" s="255">
        <f t="shared" si="9"/>
        <v>12086236</v>
      </c>
    </row>
    <row r="209" spans="1:14">
      <c r="A209" s="1460">
        <v>45473</v>
      </c>
      <c r="B209" s="1461" t="s">
        <v>1081</v>
      </c>
      <c r="C209" s="637"/>
      <c r="D209" s="637"/>
      <c r="E209" s="1462" t="s">
        <v>827</v>
      </c>
      <c r="F209" s="638" t="s">
        <v>769</v>
      </c>
      <c r="G209" s="1461" t="s">
        <v>828</v>
      </c>
      <c r="H209" s="1463">
        <v>1302100</v>
      </c>
      <c r="I209" s="253">
        <v>1</v>
      </c>
      <c r="J209" s="253">
        <v>0</v>
      </c>
      <c r="K209" s="254"/>
      <c r="L209" t="str">
        <f t="shared" si="10"/>
        <v>6</v>
      </c>
      <c r="M209" s="638" t="str">
        <f t="shared" si="11"/>
        <v>642712</v>
      </c>
      <c r="N209" s="255">
        <f t="shared" si="9"/>
        <v>1302100</v>
      </c>
    </row>
    <row r="210" spans="1:14">
      <c r="A210" s="1460">
        <v>45473</v>
      </c>
      <c r="B210" s="1461" t="s">
        <v>1081</v>
      </c>
      <c r="C210" s="637"/>
      <c r="D210" s="637"/>
      <c r="E210" s="1462" t="s">
        <v>1082</v>
      </c>
      <c r="F210" s="638" t="s">
        <v>769</v>
      </c>
      <c r="G210" s="1461" t="s">
        <v>1045</v>
      </c>
      <c r="H210" s="1463">
        <v>8860000</v>
      </c>
      <c r="I210" s="253">
        <v>1</v>
      </c>
      <c r="J210" s="253">
        <v>0</v>
      </c>
      <c r="K210" s="254"/>
      <c r="L210" t="str">
        <f t="shared" si="10"/>
        <v>6</v>
      </c>
      <c r="M210" s="638" t="str">
        <f t="shared" si="11"/>
        <v>642718</v>
      </c>
      <c r="N210" s="255">
        <f t="shared" si="9"/>
        <v>8860000</v>
      </c>
    </row>
    <row r="211" spans="1:14">
      <c r="A211" s="1460">
        <v>45473</v>
      </c>
      <c r="B211" s="1461" t="s">
        <v>1081</v>
      </c>
      <c r="C211" s="637"/>
      <c r="D211" s="637"/>
      <c r="E211" s="1462" t="s">
        <v>1083</v>
      </c>
      <c r="F211" s="638" t="s">
        <v>769</v>
      </c>
      <c r="G211" s="1461" t="s">
        <v>1047</v>
      </c>
      <c r="H211" s="1463">
        <v>117702500</v>
      </c>
      <c r="I211" s="253">
        <v>1</v>
      </c>
      <c r="J211" s="253">
        <v>0</v>
      </c>
      <c r="K211" s="254"/>
      <c r="L211" t="str">
        <f t="shared" si="10"/>
        <v>6</v>
      </c>
      <c r="M211" s="638" t="str">
        <f t="shared" si="11"/>
        <v>642804</v>
      </c>
      <c r="N211" s="255">
        <f t="shared" si="9"/>
        <v>117702500</v>
      </c>
    </row>
    <row r="212" spans="1:14">
      <c r="A212" s="1460">
        <v>45473</v>
      </c>
      <c r="B212" s="1461" t="s">
        <v>1081</v>
      </c>
      <c r="C212" s="637"/>
      <c r="D212" s="637"/>
      <c r="E212" s="1462" t="s">
        <v>867</v>
      </c>
      <c r="F212" s="638" t="s">
        <v>769</v>
      </c>
      <c r="G212" s="1461" t="s">
        <v>378</v>
      </c>
      <c r="H212" s="1463">
        <v>3573368414</v>
      </c>
      <c r="I212" s="253">
        <v>1</v>
      </c>
      <c r="J212" s="253">
        <v>0</v>
      </c>
      <c r="K212" s="254"/>
      <c r="L212" t="str">
        <f t="shared" si="10"/>
        <v>6</v>
      </c>
      <c r="M212" s="638" t="str">
        <f t="shared" si="11"/>
        <v>64211</v>
      </c>
      <c r="N212" s="255">
        <f t="shared" si="9"/>
        <v>3573368414</v>
      </c>
    </row>
    <row r="213" spans="1:14">
      <c r="A213" s="1460">
        <v>45473</v>
      </c>
      <c r="B213" s="1461" t="s">
        <v>1081</v>
      </c>
      <c r="C213" s="637"/>
      <c r="D213" s="637"/>
      <c r="E213" s="1462" t="s">
        <v>813</v>
      </c>
      <c r="F213" s="638" t="s">
        <v>769</v>
      </c>
      <c r="G213" s="1461" t="s">
        <v>814</v>
      </c>
      <c r="H213" s="1463">
        <v>5969700</v>
      </c>
      <c r="I213" s="253">
        <v>1</v>
      </c>
      <c r="J213" s="253">
        <v>0</v>
      </c>
      <c r="K213" s="254"/>
      <c r="L213" t="str">
        <f t="shared" si="10"/>
        <v>6</v>
      </c>
      <c r="M213" s="638" t="str">
        <f t="shared" si="11"/>
        <v>642709</v>
      </c>
      <c r="N213" s="255">
        <f t="shared" si="9"/>
        <v>5969700</v>
      </c>
    </row>
    <row r="214" spans="1:14">
      <c r="A214" s="1460">
        <v>45473</v>
      </c>
      <c r="B214" s="1461" t="s">
        <v>1081</v>
      </c>
      <c r="C214" s="637"/>
      <c r="D214" s="637"/>
      <c r="E214" s="1462" t="s">
        <v>877</v>
      </c>
      <c r="F214" s="638" t="s">
        <v>769</v>
      </c>
      <c r="G214" s="1461" t="s">
        <v>381</v>
      </c>
      <c r="H214" s="1463">
        <v>199608662</v>
      </c>
      <c r="I214" s="253">
        <v>1</v>
      </c>
      <c r="J214" s="253">
        <v>0</v>
      </c>
      <c r="K214" s="254"/>
      <c r="L214" t="str">
        <f t="shared" si="10"/>
        <v>6</v>
      </c>
      <c r="M214" s="638" t="str">
        <f t="shared" si="11"/>
        <v>6423</v>
      </c>
      <c r="N214" s="255">
        <f t="shared" si="9"/>
        <v>199608662</v>
      </c>
    </row>
    <row r="215" spans="1:14">
      <c r="A215" s="1460">
        <v>45473</v>
      </c>
      <c r="B215" s="1461" t="s">
        <v>1081</v>
      </c>
      <c r="C215" s="637"/>
      <c r="D215" s="637"/>
      <c r="E215" s="1462" t="s">
        <v>1084</v>
      </c>
      <c r="F215" s="638" t="s">
        <v>769</v>
      </c>
      <c r="G215" s="1461" t="s">
        <v>1041</v>
      </c>
      <c r="H215" s="1463">
        <v>186474666</v>
      </c>
      <c r="I215" s="253">
        <v>1</v>
      </c>
      <c r="J215" s="253">
        <v>0</v>
      </c>
      <c r="K215" s="254"/>
      <c r="L215" t="str">
        <f t="shared" si="10"/>
        <v>6</v>
      </c>
      <c r="M215" s="638" t="str">
        <f t="shared" si="11"/>
        <v>642715</v>
      </c>
      <c r="N215" s="255">
        <f t="shared" si="9"/>
        <v>186474666</v>
      </c>
    </row>
    <row r="216" spans="1:14">
      <c r="A216" s="1460">
        <v>45473</v>
      </c>
      <c r="B216" s="1461" t="s">
        <v>1081</v>
      </c>
      <c r="C216" s="637"/>
      <c r="D216" s="637"/>
      <c r="E216" s="1462" t="s">
        <v>809</v>
      </c>
      <c r="F216" s="638" t="s">
        <v>769</v>
      </c>
      <c r="G216" s="1461" t="s">
        <v>810</v>
      </c>
      <c r="H216" s="1463">
        <v>32720112</v>
      </c>
      <c r="I216" s="253">
        <v>1</v>
      </c>
      <c r="J216" s="253">
        <v>0</v>
      </c>
      <c r="K216" s="254"/>
      <c r="L216" t="str">
        <f t="shared" si="10"/>
        <v>6</v>
      </c>
      <c r="M216" s="638" t="str">
        <f t="shared" si="11"/>
        <v>642708</v>
      </c>
      <c r="N216" s="255">
        <f t="shared" si="9"/>
        <v>32720112</v>
      </c>
    </row>
    <row r="217" spans="1:14">
      <c r="A217" s="1460">
        <v>45473</v>
      </c>
      <c r="B217" s="1461" t="s">
        <v>1081</v>
      </c>
      <c r="C217" s="637"/>
      <c r="D217" s="637"/>
      <c r="E217" s="1462" t="s">
        <v>1085</v>
      </c>
      <c r="F217" s="638" t="s">
        <v>769</v>
      </c>
      <c r="G217" s="1461" t="s">
        <v>1043</v>
      </c>
      <c r="H217" s="1463">
        <v>24831616</v>
      </c>
      <c r="I217" s="253">
        <v>1</v>
      </c>
      <c r="J217" s="253">
        <v>0</v>
      </c>
      <c r="K217" s="254"/>
      <c r="L217" t="str">
        <f t="shared" si="10"/>
        <v>6</v>
      </c>
      <c r="M217" s="638" t="str">
        <f t="shared" si="11"/>
        <v>642714</v>
      </c>
      <c r="N217" s="255">
        <f t="shared" si="9"/>
        <v>24831616</v>
      </c>
    </row>
    <row r="218" spans="1:14">
      <c r="A218" s="1460">
        <v>45473</v>
      </c>
      <c r="B218" s="1461" t="s">
        <v>1081</v>
      </c>
      <c r="C218" s="637"/>
      <c r="D218" s="637"/>
      <c r="E218" s="1462" t="s">
        <v>842</v>
      </c>
      <c r="F218" s="638" t="s">
        <v>769</v>
      </c>
      <c r="G218" s="1461" t="s">
        <v>843</v>
      </c>
      <c r="H218" s="1463">
        <v>25074764</v>
      </c>
      <c r="I218" s="253">
        <v>1</v>
      </c>
      <c r="J218" s="253">
        <v>0</v>
      </c>
      <c r="K218" s="254"/>
      <c r="L218" t="str">
        <f t="shared" si="10"/>
        <v>6</v>
      </c>
      <c r="M218" s="638" t="str">
        <f t="shared" si="11"/>
        <v>642702</v>
      </c>
      <c r="N218" s="255">
        <f t="shared" si="9"/>
        <v>25074764</v>
      </c>
    </row>
    <row r="219" spans="1:14">
      <c r="A219" s="1460">
        <v>45473</v>
      </c>
      <c r="B219" s="1461" t="s">
        <v>1081</v>
      </c>
      <c r="C219" s="637"/>
      <c r="D219" s="637"/>
      <c r="E219" s="1462" t="s">
        <v>847</v>
      </c>
      <c r="F219" s="638" t="s">
        <v>769</v>
      </c>
      <c r="G219" s="1461" t="s">
        <v>848</v>
      </c>
      <c r="H219" s="1463">
        <v>5285859</v>
      </c>
      <c r="I219" s="253">
        <v>1</v>
      </c>
      <c r="J219" s="253">
        <v>0</v>
      </c>
      <c r="K219" s="254"/>
      <c r="L219" t="str">
        <f t="shared" si="10"/>
        <v>6</v>
      </c>
      <c r="M219" s="638" t="str">
        <f t="shared" si="11"/>
        <v>642703</v>
      </c>
      <c r="N219" s="255">
        <f t="shared" si="9"/>
        <v>5285859</v>
      </c>
    </row>
    <row r="220" spans="1:14">
      <c r="A220" s="1460">
        <v>45473</v>
      </c>
      <c r="B220" s="1461" t="s">
        <v>1081</v>
      </c>
      <c r="C220" s="637"/>
      <c r="D220" s="637"/>
      <c r="E220" s="1462" t="s">
        <v>838</v>
      </c>
      <c r="F220" s="638" t="s">
        <v>769</v>
      </c>
      <c r="G220" s="1461" t="s">
        <v>839</v>
      </c>
      <c r="H220" s="1463">
        <v>368773222</v>
      </c>
      <c r="I220" s="253">
        <v>1</v>
      </c>
      <c r="J220" s="253">
        <v>0</v>
      </c>
      <c r="K220" s="254"/>
      <c r="L220" t="str">
        <f t="shared" si="10"/>
        <v>6</v>
      </c>
      <c r="M220" s="638" t="str">
        <f t="shared" si="11"/>
        <v>642701</v>
      </c>
      <c r="N220" s="255">
        <f t="shared" si="9"/>
        <v>368773222</v>
      </c>
    </row>
    <row r="221" spans="1:14">
      <c r="A221" s="1460">
        <v>45473</v>
      </c>
      <c r="B221" s="1461" t="s">
        <v>1081</v>
      </c>
      <c r="C221" s="637"/>
      <c r="D221" s="637"/>
      <c r="E221" s="1462" t="s">
        <v>1086</v>
      </c>
      <c r="F221" s="638" t="s">
        <v>769</v>
      </c>
      <c r="G221" s="1461" t="s">
        <v>1035</v>
      </c>
      <c r="H221" s="1463">
        <v>6948400</v>
      </c>
      <c r="I221" s="253">
        <v>1</v>
      </c>
      <c r="J221" s="253">
        <v>0</v>
      </c>
      <c r="K221" s="254"/>
      <c r="L221" t="str">
        <f t="shared" si="10"/>
        <v>6</v>
      </c>
      <c r="M221" s="638" t="str">
        <f t="shared" si="11"/>
        <v>642805</v>
      </c>
      <c r="N221" s="255">
        <f t="shared" si="9"/>
        <v>6948400</v>
      </c>
    </row>
    <row r="222" spans="1:14">
      <c r="A222" s="1460">
        <v>45473</v>
      </c>
      <c r="B222" s="1461" t="s">
        <v>1081</v>
      </c>
      <c r="C222" s="637"/>
      <c r="D222" s="637"/>
      <c r="E222" s="1462" t="s">
        <v>824</v>
      </c>
      <c r="F222" s="638" t="s">
        <v>769</v>
      </c>
      <c r="G222" s="1461" t="s">
        <v>825</v>
      </c>
      <c r="H222" s="1463">
        <v>11947643</v>
      </c>
      <c r="I222" s="253">
        <v>1</v>
      </c>
      <c r="J222" s="253">
        <v>0</v>
      </c>
      <c r="K222" s="254"/>
      <c r="L222" t="str">
        <f t="shared" si="10"/>
        <v>6</v>
      </c>
      <c r="M222" s="638" t="str">
        <f t="shared" si="11"/>
        <v>642711</v>
      </c>
      <c r="N222" s="255">
        <f t="shared" si="9"/>
        <v>11947643</v>
      </c>
    </row>
    <row r="223" spans="1:14">
      <c r="A223" s="1460">
        <v>45473</v>
      </c>
      <c r="B223" s="1461" t="s">
        <v>1081</v>
      </c>
      <c r="C223" s="637"/>
      <c r="D223" s="637"/>
      <c r="E223" s="1462" t="s">
        <v>1087</v>
      </c>
      <c r="F223" s="638" t="s">
        <v>769</v>
      </c>
      <c r="G223" s="1461" t="s">
        <v>1037</v>
      </c>
      <c r="H223" s="1463">
        <v>16200000</v>
      </c>
      <c r="I223" s="253">
        <v>1</v>
      </c>
      <c r="J223" s="253">
        <v>0</v>
      </c>
      <c r="K223" s="254"/>
      <c r="L223" t="str">
        <f t="shared" si="10"/>
        <v>6</v>
      </c>
      <c r="M223" s="638" t="str">
        <f t="shared" si="11"/>
        <v>642717</v>
      </c>
      <c r="N223" s="255">
        <f t="shared" si="9"/>
        <v>16200000</v>
      </c>
    </row>
    <row r="224" spans="1:14">
      <c r="A224" s="1460">
        <v>45473</v>
      </c>
      <c r="B224" s="1461" t="s">
        <v>1081</v>
      </c>
      <c r="C224" s="637"/>
      <c r="D224" s="637"/>
      <c r="E224" s="1462" t="s">
        <v>1088</v>
      </c>
      <c r="F224" s="638" t="s">
        <v>769</v>
      </c>
      <c r="G224" s="1461" t="s">
        <v>1039</v>
      </c>
      <c r="H224" s="1463">
        <v>5400000</v>
      </c>
      <c r="I224" s="253">
        <v>1</v>
      </c>
      <c r="J224" s="253">
        <v>0</v>
      </c>
      <c r="K224" s="254"/>
      <c r="L224" t="str">
        <f t="shared" si="10"/>
        <v>6</v>
      </c>
      <c r="M224" s="638" t="str">
        <f t="shared" si="11"/>
        <v>642713</v>
      </c>
      <c r="N224" s="255">
        <f t="shared" si="9"/>
        <v>5400000</v>
      </c>
    </row>
    <row r="225" spans="1:14">
      <c r="A225" s="1460">
        <v>45473</v>
      </c>
      <c r="B225" s="1461" t="s">
        <v>1081</v>
      </c>
      <c r="C225" s="637"/>
      <c r="D225" s="637"/>
      <c r="E225" s="1462" t="s">
        <v>853</v>
      </c>
      <c r="F225" s="638" t="s">
        <v>769</v>
      </c>
      <c r="G225" s="1461" t="s">
        <v>854</v>
      </c>
      <c r="H225" s="1463">
        <v>17196667</v>
      </c>
      <c r="I225" s="253">
        <v>1</v>
      </c>
      <c r="J225" s="253">
        <v>0</v>
      </c>
      <c r="K225" s="254"/>
      <c r="L225" t="str">
        <f t="shared" si="10"/>
        <v>6</v>
      </c>
      <c r="M225" s="638" t="str">
        <f t="shared" si="11"/>
        <v>642704</v>
      </c>
      <c r="N225" s="255">
        <f t="shared" si="9"/>
        <v>17196667</v>
      </c>
    </row>
    <row r="226" spans="1:14">
      <c r="A226" s="1460">
        <v>45473</v>
      </c>
      <c r="B226" s="1461" t="s">
        <v>1081</v>
      </c>
      <c r="C226" s="637"/>
      <c r="D226" s="637"/>
      <c r="E226" s="1462" t="s">
        <v>858</v>
      </c>
      <c r="F226" s="638" t="s">
        <v>769</v>
      </c>
      <c r="G226" s="1461" t="s">
        <v>859</v>
      </c>
      <c r="H226" s="1463">
        <v>136971600</v>
      </c>
      <c r="I226" s="253">
        <v>1</v>
      </c>
      <c r="J226" s="253">
        <v>0</v>
      </c>
      <c r="K226" s="254"/>
      <c r="L226" t="str">
        <f t="shared" si="10"/>
        <v>6</v>
      </c>
      <c r="M226" s="638" t="str">
        <f t="shared" si="11"/>
        <v>642706</v>
      </c>
      <c r="N226" s="255">
        <f t="shared" si="9"/>
        <v>136971600</v>
      </c>
    </row>
    <row r="227" spans="1:14">
      <c r="A227" s="1460">
        <v>45473</v>
      </c>
      <c r="B227" s="1461" t="s">
        <v>1081</v>
      </c>
      <c r="C227" s="637"/>
      <c r="D227" s="637"/>
      <c r="E227" s="1462" t="s">
        <v>1089</v>
      </c>
      <c r="F227" s="638" t="s">
        <v>769</v>
      </c>
      <c r="G227" s="1461" t="s">
        <v>1033</v>
      </c>
      <c r="H227" s="1463">
        <v>45499969</v>
      </c>
      <c r="I227" s="253">
        <v>1</v>
      </c>
      <c r="J227" s="253">
        <v>0</v>
      </c>
      <c r="K227" s="254"/>
      <c r="L227" t="str">
        <f t="shared" si="10"/>
        <v>6</v>
      </c>
      <c r="M227" s="638" t="str">
        <f t="shared" si="11"/>
        <v>642802</v>
      </c>
      <c r="N227" s="255">
        <f t="shared" si="9"/>
        <v>45499969</v>
      </c>
    </row>
    <row r="228" spans="1:14">
      <c r="A228" s="1460">
        <v>45473</v>
      </c>
      <c r="B228" s="1461" t="s">
        <v>1081</v>
      </c>
      <c r="C228" s="637"/>
      <c r="D228" s="637"/>
      <c r="E228" s="1462" t="s">
        <v>1090</v>
      </c>
      <c r="F228" s="638" t="s">
        <v>769</v>
      </c>
      <c r="G228" s="1461" t="s">
        <v>967</v>
      </c>
      <c r="H228" s="1463">
        <v>33311836</v>
      </c>
      <c r="I228" s="253">
        <v>1</v>
      </c>
      <c r="J228" s="253">
        <v>0</v>
      </c>
      <c r="K228" s="254"/>
      <c r="L228" t="str">
        <f t="shared" si="10"/>
        <v>6</v>
      </c>
      <c r="M228" s="638" t="str">
        <f t="shared" si="11"/>
        <v>642899</v>
      </c>
      <c r="N228" s="255">
        <f t="shared" si="9"/>
        <v>33311836</v>
      </c>
    </row>
    <row r="229" spans="1:14">
      <c r="A229" s="1460">
        <v>45473</v>
      </c>
      <c r="B229" s="1461" t="s">
        <v>1081</v>
      </c>
      <c r="C229" s="637"/>
      <c r="D229" s="637"/>
      <c r="E229" s="1462" t="s">
        <v>870</v>
      </c>
      <c r="F229" s="638" t="s">
        <v>769</v>
      </c>
      <c r="G229" s="1461" t="s">
        <v>379</v>
      </c>
      <c r="H229" s="1463">
        <v>259331000</v>
      </c>
      <c r="I229" s="253">
        <v>1</v>
      </c>
      <c r="J229" s="253">
        <v>0</v>
      </c>
      <c r="K229" s="254"/>
      <c r="L229" t="str">
        <f t="shared" si="10"/>
        <v>6</v>
      </c>
      <c r="M229" s="638" t="str">
        <f t="shared" si="11"/>
        <v>64212</v>
      </c>
      <c r="N229" s="255">
        <f t="shared" si="9"/>
        <v>259331000</v>
      </c>
    </row>
    <row r="230" spans="1:14">
      <c r="A230" s="1460">
        <v>45473</v>
      </c>
      <c r="B230" s="1461" t="s">
        <v>1081</v>
      </c>
      <c r="C230" s="637"/>
      <c r="D230" s="637"/>
      <c r="E230" s="1462" t="s">
        <v>832</v>
      </c>
      <c r="F230" s="638" t="s">
        <v>769</v>
      </c>
      <c r="G230" s="1461" t="s">
        <v>833</v>
      </c>
      <c r="H230" s="1463">
        <v>5586875</v>
      </c>
      <c r="I230" s="253">
        <v>1</v>
      </c>
      <c r="J230" s="253">
        <v>0</v>
      </c>
      <c r="K230" s="254"/>
      <c r="L230" t="str">
        <f t="shared" si="10"/>
        <v>6</v>
      </c>
      <c r="M230" s="638" t="str">
        <f t="shared" si="11"/>
        <v>642799</v>
      </c>
      <c r="N230" s="255">
        <f t="shared" si="9"/>
        <v>5586875</v>
      </c>
    </row>
    <row r="231" spans="1:14">
      <c r="A231" s="1460">
        <v>45473</v>
      </c>
      <c r="B231" s="1461" t="s">
        <v>1081</v>
      </c>
      <c r="C231" s="637"/>
      <c r="D231" s="637"/>
      <c r="E231" s="1462" t="s">
        <v>818</v>
      </c>
      <c r="F231" s="638" t="s">
        <v>769</v>
      </c>
      <c r="G231" s="1461" t="s">
        <v>819</v>
      </c>
      <c r="H231" s="1463">
        <v>1470363</v>
      </c>
      <c r="I231" s="253">
        <v>1</v>
      </c>
      <c r="J231" s="253">
        <v>0</v>
      </c>
      <c r="K231" s="254"/>
      <c r="L231" t="str">
        <f t="shared" si="10"/>
        <v>6</v>
      </c>
      <c r="M231" s="638" t="str">
        <f t="shared" si="11"/>
        <v>642710</v>
      </c>
      <c r="N231" s="255">
        <f t="shared" si="9"/>
        <v>1470363</v>
      </c>
    </row>
    <row r="232" spans="1:14">
      <c r="A232" s="1460">
        <v>45473</v>
      </c>
      <c r="B232" s="1461" t="s">
        <v>1081</v>
      </c>
      <c r="C232" s="637"/>
      <c r="D232" s="637"/>
      <c r="E232" s="1462" t="s">
        <v>1091</v>
      </c>
      <c r="F232" s="638" t="s">
        <v>769</v>
      </c>
      <c r="G232" s="1461" t="s">
        <v>1027</v>
      </c>
      <c r="H232" s="1463">
        <v>13647875</v>
      </c>
      <c r="I232" s="253">
        <v>1</v>
      </c>
      <c r="J232" s="253">
        <v>0</v>
      </c>
      <c r="K232" s="254"/>
      <c r="L232" t="str">
        <f t="shared" si="10"/>
        <v>6</v>
      </c>
      <c r="M232" s="638" t="str">
        <f t="shared" si="11"/>
        <v>642801</v>
      </c>
      <c r="N232" s="255">
        <f t="shared" si="9"/>
        <v>13647875</v>
      </c>
    </row>
    <row r="233" spans="1:14">
      <c r="A233" s="1460">
        <v>45473</v>
      </c>
      <c r="B233" s="1461" t="s">
        <v>1081</v>
      </c>
      <c r="C233" s="637"/>
      <c r="D233" s="637"/>
      <c r="E233" s="1462" t="s">
        <v>1092</v>
      </c>
      <c r="F233" s="638" t="s">
        <v>769</v>
      </c>
      <c r="G233" s="1461" t="s">
        <v>1029</v>
      </c>
      <c r="H233" s="1463">
        <v>58955600</v>
      </c>
      <c r="I233" s="253">
        <v>1</v>
      </c>
      <c r="J233" s="253">
        <v>0</v>
      </c>
      <c r="K233" s="254"/>
      <c r="L233" t="str">
        <f t="shared" si="10"/>
        <v>6</v>
      </c>
      <c r="M233" s="638" t="str">
        <f t="shared" si="11"/>
        <v>642803</v>
      </c>
      <c r="N233" s="255">
        <f t="shared" si="9"/>
        <v>58955600</v>
      </c>
    </row>
    <row r="234" spans="1:14">
      <c r="A234" s="1460">
        <v>45473</v>
      </c>
      <c r="B234" s="1461" t="s">
        <v>1081</v>
      </c>
      <c r="C234" s="637"/>
      <c r="D234" s="637"/>
      <c r="E234" s="1462" t="s">
        <v>880</v>
      </c>
      <c r="F234" s="638" t="s">
        <v>769</v>
      </c>
      <c r="G234" s="1461" t="s">
        <v>383</v>
      </c>
      <c r="H234" s="1463">
        <v>134790006</v>
      </c>
      <c r="I234" s="253">
        <v>1</v>
      </c>
      <c r="J234" s="253">
        <v>0</v>
      </c>
      <c r="K234" s="254"/>
      <c r="L234" t="str">
        <f t="shared" si="10"/>
        <v>6</v>
      </c>
      <c r="M234" s="638" t="str">
        <f t="shared" si="11"/>
        <v>6424</v>
      </c>
      <c r="N234" s="255">
        <f t="shared" si="9"/>
        <v>134790006</v>
      </c>
    </row>
    <row r="235" spans="1:14">
      <c r="A235" s="1460">
        <v>45473</v>
      </c>
      <c r="B235" s="1461" t="s">
        <v>1081</v>
      </c>
      <c r="C235" s="637"/>
      <c r="D235" s="637"/>
      <c r="E235" s="1462" t="s">
        <v>863</v>
      </c>
      <c r="F235" s="638" t="s">
        <v>769</v>
      </c>
      <c r="G235" s="1461" t="s">
        <v>864</v>
      </c>
      <c r="H235" s="1463">
        <v>54681905</v>
      </c>
      <c r="I235" s="253">
        <v>1</v>
      </c>
      <c r="J235" s="253">
        <v>0</v>
      </c>
      <c r="K235" s="254"/>
      <c r="L235" t="str">
        <f t="shared" si="10"/>
        <v>6</v>
      </c>
      <c r="M235" s="638" t="str">
        <f t="shared" si="11"/>
        <v>642707</v>
      </c>
      <c r="N235" s="255">
        <f t="shared" si="9"/>
        <v>54681905</v>
      </c>
    </row>
    <row r="236" spans="1:14">
      <c r="A236" s="1460">
        <v>45473</v>
      </c>
      <c r="B236" s="1461" t="s">
        <v>1081</v>
      </c>
      <c r="C236" s="637"/>
      <c r="D236" s="637"/>
      <c r="E236" s="1462" t="s">
        <v>1093</v>
      </c>
      <c r="F236" s="638" t="s">
        <v>769</v>
      </c>
      <c r="G236" s="1461" t="s">
        <v>1031</v>
      </c>
      <c r="H236" s="1463">
        <v>30891935</v>
      </c>
      <c r="I236" s="253">
        <v>1</v>
      </c>
      <c r="J236" s="253">
        <v>0</v>
      </c>
      <c r="K236" s="254"/>
      <c r="L236" t="str">
        <f t="shared" si="10"/>
        <v>6</v>
      </c>
      <c r="M236" s="638" t="str">
        <f t="shared" si="11"/>
        <v>642716</v>
      </c>
      <c r="N236" s="255">
        <f t="shared" si="9"/>
        <v>30891935</v>
      </c>
    </row>
    <row r="237" spans="1:14">
      <c r="A237" s="1460">
        <v>45473</v>
      </c>
      <c r="B237" s="1461" t="s">
        <v>1081</v>
      </c>
      <c r="C237" s="637"/>
      <c r="D237" s="637"/>
      <c r="E237" s="1462" t="s">
        <v>874</v>
      </c>
      <c r="F237" s="638" t="s">
        <v>769</v>
      </c>
      <c r="G237" s="1461" t="s">
        <v>505</v>
      </c>
      <c r="H237" s="1463">
        <v>13507100</v>
      </c>
      <c r="I237" s="253">
        <v>1</v>
      </c>
      <c r="J237" s="253">
        <v>0</v>
      </c>
      <c r="K237" s="254"/>
      <c r="L237" t="str">
        <f t="shared" si="10"/>
        <v>6</v>
      </c>
      <c r="M237" s="638" t="str">
        <f t="shared" si="11"/>
        <v>6422</v>
      </c>
      <c r="N237" s="255">
        <f t="shared" si="9"/>
        <v>13507100</v>
      </c>
    </row>
    <row r="238" spans="1:14">
      <c r="A238" s="1460">
        <v>45473</v>
      </c>
      <c r="B238" s="1461" t="s">
        <v>1081</v>
      </c>
      <c r="C238" s="637"/>
      <c r="D238" s="637"/>
      <c r="E238" s="1462" t="s">
        <v>768</v>
      </c>
      <c r="F238" s="638" t="s">
        <v>769</v>
      </c>
      <c r="G238" s="1461" t="s">
        <v>770</v>
      </c>
      <c r="H238" s="1463">
        <v>182555223</v>
      </c>
      <c r="I238" s="253">
        <v>1</v>
      </c>
      <c r="J238" s="253">
        <v>0</v>
      </c>
      <c r="K238" s="254"/>
      <c r="L238" t="str">
        <f t="shared" si="10"/>
        <v>6</v>
      </c>
      <c r="M238" s="638" t="str">
        <f t="shared" si="11"/>
        <v>63311</v>
      </c>
      <c r="N238" s="255">
        <f t="shared" si="9"/>
        <v>182555223</v>
      </c>
    </row>
    <row r="239" spans="1:14">
      <c r="A239" s="1460">
        <v>45473</v>
      </c>
      <c r="B239" s="1461" t="s">
        <v>1081</v>
      </c>
      <c r="C239" s="637"/>
      <c r="D239" s="637"/>
      <c r="E239" s="1462" t="s">
        <v>912</v>
      </c>
      <c r="F239" s="638" t="s">
        <v>769</v>
      </c>
      <c r="G239" s="1461" t="s">
        <v>820</v>
      </c>
      <c r="H239" s="1463">
        <v>16626803</v>
      </c>
      <c r="I239" s="253">
        <v>1</v>
      </c>
      <c r="J239" s="253">
        <v>0</v>
      </c>
      <c r="K239" s="254"/>
      <c r="L239" t="str">
        <f t="shared" si="10"/>
        <v>6</v>
      </c>
      <c r="M239" s="638" t="str">
        <f t="shared" si="11"/>
        <v>63341</v>
      </c>
      <c r="N239" s="255">
        <f t="shared" si="9"/>
        <v>16626803</v>
      </c>
    </row>
    <row r="240" spans="1:14">
      <c r="A240" s="1460">
        <v>45473</v>
      </c>
      <c r="B240" s="1461" t="s">
        <v>1081</v>
      </c>
      <c r="C240" s="637"/>
      <c r="D240" s="637"/>
      <c r="E240" s="1462" t="s">
        <v>1078</v>
      </c>
      <c r="F240" s="638" t="s">
        <v>769</v>
      </c>
      <c r="G240" s="1461" t="s">
        <v>951</v>
      </c>
      <c r="H240" s="1463">
        <v>11743333</v>
      </c>
      <c r="I240" s="253">
        <v>1</v>
      </c>
      <c r="J240" s="253">
        <v>0</v>
      </c>
      <c r="K240" s="254"/>
      <c r="L240" t="str">
        <f t="shared" si="10"/>
        <v>6</v>
      </c>
      <c r="M240" s="638" t="str">
        <f t="shared" si="11"/>
        <v>6333311</v>
      </c>
      <c r="N240" s="255">
        <f t="shared" si="9"/>
        <v>11743333</v>
      </c>
    </row>
    <row r="241" spans="1:14">
      <c r="A241" s="1460">
        <v>45473</v>
      </c>
      <c r="B241" s="1461" t="s">
        <v>1081</v>
      </c>
      <c r="C241" s="637"/>
      <c r="D241" s="637"/>
      <c r="E241" s="1462" t="s">
        <v>1077</v>
      </c>
      <c r="F241" s="638" t="s">
        <v>769</v>
      </c>
      <c r="G241" s="1461" t="s">
        <v>309</v>
      </c>
      <c r="H241" s="1463">
        <v>242775480</v>
      </c>
      <c r="I241" s="253">
        <v>1</v>
      </c>
      <c r="J241" s="253">
        <v>0</v>
      </c>
      <c r="K241" s="254"/>
      <c r="L241" t="str">
        <f t="shared" si="10"/>
        <v>6</v>
      </c>
      <c r="M241" s="638" t="str">
        <f t="shared" si="11"/>
        <v>6352</v>
      </c>
      <c r="N241" s="255">
        <f t="shared" si="9"/>
        <v>242775480</v>
      </c>
    </row>
    <row r="242" spans="1:14">
      <c r="A242" s="1460">
        <v>45473</v>
      </c>
      <c r="B242" s="1461" t="s">
        <v>1081</v>
      </c>
      <c r="C242" s="637"/>
      <c r="D242" s="637"/>
      <c r="E242" s="1462" t="s">
        <v>790</v>
      </c>
      <c r="F242" s="638" t="s">
        <v>769</v>
      </c>
      <c r="G242" s="1461" t="s">
        <v>791</v>
      </c>
      <c r="H242" s="1463">
        <v>1259048685</v>
      </c>
      <c r="I242" s="253">
        <v>1</v>
      </c>
      <c r="J242" s="253">
        <v>0</v>
      </c>
      <c r="K242" s="254"/>
      <c r="L242" t="str">
        <f t="shared" si="10"/>
        <v>6</v>
      </c>
      <c r="M242" s="638" t="str">
        <f t="shared" si="11"/>
        <v>6331711</v>
      </c>
      <c r="N242" s="255">
        <f t="shared" si="9"/>
        <v>1259048685</v>
      </c>
    </row>
    <row r="243" spans="1:14">
      <c r="A243" s="1460">
        <v>45473</v>
      </c>
      <c r="B243" s="1461" t="s">
        <v>1081</v>
      </c>
      <c r="C243" s="637"/>
      <c r="D243" s="637"/>
      <c r="E243" s="1462" t="s">
        <v>780</v>
      </c>
      <c r="F243" s="638" t="s">
        <v>769</v>
      </c>
      <c r="G243" s="1461" t="s">
        <v>781</v>
      </c>
      <c r="H243" s="1463">
        <v>42833334</v>
      </c>
      <c r="I243" s="253">
        <v>1</v>
      </c>
      <c r="J243" s="253">
        <v>0</v>
      </c>
      <c r="K243" s="254"/>
      <c r="L243" t="str">
        <f t="shared" si="10"/>
        <v>6</v>
      </c>
      <c r="M243" s="638" t="str">
        <f t="shared" si="11"/>
        <v>63312</v>
      </c>
      <c r="N243" s="255">
        <f t="shared" si="9"/>
        <v>42833334</v>
      </c>
    </row>
    <row r="244" spans="1:14">
      <c r="A244" s="1460">
        <v>45473</v>
      </c>
      <c r="B244" s="1461" t="s">
        <v>1081</v>
      </c>
      <c r="C244" s="637"/>
      <c r="D244" s="637"/>
      <c r="E244" s="1462" t="s">
        <v>786</v>
      </c>
      <c r="F244" s="638" t="s">
        <v>769</v>
      </c>
      <c r="G244" s="1461" t="s">
        <v>787</v>
      </c>
      <c r="H244" s="1463">
        <v>17948333</v>
      </c>
      <c r="I244" s="253">
        <v>1</v>
      </c>
      <c r="J244" s="253">
        <v>0</v>
      </c>
      <c r="K244" s="254"/>
      <c r="L244" t="str">
        <f t="shared" si="10"/>
        <v>6</v>
      </c>
      <c r="M244" s="638" t="str">
        <f t="shared" si="11"/>
        <v>63313</v>
      </c>
      <c r="N244" s="255">
        <f t="shared" si="9"/>
        <v>17948333</v>
      </c>
    </row>
    <row r="245" spans="1:14">
      <c r="A245" s="1460">
        <v>45473</v>
      </c>
      <c r="B245" s="1461" t="s">
        <v>1081</v>
      </c>
      <c r="C245" s="637"/>
      <c r="D245" s="637"/>
      <c r="E245" s="1462" t="s">
        <v>1073</v>
      </c>
      <c r="F245" s="638" t="s">
        <v>769</v>
      </c>
      <c r="G245" s="1461" t="s">
        <v>954</v>
      </c>
      <c r="H245" s="1463">
        <v>1410000</v>
      </c>
      <c r="I245" s="253">
        <v>1</v>
      </c>
      <c r="J245" s="253">
        <v>0</v>
      </c>
      <c r="K245" s="254"/>
      <c r="L245" t="str">
        <f t="shared" si="10"/>
        <v>6</v>
      </c>
      <c r="M245" s="638" t="str">
        <f t="shared" si="11"/>
        <v>6333312</v>
      </c>
      <c r="N245" s="255">
        <f t="shared" si="9"/>
        <v>1410000</v>
      </c>
    </row>
    <row r="246" spans="1:14">
      <c r="A246" s="1460">
        <v>45473</v>
      </c>
      <c r="B246" s="1461" t="s">
        <v>1081</v>
      </c>
      <c r="C246" s="637"/>
      <c r="D246" s="637"/>
      <c r="E246" s="1462" t="s">
        <v>909</v>
      </c>
      <c r="F246" s="638" t="s">
        <v>769</v>
      </c>
      <c r="G246" s="1461" t="s">
        <v>815</v>
      </c>
      <c r="H246" s="1463">
        <v>307916126</v>
      </c>
      <c r="I246" s="253">
        <v>1</v>
      </c>
      <c r="J246" s="253">
        <v>0</v>
      </c>
      <c r="K246" s="254"/>
      <c r="L246" t="str">
        <f t="shared" si="10"/>
        <v>6</v>
      </c>
      <c r="M246" s="638" t="str">
        <f t="shared" si="11"/>
        <v>633175</v>
      </c>
      <c r="N246" s="255">
        <f t="shared" si="9"/>
        <v>307916126</v>
      </c>
    </row>
    <row r="247" spans="1:14">
      <c r="A247" s="1460">
        <v>45473</v>
      </c>
      <c r="B247" s="1461" t="s">
        <v>1081</v>
      </c>
      <c r="C247" s="637"/>
      <c r="D247" s="637"/>
      <c r="E247" s="1462" t="s">
        <v>903</v>
      </c>
      <c r="F247" s="638" t="s">
        <v>769</v>
      </c>
      <c r="G247" s="1461" t="s">
        <v>806</v>
      </c>
      <c r="H247" s="1463">
        <v>433681594</v>
      </c>
      <c r="I247" s="253">
        <v>1</v>
      </c>
      <c r="J247" s="253">
        <v>0</v>
      </c>
      <c r="K247" s="254"/>
      <c r="L247" t="str">
        <f t="shared" si="10"/>
        <v>6</v>
      </c>
      <c r="M247" s="638" t="str">
        <f t="shared" si="11"/>
        <v>633173</v>
      </c>
      <c r="N247" s="255">
        <f t="shared" si="9"/>
        <v>433681594</v>
      </c>
    </row>
    <row r="248" spans="1:14">
      <c r="A248" s="1460">
        <v>45473</v>
      </c>
      <c r="B248" s="1461" t="s">
        <v>1081</v>
      </c>
      <c r="C248" s="637"/>
      <c r="D248" s="637"/>
      <c r="E248" s="1462" t="s">
        <v>1094</v>
      </c>
      <c r="F248" s="638" t="s">
        <v>769</v>
      </c>
      <c r="G248" s="1461" t="s">
        <v>973</v>
      </c>
      <c r="H248" s="1463">
        <v>3300000</v>
      </c>
      <c r="I248" s="253">
        <v>1</v>
      </c>
      <c r="J248" s="253">
        <v>0</v>
      </c>
      <c r="K248" s="254"/>
      <c r="L248" t="str">
        <f t="shared" si="10"/>
        <v>6</v>
      </c>
      <c r="M248" s="638" t="str">
        <f t="shared" si="11"/>
        <v>6322105</v>
      </c>
      <c r="N248" s="255">
        <f t="shared" si="9"/>
        <v>3300000</v>
      </c>
    </row>
    <row r="249" spans="1:14">
      <c r="A249" s="1460">
        <v>45473</v>
      </c>
      <c r="B249" s="1461" t="s">
        <v>1081</v>
      </c>
      <c r="C249" s="637"/>
      <c r="D249" s="637"/>
      <c r="E249" s="1462" t="s">
        <v>906</v>
      </c>
      <c r="F249" s="638" t="s">
        <v>769</v>
      </c>
      <c r="G249" s="1461" t="s">
        <v>811</v>
      </c>
      <c r="H249" s="1463">
        <v>113492635</v>
      </c>
      <c r="I249" s="253">
        <v>1</v>
      </c>
      <c r="J249" s="253">
        <v>0</v>
      </c>
      <c r="K249" s="254"/>
      <c r="L249" t="str">
        <f t="shared" si="10"/>
        <v>6</v>
      </c>
      <c r="M249" s="638" t="str">
        <f t="shared" si="11"/>
        <v>633174</v>
      </c>
      <c r="N249" s="255">
        <f t="shared" si="9"/>
        <v>113492635</v>
      </c>
    </row>
    <row r="250" spans="1:14">
      <c r="A250" s="1460">
        <v>45473</v>
      </c>
      <c r="B250" s="1461" t="s">
        <v>1081</v>
      </c>
      <c r="C250" s="637"/>
      <c r="D250" s="637"/>
      <c r="E250" s="1462" t="s">
        <v>798</v>
      </c>
      <c r="F250" s="638" t="s">
        <v>769</v>
      </c>
      <c r="G250" s="1461" t="s">
        <v>799</v>
      </c>
      <c r="H250" s="1463">
        <v>3866676</v>
      </c>
      <c r="I250" s="253">
        <v>1</v>
      </c>
      <c r="J250" s="253">
        <v>0</v>
      </c>
      <c r="K250" s="254"/>
      <c r="L250" t="str">
        <f t="shared" si="10"/>
        <v>6</v>
      </c>
      <c r="M250" s="638" t="str">
        <f t="shared" si="11"/>
        <v>63345</v>
      </c>
      <c r="N250" s="255">
        <f t="shared" si="9"/>
        <v>3866676</v>
      </c>
    </row>
    <row r="251" spans="1:14">
      <c r="A251" s="1460">
        <v>45473</v>
      </c>
      <c r="B251" s="1461" t="s">
        <v>1081</v>
      </c>
      <c r="C251" s="637"/>
      <c r="D251" s="637"/>
      <c r="E251" s="1462" t="s">
        <v>794</v>
      </c>
      <c r="F251" s="638" t="s">
        <v>769</v>
      </c>
      <c r="G251" s="1461" t="s">
        <v>795</v>
      </c>
      <c r="H251" s="1463">
        <v>61574000</v>
      </c>
      <c r="I251" s="253">
        <v>1</v>
      </c>
      <c r="J251" s="253">
        <v>0</v>
      </c>
      <c r="K251" s="254"/>
      <c r="L251" t="str">
        <f t="shared" si="10"/>
        <v>6</v>
      </c>
      <c r="M251" s="638" t="str">
        <f t="shared" si="11"/>
        <v>6331712</v>
      </c>
      <c r="N251" s="255">
        <f t="shared" si="9"/>
        <v>61574000</v>
      </c>
    </row>
    <row r="252" spans="1:14">
      <c r="A252" s="1460">
        <v>45473</v>
      </c>
      <c r="B252" s="1461" t="s">
        <v>1081</v>
      </c>
      <c r="C252" s="637"/>
      <c r="D252" s="637"/>
      <c r="E252" s="1462" t="s">
        <v>1071</v>
      </c>
      <c r="F252" s="638" t="s">
        <v>769</v>
      </c>
      <c r="G252" s="1461" t="s">
        <v>944</v>
      </c>
      <c r="H252" s="1463">
        <v>5213100</v>
      </c>
      <c r="I252" s="253">
        <v>1</v>
      </c>
      <c r="J252" s="253">
        <v>0</v>
      </c>
      <c r="K252" s="254"/>
      <c r="L252" t="str">
        <f t="shared" si="10"/>
        <v>6</v>
      </c>
      <c r="M252" s="638" t="str">
        <f t="shared" si="11"/>
        <v>63201020301</v>
      </c>
      <c r="N252" s="255">
        <f t="shared" si="9"/>
        <v>5213100</v>
      </c>
    </row>
    <row r="253" spans="1:14">
      <c r="A253" s="1460">
        <v>45504</v>
      </c>
      <c r="B253" s="1461" t="s">
        <v>1095</v>
      </c>
      <c r="C253" s="637"/>
      <c r="D253" s="637"/>
      <c r="E253" s="1462" t="s">
        <v>1083</v>
      </c>
      <c r="F253" s="638" t="s">
        <v>769</v>
      </c>
      <c r="G253" s="1461" t="s">
        <v>1047</v>
      </c>
      <c r="H253" s="1463">
        <v>4035934</v>
      </c>
      <c r="I253" s="253">
        <v>1</v>
      </c>
      <c r="J253" s="253">
        <v>0</v>
      </c>
      <c r="K253" s="254"/>
      <c r="L253" t="str">
        <f t="shared" si="10"/>
        <v>6</v>
      </c>
      <c r="M253" s="638" t="str">
        <f t="shared" si="11"/>
        <v>642804</v>
      </c>
      <c r="N253" s="255">
        <f t="shared" si="9"/>
        <v>4035934</v>
      </c>
    </row>
    <row r="254" spans="1:14">
      <c r="A254" s="1460">
        <v>45504</v>
      </c>
      <c r="B254" s="1461" t="s">
        <v>1095</v>
      </c>
      <c r="C254" s="637"/>
      <c r="D254" s="637"/>
      <c r="E254" s="1462" t="s">
        <v>1086</v>
      </c>
      <c r="F254" s="638" t="s">
        <v>769</v>
      </c>
      <c r="G254" s="1461" t="s">
        <v>1035</v>
      </c>
      <c r="H254" s="1463">
        <v>4998</v>
      </c>
      <c r="I254" s="253">
        <v>1</v>
      </c>
      <c r="J254" s="253">
        <v>0</v>
      </c>
      <c r="K254" s="254"/>
      <c r="L254" t="str">
        <f t="shared" si="10"/>
        <v>6</v>
      </c>
      <c r="M254" s="638" t="str">
        <f t="shared" si="11"/>
        <v>642805</v>
      </c>
      <c r="N254" s="255">
        <f t="shared" si="9"/>
        <v>4998</v>
      </c>
    </row>
    <row r="255" spans="1:14">
      <c r="A255" s="1460">
        <v>45504</v>
      </c>
      <c r="B255" s="1461" t="s">
        <v>1095</v>
      </c>
      <c r="C255" s="637"/>
      <c r="D255" s="637"/>
      <c r="E255" s="1462" t="s">
        <v>1090</v>
      </c>
      <c r="F255" s="638" t="s">
        <v>769</v>
      </c>
      <c r="G255" s="1461" t="s">
        <v>967</v>
      </c>
      <c r="H255" s="1463">
        <v>44781538</v>
      </c>
      <c r="I255" s="253">
        <v>1</v>
      </c>
      <c r="J255" s="253">
        <v>0</v>
      </c>
      <c r="K255" s="254"/>
      <c r="L255" t="str">
        <f t="shared" si="10"/>
        <v>6</v>
      </c>
      <c r="M255" s="638" t="str">
        <f t="shared" si="11"/>
        <v>642899</v>
      </c>
      <c r="N255" s="255">
        <f t="shared" si="9"/>
        <v>44781538</v>
      </c>
    </row>
    <row r="256" spans="1:14">
      <c r="A256" s="1460">
        <v>45504</v>
      </c>
      <c r="B256" s="1461" t="s">
        <v>1095</v>
      </c>
      <c r="C256" s="637"/>
      <c r="D256" s="637"/>
      <c r="E256" s="1462" t="s">
        <v>805</v>
      </c>
      <c r="F256" s="638" t="s">
        <v>769</v>
      </c>
      <c r="G256" s="1461" t="s">
        <v>782</v>
      </c>
      <c r="H256" s="1463">
        <v>16020165</v>
      </c>
      <c r="I256" s="253"/>
      <c r="J256" s="253"/>
      <c r="K256" s="254"/>
      <c r="L256" t="str">
        <f>LEFT(M256,1)</f>
        <v>9</v>
      </c>
      <c r="M256" s="638" t="str">
        <f>F256</f>
        <v>9111</v>
      </c>
      <c r="N256" s="255">
        <f t="shared" si="9"/>
        <v>16020165</v>
      </c>
    </row>
    <row r="257" spans="1:14">
      <c r="A257" s="1460">
        <v>45504</v>
      </c>
      <c r="B257" s="1461" t="s">
        <v>1095</v>
      </c>
      <c r="C257" s="637"/>
      <c r="D257" s="637"/>
      <c r="E257" s="1462" t="s">
        <v>1084</v>
      </c>
      <c r="F257" s="638" t="s">
        <v>769</v>
      </c>
      <c r="G257" s="1461" t="s">
        <v>1041</v>
      </c>
      <c r="H257" s="1463">
        <v>102140509</v>
      </c>
      <c r="I257" s="253"/>
      <c r="J257" s="253"/>
      <c r="K257" s="254"/>
      <c r="L257" t="str">
        <f t="shared" si="10"/>
        <v>9</v>
      </c>
      <c r="M257" s="638" t="str">
        <f t="shared" ref="M257:M320" si="12">F257</f>
        <v>9111</v>
      </c>
      <c r="N257" s="255">
        <f t="shared" si="9"/>
        <v>102140509</v>
      </c>
    </row>
    <row r="258" spans="1:14">
      <c r="A258" s="1460">
        <v>45504</v>
      </c>
      <c r="B258" s="1461" t="s">
        <v>1095</v>
      </c>
      <c r="C258" s="637"/>
      <c r="D258" s="637"/>
      <c r="E258" s="1462" t="s">
        <v>1093</v>
      </c>
      <c r="F258" s="638" t="s">
        <v>769</v>
      </c>
      <c r="G258" s="1461" t="s">
        <v>1031</v>
      </c>
      <c r="H258" s="1463">
        <v>93960000</v>
      </c>
      <c r="I258" s="253"/>
      <c r="J258" s="253"/>
      <c r="K258" s="254"/>
      <c r="L258" t="str">
        <f t="shared" si="10"/>
        <v>9</v>
      </c>
      <c r="M258" s="638" t="str">
        <f t="shared" si="12"/>
        <v>9111</v>
      </c>
      <c r="N258" s="255">
        <f t="shared" si="9"/>
        <v>93960000</v>
      </c>
    </row>
    <row r="259" spans="1:14">
      <c r="A259" s="1460">
        <v>45504</v>
      </c>
      <c r="B259" s="1461" t="s">
        <v>1095</v>
      </c>
      <c r="C259" s="637"/>
      <c r="D259" s="637"/>
      <c r="E259" s="1462" t="s">
        <v>1087</v>
      </c>
      <c r="F259" s="638" t="s">
        <v>769</v>
      </c>
      <c r="G259" s="1461" t="s">
        <v>1037</v>
      </c>
      <c r="H259" s="1463">
        <v>45748800</v>
      </c>
      <c r="I259" s="253"/>
      <c r="J259" s="253"/>
      <c r="K259" s="254"/>
      <c r="L259" t="str">
        <f t="shared" si="10"/>
        <v>9</v>
      </c>
      <c r="M259" s="638" t="str">
        <f t="shared" si="12"/>
        <v>9111</v>
      </c>
      <c r="N259" s="255">
        <f t="shared" si="9"/>
        <v>45748800</v>
      </c>
    </row>
    <row r="260" spans="1:14">
      <c r="A260" s="1460">
        <v>45504</v>
      </c>
      <c r="B260" s="1461" t="s">
        <v>1095</v>
      </c>
      <c r="C260" s="637"/>
      <c r="D260" s="637"/>
      <c r="E260" s="1462" t="s">
        <v>1082</v>
      </c>
      <c r="F260" s="638" t="s">
        <v>769</v>
      </c>
      <c r="G260" s="1461" t="s">
        <v>1045</v>
      </c>
      <c r="H260" s="1463">
        <v>7968886</v>
      </c>
      <c r="I260" s="253"/>
      <c r="J260" s="253"/>
      <c r="K260" s="254"/>
      <c r="L260" t="str">
        <f t="shared" si="10"/>
        <v>9</v>
      </c>
      <c r="M260" s="638" t="str">
        <f t="shared" si="12"/>
        <v>9111</v>
      </c>
      <c r="N260" s="255">
        <f t="shared" si="9"/>
        <v>7968886</v>
      </c>
    </row>
    <row r="261" spans="1:14">
      <c r="A261" s="1460">
        <v>45504</v>
      </c>
      <c r="B261" s="1461" t="s">
        <v>1095</v>
      </c>
      <c r="C261" s="637"/>
      <c r="D261" s="637"/>
      <c r="E261" s="1462" t="s">
        <v>832</v>
      </c>
      <c r="F261" s="638" t="s">
        <v>769</v>
      </c>
      <c r="G261" s="1461" t="s">
        <v>833</v>
      </c>
      <c r="H261" s="1463">
        <v>6794266</v>
      </c>
      <c r="I261" s="253"/>
      <c r="J261" s="253"/>
      <c r="K261" s="254"/>
      <c r="L261" t="str">
        <f t="shared" si="10"/>
        <v>9</v>
      </c>
      <c r="M261" s="638" t="str">
        <f t="shared" si="12"/>
        <v>9111</v>
      </c>
      <c r="N261" s="255">
        <f t="shared" si="9"/>
        <v>6794266</v>
      </c>
    </row>
    <row r="262" spans="1:14">
      <c r="A262" s="1460">
        <v>45504</v>
      </c>
      <c r="B262" s="1461" t="s">
        <v>1095</v>
      </c>
      <c r="C262" s="637"/>
      <c r="D262" s="637"/>
      <c r="E262" s="1462" t="s">
        <v>1091</v>
      </c>
      <c r="F262" s="638" t="s">
        <v>769</v>
      </c>
      <c r="G262" s="1461" t="s">
        <v>1027</v>
      </c>
      <c r="H262" s="1463">
        <v>1210000</v>
      </c>
      <c r="I262" s="253"/>
      <c r="J262" s="253"/>
      <c r="K262" s="254"/>
      <c r="L262" t="str">
        <f t="shared" si="10"/>
        <v>9</v>
      </c>
      <c r="M262" s="638" t="str">
        <f t="shared" si="12"/>
        <v>9111</v>
      </c>
      <c r="N262" s="255">
        <f t="shared" si="9"/>
        <v>1210000</v>
      </c>
    </row>
    <row r="263" spans="1:14">
      <c r="A263" s="1460">
        <v>45504</v>
      </c>
      <c r="B263" s="1461" t="s">
        <v>1095</v>
      </c>
      <c r="C263" s="637"/>
      <c r="D263" s="637"/>
      <c r="E263" s="1462" t="s">
        <v>813</v>
      </c>
      <c r="F263" s="638" t="s">
        <v>769</v>
      </c>
      <c r="G263" s="1461" t="s">
        <v>814</v>
      </c>
      <c r="H263" s="1463">
        <v>4131364</v>
      </c>
      <c r="I263" s="253"/>
      <c r="J263" s="253"/>
      <c r="K263" s="254"/>
      <c r="L263" t="str">
        <f t="shared" si="10"/>
        <v>9</v>
      </c>
      <c r="M263" s="638" t="str">
        <f t="shared" si="12"/>
        <v>9111</v>
      </c>
      <c r="N263" s="255">
        <f t="shared" si="9"/>
        <v>4131364</v>
      </c>
    </row>
    <row r="264" spans="1:14">
      <c r="A264" s="1460">
        <v>45504</v>
      </c>
      <c r="B264" s="1461" t="s">
        <v>1095</v>
      </c>
      <c r="C264" s="637"/>
      <c r="D264" s="637"/>
      <c r="E264" s="1462" t="s">
        <v>818</v>
      </c>
      <c r="F264" s="638" t="s">
        <v>769</v>
      </c>
      <c r="G264" s="1461" t="s">
        <v>819</v>
      </c>
      <c r="H264" s="1463">
        <v>316363</v>
      </c>
      <c r="I264" s="253"/>
      <c r="J264" s="253"/>
      <c r="K264" s="254"/>
      <c r="L264" t="str">
        <f t="shared" si="10"/>
        <v>9</v>
      </c>
      <c r="M264" s="638" t="str">
        <f t="shared" si="12"/>
        <v>9111</v>
      </c>
      <c r="N264" s="255">
        <f t="shared" ref="N264:N327" si="13">IF(LEFT(F264,1)="9",H264,-H264)</f>
        <v>316363</v>
      </c>
    </row>
    <row r="265" spans="1:14">
      <c r="A265" s="1460">
        <v>45504</v>
      </c>
      <c r="B265" s="1461" t="s">
        <v>1095</v>
      </c>
      <c r="C265" s="637"/>
      <c r="D265" s="637"/>
      <c r="E265" s="1462" t="s">
        <v>824</v>
      </c>
      <c r="F265" s="638" t="s">
        <v>769</v>
      </c>
      <c r="G265" s="1461" t="s">
        <v>825</v>
      </c>
      <c r="H265" s="1463">
        <v>19660175</v>
      </c>
      <c r="I265" s="253"/>
      <c r="J265" s="253"/>
      <c r="K265" s="254"/>
      <c r="L265" t="str">
        <f t="shared" ref="L265:L328" si="14">LEFT(M265,1)</f>
        <v>9</v>
      </c>
      <c r="M265" s="638" t="str">
        <f t="shared" si="12"/>
        <v>9111</v>
      </c>
      <c r="N265" s="255">
        <f t="shared" si="13"/>
        <v>19660175</v>
      </c>
    </row>
    <row r="266" spans="1:14">
      <c r="A266" s="1460">
        <v>45504</v>
      </c>
      <c r="B266" s="1461" t="s">
        <v>1095</v>
      </c>
      <c r="C266" s="637"/>
      <c r="D266" s="637"/>
      <c r="E266" s="1462" t="s">
        <v>827</v>
      </c>
      <c r="F266" s="638" t="s">
        <v>769</v>
      </c>
      <c r="G266" s="1461" t="s">
        <v>828</v>
      </c>
      <c r="H266" s="1463">
        <v>3928100</v>
      </c>
      <c r="I266" s="253"/>
      <c r="J266" s="253"/>
      <c r="K266" s="254"/>
      <c r="L266" t="str">
        <f t="shared" si="14"/>
        <v>9</v>
      </c>
      <c r="M266" s="638" t="str">
        <f t="shared" si="12"/>
        <v>9111</v>
      </c>
      <c r="N266" s="255">
        <f t="shared" si="13"/>
        <v>3928100</v>
      </c>
    </row>
    <row r="267" spans="1:14">
      <c r="A267" s="1460">
        <v>45504</v>
      </c>
      <c r="B267" s="1461" t="s">
        <v>1095</v>
      </c>
      <c r="C267" s="637"/>
      <c r="D267" s="637"/>
      <c r="E267" s="1462" t="s">
        <v>1088</v>
      </c>
      <c r="F267" s="638" t="s">
        <v>769</v>
      </c>
      <c r="G267" s="1461" t="s">
        <v>1039</v>
      </c>
      <c r="H267" s="1463">
        <v>17400000</v>
      </c>
      <c r="I267" s="253"/>
      <c r="J267" s="253"/>
      <c r="K267" s="254"/>
      <c r="L267" t="str">
        <f t="shared" si="14"/>
        <v>9</v>
      </c>
      <c r="M267" s="638" t="str">
        <f t="shared" si="12"/>
        <v>9111</v>
      </c>
      <c r="N267" s="255">
        <f>IF(LEFT(F267,1)="9",H267,-H267)</f>
        <v>17400000</v>
      </c>
    </row>
    <row r="268" spans="1:14">
      <c r="A268" s="1460">
        <v>45504</v>
      </c>
      <c r="B268" s="1461" t="s">
        <v>1095</v>
      </c>
      <c r="C268" s="637"/>
      <c r="D268" s="637"/>
      <c r="E268" s="1462" t="s">
        <v>1085</v>
      </c>
      <c r="F268" s="638" t="s">
        <v>769</v>
      </c>
      <c r="G268" s="1461" t="s">
        <v>1043</v>
      </c>
      <c r="H268" s="1463">
        <v>34460429</v>
      </c>
      <c r="I268" s="253"/>
      <c r="J268" s="253"/>
      <c r="K268" s="254"/>
      <c r="L268" t="str">
        <f t="shared" si="14"/>
        <v>9</v>
      </c>
      <c r="M268" s="638" t="str">
        <f t="shared" si="12"/>
        <v>9111</v>
      </c>
      <c r="N268" s="255">
        <f>IF(LEFT(F268,1)="9",H268,-H268)</f>
        <v>34460429</v>
      </c>
    </row>
    <row r="269" spans="1:14">
      <c r="A269" s="1460">
        <v>45504</v>
      </c>
      <c r="B269" s="1461" t="s">
        <v>1095</v>
      </c>
      <c r="C269" s="637"/>
      <c r="D269" s="637"/>
      <c r="E269" s="1462" t="s">
        <v>842</v>
      </c>
      <c r="F269" s="638" t="s">
        <v>769</v>
      </c>
      <c r="G269" s="1461" t="s">
        <v>843</v>
      </c>
      <c r="H269" s="1463">
        <v>47172475</v>
      </c>
      <c r="I269" s="253"/>
      <c r="J269" s="253"/>
      <c r="K269" s="254"/>
      <c r="L269" t="str">
        <f t="shared" si="14"/>
        <v>9</v>
      </c>
      <c r="M269" s="638" t="str">
        <f t="shared" si="12"/>
        <v>9111</v>
      </c>
      <c r="N269" s="255">
        <f>IF(LEFT(F269,1)="9",H269,-H269)</f>
        <v>47172475</v>
      </c>
    </row>
    <row r="270" spans="1:14">
      <c r="A270" s="1460">
        <v>45504</v>
      </c>
      <c r="B270" s="1461" t="s">
        <v>1095</v>
      </c>
      <c r="C270" s="637"/>
      <c r="D270" s="637"/>
      <c r="E270" s="1462" t="s">
        <v>847</v>
      </c>
      <c r="F270" s="638" t="s">
        <v>769</v>
      </c>
      <c r="G270" s="1461" t="s">
        <v>848</v>
      </c>
      <c r="H270" s="1463">
        <v>3528033</v>
      </c>
      <c r="I270" s="253"/>
      <c r="J270" s="253"/>
      <c r="K270" s="254"/>
      <c r="L270" t="str">
        <f t="shared" si="14"/>
        <v>9</v>
      </c>
      <c r="M270" s="638" t="str">
        <f t="shared" si="12"/>
        <v>9111</v>
      </c>
      <c r="N270" s="255">
        <f>IF(LEFT(F270,1)="9",H270,-H270)</f>
        <v>3528033</v>
      </c>
    </row>
    <row r="271" spans="1:14">
      <c r="A271" s="1460">
        <v>45504</v>
      </c>
      <c r="B271" s="1461" t="s">
        <v>1095</v>
      </c>
      <c r="C271" s="637"/>
      <c r="D271" s="637"/>
      <c r="E271" s="1462" t="s">
        <v>853</v>
      </c>
      <c r="F271" s="638" t="s">
        <v>769</v>
      </c>
      <c r="G271" s="1461" t="s">
        <v>854</v>
      </c>
      <c r="H271" s="1463">
        <v>11646667</v>
      </c>
      <c r="I271" s="253"/>
      <c r="J271" s="253"/>
      <c r="K271" s="254"/>
      <c r="L271" t="str">
        <f t="shared" si="14"/>
        <v>9</v>
      </c>
      <c r="M271" s="638" t="str">
        <f t="shared" si="12"/>
        <v>9111</v>
      </c>
      <c r="N271" s="255">
        <f t="shared" si="13"/>
        <v>11646667</v>
      </c>
    </row>
    <row r="272" spans="1:14">
      <c r="A272" s="1460">
        <v>45504</v>
      </c>
      <c r="B272" s="1461" t="s">
        <v>1095</v>
      </c>
      <c r="C272" s="637"/>
      <c r="D272" s="637"/>
      <c r="E272" s="1462" t="s">
        <v>858</v>
      </c>
      <c r="F272" s="638" t="s">
        <v>769</v>
      </c>
      <c r="G272" s="1461" t="s">
        <v>859</v>
      </c>
      <c r="H272" s="1463">
        <v>61528179</v>
      </c>
      <c r="I272" s="253"/>
      <c r="J272" s="253"/>
      <c r="K272" s="254"/>
      <c r="L272" t="str">
        <f t="shared" si="14"/>
        <v>9</v>
      </c>
      <c r="M272" s="638" t="str">
        <f t="shared" si="12"/>
        <v>9111</v>
      </c>
      <c r="N272" s="255">
        <f t="shared" si="13"/>
        <v>61528179</v>
      </c>
    </row>
    <row r="273" spans="1:14">
      <c r="A273" s="1460">
        <v>45504</v>
      </c>
      <c r="B273" s="1461" t="s">
        <v>1095</v>
      </c>
      <c r="C273" s="637"/>
      <c r="D273" s="637"/>
      <c r="E273" s="1462" t="s">
        <v>863</v>
      </c>
      <c r="F273" s="638" t="s">
        <v>769</v>
      </c>
      <c r="G273" s="1461" t="s">
        <v>864</v>
      </c>
      <c r="H273" s="1463">
        <v>305781875</v>
      </c>
      <c r="I273" s="253"/>
      <c r="J273" s="253"/>
      <c r="K273" s="254"/>
      <c r="L273" t="str">
        <f t="shared" si="14"/>
        <v>9</v>
      </c>
      <c r="M273" s="638" t="str">
        <f t="shared" si="12"/>
        <v>9111</v>
      </c>
      <c r="N273" s="255">
        <f t="shared" si="13"/>
        <v>305781875</v>
      </c>
    </row>
    <row r="274" spans="1:14">
      <c r="A274" s="1460">
        <v>45504</v>
      </c>
      <c r="B274" s="1461" t="s">
        <v>1095</v>
      </c>
      <c r="C274" s="637"/>
      <c r="D274" s="637"/>
      <c r="E274" s="1462" t="s">
        <v>809</v>
      </c>
      <c r="F274" s="638" t="s">
        <v>769</v>
      </c>
      <c r="G274" s="1461" t="s">
        <v>810</v>
      </c>
      <c r="H274" s="1463">
        <v>32720112</v>
      </c>
      <c r="I274" s="253"/>
      <c r="J274" s="253"/>
      <c r="K274" s="254"/>
      <c r="L274" t="str">
        <f t="shared" si="14"/>
        <v>9</v>
      </c>
      <c r="M274" s="638" t="str">
        <f t="shared" si="12"/>
        <v>9111</v>
      </c>
      <c r="N274" s="255">
        <f t="shared" si="13"/>
        <v>32720112</v>
      </c>
    </row>
    <row r="275" spans="1:14">
      <c r="A275" s="1460">
        <v>45504</v>
      </c>
      <c r="B275" s="1461" t="s">
        <v>1095</v>
      </c>
      <c r="C275" s="637"/>
      <c r="D275" s="637"/>
      <c r="E275" s="1462" t="s">
        <v>867</v>
      </c>
      <c r="F275" s="638" t="s">
        <v>769</v>
      </c>
      <c r="G275" s="1461" t="s">
        <v>378</v>
      </c>
      <c r="H275" s="1463">
        <v>1601920991</v>
      </c>
      <c r="I275" s="253"/>
      <c r="J275" s="253"/>
      <c r="K275" s="254"/>
      <c r="L275" t="str">
        <f t="shared" si="14"/>
        <v>9</v>
      </c>
      <c r="M275" s="638" t="str">
        <f t="shared" si="12"/>
        <v>9111</v>
      </c>
      <c r="N275" s="255">
        <f t="shared" si="13"/>
        <v>1601920991</v>
      </c>
    </row>
    <row r="276" spans="1:14">
      <c r="A276" s="1460">
        <v>45504</v>
      </c>
      <c r="B276" s="1461" t="s">
        <v>1095</v>
      </c>
      <c r="C276" s="637"/>
      <c r="D276" s="637"/>
      <c r="E276" s="1462" t="s">
        <v>870</v>
      </c>
      <c r="F276" s="638" t="s">
        <v>769</v>
      </c>
      <c r="G276" s="1461" t="s">
        <v>379</v>
      </c>
      <c r="H276" s="1463">
        <v>91651000</v>
      </c>
      <c r="I276" s="253"/>
      <c r="J276" s="253"/>
      <c r="K276" s="254"/>
      <c r="L276" t="str">
        <f t="shared" si="14"/>
        <v>9</v>
      </c>
      <c r="M276" s="638" t="str">
        <f t="shared" si="12"/>
        <v>9111</v>
      </c>
      <c r="N276" s="255">
        <f t="shared" si="13"/>
        <v>91651000</v>
      </c>
    </row>
    <row r="277" spans="1:14">
      <c r="A277" s="1460">
        <v>45504</v>
      </c>
      <c r="B277" s="1461" t="s">
        <v>1095</v>
      </c>
      <c r="C277" s="637"/>
      <c r="D277" s="637"/>
      <c r="E277" s="1462" t="s">
        <v>874</v>
      </c>
      <c r="F277" s="638" t="s">
        <v>769</v>
      </c>
      <c r="G277" s="1461" t="s">
        <v>505</v>
      </c>
      <c r="H277" s="1463">
        <v>21398153</v>
      </c>
      <c r="I277" s="253"/>
      <c r="J277" s="253"/>
      <c r="K277" s="254"/>
      <c r="L277" t="str">
        <f t="shared" si="14"/>
        <v>9</v>
      </c>
      <c r="M277" s="638" t="str">
        <f t="shared" si="12"/>
        <v>9111</v>
      </c>
      <c r="N277" s="255">
        <f t="shared" si="13"/>
        <v>21398153</v>
      </c>
    </row>
    <row r="278" spans="1:14">
      <c r="A278" s="1460">
        <v>45504</v>
      </c>
      <c r="B278" s="1461" t="s">
        <v>1095</v>
      </c>
      <c r="C278" s="637"/>
      <c r="D278" s="637"/>
      <c r="E278" s="1462" t="s">
        <v>877</v>
      </c>
      <c r="F278" s="638" t="s">
        <v>769</v>
      </c>
      <c r="G278" s="1461" t="s">
        <v>381</v>
      </c>
      <c r="H278" s="1463">
        <v>14855256</v>
      </c>
      <c r="I278" s="253"/>
      <c r="J278" s="253"/>
      <c r="K278" s="254"/>
      <c r="L278" t="str">
        <f t="shared" si="14"/>
        <v>9</v>
      </c>
      <c r="M278" s="638" t="str">
        <f t="shared" si="12"/>
        <v>9111</v>
      </c>
      <c r="N278" s="255">
        <f t="shared" si="13"/>
        <v>14855256</v>
      </c>
    </row>
    <row r="279" spans="1:14">
      <c r="A279" s="1460">
        <v>45504</v>
      </c>
      <c r="B279" s="1461" t="s">
        <v>1095</v>
      </c>
      <c r="C279" s="637"/>
      <c r="D279" s="637"/>
      <c r="E279" s="1462" t="s">
        <v>880</v>
      </c>
      <c r="F279" s="638" t="s">
        <v>769</v>
      </c>
      <c r="G279" s="1461" t="s">
        <v>383</v>
      </c>
      <c r="H279" s="1463">
        <v>97352368</v>
      </c>
      <c r="I279" s="253"/>
      <c r="J279" s="253"/>
      <c r="K279" s="254"/>
      <c r="L279" t="str">
        <f t="shared" si="14"/>
        <v>9</v>
      </c>
      <c r="M279" s="638" t="str">
        <f t="shared" si="12"/>
        <v>9111</v>
      </c>
      <c r="N279" s="255">
        <f t="shared" si="13"/>
        <v>97352368</v>
      </c>
    </row>
    <row r="280" spans="1:14">
      <c r="A280" s="1460">
        <v>45504</v>
      </c>
      <c r="B280" s="1461" t="s">
        <v>1095</v>
      </c>
      <c r="C280" s="637"/>
      <c r="D280" s="637"/>
      <c r="E280" s="1462" t="s">
        <v>838</v>
      </c>
      <c r="F280" s="638" t="s">
        <v>769</v>
      </c>
      <c r="G280" s="1461" t="s">
        <v>839</v>
      </c>
      <c r="H280" s="1463">
        <v>383757892</v>
      </c>
      <c r="I280" s="253"/>
      <c r="J280" s="253"/>
      <c r="K280" s="254"/>
      <c r="L280" t="str">
        <f t="shared" si="14"/>
        <v>9</v>
      </c>
      <c r="M280" s="638" t="str">
        <f t="shared" si="12"/>
        <v>9111</v>
      </c>
      <c r="N280" s="255">
        <f t="shared" si="13"/>
        <v>383757892</v>
      </c>
    </row>
    <row r="281" spans="1:14">
      <c r="A281" s="1460">
        <v>45504</v>
      </c>
      <c r="B281" s="1461" t="s">
        <v>1095</v>
      </c>
      <c r="C281" s="637"/>
      <c r="D281" s="637"/>
      <c r="E281" s="1462" t="s">
        <v>909</v>
      </c>
      <c r="F281" s="638" t="s">
        <v>769</v>
      </c>
      <c r="G281" s="1461" t="s">
        <v>815</v>
      </c>
      <c r="H281" s="1463">
        <v>275508268</v>
      </c>
      <c r="I281" s="253"/>
      <c r="J281" s="253"/>
      <c r="K281" s="254"/>
      <c r="L281" t="str">
        <f t="shared" si="14"/>
        <v>9</v>
      </c>
      <c r="M281" s="638" t="str">
        <f t="shared" si="12"/>
        <v>9111</v>
      </c>
      <c r="N281" s="255">
        <f t="shared" si="13"/>
        <v>275508268</v>
      </c>
    </row>
    <row r="282" spans="1:14">
      <c r="A282" s="1460">
        <v>45504</v>
      </c>
      <c r="B282" s="1461" t="s">
        <v>1095</v>
      </c>
      <c r="C282" s="637"/>
      <c r="D282" s="637"/>
      <c r="E282" s="1462" t="s">
        <v>1078</v>
      </c>
      <c r="F282" s="638" t="s">
        <v>769</v>
      </c>
      <c r="G282" s="1461" t="s">
        <v>951</v>
      </c>
      <c r="H282" s="1463">
        <v>12000000</v>
      </c>
      <c r="I282" s="253"/>
      <c r="J282" s="253"/>
      <c r="K282" s="254"/>
      <c r="L282" t="str">
        <f t="shared" si="14"/>
        <v>9</v>
      </c>
      <c r="M282" s="638" t="str">
        <f t="shared" si="12"/>
        <v>9111</v>
      </c>
      <c r="N282" s="255">
        <f t="shared" si="13"/>
        <v>12000000</v>
      </c>
    </row>
    <row r="283" spans="1:14">
      <c r="A283" s="1460">
        <v>45504</v>
      </c>
      <c r="B283" s="1461" t="s">
        <v>1095</v>
      </c>
      <c r="C283" s="637"/>
      <c r="D283" s="637"/>
      <c r="E283" s="1462" t="s">
        <v>1073</v>
      </c>
      <c r="F283" s="638" t="s">
        <v>769</v>
      </c>
      <c r="G283" s="1461" t="s">
        <v>954</v>
      </c>
      <c r="H283" s="1463">
        <v>1410000</v>
      </c>
      <c r="I283" s="253"/>
      <c r="J283" s="253"/>
      <c r="K283" s="254"/>
      <c r="L283" t="str">
        <f t="shared" si="14"/>
        <v>9</v>
      </c>
      <c r="M283" s="638" t="str">
        <f t="shared" si="12"/>
        <v>9111</v>
      </c>
      <c r="N283" s="255">
        <f t="shared" si="13"/>
        <v>1410000</v>
      </c>
    </row>
    <row r="284" spans="1:14">
      <c r="A284" s="1460">
        <v>45504</v>
      </c>
      <c r="B284" s="1461" t="s">
        <v>1095</v>
      </c>
      <c r="C284" s="637"/>
      <c r="D284" s="637"/>
      <c r="E284" s="1462" t="s">
        <v>912</v>
      </c>
      <c r="F284" s="638" t="s">
        <v>769</v>
      </c>
      <c r="G284" s="1461" t="s">
        <v>820</v>
      </c>
      <c r="H284" s="1463">
        <v>17989727</v>
      </c>
      <c r="I284" s="253"/>
      <c r="J284" s="253"/>
      <c r="K284" s="254"/>
      <c r="L284" t="str">
        <f t="shared" si="14"/>
        <v>9</v>
      </c>
      <c r="M284" s="638" t="str">
        <f t="shared" si="12"/>
        <v>9111</v>
      </c>
      <c r="N284" s="255">
        <f t="shared" si="13"/>
        <v>17989727</v>
      </c>
    </row>
    <row r="285" spans="1:14">
      <c r="A285" s="1460">
        <v>45504</v>
      </c>
      <c r="B285" s="1461" t="s">
        <v>1095</v>
      </c>
      <c r="C285" s="637"/>
      <c r="D285" s="637"/>
      <c r="E285" s="1462" t="s">
        <v>798</v>
      </c>
      <c r="F285" s="638" t="s">
        <v>769</v>
      </c>
      <c r="G285" s="1461" t="s">
        <v>799</v>
      </c>
      <c r="H285" s="1463">
        <v>4185455</v>
      </c>
      <c r="I285" s="253"/>
      <c r="J285" s="253"/>
      <c r="K285" s="254"/>
      <c r="L285" t="str">
        <f t="shared" si="14"/>
        <v>9</v>
      </c>
      <c r="M285" s="638" t="str">
        <f t="shared" si="12"/>
        <v>9111</v>
      </c>
      <c r="N285" s="255">
        <f t="shared" si="13"/>
        <v>4185455</v>
      </c>
    </row>
    <row r="286" spans="1:14">
      <c r="A286" s="1460">
        <v>45504</v>
      </c>
      <c r="B286" s="1461" t="s">
        <v>1095</v>
      </c>
      <c r="C286" s="637"/>
      <c r="D286" s="637"/>
      <c r="E286" s="1462" t="s">
        <v>1077</v>
      </c>
      <c r="F286" s="638" t="s">
        <v>769</v>
      </c>
      <c r="G286" s="1461" t="s">
        <v>309</v>
      </c>
      <c r="H286" s="1463">
        <v>313296397</v>
      </c>
      <c r="I286" s="253"/>
      <c r="J286" s="253"/>
      <c r="K286" s="254"/>
      <c r="L286" t="str">
        <f t="shared" si="14"/>
        <v>9</v>
      </c>
      <c r="M286" s="638" t="str">
        <f t="shared" si="12"/>
        <v>9111</v>
      </c>
      <c r="N286" s="255">
        <f t="shared" si="13"/>
        <v>313296397</v>
      </c>
    </row>
    <row r="287" spans="1:14">
      <c r="A287" s="1460">
        <v>45504</v>
      </c>
      <c r="B287" s="1461" t="s">
        <v>1095</v>
      </c>
      <c r="C287" s="637"/>
      <c r="D287" s="637"/>
      <c r="E287" s="1462" t="s">
        <v>780</v>
      </c>
      <c r="F287" s="638" t="s">
        <v>769</v>
      </c>
      <c r="G287" s="1461" t="s">
        <v>781</v>
      </c>
      <c r="H287" s="1463">
        <v>42833334</v>
      </c>
      <c r="I287" s="253"/>
      <c r="J287" s="253"/>
      <c r="K287" s="254"/>
      <c r="L287" t="str">
        <f t="shared" si="14"/>
        <v>9</v>
      </c>
      <c r="M287" s="638" t="str">
        <f t="shared" si="12"/>
        <v>9111</v>
      </c>
      <c r="N287" s="255">
        <f t="shared" si="13"/>
        <v>42833334</v>
      </c>
    </row>
    <row r="288" spans="1:14">
      <c r="A288" s="1460">
        <v>45504</v>
      </c>
      <c r="B288" s="1461" t="s">
        <v>1095</v>
      </c>
      <c r="C288" s="637"/>
      <c r="D288" s="637"/>
      <c r="E288" s="1462" t="s">
        <v>786</v>
      </c>
      <c r="F288" s="638" t="s">
        <v>769</v>
      </c>
      <c r="G288" s="1461" t="s">
        <v>787</v>
      </c>
      <c r="H288" s="1463">
        <v>17948333</v>
      </c>
      <c r="I288" s="253"/>
      <c r="J288" s="253"/>
      <c r="K288" s="254"/>
      <c r="L288" t="str">
        <f t="shared" si="14"/>
        <v>9</v>
      </c>
      <c r="M288" s="638" t="str">
        <f t="shared" si="12"/>
        <v>9111</v>
      </c>
      <c r="N288" s="255">
        <f t="shared" si="13"/>
        <v>17948333</v>
      </c>
    </row>
    <row r="289" spans="1:14">
      <c r="A289" s="1460">
        <v>45504</v>
      </c>
      <c r="B289" s="1461" t="s">
        <v>1095</v>
      </c>
      <c r="C289" s="637"/>
      <c r="D289" s="637"/>
      <c r="E289" s="1462" t="s">
        <v>790</v>
      </c>
      <c r="F289" s="638" t="s">
        <v>769</v>
      </c>
      <c r="G289" s="1461" t="s">
        <v>791</v>
      </c>
      <c r="H289" s="1463">
        <v>801793957</v>
      </c>
      <c r="I289" s="253"/>
      <c r="J289" s="253"/>
      <c r="K289" s="254"/>
      <c r="L289" t="str">
        <f t="shared" si="14"/>
        <v>9</v>
      </c>
      <c r="M289" s="638" t="str">
        <f t="shared" si="12"/>
        <v>9111</v>
      </c>
      <c r="N289" s="255">
        <f t="shared" si="13"/>
        <v>801793957</v>
      </c>
    </row>
    <row r="290" spans="1:14">
      <c r="A290" s="1460">
        <v>45504</v>
      </c>
      <c r="B290" s="1461" t="s">
        <v>1095</v>
      </c>
      <c r="C290" s="637"/>
      <c r="D290" s="637"/>
      <c r="E290" s="1462" t="s">
        <v>794</v>
      </c>
      <c r="F290" s="638" t="s">
        <v>769</v>
      </c>
      <c r="G290" s="1461" t="s">
        <v>795</v>
      </c>
      <c r="H290" s="1463">
        <v>63794000</v>
      </c>
      <c r="I290" s="253"/>
      <c r="J290" s="253"/>
      <c r="K290" s="254"/>
      <c r="L290" t="str">
        <f t="shared" si="14"/>
        <v>9</v>
      </c>
      <c r="M290" s="638" t="str">
        <f t="shared" si="12"/>
        <v>9111</v>
      </c>
      <c r="N290" s="255">
        <f t="shared" si="13"/>
        <v>63794000</v>
      </c>
    </row>
    <row r="291" spans="1:14">
      <c r="A291" s="1460">
        <v>45504</v>
      </c>
      <c r="B291" s="1461" t="s">
        <v>1095</v>
      </c>
      <c r="C291" s="637"/>
      <c r="D291" s="637"/>
      <c r="E291" s="1462" t="s">
        <v>903</v>
      </c>
      <c r="F291" s="638" t="s">
        <v>769</v>
      </c>
      <c r="G291" s="1461" t="s">
        <v>806</v>
      </c>
      <c r="H291" s="1463">
        <v>433681594</v>
      </c>
      <c r="I291" s="253"/>
      <c r="J291" s="253"/>
      <c r="K291" s="254"/>
      <c r="L291" t="str">
        <f t="shared" si="14"/>
        <v>9</v>
      </c>
      <c r="M291" s="638" t="str">
        <f t="shared" si="12"/>
        <v>9111</v>
      </c>
      <c r="N291" s="255">
        <f t="shared" si="13"/>
        <v>433681594</v>
      </c>
    </row>
    <row r="292" spans="1:14">
      <c r="A292" s="1460">
        <v>45504</v>
      </c>
      <c r="B292" s="1461" t="s">
        <v>1095</v>
      </c>
      <c r="C292" s="637"/>
      <c r="D292" s="637"/>
      <c r="E292" s="1462" t="s">
        <v>906</v>
      </c>
      <c r="F292" s="638" t="s">
        <v>769</v>
      </c>
      <c r="G292" s="1461" t="s">
        <v>811</v>
      </c>
      <c r="H292" s="1463">
        <v>113492635</v>
      </c>
      <c r="I292" s="253"/>
      <c r="J292" s="253"/>
      <c r="K292" s="254"/>
      <c r="L292" t="str">
        <f t="shared" si="14"/>
        <v>9</v>
      </c>
      <c r="M292" s="638" t="str">
        <f t="shared" si="12"/>
        <v>9111</v>
      </c>
      <c r="N292" s="255">
        <f t="shared" si="13"/>
        <v>113492635</v>
      </c>
    </row>
    <row r="293" spans="1:14">
      <c r="A293" s="1460">
        <v>45504</v>
      </c>
      <c r="B293" s="1461" t="s">
        <v>1095</v>
      </c>
      <c r="C293" s="637"/>
      <c r="D293" s="637"/>
      <c r="E293" s="1462" t="s">
        <v>1072</v>
      </c>
      <c r="F293" s="638" t="s">
        <v>769</v>
      </c>
      <c r="G293" s="1461" t="s">
        <v>947</v>
      </c>
      <c r="H293" s="1463">
        <v>15423613</v>
      </c>
      <c r="I293" s="253"/>
      <c r="J293" s="253"/>
      <c r="K293" s="254"/>
      <c r="L293" t="str">
        <f t="shared" si="14"/>
        <v>9</v>
      </c>
      <c r="M293" s="638" t="str">
        <f t="shared" si="12"/>
        <v>9111</v>
      </c>
      <c r="N293" s="255">
        <f t="shared" si="13"/>
        <v>15423613</v>
      </c>
    </row>
    <row r="294" spans="1:14">
      <c r="A294" s="1460">
        <v>45504</v>
      </c>
      <c r="B294" s="1461" t="s">
        <v>1095</v>
      </c>
      <c r="C294" s="637"/>
      <c r="D294" s="637"/>
      <c r="E294" s="1462" t="s">
        <v>768</v>
      </c>
      <c r="F294" s="638" t="s">
        <v>769</v>
      </c>
      <c r="G294" s="1461" t="s">
        <v>770</v>
      </c>
      <c r="H294" s="1463">
        <v>161996417</v>
      </c>
      <c r="I294" s="253"/>
      <c r="J294" s="253"/>
      <c r="K294" s="254"/>
      <c r="L294" t="str">
        <f t="shared" si="14"/>
        <v>9</v>
      </c>
      <c r="M294" s="638" t="str">
        <f t="shared" si="12"/>
        <v>9111</v>
      </c>
      <c r="N294" s="255">
        <f t="shared" si="13"/>
        <v>161996417</v>
      </c>
    </row>
    <row r="295" spans="1:14">
      <c r="A295" s="1460">
        <v>45504</v>
      </c>
      <c r="B295" s="1461" t="s">
        <v>1095</v>
      </c>
      <c r="C295" s="637"/>
      <c r="D295" s="637"/>
      <c r="E295" s="1462" t="s">
        <v>1070</v>
      </c>
      <c r="F295" s="638" t="s">
        <v>769</v>
      </c>
      <c r="G295" s="1461" t="s">
        <v>936</v>
      </c>
      <c r="H295" s="1463">
        <v>31610000</v>
      </c>
      <c r="I295" s="253"/>
      <c r="J295" s="253"/>
      <c r="K295" s="254"/>
      <c r="L295" t="str">
        <f t="shared" si="14"/>
        <v>9</v>
      </c>
      <c r="M295" s="638" t="str">
        <f t="shared" si="12"/>
        <v>9111</v>
      </c>
      <c r="N295" s="255">
        <f t="shared" si="13"/>
        <v>31610000</v>
      </c>
    </row>
    <row r="296" spans="1:14">
      <c r="A296" s="1460">
        <v>45535</v>
      </c>
      <c r="B296" s="1461" t="s">
        <v>1096</v>
      </c>
      <c r="C296" s="637"/>
      <c r="D296" s="637"/>
      <c r="E296" s="1462" t="s">
        <v>1092</v>
      </c>
      <c r="F296" s="638" t="s">
        <v>769</v>
      </c>
      <c r="G296" s="1461" t="s">
        <v>1029</v>
      </c>
      <c r="H296" s="1463">
        <v>7882222</v>
      </c>
      <c r="I296" s="253"/>
      <c r="J296" s="253"/>
      <c r="K296" s="254"/>
      <c r="L296" t="str">
        <f t="shared" si="14"/>
        <v>9</v>
      </c>
      <c r="M296" s="638" t="str">
        <f t="shared" si="12"/>
        <v>9111</v>
      </c>
      <c r="N296" s="255">
        <f t="shared" si="13"/>
        <v>7882222</v>
      </c>
    </row>
    <row r="297" spans="1:14">
      <c r="A297" s="1460">
        <v>45535</v>
      </c>
      <c r="B297" s="1461" t="s">
        <v>1096</v>
      </c>
      <c r="C297" s="637"/>
      <c r="D297" s="637"/>
      <c r="E297" s="1462" t="s">
        <v>1083</v>
      </c>
      <c r="F297" s="638" t="s">
        <v>769</v>
      </c>
      <c r="G297" s="1461" t="s">
        <v>1047</v>
      </c>
      <c r="H297" s="1463">
        <v>6530132</v>
      </c>
      <c r="I297" s="253"/>
      <c r="J297" s="253"/>
      <c r="K297" s="254"/>
      <c r="L297" t="str">
        <f t="shared" si="14"/>
        <v>9</v>
      </c>
      <c r="M297" s="638" t="str">
        <f t="shared" si="12"/>
        <v>9111</v>
      </c>
      <c r="N297" s="255">
        <f t="shared" si="13"/>
        <v>6530132</v>
      </c>
    </row>
    <row r="298" spans="1:14">
      <c r="A298" s="1460">
        <v>45535</v>
      </c>
      <c r="B298" s="1461" t="s">
        <v>1096</v>
      </c>
      <c r="C298" s="637"/>
      <c r="D298" s="637"/>
      <c r="E298" s="1462" t="s">
        <v>1086</v>
      </c>
      <c r="F298" s="638" t="s">
        <v>769</v>
      </c>
      <c r="G298" s="1461" t="s">
        <v>1035</v>
      </c>
      <c r="H298" s="1463">
        <v>7905600</v>
      </c>
      <c r="I298" s="253"/>
      <c r="J298" s="253"/>
      <c r="K298" s="254"/>
      <c r="L298" t="str">
        <f t="shared" si="14"/>
        <v>9</v>
      </c>
      <c r="M298" s="638" t="str">
        <f t="shared" si="12"/>
        <v>9111</v>
      </c>
      <c r="N298" s="255">
        <f t="shared" si="13"/>
        <v>7905600</v>
      </c>
    </row>
    <row r="299" spans="1:14">
      <c r="A299" s="1460">
        <v>45535</v>
      </c>
      <c r="B299" s="1461" t="s">
        <v>1096</v>
      </c>
      <c r="C299" s="637"/>
      <c r="D299" s="637"/>
      <c r="E299" s="1462" t="s">
        <v>1090</v>
      </c>
      <c r="F299" s="638" t="s">
        <v>769</v>
      </c>
      <c r="G299" s="1461" t="s">
        <v>967</v>
      </c>
      <c r="H299" s="1463">
        <v>46844046</v>
      </c>
      <c r="I299" s="253"/>
      <c r="J299" s="253"/>
      <c r="K299" s="254"/>
      <c r="L299" t="str">
        <f t="shared" si="14"/>
        <v>9</v>
      </c>
      <c r="M299" s="638" t="str">
        <f t="shared" si="12"/>
        <v>9111</v>
      </c>
      <c r="N299" s="255">
        <f t="shared" si="13"/>
        <v>46844046</v>
      </c>
    </row>
    <row r="300" spans="1:14">
      <c r="A300" s="1460">
        <v>45535</v>
      </c>
      <c r="B300" s="1461" t="s">
        <v>1096</v>
      </c>
      <c r="C300" s="637"/>
      <c r="D300" s="637"/>
      <c r="E300" s="1462" t="s">
        <v>1088</v>
      </c>
      <c r="F300" s="638" t="s">
        <v>769</v>
      </c>
      <c r="G300" s="1461" t="s">
        <v>1039</v>
      </c>
      <c r="H300" s="1463">
        <v>173064600</v>
      </c>
      <c r="I300" s="253"/>
      <c r="J300" s="253"/>
      <c r="K300" s="254"/>
      <c r="L300" t="str">
        <f t="shared" si="14"/>
        <v>9</v>
      </c>
      <c r="M300" s="638" t="str">
        <f t="shared" si="12"/>
        <v>9111</v>
      </c>
      <c r="N300" s="255">
        <f t="shared" si="13"/>
        <v>173064600</v>
      </c>
    </row>
    <row r="301" spans="1:14">
      <c r="A301" s="1460">
        <v>45535</v>
      </c>
      <c r="B301" s="1461" t="s">
        <v>1096</v>
      </c>
      <c r="C301" s="637"/>
      <c r="D301" s="637"/>
      <c r="E301" s="1462" t="s">
        <v>1085</v>
      </c>
      <c r="F301" s="638" t="s">
        <v>769</v>
      </c>
      <c r="G301" s="1461" t="s">
        <v>1043</v>
      </c>
      <c r="H301" s="1463">
        <v>6804249</v>
      </c>
      <c r="I301" s="253"/>
      <c r="J301" s="253"/>
      <c r="K301" s="254"/>
      <c r="L301" t="str">
        <f t="shared" si="14"/>
        <v>9</v>
      </c>
      <c r="M301" s="638" t="str">
        <f t="shared" si="12"/>
        <v>9111</v>
      </c>
      <c r="N301" s="255">
        <f t="shared" si="13"/>
        <v>6804249</v>
      </c>
    </row>
    <row r="302" spans="1:14">
      <c r="A302" s="1460">
        <v>45535</v>
      </c>
      <c r="B302" s="1461" t="s">
        <v>1096</v>
      </c>
      <c r="C302" s="637"/>
      <c r="D302" s="637"/>
      <c r="E302" s="1462" t="s">
        <v>1084</v>
      </c>
      <c r="F302" s="638" t="s">
        <v>769</v>
      </c>
      <c r="G302" s="1461" t="s">
        <v>1041</v>
      </c>
      <c r="H302" s="1463">
        <v>54000000</v>
      </c>
      <c r="I302" s="253"/>
      <c r="J302" s="253"/>
      <c r="K302" s="254"/>
      <c r="L302" t="str">
        <f t="shared" si="14"/>
        <v>9</v>
      </c>
      <c r="M302" s="638" t="str">
        <f t="shared" si="12"/>
        <v>9111</v>
      </c>
      <c r="N302" s="255">
        <f t="shared" si="13"/>
        <v>54000000</v>
      </c>
    </row>
    <row r="303" spans="1:14">
      <c r="A303" s="1460">
        <v>45535</v>
      </c>
      <c r="B303" s="1461" t="s">
        <v>1096</v>
      </c>
      <c r="C303" s="637"/>
      <c r="D303" s="637"/>
      <c r="E303" s="1462" t="s">
        <v>1082</v>
      </c>
      <c r="F303" s="638" t="s">
        <v>769</v>
      </c>
      <c r="G303" s="1461" t="s">
        <v>1045</v>
      </c>
      <c r="H303" s="1463">
        <v>10226664</v>
      </c>
      <c r="I303" s="253"/>
      <c r="J303" s="253"/>
      <c r="K303" s="254"/>
      <c r="L303" t="str">
        <f t="shared" si="14"/>
        <v>9</v>
      </c>
      <c r="M303" s="638" t="str">
        <f t="shared" si="12"/>
        <v>9111</v>
      </c>
      <c r="N303" s="255">
        <f t="shared" si="13"/>
        <v>10226664</v>
      </c>
    </row>
    <row r="304" spans="1:14">
      <c r="A304" s="1460">
        <v>45535</v>
      </c>
      <c r="B304" s="1461" t="s">
        <v>1096</v>
      </c>
      <c r="C304" s="637"/>
      <c r="D304" s="637"/>
      <c r="E304" s="1462" t="s">
        <v>832</v>
      </c>
      <c r="F304" s="638" t="s">
        <v>769</v>
      </c>
      <c r="G304" s="1461" t="s">
        <v>833</v>
      </c>
      <c r="H304" s="1463">
        <v>8113393</v>
      </c>
      <c r="I304" s="253"/>
      <c r="J304" s="253"/>
      <c r="K304" s="254"/>
      <c r="L304" t="str">
        <f t="shared" si="14"/>
        <v>9</v>
      </c>
      <c r="M304" s="638" t="str">
        <f t="shared" si="12"/>
        <v>9111</v>
      </c>
      <c r="N304" s="255">
        <f t="shared" si="13"/>
        <v>8113393</v>
      </c>
    </row>
    <row r="305" spans="1:14">
      <c r="A305" s="1460">
        <v>45535</v>
      </c>
      <c r="B305" s="1461" t="s">
        <v>1096</v>
      </c>
      <c r="C305" s="637"/>
      <c r="D305" s="637"/>
      <c r="E305" s="1462" t="s">
        <v>1089</v>
      </c>
      <c r="F305" s="638" t="s">
        <v>769</v>
      </c>
      <c r="G305" s="1461" t="s">
        <v>1033</v>
      </c>
      <c r="H305" s="1463">
        <v>2000000</v>
      </c>
      <c r="I305" s="253"/>
      <c r="J305" s="253"/>
      <c r="K305" s="254"/>
      <c r="L305" t="str">
        <f t="shared" si="14"/>
        <v>9</v>
      </c>
      <c r="M305" s="638" t="str">
        <f t="shared" si="12"/>
        <v>9111</v>
      </c>
      <c r="N305" s="255">
        <f t="shared" si="13"/>
        <v>2000000</v>
      </c>
    </row>
    <row r="306" spans="1:14">
      <c r="A306" s="1460">
        <v>45535</v>
      </c>
      <c r="B306" s="1461" t="s">
        <v>1096</v>
      </c>
      <c r="C306" s="637"/>
      <c r="D306" s="637"/>
      <c r="E306" s="1462" t="s">
        <v>858</v>
      </c>
      <c r="F306" s="638" t="s">
        <v>769</v>
      </c>
      <c r="G306" s="1461" t="s">
        <v>859</v>
      </c>
      <c r="H306" s="1463">
        <v>37744473</v>
      </c>
      <c r="I306" s="253"/>
      <c r="J306" s="253"/>
      <c r="K306" s="254"/>
      <c r="L306" t="str">
        <f t="shared" si="14"/>
        <v>9</v>
      </c>
      <c r="M306" s="638" t="str">
        <f t="shared" si="12"/>
        <v>9111</v>
      </c>
      <c r="N306" s="255">
        <f t="shared" si="13"/>
        <v>37744473</v>
      </c>
    </row>
    <row r="307" spans="1:14">
      <c r="A307" s="1460">
        <v>45535</v>
      </c>
      <c r="B307" s="1461" t="s">
        <v>1096</v>
      </c>
      <c r="C307" s="637"/>
      <c r="D307" s="637"/>
      <c r="E307" s="1462" t="s">
        <v>863</v>
      </c>
      <c r="F307" s="638" t="s">
        <v>769</v>
      </c>
      <c r="G307" s="1461" t="s">
        <v>864</v>
      </c>
      <c r="H307" s="1463">
        <v>43886651</v>
      </c>
      <c r="I307" s="253"/>
      <c r="J307" s="253"/>
      <c r="K307" s="254"/>
      <c r="L307" t="str">
        <f t="shared" si="14"/>
        <v>9</v>
      </c>
      <c r="M307" s="638" t="str">
        <f t="shared" si="12"/>
        <v>9111</v>
      </c>
      <c r="N307" s="255">
        <f t="shared" si="13"/>
        <v>43886651</v>
      </c>
    </row>
    <row r="308" spans="1:14">
      <c r="A308" s="1460">
        <v>45535</v>
      </c>
      <c r="B308" s="1461" t="s">
        <v>1096</v>
      </c>
      <c r="C308" s="637"/>
      <c r="D308" s="637"/>
      <c r="E308" s="1462" t="s">
        <v>809</v>
      </c>
      <c r="F308" s="638" t="s">
        <v>769</v>
      </c>
      <c r="G308" s="1461" t="s">
        <v>810</v>
      </c>
      <c r="H308" s="1463">
        <v>83423858</v>
      </c>
      <c r="I308" s="253"/>
      <c r="J308" s="253"/>
      <c r="K308" s="254"/>
      <c r="L308" t="str">
        <f t="shared" si="14"/>
        <v>9</v>
      </c>
      <c r="M308" s="638" t="str">
        <f t="shared" si="12"/>
        <v>9111</v>
      </c>
      <c r="N308" s="255">
        <f t="shared" si="13"/>
        <v>83423858</v>
      </c>
    </row>
    <row r="309" spans="1:14">
      <c r="A309" s="1460">
        <v>45535</v>
      </c>
      <c r="B309" s="1461" t="s">
        <v>1096</v>
      </c>
      <c r="C309" s="637"/>
      <c r="D309" s="637"/>
      <c r="E309" s="1462" t="s">
        <v>813</v>
      </c>
      <c r="F309" s="638" t="s">
        <v>769</v>
      </c>
      <c r="G309" s="1461" t="s">
        <v>814</v>
      </c>
      <c r="H309" s="1463">
        <v>6604762</v>
      </c>
      <c r="I309" s="253"/>
      <c r="J309" s="253"/>
      <c r="K309" s="254"/>
      <c r="L309" t="str">
        <f t="shared" si="14"/>
        <v>9</v>
      </c>
      <c r="M309" s="638" t="str">
        <f t="shared" si="12"/>
        <v>9111</v>
      </c>
      <c r="N309" s="255">
        <f t="shared" si="13"/>
        <v>6604762</v>
      </c>
    </row>
    <row r="310" spans="1:14">
      <c r="A310" s="1460">
        <v>45535</v>
      </c>
      <c r="B310" s="1461" t="s">
        <v>1096</v>
      </c>
      <c r="C310" s="637"/>
      <c r="D310" s="637"/>
      <c r="E310" s="1462" t="s">
        <v>824</v>
      </c>
      <c r="F310" s="638" t="s">
        <v>769</v>
      </c>
      <c r="G310" s="1461" t="s">
        <v>825</v>
      </c>
      <c r="H310" s="1463">
        <v>11742875</v>
      </c>
      <c r="I310" s="253"/>
      <c r="J310" s="253"/>
      <c r="K310" s="254"/>
      <c r="L310" t="str">
        <f t="shared" si="14"/>
        <v>9</v>
      </c>
      <c r="M310" s="638" t="str">
        <f t="shared" si="12"/>
        <v>9111</v>
      </c>
      <c r="N310" s="255">
        <f t="shared" si="13"/>
        <v>11742875</v>
      </c>
    </row>
    <row r="311" spans="1:14">
      <c r="A311" s="1460">
        <v>45535</v>
      </c>
      <c r="B311" s="1461" t="s">
        <v>1096</v>
      </c>
      <c r="C311" s="637"/>
      <c r="D311" s="637"/>
      <c r="E311" s="1462" t="s">
        <v>827</v>
      </c>
      <c r="F311" s="638" t="s">
        <v>769</v>
      </c>
      <c r="G311" s="1461" t="s">
        <v>828</v>
      </c>
      <c r="H311" s="1463">
        <v>562100</v>
      </c>
      <c r="I311" s="253"/>
      <c r="J311" s="253"/>
      <c r="K311" s="254"/>
      <c r="L311" t="str">
        <f t="shared" si="14"/>
        <v>9</v>
      </c>
      <c r="M311" s="638" t="str">
        <f t="shared" si="12"/>
        <v>9111</v>
      </c>
      <c r="N311" s="255">
        <f t="shared" si="13"/>
        <v>562100</v>
      </c>
    </row>
    <row r="312" spans="1:14">
      <c r="A312" s="1460">
        <v>45535</v>
      </c>
      <c r="B312" s="1461" t="s">
        <v>1096</v>
      </c>
      <c r="C312" s="637"/>
      <c r="D312" s="637"/>
      <c r="E312" s="1462" t="s">
        <v>880</v>
      </c>
      <c r="F312" s="638" t="s">
        <v>769</v>
      </c>
      <c r="G312" s="1461" t="s">
        <v>383</v>
      </c>
      <c r="H312" s="1463">
        <v>96113737</v>
      </c>
      <c r="I312" s="253"/>
      <c r="J312" s="253"/>
      <c r="K312" s="254"/>
      <c r="L312" t="str">
        <f t="shared" si="14"/>
        <v>9</v>
      </c>
      <c r="M312" s="638" t="str">
        <f t="shared" si="12"/>
        <v>9111</v>
      </c>
      <c r="N312" s="255">
        <f t="shared" si="13"/>
        <v>96113737</v>
      </c>
    </row>
    <row r="313" spans="1:14">
      <c r="A313" s="1460">
        <v>45535</v>
      </c>
      <c r="B313" s="1461" t="s">
        <v>1096</v>
      </c>
      <c r="C313" s="637"/>
      <c r="D313" s="637"/>
      <c r="E313" s="1462" t="s">
        <v>883</v>
      </c>
      <c r="F313" s="638" t="s">
        <v>769</v>
      </c>
      <c r="G313" s="1461" t="s">
        <v>384</v>
      </c>
      <c r="H313" s="1463">
        <v>7000</v>
      </c>
      <c r="I313" s="253"/>
      <c r="J313" s="253"/>
      <c r="K313" s="254"/>
      <c r="L313" t="str">
        <f t="shared" si="14"/>
        <v>9</v>
      </c>
      <c r="M313" s="638" t="str">
        <f t="shared" si="12"/>
        <v>9111</v>
      </c>
      <c r="N313" s="255">
        <f t="shared" si="13"/>
        <v>7000</v>
      </c>
    </row>
    <row r="314" spans="1:14">
      <c r="A314" s="1460">
        <v>45535</v>
      </c>
      <c r="B314" s="1461" t="s">
        <v>1096</v>
      </c>
      <c r="C314" s="637"/>
      <c r="D314" s="637"/>
      <c r="E314" s="1462" t="s">
        <v>838</v>
      </c>
      <c r="F314" s="638" t="s">
        <v>769</v>
      </c>
      <c r="G314" s="1461" t="s">
        <v>839</v>
      </c>
      <c r="H314" s="1463">
        <v>379556053</v>
      </c>
      <c r="I314" s="253"/>
      <c r="J314" s="253"/>
      <c r="K314" s="254"/>
      <c r="L314" t="str">
        <f t="shared" si="14"/>
        <v>9</v>
      </c>
      <c r="M314" s="638" t="str">
        <f t="shared" si="12"/>
        <v>9111</v>
      </c>
      <c r="N314" s="255">
        <f t="shared" si="13"/>
        <v>379556053</v>
      </c>
    </row>
    <row r="315" spans="1:14">
      <c r="A315" s="1460">
        <v>45535</v>
      </c>
      <c r="B315" s="1461" t="s">
        <v>1096</v>
      </c>
      <c r="C315" s="637"/>
      <c r="D315" s="637"/>
      <c r="E315" s="1462" t="s">
        <v>842</v>
      </c>
      <c r="F315" s="638" t="s">
        <v>769</v>
      </c>
      <c r="G315" s="1461" t="s">
        <v>843</v>
      </c>
      <c r="H315" s="1463">
        <v>32457094</v>
      </c>
      <c r="I315" s="253"/>
      <c r="J315" s="253"/>
      <c r="K315" s="254"/>
      <c r="L315" t="str">
        <f t="shared" si="14"/>
        <v>9</v>
      </c>
      <c r="M315" s="638" t="str">
        <f t="shared" si="12"/>
        <v>9111</v>
      </c>
      <c r="N315" s="255">
        <f t="shared" si="13"/>
        <v>32457094</v>
      </c>
    </row>
    <row r="316" spans="1:14">
      <c r="A316" s="1460">
        <v>45535</v>
      </c>
      <c r="B316" s="1461" t="s">
        <v>1096</v>
      </c>
      <c r="C316" s="637"/>
      <c r="D316" s="637"/>
      <c r="E316" s="1462" t="s">
        <v>847</v>
      </c>
      <c r="F316" s="638" t="s">
        <v>769</v>
      </c>
      <c r="G316" s="1461" t="s">
        <v>848</v>
      </c>
      <c r="H316" s="1463">
        <v>4283332</v>
      </c>
      <c r="I316" s="253"/>
      <c r="J316" s="253"/>
      <c r="K316" s="254"/>
      <c r="L316" t="str">
        <f t="shared" si="14"/>
        <v>9</v>
      </c>
      <c r="M316" s="638" t="str">
        <f t="shared" si="12"/>
        <v>9111</v>
      </c>
      <c r="N316" s="255">
        <f t="shared" si="13"/>
        <v>4283332</v>
      </c>
    </row>
    <row r="317" spans="1:14">
      <c r="A317" s="1460">
        <v>45535</v>
      </c>
      <c r="B317" s="1461" t="s">
        <v>1096</v>
      </c>
      <c r="C317" s="637"/>
      <c r="D317" s="637"/>
      <c r="E317" s="1462" t="s">
        <v>853</v>
      </c>
      <c r="F317" s="638" t="s">
        <v>769</v>
      </c>
      <c r="G317" s="1461" t="s">
        <v>854</v>
      </c>
      <c r="H317" s="1463">
        <v>16746667</v>
      </c>
      <c r="I317" s="253"/>
      <c r="J317" s="253"/>
      <c r="K317" s="254"/>
      <c r="L317" t="str">
        <f t="shared" si="14"/>
        <v>9</v>
      </c>
      <c r="M317" s="638" t="str">
        <f t="shared" si="12"/>
        <v>9111</v>
      </c>
      <c r="N317" s="255">
        <f t="shared" si="13"/>
        <v>16746667</v>
      </c>
    </row>
    <row r="318" spans="1:14">
      <c r="A318" s="1460">
        <v>45535</v>
      </c>
      <c r="B318" s="1461" t="s">
        <v>1096</v>
      </c>
      <c r="C318" s="637"/>
      <c r="D318" s="637"/>
      <c r="E318" s="1462" t="s">
        <v>798</v>
      </c>
      <c r="F318" s="638" t="s">
        <v>769</v>
      </c>
      <c r="G318" s="1461" t="s">
        <v>799</v>
      </c>
      <c r="H318" s="1463">
        <v>3575018</v>
      </c>
      <c r="I318" s="253"/>
      <c r="J318" s="253"/>
      <c r="K318" s="254"/>
      <c r="L318" t="str">
        <f t="shared" si="14"/>
        <v>9</v>
      </c>
      <c r="M318" s="638" t="str">
        <f t="shared" si="12"/>
        <v>9111</v>
      </c>
      <c r="N318" s="255">
        <f t="shared" si="13"/>
        <v>3575018</v>
      </c>
    </row>
    <row r="319" spans="1:14">
      <c r="A319" s="1460">
        <v>45535</v>
      </c>
      <c r="B319" s="1461" t="s">
        <v>1096</v>
      </c>
      <c r="C319" s="637"/>
      <c r="D319" s="637"/>
      <c r="E319" s="1462" t="s">
        <v>1077</v>
      </c>
      <c r="F319" s="638" t="s">
        <v>769</v>
      </c>
      <c r="G319" s="1461" t="s">
        <v>309</v>
      </c>
      <c r="H319" s="1463">
        <v>277046576</v>
      </c>
      <c r="I319" s="253"/>
      <c r="J319" s="253"/>
      <c r="K319" s="254"/>
      <c r="L319" t="str">
        <f t="shared" si="14"/>
        <v>9</v>
      </c>
      <c r="M319" s="638" t="str">
        <f t="shared" si="12"/>
        <v>9111</v>
      </c>
      <c r="N319" s="255">
        <f t="shared" si="13"/>
        <v>277046576</v>
      </c>
    </row>
    <row r="320" spans="1:14">
      <c r="A320" s="1460">
        <v>45535</v>
      </c>
      <c r="B320" s="1461" t="s">
        <v>1096</v>
      </c>
      <c r="C320" s="637"/>
      <c r="D320" s="637"/>
      <c r="E320" s="1462" t="s">
        <v>867</v>
      </c>
      <c r="F320" s="638" t="s">
        <v>769</v>
      </c>
      <c r="G320" s="1461" t="s">
        <v>378</v>
      </c>
      <c r="H320" s="1463">
        <v>1494255247</v>
      </c>
      <c r="I320" s="253"/>
      <c r="J320" s="253"/>
      <c r="K320" s="254"/>
      <c r="L320" t="str">
        <f t="shared" si="14"/>
        <v>9</v>
      </c>
      <c r="M320" s="638" t="str">
        <f t="shared" si="12"/>
        <v>9111</v>
      </c>
      <c r="N320" s="255">
        <f t="shared" si="13"/>
        <v>1494255247</v>
      </c>
    </row>
    <row r="321" spans="1:14">
      <c r="A321" s="1460">
        <v>45535</v>
      </c>
      <c r="B321" s="1461" t="s">
        <v>1096</v>
      </c>
      <c r="C321" s="637"/>
      <c r="D321" s="637"/>
      <c r="E321" s="1462" t="s">
        <v>870</v>
      </c>
      <c r="F321" s="638" t="s">
        <v>769</v>
      </c>
      <c r="G321" s="1461" t="s">
        <v>379</v>
      </c>
      <c r="H321" s="1463">
        <v>91651000</v>
      </c>
      <c r="I321" s="253"/>
      <c r="J321" s="253"/>
      <c r="K321" s="254"/>
      <c r="L321" t="str">
        <f t="shared" si="14"/>
        <v>9</v>
      </c>
      <c r="M321" s="638" t="str">
        <f t="shared" ref="M321:M347" si="15">F321</f>
        <v>9111</v>
      </c>
      <c r="N321" s="255">
        <f t="shared" si="13"/>
        <v>91651000</v>
      </c>
    </row>
    <row r="322" spans="1:14">
      <c r="A322" s="1460">
        <v>45535</v>
      </c>
      <c r="B322" s="1461" t="s">
        <v>1096</v>
      </c>
      <c r="C322" s="637"/>
      <c r="D322" s="637"/>
      <c r="E322" s="1462" t="s">
        <v>874</v>
      </c>
      <c r="F322" s="638" t="s">
        <v>769</v>
      </c>
      <c r="G322" s="1461" t="s">
        <v>505</v>
      </c>
      <c r="H322" s="1463">
        <v>39250142</v>
      </c>
      <c r="I322" s="253"/>
      <c r="J322" s="253"/>
      <c r="K322" s="254"/>
      <c r="L322" t="str">
        <f t="shared" si="14"/>
        <v>9</v>
      </c>
      <c r="M322" s="638" t="str">
        <f t="shared" si="15"/>
        <v>9111</v>
      </c>
      <c r="N322" s="255">
        <f t="shared" si="13"/>
        <v>39250142</v>
      </c>
    </row>
    <row r="323" spans="1:14">
      <c r="A323" s="1460">
        <v>45535</v>
      </c>
      <c r="B323" s="1461" t="s">
        <v>1096</v>
      </c>
      <c r="C323" s="637"/>
      <c r="D323" s="637"/>
      <c r="E323" s="1462" t="s">
        <v>877</v>
      </c>
      <c r="F323" s="638" t="s">
        <v>769</v>
      </c>
      <c r="G323" s="1461" t="s">
        <v>381</v>
      </c>
      <c r="H323" s="1463">
        <v>63967256</v>
      </c>
      <c r="I323" s="253"/>
      <c r="J323" s="253"/>
      <c r="K323" s="254"/>
      <c r="L323" t="str">
        <f t="shared" si="14"/>
        <v>9</v>
      </c>
      <c r="M323" s="638" t="str">
        <f t="shared" si="15"/>
        <v>9111</v>
      </c>
      <c r="N323" s="255">
        <f t="shared" si="13"/>
        <v>63967256</v>
      </c>
    </row>
    <row r="324" spans="1:14">
      <c r="A324" s="1460">
        <v>45535</v>
      </c>
      <c r="B324" s="1461" t="s">
        <v>1096</v>
      </c>
      <c r="C324" s="637"/>
      <c r="D324" s="637"/>
      <c r="E324" s="1462" t="s">
        <v>903</v>
      </c>
      <c r="F324" s="638" t="s">
        <v>769</v>
      </c>
      <c r="G324" s="1461" t="s">
        <v>806</v>
      </c>
      <c r="H324" s="1463">
        <v>433681594</v>
      </c>
      <c r="I324" s="253"/>
      <c r="J324" s="253"/>
      <c r="K324" s="254"/>
      <c r="L324" t="str">
        <f t="shared" si="14"/>
        <v>9</v>
      </c>
      <c r="M324" s="638" t="str">
        <f t="shared" si="15"/>
        <v>9111</v>
      </c>
      <c r="N324" s="255">
        <f t="shared" si="13"/>
        <v>433681594</v>
      </c>
    </row>
    <row r="325" spans="1:14">
      <c r="A325" s="1460">
        <v>45535</v>
      </c>
      <c r="B325" s="1461" t="s">
        <v>1096</v>
      </c>
      <c r="C325" s="637"/>
      <c r="D325" s="637"/>
      <c r="E325" s="1462" t="s">
        <v>906</v>
      </c>
      <c r="F325" s="638" t="s">
        <v>769</v>
      </c>
      <c r="G325" s="1461" t="s">
        <v>811</v>
      </c>
      <c r="H325" s="1463">
        <v>113492635</v>
      </c>
      <c r="I325" s="253"/>
      <c r="J325" s="253"/>
      <c r="K325" s="254"/>
      <c r="L325" t="str">
        <f t="shared" si="14"/>
        <v>9</v>
      </c>
      <c r="M325" s="638" t="str">
        <f t="shared" si="15"/>
        <v>9111</v>
      </c>
      <c r="N325" s="255">
        <f t="shared" si="13"/>
        <v>113492635</v>
      </c>
    </row>
    <row r="326" spans="1:14">
      <c r="A326" s="1460">
        <v>45535</v>
      </c>
      <c r="B326" s="1461" t="s">
        <v>1096</v>
      </c>
      <c r="C326" s="637"/>
      <c r="D326" s="637"/>
      <c r="E326" s="1462" t="s">
        <v>909</v>
      </c>
      <c r="F326" s="638" t="s">
        <v>769</v>
      </c>
      <c r="G326" s="1461" t="s">
        <v>815</v>
      </c>
      <c r="H326" s="1463">
        <v>267174933</v>
      </c>
      <c r="I326" s="253"/>
      <c r="J326" s="253"/>
      <c r="K326" s="254"/>
      <c r="L326" t="str">
        <f t="shared" si="14"/>
        <v>9</v>
      </c>
      <c r="M326" s="638" t="str">
        <f t="shared" si="15"/>
        <v>9111</v>
      </c>
      <c r="N326" s="255">
        <f t="shared" si="13"/>
        <v>267174933</v>
      </c>
    </row>
    <row r="327" spans="1:14">
      <c r="A327" s="1460">
        <v>45535</v>
      </c>
      <c r="B327" s="1461" t="s">
        <v>1096</v>
      </c>
      <c r="C327" s="637"/>
      <c r="D327" s="637"/>
      <c r="E327" s="1462" t="s">
        <v>1078</v>
      </c>
      <c r="F327" s="638" t="s">
        <v>769</v>
      </c>
      <c r="G327" s="1461" t="s">
        <v>951</v>
      </c>
      <c r="H327" s="1463">
        <v>12488297</v>
      </c>
      <c r="I327" s="253"/>
      <c r="J327" s="253"/>
      <c r="K327" s="254"/>
      <c r="L327" t="str">
        <f t="shared" si="14"/>
        <v>9</v>
      </c>
      <c r="M327" s="638" t="str">
        <f t="shared" si="15"/>
        <v>9111</v>
      </c>
      <c r="N327" s="255">
        <f t="shared" si="13"/>
        <v>12488297</v>
      </c>
    </row>
    <row r="328" spans="1:14">
      <c r="A328" s="1460">
        <v>45535</v>
      </c>
      <c r="B328" s="1461" t="s">
        <v>1096</v>
      </c>
      <c r="C328" s="637"/>
      <c r="D328" s="637"/>
      <c r="E328" s="1462" t="s">
        <v>1073</v>
      </c>
      <c r="F328" s="638" t="s">
        <v>769</v>
      </c>
      <c r="G328" s="1461" t="s">
        <v>954</v>
      </c>
      <c r="H328" s="1463">
        <v>1410000</v>
      </c>
      <c r="I328" s="253"/>
      <c r="J328" s="253"/>
      <c r="K328" s="254"/>
      <c r="L328" t="str">
        <f t="shared" si="14"/>
        <v>9</v>
      </c>
      <c r="M328" s="638" t="str">
        <f t="shared" si="15"/>
        <v>9111</v>
      </c>
      <c r="N328" s="255">
        <f t="shared" ref="N328:N347" si="16">IF(LEFT(F328,1)="9",H328,-H328)</f>
        <v>1410000</v>
      </c>
    </row>
    <row r="329" spans="1:14">
      <c r="A329" s="1460">
        <v>45535</v>
      </c>
      <c r="B329" s="1461" t="s">
        <v>1096</v>
      </c>
      <c r="C329" s="637"/>
      <c r="D329" s="637"/>
      <c r="E329" s="1462" t="s">
        <v>912</v>
      </c>
      <c r="F329" s="638" t="s">
        <v>769</v>
      </c>
      <c r="G329" s="1461" t="s">
        <v>820</v>
      </c>
      <c r="H329" s="1463">
        <v>18270287</v>
      </c>
      <c r="I329" s="253"/>
      <c r="J329" s="253"/>
      <c r="K329" s="254"/>
      <c r="L329" t="str">
        <f t="shared" ref="L329:L347" si="17">LEFT(M329,1)</f>
        <v>9</v>
      </c>
      <c r="M329" s="638" t="str">
        <f t="shared" si="15"/>
        <v>9111</v>
      </c>
      <c r="N329" s="255">
        <f t="shared" si="16"/>
        <v>18270287</v>
      </c>
    </row>
    <row r="330" spans="1:14">
      <c r="A330" s="1460">
        <v>45535</v>
      </c>
      <c r="B330" s="1461" t="s">
        <v>1096</v>
      </c>
      <c r="C330" s="637"/>
      <c r="D330" s="637"/>
      <c r="E330" s="1462" t="s">
        <v>1097</v>
      </c>
      <c r="F330" s="638" t="s">
        <v>769</v>
      </c>
      <c r="G330" s="1461" t="s">
        <v>1061</v>
      </c>
      <c r="H330" s="1463">
        <v>446354110</v>
      </c>
      <c r="I330" s="253"/>
      <c r="J330" s="253"/>
      <c r="K330" s="254"/>
      <c r="L330" t="str">
        <f t="shared" si="17"/>
        <v>9</v>
      </c>
      <c r="M330" s="638" t="str">
        <f t="shared" si="15"/>
        <v>9111</v>
      </c>
      <c r="N330" s="255">
        <f t="shared" si="16"/>
        <v>446354110</v>
      </c>
    </row>
    <row r="331" spans="1:14">
      <c r="A331" s="1460">
        <v>45535</v>
      </c>
      <c r="B331" s="1461" t="s">
        <v>1096</v>
      </c>
      <c r="C331" s="637"/>
      <c r="D331" s="637"/>
      <c r="E331" s="1462" t="s">
        <v>768</v>
      </c>
      <c r="F331" s="638" t="s">
        <v>769</v>
      </c>
      <c r="G331" s="1461" t="s">
        <v>770</v>
      </c>
      <c r="H331" s="1463">
        <v>153234970</v>
      </c>
      <c r="I331" s="253"/>
      <c r="J331" s="253"/>
      <c r="K331" s="254"/>
      <c r="L331" t="str">
        <f t="shared" si="17"/>
        <v>9</v>
      </c>
      <c r="M331" s="638" t="str">
        <f t="shared" si="15"/>
        <v>9111</v>
      </c>
      <c r="N331" s="255">
        <f t="shared" si="16"/>
        <v>153234970</v>
      </c>
    </row>
    <row r="332" spans="1:14">
      <c r="A332" s="1460">
        <v>45535</v>
      </c>
      <c r="B332" s="1461" t="s">
        <v>1096</v>
      </c>
      <c r="C332" s="637"/>
      <c r="D332" s="637"/>
      <c r="E332" s="1462" t="s">
        <v>780</v>
      </c>
      <c r="F332" s="638" t="s">
        <v>769</v>
      </c>
      <c r="G332" s="1461" t="s">
        <v>781</v>
      </c>
      <c r="H332" s="1463">
        <v>42833334</v>
      </c>
      <c r="I332" s="253"/>
      <c r="J332" s="253"/>
      <c r="K332" s="254"/>
      <c r="L332" t="str">
        <f t="shared" si="17"/>
        <v>9</v>
      </c>
      <c r="M332" s="638" t="str">
        <f t="shared" si="15"/>
        <v>9111</v>
      </c>
      <c r="N332" s="255">
        <f t="shared" si="16"/>
        <v>42833334</v>
      </c>
    </row>
    <row r="333" spans="1:14">
      <c r="A333" s="1460">
        <v>45535</v>
      </c>
      <c r="B333" s="1461" t="s">
        <v>1096</v>
      </c>
      <c r="C333" s="637"/>
      <c r="D333" s="637"/>
      <c r="E333" s="1462" t="s">
        <v>786</v>
      </c>
      <c r="F333" s="638" t="s">
        <v>769</v>
      </c>
      <c r="G333" s="1461" t="s">
        <v>787</v>
      </c>
      <c r="H333" s="1463">
        <v>17948333</v>
      </c>
      <c r="I333" s="253"/>
      <c r="J333" s="253"/>
      <c r="K333" s="254"/>
      <c r="L333" t="str">
        <f t="shared" si="17"/>
        <v>9</v>
      </c>
      <c r="M333" s="638" t="str">
        <f t="shared" si="15"/>
        <v>9111</v>
      </c>
      <c r="N333" s="255">
        <f t="shared" si="16"/>
        <v>17948333</v>
      </c>
    </row>
    <row r="334" spans="1:14">
      <c r="A334" s="1460">
        <v>45535</v>
      </c>
      <c r="B334" s="1461" t="s">
        <v>1096</v>
      </c>
      <c r="C334" s="637"/>
      <c r="D334" s="637"/>
      <c r="E334" s="1462" t="s">
        <v>790</v>
      </c>
      <c r="F334" s="638" t="s">
        <v>769</v>
      </c>
      <c r="G334" s="1461" t="s">
        <v>791</v>
      </c>
      <c r="H334" s="1463">
        <v>1032987858</v>
      </c>
      <c r="I334" s="253"/>
      <c r="J334" s="253"/>
      <c r="K334" s="254"/>
      <c r="L334" t="str">
        <f t="shared" si="17"/>
        <v>9</v>
      </c>
      <c r="M334" s="638" t="str">
        <f t="shared" si="15"/>
        <v>9111</v>
      </c>
      <c r="N334" s="255">
        <f t="shared" si="16"/>
        <v>1032987858</v>
      </c>
    </row>
    <row r="335" spans="1:14">
      <c r="A335" s="1460">
        <v>45535</v>
      </c>
      <c r="B335" s="1461" t="s">
        <v>1096</v>
      </c>
      <c r="C335" s="637"/>
      <c r="D335" s="637"/>
      <c r="E335" s="1462" t="s">
        <v>794</v>
      </c>
      <c r="F335" s="638" t="s">
        <v>769</v>
      </c>
      <c r="G335" s="1461" t="s">
        <v>795</v>
      </c>
      <c r="H335" s="1463">
        <v>65204000</v>
      </c>
      <c r="I335" s="253"/>
      <c r="J335" s="253"/>
      <c r="K335" s="254"/>
      <c r="L335" t="str">
        <f t="shared" si="17"/>
        <v>9</v>
      </c>
      <c r="M335" s="638" t="str">
        <f t="shared" si="15"/>
        <v>9111</v>
      </c>
      <c r="N335" s="255">
        <f t="shared" si="16"/>
        <v>65204000</v>
      </c>
    </row>
    <row r="336" spans="1:14">
      <c r="A336" s="1460">
        <v>45565</v>
      </c>
      <c r="B336" s="1461" t="s">
        <v>1098</v>
      </c>
      <c r="C336" s="252"/>
      <c r="D336" s="252"/>
      <c r="E336" s="1462" t="s">
        <v>1089</v>
      </c>
      <c r="F336" s="638" t="s">
        <v>769</v>
      </c>
      <c r="G336" s="1461" t="s">
        <v>1033</v>
      </c>
      <c r="H336" s="1463">
        <v>5000000</v>
      </c>
      <c r="I336" s="253"/>
      <c r="J336" s="253"/>
      <c r="K336" s="254"/>
      <c r="L336" t="str">
        <f t="shared" si="17"/>
        <v>9</v>
      </c>
      <c r="M336" s="638" t="str">
        <f t="shared" si="15"/>
        <v>9111</v>
      </c>
      <c r="N336" s="255">
        <f t="shared" si="16"/>
        <v>5000000</v>
      </c>
    </row>
    <row r="337" spans="1:14">
      <c r="A337" s="1460">
        <v>45565</v>
      </c>
      <c r="B337" s="1461" t="s">
        <v>1098</v>
      </c>
      <c r="C337" s="252"/>
      <c r="D337" s="252"/>
      <c r="E337" s="1462" t="s">
        <v>1083</v>
      </c>
      <c r="F337" s="638" t="s">
        <v>769</v>
      </c>
      <c r="G337" s="1461" t="s">
        <v>1047</v>
      </c>
      <c r="H337" s="1463">
        <v>84044436</v>
      </c>
      <c r="I337" s="253"/>
      <c r="J337" s="253"/>
      <c r="K337" s="254"/>
      <c r="L337" t="str">
        <f t="shared" si="17"/>
        <v>9</v>
      </c>
      <c r="M337" s="638" t="str">
        <f t="shared" si="15"/>
        <v>9111</v>
      </c>
      <c r="N337" s="255">
        <f t="shared" si="16"/>
        <v>84044436</v>
      </c>
    </row>
    <row r="338" spans="1:14">
      <c r="A338" s="1460">
        <v>45565</v>
      </c>
      <c r="B338" s="1461" t="s">
        <v>1098</v>
      </c>
      <c r="C338" s="252"/>
      <c r="D338" s="252"/>
      <c r="E338" s="1462" t="s">
        <v>1086</v>
      </c>
      <c r="F338" s="638" t="s">
        <v>769</v>
      </c>
      <c r="G338" s="1461" t="s">
        <v>1035</v>
      </c>
      <c r="H338" s="1463">
        <v>6300000</v>
      </c>
      <c r="I338" s="253"/>
      <c r="J338" s="253"/>
      <c r="K338" s="254"/>
      <c r="L338" t="str">
        <f t="shared" si="17"/>
        <v>9</v>
      </c>
      <c r="M338" s="638" t="str">
        <f t="shared" si="15"/>
        <v>9111</v>
      </c>
      <c r="N338" s="255">
        <f t="shared" si="16"/>
        <v>6300000</v>
      </c>
    </row>
    <row r="339" spans="1:14">
      <c r="A339" s="1460">
        <v>45565</v>
      </c>
      <c r="B339" s="1461" t="s">
        <v>1098</v>
      </c>
      <c r="C339" s="252"/>
      <c r="D339" s="252"/>
      <c r="E339" s="1462" t="s">
        <v>1090</v>
      </c>
      <c r="F339" s="638" t="s">
        <v>769</v>
      </c>
      <c r="G339" s="1461" t="s">
        <v>967</v>
      </c>
      <c r="H339" s="1463">
        <v>2037510</v>
      </c>
      <c r="I339" s="253"/>
      <c r="J339" s="253"/>
      <c r="K339" s="254"/>
      <c r="L339" t="str">
        <f t="shared" si="17"/>
        <v>9</v>
      </c>
      <c r="M339" s="638" t="str">
        <f t="shared" si="15"/>
        <v>9111</v>
      </c>
      <c r="N339" s="255">
        <f t="shared" si="16"/>
        <v>2037510</v>
      </c>
    </row>
    <row r="340" spans="1:14">
      <c r="A340" s="1460">
        <v>45565</v>
      </c>
      <c r="B340" s="1461" t="s">
        <v>1098</v>
      </c>
      <c r="C340" s="252"/>
      <c r="D340" s="252"/>
      <c r="E340" s="1462" t="s">
        <v>805</v>
      </c>
      <c r="F340" s="638" t="s">
        <v>769</v>
      </c>
      <c r="G340" s="1461" t="s">
        <v>782</v>
      </c>
      <c r="H340" s="1463">
        <v>59210959</v>
      </c>
      <c r="I340" s="253"/>
      <c r="J340" s="253"/>
      <c r="K340" s="254"/>
      <c r="L340" t="str">
        <f t="shared" si="17"/>
        <v>9</v>
      </c>
      <c r="M340" s="638" t="str">
        <f t="shared" si="15"/>
        <v>9111</v>
      </c>
      <c r="N340" s="255">
        <f t="shared" si="16"/>
        <v>59210959</v>
      </c>
    </row>
    <row r="341" spans="1:14">
      <c r="A341" s="1460">
        <v>45565</v>
      </c>
      <c r="B341" s="1461" t="s">
        <v>1098</v>
      </c>
      <c r="C341" s="252"/>
      <c r="D341" s="252"/>
      <c r="E341" s="1462" t="s">
        <v>1072</v>
      </c>
      <c r="F341" s="638" t="s">
        <v>769</v>
      </c>
      <c r="G341" s="1461" t="s">
        <v>947</v>
      </c>
      <c r="H341" s="1463">
        <v>5883650</v>
      </c>
      <c r="I341" s="253"/>
      <c r="J341" s="253"/>
      <c r="K341" s="254"/>
      <c r="L341" t="str">
        <f t="shared" si="17"/>
        <v>9</v>
      </c>
      <c r="M341" s="638" t="str">
        <f t="shared" si="15"/>
        <v>9111</v>
      </c>
      <c r="N341" s="255">
        <f t="shared" si="16"/>
        <v>5883650</v>
      </c>
    </row>
    <row r="342" spans="1:14">
      <c r="A342" s="1460">
        <v>45565</v>
      </c>
      <c r="B342" s="1461" t="s">
        <v>1098</v>
      </c>
      <c r="C342" s="252"/>
      <c r="D342" s="252"/>
      <c r="E342" s="1462" t="s">
        <v>768</v>
      </c>
      <c r="F342" s="638" t="s">
        <v>769</v>
      </c>
      <c r="G342" s="1461" t="s">
        <v>770</v>
      </c>
      <c r="H342" s="1463">
        <v>121172528</v>
      </c>
      <c r="I342" s="253"/>
      <c r="J342" s="253"/>
      <c r="K342" s="254"/>
      <c r="L342" t="str">
        <f t="shared" si="17"/>
        <v>9</v>
      </c>
      <c r="M342" s="638" t="str">
        <f t="shared" si="15"/>
        <v>9111</v>
      </c>
      <c r="N342" s="255">
        <f t="shared" si="16"/>
        <v>121172528</v>
      </c>
    </row>
    <row r="343" spans="1:14">
      <c r="A343" s="1460">
        <v>45565</v>
      </c>
      <c r="B343" s="1461" t="s">
        <v>1098</v>
      </c>
      <c r="C343" s="252"/>
      <c r="D343" s="252"/>
      <c r="E343" s="1462" t="s">
        <v>780</v>
      </c>
      <c r="F343" s="638" t="s">
        <v>769</v>
      </c>
      <c r="G343" s="1461" t="s">
        <v>781</v>
      </c>
      <c r="H343" s="1463">
        <v>42833334</v>
      </c>
      <c r="I343" s="253"/>
      <c r="J343" s="253"/>
      <c r="K343" s="254"/>
      <c r="L343" t="str">
        <f t="shared" si="17"/>
        <v>9</v>
      </c>
      <c r="M343" s="638" t="str">
        <f t="shared" si="15"/>
        <v>9111</v>
      </c>
      <c r="N343" s="255">
        <f t="shared" si="16"/>
        <v>42833334</v>
      </c>
    </row>
    <row r="344" spans="1:14">
      <c r="A344" s="1460">
        <v>45565</v>
      </c>
      <c r="B344" s="1461" t="s">
        <v>1098</v>
      </c>
      <c r="C344" s="252"/>
      <c r="D344" s="252"/>
      <c r="E344" s="1462" t="s">
        <v>786</v>
      </c>
      <c r="F344" s="638" t="s">
        <v>769</v>
      </c>
      <c r="G344" s="1461" t="s">
        <v>787</v>
      </c>
      <c r="H344" s="1463">
        <v>17948333</v>
      </c>
      <c r="I344" s="253"/>
      <c r="J344" s="253"/>
      <c r="K344" s="254"/>
      <c r="L344" t="str">
        <f t="shared" si="17"/>
        <v>9</v>
      </c>
      <c r="M344" s="638" t="str">
        <f t="shared" si="15"/>
        <v>9111</v>
      </c>
      <c r="N344" s="255">
        <f t="shared" si="16"/>
        <v>17948333</v>
      </c>
    </row>
    <row r="345" spans="1:14">
      <c r="A345" s="1460">
        <v>45565</v>
      </c>
      <c r="B345" s="1461" t="s">
        <v>1098</v>
      </c>
      <c r="C345" s="252"/>
      <c r="D345" s="252"/>
      <c r="E345" s="1462" t="s">
        <v>824</v>
      </c>
      <c r="F345" s="638" t="s">
        <v>769</v>
      </c>
      <c r="G345" s="1461" t="s">
        <v>825</v>
      </c>
      <c r="H345" s="1463">
        <v>6978364</v>
      </c>
      <c r="I345" s="253"/>
      <c r="J345" s="253"/>
      <c r="K345" s="254"/>
      <c r="L345" t="str">
        <f t="shared" si="17"/>
        <v>9</v>
      </c>
      <c r="M345" s="638" t="str">
        <f t="shared" si="15"/>
        <v>9111</v>
      </c>
      <c r="N345" s="255">
        <f t="shared" si="16"/>
        <v>6978364</v>
      </c>
    </row>
    <row r="346" spans="1:14">
      <c r="A346" s="1460">
        <v>45565</v>
      </c>
      <c r="B346" s="1461" t="s">
        <v>1098</v>
      </c>
      <c r="C346" s="252"/>
      <c r="D346" s="252"/>
      <c r="E346" s="1462" t="s">
        <v>827</v>
      </c>
      <c r="F346" s="638" t="s">
        <v>769</v>
      </c>
      <c r="G346" s="1461" t="s">
        <v>828</v>
      </c>
      <c r="H346" s="1463">
        <v>387200</v>
      </c>
      <c r="I346" s="253"/>
      <c r="J346" s="253"/>
      <c r="K346" s="254"/>
      <c r="L346" t="str">
        <f t="shared" si="17"/>
        <v>9</v>
      </c>
      <c r="M346" s="638" t="str">
        <f t="shared" si="15"/>
        <v>9111</v>
      </c>
      <c r="N346" s="255">
        <f t="shared" si="16"/>
        <v>387200</v>
      </c>
    </row>
    <row r="347" spans="1:14">
      <c r="A347" s="1460">
        <v>45565</v>
      </c>
      <c r="B347" s="1461" t="s">
        <v>1098</v>
      </c>
      <c r="C347" s="252"/>
      <c r="D347" s="252"/>
      <c r="E347" s="1462" t="s">
        <v>1085</v>
      </c>
      <c r="F347" s="638" t="s">
        <v>769</v>
      </c>
      <c r="G347" s="1461" t="s">
        <v>1043</v>
      </c>
      <c r="H347" s="1463">
        <v>14305669</v>
      </c>
      <c r="I347" s="253"/>
      <c r="J347" s="253"/>
      <c r="K347" s="254"/>
      <c r="L347" t="str">
        <f t="shared" si="17"/>
        <v>9</v>
      </c>
      <c r="M347" s="638" t="str">
        <f t="shared" si="15"/>
        <v>9111</v>
      </c>
      <c r="N347" s="255">
        <f t="shared" si="16"/>
        <v>14305669</v>
      </c>
    </row>
    <row r="348" spans="1:14">
      <c r="A348" s="1460">
        <v>45565</v>
      </c>
      <c r="B348" s="1461" t="s">
        <v>1098</v>
      </c>
      <c r="C348" s="252"/>
      <c r="D348" s="252"/>
      <c r="E348" s="1462" t="s">
        <v>1084</v>
      </c>
      <c r="F348" s="638" t="s">
        <v>769</v>
      </c>
      <c r="G348" s="1461" t="s">
        <v>1041</v>
      </c>
      <c r="H348" s="1463">
        <v>30244909</v>
      </c>
      <c r="I348" s="253"/>
      <c r="J348" s="253"/>
      <c r="K348" s="254"/>
      <c r="L348" t="str">
        <f t="shared" ref="L348:L411" si="18">LEFT(M348,1)</f>
        <v>6</v>
      </c>
      <c r="M348" s="638" t="str">
        <f t="shared" ref="M348:M391" si="19">G348</f>
        <v>642715</v>
      </c>
      <c r="N348" s="255">
        <f t="shared" ref="N348:N411" si="20">IF(LEFT(F348,1)="9",H348,-H348)</f>
        <v>30244909</v>
      </c>
    </row>
    <row r="349" spans="1:14">
      <c r="A349" s="1460">
        <v>45565</v>
      </c>
      <c r="B349" s="1461" t="s">
        <v>1098</v>
      </c>
      <c r="C349" s="252"/>
      <c r="D349" s="252"/>
      <c r="E349" s="1462" t="s">
        <v>1082</v>
      </c>
      <c r="F349" s="638" t="s">
        <v>769</v>
      </c>
      <c r="G349" s="1461" t="s">
        <v>1045</v>
      </c>
      <c r="H349" s="1463">
        <v>8711108</v>
      </c>
      <c r="I349" s="253"/>
      <c r="J349" s="253"/>
      <c r="K349" s="254"/>
      <c r="L349" t="str">
        <f t="shared" si="18"/>
        <v>6</v>
      </c>
      <c r="M349" s="638" t="str">
        <f t="shared" si="19"/>
        <v>642718</v>
      </c>
      <c r="N349" s="255">
        <f t="shared" si="20"/>
        <v>8711108</v>
      </c>
    </row>
    <row r="350" spans="1:14">
      <c r="A350" s="1460">
        <v>45565</v>
      </c>
      <c r="B350" s="1461" t="s">
        <v>1098</v>
      </c>
      <c r="C350" s="252"/>
      <c r="D350" s="252"/>
      <c r="E350" s="1462" t="s">
        <v>832</v>
      </c>
      <c r="F350" s="638" t="s">
        <v>769</v>
      </c>
      <c r="G350" s="1461" t="s">
        <v>833</v>
      </c>
      <c r="H350" s="1463">
        <v>12246280</v>
      </c>
      <c r="I350" s="253"/>
      <c r="J350" s="253"/>
      <c r="K350" s="254"/>
      <c r="L350" t="str">
        <f t="shared" si="18"/>
        <v>6</v>
      </c>
      <c r="M350" s="638" t="str">
        <f t="shared" si="19"/>
        <v>642799</v>
      </c>
      <c r="N350" s="255">
        <f t="shared" si="20"/>
        <v>12246280</v>
      </c>
    </row>
    <row r="351" spans="1:14">
      <c r="A351" s="1460">
        <v>45565</v>
      </c>
      <c r="B351" s="1461" t="s">
        <v>1098</v>
      </c>
      <c r="C351" s="252"/>
      <c r="D351" s="252"/>
      <c r="E351" s="1462" t="s">
        <v>853</v>
      </c>
      <c r="F351" s="638" t="s">
        <v>769</v>
      </c>
      <c r="G351" s="1461" t="s">
        <v>854</v>
      </c>
      <c r="H351" s="1463">
        <v>21546667</v>
      </c>
      <c r="I351" s="253"/>
      <c r="J351" s="253"/>
      <c r="K351" s="254"/>
      <c r="L351" t="str">
        <f t="shared" si="18"/>
        <v>6</v>
      </c>
      <c r="M351" s="638" t="str">
        <f t="shared" si="19"/>
        <v>642704</v>
      </c>
      <c r="N351" s="255">
        <f t="shared" si="20"/>
        <v>21546667</v>
      </c>
    </row>
    <row r="352" spans="1:14">
      <c r="A352" s="1460">
        <v>45565</v>
      </c>
      <c r="B352" s="1461" t="s">
        <v>1098</v>
      </c>
      <c r="C352" s="252"/>
      <c r="D352" s="252"/>
      <c r="E352" s="1462" t="s">
        <v>858</v>
      </c>
      <c r="F352" s="638" t="s">
        <v>769</v>
      </c>
      <c r="G352" s="1461" t="s">
        <v>859</v>
      </c>
      <c r="H352" s="1463">
        <v>19922900</v>
      </c>
      <c r="I352" s="253"/>
      <c r="J352" s="253"/>
      <c r="K352" s="254"/>
      <c r="L352" t="str">
        <f t="shared" si="18"/>
        <v>6</v>
      </c>
      <c r="M352" s="638" t="str">
        <f t="shared" si="19"/>
        <v>642706</v>
      </c>
      <c r="N352" s="255">
        <f t="shared" si="20"/>
        <v>19922900</v>
      </c>
    </row>
    <row r="353" spans="1:14">
      <c r="A353" s="1460">
        <v>45565</v>
      </c>
      <c r="B353" s="1461" t="s">
        <v>1098</v>
      </c>
      <c r="C353" s="252"/>
      <c r="D353" s="252"/>
      <c r="E353" s="1462" t="s">
        <v>863</v>
      </c>
      <c r="F353" s="638" t="s">
        <v>769</v>
      </c>
      <c r="G353" s="1461" t="s">
        <v>864</v>
      </c>
      <c r="H353" s="1463">
        <v>109107571</v>
      </c>
      <c r="I353" s="253"/>
      <c r="J353" s="253"/>
      <c r="K353" s="254"/>
      <c r="L353" t="str">
        <f t="shared" si="18"/>
        <v>6</v>
      </c>
      <c r="M353" s="638" t="str">
        <f t="shared" si="19"/>
        <v>642707</v>
      </c>
      <c r="N353" s="255">
        <f t="shared" si="20"/>
        <v>109107571</v>
      </c>
    </row>
    <row r="354" spans="1:14">
      <c r="A354" s="1460">
        <v>45565</v>
      </c>
      <c r="B354" s="1461" t="s">
        <v>1098</v>
      </c>
      <c r="C354" s="252"/>
      <c r="D354" s="252"/>
      <c r="E354" s="1462" t="s">
        <v>809</v>
      </c>
      <c r="F354" s="638" t="s">
        <v>769</v>
      </c>
      <c r="G354" s="1461" t="s">
        <v>810</v>
      </c>
      <c r="H354" s="1463">
        <v>47744923</v>
      </c>
      <c r="I354" s="253"/>
      <c r="J354" s="253"/>
      <c r="K354" s="254"/>
      <c r="L354" t="str">
        <f t="shared" si="18"/>
        <v>6</v>
      </c>
      <c r="M354" s="638" t="str">
        <f t="shared" si="19"/>
        <v>642708</v>
      </c>
      <c r="N354" s="255">
        <f t="shared" si="20"/>
        <v>47744923</v>
      </c>
    </row>
    <row r="355" spans="1:14">
      <c r="A355" s="1460">
        <v>45565</v>
      </c>
      <c r="B355" s="1461" t="s">
        <v>1098</v>
      </c>
      <c r="C355" s="252"/>
      <c r="D355" s="252"/>
      <c r="E355" s="1462" t="s">
        <v>813</v>
      </c>
      <c r="F355" s="638" t="s">
        <v>769</v>
      </c>
      <c r="G355" s="1461" t="s">
        <v>814</v>
      </c>
      <c r="H355" s="1463">
        <v>1775655</v>
      </c>
      <c r="I355" s="253"/>
      <c r="J355" s="253"/>
      <c r="K355" s="254"/>
      <c r="L355" t="str">
        <f t="shared" si="18"/>
        <v>6</v>
      </c>
      <c r="M355" s="638" t="str">
        <f t="shared" si="19"/>
        <v>642709</v>
      </c>
      <c r="N355" s="255">
        <f t="shared" si="20"/>
        <v>1775655</v>
      </c>
    </row>
    <row r="356" spans="1:14">
      <c r="A356" s="1460">
        <v>45565</v>
      </c>
      <c r="B356" s="1461" t="s">
        <v>1098</v>
      </c>
      <c r="C356" s="252"/>
      <c r="D356" s="252"/>
      <c r="E356" s="1462" t="s">
        <v>818</v>
      </c>
      <c r="F356" s="638" t="s">
        <v>769</v>
      </c>
      <c r="G356" s="1461" t="s">
        <v>819</v>
      </c>
      <c r="H356" s="1463">
        <v>196363</v>
      </c>
      <c r="I356" s="253"/>
      <c r="J356" s="253"/>
      <c r="K356" s="254"/>
      <c r="L356" t="str">
        <f t="shared" si="18"/>
        <v>6</v>
      </c>
      <c r="M356" s="638" t="str">
        <f t="shared" si="19"/>
        <v>642710</v>
      </c>
      <c r="N356" s="255">
        <f t="shared" si="20"/>
        <v>196363</v>
      </c>
    </row>
    <row r="357" spans="1:14">
      <c r="A357" s="1460">
        <v>45565</v>
      </c>
      <c r="B357" s="1461" t="s">
        <v>1098</v>
      </c>
      <c r="C357" s="252"/>
      <c r="D357" s="252"/>
      <c r="E357" s="1462" t="s">
        <v>874</v>
      </c>
      <c r="F357" s="638" t="s">
        <v>769</v>
      </c>
      <c r="G357" s="1461" t="s">
        <v>505</v>
      </c>
      <c r="H357" s="1463">
        <v>8492676</v>
      </c>
      <c r="I357" s="253"/>
      <c r="J357" s="253"/>
      <c r="K357" s="254"/>
      <c r="L357" t="str">
        <f t="shared" si="18"/>
        <v>6</v>
      </c>
      <c r="M357" s="638" t="str">
        <f t="shared" si="19"/>
        <v>6422</v>
      </c>
      <c r="N357" s="255">
        <f t="shared" si="20"/>
        <v>8492676</v>
      </c>
    </row>
    <row r="358" spans="1:14">
      <c r="A358" s="1460">
        <v>45565</v>
      </c>
      <c r="B358" s="1461" t="s">
        <v>1098</v>
      </c>
      <c r="C358" s="252"/>
      <c r="D358" s="252"/>
      <c r="E358" s="1462" t="s">
        <v>877</v>
      </c>
      <c r="F358" s="638" t="s">
        <v>769</v>
      </c>
      <c r="G358" s="1461" t="s">
        <v>381</v>
      </c>
      <c r="H358" s="1463">
        <v>50072334</v>
      </c>
      <c r="I358" s="253"/>
      <c r="J358" s="253"/>
      <c r="K358" s="254"/>
      <c r="L358" t="str">
        <f t="shared" si="18"/>
        <v>6</v>
      </c>
      <c r="M358" s="638" t="str">
        <f t="shared" si="19"/>
        <v>6423</v>
      </c>
      <c r="N358" s="255">
        <f t="shared" si="20"/>
        <v>50072334</v>
      </c>
    </row>
    <row r="359" spans="1:14">
      <c r="A359" s="1460">
        <v>45565</v>
      </c>
      <c r="B359" s="1461" t="s">
        <v>1098</v>
      </c>
      <c r="C359" s="252"/>
      <c r="D359" s="252"/>
      <c r="E359" s="1462" t="s">
        <v>880</v>
      </c>
      <c r="F359" s="638" t="s">
        <v>769</v>
      </c>
      <c r="G359" s="1461" t="s">
        <v>383</v>
      </c>
      <c r="H359" s="1463">
        <v>95613745</v>
      </c>
      <c r="I359" s="253"/>
      <c r="J359" s="253"/>
      <c r="K359" s="254"/>
      <c r="L359" t="str">
        <f t="shared" si="18"/>
        <v>6</v>
      </c>
      <c r="M359" s="638" t="str">
        <f t="shared" si="19"/>
        <v>6424</v>
      </c>
      <c r="N359" s="255">
        <f t="shared" si="20"/>
        <v>95613745</v>
      </c>
    </row>
    <row r="360" spans="1:14">
      <c r="A360" s="1460">
        <v>45565</v>
      </c>
      <c r="B360" s="1461" t="s">
        <v>1098</v>
      </c>
      <c r="C360" s="252"/>
      <c r="D360" s="252"/>
      <c r="E360" s="1462" t="s">
        <v>838</v>
      </c>
      <c r="F360" s="638" t="s">
        <v>769</v>
      </c>
      <c r="G360" s="1461" t="s">
        <v>839</v>
      </c>
      <c r="H360" s="1463">
        <v>375354214</v>
      </c>
      <c r="I360" s="253"/>
      <c r="J360" s="253"/>
      <c r="K360" s="254"/>
      <c r="L360" t="str">
        <f t="shared" si="18"/>
        <v>6</v>
      </c>
      <c r="M360" s="638" t="str">
        <f t="shared" si="19"/>
        <v>642701</v>
      </c>
      <c r="N360" s="255">
        <f t="shared" si="20"/>
        <v>375354214</v>
      </c>
    </row>
    <row r="361" spans="1:14">
      <c r="A361" s="1460">
        <v>45565</v>
      </c>
      <c r="B361" s="1461" t="s">
        <v>1098</v>
      </c>
      <c r="C361" s="252"/>
      <c r="D361" s="252"/>
      <c r="E361" s="1462" t="s">
        <v>842</v>
      </c>
      <c r="F361" s="638" t="s">
        <v>769</v>
      </c>
      <c r="G361" s="1461" t="s">
        <v>843</v>
      </c>
      <c r="H361" s="1463">
        <v>21771249</v>
      </c>
      <c r="I361" s="253"/>
      <c r="J361" s="253"/>
      <c r="K361" s="254"/>
      <c r="L361" t="str">
        <f t="shared" si="18"/>
        <v>6</v>
      </c>
      <c r="M361" s="638" t="str">
        <f t="shared" si="19"/>
        <v>642702</v>
      </c>
      <c r="N361" s="255">
        <f t="shared" si="20"/>
        <v>21771249</v>
      </c>
    </row>
    <row r="362" spans="1:14">
      <c r="A362" s="1460">
        <v>45565</v>
      </c>
      <c r="B362" s="1461" t="s">
        <v>1098</v>
      </c>
      <c r="C362" s="252"/>
      <c r="D362" s="252"/>
      <c r="E362" s="1462" t="s">
        <v>847</v>
      </c>
      <c r="F362" s="638" t="s">
        <v>769</v>
      </c>
      <c r="G362" s="1461" t="s">
        <v>848</v>
      </c>
      <c r="H362" s="1463">
        <v>7163992</v>
      </c>
      <c r="I362" s="253"/>
      <c r="J362" s="253"/>
      <c r="K362" s="254"/>
      <c r="L362" t="str">
        <f t="shared" si="18"/>
        <v>6</v>
      </c>
      <c r="M362" s="638" t="str">
        <f t="shared" si="19"/>
        <v>642703</v>
      </c>
      <c r="N362" s="255">
        <f t="shared" si="20"/>
        <v>7163992</v>
      </c>
    </row>
    <row r="363" spans="1:14">
      <c r="A363" s="1460">
        <v>45565</v>
      </c>
      <c r="B363" s="1461" t="s">
        <v>1098</v>
      </c>
      <c r="C363" s="252"/>
      <c r="D363" s="252"/>
      <c r="E363" s="1462" t="s">
        <v>1073</v>
      </c>
      <c r="F363" s="638" t="s">
        <v>769</v>
      </c>
      <c r="G363" s="1461" t="s">
        <v>954</v>
      </c>
      <c r="H363" s="1463">
        <v>1410000</v>
      </c>
      <c r="I363" s="253"/>
      <c r="J363" s="253"/>
      <c r="K363" s="254"/>
      <c r="L363" t="str">
        <f t="shared" si="18"/>
        <v>6</v>
      </c>
      <c r="M363" s="638" t="str">
        <f t="shared" si="19"/>
        <v>6333312</v>
      </c>
      <c r="N363" s="255">
        <f t="shared" si="20"/>
        <v>1410000</v>
      </c>
    </row>
    <row r="364" spans="1:14">
      <c r="A364" s="1460">
        <v>45565</v>
      </c>
      <c r="B364" s="1461" t="s">
        <v>1098</v>
      </c>
      <c r="C364" s="252"/>
      <c r="D364" s="252"/>
      <c r="E364" s="1462" t="s">
        <v>912</v>
      </c>
      <c r="F364" s="638" t="s">
        <v>769</v>
      </c>
      <c r="G364" s="1461" t="s">
        <v>820</v>
      </c>
      <c r="H364" s="1463">
        <v>17979605</v>
      </c>
      <c r="I364" s="253"/>
      <c r="J364" s="253"/>
      <c r="K364" s="254"/>
      <c r="L364" t="str">
        <f t="shared" si="18"/>
        <v>6</v>
      </c>
      <c r="M364" s="638" t="str">
        <f t="shared" si="19"/>
        <v>63341</v>
      </c>
      <c r="N364" s="255">
        <f t="shared" si="20"/>
        <v>17979605</v>
      </c>
    </row>
    <row r="365" spans="1:14">
      <c r="A365" s="1460">
        <v>45565</v>
      </c>
      <c r="B365" s="1461" t="s">
        <v>1098</v>
      </c>
      <c r="C365" s="252"/>
      <c r="D365" s="252"/>
      <c r="E365" s="1462" t="s">
        <v>798</v>
      </c>
      <c r="F365" s="638" t="s">
        <v>769</v>
      </c>
      <c r="G365" s="1461" t="s">
        <v>799</v>
      </c>
      <c r="H365" s="1463">
        <v>2759729</v>
      </c>
      <c r="I365" s="253"/>
      <c r="J365" s="253"/>
      <c r="K365" s="254"/>
      <c r="L365" t="str">
        <f t="shared" si="18"/>
        <v>6</v>
      </c>
      <c r="M365" s="638" t="str">
        <f t="shared" si="19"/>
        <v>63345</v>
      </c>
      <c r="N365" s="255">
        <f t="shared" si="20"/>
        <v>2759729</v>
      </c>
    </row>
    <row r="366" spans="1:14">
      <c r="A366" s="1460">
        <v>45565</v>
      </c>
      <c r="B366" s="1461" t="s">
        <v>1098</v>
      </c>
      <c r="C366" s="252"/>
      <c r="D366" s="252"/>
      <c r="E366" s="1462" t="s">
        <v>1077</v>
      </c>
      <c r="F366" s="638" t="s">
        <v>769</v>
      </c>
      <c r="G366" s="1461" t="s">
        <v>309</v>
      </c>
      <c r="H366" s="1463">
        <v>206367803</v>
      </c>
      <c r="I366" s="253"/>
      <c r="J366" s="253"/>
      <c r="K366" s="254"/>
      <c r="L366" t="str">
        <f t="shared" si="18"/>
        <v>6</v>
      </c>
      <c r="M366" s="638" t="str">
        <f t="shared" si="19"/>
        <v>6352</v>
      </c>
      <c r="N366" s="255">
        <f t="shared" si="20"/>
        <v>206367803</v>
      </c>
    </row>
    <row r="367" spans="1:14">
      <c r="A367" s="1460">
        <v>45565</v>
      </c>
      <c r="B367" s="1461" t="s">
        <v>1098</v>
      </c>
      <c r="C367" s="252"/>
      <c r="D367" s="252"/>
      <c r="E367" s="1462" t="s">
        <v>867</v>
      </c>
      <c r="F367" s="638" t="s">
        <v>769</v>
      </c>
      <c r="G367" s="1461" t="s">
        <v>378</v>
      </c>
      <c r="H367" s="1463">
        <v>1407426832</v>
      </c>
      <c r="I367" s="253"/>
      <c r="J367" s="253"/>
      <c r="K367" s="254"/>
      <c r="L367" t="str">
        <f t="shared" si="18"/>
        <v>6</v>
      </c>
      <c r="M367" s="638" t="str">
        <f t="shared" si="19"/>
        <v>64211</v>
      </c>
      <c r="N367" s="255">
        <f t="shared" si="20"/>
        <v>1407426832</v>
      </c>
    </row>
    <row r="368" spans="1:14">
      <c r="A368" s="1460">
        <v>45565</v>
      </c>
      <c r="B368" s="1461" t="s">
        <v>1098</v>
      </c>
      <c r="C368" s="252"/>
      <c r="D368" s="252"/>
      <c r="E368" s="1462" t="s">
        <v>870</v>
      </c>
      <c r="F368" s="638" t="s">
        <v>769</v>
      </c>
      <c r="G368" s="1461" t="s">
        <v>379</v>
      </c>
      <c r="H368" s="1463">
        <v>90335000</v>
      </c>
      <c r="I368" s="253"/>
      <c r="J368" s="253"/>
      <c r="K368" s="254"/>
      <c r="L368" t="str">
        <f t="shared" si="18"/>
        <v>6</v>
      </c>
      <c r="M368" s="638" t="str">
        <f t="shared" si="19"/>
        <v>64212</v>
      </c>
      <c r="N368" s="255">
        <f t="shared" si="20"/>
        <v>90335000</v>
      </c>
    </row>
    <row r="369" spans="1:14">
      <c r="A369" s="1460">
        <v>45565</v>
      </c>
      <c r="B369" s="1461" t="s">
        <v>1098</v>
      </c>
      <c r="C369" s="252"/>
      <c r="D369" s="252"/>
      <c r="E369" s="1462" t="s">
        <v>790</v>
      </c>
      <c r="F369" s="638" t="s">
        <v>769</v>
      </c>
      <c r="G369" s="1461" t="s">
        <v>791</v>
      </c>
      <c r="H369" s="1463">
        <v>983184678</v>
      </c>
      <c r="I369" s="253"/>
      <c r="J369" s="253"/>
      <c r="K369" s="254"/>
      <c r="L369" t="str">
        <f t="shared" si="18"/>
        <v>6</v>
      </c>
      <c r="M369" s="638" t="str">
        <f t="shared" si="19"/>
        <v>6331711</v>
      </c>
      <c r="N369" s="255">
        <f t="shared" si="20"/>
        <v>983184678</v>
      </c>
    </row>
    <row r="370" spans="1:14">
      <c r="A370" s="1460">
        <v>45565</v>
      </c>
      <c r="B370" s="1461" t="s">
        <v>1098</v>
      </c>
      <c r="C370" s="252"/>
      <c r="D370" s="252"/>
      <c r="E370" s="1462" t="s">
        <v>794</v>
      </c>
      <c r="F370" s="638" t="s">
        <v>769</v>
      </c>
      <c r="G370" s="1461" t="s">
        <v>795</v>
      </c>
      <c r="H370" s="1463">
        <v>65204000</v>
      </c>
      <c r="I370" s="253"/>
      <c r="J370" s="253"/>
      <c r="K370" s="254"/>
      <c r="L370" t="str">
        <f t="shared" si="18"/>
        <v>6</v>
      </c>
      <c r="M370" s="638" t="str">
        <f t="shared" si="19"/>
        <v>6331712</v>
      </c>
      <c r="N370" s="255">
        <f t="shared" si="20"/>
        <v>65204000</v>
      </c>
    </row>
    <row r="371" spans="1:14">
      <c r="A371" s="1460">
        <v>45565</v>
      </c>
      <c r="B371" s="1461" t="s">
        <v>1098</v>
      </c>
      <c r="C371" s="252"/>
      <c r="D371" s="252"/>
      <c r="E371" s="1462" t="s">
        <v>903</v>
      </c>
      <c r="F371" s="638" t="s">
        <v>769</v>
      </c>
      <c r="G371" s="1461" t="s">
        <v>806</v>
      </c>
      <c r="H371" s="1463">
        <v>448930719</v>
      </c>
      <c r="I371" s="253"/>
      <c r="J371" s="253"/>
      <c r="K371" s="254"/>
      <c r="L371" t="str">
        <f t="shared" si="18"/>
        <v>6</v>
      </c>
      <c r="M371" s="638" t="str">
        <f t="shared" si="19"/>
        <v>633173</v>
      </c>
      <c r="N371" s="255">
        <f t="shared" si="20"/>
        <v>448930719</v>
      </c>
    </row>
    <row r="372" spans="1:14">
      <c r="A372" s="1460">
        <v>45565</v>
      </c>
      <c r="B372" s="1461" t="s">
        <v>1098</v>
      </c>
      <c r="C372" s="252"/>
      <c r="D372" s="252"/>
      <c r="E372" s="1462" t="s">
        <v>906</v>
      </c>
      <c r="F372" s="638" t="s">
        <v>769</v>
      </c>
      <c r="G372" s="1461" t="s">
        <v>811</v>
      </c>
      <c r="H372" s="1463">
        <v>113492635</v>
      </c>
      <c r="I372" s="253"/>
      <c r="J372" s="253"/>
      <c r="K372" s="254"/>
      <c r="L372" t="str">
        <f t="shared" si="18"/>
        <v>6</v>
      </c>
      <c r="M372" s="638" t="str">
        <f t="shared" si="19"/>
        <v>633174</v>
      </c>
      <c r="N372" s="255">
        <f t="shared" si="20"/>
        <v>113492635</v>
      </c>
    </row>
    <row r="373" spans="1:14">
      <c r="A373" s="1460">
        <v>45565</v>
      </c>
      <c r="B373" s="1461" t="s">
        <v>1098</v>
      </c>
      <c r="C373" s="252"/>
      <c r="D373" s="252"/>
      <c r="E373" s="1462" t="s">
        <v>909</v>
      </c>
      <c r="F373" s="638" t="s">
        <v>769</v>
      </c>
      <c r="G373" s="1461" t="s">
        <v>815</v>
      </c>
      <c r="H373" s="1463">
        <v>611061599</v>
      </c>
      <c r="I373" s="253"/>
      <c r="J373" s="253"/>
      <c r="K373" s="254"/>
      <c r="L373" t="str">
        <f t="shared" si="18"/>
        <v>6</v>
      </c>
      <c r="M373" s="638" t="str">
        <f t="shared" si="19"/>
        <v>633175</v>
      </c>
      <c r="N373" s="255">
        <f t="shared" si="20"/>
        <v>611061599</v>
      </c>
    </row>
    <row r="374" spans="1:14">
      <c r="A374" s="1460">
        <v>45565</v>
      </c>
      <c r="B374" s="1461" t="s">
        <v>1098</v>
      </c>
      <c r="C374" s="252"/>
      <c r="D374" s="252"/>
      <c r="E374" s="1462" t="s">
        <v>1078</v>
      </c>
      <c r="F374" s="638" t="s">
        <v>769</v>
      </c>
      <c r="G374" s="1461" t="s">
        <v>951</v>
      </c>
      <c r="H374" s="1463">
        <v>12000000</v>
      </c>
      <c r="I374" s="253"/>
      <c r="J374" s="253"/>
      <c r="K374" s="254"/>
      <c r="L374" t="str">
        <f t="shared" si="18"/>
        <v>6</v>
      </c>
      <c r="M374" s="638" t="str">
        <f t="shared" si="19"/>
        <v>6333311</v>
      </c>
      <c r="N374" s="255">
        <f t="shared" si="20"/>
        <v>12000000</v>
      </c>
    </row>
    <row r="375" spans="1:14">
      <c r="A375" s="1460">
        <v>45596</v>
      </c>
      <c r="B375" s="1461" t="s">
        <v>1099</v>
      </c>
      <c r="C375" s="252"/>
      <c r="D375" s="252"/>
      <c r="E375" s="1462" t="s">
        <v>1088</v>
      </c>
      <c r="F375" s="638" t="s">
        <v>769</v>
      </c>
      <c r="G375" s="1461" t="s">
        <v>1039</v>
      </c>
      <c r="H375" s="1463">
        <v>244390500</v>
      </c>
      <c r="I375" s="253"/>
      <c r="J375" s="253"/>
      <c r="K375" s="254"/>
      <c r="L375" t="str">
        <f t="shared" si="18"/>
        <v>6</v>
      </c>
      <c r="M375" s="638" t="str">
        <f t="shared" si="19"/>
        <v>642713</v>
      </c>
      <c r="N375" s="255">
        <f t="shared" si="20"/>
        <v>244390500</v>
      </c>
    </row>
    <row r="376" spans="1:14">
      <c r="A376" s="1460">
        <v>45596</v>
      </c>
      <c r="B376" s="1461" t="s">
        <v>1099</v>
      </c>
      <c r="C376" s="252"/>
      <c r="D376" s="252"/>
      <c r="E376" s="1462" t="s">
        <v>1085</v>
      </c>
      <c r="F376" s="638" t="s">
        <v>769</v>
      </c>
      <c r="G376" s="1461" t="s">
        <v>1043</v>
      </c>
      <c r="H376" s="1463">
        <v>56125931</v>
      </c>
      <c r="I376" s="253"/>
      <c r="J376" s="253"/>
      <c r="K376" s="254"/>
      <c r="L376" t="str">
        <f t="shared" si="18"/>
        <v>6</v>
      </c>
      <c r="M376" s="638" t="str">
        <f t="shared" si="19"/>
        <v>642714</v>
      </c>
      <c r="N376" s="255">
        <f t="shared" si="20"/>
        <v>56125931</v>
      </c>
    </row>
    <row r="377" spans="1:14">
      <c r="A377" s="1460">
        <v>45596</v>
      </c>
      <c r="B377" s="1461" t="s">
        <v>1099</v>
      </c>
      <c r="C377" s="252"/>
      <c r="D377" s="252"/>
      <c r="E377" s="1462" t="s">
        <v>1084</v>
      </c>
      <c r="F377" s="638" t="s">
        <v>769</v>
      </c>
      <c r="G377" s="1461" t="s">
        <v>1041</v>
      </c>
      <c r="H377" s="1463">
        <v>58400000</v>
      </c>
      <c r="I377" s="253"/>
      <c r="J377" s="253"/>
      <c r="K377" s="254"/>
      <c r="L377" t="str">
        <f t="shared" si="18"/>
        <v>6</v>
      </c>
      <c r="M377" s="638" t="str">
        <f t="shared" si="19"/>
        <v>642715</v>
      </c>
      <c r="N377" s="255">
        <f t="shared" si="20"/>
        <v>58400000</v>
      </c>
    </row>
    <row r="378" spans="1:14">
      <c r="A378" s="1460">
        <v>45596</v>
      </c>
      <c r="B378" s="1461" t="s">
        <v>1099</v>
      </c>
      <c r="C378" s="252"/>
      <c r="D378" s="252"/>
      <c r="E378" s="1462" t="s">
        <v>1087</v>
      </c>
      <c r="F378" s="638" t="s">
        <v>769</v>
      </c>
      <c r="G378" s="1461" t="s">
        <v>1037</v>
      </c>
      <c r="H378" s="1463">
        <v>16200000</v>
      </c>
      <c r="I378" s="253"/>
      <c r="J378" s="253"/>
      <c r="K378" s="254"/>
      <c r="L378" t="str">
        <f t="shared" si="18"/>
        <v>6</v>
      </c>
      <c r="M378" s="638" t="str">
        <f t="shared" si="19"/>
        <v>642717</v>
      </c>
      <c r="N378" s="255">
        <f t="shared" si="20"/>
        <v>16200000</v>
      </c>
    </row>
    <row r="379" spans="1:14">
      <c r="A379" s="1460">
        <v>45596</v>
      </c>
      <c r="B379" s="1461" t="s">
        <v>1099</v>
      </c>
      <c r="C379" s="252"/>
      <c r="D379" s="252"/>
      <c r="E379" s="1462" t="s">
        <v>1082</v>
      </c>
      <c r="F379" s="638" t="s">
        <v>769</v>
      </c>
      <c r="G379" s="1461" t="s">
        <v>1045</v>
      </c>
      <c r="H379" s="1463">
        <v>8919996</v>
      </c>
      <c r="I379" s="253"/>
      <c r="J379" s="253"/>
      <c r="K379" s="254"/>
      <c r="L379" t="str">
        <f t="shared" si="18"/>
        <v>6</v>
      </c>
      <c r="M379" s="638" t="str">
        <f t="shared" si="19"/>
        <v>642718</v>
      </c>
      <c r="N379" s="255">
        <f t="shared" si="20"/>
        <v>8919996</v>
      </c>
    </row>
    <row r="380" spans="1:14">
      <c r="A380" s="1460">
        <v>45596</v>
      </c>
      <c r="B380" s="1461" t="s">
        <v>1099</v>
      </c>
      <c r="C380" s="252"/>
      <c r="D380" s="252"/>
      <c r="E380" s="1462" t="s">
        <v>832</v>
      </c>
      <c r="F380" s="638" t="s">
        <v>769</v>
      </c>
      <c r="G380" s="1461" t="s">
        <v>833</v>
      </c>
      <c r="H380" s="1463">
        <v>9001115</v>
      </c>
      <c r="I380" s="253"/>
      <c r="J380" s="253"/>
      <c r="K380" s="254"/>
      <c r="L380" t="str">
        <f t="shared" si="18"/>
        <v>6</v>
      </c>
      <c r="M380" s="638" t="str">
        <f t="shared" si="19"/>
        <v>642799</v>
      </c>
      <c r="N380" s="255">
        <f t="shared" si="20"/>
        <v>9001115</v>
      </c>
    </row>
    <row r="381" spans="1:14">
      <c r="A381" s="1460">
        <v>45596</v>
      </c>
      <c r="B381" s="1461" t="s">
        <v>1099</v>
      </c>
      <c r="C381" s="252"/>
      <c r="D381" s="252"/>
      <c r="E381" s="1462" t="s">
        <v>863</v>
      </c>
      <c r="F381" s="638" t="s">
        <v>769</v>
      </c>
      <c r="G381" s="1461" t="s">
        <v>864</v>
      </c>
      <c r="H381" s="1463">
        <v>36436882</v>
      </c>
      <c r="I381" s="253"/>
      <c r="J381" s="253"/>
      <c r="K381" s="254"/>
      <c r="L381" t="str">
        <f t="shared" si="18"/>
        <v>6</v>
      </c>
      <c r="M381" s="638" t="str">
        <f t="shared" si="19"/>
        <v>642707</v>
      </c>
      <c r="N381" s="255">
        <f t="shared" si="20"/>
        <v>36436882</v>
      </c>
    </row>
    <row r="382" spans="1:14">
      <c r="A382" s="1460">
        <v>45596</v>
      </c>
      <c r="B382" s="1461" t="s">
        <v>1099</v>
      </c>
      <c r="C382" s="252"/>
      <c r="D382" s="252"/>
      <c r="E382" s="1462" t="s">
        <v>809</v>
      </c>
      <c r="F382" s="638" t="s">
        <v>769</v>
      </c>
      <c r="G382" s="1461" t="s">
        <v>810</v>
      </c>
      <c r="H382" s="1463">
        <v>68578256</v>
      </c>
      <c r="I382" s="253"/>
      <c r="J382" s="253"/>
      <c r="K382" s="254"/>
      <c r="L382" t="str">
        <f t="shared" si="18"/>
        <v>6</v>
      </c>
      <c r="M382" s="638" t="str">
        <f t="shared" si="19"/>
        <v>642708</v>
      </c>
      <c r="N382" s="255">
        <f t="shared" si="20"/>
        <v>68578256</v>
      </c>
    </row>
    <row r="383" spans="1:14">
      <c r="A383" s="1460">
        <v>45596</v>
      </c>
      <c r="B383" s="1461" t="s">
        <v>1099</v>
      </c>
      <c r="C383" s="252"/>
      <c r="D383" s="252"/>
      <c r="E383" s="1462" t="s">
        <v>813</v>
      </c>
      <c r="F383" s="638" t="s">
        <v>769</v>
      </c>
      <c r="G383" s="1461" t="s">
        <v>814</v>
      </c>
      <c r="H383" s="1463">
        <v>5944383</v>
      </c>
      <c r="I383" s="253"/>
      <c r="J383" s="253"/>
      <c r="K383" s="254"/>
      <c r="L383" t="str">
        <f t="shared" si="18"/>
        <v>6</v>
      </c>
      <c r="M383" s="638" t="str">
        <f t="shared" si="19"/>
        <v>642709</v>
      </c>
      <c r="N383" s="255">
        <f t="shared" si="20"/>
        <v>5944383</v>
      </c>
    </row>
    <row r="384" spans="1:14">
      <c r="A384" s="1460">
        <v>45596</v>
      </c>
      <c r="B384" s="1461" t="s">
        <v>1099</v>
      </c>
      <c r="C384" s="252"/>
      <c r="D384" s="252"/>
      <c r="E384" s="1462" t="s">
        <v>818</v>
      </c>
      <c r="F384" s="638" t="s">
        <v>769</v>
      </c>
      <c r="G384" s="1461" t="s">
        <v>819</v>
      </c>
      <c r="H384" s="1463">
        <v>466363</v>
      </c>
      <c r="I384" s="253"/>
      <c r="J384" s="253"/>
      <c r="K384" s="254"/>
      <c r="L384" t="str">
        <f t="shared" si="18"/>
        <v>6</v>
      </c>
      <c r="M384" s="638" t="str">
        <f t="shared" si="19"/>
        <v>642710</v>
      </c>
      <c r="N384" s="255">
        <f t="shared" si="20"/>
        <v>466363</v>
      </c>
    </row>
    <row r="385" spans="1:14">
      <c r="A385" s="1460">
        <v>45596</v>
      </c>
      <c r="B385" s="1461" t="s">
        <v>1099</v>
      </c>
      <c r="C385" s="252"/>
      <c r="D385" s="252"/>
      <c r="E385" s="1462" t="s">
        <v>824</v>
      </c>
      <c r="F385" s="638" t="s">
        <v>769</v>
      </c>
      <c r="G385" s="1461" t="s">
        <v>825</v>
      </c>
      <c r="H385" s="1463">
        <v>5002010</v>
      </c>
      <c r="I385" s="253"/>
      <c r="J385" s="253"/>
      <c r="K385" s="254"/>
      <c r="L385" t="str">
        <f t="shared" si="18"/>
        <v>6</v>
      </c>
      <c r="M385" s="638" t="str">
        <f t="shared" si="19"/>
        <v>642711</v>
      </c>
      <c r="N385" s="255">
        <f t="shared" si="20"/>
        <v>5002010</v>
      </c>
    </row>
    <row r="386" spans="1:14">
      <c r="A386" s="1460">
        <v>45596</v>
      </c>
      <c r="B386" s="1461" t="s">
        <v>1099</v>
      </c>
      <c r="C386" s="252"/>
      <c r="D386" s="252"/>
      <c r="E386" s="1462" t="s">
        <v>827</v>
      </c>
      <c r="F386" s="638" t="s">
        <v>769</v>
      </c>
      <c r="G386" s="1461" t="s">
        <v>828</v>
      </c>
      <c r="H386" s="1463">
        <v>4276511</v>
      </c>
      <c r="I386" s="253"/>
      <c r="J386" s="253"/>
      <c r="K386" s="254"/>
      <c r="L386" t="str">
        <f t="shared" si="18"/>
        <v>6</v>
      </c>
      <c r="M386" s="638" t="str">
        <f t="shared" si="19"/>
        <v>642712</v>
      </c>
      <c r="N386" s="255">
        <f t="shared" si="20"/>
        <v>4276511</v>
      </c>
    </row>
    <row r="387" spans="1:14">
      <c r="A387" s="1460">
        <v>45596</v>
      </c>
      <c r="B387" s="1461" t="s">
        <v>1099</v>
      </c>
      <c r="C387" s="252"/>
      <c r="D387" s="252"/>
      <c r="E387" s="1462" t="s">
        <v>880</v>
      </c>
      <c r="F387" s="638" t="s">
        <v>769</v>
      </c>
      <c r="G387" s="1461" t="s">
        <v>383</v>
      </c>
      <c r="H387" s="1463">
        <v>93393998</v>
      </c>
      <c r="I387" s="253"/>
      <c r="J387" s="253"/>
      <c r="K387" s="254"/>
      <c r="L387" t="str">
        <f t="shared" si="18"/>
        <v>6</v>
      </c>
      <c r="M387" s="638" t="str">
        <f t="shared" si="19"/>
        <v>6424</v>
      </c>
      <c r="N387" s="255">
        <f t="shared" si="20"/>
        <v>93393998</v>
      </c>
    </row>
    <row r="388" spans="1:14">
      <c r="A388" s="1460">
        <v>45596</v>
      </c>
      <c r="B388" s="1461" t="s">
        <v>1099</v>
      </c>
      <c r="C388" s="252"/>
      <c r="D388" s="252"/>
      <c r="E388" s="1462" t="s">
        <v>838</v>
      </c>
      <c r="F388" s="638" t="s">
        <v>769</v>
      </c>
      <c r="G388" s="1461" t="s">
        <v>839</v>
      </c>
      <c r="H388" s="1463">
        <v>384486980</v>
      </c>
      <c r="I388" s="253"/>
      <c r="J388" s="253"/>
      <c r="K388" s="254"/>
      <c r="L388" t="str">
        <f t="shared" si="18"/>
        <v>6</v>
      </c>
      <c r="M388" s="638" t="str">
        <f t="shared" si="19"/>
        <v>642701</v>
      </c>
      <c r="N388" s="255">
        <f t="shared" si="20"/>
        <v>384486980</v>
      </c>
    </row>
    <row r="389" spans="1:14">
      <c r="A389" s="1460">
        <v>45596</v>
      </c>
      <c r="B389" s="1461" t="s">
        <v>1099</v>
      </c>
      <c r="C389" s="252"/>
      <c r="D389" s="252"/>
      <c r="E389" s="1462" t="s">
        <v>842</v>
      </c>
      <c r="F389" s="638" t="s">
        <v>769</v>
      </c>
      <c r="G389" s="1461" t="s">
        <v>843</v>
      </c>
      <c r="H389" s="1463">
        <v>46913587</v>
      </c>
      <c r="I389" s="253"/>
      <c r="J389" s="253"/>
      <c r="K389" s="254"/>
      <c r="L389" t="str">
        <f t="shared" si="18"/>
        <v>6</v>
      </c>
      <c r="M389" s="638" t="str">
        <f t="shared" si="19"/>
        <v>642702</v>
      </c>
      <c r="N389" s="255">
        <f t="shared" si="20"/>
        <v>46913587</v>
      </c>
    </row>
    <row r="390" spans="1:14">
      <c r="A390" s="1460">
        <v>45596</v>
      </c>
      <c r="B390" s="1461" t="s">
        <v>1099</v>
      </c>
      <c r="C390" s="252"/>
      <c r="D390" s="252"/>
      <c r="E390" s="1462" t="s">
        <v>847</v>
      </c>
      <c r="F390" s="638" t="s">
        <v>769</v>
      </c>
      <c r="G390" s="1461" t="s">
        <v>848</v>
      </c>
      <c r="H390" s="1463">
        <v>6793619</v>
      </c>
      <c r="I390" s="253"/>
      <c r="J390" s="253"/>
      <c r="K390" s="254"/>
      <c r="L390" t="str">
        <f t="shared" si="18"/>
        <v>6</v>
      </c>
      <c r="M390" s="638" t="str">
        <f t="shared" si="19"/>
        <v>642703</v>
      </c>
      <c r="N390" s="255">
        <f t="shared" si="20"/>
        <v>6793619</v>
      </c>
    </row>
    <row r="391" spans="1:14">
      <c r="A391" s="1460">
        <v>45596</v>
      </c>
      <c r="B391" s="1461" t="s">
        <v>1099</v>
      </c>
      <c r="C391" s="252"/>
      <c r="D391" s="252"/>
      <c r="E391" s="1462" t="s">
        <v>853</v>
      </c>
      <c r="F391" s="638" t="s">
        <v>769</v>
      </c>
      <c r="G391" s="1461" t="s">
        <v>854</v>
      </c>
      <c r="H391" s="1463">
        <v>16596667</v>
      </c>
      <c r="I391" s="253"/>
      <c r="J391" s="253"/>
      <c r="K391" s="254"/>
      <c r="L391" t="str">
        <f t="shared" si="18"/>
        <v>6</v>
      </c>
      <c r="M391" s="638" t="str">
        <f t="shared" si="19"/>
        <v>642704</v>
      </c>
      <c r="N391" s="255">
        <f t="shared" si="20"/>
        <v>16596667</v>
      </c>
    </row>
    <row r="392" spans="1:14">
      <c r="A392" s="1460">
        <v>45596</v>
      </c>
      <c r="B392" s="1461" t="s">
        <v>1099</v>
      </c>
      <c r="C392" s="252"/>
      <c r="D392" s="252"/>
      <c r="E392" s="1462" t="s">
        <v>858</v>
      </c>
      <c r="F392" s="638" t="s">
        <v>769</v>
      </c>
      <c r="G392" s="1461" t="s">
        <v>859</v>
      </c>
      <c r="H392" s="1463">
        <v>23159094</v>
      </c>
      <c r="I392" s="253"/>
      <c r="J392" s="253"/>
      <c r="K392" s="254"/>
      <c r="L392" t="str">
        <f t="shared" si="18"/>
        <v>9</v>
      </c>
      <c r="M392" s="638" t="str">
        <f t="shared" ref="M392:M407" si="21">F392</f>
        <v>9111</v>
      </c>
      <c r="N392" s="255">
        <f t="shared" si="20"/>
        <v>23159094</v>
      </c>
    </row>
    <row r="393" spans="1:14">
      <c r="A393" s="1460">
        <v>45596</v>
      </c>
      <c r="B393" s="1461" t="s">
        <v>1099</v>
      </c>
      <c r="C393" s="252"/>
      <c r="D393" s="252"/>
      <c r="E393" s="1462" t="s">
        <v>798</v>
      </c>
      <c r="F393" s="638" t="s">
        <v>769</v>
      </c>
      <c r="G393" s="1461" t="s">
        <v>799</v>
      </c>
      <c r="H393" s="1463">
        <v>3791469</v>
      </c>
      <c r="I393" s="253"/>
      <c r="J393" s="253"/>
      <c r="K393" s="254"/>
      <c r="L393" t="str">
        <f t="shared" si="18"/>
        <v>9</v>
      </c>
      <c r="M393" s="638" t="str">
        <f t="shared" si="21"/>
        <v>9111</v>
      </c>
      <c r="N393" s="255">
        <f t="shared" si="20"/>
        <v>3791469</v>
      </c>
    </row>
    <row r="394" spans="1:14">
      <c r="A394" s="1460">
        <v>45596</v>
      </c>
      <c r="B394" s="1461" t="s">
        <v>1099</v>
      </c>
      <c r="C394" s="252"/>
      <c r="D394" s="252"/>
      <c r="E394" s="1462" t="s">
        <v>1077</v>
      </c>
      <c r="F394" s="638" t="s">
        <v>769</v>
      </c>
      <c r="G394" s="1461" t="s">
        <v>309</v>
      </c>
      <c r="H394" s="1463">
        <v>182115068</v>
      </c>
      <c r="I394" s="253"/>
      <c r="J394" s="253"/>
      <c r="K394" s="254"/>
      <c r="L394" t="str">
        <f t="shared" si="18"/>
        <v>9</v>
      </c>
      <c r="M394" s="638" t="str">
        <f t="shared" si="21"/>
        <v>9111</v>
      </c>
      <c r="N394" s="255">
        <f t="shared" si="20"/>
        <v>182115068</v>
      </c>
    </row>
    <row r="395" spans="1:14">
      <c r="A395" s="1460">
        <v>45596</v>
      </c>
      <c r="B395" s="1461" t="s">
        <v>1099</v>
      </c>
      <c r="C395" s="252"/>
      <c r="D395" s="252"/>
      <c r="E395" s="1462" t="s">
        <v>867</v>
      </c>
      <c r="F395" s="638" t="s">
        <v>769</v>
      </c>
      <c r="G395" s="1461" t="s">
        <v>378</v>
      </c>
      <c r="H395" s="1463">
        <v>1441321212</v>
      </c>
      <c r="I395" s="253"/>
      <c r="J395" s="253"/>
      <c r="K395" s="254"/>
      <c r="L395" t="str">
        <f t="shared" si="18"/>
        <v>9</v>
      </c>
      <c r="M395" s="638" t="str">
        <f t="shared" si="21"/>
        <v>9111</v>
      </c>
      <c r="N395" s="255">
        <f t="shared" si="20"/>
        <v>1441321212</v>
      </c>
    </row>
    <row r="396" spans="1:14">
      <c r="A396" s="1460">
        <v>45596</v>
      </c>
      <c r="B396" s="1461" t="s">
        <v>1099</v>
      </c>
      <c r="C396" s="252"/>
      <c r="D396" s="252"/>
      <c r="E396" s="1462" t="s">
        <v>870</v>
      </c>
      <c r="F396" s="638" t="s">
        <v>769</v>
      </c>
      <c r="G396" s="1461" t="s">
        <v>379</v>
      </c>
      <c r="H396" s="1463">
        <v>91043000</v>
      </c>
      <c r="I396" s="253"/>
      <c r="J396" s="253"/>
      <c r="K396" s="254"/>
      <c r="L396" t="str">
        <f t="shared" si="18"/>
        <v>9</v>
      </c>
      <c r="M396" s="638" t="str">
        <f t="shared" si="21"/>
        <v>9111</v>
      </c>
      <c r="N396" s="255">
        <f t="shared" si="20"/>
        <v>91043000</v>
      </c>
    </row>
    <row r="397" spans="1:14">
      <c r="A397" s="1460">
        <v>45596</v>
      </c>
      <c r="B397" s="1461" t="s">
        <v>1099</v>
      </c>
      <c r="C397" s="252"/>
      <c r="D397" s="252"/>
      <c r="E397" s="1462" t="s">
        <v>874</v>
      </c>
      <c r="F397" s="638" t="s">
        <v>769</v>
      </c>
      <c r="G397" s="1461" t="s">
        <v>505</v>
      </c>
      <c r="H397" s="1463">
        <v>33878275</v>
      </c>
      <c r="I397" s="253"/>
      <c r="J397" s="253"/>
      <c r="K397" s="254"/>
      <c r="L397" t="str">
        <f t="shared" si="18"/>
        <v>9</v>
      </c>
      <c r="M397" s="638" t="str">
        <f t="shared" si="21"/>
        <v>9111</v>
      </c>
      <c r="N397" s="255">
        <f t="shared" si="20"/>
        <v>33878275</v>
      </c>
    </row>
    <row r="398" spans="1:14">
      <c r="A398" s="1460">
        <v>45596</v>
      </c>
      <c r="B398" s="1461" t="s">
        <v>1099</v>
      </c>
      <c r="C398" s="252"/>
      <c r="D398" s="252"/>
      <c r="E398" s="1462" t="s">
        <v>877</v>
      </c>
      <c r="F398" s="638" t="s">
        <v>769</v>
      </c>
      <c r="G398" s="1461" t="s">
        <v>381</v>
      </c>
      <c r="H398" s="1463">
        <v>23232333</v>
      </c>
      <c r="I398" s="253"/>
      <c r="J398" s="253"/>
      <c r="K398" s="254"/>
      <c r="L398" t="str">
        <f t="shared" si="18"/>
        <v>9</v>
      </c>
      <c r="M398" s="638" t="str">
        <f t="shared" si="21"/>
        <v>9111</v>
      </c>
      <c r="N398" s="255">
        <f t="shared" si="20"/>
        <v>23232333</v>
      </c>
    </row>
    <row r="399" spans="1:14">
      <c r="A399" s="1460">
        <v>45596</v>
      </c>
      <c r="B399" s="1461" t="s">
        <v>1099</v>
      </c>
      <c r="C399" s="252"/>
      <c r="D399" s="252"/>
      <c r="E399" s="1462" t="s">
        <v>903</v>
      </c>
      <c r="F399" s="638" t="s">
        <v>769</v>
      </c>
      <c r="G399" s="1461" t="s">
        <v>806</v>
      </c>
      <c r="H399" s="1463">
        <v>436870761</v>
      </c>
      <c r="I399" s="253"/>
      <c r="J399" s="253"/>
      <c r="K399" s="254"/>
      <c r="L399" t="str">
        <f t="shared" si="18"/>
        <v>9</v>
      </c>
      <c r="M399" s="638" t="str">
        <f t="shared" si="21"/>
        <v>9111</v>
      </c>
      <c r="N399" s="255">
        <f t="shared" si="20"/>
        <v>436870761</v>
      </c>
    </row>
    <row r="400" spans="1:14">
      <c r="A400" s="1460">
        <v>45596</v>
      </c>
      <c r="B400" s="1461" t="s">
        <v>1099</v>
      </c>
      <c r="C400" s="252"/>
      <c r="D400" s="252"/>
      <c r="E400" s="1462" t="s">
        <v>906</v>
      </c>
      <c r="F400" s="638" t="s">
        <v>769</v>
      </c>
      <c r="G400" s="1461" t="s">
        <v>811</v>
      </c>
      <c r="H400" s="1463">
        <v>113492635</v>
      </c>
      <c r="I400" s="253"/>
      <c r="J400" s="253"/>
      <c r="K400" s="254"/>
      <c r="L400" t="str">
        <f t="shared" si="18"/>
        <v>9</v>
      </c>
      <c r="M400" s="638" t="str">
        <f t="shared" si="21"/>
        <v>9111</v>
      </c>
      <c r="N400" s="255">
        <f t="shared" si="20"/>
        <v>113492635</v>
      </c>
    </row>
    <row r="401" spans="1:14">
      <c r="A401" s="1460">
        <v>45596</v>
      </c>
      <c r="B401" s="1461" t="s">
        <v>1099</v>
      </c>
      <c r="C401" s="252"/>
      <c r="D401" s="252"/>
      <c r="E401" s="1462" t="s">
        <v>909</v>
      </c>
      <c r="F401" s="638" t="s">
        <v>769</v>
      </c>
      <c r="G401" s="1461" t="s">
        <v>815</v>
      </c>
      <c r="H401" s="1463">
        <v>979707284</v>
      </c>
      <c r="I401" s="253"/>
      <c r="J401" s="253"/>
      <c r="K401" s="254"/>
      <c r="L401" t="str">
        <f t="shared" si="18"/>
        <v>9</v>
      </c>
      <c r="M401" s="638" t="str">
        <f t="shared" si="21"/>
        <v>9111</v>
      </c>
      <c r="N401" s="255">
        <f t="shared" si="20"/>
        <v>979707284</v>
      </c>
    </row>
    <row r="402" spans="1:14">
      <c r="A402" s="1460">
        <v>45596</v>
      </c>
      <c r="B402" s="1461" t="s">
        <v>1099</v>
      </c>
      <c r="C402" s="252"/>
      <c r="D402" s="252"/>
      <c r="E402" s="1462" t="s">
        <v>1078</v>
      </c>
      <c r="F402" s="638" t="s">
        <v>769</v>
      </c>
      <c r="G402" s="1461" t="s">
        <v>951</v>
      </c>
      <c r="H402" s="1463">
        <v>12300000</v>
      </c>
      <c r="I402" s="253"/>
      <c r="J402" s="253"/>
      <c r="K402" s="254"/>
      <c r="L402" t="str">
        <f t="shared" si="18"/>
        <v>9</v>
      </c>
      <c r="M402" s="638" t="str">
        <f t="shared" si="21"/>
        <v>9111</v>
      </c>
      <c r="N402" s="255">
        <f t="shared" si="20"/>
        <v>12300000</v>
      </c>
    </row>
    <row r="403" spans="1:14">
      <c r="A403" s="1460">
        <v>45596</v>
      </c>
      <c r="B403" s="1461" t="s">
        <v>1099</v>
      </c>
      <c r="C403" s="252"/>
      <c r="D403" s="252"/>
      <c r="E403" s="1462" t="s">
        <v>1073</v>
      </c>
      <c r="F403" s="638" t="s">
        <v>769</v>
      </c>
      <c r="G403" s="1461" t="s">
        <v>954</v>
      </c>
      <c r="H403" s="1463">
        <v>1410000</v>
      </c>
      <c r="I403" s="253"/>
      <c r="J403" s="253"/>
      <c r="K403" s="254"/>
      <c r="L403" t="str">
        <f t="shared" si="18"/>
        <v>9</v>
      </c>
      <c r="M403" s="638" t="str">
        <f t="shared" si="21"/>
        <v>9111</v>
      </c>
      <c r="N403" s="255">
        <f t="shared" si="20"/>
        <v>1410000</v>
      </c>
    </row>
    <row r="404" spans="1:14">
      <c r="A404" s="1460">
        <v>45596</v>
      </c>
      <c r="B404" s="1461" t="s">
        <v>1099</v>
      </c>
      <c r="C404" s="252"/>
      <c r="D404" s="252"/>
      <c r="E404" s="1462" t="s">
        <v>912</v>
      </c>
      <c r="F404" s="638" t="s">
        <v>769</v>
      </c>
      <c r="G404" s="1461" t="s">
        <v>820</v>
      </c>
      <c r="H404" s="1463">
        <v>19394036</v>
      </c>
      <c r="I404" s="253"/>
      <c r="J404" s="253"/>
      <c r="K404" s="254"/>
      <c r="L404" t="str">
        <f t="shared" si="18"/>
        <v>9</v>
      </c>
      <c r="M404" s="638" t="str">
        <f t="shared" si="21"/>
        <v>9111</v>
      </c>
      <c r="N404" s="255">
        <f t="shared" si="20"/>
        <v>19394036</v>
      </c>
    </row>
    <row r="405" spans="1:14">
      <c r="A405" s="1460">
        <v>45596</v>
      </c>
      <c r="B405" s="1461" t="s">
        <v>1099</v>
      </c>
      <c r="C405" s="252"/>
      <c r="D405" s="252"/>
      <c r="E405" s="1462" t="s">
        <v>1072</v>
      </c>
      <c r="F405" s="638" t="s">
        <v>769</v>
      </c>
      <c r="G405" s="1461" t="s">
        <v>947</v>
      </c>
      <c r="H405" s="1463">
        <v>5883950</v>
      </c>
      <c r="I405" s="253"/>
      <c r="J405" s="253"/>
      <c r="K405" s="254"/>
      <c r="L405" t="str">
        <f t="shared" si="18"/>
        <v>9</v>
      </c>
      <c r="M405" s="638" t="str">
        <f t="shared" si="21"/>
        <v>9111</v>
      </c>
      <c r="N405" s="255">
        <f t="shared" si="20"/>
        <v>5883950</v>
      </c>
    </row>
    <row r="406" spans="1:14">
      <c r="A406" s="1460">
        <v>45596</v>
      </c>
      <c r="B406" s="1461" t="s">
        <v>1099</v>
      </c>
      <c r="C406" s="252"/>
      <c r="D406" s="252"/>
      <c r="E406" s="1462" t="s">
        <v>768</v>
      </c>
      <c r="F406" s="638" t="s">
        <v>769</v>
      </c>
      <c r="G406" s="1461" t="s">
        <v>770</v>
      </c>
      <c r="H406" s="1463">
        <v>139028294</v>
      </c>
      <c r="I406" s="253"/>
      <c r="J406" s="253"/>
      <c r="K406" s="254"/>
      <c r="L406" t="str">
        <f t="shared" si="18"/>
        <v>9</v>
      </c>
      <c r="M406" s="638" t="str">
        <f t="shared" si="21"/>
        <v>9111</v>
      </c>
      <c r="N406" s="255">
        <f t="shared" si="20"/>
        <v>139028294</v>
      </c>
    </row>
    <row r="407" spans="1:14">
      <c r="A407" s="1460">
        <v>45596</v>
      </c>
      <c r="B407" s="1461" t="s">
        <v>1099</v>
      </c>
      <c r="C407" s="252"/>
      <c r="D407" s="252"/>
      <c r="E407" s="1462" t="s">
        <v>780</v>
      </c>
      <c r="F407" s="638" t="s">
        <v>769</v>
      </c>
      <c r="G407" s="1461" t="s">
        <v>781</v>
      </c>
      <c r="H407" s="1463">
        <v>42833334</v>
      </c>
      <c r="I407" s="253"/>
      <c r="J407" s="253"/>
      <c r="K407" s="254"/>
      <c r="L407" t="str">
        <f t="shared" si="18"/>
        <v>9</v>
      </c>
      <c r="M407" s="638" t="str">
        <f t="shared" si="21"/>
        <v>9111</v>
      </c>
      <c r="N407" s="255">
        <f t="shared" si="20"/>
        <v>42833334</v>
      </c>
    </row>
    <row r="408" spans="1:14">
      <c r="A408" s="1460">
        <v>45596</v>
      </c>
      <c r="B408" s="1461" t="s">
        <v>1099</v>
      </c>
      <c r="C408" s="252"/>
      <c r="D408" s="252"/>
      <c r="E408" s="1462" t="s">
        <v>786</v>
      </c>
      <c r="F408" s="638" t="s">
        <v>769</v>
      </c>
      <c r="G408" s="1461" t="s">
        <v>787</v>
      </c>
      <c r="H408" s="1463">
        <v>17948333</v>
      </c>
      <c r="I408" s="253"/>
      <c r="J408" s="253"/>
      <c r="K408" s="254"/>
      <c r="L408" t="str">
        <f t="shared" si="18"/>
        <v>6</v>
      </c>
      <c r="M408" s="638" t="str">
        <f t="shared" ref="M408:M447" si="22">G408</f>
        <v>63313</v>
      </c>
      <c r="N408" s="255">
        <f t="shared" si="20"/>
        <v>17948333</v>
      </c>
    </row>
    <row r="409" spans="1:14">
      <c r="A409" s="1460">
        <v>45596</v>
      </c>
      <c r="B409" s="1461" t="s">
        <v>1099</v>
      </c>
      <c r="C409" s="252"/>
      <c r="D409" s="252"/>
      <c r="E409" s="1462" t="s">
        <v>790</v>
      </c>
      <c r="F409" s="638" t="s">
        <v>769</v>
      </c>
      <c r="G409" s="1461" t="s">
        <v>791</v>
      </c>
      <c r="H409" s="1463">
        <v>891351788</v>
      </c>
      <c r="I409" s="253"/>
      <c r="J409" s="253"/>
      <c r="K409" s="254"/>
      <c r="L409" t="str">
        <f t="shared" si="18"/>
        <v>6</v>
      </c>
      <c r="M409" s="638" t="str">
        <f t="shared" si="22"/>
        <v>6331711</v>
      </c>
      <c r="N409" s="255">
        <f t="shared" si="20"/>
        <v>891351788</v>
      </c>
    </row>
    <row r="410" spans="1:14">
      <c r="A410" s="1460">
        <v>45596</v>
      </c>
      <c r="B410" s="1461" t="s">
        <v>1099</v>
      </c>
      <c r="C410" s="252"/>
      <c r="D410" s="252"/>
      <c r="E410" s="1462" t="s">
        <v>794</v>
      </c>
      <c r="F410" s="638" t="s">
        <v>769</v>
      </c>
      <c r="G410" s="1461" t="s">
        <v>795</v>
      </c>
      <c r="H410" s="1463">
        <v>52794000</v>
      </c>
      <c r="I410" s="253"/>
      <c r="J410" s="253"/>
      <c r="K410" s="254"/>
      <c r="L410" t="str">
        <f t="shared" si="18"/>
        <v>6</v>
      </c>
      <c r="M410" s="638" t="str">
        <f t="shared" si="22"/>
        <v>6331712</v>
      </c>
      <c r="N410" s="255">
        <f t="shared" si="20"/>
        <v>52794000</v>
      </c>
    </row>
    <row r="411" spans="1:14">
      <c r="A411" s="1460">
        <v>45596</v>
      </c>
      <c r="B411" s="1461" t="s">
        <v>1099</v>
      </c>
      <c r="C411" s="252"/>
      <c r="D411" s="252"/>
      <c r="E411" s="1462" t="s">
        <v>1083</v>
      </c>
      <c r="F411" s="638" t="s">
        <v>769</v>
      </c>
      <c r="G411" s="1461" t="s">
        <v>1047</v>
      </c>
      <c r="H411" s="1463">
        <v>1216823</v>
      </c>
      <c r="I411" s="253"/>
      <c r="J411" s="253"/>
      <c r="K411" s="254"/>
      <c r="L411" t="str">
        <f t="shared" si="18"/>
        <v>6</v>
      </c>
      <c r="M411" s="638" t="str">
        <f t="shared" si="22"/>
        <v>642804</v>
      </c>
      <c r="N411" s="255">
        <f t="shared" si="20"/>
        <v>1216823</v>
      </c>
    </row>
    <row r="412" spans="1:14">
      <c r="A412" s="1460">
        <v>45596</v>
      </c>
      <c r="B412" s="1461" t="s">
        <v>1099</v>
      </c>
      <c r="C412" s="252"/>
      <c r="D412" s="252"/>
      <c r="E412" s="1462" t="s">
        <v>1086</v>
      </c>
      <c r="F412" s="638" t="s">
        <v>769</v>
      </c>
      <c r="G412" s="1461" t="s">
        <v>1035</v>
      </c>
      <c r="H412" s="1463">
        <v>13365600</v>
      </c>
      <c r="I412" s="253"/>
      <c r="J412" s="253"/>
      <c r="K412" s="254"/>
      <c r="L412" t="str">
        <f t="shared" ref="L412:L475" si="23">LEFT(M412,1)</f>
        <v>6</v>
      </c>
      <c r="M412" s="638" t="str">
        <f t="shared" si="22"/>
        <v>642805</v>
      </c>
      <c r="N412" s="255">
        <f t="shared" ref="N412:N475" si="24">IF(LEFT(F412,1)="9",H412,-H412)</f>
        <v>13365600</v>
      </c>
    </row>
    <row r="413" spans="1:14">
      <c r="A413" s="1460">
        <v>45596</v>
      </c>
      <c r="B413" s="1461" t="s">
        <v>1099</v>
      </c>
      <c r="C413" s="252"/>
      <c r="D413" s="252"/>
      <c r="E413" s="1462" t="s">
        <v>1090</v>
      </c>
      <c r="F413" s="638" t="s">
        <v>769</v>
      </c>
      <c r="G413" s="1461" t="s">
        <v>967</v>
      </c>
      <c r="H413" s="1463">
        <v>31069982</v>
      </c>
      <c r="I413" s="253"/>
      <c r="J413" s="253"/>
      <c r="K413" s="254"/>
      <c r="L413" t="str">
        <f t="shared" si="23"/>
        <v>6</v>
      </c>
      <c r="M413" s="638" t="str">
        <f t="shared" si="22"/>
        <v>642899</v>
      </c>
      <c r="N413" s="255">
        <f t="shared" si="24"/>
        <v>31069982</v>
      </c>
    </row>
    <row r="414" spans="1:14">
      <c r="A414" s="1460">
        <v>45626</v>
      </c>
      <c r="B414" s="1461" t="s">
        <v>1100</v>
      </c>
      <c r="C414" s="252"/>
      <c r="D414" s="252"/>
      <c r="E414" s="1462" t="s">
        <v>972</v>
      </c>
      <c r="F414" s="638" t="s">
        <v>769</v>
      </c>
      <c r="G414" s="1461" t="s">
        <v>930</v>
      </c>
      <c r="H414" s="1463">
        <v>553</v>
      </c>
      <c r="I414" s="253"/>
      <c r="J414" s="253"/>
      <c r="K414" s="254"/>
      <c r="L414" t="str">
        <f t="shared" si="23"/>
        <v>8</v>
      </c>
      <c r="M414" s="638" t="str">
        <f t="shared" si="22"/>
        <v>8114</v>
      </c>
      <c r="N414" s="255">
        <f t="shared" si="24"/>
        <v>553</v>
      </c>
    </row>
    <row r="415" spans="1:14">
      <c r="A415" s="1460">
        <v>45626</v>
      </c>
      <c r="B415" s="1461" t="s">
        <v>1100</v>
      </c>
      <c r="C415" s="252"/>
      <c r="D415" s="252"/>
      <c r="E415" s="1462" t="s">
        <v>950</v>
      </c>
      <c r="F415" s="638" t="s">
        <v>769</v>
      </c>
      <c r="G415" s="1461" t="s">
        <v>918</v>
      </c>
      <c r="H415" s="1463">
        <v>563835616</v>
      </c>
      <c r="I415" s="253"/>
      <c r="J415" s="253"/>
      <c r="K415" s="254"/>
      <c r="L415" t="str">
        <f t="shared" si="23"/>
        <v>5</v>
      </c>
      <c r="M415" s="638" t="str">
        <f t="shared" si="22"/>
        <v>51101030203</v>
      </c>
      <c r="N415" s="255">
        <f t="shared" si="24"/>
        <v>563835616</v>
      </c>
    </row>
    <row r="416" spans="1:14">
      <c r="A416" s="1460">
        <v>45626</v>
      </c>
      <c r="B416" s="1461" t="s">
        <v>1100</v>
      </c>
      <c r="C416" s="252"/>
      <c r="D416" s="252"/>
      <c r="E416" s="1462" t="s">
        <v>1089</v>
      </c>
      <c r="F416" s="638" t="s">
        <v>769</v>
      </c>
      <c r="G416" s="1461" t="s">
        <v>1033</v>
      </c>
      <c r="H416" s="1463">
        <v>4275330</v>
      </c>
      <c r="I416" s="253"/>
      <c r="J416" s="253"/>
      <c r="K416" s="254"/>
      <c r="L416" t="str">
        <f t="shared" si="23"/>
        <v>6</v>
      </c>
      <c r="M416" s="638" t="str">
        <f t="shared" si="22"/>
        <v>642802</v>
      </c>
      <c r="N416" s="255">
        <f t="shared" si="24"/>
        <v>4275330</v>
      </c>
    </row>
    <row r="417" spans="1:14">
      <c r="A417" s="1460">
        <v>45626</v>
      </c>
      <c r="B417" s="1461" t="s">
        <v>1100</v>
      </c>
      <c r="C417" s="252"/>
      <c r="D417" s="252"/>
      <c r="E417" s="1462" t="s">
        <v>1083</v>
      </c>
      <c r="F417" s="638" t="s">
        <v>769</v>
      </c>
      <c r="G417" s="1461" t="s">
        <v>1047</v>
      </c>
      <c r="H417" s="1463">
        <v>2315162</v>
      </c>
      <c r="I417" s="253"/>
      <c r="J417" s="253"/>
      <c r="K417" s="254"/>
      <c r="L417" t="str">
        <f t="shared" si="23"/>
        <v>6</v>
      </c>
      <c r="M417" s="638" t="str">
        <f t="shared" si="22"/>
        <v>642804</v>
      </c>
      <c r="N417" s="255">
        <f t="shared" si="24"/>
        <v>2315162</v>
      </c>
    </row>
    <row r="418" spans="1:14">
      <c r="A418" s="1460">
        <v>45626</v>
      </c>
      <c r="B418" s="1461" t="s">
        <v>1100</v>
      </c>
      <c r="C418" s="252"/>
      <c r="D418" s="252"/>
      <c r="E418" s="1462" t="s">
        <v>1090</v>
      </c>
      <c r="F418" s="638" t="s">
        <v>769</v>
      </c>
      <c r="G418" s="1461" t="s">
        <v>967</v>
      </c>
      <c r="H418" s="1463">
        <v>5300000</v>
      </c>
      <c r="I418" s="253"/>
      <c r="J418" s="253"/>
      <c r="K418" s="254"/>
      <c r="L418" t="str">
        <f t="shared" si="23"/>
        <v>6</v>
      </c>
      <c r="M418" s="638" t="str">
        <f t="shared" si="22"/>
        <v>642899</v>
      </c>
      <c r="N418" s="255">
        <f t="shared" si="24"/>
        <v>5300000</v>
      </c>
    </row>
    <row r="419" spans="1:14">
      <c r="A419" s="1460">
        <v>45626</v>
      </c>
      <c r="B419" s="1461" t="s">
        <v>1100</v>
      </c>
      <c r="C419" s="252"/>
      <c r="D419" s="252"/>
      <c r="E419" s="1462" t="s">
        <v>824</v>
      </c>
      <c r="F419" s="638" t="s">
        <v>769</v>
      </c>
      <c r="G419" s="1461" t="s">
        <v>825</v>
      </c>
      <c r="H419" s="1463">
        <v>7096606</v>
      </c>
      <c r="I419" s="253"/>
      <c r="J419" s="253"/>
      <c r="K419" s="254"/>
      <c r="L419" t="str">
        <f t="shared" si="23"/>
        <v>6</v>
      </c>
      <c r="M419" s="638" t="str">
        <f t="shared" si="22"/>
        <v>642711</v>
      </c>
      <c r="N419" s="255">
        <f t="shared" si="24"/>
        <v>7096606</v>
      </c>
    </row>
    <row r="420" spans="1:14">
      <c r="A420" s="1460">
        <v>45626</v>
      </c>
      <c r="B420" s="1461" t="s">
        <v>1100</v>
      </c>
      <c r="C420" s="252"/>
      <c r="D420" s="252"/>
      <c r="E420" s="1462" t="s">
        <v>827</v>
      </c>
      <c r="F420" s="638" t="s">
        <v>769</v>
      </c>
      <c r="G420" s="1461" t="s">
        <v>828</v>
      </c>
      <c r="H420" s="1463">
        <v>1443200</v>
      </c>
      <c r="I420" s="253"/>
      <c r="J420" s="253"/>
      <c r="K420" s="254"/>
      <c r="L420" t="str">
        <f t="shared" si="23"/>
        <v>6</v>
      </c>
      <c r="M420" s="638" t="str">
        <f t="shared" si="22"/>
        <v>642712</v>
      </c>
      <c r="N420" s="255">
        <f t="shared" si="24"/>
        <v>1443200</v>
      </c>
    </row>
    <row r="421" spans="1:14">
      <c r="A421" s="1460">
        <v>45626</v>
      </c>
      <c r="B421" s="1461" t="s">
        <v>1100</v>
      </c>
      <c r="C421" s="252"/>
      <c r="D421" s="252"/>
      <c r="E421" s="1462" t="s">
        <v>1088</v>
      </c>
      <c r="F421" s="638" t="s">
        <v>769</v>
      </c>
      <c r="G421" s="1461" t="s">
        <v>1039</v>
      </c>
      <c r="H421" s="1463">
        <v>244390500</v>
      </c>
      <c r="I421" s="253"/>
      <c r="J421" s="253"/>
      <c r="K421" s="254"/>
      <c r="L421" t="str">
        <f t="shared" si="23"/>
        <v>6</v>
      </c>
      <c r="M421" s="638" t="str">
        <f t="shared" si="22"/>
        <v>642713</v>
      </c>
      <c r="N421" s="255">
        <f t="shared" si="24"/>
        <v>244390500</v>
      </c>
    </row>
    <row r="422" spans="1:14">
      <c r="A422" s="1460">
        <v>45626</v>
      </c>
      <c r="B422" s="1461" t="s">
        <v>1100</v>
      </c>
      <c r="C422" s="252"/>
      <c r="D422" s="252"/>
      <c r="E422" s="1462" t="s">
        <v>1085</v>
      </c>
      <c r="F422" s="638" t="s">
        <v>769</v>
      </c>
      <c r="G422" s="1461" t="s">
        <v>1043</v>
      </c>
      <c r="H422" s="1463">
        <v>11101241</v>
      </c>
      <c r="I422" s="253"/>
      <c r="J422" s="253"/>
      <c r="K422" s="254"/>
      <c r="L422" t="str">
        <f t="shared" si="23"/>
        <v>6</v>
      </c>
      <c r="M422" s="638" t="str">
        <f t="shared" si="22"/>
        <v>642714</v>
      </c>
      <c r="N422" s="255">
        <f t="shared" si="24"/>
        <v>11101241</v>
      </c>
    </row>
    <row r="423" spans="1:14">
      <c r="A423" s="1460">
        <v>45626</v>
      </c>
      <c r="B423" s="1461" t="s">
        <v>1100</v>
      </c>
      <c r="C423" s="252"/>
      <c r="D423" s="252"/>
      <c r="E423" s="1462" t="s">
        <v>1082</v>
      </c>
      <c r="F423" s="638" t="s">
        <v>769</v>
      </c>
      <c r="G423" s="1461" t="s">
        <v>1045</v>
      </c>
      <c r="H423" s="1463">
        <v>5560000</v>
      </c>
      <c r="I423" s="253"/>
      <c r="J423" s="253"/>
      <c r="K423" s="254"/>
      <c r="L423" t="str">
        <f t="shared" si="23"/>
        <v>6</v>
      </c>
      <c r="M423" s="638" t="str">
        <f t="shared" si="22"/>
        <v>642718</v>
      </c>
      <c r="N423" s="255">
        <f t="shared" si="24"/>
        <v>5560000</v>
      </c>
    </row>
    <row r="424" spans="1:14">
      <c r="A424" s="1460">
        <v>45626</v>
      </c>
      <c r="B424" s="1461" t="s">
        <v>1100</v>
      </c>
      <c r="C424" s="252"/>
      <c r="D424" s="252"/>
      <c r="E424" s="1462" t="s">
        <v>832</v>
      </c>
      <c r="F424" s="638" t="s">
        <v>769</v>
      </c>
      <c r="G424" s="1461" t="s">
        <v>833</v>
      </c>
      <c r="H424" s="1463">
        <v>22607785</v>
      </c>
      <c r="I424" s="253"/>
      <c r="J424" s="253"/>
      <c r="K424" s="254"/>
      <c r="L424" t="str">
        <f t="shared" si="23"/>
        <v>6</v>
      </c>
      <c r="M424" s="638" t="str">
        <f t="shared" si="22"/>
        <v>642799</v>
      </c>
      <c r="N424" s="255">
        <f t="shared" si="24"/>
        <v>22607785</v>
      </c>
    </row>
    <row r="425" spans="1:14">
      <c r="A425" s="1460">
        <v>45626</v>
      </c>
      <c r="B425" s="1461" t="s">
        <v>1100</v>
      </c>
      <c r="C425" s="252"/>
      <c r="D425" s="252"/>
      <c r="E425" s="1462" t="s">
        <v>853</v>
      </c>
      <c r="F425" s="638" t="s">
        <v>769</v>
      </c>
      <c r="G425" s="1461" t="s">
        <v>854</v>
      </c>
      <c r="H425" s="1463">
        <v>14196667</v>
      </c>
      <c r="I425" s="253"/>
      <c r="J425" s="253"/>
      <c r="K425" s="254"/>
      <c r="L425" t="str">
        <f t="shared" si="23"/>
        <v>6</v>
      </c>
      <c r="M425" s="638" t="str">
        <f t="shared" si="22"/>
        <v>642704</v>
      </c>
      <c r="N425" s="255">
        <f t="shared" si="24"/>
        <v>14196667</v>
      </c>
    </row>
    <row r="426" spans="1:14">
      <c r="A426" s="1460">
        <v>45626</v>
      </c>
      <c r="B426" s="1461" t="s">
        <v>1100</v>
      </c>
      <c r="C426" s="252"/>
      <c r="D426" s="252"/>
      <c r="E426" s="1462" t="s">
        <v>858</v>
      </c>
      <c r="F426" s="638" t="s">
        <v>769</v>
      </c>
      <c r="G426" s="1461" t="s">
        <v>859</v>
      </c>
      <c r="H426" s="1463">
        <v>52904500</v>
      </c>
      <c r="I426" s="253"/>
      <c r="J426" s="253"/>
      <c r="K426" s="254"/>
      <c r="L426" t="str">
        <f t="shared" si="23"/>
        <v>6</v>
      </c>
      <c r="M426" s="638" t="str">
        <f t="shared" si="22"/>
        <v>642706</v>
      </c>
      <c r="N426" s="255">
        <f t="shared" si="24"/>
        <v>52904500</v>
      </c>
    </row>
    <row r="427" spans="1:14">
      <c r="A427" s="1460">
        <v>45626</v>
      </c>
      <c r="B427" s="1461" t="s">
        <v>1100</v>
      </c>
      <c r="C427" s="252"/>
      <c r="D427" s="252"/>
      <c r="E427" s="1462" t="s">
        <v>863</v>
      </c>
      <c r="F427" s="638" t="s">
        <v>769</v>
      </c>
      <c r="G427" s="1461" t="s">
        <v>864</v>
      </c>
      <c r="H427" s="1463">
        <v>63735771</v>
      </c>
      <c r="I427" s="253"/>
      <c r="J427" s="253"/>
      <c r="K427" s="254"/>
      <c r="L427" t="str">
        <f t="shared" si="23"/>
        <v>6</v>
      </c>
      <c r="M427" s="638" t="str">
        <f t="shared" si="22"/>
        <v>642707</v>
      </c>
      <c r="N427" s="255">
        <f t="shared" si="24"/>
        <v>63735771</v>
      </c>
    </row>
    <row r="428" spans="1:14">
      <c r="A428" s="1460">
        <v>45626</v>
      </c>
      <c r="B428" s="1461" t="s">
        <v>1100</v>
      </c>
      <c r="C428" s="252"/>
      <c r="D428" s="252"/>
      <c r="E428" s="1462" t="s">
        <v>809</v>
      </c>
      <c r="F428" s="638" t="s">
        <v>769</v>
      </c>
      <c r="G428" s="1461" t="s">
        <v>810</v>
      </c>
      <c r="H428" s="1463">
        <v>68578256</v>
      </c>
      <c r="I428" s="253"/>
      <c r="J428" s="253"/>
      <c r="K428" s="254"/>
      <c r="L428" t="str">
        <f t="shared" si="23"/>
        <v>6</v>
      </c>
      <c r="M428" s="638" t="str">
        <f t="shared" si="22"/>
        <v>642708</v>
      </c>
      <c r="N428" s="255">
        <f t="shared" si="24"/>
        <v>68578256</v>
      </c>
    </row>
    <row r="429" spans="1:14">
      <c r="A429" s="1460">
        <v>45626</v>
      </c>
      <c r="B429" s="1461" t="s">
        <v>1100</v>
      </c>
      <c r="C429" s="252"/>
      <c r="D429" s="252"/>
      <c r="E429" s="1462" t="s">
        <v>768</v>
      </c>
      <c r="F429" s="638" t="s">
        <v>769</v>
      </c>
      <c r="G429" s="1461" t="s">
        <v>770</v>
      </c>
      <c r="H429" s="1463">
        <v>111782320</v>
      </c>
      <c r="I429" s="253"/>
      <c r="J429" s="253"/>
      <c r="K429" s="254"/>
      <c r="L429" t="str">
        <f t="shared" si="23"/>
        <v>6</v>
      </c>
      <c r="M429" s="638" t="str">
        <f t="shared" si="22"/>
        <v>63311</v>
      </c>
      <c r="N429" s="255">
        <f t="shared" si="24"/>
        <v>111782320</v>
      </c>
    </row>
    <row r="430" spans="1:14">
      <c r="A430" s="1460">
        <v>45626</v>
      </c>
      <c r="B430" s="1461" t="s">
        <v>1100</v>
      </c>
      <c r="C430" s="252"/>
      <c r="D430" s="252"/>
      <c r="E430" s="1462" t="s">
        <v>780</v>
      </c>
      <c r="F430" s="638" t="s">
        <v>769</v>
      </c>
      <c r="G430" s="1461" t="s">
        <v>781</v>
      </c>
      <c r="H430" s="1463">
        <v>42833334</v>
      </c>
      <c r="I430" s="253"/>
      <c r="J430" s="253"/>
      <c r="K430" s="254"/>
      <c r="L430" t="str">
        <f t="shared" si="23"/>
        <v>6</v>
      </c>
      <c r="M430" s="638" t="str">
        <f t="shared" si="22"/>
        <v>63312</v>
      </c>
      <c r="N430" s="255">
        <f t="shared" si="24"/>
        <v>42833334</v>
      </c>
    </row>
    <row r="431" spans="1:14">
      <c r="A431" s="1460">
        <v>45626</v>
      </c>
      <c r="B431" s="1461" t="s">
        <v>1100</v>
      </c>
      <c r="C431" s="252"/>
      <c r="D431" s="252"/>
      <c r="E431" s="1462" t="s">
        <v>786</v>
      </c>
      <c r="F431" s="638" t="s">
        <v>769</v>
      </c>
      <c r="G431" s="1461" t="s">
        <v>787</v>
      </c>
      <c r="H431" s="1463">
        <v>11695430</v>
      </c>
      <c r="I431" s="253"/>
      <c r="J431" s="253"/>
      <c r="K431" s="254"/>
      <c r="L431" t="str">
        <f t="shared" si="23"/>
        <v>6</v>
      </c>
      <c r="M431" s="638" t="str">
        <f t="shared" si="22"/>
        <v>63313</v>
      </c>
      <c r="N431" s="255">
        <f t="shared" si="24"/>
        <v>11695430</v>
      </c>
    </row>
    <row r="432" spans="1:14">
      <c r="A432" s="1460">
        <v>45626</v>
      </c>
      <c r="B432" s="1461" t="s">
        <v>1100</v>
      </c>
      <c r="C432" s="252"/>
      <c r="D432" s="252"/>
      <c r="E432" s="1462" t="s">
        <v>790</v>
      </c>
      <c r="F432" s="638" t="s">
        <v>769</v>
      </c>
      <c r="G432" s="1461" t="s">
        <v>791</v>
      </c>
      <c r="H432" s="1463">
        <v>810489729</v>
      </c>
      <c r="I432" s="253"/>
      <c r="J432" s="253"/>
      <c r="K432" s="254"/>
      <c r="L432" t="str">
        <f t="shared" si="23"/>
        <v>6</v>
      </c>
      <c r="M432" s="638" t="str">
        <f t="shared" si="22"/>
        <v>6331711</v>
      </c>
      <c r="N432" s="255">
        <f t="shared" si="24"/>
        <v>810489729</v>
      </c>
    </row>
    <row r="433" spans="1:14">
      <c r="A433" s="1460">
        <v>45626</v>
      </c>
      <c r="B433" s="1461" t="s">
        <v>1100</v>
      </c>
      <c r="C433" s="252"/>
      <c r="D433" s="252"/>
      <c r="E433" s="1462" t="s">
        <v>813</v>
      </c>
      <c r="F433" s="638" t="s">
        <v>769</v>
      </c>
      <c r="G433" s="1461" t="s">
        <v>814</v>
      </c>
      <c r="H433" s="1463">
        <v>8040200</v>
      </c>
      <c r="I433" s="253"/>
      <c r="J433" s="253"/>
      <c r="K433" s="254"/>
      <c r="L433" t="str">
        <f t="shared" si="23"/>
        <v>6</v>
      </c>
      <c r="M433" s="638" t="str">
        <f t="shared" si="22"/>
        <v>642709</v>
      </c>
      <c r="N433" s="255">
        <f t="shared" si="24"/>
        <v>8040200</v>
      </c>
    </row>
    <row r="434" spans="1:14">
      <c r="A434" s="1460">
        <v>45626</v>
      </c>
      <c r="B434" s="1461" t="s">
        <v>1100</v>
      </c>
      <c r="C434" s="252"/>
      <c r="D434" s="252"/>
      <c r="E434" s="1462" t="s">
        <v>818</v>
      </c>
      <c r="F434" s="638" t="s">
        <v>769</v>
      </c>
      <c r="G434" s="1461" t="s">
        <v>819</v>
      </c>
      <c r="H434" s="1463">
        <v>512726</v>
      </c>
      <c r="I434" s="253"/>
      <c r="J434" s="253"/>
      <c r="K434" s="254"/>
      <c r="L434" t="str">
        <f t="shared" si="23"/>
        <v>6</v>
      </c>
      <c r="M434" s="638" t="str">
        <f t="shared" si="22"/>
        <v>642710</v>
      </c>
      <c r="N434" s="255">
        <f t="shared" si="24"/>
        <v>512726</v>
      </c>
    </row>
    <row r="435" spans="1:14">
      <c r="A435" s="1460">
        <v>45626</v>
      </c>
      <c r="B435" s="1461" t="s">
        <v>1100</v>
      </c>
      <c r="C435" s="252"/>
      <c r="D435" s="252"/>
      <c r="E435" s="1462" t="s">
        <v>874</v>
      </c>
      <c r="F435" s="638" t="s">
        <v>769</v>
      </c>
      <c r="G435" s="1461" t="s">
        <v>505</v>
      </c>
      <c r="H435" s="1463">
        <v>6583277</v>
      </c>
      <c r="I435" s="253"/>
      <c r="J435" s="253"/>
      <c r="K435" s="254"/>
      <c r="L435" t="str">
        <f t="shared" si="23"/>
        <v>6</v>
      </c>
      <c r="M435" s="638" t="str">
        <f t="shared" si="22"/>
        <v>6422</v>
      </c>
      <c r="N435" s="255">
        <f t="shared" si="24"/>
        <v>6583277</v>
      </c>
    </row>
    <row r="436" spans="1:14">
      <c r="A436" s="1460">
        <v>45626</v>
      </c>
      <c r="B436" s="1461" t="s">
        <v>1100</v>
      </c>
      <c r="C436" s="252"/>
      <c r="D436" s="252"/>
      <c r="E436" s="1462" t="s">
        <v>877</v>
      </c>
      <c r="F436" s="638" t="s">
        <v>769</v>
      </c>
      <c r="G436" s="1461" t="s">
        <v>381</v>
      </c>
      <c r="H436" s="1463">
        <v>103556817</v>
      </c>
      <c r="I436" s="253"/>
      <c r="J436" s="253"/>
      <c r="K436" s="254"/>
      <c r="L436" t="str">
        <f t="shared" si="23"/>
        <v>6</v>
      </c>
      <c r="M436" s="638" t="str">
        <f t="shared" si="22"/>
        <v>6423</v>
      </c>
      <c r="N436" s="255">
        <f t="shared" si="24"/>
        <v>103556817</v>
      </c>
    </row>
    <row r="437" spans="1:14">
      <c r="A437" s="1460">
        <v>45626</v>
      </c>
      <c r="B437" s="1461" t="s">
        <v>1100</v>
      </c>
      <c r="C437" s="252"/>
      <c r="D437" s="252"/>
      <c r="E437" s="1462" t="s">
        <v>880</v>
      </c>
      <c r="F437" s="638" t="s">
        <v>769</v>
      </c>
      <c r="G437" s="1461" t="s">
        <v>383</v>
      </c>
      <c r="H437" s="1463">
        <v>88761832</v>
      </c>
      <c r="I437" s="253"/>
      <c r="J437" s="253"/>
      <c r="K437" s="254"/>
      <c r="L437" t="str">
        <f t="shared" si="23"/>
        <v>6</v>
      </c>
      <c r="M437" s="638" t="str">
        <f t="shared" si="22"/>
        <v>6424</v>
      </c>
      <c r="N437" s="255">
        <f t="shared" si="24"/>
        <v>88761832</v>
      </c>
    </row>
    <row r="438" spans="1:14">
      <c r="A438" s="1460">
        <v>45626</v>
      </c>
      <c r="B438" s="1461" t="s">
        <v>1100</v>
      </c>
      <c r="C438" s="252"/>
      <c r="D438" s="252"/>
      <c r="E438" s="1462" t="s">
        <v>838</v>
      </c>
      <c r="F438" s="638" t="s">
        <v>769</v>
      </c>
      <c r="G438" s="1461" t="s">
        <v>839</v>
      </c>
      <c r="H438" s="1463">
        <v>380285141</v>
      </c>
      <c r="I438" s="253"/>
      <c r="J438" s="253"/>
      <c r="K438" s="254"/>
      <c r="L438" t="str">
        <f t="shared" si="23"/>
        <v>6</v>
      </c>
      <c r="M438" s="638" t="str">
        <f t="shared" si="22"/>
        <v>642701</v>
      </c>
      <c r="N438" s="255">
        <f t="shared" si="24"/>
        <v>380285141</v>
      </c>
    </row>
    <row r="439" spans="1:14">
      <c r="A439" s="1460">
        <v>45626</v>
      </c>
      <c r="B439" s="1461" t="s">
        <v>1100</v>
      </c>
      <c r="C439" s="252"/>
      <c r="D439" s="252"/>
      <c r="E439" s="1462" t="s">
        <v>842</v>
      </c>
      <c r="F439" s="638" t="s">
        <v>769</v>
      </c>
      <c r="G439" s="1461" t="s">
        <v>843</v>
      </c>
      <c r="H439" s="1463">
        <v>20883207</v>
      </c>
      <c r="I439" s="253"/>
      <c r="J439" s="253"/>
      <c r="K439" s="254"/>
      <c r="L439" t="str">
        <f t="shared" si="23"/>
        <v>6</v>
      </c>
      <c r="M439" s="638" t="str">
        <f t="shared" si="22"/>
        <v>642702</v>
      </c>
      <c r="N439" s="255">
        <f t="shared" si="24"/>
        <v>20883207</v>
      </c>
    </row>
    <row r="440" spans="1:14">
      <c r="A440" s="1460">
        <v>45626</v>
      </c>
      <c r="B440" s="1461" t="s">
        <v>1100</v>
      </c>
      <c r="C440" s="252"/>
      <c r="D440" s="252"/>
      <c r="E440" s="1462" t="s">
        <v>847</v>
      </c>
      <c r="F440" s="638" t="s">
        <v>769</v>
      </c>
      <c r="G440" s="1461" t="s">
        <v>848</v>
      </c>
      <c r="H440" s="1463">
        <v>2868277</v>
      </c>
      <c r="I440" s="253"/>
      <c r="J440" s="253"/>
      <c r="K440" s="254"/>
      <c r="L440" t="str">
        <f t="shared" si="23"/>
        <v>6</v>
      </c>
      <c r="M440" s="638" t="str">
        <f t="shared" si="22"/>
        <v>642703</v>
      </c>
      <c r="N440" s="255">
        <f t="shared" si="24"/>
        <v>2868277</v>
      </c>
    </row>
    <row r="441" spans="1:14">
      <c r="A441" s="1460">
        <v>45626</v>
      </c>
      <c r="B441" s="1461" t="s">
        <v>1100</v>
      </c>
      <c r="C441" s="252"/>
      <c r="D441" s="252"/>
      <c r="E441" s="1462" t="s">
        <v>912</v>
      </c>
      <c r="F441" s="638" t="s">
        <v>769</v>
      </c>
      <c r="G441" s="1461" t="s">
        <v>820</v>
      </c>
      <c r="H441" s="1463">
        <v>18988403</v>
      </c>
      <c r="I441" s="253"/>
      <c r="J441" s="253"/>
      <c r="K441" s="254"/>
      <c r="L441" t="str">
        <f t="shared" si="23"/>
        <v>6</v>
      </c>
      <c r="M441" s="638" t="str">
        <f t="shared" si="22"/>
        <v>63341</v>
      </c>
      <c r="N441" s="255">
        <f t="shared" si="24"/>
        <v>18988403</v>
      </c>
    </row>
    <row r="442" spans="1:14">
      <c r="A442" s="1460">
        <v>45626</v>
      </c>
      <c r="B442" s="1461" t="s">
        <v>1100</v>
      </c>
      <c r="C442" s="252"/>
      <c r="D442" s="252"/>
      <c r="E442" s="1462" t="s">
        <v>1101</v>
      </c>
      <c r="F442" s="638" t="s">
        <v>769</v>
      </c>
      <c r="G442" s="1461" t="s">
        <v>1063</v>
      </c>
      <c r="H442" s="1463">
        <v>280500</v>
      </c>
      <c r="I442" s="253"/>
      <c r="J442" s="253"/>
      <c r="K442" s="254"/>
      <c r="L442" t="str">
        <f t="shared" si="23"/>
        <v>6</v>
      </c>
      <c r="M442" s="638" t="str">
        <f t="shared" si="22"/>
        <v>633448</v>
      </c>
      <c r="N442" s="255">
        <f t="shared" si="24"/>
        <v>280500</v>
      </c>
    </row>
    <row r="443" spans="1:14">
      <c r="A443" s="1460">
        <v>45626</v>
      </c>
      <c r="B443" s="1461" t="s">
        <v>1100</v>
      </c>
      <c r="C443" s="252"/>
      <c r="D443" s="252"/>
      <c r="E443" s="1462" t="s">
        <v>798</v>
      </c>
      <c r="F443" s="638" t="s">
        <v>769</v>
      </c>
      <c r="G443" s="1461" t="s">
        <v>799</v>
      </c>
      <c r="H443" s="1463">
        <v>2941719</v>
      </c>
      <c r="I443" s="253"/>
      <c r="J443" s="253"/>
      <c r="K443" s="254"/>
      <c r="L443" t="str">
        <f t="shared" si="23"/>
        <v>6</v>
      </c>
      <c r="M443" s="638" t="str">
        <f t="shared" si="22"/>
        <v>63345</v>
      </c>
      <c r="N443" s="255">
        <f t="shared" si="24"/>
        <v>2941719</v>
      </c>
    </row>
    <row r="444" spans="1:14">
      <c r="A444" s="1460">
        <v>45626</v>
      </c>
      <c r="B444" s="1461" t="s">
        <v>1100</v>
      </c>
      <c r="C444" s="252"/>
      <c r="D444" s="252"/>
      <c r="E444" s="1462" t="s">
        <v>1077</v>
      </c>
      <c r="F444" s="638" t="s">
        <v>769</v>
      </c>
      <c r="G444" s="1461" t="s">
        <v>309</v>
      </c>
      <c r="H444" s="1463">
        <v>173178082</v>
      </c>
      <c r="I444" s="253"/>
      <c r="J444" s="253"/>
      <c r="K444" s="254"/>
      <c r="L444" t="str">
        <f t="shared" si="23"/>
        <v>6</v>
      </c>
      <c r="M444" s="638" t="str">
        <f t="shared" si="22"/>
        <v>6352</v>
      </c>
      <c r="N444" s="255">
        <f t="shared" si="24"/>
        <v>173178082</v>
      </c>
    </row>
    <row r="445" spans="1:14">
      <c r="A445" s="1460">
        <v>45626</v>
      </c>
      <c r="B445" s="1461" t="s">
        <v>1100</v>
      </c>
      <c r="C445" s="252"/>
      <c r="D445" s="252"/>
      <c r="E445" s="1462" t="s">
        <v>867</v>
      </c>
      <c r="F445" s="638" t="s">
        <v>769</v>
      </c>
      <c r="G445" s="1461" t="s">
        <v>378</v>
      </c>
      <c r="H445" s="1463">
        <v>1292870220</v>
      </c>
      <c r="I445" s="253"/>
      <c r="J445" s="253"/>
      <c r="K445" s="254"/>
      <c r="L445" t="str">
        <f t="shared" si="23"/>
        <v>6</v>
      </c>
      <c r="M445" s="638" t="str">
        <f t="shared" si="22"/>
        <v>64211</v>
      </c>
      <c r="N445" s="255">
        <f t="shared" si="24"/>
        <v>1292870220</v>
      </c>
    </row>
    <row r="446" spans="1:14">
      <c r="A446" s="1460">
        <v>45626</v>
      </c>
      <c r="B446" s="1461" t="s">
        <v>1100</v>
      </c>
      <c r="C446" s="252"/>
      <c r="D446" s="252"/>
      <c r="E446" s="1462" t="s">
        <v>870</v>
      </c>
      <c r="F446" s="638" t="s">
        <v>769</v>
      </c>
      <c r="G446" s="1461" t="s">
        <v>379</v>
      </c>
      <c r="H446" s="1463">
        <v>83415000</v>
      </c>
      <c r="I446" s="253"/>
      <c r="J446" s="253"/>
      <c r="K446" s="254"/>
      <c r="L446" t="str">
        <f t="shared" si="23"/>
        <v>6</v>
      </c>
      <c r="M446" s="638" t="str">
        <f t="shared" si="22"/>
        <v>64212</v>
      </c>
      <c r="N446" s="255">
        <f t="shared" si="24"/>
        <v>83415000</v>
      </c>
    </row>
    <row r="447" spans="1:14">
      <c r="A447" s="1460">
        <v>45626</v>
      </c>
      <c r="B447" s="1461" t="s">
        <v>1100</v>
      </c>
      <c r="C447" s="252"/>
      <c r="D447" s="252"/>
      <c r="E447" s="1462" t="s">
        <v>794</v>
      </c>
      <c r="F447" s="638" t="s">
        <v>769</v>
      </c>
      <c r="G447" s="1461" t="s">
        <v>795</v>
      </c>
      <c r="H447" s="1463">
        <v>49974000</v>
      </c>
      <c r="I447" s="253"/>
      <c r="J447" s="253"/>
      <c r="K447" s="254"/>
      <c r="L447" t="str">
        <f t="shared" si="23"/>
        <v>6</v>
      </c>
      <c r="M447" s="638" t="str">
        <f t="shared" si="22"/>
        <v>6331712</v>
      </c>
      <c r="N447" s="255">
        <f t="shared" si="24"/>
        <v>49974000</v>
      </c>
    </row>
    <row r="448" spans="1:14">
      <c r="A448" s="1460">
        <v>45626</v>
      </c>
      <c r="B448" s="1461" t="s">
        <v>1100</v>
      </c>
      <c r="C448" s="252"/>
      <c r="D448" s="252"/>
      <c r="E448" s="1462" t="s">
        <v>903</v>
      </c>
      <c r="F448" s="638" t="s">
        <v>769</v>
      </c>
      <c r="G448" s="1461" t="s">
        <v>806</v>
      </c>
      <c r="H448" s="1463">
        <v>433976794</v>
      </c>
      <c r="I448" s="253"/>
      <c r="J448" s="253"/>
      <c r="K448" s="254"/>
      <c r="L448" t="str">
        <f t="shared" si="23"/>
        <v>9</v>
      </c>
      <c r="M448" s="638" t="str">
        <f t="shared" ref="M448:M460" si="25">F448</f>
        <v>9111</v>
      </c>
      <c r="N448" s="255">
        <f t="shared" si="24"/>
        <v>433976794</v>
      </c>
    </row>
    <row r="449" spans="1:14">
      <c r="A449" s="1460">
        <v>45626</v>
      </c>
      <c r="B449" s="1461" t="s">
        <v>1100</v>
      </c>
      <c r="C449" s="252"/>
      <c r="D449" s="252"/>
      <c r="E449" s="1462" t="s">
        <v>906</v>
      </c>
      <c r="F449" s="638" t="s">
        <v>769</v>
      </c>
      <c r="G449" s="1461" t="s">
        <v>811</v>
      </c>
      <c r="H449" s="1463">
        <v>113492635</v>
      </c>
      <c r="I449" s="253"/>
      <c r="J449" s="253"/>
      <c r="K449" s="254"/>
      <c r="L449" t="str">
        <f t="shared" si="23"/>
        <v>9</v>
      </c>
      <c r="M449" s="638" t="str">
        <f t="shared" si="25"/>
        <v>9111</v>
      </c>
      <c r="N449" s="255">
        <f t="shared" si="24"/>
        <v>113492635</v>
      </c>
    </row>
    <row r="450" spans="1:14">
      <c r="A450" s="1460">
        <v>45626</v>
      </c>
      <c r="B450" s="1461" t="s">
        <v>1100</v>
      </c>
      <c r="C450" s="252"/>
      <c r="D450" s="252"/>
      <c r="E450" s="1462" t="s">
        <v>909</v>
      </c>
      <c r="F450" s="638" t="s">
        <v>769</v>
      </c>
      <c r="G450" s="1461" t="s">
        <v>815</v>
      </c>
      <c r="H450" s="1463">
        <v>447724205</v>
      </c>
      <c r="I450" s="253"/>
      <c r="J450" s="253"/>
      <c r="K450" s="254"/>
      <c r="L450" t="str">
        <f t="shared" si="23"/>
        <v>9</v>
      </c>
      <c r="M450" s="638" t="str">
        <f t="shared" si="25"/>
        <v>9111</v>
      </c>
      <c r="N450" s="255">
        <f t="shared" si="24"/>
        <v>447724205</v>
      </c>
    </row>
    <row r="451" spans="1:14">
      <c r="A451" s="1460">
        <v>45626</v>
      </c>
      <c r="B451" s="1461" t="s">
        <v>1100</v>
      </c>
      <c r="C451" s="252"/>
      <c r="D451" s="252"/>
      <c r="E451" s="1462" t="s">
        <v>1078</v>
      </c>
      <c r="F451" s="638" t="s">
        <v>769</v>
      </c>
      <c r="G451" s="1461" t="s">
        <v>951</v>
      </c>
      <c r="H451" s="1463">
        <v>12000000</v>
      </c>
      <c r="I451" s="253"/>
      <c r="J451" s="253"/>
      <c r="K451" s="254"/>
      <c r="L451" t="str">
        <f t="shared" si="23"/>
        <v>9</v>
      </c>
      <c r="M451" s="638" t="str">
        <f t="shared" si="25"/>
        <v>9111</v>
      </c>
      <c r="N451" s="255">
        <f t="shared" si="24"/>
        <v>12000000</v>
      </c>
    </row>
    <row r="452" spans="1:14">
      <c r="A452" s="1460">
        <v>45626</v>
      </c>
      <c r="B452" s="1461" t="s">
        <v>1100</v>
      </c>
      <c r="C452" s="252"/>
      <c r="D452" s="252"/>
      <c r="E452" s="1462" t="s">
        <v>1073</v>
      </c>
      <c r="F452" s="638" t="s">
        <v>769</v>
      </c>
      <c r="G452" s="1461" t="s">
        <v>954</v>
      </c>
      <c r="H452" s="1463">
        <v>1410000</v>
      </c>
      <c r="I452" s="253"/>
      <c r="J452" s="253"/>
      <c r="K452" s="254"/>
      <c r="L452" t="str">
        <f t="shared" si="23"/>
        <v>9</v>
      </c>
      <c r="M452" s="638" t="str">
        <f t="shared" si="25"/>
        <v>9111</v>
      </c>
      <c r="N452" s="255">
        <f t="shared" si="24"/>
        <v>1410000</v>
      </c>
    </row>
    <row r="453" spans="1:14">
      <c r="A453" s="1460">
        <v>45657</v>
      </c>
      <c r="B453" s="1461" t="s">
        <v>1102</v>
      </c>
      <c r="C453" s="252"/>
      <c r="D453" s="252"/>
      <c r="E453" s="1462" t="s">
        <v>1082</v>
      </c>
      <c r="F453" s="638" t="s">
        <v>769</v>
      </c>
      <c r="G453" s="1461" t="s">
        <v>1045</v>
      </c>
      <c r="H453" s="1463">
        <v>10440000</v>
      </c>
      <c r="I453" s="253"/>
      <c r="J453" s="253"/>
      <c r="K453" s="254"/>
      <c r="L453" t="str">
        <f t="shared" si="23"/>
        <v>9</v>
      </c>
      <c r="M453" s="638" t="str">
        <f t="shared" si="25"/>
        <v>9111</v>
      </c>
      <c r="N453" s="255">
        <f t="shared" si="24"/>
        <v>10440000</v>
      </c>
    </row>
    <row r="454" spans="1:14">
      <c r="A454" s="1460">
        <v>45657</v>
      </c>
      <c r="B454" s="1461" t="s">
        <v>1102</v>
      </c>
      <c r="C454" s="252"/>
      <c r="D454" s="252"/>
      <c r="E454" s="1462" t="s">
        <v>832</v>
      </c>
      <c r="F454" s="638" t="s">
        <v>769</v>
      </c>
      <c r="G454" s="1461" t="s">
        <v>833</v>
      </c>
      <c r="H454" s="1463">
        <v>162489239</v>
      </c>
      <c r="I454" s="253"/>
      <c r="J454" s="253"/>
      <c r="K454" s="254"/>
      <c r="L454" t="str">
        <f t="shared" si="23"/>
        <v>9</v>
      </c>
      <c r="M454" s="638" t="str">
        <f t="shared" si="25"/>
        <v>9111</v>
      </c>
      <c r="N454" s="255">
        <f t="shared" si="24"/>
        <v>162489239</v>
      </c>
    </row>
    <row r="455" spans="1:14">
      <c r="A455" s="1460">
        <v>45657</v>
      </c>
      <c r="B455" s="1461" t="s">
        <v>1102</v>
      </c>
      <c r="C455" s="252"/>
      <c r="D455" s="252"/>
      <c r="E455" s="1462" t="s">
        <v>1089</v>
      </c>
      <c r="F455" s="638" t="s">
        <v>769</v>
      </c>
      <c r="G455" s="1461" t="s">
        <v>1033</v>
      </c>
      <c r="H455" s="1463">
        <v>7000020</v>
      </c>
      <c r="I455" s="253"/>
      <c r="J455" s="253"/>
      <c r="K455" s="254"/>
      <c r="L455" t="str">
        <f t="shared" si="23"/>
        <v>9</v>
      </c>
      <c r="M455" s="638" t="str">
        <f t="shared" si="25"/>
        <v>9111</v>
      </c>
      <c r="N455" s="255">
        <f t="shared" si="24"/>
        <v>7000020</v>
      </c>
    </row>
    <row r="456" spans="1:14">
      <c r="A456" s="1460">
        <v>45657</v>
      </c>
      <c r="B456" s="1461" t="s">
        <v>1102</v>
      </c>
      <c r="C456" s="252"/>
      <c r="D456" s="252"/>
      <c r="E456" s="1462" t="s">
        <v>1083</v>
      </c>
      <c r="F456" s="638" t="s">
        <v>769</v>
      </c>
      <c r="G456" s="1461" t="s">
        <v>1047</v>
      </c>
      <c r="H456" s="1463">
        <v>3727432</v>
      </c>
      <c r="I456" s="253"/>
      <c r="J456" s="253"/>
      <c r="K456" s="254"/>
      <c r="L456" t="str">
        <f t="shared" si="23"/>
        <v>9</v>
      </c>
      <c r="M456" s="638" t="str">
        <f t="shared" si="25"/>
        <v>9111</v>
      </c>
      <c r="N456" s="255">
        <f t="shared" si="24"/>
        <v>3727432</v>
      </c>
    </row>
    <row r="457" spans="1:14">
      <c r="A457" s="1460">
        <v>45657</v>
      </c>
      <c r="B457" s="1461" t="s">
        <v>1102</v>
      </c>
      <c r="C457" s="252"/>
      <c r="D457" s="252"/>
      <c r="E457" s="1462" t="s">
        <v>1086</v>
      </c>
      <c r="F457" s="638" t="s">
        <v>769</v>
      </c>
      <c r="G457" s="1461" t="s">
        <v>1035</v>
      </c>
      <c r="H457" s="1463">
        <v>6081389</v>
      </c>
      <c r="I457" s="253"/>
      <c r="J457" s="253"/>
      <c r="K457" s="254"/>
      <c r="L457" t="str">
        <f t="shared" si="23"/>
        <v>9</v>
      </c>
      <c r="M457" s="638" t="str">
        <f t="shared" si="25"/>
        <v>9111</v>
      </c>
      <c r="N457" s="255">
        <f t="shared" si="24"/>
        <v>6081389</v>
      </c>
    </row>
    <row r="458" spans="1:14">
      <c r="A458" s="1460">
        <v>45657</v>
      </c>
      <c r="B458" s="1461" t="s">
        <v>1102</v>
      </c>
      <c r="C458" s="252"/>
      <c r="D458" s="252"/>
      <c r="E458" s="1462" t="s">
        <v>1090</v>
      </c>
      <c r="F458" s="638" t="s">
        <v>769</v>
      </c>
      <c r="G458" s="1461" t="s">
        <v>967</v>
      </c>
      <c r="H458" s="1463">
        <v>16350000</v>
      </c>
      <c r="I458" s="253"/>
      <c r="J458" s="253"/>
      <c r="K458" s="254"/>
      <c r="L458" t="str">
        <f t="shared" si="23"/>
        <v>9</v>
      </c>
      <c r="M458" s="638" t="str">
        <f t="shared" si="25"/>
        <v>9111</v>
      </c>
      <c r="N458" s="255">
        <f t="shared" si="24"/>
        <v>16350000</v>
      </c>
    </row>
    <row r="459" spans="1:14">
      <c r="A459" s="1460">
        <v>45657</v>
      </c>
      <c r="B459" s="1461" t="s">
        <v>1102</v>
      </c>
      <c r="C459" s="252"/>
      <c r="D459" s="252"/>
      <c r="E459" s="1462" t="s">
        <v>818</v>
      </c>
      <c r="F459" s="638" t="s">
        <v>769</v>
      </c>
      <c r="G459" s="1461" t="s">
        <v>819</v>
      </c>
      <c r="H459" s="1463">
        <v>455563</v>
      </c>
      <c r="I459" s="253"/>
      <c r="J459" s="253"/>
      <c r="K459" s="254"/>
      <c r="L459" t="str">
        <f t="shared" si="23"/>
        <v>9</v>
      </c>
      <c r="M459" s="638" t="str">
        <f t="shared" si="25"/>
        <v>9111</v>
      </c>
      <c r="N459" s="255">
        <f t="shared" si="24"/>
        <v>455563</v>
      </c>
    </row>
    <row r="460" spans="1:14">
      <c r="A460" s="1460">
        <v>45657</v>
      </c>
      <c r="B460" s="1461" t="s">
        <v>1102</v>
      </c>
      <c r="C460" s="252"/>
      <c r="D460" s="252"/>
      <c r="E460" s="1462" t="s">
        <v>824</v>
      </c>
      <c r="F460" s="638" t="s">
        <v>769</v>
      </c>
      <c r="G460" s="1461" t="s">
        <v>825</v>
      </c>
      <c r="H460" s="1463">
        <v>11868228</v>
      </c>
      <c r="I460" s="253"/>
      <c r="J460" s="253"/>
      <c r="K460" s="254"/>
      <c r="L460" t="str">
        <f t="shared" si="23"/>
        <v>9</v>
      </c>
      <c r="M460" s="638" t="str">
        <f t="shared" si="25"/>
        <v>9111</v>
      </c>
      <c r="N460" s="255">
        <f t="shared" si="24"/>
        <v>11868228</v>
      </c>
    </row>
    <row r="461" spans="1:14">
      <c r="A461" s="1460">
        <v>45657</v>
      </c>
      <c r="B461" s="1461" t="s">
        <v>1102</v>
      </c>
      <c r="C461" s="252"/>
      <c r="D461" s="252"/>
      <c r="E461" s="1462" t="s">
        <v>827</v>
      </c>
      <c r="F461" s="638" t="s">
        <v>769</v>
      </c>
      <c r="G461" s="1461" t="s">
        <v>828</v>
      </c>
      <c r="H461" s="1463">
        <v>4607460</v>
      </c>
      <c r="I461" s="253"/>
      <c r="J461" s="253"/>
      <c r="K461" s="254"/>
      <c r="L461" t="str">
        <f t="shared" si="23"/>
        <v>6</v>
      </c>
      <c r="M461" s="638" t="str">
        <f t="shared" ref="M461:M499" si="26">G461</f>
        <v>642712</v>
      </c>
      <c r="N461" s="255">
        <f t="shared" si="24"/>
        <v>4607460</v>
      </c>
    </row>
    <row r="462" spans="1:14">
      <c r="A462" s="1460">
        <v>45657</v>
      </c>
      <c r="B462" s="1461" t="s">
        <v>1102</v>
      </c>
      <c r="C462" s="252"/>
      <c r="D462" s="252"/>
      <c r="E462" s="1462" t="s">
        <v>1088</v>
      </c>
      <c r="F462" s="638" t="s">
        <v>769</v>
      </c>
      <c r="G462" s="1461" t="s">
        <v>1039</v>
      </c>
      <c r="H462" s="1463">
        <v>245230500</v>
      </c>
      <c r="I462" s="253"/>
      <c r="J462" s="253"/>
      <c r="K462" s="254"/>
      <c r="L462" t="str">
        <f t="shared" si="23"/>
        <v>6</v>
      </c>
      <c r="M462" s="638" t="str">
        <f t="shared" si="26"/>
        <v>642713</v>
      </c>
      <c r="N462" s="255">
        <f t="shared" si="24"/>
        <v>245230500</v>
      </c>
    </row>
    <row r="463" spans="1:14">
      <c r="A463" s="1460">
        <v>45657</v>
      </c>
      <c r="B463" s="1461" t="s">
        <v>1102</v>
      </c>
      <c r="C463" s="252"/>
      <c r="D463" s="252"/>
      <c r="E463" s="1462" t="s">
        <v>1085</v>
      </c>
      <c r="F463" s="638" t="s">
        <v>769</v>
      </c>
      <c r="G463" s="1461" t="s">
        <v>1043</v>
      </c>
      <c r="H463" s="1463">
        <v>60610387</v>
      </c>
      <c r="I463" s="253"/>
      <c r="J463" s="253"/>
      <c r="K463" s="254"/>
      <c r="L463" t="str">
        <f t="shared" si="23"/>
        <v>6</v>
      </c>
      <c r="M463" s="638" t="str">
        <f t="shared" si="26"/>
        <v>642714</v>
      </c>
      <c r="N463" s="255">
        <f t="shared" si="24"/>
        <v>60610387</v>
      </c>
    </row>
    <row r="464" spans="1:14">
      <c r="A464" s="1460">
        <v>45657</v>
      </c>
      <c r="B464" s="1461" t="s">
        <v>1102</v>
      </c>
      <c r="C464" s="252"/>
      <c r="D464" s="252"/>
      <c r="E464" s="1462" t="s">
        <v>1087</v>
      </c>
      <c r="F464" s="638" t="s">
        <v>769</v>
      </c>
      <c r="G464" s="1461" t="s">
        <v>1037</v>
      </c>
      <c r="H464" s="1463">
        <v>38361600</v>
      </c>
      <c r="I464" s="253"/>
      <c r="J464" s="253"/>
      <c r="K464" s="254"/>
      <c r="L464" t="str">
        <f t="shared" si="23"/>
        <v>6</v>
      </c>
      <c r="M464" s="638" t="str">
        <f t="shared" si="26"/>
        <v>642717</v>
      </c>
      <c r="N464" s="255">
        <f t="shared" si="24"/>
        <v>38361600</v>
      </c>
    </row>
    <row r="465" spans="1:14">
      <c r="A465" s="1460">
        <v>45657</v>
      </c>
      <c r="B465" s="1461" t="s">
        <v>1102</v>
      </c>
      <c r="C465" s="252"/>
      <c r="D465" s="252"/>
      <c r="E465" s="1462" t="s">
        <v>847</v>
      </c>
      <c r="F465" s="638" t="s">
        <v>769</v>
      </c>
      <c r="G465" s="1461" t="s">
        <v>848</v>
      </c>
      <c r="H465" s="1463">
        <v>15204791</v>
      </c>
      <c r="I465" s="253"/>
      <c r="J465" s="253"/>
      <c r="K465" s="254"/>
      <c r="L465" t="str">
        <f t="shared" si="23"/>
        <v>6</v>
      </c>
      <c r="M465" s="638" t="str">
        <f t="shared" si="26"/>
        <v>642703</v>
      </c>
      <c r="N465" s="255">
        <f t="shared" si="24"/>
        <v>15204791</v>
      </c>
    </row>
    <row r="466" spans="1:14">
      <c r="A466" s="1460">
        <v>45657</v>
      </c>
      <c r="B466" s="1461" t="s">
        <v>1102</v>
      </c>
      <c r="C466" s="252"/>
      <c r="D466" s="252"/>
      <c r="E466" s="1462" t="s">
        <v>853</v>
      </c>
      <c r="F466" s="638" t="s">
        <v>769</v>
      </c>
      <c r="G466" s="1461" t="s">
        <v>854</v>
      </c>
      <c r="H466" s="1463">
        <v>15546667</v>
      </c>
      <c r="I466" s="253"/>
      <c r="J466" s="253"/>
      <c r="K466" s="254"/>
      <c r="L466" t="str">
        <f t="shared" si="23"/>
        <v>6</v>
      </c>
      <c r="M466" s="638" t="str">
        <f t="shared" si="26"/>
        <v>642704</v>
      </c>
      <c r="N466" s="255">
        <f t="shared" si="24"/>
        <v>15546667</v>
      </c>
    </row>
    <row r="467" spans="1:14">
      <c r="A467" s="1460">
        <v>45657</v>
      </c>
      <c r="B467" s="1461" t="s">
        <v>1102</v>
      </c>
      <c r="C467" s="252"/>
      <c r="D467" s="252"/>
      <c r="E467" s="1462" t="s">
        <v>858</v>
      </c>
      <c r="F467" s="638" t="s">
        <v>769</v>
      </c>
      <c r="G467" s="1461" t="s">
        <v>859</v>
      </c>
      <c r="H467" s="1463">
        <v>23023871</v>
      </c>
      <c r="I467" s="253"/>
      <c r="J467" s="253"/>
      <c r="K467" s="254"/>
      <c r="L467" t="str">
        <f t="shared" si="23"/>
        <v>6</v>
      </c>
      <c r="M467" s="638" t="str">
        <f t="shared" si="26"/>
        <v>642706</v>
      </c>
      <c r="N467" s="255">
        <f t="shared" si="24"/>
        <v>23023871</v>
      </c>
    </row>
    <row r="468" spans="1:14">
      <c r="A468" s="1460">
        <v>45657</v>
      </c>
      <c r="B468" s="1461" t="s">
        <v>1102</v>
      </c>
      <c r="C468" s="252"/>
      <c r="D468" s="252"/>
      <c r="E468" s="1462" t="s">
        <v>863</v>
      </c>
      <c r="F468" s="638" t="s">
        <v>769</v>
      </c>
      <c r="G468" s="1461" t="s">
        <v>864</v>
      </c>
      <c r="H468" s="1463">
        <v>27323771</v>
      </c>
      <c r="I468" s="253"/>
      <c r="J468" s="253"/>
      <c r="K468" s="254"/>
      <c r="L468" t="str">
        <f t="shared" si="23"/>
        <v>6</v>
      </c>
      <c r="M468" s="638" t="str">
        <f t="shared" si="26"/>
        <v>642707</v>
      </c>
      <c r="N468" s="255">
        <f t="shared" si="24"/>
        <v>27323771</v>
      </c>
    </row>
    <row r="469" spans="1:14">
      <c r="A469" s="1460">
        <v>45657</v>
      </c>
      <c r="B469" s="1461" t="s">
        <v>1102</v>
      </c>
      <c r="C469" s="252"/>
      <c r="D469" s="252"/>
      <c r="E469" s="1462" t="s">
        <v>809</v>
      </c>
      <c r="F469" s="638" t="s">
        <v>769</v>
      </c>
      <c r="G469" s="1461" t="s">
        <v>810</v>
      </c>
      <c r="H469" s="1463">
        <v>68578256</v>
      </c>
      <c r="I469" s="253"/>
      <c r="J469" s="253"/>
      <c r="K469" s="254"/>
      <c r="L469" t="str">
        <f t="shared" si="23"/>
        <v>6</v>
      </c>
      <c r="M469" s="638" t="str">
        <f t="shared" si="26"/>
        <v>642708</v>
      </c>
      <c r="N469" s="255">
        <f t="shared" si="24"/>
        <v>68578256</v>
      </c>
    </row>
    <row r="470" spans="1:14">
      <c r="A470" s="1460">
        <v>45657</v>
      </c>
      <c r="B470" s="1461" t="s">
        <v>1102</v>
      </c>
      <c r="C470" s="252"/>
      <c r="D470" s="252"/>
      <c r="E470" s="1462" t="s">
        <v>813</v>
      </c>
      <c r="F470" s="638" t="s">
        <v>769</v>
      </c>
      <c r="G470" s="1461" t="s">
        <v>814</v>
      </c>
      <c r="H470" s="1463">
        <v>4459511</v>
      </c>
      <c r="I470" s="253"/>
      <c r="J470" s="253"/>
      <c r="K470" s="254"/>
      <c r="L470" t="str">
        <f t="shared" si="23"/>
        <v>6</v>
      </c>
      <c r="M470" s="638" t="str">
        <f t="shared" si="26"/>
        <v>642709</v>
      </c>
      <c r="N470" s="255">
        <f t="shared" si="24"/>
        <v>4459511</v>
      </c>
    </row>
    <row r="471" spans="1:14">
      <c r="A471" s="1460">
        <v>45657</v>
      </c>
      <c r="B471" s="1461" t="s">
        <v>1102</v>
      </c>
      <c r="C471" s="252"/>
      <c r="D471" s="252"/>
      <c r="E471" s="1462" t="s">
        <v>870</v>
      </c>
      <c r="F471" s="638" t="s">
        <v>769</v>
      </c>
      <c r="G471" s="1461" t="s">
        <v>379</v>
      </c>
      <c r="H471" s="1463">
        <v>83123000</v>
      </c>
      <c r="I471" s="253"/>
      <c r="J471" s="253"/>
      <c r="K471" s="254"/>
      <c r="L471" t="str">
        <f t="shared" si="23"/>
        <v>6</v>
      </c>
      <c r="M471" s="638" t="str">
        <f t="shared" si="26"/>
        <v>64212</v>
      </c>
      <c r="N471" s="255">
        <f t="shared" si="24"/>
        <v>83123000</v>
      </c>
    </row>
    <row r="472" spans="1:14">
      <c r="A472" s="1460">
        <v>45657</v>
      </c>
      <c r="B472" s="1461" t="s">
        <v>1102</v>
      </c>
      <c r="C472" s="252"/>
      <c r="D472" s="252"/>
      <c r="E472" s="1462" t="s">
        <v>874</v>
      </c>
      <c r="F472" s="638" t="s">
        <v>769</v>
      </c>
      <c r="G472" s="1461" t="s">
        <v>505</v>
      </c>
      <c r="H472" s="1463">
        <v>42982283</v>
      </c>
      <c r="I472" s="253"/>
      <c r="J472" s="253"/>
      <c r="K472" s="254"/>
      <c r="L472" t="str">
        <f t="shared" si="23"/>
        <v>6</v>
      </c>
      <c r="M472" s="638" t="str">
        <f t="shared" si="26"/>
        <v>6422</v>
      </c>
      <c r="N472" s="255">
        <f t="shared" si="24"/>
        <v>42982283</v>
      </c>
    </row>
    <row r="473" spans="1:14">
      <c r="A473" s="1460">
        <v>45657</v>
      </c>
      <c r="B473" s="1461" t="s">
        <v>1102</v>
      </c>
      <c r="C473" s="252"/>
      <c r="D473" s="252"/>
      <c r="E473" s="1462" t="s">
        <v>877</v>
      </c>
      <c r="F473" s="638" t="s">
        <v>769</v>
      </c>
      <c r="G473" s="1461" t="s">
        <v>381</v>
      </c>
      <c r="H473" s="1463">
        <v>25851432</v>
      </c>
      <c r="I473" s="253"/>
      <c r="J473" s="253"/>
      <c r="K473" s="254"/>
      <c r="L473" t="str">
        <f t="shared" si="23"/>
        <v>6</v>
      </c>
      <c r="M473" s="638" t="str">
        <f t="shared" si="26"/>
        <v>6423</v>
      </c>
      <c r="N473" s="255">
        <f t="shared" si="24"/>
        <v>25851432</v>
      </c>
    </row>
    <row r="474" spans="1:14">
      <c r="A474" s="1460">
        <v>45657</v>
      </c>
      <c r="B474" s="1461" t="s">
        <v>1102</v>
      </c>
      <c r="C474" s="252"/>
      <c r="D474" s="252"/>
      <c r="E474" s="1462" t="s">
        <v>880</v>
      </c>
      <c r="F474" s="638" t="s">
        <v>769</v>
      </c>
      <c r="G474" s="1461" t="s">
        <v>383</v>
      </c>
      <c r="H474" s="1463">
        <v>88761832</v>
      </c>
      <c r="I474" s="253"/>
      <c r="J474" s="253"/>
      <c r="K474" s="254"/>
      <c r="L474" t="str">
        <f t="shared" si="23"/>
        <v>6</v>
      </c>
      <c r="M474" s="638" t="str">
        <f t="shared" si="26"/>
        <v>6424</v>
      </c>
      <c r="N474" s="255">
        <f t="shared" si="24"/>
        <v>88761832</v>
      </c>
    </row>
    <row r="475" spans="1:14">
      <c r="A475" s="1460">
        <v>45657</v>
      </c>
      <c r="B475" s="1461" t="s">
        <v>1102</v>
      </c>
      <c r="C475" s="252"/>
      <c r="D475" s="252"/>
      <c r="E475" s="1462" t="s">
        <v>838</v>
      </c>
      <c r="F475" s="638" t="s">
        <v>769</v>
      </c>
      <c r="G475" s="1461" t="s">
        <v>839</v>
      </c>
      <c r="H475" s="1463">
        <v>380285141</v>
      </c>
      <c r="I475" s="253"/>
      <c r="J475" s="253"/>
      <c r="K475" s="254"/>
      <c r="L475" t="str">
        <f t="shared" si="23"/>
        <v>6</v>
      </c>
      <c r="M475" s="638" t="str">
        <f t="shared" si="26"/>
        <v>642701</v>
      </c>
      <c r="N475" s="255">
        <f t="shared" si="24"/>
        <v>380285141</v>
      </c>
    </row>
    <row r="476" spans="1:14">
      <c r="A476" s="1460">
        <v>45657</v>
      </c>
      <c r="B476" s="1461" t="s">
        <v>1102</v>
      </c>
      <c r="C476" s="252"/>
      <c r="D476" s="252"/>
      <c r="E476" s="1462" t="s">
        <v>842</v>
      </c>
      <c r="F476" s="638" t="s">
        <v>769</v>
      </c>
      <c r="G476" s="1461" t="s">
        <v>843</v>
      </c>
      <c r="H476" s="1463">
        <v>51871594</v>
      </c>
      <c r="I476" s="253"/>
      <c r="J476" s="253"/>
      <c r="K476" s="254"/>
      <c r="L476" t="str">
        <f t="shared" ref="L476:L539" si="27">LEFT(M476,1)</f>
        <v>6</v>
      </c>
      <c r="M476" s="638" t="str">
        <f t="shared" si="26"/>
        <v>642702</v>
      </c>
      <c r="N476" s="255">
        <f t="shared" ref="N476:N539" si="28">IF(LEFT(F476,1)="9",H476,-H476)</f>
        <v>51871594</v>
      </c>
    </row>
    <row r="477" spans="1:14">
      <c r="A477" s="1460">
        <v>45657</v>
      </c>
      <c r="B477" s="1461" t="s">
        <v>1102</v>
      </c>
      <c r="C477" s="252"/>
      <c r="D477" s="252"/>
      <c r="E477" s="1462" t="s">
        <v>1078</v>
      </c>
      <c r="F477" s="638" t="s">
        <v>769</v>
      </c>
      <c r="G477" s="1461" t="s">
        <v>951</v>
      </c>
      <c r="H477" s="1463">
        <v>23496630</v>
      </c>
      <c r="I477" s="253"/>
      <c r="J477" s="253"/>
      <c r="K477" s="254"/>
      <c r="L477" t="str">
        <f t="shared" si="27"/>
        <v>6</v>
      </c>
      <c r="M477" s="638" t="str">
        <f t="shared" si="26"/>
        <v>6333311</v>
      </c>
      <c r="N477" s="255">
        <f t="shared" si="28"/>
        <v>23496630</v>
      </c>
    </row>
    <row r="478" spans="1:14">
      <c r="A478" s="1460">
        <v>45657</v>
      </c>
      <c r="B478" s="1461" t="s">
        <v>1102</v>
      </c>
      <c r="C478" s="252"/>
      <c r="D478" s="252"/>
      <c r="E478" s="1462" t="s">
        <v>1073</v>
      </c>
      <c r="F478" s="638" t="s">
        <v>769</v>
      </c>
      <c r="G478" s="1461" t="s">
        <v>954</v>
      </c>
      <c r="H478" s="1463">
        <v>1410000</v>
      </c>
      <c r="I478" s="253"/>
      <c r="J478" s="253"/>
      <c r="K478" s="254"/>
      <c r="L478" t="str">
        <f t="shared" si="27"/>
        <v>6</v>
      </c>
      <c r="M478" s="638" t="str">
        <f t="shared" si="26"/>
        <v>6333312</v>
      </c>
      <c r="N478" s="255">
        <f t="shared" si="28"/>
        <v>1410000</v>
      </c>
    </row>
    <row r="479" spans="1:14">
      <c r="A479" s="1460">
        <v>45657</v>
      </c>
      <c r="B479" s="1461" t="s">
        <v>1102</v>
      </c>
      <c r="C479" s="252"/>
      <c r="D479" s="252"/>
      <c r="E479" s="1462" t="s">
        <v>912</v>
      </c>
      <c r="F479" s="638" t="s">
        <v>769</v>
      </c>
      <c r="G479" s="1461" t="s">
        <v>820</v>
      </c>
      <c r="H479" s="1463">
        <v>19393488</v>
      </c>
      <c r="I479" s="253"/>
      <c r="J479" s="253"/>
      <c r="K479" s="254"/>
      <c r="L479" t="str">
        <f t="shared" si="27"/>
        <v>6</v>
      </c>
      <c r="M479" s="638" t="str">
        <f t="shared" si="26"/>
        <v>63341</v>
      </c>
      <c r="N479" s="255">
        <f t="shared" si="28"/>
        <v>19393488</v>
      </c>
    </row>
    <row r="480" spans="1:14">
      <c r="A480" s="1460">
        <v>45657</v>
      </c>
      <c r="B480" s="1461" t="s">
        <v>1102</v>
      </c>
      <c r="C480" s="252"/>
      <c r="D480" s="252"/>
      <c r="E480" s="1462" t="s">
        <v>798</v>
      </c>
      <c r="F480" s="638" t="s">
        <v>769</v>
      </c>
      <c r="G480" s="1461" t="s">
        <v>799</v>
      </c>
      <c r="H480" s="1463">
        <v>4513842</v>
      </c>
      <c r="I480" s="253"/>
      <c r="J480" s="253"/>
      <c r="K480" s="254"/>
      <c r="L480" t="str">
        <f t="shared" si="27"/>
        <v>6</v>
      </c>
      <c r="M480" s="638" t="str">
        <f t="shared" si="26"/>
        <v>63345</v>
      </c>
      <c r="N480" s="255">
        <f t="shared" si="28"/>
        <v>4513842</v>
      </c>
    </row>
    <row r="481" spans="1:14">
      <c r="A481" s="1460">
        <v>45657</v>
      </c>
      <c r="B481" s="1461" t="s">
        <v>1102</v>
      </c>
      <c r="C481" s="252"/>
      <c r="D481" s="252"/>
      <c r="E481" s="1462" t="s">
        <v>1077</v>
      </c>
      <c r="F481" s="638" t="s">
        <v>769</v>
      </c>
      <c r="G481" s="1461" t="s">
        <v>309</v>
      </c>
      <c r="H481" s="1463">
        <v>115452055</v>
      </c>
      <c r="I481" s="253"/>
      <c r="J481" s="253"/>
      <c r="K481" s="254"/>
      <c r="L481" t="str">
        <f t="shared" si="27"/>
        <v>6</v>
      </c>
      <c r="M481" s="638" t="str">
        <f t="shared" si="26"/>
        <v>6352</v>
      </c>
      <c r="N481" s="255">
        <f t="shared" si="28"/>
        <v>115452055</v>
      </c>
    </row>
    <row r="482" spans="1:14">
      <c r="A482" s="1460">
        <v>45657</v>
      </c>
      <c r="B482" s="1461" t="s">
        <v>1102</v>
      </c>
      <c r="C482" s="252"/>
      <c r="D482" s="252"/>
      <c r="E482" s="1462" t="s">
        <v>867</v>
      </c>
      <c r="F482" s="638" t="s">
        <v>769</v>
      </c>
      <c r="G482" s="1461" t="s">
        <v>378</v>
      </c>
      <c r="H482" s="1463">
        <v>1477249056</v>
      </c>
      <c r="I482" s="253"/>
      <c r="J482" s="253"/>
      <c r="K482" s="254"/>
      <c r="L482" t="str">
        <f t="shared" si="27"/>
        <v>6</v>
      </c>
      <c r="M482" s="638" t="str">
        <f t="shared" si="26"/>
        <v>64211</v>
      </c>
      <c r="N482" s="255">
        <f t="shared" si="28"/>
        <v>1477249056</v>
      </c>
    </row>
    <row r="483" spans="1:14">
      <c r="A483" s="1460">
        <v>45657</v>
      </c>
      <c r="B483" s="1461" t="s">
        <v>1102</v>
      </c>
      <c r="C483" s="252"/>
      <c r="D483" s="252"/>
      <c r="E483" s="1462" t="s">
        <v>790</v>
      </c>
      <c r="F483" s="638" t="s">
        <v>769</v>
      </c>
      <c r="G483" s="1461" t="s">
        <v>791</v>
      </c>
      <c r="H483" s="1463">
        <v>439175161</v>
      </c>
      <c r="I483" s="253"/>
      <c r="J483" s="253"/>
      <c r="K483" s="254"/>
      <c r="L483" t="str">
        <f t="shared" si="27"/>
        <v>6</v>
      </c>
      <c r="M483" s="638" t="str">
        <f t="shared" si="26"/>
        <v>6331711</v>
      </c>
      <c r="N483" s="255">
        <f t="shared" si="28"/>
        <v>439175161</v>
      </c>
    </row>
    <row r="484" spans="1:14">
      <c r="A484" s="1460">
        <v>45657</v>
      </c>
      <c r="B484" s="1461" t="s">
        <v>1102</v>
      </c>
      <c r="E484" s="1462" t="s">
        <v>794</v>
      </c>
      <c r="F484" s="638" t="s">
        <v>769</v>
      </c>
      <c r="G484" s="1461" t="s">
        <v>795</v>
      </c>
      <c r="H484" s="1463">
        <v>52794000</v>
      </c>
      <c r="L484" t="str">
        <f t="shared" si="27"/>
        <v>6</v>
      </c>
      <c r="M484" s="638" t="str">
        <f t="shared" si="26"/>
        <v>6331712</v>
      </c>
      <c r="N484" s="255">
        <f t="shared" si="28"/>
        <v>52794000</v>
      </c>
    </row>
    <row r="485" spans="1:14">
      <c r="A485" s="1460">
        <v>45657</v>
      </c>
      <c r="B485" s="1461" t="s">
        <v>1102</v>
      </c>
      <c r="E485" s="1462" t="s">
        <v>903</v>
      </c>
      <c r="F485" s="638" t="s">
        <v>769</v>
      </c>
      <c r="G485" s="1461" t="s">
        <v>806</v>
      </c>
      <c r="H485" s="1463">
        <v>439308573</v>
      </c>
      <c r="L485" t="str">
        <f t="shared" si="27"/>
        <v>6</v>
      </c>
      <c r="M485" s="638" t="str">
        <f t="shared" si="26"/>
        <v>633173</v>
      </c>
      <c r="N485" s="255">
        <f t="shared" si="28"/>
        <v>439308573</v>
      </c>
    </row>
    <row r="486" spans="1:14">
      <c r="A486" s="1460">
        <v>45657</v>
      </c>
      <c r="B486" s="1461" t="s">
        <v>1102</v>
      </c>
      <c r="E486" s="1462" t="s">
        <v>906</v>
      </c>
      <c r="F486" s="638" t="s">
        <v>769</v>
      </c>
      <c r="G486" s="1461" t="s">
        <v>811</v>
      </c>
      <c r="H486" s="1463">
        <v>113492635</v>
      </c>
      <c r="L486" t="str">
        <f t="shared" si="27"/>
        <v>6</v>
      </c>
      <c r="M486" s="638" t="str">
        <f t="shared" si="26"/>
        <v>633174</v>
      </c>
      <c r="N486" s="255">
        <f t="shared" si="28"/>
        <v>113492635</v>
      </c>
    </row>
    <row r="487" spans="1:14">
      <c r="A487" s="1460">
        <v>45657</v>
      </c>
      <c r="B487" s="1461" t="s">
        <v>1102</v>
      </c>
      <c r="E487" s="1462" t="s">
        <v>909</v>
      </c>
      <c r="F487" s="638" t="s">
        <v>769</v>
      </c>
      <c r="G487" s="1461" t="s">
        <v>815</v>
      </c>
      <c r="H487" s="1463">
        <v>644070891</v>
      </c>
      <c r="L487" t="str">
        <f t="shared" si="27"/>
        <v>6</v>
      </c>
      <c r="M487" s="638" t="str">
        <f t="shared" si="26"/>
        <v>633175</v>
      </c>
      <c r="N487" s="255">
        <f t="shared" si="28"/>
        <v>644070891</v>
      </c>
    </row>
    <row r="488" spans="1:14">
      <c r="A488" s="1460">
        <v>45657</v>
      </c>
      <c r="B488" s="1461" t="s">
        <v>1102</v>
      </c>
      <c r="E488" s="1462" t="s">
        <v>1103</v>
      </c>
      <c r="F488" s="638" t="s">
        <v>769</v>
      </c>
      <c r="G488" s="1461" t="s">
        <v>1067</v>
      </c>
      <c r="H488" s="1463">
        <v>8872727273</v>
      </c>
      <c r="L488" t="str">
        <f t="shared" si="27"/>
        <v>6</v>
      </c>
      <c r="M488" s="638" t="str">
        <f t="shared" si="26"/>
        <v>633178</v>
      </c>
      <c r="N488" s="255">
        <f t="shared" si="28"/>
        <v>8872727273</v>
      </c>
    </row>
    <row r="489" spans="1:14">
      <c r="A489" s="1460">
        <v>45657</v>
      </c>
      <c r="B489" s="1461" t="s">
        <v>1102</v>
      </c>
      <c r="E489" s="1462" t="s">
        <v>1104</v>
      </c>
      <c r="F489" s="638" t="s">
        <v>769</v>
      </c>
      <c r="G489" s="1461" t="s">
        <v>980</v>
      </c>
      <c r="H489" s="1463">
        <v>1638109591</v>
      </c>
      <c r="L489" t="str">
        <f t="shared" si="27"/>
        <v>5</v>
      </c>
      <c r="M489" s="638" t="str">
        <f t="shared" si="26"/>
        <v>51101030202</v>
      </c>
      <c r="N489" s="255">
        <f t="shared" si="28"/>
        <v>1638109591</v>
      </c>
    </row>
    <row r="490" spans="1:14">
      <c r="A490" s="1460">
        <v>45657</v>
      </c>
      <c r="B490" s="1461" t="s">
        <v>1102</v>
      </c>
      <c r="E490" s="1462" t="s">
        <v>972</v>
      </c>
      <c r="F490" s="638" t="s">
        <v>769</v>
      </c>
      <c r="G490" s="1461" t="s">
        <v>930</v>
      </c>
      <c r="H490" s="1463">
        <v>401329660</v>
      </c>
      <c r="L490" t="str">
        <f t="shared" si="27"/>
        <v>8</v>
      </c>
      <c r="M490" s="638" t="str">
        <f t="shared" si="26"/>
        <v>8114</v>
      </c>
      <c r="N490" s="255">
        <f t="shared" si="28"/>
        <v>401329660</v>
      </c>
    </row>
    <row r="491" spans="1:14">
      <c r="A491" s="1460">
        <v>45657</v>
      </c>
      <c r="B491" s="1461" t="s">
        <v>1102</v>
      </c>
      <c r="E491" s="1462" t="s">
        <v>1072</v>
      </c>
      <c r="F491" s="638" t="s">
        <v>769</v>
      </c>
      <c r="G491" s="1461" t="s">
        <v>947</v>
      </c>
      <c r="H491" s="1463">
        <v>5077512</v>
      </c>
      <c r="L491" t="str">
        <f t="shared" si="27"/>
        <v>6</v>
      </c>
      <c r="M491" s="638" t="str">
        <f t="shared" si="26"/>
        <v>63208</v>
      </c>
      <c r="N491" s="255">
        <f t="shared" si="28"/>
        <v>5077512</v>
      </c>
    </row>
    <row r="492" spans="1:14">
      <c r="A492" s="1460">
        <v>45657</v>
      </c>
      <c r="B492" s="1461" t="s">
        <v>1102</v>
      </c>
      <c r="E492" s="1462" t="s">
        <v>768</v>
      </c>
      <c r="F492" s="638" t="s">
        <v>769</v>
      </c>
      <c r="G492" s="1461" t="s">
        <v>770</v>
      </c>
      <c r="H492" s="1463">
        <v>193602456</v>
      </c>
      <c r="L492" t="str">
        <f t="shared" si="27"/>
        <v>6</v>
      </c>
      <c r="M492" s="638" t="str">
        <f t="shared" si="26"/>
        <v>63311</v>
      </c>
      <c r="N492" s="255">
        <f t="shared" si="28"/>
        <v>193602456</v>
      </c>
    </row>
    <row r="493" spans="1:14">
      <c r="A493" s="1460">
        <v>45657</v>
      </c>
      <c r="B493" s="1461" t="s">
        <v>1102</v>
      </c>
      <c r="E493" s="1462" t="s">
        <v>780</v>
      </c>
      <c r="F493" s="638" t="s">
        <v>769</v>
      </c>
      <c r="G493" s="1461" t="s">
        <v>781</v>
      </c>
      <c r="H493" s="1463">
        <v>42833330</v>
      </c>
      <c r="L493" t="str">
        <f t="shared" si="27"/>
        <v>6</v>
      </c>
      <c r="M493" s="638" t="str">
        <f t="shared" si="26"/>
        <v>63312</v>
      </c>
      <c r="N493" s="255">
        <f t="shared" si="28"/>
        <v>42833330</v>
      </c>
    </row>
    <row r="494" spans="1:14">
      <c r="A494" s="1460">
        <v>45657</v>
      </c>
      <c r="B494" s="1461" t="s">
        <v>1102</v>
      </c>
      <c r="E494" s="1462" t="s">
        <v>786</v>
      </c>
      <c r="F494" s="638" t="s">
        <v>769</v>
      </c>
      <c r="G494" s="1461" t="s">
        <v>787</v>
      </c>
      <c r="H494" s="1463">
        <v>5833337</v>
      </c>
      <c r="L494" t="str">
        <f t="shared" si="27"/>
        <v>6</v>
      </c>
      <c r="M494" s="638" t="str">
        <f t="shared" si="26"/>
        <v>63313</v>
      </c>
      <c r="N494" s="255">
        <f t="shared" si="28"/>
        <v>5833337</v>
      </c>
    </row>
    <row r="495" spans="1:14">
      <c r="A495" s="1460">
        <v>45322</v>
      </c>
      <c r="B495" s="1461" t="s">
        <v>767</v>
      </c>
      <c r="E495" s="1462" t="s">
        <v>1105</v>
      </c>
      <c r="F495" s="638" t="s">
        <v>769</v>
      </c>
      <c r="G495" s="1461" t="s">
        <v>1016</v>
      </c>
      <c r="H495" s="1463">
        <v>692224658</v>
      </c>
      <c r="L495" t="str">
        <f t="shared" si="27"/>
        <v>5</v>
      </c>
      <c r="M495" s="638" t="str">
        <f t="shared" si="26"/>
        <v>51101020306</v>
      </c>
      <c r="N495" s="255">
        <f t="shared" si="28"/>
        <v>692224658</v>
      </c>
    </row>
    <row r="496" spans="1:14">
      <c r="A496" s="1460">
        <v>45473</v>
      </c>
      <c r="B496" s="1461" t="s">
        <v>1081</v>
      </c>
      <c r="E496" s="1462" t="s">
        <v>1106</v>
      </c>
      <c r="F496" s="638" t="s">
        <v>769</v>
      </c>
      <c r="G496" s="1461" t="s">
        <v>1022</v>
      </c>
      <c r="H496" s="1463">
        <v>384657534</v>
      </c>
      <c r="L496" t="str">
        <f t="shared" si="27"/>
        <v>6</v>
      </c>
      <c r="M496" s="638" t="str">
        <f t="shared" si="26"/>
        <v>63201030306</v>
      </c>
      <c r="N496" s="255">
        <f t="shared" si="28"/>
        <v>384657534</v>
      </c>
    </row>
    <row r="497" spans="1:14">
      <c r="A497" s="1460">
        <v>45473</v>
      </c>
      <c r="B497" s="1461" t="s">
        <v>1081</v>
      </c>
      <c r="E497" s="1462" t="s">
        <v>1107</v>
      </c>
      <c r="F497" s="638" t="s">
        <v>769</v>
      </c>
      <c r="G497" s="1461" t="s">
        <v>1025</v>
      </c>
      <c r="H497" s="1463">
        <v>27253425</v>
      </c>
      <c r="L497" t="str">
        <f t="shared" si="27"/>
        <v>6</v>
      </c>
      <c r="M497" s="638" t="str">
        <f t="shared" si="26"/>
        <v>63201030301</v>
      </c>
      <c r="N497" s="255">
        <f t="shared" si="28"/>
        <v>27253425</v>
      </c>
    </row>
    <row r="498" spans="1:14">
      <c r="A498" s="1460">
        <v>45504</v>
      </c>
      <c r="B498" s="1461" t="s">
        <v>1095</v>
      </c>
      <c r="E498" s="1462" t="s">
        <v>1108</v>
      </c>
      <c r="F498" s="638" t="s">
        <v>769</v>
      </c>
      <c r="G498" s="1461" t="s">
        <v>1005</v>
      </c>
      <c r="H498" s="1463">
        <v>411910959</v>
      </c>
      <c r="L498" t="str">
        <f t="shared" si="27"/>
        <v>4</v>
      </c>
      <c r="M498" s="638" t="str">
        <f t="shared" si="26"/>
        <v>42122</v>
      </c>
      <c r="N498" s="255">
        <f t="shared" si="28"/>
        <v>411910959</v>
      </c>
    </row>
    <row r="499" spans="1:14">
      <c r="A499" s="1460">
        <v>45657</v>
      </c>
      <c r="B499" s="1461" t="s">
        <v>1102</v>
      </c>
      <c r="E499" s="1462" t="s">
        <v>1108</v>
      </c>
      <c r="F499" s="638" t="s">
        <v>769</v>
      </c>
      <c r="G499" s="1461" t="s">
        <v>1005</v>
      </c>
      <c r="H499" s="1463">
        <v>16554985</v>
      </c>
      <c r="L499" t="str">
        <f t="shared" si="27"/>
        <v>4</v>
      </c>
      <c r="M499" s="638" t="str">
        <f t="shared" si="26"/>
        <v>42122</v>
      </c>
      <c r="N499" s="255">
        <f t="shared" si="28"/>
        <v>16554985</v>
      </c>
    </row>
    <row r="500" spans="1:14">
      <c r="A500" s="1460">
        <v>45657</v>
      </c>
      <c r="B500" s="1461" t="s">
        <v>1102</v>
      </c>
      <c r="E500" s="1462" t="s">
        <v>1109</v>
      </c>
      <c r="F500" s="638" t="s">
        <v>769</v>
      </c>
      <c r="G500" s="1461" t="s">
        <v>1065</v>
      </c>
      <c r="H500" s="1463">
        <v>204359627</v>
      </c>
      <c r="L500" t="str">
        <f t="shared" si="27"/>
        <v>9</v>
      </c>
      <c r="M500" s="638" t="str">
        <f t="shared" ref="M500:M513" si="29">F500</f>
        <v>9111</v>
      </c>
      <c r="N500" s="255">
        <f t="shared" si="28"/>
        <v>204359627</v>
      </c>
    </row>
    <row r="501" spans="1:14" s="248" customFormat="1">
      <c r="A501" s="1460">
        <v>45322</v>
      </c>
      <c r="B501" s="1461" t="s">
        <v>767</v>
      </c>
      <c r="E501" s="1462" t="s">
        <v>1104</v>
      </c>
      <c r="F501" s="1461" t="s">
        <v>980</v>
      </c>
      <c r="G501" s="1464" t="s">
        <v>769</v>
      </c>
      <c r="H501" s="1466">
        <v>533561643</v>
      </c>
      <c r="L501" s="248" t="str">
        <f t="shared" si="27"/>
        <v>5</v>
      </c>
      <c r="M501" s="1464" t="str">
        <f t="shared" si="29"/>
        <v>51101030202</v>
      </c>
      <c r="N501" s="1465">
        <f t="shared" si="28"/>
        <v>-533561643</v>
      </c>
    </row>
    <row r="502" spans="1:14">
      <c r="A502" s="1460">
        <v>45322</v>
      </c>
      <c r="B502" s="1461" t="s">
        <v>767</v>
      </c>
      <c r="E502" s="1462" t="s">
        <v>950</v>
      </c>
      <c r="F502" s="1461" t="s">
        <v>918</v>
      </c>
      <c r="G502" s="638" t="s">
        <v>769</v>
      </c>
      <c r="H502" s="1466">
        <v>572013698</v>
      </c>
      <c r="L502" t="str">
        <f t="shared" si="27"/>
        <v>5</v>
      </c>
      <c r="M502" s="638" t="str">
        <f t="shared" si="29"/>
        <v>51101030203</v>
      </c>
      <c r="N502" s="255">
        <f t="shared" si="28"/>
        <v>-572013698</v>
      </c>
    </row>
    <row r="503" spans="1:14">
      <c r="A503" s="1460">
        <v>45322</v>
      </c>
      <c r="B503" s="1461" t="s">
        <v>767</v>
      </c>
      <c r="E503" s="1462" t="s">
        <v>1110</v>
      </c>
      <c r="F503" s="1461" t="s">
        <v>984</v>
      </c>
      <c r="G503" s="638" t="s">
        <v>769</v>
      </c>
      <c r="H503" s="1466">
        <v>675517000</v>
      </c>
      <c r="L503" t="str">
        <f t="shared" si="27"/>
        <v>5</v>
      </c>
      <c r="M503" s="638" t="str">
        <f t="shared" si="29"/>
        <v>511030101</v>
      </c>
      <c r="N503" s="255">
        <f t="shared" si="28"/>
        <v>-675517000</v>
      </c>
    </row>
    <row r="504" spans="1:14">
      <c r="A504" s="1460">
        <v>45322</v>
      </c>
      <c r="B504" s="1461" t="s">
        <v>767</v>
      </c>
      <c r="E504" s="1462" t="s">
        <v>1111</v>
      </c>
      <c r="F504" s="1461" t="s">
        <v>1001</v>
      </c>
      <c r="G504" s="638" t="s">
        <v>769</v>
      </c>
      <c r="H504" s="1466">
        <v>2</v>
      </c>
      <c r="L504" t="str">
        <f t="shared" si="27"/>
        <v>7</v>
      </c>
      <c r="M504" s="638" t="str">
        <f t="shared" si="29"/>
        <v>7114</v>
      </c>
      <c r="N504" s="255">
        <f t="shared" si="28"/>
        <v>-2</v>
      </c>
    </row>
    <row r="505" spans="1:14">
      <c r="A505" s="1460">
        <v>45322</v>
      </c>
      <c r="B505" s="1461" t="s">
        <v>767</v>
      </c>
      <c r="E505" s="1462" t="s">
        <v>1112</v>
      </c>
      <c r="F505" s="1461" t="s">
        <v>1003</v>
      </c>
      <c r="G505" s="638" t="s">
        <v>769</v>
      </c>
      <c r="H505" s="1466">
        <v>2274371357</v>
      </c>
      <c r="L505" t="str">
        <f t="shared" si="27"/>
        <v>4</v>
      </c>
      <c r="M505" s="638" t="str">
        <f t="shared" si="29"/>
        <v>42112</v>
      </c>
      <c r="N505" s="255">
        <f t="shared" si="28"/>
        <v>-2274371357</v>
      </c>
    </row>
    <row r="506" spans="1:14">
      <c r="A506" s="1460">
        <v>45322</v>
      </c>
      <c r="B506" s="1461" t="s">
        <v>767</v>
      </c>
      <c r="E506" s="1462" t="s">
        <v>1113</v>
      </c>
      <c r="F506" s="1461" t="s">
        <v>976</v>
      </c>
      <c r="G506" s="638" t="s">
        <v>769</v>
      </c>
      <c r="H506" s="1466">
        <v>329850000</v>
      </c>
      <c r="L506" t="str">
        <f t="shared" si="27"/>
        <v>5</v>
      </c>
      <c r="M506" s="638" t="str">
        <f t="shared" si="29"/>
        <v>51101010306</v>
      </c>
      <c r="N506" s="255">
        <f t="shared" si="28"/>
        <v>-329850000</v>
      </c>
    </row>
    <row r="507" spans="1:14">
      <c r="A507" s="1460">
        <v>45322</v>
      </c>
      <c r="B507" s="1461" t="s">
        <v>767</v>
      </c>
      <c r="E507" s="1462" t="s">
        <v>1114</v>
      </c>
      <c r="F507" s="1461" t="s">
        <v>251</v>
      </c>
      <c r="G507" s="638" t="s">
        <v>769</v>
      </c>
      <c r="H507" s="1466">
        <v>6416649</v>
      </c>
      <c r="L507" t="str">
        <f t="shared" si="27"/>
        <v>5</v>
      </c>
      <c r="M507" s="638" t="str">
        <f t="shared" si="29"/>
        <v>5152</v>
      </c>
      <c r="N507" s="255">
        <f t="shared" si="28"/>
        <v>-6416649</v>
      </c>
    </row>
    <row r="508" spans="1:14">
      <c r="A508" s="1460">
        <v>45322</v>
      </c>
      <c r="B508" s="1461" t="s">
        <v>767</v>
      </c>
      <c r="E508" s="1462" t="s">
        <v>1115</v>
      </c>
      <c r="F508" s="1461" t="s">
        <v>986</v>
      </c>
      <c r="G508" s="638" t="s">
        <v>769</v>
      </c>
      <c r="H508" s="1466">
        <v>83080326</v>
      </c>
      <c r="L508" t="str">
        <f t="shared" si="27"/>
        <v>5</v>
      </c>
      <c r="M508" s="638" t="str">
        <f t="shared" si="29"/>
        <v>511030201</v>
      </c>
      <c r="N508" s="255">
        <f t="shared" si="28"/>
        <v>-83080326</v>
      </c>
    </row>
    <row r="509" spans="1:14">
      <c r="A509" s="1460">
        <v>45322</v>
      </c>
      <c r="B509" s="1461" t="s">
        <v>767</v>
      </c>
      <c r="E509" s="1462" t="s">
        <v>1116</v>
      </c>
      <c r="F509" s="1461" t="s">
        <v>990</v>
      </c>
      <c r="G509" s="638" t="s">
        <v>769</v>
      </c>
      <c r="H509" s="1466">
        <v>416504230</v>
      </c>
      <c r="L509" t="str">
        <f t="shared" si="27"/>
        <v>5</v>
      </c>
      <c r="M509" s="638" t="str">
        <f t="shared" si="29"/>
        <v>5110501</v>
      </c>
      <c r="N509" s="255">
        <f t="shared" si="28"/>
        <v>-416504230</v>
      </c>
    </row>
    <row r="510" spans="1:14">
      <c r="A510" s="1460">
        <v>45322</v>
      </c>
      <c r="B510" s="1461" t="s">
        <v>767</v>
      </c>
      <c r="E510" s="1462" t="s">
        <v>1117</v>
      </c>
      <c r="F510" s="1461" t="s">
        <v>993</v>
      </c>
      <c r="G510" s="638" t="s">
        <v>769</v>
      </c>
      <c r="H510" s="1466">
        <v>7531854</v>
      </c>
      <c r="L510" t="str">
        <f t="shared" si="27"/>
        <v>5</v>
      </c>
      <c r="M510" s="638" t="str">
        <f t="shared" si="29"/>
        <v>5110508</v>
      </c>
      <c r="N510" s="255">
        <f t="shared" si="28"/>
        <v>-7531854</v>
      </c>
    </row>
    <row r="511" spans="1:14">
      <c r="A511" s="1460">
        <v>45322</v>
      </c>
      <c r="B511" s="1461" t="s">
        <v>767</v>
      </c>
      <c r="E511" s="1462" t="s">
        <v>1118</v>
      </c>
      <c r="F511" s="1461" t="s">
        <v>995</v>
      </c>
      <c r="G511" s="638" t="s">
        <v>769</v>
      </c>
      <c r="H511" s="1466">
        <v>11300762</v>
      </c>
      <c r="L511" t="str">
        <f t="shared" si="27"/>
        <v>5</v>
      </c>
      <c r="M511" s="638" t="str">
        <f t="shared" si="29"/>
        <v>5110801</v>
      </c>
      <c r="N511" s="255">
        <f t="shared" si="28"/>
        <v>-11300762</v>
      </c>
    </row>
    <row r="512" spans="1:14">
      <c r="A512" s="1460">
        <v>45322</v>
      </c>
      <c r="B512" s="1461" t="s">
        <v>767</v>
      </c>
      <c r="E512" s="1462" t="s">
        <v>1119</v>
      </c>
      <c r="F512" s="1461" t="s">
        <v>996</v>
      </c>
      <c r="G512" s="638" t="s">
        <v>769</v>
      </c>
      <c r="H512" s="1466">
        <v>3936879</v>
      </c>
      <c r="L512" t="str">
        <f t="shared" si="27"/>
        <v>5</v>
      </c>
      <c r="M512" s="638" t="str">
        <f t="shared" si="29"/>
        <v>5110802</v>
      </c>
      <c r="N512" s="255">
        <f t="shared" si="28"/>
        <v>-3936879</v>
      </c>
    </row>
    <row r="513" spans="1:14">
      <c r="A513" s="1460">
        <v>45322</v>
      </c>
      <c r="B513" s="1461" t="s">
        <v>767</v>
      </c>
      <c r="E513" s="1462" t="s">
        <v>1120</v>
      </c>
      <c r="F513" s="1461" t="s">
        <v>998</v>
      </c>
      <c r="G513" s="638" t="s">
        <v>769</v>
      </c>
      <c r="H513" s="1466">
        <v>5921822</v>
      </c>
      <c r="L513" t="str">
        <f t="shared" si="27"/>
        <v>5</v>
      </c>
      <c r="M513" s="638" t="str">
        <f t="shared" si="29"/>
        <v>51118</v>
      </c>
      <c r="N513" s="255">
        <f t="shared" si="28"/>
        <v>-5921822</v>
      </c>
    </row>
    <row r="514" spans="1:14">
      <c r="A514" s="1460">
        <v>45351</v>
      </c>
      <c r="B514" s="1461" t="s">
        <v>915</v>
      </c>
      <c r="E514" s="1462" t="s">
        <v>1117</v>
      </c>
      <c r="F514" s="1461" t="s">
        <v>993</v>
      </c>
      <c r="G514" s="638" t="s">
        <v>947</v>
      </c>
      <c r="H514" s="1466">
        <v>55219430</v>
      </c>
      <c r="L514" t="str">
        <f t="shared" si="27"/>
        <v>6</v>
      </c>
      <c r="M514" s="638" t="str">
        <f t="shared" ref="M514:M552" si="30">G514</f>
        <v>63208</v>
      </c>
      <c r="N514" s="255">
        <f t="shared" si="28"/>
        <v>-55219430</v>
      </c>
    </row>
    <row r="515" spans="1:14">
      <c r="A515" s="1460">
        <v>45351</v>
      </c>
      <c r="B515" s="1461" t="s">
        <v>915</v>
      </c>
      <c r="E515" s="1462" t="s">
        <v>1121</v>
      </c>
      <c r="F515" s="1461" t="s">
        <v>1009</v>
      </c>
      <c r="G515" s="638" t="s">
        <v>770</v>
      </c>
      <c r="H515" s="1466">
        <v>6138000</v>
      </c>
      <c r="L515" t="str">
        <f t="shared" si="27"/>
        <v>6</v>
      </c>
      <c r="M515" s="638" t="str">
        <f t="shared" si="30"/>
        <v>63311</v>
      </c>
      <c r="N515" s="255">
        <f t="shared" si="28"/>
        <v>-6138000</v>
      </c>
    </row>
    <row r="516" spans="1:14">
      <c r="A516" s="1460">
        <v>45351</v>
      </c>
      <c r="B516" s="1461" t="s">
        <v>915</v>
      </c>
      <c r="E516" s="1462" t="s">
        <v>1118</v>
      </c>
      <c r="F516" s="1461" t="s">
        <v>995</v>
      </c>
      <c r="G516" s="638" t="s">
        <v>781</v>
      </c>
      <c r="H516" s="1466">
        <v>10340573</v>
      </c>
      <c r="L516" t="str">
        <f t="shared" si="27"/>
        <v>6</v>
      </c>
      <c r="M516" s="638" t="str">
        <f t="shared" si="30"/>
        <v>63312</v>
      </c>
      <c r="N516" s="255">
        <f t="shared" si="28"/>
        <v>-10340573</v>
      </c>
    </row>
    <row r="517" spans="1:14">
      <c r="A517" s="1460">
        <v>45351</v>
      </c>
      <c r="B517" s="1461" t="s">
        <v>915</v>
      </c>
      <c r="E517" s="1462" t="s">
        <v>1119</v>
      </c>
      <c r="F517" s="1461" t="s">
        <v>996</v>
      </c>
      <c r="G517" s="638" t="s">
        <v>787</v>
      </c>
      <c r="H517" s="1466">
        <v>3180401</v>
      </c>
      <c r="L517" t="str">
        <f t="shared" si="27"/>
        <v>6</v>
      </c>
      <c r="M517" s="638" t="str">
        <f t="shared" si="30"/>
        <v>63313</v>
      </c>
      <c r="N517" s="255">
        <f t="shared" si="28"/>
        <v>-3180401</v>
      </c>
    </row>
    <row r="518" spans="1:14">
      <c r="A518" s="1460">
        <v>45351</v>
      </c>
      <c r="B518" s="1461" t="s">
        <v>915</v>
      </c>
      <c r="E518" s="1462" t="s">
        <v>1112</v>
      </c>
      <c r="F518" s="1461" t="s">
        <v>1003</v>
      </c>
      <c r="G518" s="638" t="s">
        <v>791</v>
      </c>
      <c r="H518" s="1466">
        <v>1564479688</v>
      </c>
      <c r="L518" t="str">
        <f t="shared" si="27"/>
        <v>6</v>
      </c>
      <c r="M518" s="638" t="str">
        <f t="shared" si="30"/>
        <v>6331711</v>
      </c>
      <c r="N518" s="255">
        <f t="shared" si="28"/>
        <v>-1564479688</v>
      </c>
    </row>
    <row r="519" spans="1:14">
      <c r="A519" s="1460">
        <v>45351</v>
      </c>
      <c r="B519" s="1461" t="s">
        <v>915</v>
      </c>
      <c r="E519" s="1462" t="s">
        <v>1122</v>
      </c>
      <c r="F519" s="1461" t="s">
        <v>1007</v>
      </c>
      <c r="G519" s="638" t="s">
        <v>795</v>
      </c>
      <c r="H519" s="1466">
        <v>2530684930</v>
      </c>
      <c r="L519" t="str">
        <f t="shared" si="27"/>
        <v>6</v>
      </c>
      <c r="M519" s="638" t="str">
        <f t="shared" si="30"/>
        <v>6331712</v>
      </c>
      <c r="N519" s="255">
        <f t="shared" si="28"/>
        <v>-2530684930</v>
      </c>
    </row>
    <row r="520" spans="1:14">
      <c r="A520" s="1460">
        <v>45351</v>
      </c>
      <c r="B520" s="1461" t="s">
        <v>915</v>
      </c>
      <c r="E520" s="1462" t="s">
        <v>1111</v>
      </c>
      <c r="F520" s="1461" t="s">
        <v>1001</v>
      </c>
      <c r="G520" s="638" t="s">
        <v>806</v>
      </c>
      <c r="H520" s="1466">
        <v>223</v>
      </c>
      <c r="L520" t="str">
        <f t="shared" si="27"/>
        <v>6</v>
      </c>
      <c r="M520" s="638" t="str">
        <f t="shared" si="30"/>
        <v>633173</v>
      </c>
      <c r="N520" s="255">
        <f t="shared" si="28"/>
        <v>-223</v>
      </c>
    </row>
    <row r="521" spans="1:14">
      <c r="A521" s="1460">
        <v>45351</v>
      </c>
      <c r="B521" s="1461" t="s">
        <v>915</v>
      </c>
      <c r="E521" s="1462" t="s">
        <v>1104</v>
      </c>
      <c r="F521" s="1461" t="s">
        <v>980</v>
      </c>
      <c r="G521" s="638" t="s">
        <v>811</v>
      </c>
      <c r="H521" s="1466">
        <v>893835616</v>
      </c>
      <c r="L521" t="str">
        <f t="shared" si="27"/>
        <v>6</v>
      </c>
      <c r="M521" s="638" t="str">
        <f t="shared" si="30"/>
        <v>633174</v>
      </c>
      <c r="N521" s="255">
        <f t="shared" si="28"/>
        <v>-893835616</v>
      </c>
    </row>
    <row r="522" spans="1:14">
      <c r="A522" s="1460">
        <v>45351</v>
      </c>
      <c r="B522" s="1461" t="s">
        <v>915</v>
      </c>
      <c r="E522" s="1462" t="s">
        <v>1110</v>
      </c>
      <c r="F522" s="1461" t="s">
        <v>984</v>
      </c>
      <c r="G522" s="638" t="s">
        <v>815</v>
      </c>
      <c r="H522" s="1466">
        <v>590464030</v>
      </c>
      <c r="L522" t="str">
        <f t="shared" si="27"/>
        <v>6</v>
      </c>
      <c r="M522" s="638" t="str">
        <f t="shared" si="30"/>
        <v>633175</v>
      </c>
      <c r="N522" s="255">
        <f t="shared" si="28"/>
        <v>-590464030</v>
      </c>
    </row>
    <row r="523" spans="1:14">
      <c r="A523" s="1460">
        <v>45351</v>
      </c>
      <c r="B523" s="1461" t="s">
        <v>915</v>
      </c>
      <c r="E523" s="1462" t="s">
        <v>1115</v>
      </c>
      <c r="F523" s="1461" t="s">
        <v>986</v>
      </c>
      <c r="G523" s="638" t="s">
        <v>951</v>
      </c>
      <c r="H523" s="1466">
        <v>94422990</v>
      </c>
      <c r="L523" t="str">
        <f t="shared" si="27"/>
        <v>6</v>
      </c>
      <c r="M523" s="638" t="str">
        <f t="shared" si="30"/>
        <v>6333311</v>
      </c>
      <c r="N523" s="255">
        <f t="shared" si="28"/>
        <v>-94422990</v>
      </c>
    </row>
    <row r="524" spans="1:14">
      <c r="A524" s="1460">
        <v>45351</v>
      </c>
      <c r="B524" s="1461" t="s">
        <v>915</v>
      </c>
      <c r="E524" s="1462" t="s">
        <v>1116</v>
      </c>
      <c r="F524" s="1461" t="s">
        <v>990</v>
      </c>
      <c r="G524" s="638" t="s">
        <v>954</v>
      </c>
      <c r="H524" s="1466">
        <v>441971628</v>
      </c>
      <c r="L524" t="str">
        <f t="shared" si="27"/>
        <v>6</v>
      </c>
      <c r="M524" s="638" t="str">
        <f t="shared" si="30"/>
        <v>6333312</v>
      </c>
      <c r="N524" s="255">
        <f t="shared" si="28"/>
        <v>-441971628</v>
      </c>
    </row>
    <row r="525" spans="1:14">
      <c r="A525" s="1460">
        <v>45351</v>
      </c>
      <c r="B525" s="1461" t="s">
        <v>915</v>
      </c>
      <c r="E525" s="1462" t="s">
        <v>1114</v>
      </c>
      <c r="F525" s="1461" t="s">
        <v>251</v>
      </c>
      <c r="G525" s="638" t="s">
        <v>820</v>
      </c>
      <c r="H525" s="1466">
        <v>2523426</v>
      </c>
      <c r="L525" t="str">
        <f t="shared" si="27"/>
        <v>6</v>
      </c>
      <c r="M525" s="638" t="str">
        <f t="shared" si="30"/>
        <v>63341</v>
      </c>
      <c r="N525" s="255">
        <f t="shared" si="28"/>
        <v>-2523426</v>
      </c>
    </row>
    <row r="526" spans="1:14">
      <c r="A526" s="1460">
        <v>45382</v>
      </c>
      <c r="B526" s="1461" t="s">
        <v>1020</v>
      </c>
      <c r="E526" s="1462" t="s">
        <v>1112</v>
      </c>
      <c r="F526" s="1461" t="s">
        <v>1003</v>
      </c>
      <c r="G526" s="638" t="s">
        <v>799</v>
      </c>
      <c r="H526" s="1466">
        <v>1371955993</v>
      </c>
      <c r="L526" t="str">
        <f t="shared" si="27"/>
        <v>6</v>
      </c>
      <c r="M526" s="638" t="str">
        <f t="shared" si="30"/>
        <v>63345</v>
      </c>
      <c r="N526" s="255">
        <f t="shared" si="28"/>
        <v>-1371955993</v>
      </c>
    </row>
    <row r="527" spans="1:14">
      <c r="A527" s="1460">
        <v>45382</v>
      </c>
      <c r="B527" s="1461" t="s">
        <v>1020</v>
      </c>
      <c r="E527" s="1462" t="s">
        <v>1104</v>
      </c>
      <c r="F527" s="1461" t="s">
        <v>980</v>
      </c>
      <c r="G527" s="638" t="s">
        <v>309</v>
      </c>
      <c r="H527" s="1466">
        <v>955479452</v>
      </c>
      <c r="L527" t="str">
        <f t="shared" si="27"/>
        <v>6</v>
      </c>
      <c r="M527" s="638" t="str">
        <f t="shared" si="30"/>
        <v>6352</v>
      </c>
      <c r="N527" s="255">
        <f t="shared" si="28"/>
        <v>-955479452</v>
      </c>
    </row>
    <row r="528" spans="1:14">
      <c r="A528" s="1460">
        <v>45382</v>
      </c>
      <c r="B528" s="1461" t="s">
        <v>1020</v>
      </c>
      <c r="E528" s="1462" t="s">
        <v>1110</v>
      </c>
      <c r="F528" s="1461" t="s">
        <v>984</v>
      </c>
      <c r="G528" s="638" t="s">
        <v>378</v>
      </c>
      <c r="H528" s="1466">
        <v>889037508</v>
      </c>
      <c r="L528" t="str">
        <f t="shared" si="27"/>
        <v>6</v>
      </c>
      <c r="M528" s="638" t="str">
        <f t="shared" si="30"/>
        <v>64211</v>
      </c>
      <c r="N528" s="255">
        <f t="shared" si="28"/>
        <v>-889037508</v>
      </c>
    </row>
    <row r="529" spans="1:14">
      <c r="A529" s="1460">
        <v>45382</v>
      </c>
      <c r="B529" s="1461" t="s">
        <v>1020</v>
      </c>
      <c r="E529" s="1462" t="s">
        <v>1115</v>
      </c>
      <c r="F529" s="1461" t="s">
        <v>986</v>
      </c>
      <c r="G529" s="638" t="s">
        <v>379</v>
      </c>
      <c r="H529" s="1466">
        <v>148965352</v>
      </c>
      <c r="L529" t="str">
        <f t="shared" si="27"/>
        <v>6</v>
      </c>
      <c r="M529" s="638" t="str">
        <f t="shared" si="30"/>
        <v>64212</v>
      </c>
      <c r="N529" s="255">
        <f t="shared" si="28"/>
        <v>-148965352</v>
      </c>
    </row>
    <row r="530" spans="1:14">
      <c r="A530" s="1460">
        <v>45382</v>
      </c>
      <c r="B530" s="1461" t="s">
        <v>1020</v>
      </c>
      <c r="E530" s="1462" t="s">
        <v>1116</v>
      </c>
      <c r="F530" s="1461" t="s">
        <v>990</v>
      </c>
      <c r="G530" s="638" t="s">
        <v>505</v>
      </c>
      <c r="H530" s="1466">
        <v>646741732</v>
      </c>
      <c r="L530" t="str">
        <f t="shared" si="27"/>
        <v>6</v>
      </c>
      <c r="M530" s="638" t="str">
        <f t="shared" si="30"/>
        <v>6422</v>
      </c>
      <c r="N530" s="255">
        <f t="shared" si="28"/>
        <v>-646741732</v>
      </c>
    </row>
    <row r="531" spans="1:14">
      <c r="A531" s="1460">
        <v>45382</v>
      </c>
      <c r="B531" s="1461" t="s">
        <v>1020</v>
      </c>
      <c r="E531" s="1462" t="s">
        <v>1122</v>
      </c>
      <c r="F531" s="1461" t="s">
        <v>1007</v>
      </c>
      <c r="G531" s="638" t="s">
        <v>381</v>
      </c>
      <c r="H531" s="1466">
        <v>770200000</v>
      </c>
      <c r="L531" t="str">
        <f t="shared" si="27"/>
        <v>6</v>
      </c>
      <c r="M531" s="638" t="str">
        <f t="shared" si="30"/>
        <v>6423</v>
      </c>
      <c r="N531" s="255">
        <f t="shared" si="28"/>
        <v>-770200000</v>
      </c>
    </row>
    <row r="532" spans="1:14">
      <c r="A532" s="1460">
        <v>45382</v>
      </c>
      <c r="B532" s="1461" t="s">
        <v>1020</v>
      </c>
      <c r="E532" s="1462" t="s">
        <v>1117</v>
      </c>
      <c r="F532" s="1461" t="s">
        <v>993</v>
      </c>
      <c r="G532" s="638" t="s">
        <v>383</v>
      </c>
      <c r="H532" s="1466">
        <v>60650174</v>
      </c>
      <c r="L532" t="str">
        <f t="shared" si="27"/>
        <v>6</v>
      </c>
      <c r="M532" s="638" t="str">
        <f t="shared" si="30"/>
        <v>6424</v>
      </c>
      <c r="N532" s="255">
        <f t="shared" si="28"/>
        <v>-60650174</v>
      </c>
    </row>
    <row r="533" spans="1:14">
      <c r="A533" s="1460">
        <v>45382</v>
      </c>
      <c r="B533" s="1461" t="s">
        <v>1020</v>
      </c>
      <c r="E533" s="1462" t="s">
        <v>1121</v>
      </c>
      <c r="F533" s="1461" t="s">
        <v>1009</v>
      </c>
      <c r="G533" s="638" t="s">
        <v>839</v>
      </c>
      <c r="H533" s="1466">
        <v>11088000</v>
      </c>
      <c r="L533" t="str">
        <f t="shared" si="27"/>
        <v>6</v>
      </c>
      <c r="M533" s="638" t="str">
        <f t="shared" si="30"/>
        <v>642701</v>
      </c>
      <c r="N533" s="255">
        <f t="shared" si="28"/>
        <v>-11088000</v>
      </c>
    </row>
    <row r="534" spans="1:14">
      <c r="A534" s="1460">
        <v>45382</v>
      </c>
      <c r="B534" s="1461" t="s">
        <v>1020</v>
      </c>
      <c r="E534" s="1462" t="s">
        <v>1118</v>
      </c>
      <c r="F534" s="1461" t="s">
        <v>995</v>
      </c>
      <c r="G534" s="638" t="s">
        <v>843</v>
      </c>
      <c r="H534" s="1466">
        <v>8827902</v>
      </c>
      <c r="L534" t="str">
        <f t="shared" si="27"/>
        <v>6</v>
      </c>
      <c r="M534" s="638" t="str">
        <f t="shared" si="30"/>
        <v>642702</v>
      </c>
      <c r="N534" s="255">
        <f t="shared" si="28"/>
        <v>-8827902</v>
      </c>
    </row>
    <row r="535" spans="1:14">
      <c r="A535" s="1460">
        <v>45382</v>
      </c>
      <c r="B535" s="1461" t="s">
        <v>1020</v>
      </c>
      <c r="E535" s="1462" t="s">
        <v>1119</v>
      </c>
      <c r="F535" s="1461" t="s">
        <v>996</v>
      </c>
      <c r="G535" s="638" t="s">
        <v>848</v>
      </c>
      <c r="H535" s="1466">
        <v>4899203</v>
      </c>
      <c r="L535" t="str">
        <f t="shared" si="27"/>
        <v>6</v>
      </c>
      <c r="M535" s="638" t="str">
        <f t="shared" si="30"/>
        <v>642703</v>
      </c>
      <c r="N535" s="255">
        <f t="shared" si="28"/>
        <v>-4899203</v>
      </c>
    </row>
    <row r="536" spans="1:14">
      <c r="A536" s="1460">
        <v>45382</v>
      </c>
      <c r="B536" s="1461" t="s">
        <v>1020</v>
      </c>
      <c r="E536" s="1462" t="s">
        <v>1114</v>
      </c>
      <c r="F536" s="1461" t="s">
        <v>251</v>
      </c>
      <c r="G536" s="638" t="s">
        <v>854</v>
      </c>
      <c r="H536" s="1466">
        <v>1311735</v>
      </c>
      <c r="L536" t="str">
        <f t="shared" si="27"/>
        <v>6</v>
      </c>
      <c r="M536" s="638" t="str">
        <f t="shared" si="30"/>
        <v>642704</v>
      </c>
      <c r="N536" s="255">
        <f t="shared" si="28"/>
        <v>-1311735</v>
      </c>
    </row>
    <row r="537" spans="1:14">
      <c r="A537" s="1460">
        <v>45412</v>
      </c>
      <c r="B537" s="1461" t="s">
        <v>1068</v>
      </c>
      <c r="E537" s="1462" t="s">
        <v>966</v>
      </c>
      <c r="F537" s="1461" t="s">
        <v>967</v>
      </c>
      <c r="G537" s="638" t="s">
        <v>859</v>
      </c>
      <c r="H537" s="1466">
        <v>20766667</v>
      </c>
      <c r="L537" t="str">
        <f t="shared" si="27"/>
        <v>6</v>
      </c>
      <c r="M537" s="638" t="str">
        <f t="shared" si="30"/>
        <v>642706</v>
      </c>
      <c r="N537" s="255">
        <f t="shared" si="28"/>
        <v>-20766667</v>
      </c>
    </row>
    <row r="538" spans="1:14">
      <c r="A538" s="1460">
        <v>45412</v>
      </c>
      <c r="B538" s="1461" t="s">
        <v>1068</v>
      </c>
      <c r="E538" s="1462" t="s">
        <v>1104</v>
      </c>
      <c r="F538" s="1461" t="s">
        <v>980</v>
      </c>
      <c r="G538" s="638" t="s">
        <v>864</v>
      </c>
      <c r="H538" s="1466">
        <v>924657535</v>
      </c>
      <c r="L538" t="str">
        <f t="shared" si="27"/>
        <v>6</v>
      </c>
      <c r="M538" s="638" t="str">
        <f t="shared" si="30"/>
        <v>642707</v>
      </c>
      <c r="N538" s="255">
        <f t="shared" si="28"/>
        <v>-924657535</v>
      </c>
    </row>
    <row r="539" spans="1:14">
      <c r="A539" s="1460">
        <v>45412</v>
      </c>
      <c r="B539" s="1461" t="s">
        <v>1068</v>
      </c>
      <c r="E539" s="1462" t="s">
        <v>1123</v>
      </c>
      <c r="F539" s="1461" t="s">
        <v>1011</v>
      </c>
      <c r="G539" s="638" t="s">
        <v>810</v>
      </c>
      <c r="H539" s="1466">
        <v>91824658</v>
      </c>
      <c r="L539" t="str">
        <f t="shared" si="27"/>
        <v>6</v>
      </c>
      <c r="M539" s="638" t="str">
        <f t="shared" si="30"/>
        <v>642708</v>
      </c>
      <c r="N539" s="255">
        <f t="shared" si="28"/>
        <v>-91824658</v>
      </c>
    </row>
    <row r="540" spans="1:14">
      <c r="A540" s="1460">
        <v>45412</v>
      </c>
      <c r="B540" s="1461" t="s">
        <v>1068</v>
      </c>
      <c r="E540" s="1462" t="s">
        <v>1110</v>
      </c>
      <c r="F540" s="1461" t="s">
        <v>984</v>
      </c>
      <c r="G540" s="638" t="s">
        <v>814</v>
      </c>
      <c r="H540" s="1466">
        <v>932188568</v>
      </c>
      <c r="L540" t="str">
        <f t="shared" ref="L540:L603" si="31">LEFT(M540,1)</f>
        <v>6</v>
      </c>
      <c r="M540" s="638" t="str">
        <f t="shared" si="30"/>
        <v>642709</v>
      </c>
      <c r="N540" s="255">
        <f t="shared" ref="N540:N603" si="32">IF(LEFT(F540,1)="9",H540,-H540)</f>
        <v>-932188568</v>
      </c>
    </row>
    <row r="541" spans="1:14">
      <c r="A541" s="1460">
        <v>45412</v>
      </c>
      <c r="B541" s="1461" t="s">
        <v>1068</v>
      </c>
      <c r="E541" s="1462" t="s">
        <v>1112</v>
      </c>
      <c r="F541" s="1461" t="s">
        <v>1003</v>
      </c>
      <c r="G541" s="638" t="s">
        <v>819</v>
      </c>
      <c r="H541" s="1466">
        <v>2255922226</v>
      </c>
      <c r="L541" t="str">
        <f t="shared" si="31"/>
        <v>6</v>
      </c>
      <c r="M541" s="638" t="str">
        <f t="shared" si="30"/>
        <v>642710</v>
      </c>
      <c r="N541" s="255">
        <f t="shared" si="32"/>
        <v>-2255922226</v>
      </c>
    </row>
    <row r="542" spans="1:14">
      <c r="A542" s="1460">
        <v>45412</v>
      </c>
      <c r="B542" s="1461" t="s">
        <v>1068</v>
      </c>
      <c r="E542" s="1462" t="s">
        <v>1115</v>
      </c>
      <c r="F542" s="1461" t="s">
        <v>986</v>
      </c>
      <c r="G542" s="638" t="s">
        <v>825</v>
      </c>
      <c r="H542" s="1466">
        <v>125441598</v>
      </c>
      <c r="L542" t="str">
        <f t="shared" si="31"/>
        <v>6</v>
      </c>
      <c r="M542" s="638" t="str">
        <f t="shared" si="30"/>
        <v>642711</v>
      </c>
      <c r="N542" s="255">
        <f t="shared" si="32"/>
        <v>-125441598</v>
      </c>
    </row>
    <row r="543" spans="1:14">
      <c r="A543" s="1460">
        <v>45412</v>
      </c>
      <c r="B543" s="1461" t="s">
        <v>1068</v>
      </c>
      <c r="E543" s="1462" t="s">
        <v>1116</v>
      </c>
      <c r="F543" s="1461" t="s">
        <v>990</v>
      </c>
      <c r="G543" s="638" t="s">
        <v>828</v>
      </c>
      <c r="H543" s="1466">
        <v>573069330</v>
      </c>
      <c r="L543" t="str">
        <f t="shared" si="31"/>
        <v>6</v>
      </c>
      <c r="M543" s="638" t="str">
        <f t="shared" si="30"/>
        <v>642712</v>
      </c>
      <c r="N543" s="255">
        <f t="shared" si="32"/>
        <v>-573069330</v>
      </c>
    </row>
    <row r="544" spans="1:14">
      <c r="A544" s="1460">
        <v>45412</v>
      </c>
      <c r="B544" s="1461" t="s">
        <v>1068</v>
      </c>
      <c r="E544" s="1462" t="s">
        <v>1117</v>
      </c>
      <c r="F544" s="1461" t="s">
        <v>993</v>
      </c>
      <c r="G544" s="638" t="s">
        <v>1039</v>
      </c>
      <c r="H544" s="1466">
        <v>35750249</v>
      </c>
      <c r="L544" t="str">
        <f t="shared" si="31"/>
        <v>6</v>
      </c>
      <c r="M544" s="638" t="str">
        <f t="shared" si="30"/>
        <v>642713</v>
      </c>
      <c r="N544" s="255">
        <f t="shared" si="32"/>
        <v>-35750249</v>
      </c>
    </row>
    <row r="545" spans="1:14">
      <c r="A545" s="1460">
        <v>45412</v>
      </c>
      <c r="B545" s="1461" t="s">
        <v>1068</v>
      </c>
      <c r="E545" s="1462" t="s">
        <v>1121</v>
      </c>
      <c r="F545" s="1461" t="s">
        <v>1009</v>
      </c>
      <c r="G545" s="638" t="s">
        <v>1043</v>
      </c>
      <c r="H545" s="1466">
        <v>13761000</v>
      </c>
      <c r="L545" t="str">
        <f t="shared" si="31"/>
        <v>6</v>
      </c>
      <c r="M545" s="638" t="str">
        <f t="shared" si="30"/>
        <v>642714</v>
      </c>
      <c r="N545" s="255">
        <f t="shared" si="32"/>
        <v>-13761000</v>
      </c>
    </row>
    <row r="546" spans="1:14">
      <c r="A546" s="1460">
        <v>45412</v>
      </c>
      <c r="B546" s="1461" t="s">
        <v>1068</v>
      </c>
      <c r="E546" s="1462" t="s">
        <v>1119</v>
      </c>
      <c r="F546" s="1461" t="s">
        <v>996</v>
      </c>
      <c r="G546" s="638" t="s">
        <v>1041</v>
      </c>
      <c r="H546" s="1466">
        <v>4762395</v>
      </c>
      <c r="L546" t="str">
        <f t="shared" si="31"/>
        <v>6</v>
      </c>
      <c r="M546" s="638" t="str">
        <f t="shared" si="30"/>
        <v>642715</v>
      </c>
      <c r="N546" s="255">
        <f t="shared" si="32"/>
        <v>-4762395</v>
      </c>
    </row>
    <row r="547" spans="1:14">
      <c r="A547" s="1460">
        <v>45412</v>
      </c>
      <c r="B547" s="1461" t="s">
        <v>1068</v>
      </c>
      <c r="E547" s="1462" t="s">
        <v>1118</v>
      </c>
      <c r="F547" s="1461" t="s">
        <v>995</v>
      </c>
      <c r="G547" s="638" t="s">
        <v>1037</v>
      </c>
      <c r="H547" s="1466">
        <v>15330708</v>
      </c>
      <c r="L547" t="str">
        <f t="shared" si="31"/>
        <v>6</v>
      </c>
      <c r="M547" s="638" t="str">
        <f t="shared" si="30"/>
        <v>642717</v>
      </c>
      <c r="N547" s="255">
        <f t="shared" si="32"/>
        <v>-15330708</v>
      </c>
    </row>
    <row r="548" spans="1:14">
      <c r="A548" s="1460">
        <v>45412</v>
      </c>
      <c r="B548" s="1461" t="s">
        <v>1068</v>
      </c>
      <c r="E548" s="1462" t="s">
        <v>1114</v>
      </c>
      <c r="F548" s="1461" t="s">
        <v>251</v>
      </c>
      <c r="G548" s="638" t="s">
        <v>1045</v>
      </c>
      <c r="H548" s="1466">
        <v>2945989</v>
      </c>
      <c r="L548" t="str">
        <f t="shared" si="31"/>
        <v>6</v>
      </c>
      <c r="M548" s="638" t="str">
        <f t="shared" si="30"/>
        <v>642718</v>
      </c>
      <c r="N548" s="255">
        <f t="shared" si="32"/>
        <v>-2945989</v>
      </c>
    </row>
    <row r="549" spans="1:14">
      <c r="A549" s="1460">
        <v>45412</v>
      </c>
      <c r="B549" s="1461" t="s">
        <v>1068</v>
      </c>
      <c r="E549" s="1462" t="s">
        <v>1122</v>
      </c>
      <c r="F549" s="1461" t="s">
        <v>1007</v>
      </c>
      <c r="G549" s="638" t="s">
        <v>833</v>
      </c>
      <c r="H549" s="1466">
        <v>135616440</v>
      </c>
      <c r="L549" t="str">
        <f t="shared" si="31"/>
        <v>6</v>
      </c>
      <c r="M549" s="638" t="str">
        <f t="shared" si="30"/>
        <v>642799</v>
      </c>
      <c r="N549" s="255">
        <f t="shared" si="32"/>
        <v>-135616440</v>
      </c>
    </row>
    <row r="550" spans="1:14">
      <c r="A550" s="1460">
        <v>45412</v>
      </c>
      <c r="B550" s="1461" t="s">
        <v>1068</v>
      </c>
      <c r="E550" s="1462" t="s">
        <v>1113</v>
      </c>
      <c r="F550" s="1461" t="s">
        <v>976</v>
      </c>
      <c r="G550" s="638" t="s">
        <v>1047</v>
      </c>
      <c r="H550" s="1466">
        <v>209000000</v>
      </c>
      <c r="L550" t="str">
        <f t="shared" si="31"/>
        <v>6</v>
      </c>
      <c r="M550" s="638" t="str">
        <f t="shared" si="30"/>
        <v>642804</v>
      </c>
      <c r="N550" s="255">
        <f t="shared" si="32"/>
        <v>-209000000</v>
      </c>
    </row>
    <row r="551" spans="1:14">
      <c r="A551" s="1460">
        <v>45443</v>
      </c>
      <c r="B551" s="1461" t="s">
        <v>1079</v>
      </c>
      <c r="E551" s="1462" t="s">
        <v>1115</v>
      </c>
      <c r="F551" s="1461" t="s">
        <v>986</v>
      </c>
      <c r="G551" s="638" t="s">
        <v>1035</v>
      </c>
      <c r="H551" s="1466">
        <v>123998769</v>
      </c>
      <c r="L551" t="str">
        <f t="shared" si="31"/>
        <v>6</v>
      </c>
      <c r="M551" s="638" t="str">
        <f t="shared" si="30"/>
        <v>642805</v>
      </c>
      <c r="N551" s="255">
        <f t="shared" si="32"/>
        <v>-123998769</v>
      </c>
    </row>
    <row r="552" spans="1:14">
      <c r="A552" s="1460">
        <v>45443</v>
      </c>
      <c r="B552" s="1461" t="s">
        <v>1079</v>
      </c>
      <c r="E552" s="1462" t="s">
        <v>1116</v>
      </c>
      <c r="F552" s="1461" t="s">
        <v>990</v>
      </c>
      <c r="G552" s="638" t="s">
        <v>967</v>
      </c>
      <c r="H552" s="1466">
        <v>723480208</v>
      </c>
      <c r="L552" t="str">
        <f t="shared" si="31"/>
        <v>6</v>
      </c>
      <c r="M552" s="638" t="str">
        <f t="shared" si="30"/>
        <v>642899</v>
      </c>
      <c r="N552" s="255">
        <f t="shared" si="32"/>
        <v>-723480208</v>
      </c>
    </row>
    <row r="553" spans="1:14">
      <c r="A553" s="1460">
        <v>45443</v>
      </c>
      <c r="B553" s="1461" t="s">
        <v>1079</v>
      </c>
      <c r="E553" s="1462" t="s">
        <v>1117</v>
      </c>
      <c r="F553" s="1461" t="s">
        <v>993</v>
      </c>
      <c r="G553" s="638" t="s">
        <v>769</v>
      </c>
      <c r="H553" s="1466">
        <v>41631063</v>
      </c>
      <c r="L553" t="str">
        <f t="shared" si="31"/>
        <v>5</v>
      </c>
      <c r="M553" s="638" t="str">
        <f t="shared" ref="M553:M565" si="33">F553</f>
        <v>5110508</v>
      </c>
      <c r="N553" s="255">
        <f t="shared" si="32"/>
        <v>-41631063</v>
      </c>
    </row>
    <row r="554" spans="1:14">
      <c r="A554" s="1460">
        <v>45443</v>
      </c>
      <c r="B554" s="1461" t="s">
        <v>1079</v>
      </c>
      <c r="E554" s="1462" t="s">
        <v>1121</v>
      </c>
      <c r="F554" s="1461" t="s">
        <v>1009</v>
      </c>
      <c r="G554" s="638" t="s">
        <v>769</v>
      </c>
      <c r="H554" s="1466">
        <v>22869000</v>
      </c>
      <c r="L554" t="str">
        <f t="shared" si="31"/>
        <v>5</v>
      </c>
      <c r="M554" s="638" t="str">
        <f t="shared" si="33"/>
        <v>5110701</v>
      </c>
      <c r="N554" s="255">
        <f t="shared" si="32"/>
        <v>-22869000</v>
      </c>
    </row>
    <row r="555" spans="1:14">
      <c r="A555" s="1460">
        <v>45443</v>
      </c>
      <c r="B555" s="1461" t="s">
        <v>1079</v>
      </c>
      <c r="E555" s="1462" t="s">
        <v>1118</v>
      </c>
      <c r="F555" s="1461" t="s">
        <v>995</v>
      </c>
      <c r="G555" s="638" t="s">
        <v>769</v>
      </c>
      <c r="H555" s="1466">
        <v>19214762</v>
      </c>
      <c r="L555" t="str">
        <f t="shared" si="31"/>
        <v>5</v>
      </c>
      <c r="M555" s="638" t="str">
        <f t="shared" si="33"/>
        <v>5110801</v>
      </c>
      <c r="N555" s="255">
        <f t="shared" si="32"/>
        <v>-19214762</v>
      </c>
    </row>
    <row r="556" spans="1:14">
      <c r="A556" s="1460">
        <v>45443</v>
      </c>
      <c r="B556" s="1461" t="s">
        <v>1079</v>
      </c>
      <c r="E556" s="1462" t="s">
        <v>1119</v>
      </c>
      <c r="F556" s="1461" t="s">
        <v>996</v>
      </c>
      <c r="G556" s="638" t="s">
        <v>769</v>
      </c>
      <c r="H556" s="1466">
        <v>4724613</v>
      </c>
      <c r="L556" t="str">
        <f t="shared" si="31"/>
        <v>5</v>
      </c>
      <c r="M556" s="638" t="str">
        <f t="shared" si="33"/>
        <v>5110802</v>
      </c>
      <c r="N556" s="255">
        <f t="shared" si="32"/>
        <v>-4724613</v>
      </c>
    </row>
    <row r="557" spans="1:14">
      <c r="A557" s="1460">
        <v>45443</v>
      </c>
      <c r="B557" s="1461" t="s">
        <v>1079</v>
      </c>
      <c r="E557" s="1462" t="s">
        <v>1114</v>
      </c>
      <c r="F557" s="1461" t="s">
        <v>251</v>
      </c>
      <c r="G557" s="638" t="s">
        <v>769</v>
      </c>
      <c r="H557" s="1466">
        <v>3742022</v>
      </c>
      <c r="L557" t="str">
        <f t="shared" si="31"/>
        <v>5</v>
      </c>
      <c r="M557" s="638" t="str">
        <f t="shared" si="33"/>
        <v>5152</v>
      </c>
      <c r="N557" s="255">
        <f t="shared" si="32"/>
        <v>-3742022</v>
      </c>
    </row>
    <row r="558" spans="1:14">
      <c r="A558" s="1460">
        <v>45443</v>
      </c>
      <c r="B558" s="1461" t="s">
        <v>1079</v>
      </c>
      <c r="E558" s="1462" t="s">
        <v>1112</v>
      </c>
      <c r="F558" s="1461" t="s">
        <v>1003</v>
      </c>
      <c r="G558" s="638" t="s">
        <v>769</v>
      </c>
      <c r="H558" s="1466">
        <v>665375556</v>
      </c>
      <c r="L558" t="str">
        <f t="shared" si="31"/>
        <v>4</v>
      </c>
      <c r="M558" s="638" t="str">
        <f t="shared" si="33"/>
        <v>42112</v>
      </c>
      <c r="N558" s="255">
        <f t="shared" si="32"/>
        <v>-665375556</v>
      </c>
    </row>
    <row r="559" spans="1:14">
      <c r="A559" s="1460">
        <v>45443</v>
      </c>
      <c r="B559" s="1461" t="s">
        <v>1079</v>
      </c>
      <c r="E559" s="1462" t="s">
        <v>1124</v>
      </c>
      <c r="F559" s="1461" t="s">
        <v>1014</v>
      </c>
      <c r="G559" s="638" t="s">
        <v>769</v>
      </c>
      <c r="H559" s="1466">
        <v>3000000</v>
      </c>
      <c r="L559" t="str">
        <f t="shared" si="31"/>
        <v>5</v>
      </c>
      <c r="M559" s="638" t="str">
        <f t="shared" si="33"/>
        <v>51101010301</v>
      </c>
      <c r="N559" s="255">
        <f t="shared" si="32"/>
        <v>-3000000</v>
      </c>
    </row>
    <row r="560" spans="1:14">
      <c r="A560" s="1460">
        <v>45443</v>
      </c>
      <c r="B560" s="1461" t="s">
        <v>1079</v>
      </c>
      <c r="E560" s="1462" t="s">
        <v>1113</v>
      </c>
      <c r="F560" s="1461" t="s">
        <v>976</v>
      </c>
      <c r="G560" s="638" t="s">
        <v>769</v>
      </c>
      <c r="H560" s="1466">
        <v>1778610000</v>
      </c>
      <c r="L560" t="str">
        <f t="shared" si="31"/>
        <v>5</v>
      </c>
      <c r="M560" s="638" t="str">
        <f t="shared" si="33"/>
        <v>51101010306</v>
      </c>
      <c r="N560" s="255">
        <f t="shared" si="32"/>
        <v>-1778610000</v>
      </c>
    </row>
    <row r="561" spans="1:14">
      <c r="A561" s="1460">
        <v>45443</v>
      </c>
      <c r="B561" s="1461" t="s">
        <v>1079</v>
      </c>
      <c r="E561" s="1462" t="s">
        <v>805</v>
      </c>
      <c r="F561" s="1461" t="s">
        <v>782</v>
      </c>
      <c r="G561" s="638" t="s">
        <v>769</v>
      </c>
      <c r="H561" s="1466">
        <v>61019179</v>
      </c>
      <c r="L561" t="str">
        <f t="shared" si="31"/>
        <v>5</v>
      </c>
      <c r="M561" s="638" t="str">
        <f t="shared" si="33"/>
        <v>51101030201</v>
      </c>
      <c r="N561" s="255">
        <f t="shared" si="32"/>
        <v>-61019179</v>
      </c>
    </row>
    <row r="562" spans="1:14">
      <c r="A562" s="1460">
        <v>45443</v>
      </c>
      <c r="B562" s="1461" t="s">
        <v>1079</v>
      </c>
      <c r="E562" s="1462" t="s">
        <v>1104</v>
      </c>
      <c r="F562" s="1461" t="s">
        <v>980</v>
      </c>
      <c r="G562" s="638" t="s">
        <v>769</v>
      </c>
      <c r="H562" s="1466">
        <v>987150685</v>
      </c>
      <c r="L562" t="str">
        <f t="shared" si="31"/>
        <v>5</v>
      </c>
      <c r="M562" s="638" t="str">
        <f t="shared" si="33"/>
        <v>51101030202</v>
      </c>
      <c r="N562" s="255">
        <f t="shared" si="32"/>
        <v>-987150685</v>
      </c>
    </row>
    <row r="563" spans="1:14">
      <c r="A563" s="1460">
        <v>45443</v>
      </c>
      <c r="B563" s="1461" t="s">
        <v>1079</v>
      </c>
      <c r="E563" s="1462" t="s">
        <v>1123</v>
      </c>
      <c r="F563" s="1461" t="s">
        <v>1011</v>
      </c>
      <c r="G563" s="638" t="s">
        <v>769</v>
      </c>
      <c r="H563" s="1466">
        <v>96515069</v>
      </c>
      <c r="L563" t="str">
        <f t="shared" si="31"/>
        <v>5</v>
      </c>
      <c r="M563" s="638" t="str">
        <f t="shared" si="33"/>
        <v>5110208</v>
      </c>
      <c r="N563" s="255">
        <f t="shared" si="32"/>
        <v>-96515069</v>
      </c>
    </row>
    <row r="564" spans="1:14">
      <c r="A564" s="1460">
        <v>45443</v>
      </c>
      <c r="B564" s="1461" t="s">
        <v>1079</v>
      </c>
      <c r="E564" s="1462" t="s">
        <v>1110</v>
      </c>
      <c r="F564" s="1461" t="s">
        <v>984</v>
      </c>
      <c r="G564" s="638" t="s">
        <v>769</v>
      </c>
      <c r="H564" s="1466">
        <v>871215231</v>
      </c>
      <c r="L564" t="str">
        <f t="shared" si="31"/>
        <v>5</v>
      </c>
      <c r="M564" s="638" t="str">
        <f t="shared" si="33"/>
        <v>511030101</v>
      </c>
      <c r="N564" s="255">
        <f t="shared" si="32"/>
        <v>-871215231</v>
      </c>
    </row>
    <row r="565" spans="1:14">
      <c r="A565" s="1460">
        <v>45473</v>
      </c>
      <c r="B565" s="1461" t="s">
        <v>1081</v>
      </c>
      <c r="E565" s="1462" t="s">
        <v>1117</v>
      </c>
      <c r="F565" s="1461" t="s">
        <v>993</v>
      </c>
      <c r="G565" s="638" t="s">
        <v>769</v>
      </c>
      <c r="H565" s="1466">
        <v>71362628</v>
      </c>
      <c r="L565" t="str">
        <f t="shared" si="31"/>
        <v>5</v>
      </c>
      <c r="M565" s="638" t="str">
        <f t="shared" si="33"/>
        <v>5110508</v>
      </c>
      <c r="N565" s="255">
        <f t="shared" si="32"/>
        <v>-71362628</v>
      </c>
    </row>
    <row r="566" spans="1:14">
      <c r="A566" s="1460">
        <v>45473</v>
      </c>
      <c r="B566" s="1461" t="s">
        <v>1081</v>
      </c>
      <c r="E566" s="1462" t="s">
        <v>1121</v>
      </c>
      <c r="F566" s="1461" t="s">
        <v>1009</v>
      </c>
      <c r="G566" s="638" t="s">
        <v>918</v>
      </c>
      <c r="H566" s="1466">
        <v>20493000</v>
      </c>
      <c r="L566" t="str">
        <f t="shared" si="31"/>
        <v>5</v>
      </c>
      <c r="M566" s="638" t="str">
        <f t="shared" ref="M566:M604" si="34">G566</f>
        <v>51101030203</v>
      </c>
      <c r="N566" s="255">
        <f t="shared" si="32"/>
        <v>-20493000</v>
      </c>
    </row>
    <row r="567" spans="1:14">
      <c r="A567" s="1460">
        <v>45473</v>
      </c>
      <c r="B567" s="1461" t="s">
        <v>1081</v>
      </c>
      <c r="E567" s="1462" t="s">
        <v>1118</v>
      </c>
      <c r="F567" s="1461" t="s">
        <v>995</v>
      </c>
      <c r="G567" s="638" t="s">
        <v>770</v>
      </c>
      <c r="H567" s="1466">
        <v>16442359</v>
      </c>
      <c r="L567" t="str">
        <f t="shared" si="31"/>
        <v>6</v>
      </c>
      <c r="M567" s="638" t="str">
        <f t="shared" si="34"/>
        <v>63311</v>
      </c>
      <c r="N567" s="255">
        <f t="shared" si="32"/>
        <v>-16442359</v>
      </c>
    </row>
    <row r="568" spans="1:14">
      <c r="A568" s="1460">
        <v>45473</v>
      </c>
      <c r="B568" s="1461" t="s">
        <v>1081</v>
      </c>
      <c r="E568" s="1462" t="s">
        <v>1119</v>
      </c>
      <c r="F568" s="1461" t="s">
        <v>996</v>
      </c>
      <c r="G568" s="638" t="s">
        <v>781</v>
      </c>
      <c r="H568" s="1466">
        <v>3894498</v>
      </c>
      <c r="L568" t="str">
        <f t="shared" si="31"/>
        <v>6</v>
      </c>
      <c r="M568" s="638" t="str">
        <f t="shared" si="34"/>
        <v>63312</v>
      </c>
      <c r="N568" s="255">
        <f t="shared" si="32"/>
        <v>-3894498</v>
      </c>
    </row>
    <row r="569" spans="1:14">
      <c r="A569" s="1460">
        <v>45473</v>
      </c>
      <c r="B569" s="1461" t="s">
        <v>1081</v>
      </c>
      <c r="E569" s="1462" t="s">
        <v>1114</v>
      </c>
      <c r="F569" s="1461" t="s">
        <v>251</v>
      </c>
      <c r="G569" s="638" t="s">
        <v>787</v>
      </c>
      <c r="H569" s="1466">
        <v>3732242</v>
      </c>
      <c r="L569" t="str">
        <f t="shared" si="31"/>
        <v>6</v>
      </c>
      <c r="M569" s="638" t="str">
        <f t="shared" si="34"/>
        <v>63313</v>
      </c>
      <c r="N569" s="255">
        <f t="shared" si="32"/>
        <v>-3732242</v>
      </c>
    </row>
    <row r="570" spans="1:14">
      <c r="A570" s="1460">
        <v>45473</v>
      </c>
      <c r="B570" s="1461" t="s">
        <v>1081</v>
      </c>
      <c r="E570" s="1462" t="s">
        <v>897</v>
      </c>
      <c r="F570" s="1461" t="s">
        <v>855</v>
      </c>
      <c r="G570" s="638" t="s">
        <v>791</v>
      </c>
      <c r="H570" s="1466">
        <v>45499788</v>
      </c>
      <c r="L570" t="str">
        <f t="shared" si="31"/>
        <v>6</v>
      </c>
      <c r="M570" s="638" t="str">
        <f t="shared" si="34"/>
        <v>6331711</v>
      </c>
      <c r="N570" s="255">
        <f t="shared" si="32"/>
        <v>-45499788</v>
      </c>
    </row>
    <row r="571" spans="1:14">
      <c r="A571" s="1460">
        <v>45473</v>
      </c>
      <c r="B571" s="1461" t="s">
        <v>1081</v>
      </c>
      <c r="E571" s="1462" t="s">
        <v>989</v>
      </c>
      <c r="F571" s="1461" t="s">
        <v>927</v>
      </c>
      <c r="G571" s="638" t="s">
        <v>795</v>
      </c>
      <c r="H571" s="1466">
        <v>5400000</v>
      </c>
      <c r="L571" t="str">
        <f t="shared" si="31"/>
        <v>6</v>
      </c>
      <c r="M571" s="638" t="str">
        <f t="shared" si="34"/>
        <v>6331712</v>
      </c>
      <c r="N571" s="255">
        <f t="shared" si="32"/>
        <v>-5400000</v>
      </c>
    </row>
    <row r="572" spans="1:14">
      <c r="A572" s="1460">
        <v>45473</v>
      </c>
      <c r="B572" s="1461" t="s">
        <v>1081</v>
      </c>
      <c r="E572" s="1462" t="s">
        <v>802</v>
      </c>
      <c r="F572" s="1461" t="s">
        <v>337</v>
      </c>
      <c r="G572" s="638" t="s">
        <v>806</v>
      </c>
      <c r="H572" s="1466">
        <v>1953907798</v>
      </c>
      <c r="L572" t="str">
        <f t="shared" si="31"/>
        <v>6</v>
      </c>
      <c r="M572" s="638" t="str">
        <f t="shared" si="34"/>
        <v>633173</v>
      </c>
      <c r="N572" s="255">
        <f t="shared" si="32"/>
        <v>-1953907798</v>
      </c>
    </row>
    <row r="573" spans="1:14">
      <c r="A573" s="1460">
        <v>45473</v>
      </c>
      <c r="B573" s="1461" t="s">
        <v>1081</v>
      </c>
      <c r="E573" s="1462" t="s">
        <v>983</v>
      </c>
      <c r="F573" s="1461" t="s">
        <v>924</v>
      </c>
      <c r="G573" s="638" t="s">
        <v>811</v>
      </c>
      <c r="H573" s="1466">
        <v>147844000</v>
      </c>
      <c r="L573" t="str">
        <f t="shared" si="31"/>
        <v>6</v>
      </c>
      <c r="M573" s="638" t="str">
        <f t="shared" si="34"/>
        <v>633174</v>
      </c>
      <c r="N573" s="255">
        <f t="shared" si="32"/>
        <v>-147844000</v>
      </c>
    </row>
    <row r="574" spans="1:14">
      <c r="A574" s="1460">
        <v>45473</v>
      </c>
      <c r="B574" s="1461" t="s">
        <v>1081</v>
      </c>
      <c r="E574" s="1462" t="s">
        <v>894</v>
      </c>
      <c r="F574" s="1461" t="s">
        <v>849</v>
      </c>
      <c r="G574" s="638" t="s">
        <v>815</v>
      </c>
      <c r="H574" s="1466">
        <v>8730335</v>
      </c>
      <c r="L574" t="str">
        <f t="shared" si="31"/>
        <v>6</v>
      </c>
      <c r="M574" s="638" t="str">
        <f t="shared" si="34"/>
        <v>633175</v>
      </c>
      <c r="N574" s="255">
        <f t="shared" si="32"/>
        <v>-8730335</v>
      </c>
    </row>
    <row r="575" spans="1:14">
      <c r="A575" s="1460">
        <v>45473</v>
      </c>
      <c r="B575" s="1461" t="s">
        <v>1081</v>
      </c>
      <c r="E575" s="1462" t="s">
        <v>885</v>
      </c>
      <c r="F575" s="1461" t="s">
        <v>339</v>
      </c>
      <c r="G575" s="638" t="s">
        <v>951</v>
      </c>
      <c r="H575" s="1466">
        <v>165424000</v>
      </c>
      <c r="L575" t="str">
        <f t="shared" si="31"/>
        <v>6</v>
      </c>
      <c r="M575" s="638" t="str">
        <f t="shared" si="34"/>
        <v>6333311</v>
      </c>
      <c r="N575" s="255">
        <f t="shared" si="32"/>
        <v>-165424000</v>
      </c>
    </row>
    <row r="576" spans="1:14">
      <c r="A576" s="1460">
        <v>45473</v>
      </c>
      <c r="B576" s="1461" t="s">
        <v>1081</v>
      </c>
      <c r="E576" s="1462" t="s">
        <v>1076</v>
      </c>
      <c r="F576" s="1461" t="s">
        <v>957</v>
      </c>
      <c r="G576" s="638" t="s">
        <v>954</v>
      </c>
      <c r="H576" s="1466">
        <v>2710084</v>
      </c>
      <c r="L576" t="str">
        <f t="shared" si="31"/>
        <v>6</v>
      </c>
      <c r="M576" s="638" t="str">
        <f t="shared" si="34"/>
        <v>6333312</v>
      </c>
      <c r="N576" s="255">
        <f t="shared" si="32"/>
        <v>-2710084</v>
      </c>
    </row>
    <row r="577" spans="1:14">
      <c r="A577" s="1460">
        <v>45473</v>
      </c>
      <c r="B577" s="1461" t="s">
        <v>1081</v>
      </c>
      <c r="E577" s="1462" t="s">
        <v>888</v>
      </c>
      <c r="F577" s="1461" t="s">
        <v>345</v>
      </c>
      <c r="G577" s="638" t="s">
        <v>820</v>
      </c>
      <c r="H577" s="1466">
        <v>36116435</v>
      </c>
      <c r="L577" t="str">
        <f t="shared" si="31"/>
        <v>6</v>
      </c>
      <c r="M577" s="638" t="str">
        <f t="shared" si="34"/>
        <v>63341</v>
      </c>
      <c r="N577" s="255">
        <f t="shared" si="32"/>
        <v>-36116435</v>
      </c>
    </row>
    <row r="578" spans="1:14">
      <c r="A578" s="1460">
        <v>45473</v>
      </c>
      <c r="B578" s="1461" t="s">
        <v>1081</v>
      </c>
      <c r="E578" s="1462" t="s">
        <v>900</v>
      </c>
      <c r="F578" s="1461" t="s">
        <v>860</v>
      </c>
      <c r="G578" s="638" t="s">
        <v>1063</v>
      </c>
      <c r="H578" s="1466">
        <v>2148400</v>
      </c>
      <c r="L578" t="str">
        <f t="shared" si="31"/>
        <v>6</v>
      </c>
      <c r="M578" s="638" t="str">
        <f t="shared" si="34"/>
        <v>633448</v>
      </c>
      <c r="N578" s="255">
        <f t="shared" si="32"/>
        <v>-2148400</v>
      </c>
    </row>
    <row r="579" spans="1:14">
      <c r="A579" s="1460">
        <v>45473</v>
      </c>
      <c r="B579" s="1461" t="s">
        <v>1081</v>
      </c>
      <c r="E579" s="1462" t="s">
        <v>1074</v>
      </c>
      <c r="F579" s="1461" t="s">
        <v>963</v>
      </c>
      <c r="G579" s="638" t="s">
        <v>799</v>
      </c>
      <c r="H579" s="1466">
        <v>16200000</v>
      </c>
      <c r="L579" t="str">
        <f t="shared" si="31"/>
        <v>6</v>
      </c>
      <c r="M579" s="638" t="str">
        <f t="shared" si="34"/>
        <v>63345</v>
      </c>
      <c r="N579" s="255">
        <f t="shared" si="32"/>
        <v>-16200000</v>
      </c>
    </row>
    <row r="580" spans="1:14">
      <c r="A580" s="1460">
        <v>45473</v>
      </c>
      <c r="B580" s="1461" t="s">
        <v>1081</v>
      </c>
      <c r="E580" s="1462" t="s">
        <v>1080</v>
      </c>
      <c r="F580" s="1461" t="s">
        <v>968</v>
      </c>
      <c r="G580" s="638" t="s">
        <v>309</v>
      </c>
      <c r="H580" s="1466">
        <v>4920000</v>
      </c>
      <c r="L580" t="str">
        <f t="shared" si="31"/>
        <v>6</v>
      </c>
      <c r="M580" s="638" t="str">
        <f t="shared" si="34"/>
        <v>6352</v>
      </c>
      <c r="N580" s="255">
        <f t="shared" si="32"/>
        <v>-4920000</v>
      </c>
    </row>
    <row r="581" spans="1:14">
      <c r="A581" s="1460">
        <v>45473</v>
      </c>
      <c r="B581" s="1461" t="s">
        <v>1081</v>
      </c>
      <c r="E581" s="1462" t="s">
        <v>1075</v>
      </c>
      <c r="F581" s="1461" t="s">
        <v>960</v>
      </c>
      <c r="G581" s="638" t="s">
        <v>378</v>
      </c>
      <c r="H581" s="1466">
        <v>149074666</v>
      </c>
      <c r="L581" t="str">
        <f t="shared" si="31"/>
        <v>6</v>
      </c>
      <c r="M581" s="638" t="str">
        <f t="shared" si="34"/>
        <v>64211</v>
      </c>
      <c r="N581" s="255">
        <f t="shared" si="32"/>
        <v>-149074666</v>
      </c>
    </row>
    <row r="582" spans="1:14">
      <c r="A582" s="1460">
        <v>45473</v>
      </c>
      <c r="B582" s="1461" t="s">
        <v>1081</v>
      </c>
      <c r="E582" s="1462" t="s">
        <v>1021</v>
      </c>
      <c r="F582" s="1461" t="s">
        <v>933</v>
      </c>
      <c r="G582" s="638" t="s">
        <v>379</v>
      </c>
      <c r="H582" s="1466">
        <v>6120000</v>
      </c>
      <c r="L582" t="str">
        <f t="shared" si="31"/>
        <v>6</v>
      </c>
      <c r="M582" s="638" t="str">
        <f t="shared" si="34"/>
        <v>64212</v>
      </c>
      <c r="N582" s="255">
        <f t="shared" si="32"/>
        <v>-6120000</v>
      </c>
    </row>
    <row r="583" spans="1:14">
      <c r="A583" s="1460">
        <v>45473</v>
      </c>
      <c r="B583" s="1461" t="s">
        <v>1081</v>
      </c>
      <c r="E583" s="1462" t="s">
        <v>891</v>
      </c>
      <c r="F583" s="1461" t="s">
        <v>844</v>
      </c>
      <c r="G583" s="638" t="s">
        <v>505</v>
      </c>
      <c r="H583" s="1466">
        <v>13893155</v>
      </c>
      <c r="L583" t="str">
        <f t="shared" si="31"/>
        <v>6</v>
      </c>
      <c r="M583" s="638" t="str">
        <f t="shared" si="34"/>
        <v>6422</v>
      </c>
      <c r="N583" s="255">
        <f t="shared" si="32"/>
        <v>-13893155</v>
      </c>
    </row>
    <row r="584" spans="1:14">
      <c r="A584" s="1460">
        <v>45473</v>
      </c>
      <c r="B584" s="1461" t="s">
        <v>1081</v>
      </c>
      <c r="E584" s="1462" t="s">
        <v>805</v>
      </c>
      <c r="F584" s="1461" t="s">
        <v>782</v>
      </c>
      <c r="G584" s="638" t="s">
        <v>381</v>
      </c>
      <c r="H584" s="1466">
        <v>77369863</v>
      </c>
      <c r="L584" t="str">
        <f t="shared" si="31"/>
        <v>6</v>
      </c>
      <c r="M584" s="638" t="str">
        <f t="shared" si="34"/>
        <v>6423</v>
      </c>
      <c r="N584" s="255">
        <f t="shared" si="32"/>
        <v>-77369863</v>
      </c>
    </row>
    <row r="585" spans="1:14">
      <c r="A585" s="1460">
        <v>45473</v>
      </c>
      <c r="B585" s="1461" t="s">
        <v>1081</v>
      </c>
      <c r="E585" s="1462" t="s">
        <v>1104</v>
      </c>
      <c r="F585" s="1461" t="s">
        <v>980</v>
      </c>
      <c r="G585" s="638" t="s">
        <v>383</v>
      </c>
      <c r="H585" s="1466">
        <v>1162191782</v>
      </c>
      <c r="L585" t="str">
        <f t="shared" si="31"/>
        <v>6</v>
      </c>
      <c r="M585" s="638" t="str">
        <f t="shared" si="34"/>
        <v>6424</v>
      </c>
      <c r="N585" s="255">
        <f t="shared" si="32"/>
        <v>-1162191782</v>
      </c>
    </row>
    <row r="586" spans="1:14">
      <c r="A586" s="1460">
        <v>45473</v>
      </c>
      <c r="B586" s="1461" t="s">
        <v>1081</v>
      </c>
      <c r="E586" s="1462" t="s">
        <v>1123</v>
      </c>
      <c r="F586" s="1461" t="s">
        <v>1011</v>
      </c>
      <c r="G586" s="638" t="s">
        <v>839</v>
      </c>
      <c r="H586" s="1466">
        <v>72102453</v>
      </c>
      <c r="L586" t="str">
        <f t="shared" si="31"/>
        <v>6</v>
      </c>
      <c r="M586" s="638" t="str">
        <f t="shared" si="34"/>
        <v>642701</v>
      </c>
      <c r="N586" s="255">
        <f t="shared" si="32"/>
        <v>-72102453</v>
      </c>
    </row>
    <row r="587" spans="1:14">
      <c r="A587" s="1460">
        <v>45473</v>
      </c>
      <c r="B587" s="1461" t="s">
        <v>1081</v>
      </c>
      <c r="E587" s="1462" t="s">
        <v>1115</v>
      </c>
      <c r="F587" s="1461" t="s">
        <v>986</v>
      </c>
      <c r="G587" s="638" t="s">
        <v>843</v>
      </c>
      <c r="H587" s="1466">
        <v>131338033</v>
      </c>
      <c r="L587" t="str">
        <f t="shared" si="31"/>
        <v>6</v>
      </c>
      <c r="M587" s="638" t="str">
        <f t="shared" si="34"/>
        <v>642702</v>
      </c>
      <c r="N587" s="255">
        <f t="shared" si="32"/>
        <v>-131338033</v>
      </c>
    </row>
    <row r="588" spans="1:14">
      <c r="A588" s="1460">
        <v>45473</v>
      </c>
      <c r="B588" s="1461" t="s">
        <v>1081</v>
      </c>
      <c r="E588" s="1462" t="s">
        <v>1110</v>
      </c>
      <c r="F588" s="1461" t="s">
        <v>984</v>
      </c>
      <c r="G588" s="638" t="s">
        <v>848</v>
      </c>
      <c r="H588" s="1466">
        <v>1049494617</v>
      </c>
      <c r="L588" t="str">
        <f t="shared" si="31"/>
        <v>6</v>
      </c>
      <c r="M588" s="638" t="str">
        <f t="shared" si="34"/>
        <v>642703</v>
      </c>
      <c r="N588" s="255">
        <f t="shared" si="32"/>
        <v>-1049494617</v>
      </c>
    </row>
    <row r="589" spans="1:14">
      <c r="A589" s="1460">
        <v>45473</v>
      </c>
      <c r="B589" s="1461" t="s">
        <v>1081</v>
      </c>
      <c r="E589" s="1462" t="s">
        <v>1116</v>
      </c>
      <c r="F589" s="1461" t="s">
        <v>990</v>
      </c>
      <c r="G589" s="638" t="s">
        <v>854</v>
      </c>
      <c r="H589" s="1466">
        <v>666856062</v>
      </c>
      <c r="L589" t="str">
        <f t="shared" si="31"/>
        <v>6</v>
      </c>
      <c r="M589" s="638" t="str">
        <f t="shared" si="34"/>
        <v>642704</v>
      </c>
      <c r="N589" s="255">
        <f t="shared" si="32"/>
        <v>-666856062</v>
      </c>
    </row>
    <row r="590" spans="1:14">
      <c r="A590" s="1460">
        <v>45473</v>
      </c>
      <c r="B590" s="1461" t="s">
        <v>1081</v>
      </c>
      <c r="E590" s="1462" t="s">
        <v>1112</v>
      </c>
      <c r="F590" s="1461" t="s">
        <v>1003</v>
      </c>
      <c r="G590" s="638" t="s">
        <v>859</v>
      </c>
      <c r="H590" s="1466">
        <v>2267029513</v>
      </c>
      <c r="L590" t="str">
        <f t="shared" si="31"/>
        <v>6</v>
      </c>
      <c r="M590" s="638" t="str">
        <f t="shared" si="34"/>
        <v>642706</v>
      </c>
      <c r="N590" s="255">
        <f t="shared" si="32"/>
        <v>-2267029513</v>
      </c>
    </row>
    <row r="591" spans="1:14">
      <c r="A591" s="1460">
        <v>45504</v>
      </c>
      <c r="B591" s="1461" t="s">
        <v>1095</v>
      </c>
      <c r="E591" s="1462" t="s">
        <v>1115</v>
      </c>
      <c r="F591" s="1461" t="s">
        <v>986</v>
      </c>
      <c r="G591" s="638" t="s">
        <v>864</v>
      </c>
      <c r="H591" s="1466">
        <v>111780832</v>
      </c>
      <c r="L591" t="str">
        <f t="shared" si="31"/>
        <v>6</v>
      </c>
      <c r="M591" s="638" t="str">
        <f t="shared" si="34"/>
        <v>642707</v>
      </c>
      <c r="N591" s="255">
        <f t="shared" si="32"/>
        <v>-111780832</v>
      </c>
    </row>
    <row r="592" spans="1:14">
      <c r="A592" s="1460">
        <v>45504</v>
      </c>
      <c r="B592" s="1461" t="s">
        <v>1095</v>
      </c>
      <c r="E592" s="1462" t="s">
        <v>1116</v>
      </c>
      <c r="F592" s="1461" t="s">
        <v>990</v>
      </c>
      <c r="G592" s="638" t="s">
        <v>810</v>
      </c>
      <c r="H592" s="1466">
        <v>607941501</v>
      </c>
      <c r="L592" t="str">
        <f t="shared" si="31"/>
        <v>6</v>
      </c>
      <c r="M592" s="638" t="str">
        <f t="shared" si="34"/>
        <v>642708</v>
      </c>
      <c r="N592" s="255">
        <f t="shared" si="32"/>
        <v>-607941501</v>
      </c>
    </row>
    <row r="593" spans="1:14">
      <c r="A593" s="1460">
        <v>45504</v>
      </c>
      <c r="B593" s="1461" t="s">
        <v>1095</v>
      </c>
      <c r="E593" s="1462" t="s">
        <v>1117</v>
      </c>
      <c r="F593" s="1461" t="s">
        <v>993</v>
      </c>
      <c r="G593" s="638" t="s">
        <v>814</v>
      </c>
      <c r="H593" s="1466">
        <v>93860449</v>
      </c>
      <c r="L593" t="str">
        <f t="shared" si="31"/>
        <v>6</v>
      </c>
      <c r="M593" s="638" t="str">
        <f t="shared" si="34"/>
        <v>642709</v>
      </c>
      <c r="N593" s="255">
        <f t="shared" si="32"/>
        <v>-93860449</v>
      </c>
    </row>
    <row r="594" spans="1:14">
      <c r="A594" s="1460">
        <v>45504</v>
      </c>
      <c r="B594" s="1461" t="s">
        <v>1095</v>
      </c>
      <c r="E594" s="1462" t="s">
        <v>1121</v>
      </c>
      <c r="F594" s="1461" t="s">
        <v>1009</v>
      </c>
      <c r="G594" s="638" t="s">
        <v>819</v>
      </c>
      <c r="H594" s="1466">
        <v>17622000</v>
      </c>
      <c r="L594" t="str">
        <f t="shared" si="31"/>
        <v>6</v>
      </c>
      <c r="M594" s="638" t="str">
        <f t="shared" si="34"/>
        <v>642710</v>
      </c>
      <c r="N594" s="255">
        <f t="shared" si="32"/>
        <v>-17622000</v>
      </c>
    </row>
    <row r="595" spans="1:14">
      <c r="A595" s="1460">
        <v>45504</v>
      </c>
      <c r="B595" s="1461" t="s">
        <v>1095</v>
      </c>
      <c r="E595" s="1462" t="s">
        <v>1118</v>
      </c>
      <c r="F595" s="1461" t="s">
        <v>995</v>
      </c>
      <c r="G595" s="638" t="s">
        <v>825</v>
      </c>
      <c r="H595" s="1466">
        <v>17763134</v>
      </c>
      <c r="L595" t="str">
        <f t="shared" si="31"/>
        <v>6</v>
      </c>
      <c r="M595" s="638" t="str">
        <f t="shared" si="34"/>
        <v>642711</v>
      </c>
      <c r="N595" s="255">
        <f t="shared" si="32"/>
        <v>-17763134</v>
      </c>
    </row>
    <row r="596" spans="1:14">
      <c r="A596" s="1460">
        <v>45504</v>
      </c>
      <c r="B596" s="1461" t="s">
        <v>1095</v>
      </c>
      <c r="E596" s="1462" t="s">
        <v>1119</v>
      </c>
      <c r="F596" s="1461" t="s">
        <v>996</v>
      </c>
      <c r="G596" s="638" t="s">
        <v>828</v>
      </c>
      <c r="H596" s="1466">
        <v>3902921</v>
      </c>
      <c r="L596" t="str">
        <f t="shared" si="31"/>
        <v>6</v>
      </c>
      <c r="M596" s="638" t="str">
        <f t="shared" si="34"/>
        <v>642712</v>
      </c>
      <c r="N596" s="255">
        <f t="shared" si="32"/>
        <v>-3902921</v>
      </c>
    </row>
    <row r="597" spans="1:14">
      <c r="A597" s="1460">
        <v>45504</v>
      </c>
      <c r="B597" s="1461" t="s">
        <v>1095</v>
      </c>
      <c r="E597" s="1462" t="s">
        <v>1113</v>
      </c>
      <c r="F597" s="1461" t="s">
        <v>976</v>
      </c>
      <c r="G597" s="638" t="s">
        <v>1039</v>
      </c>
      <c r="H597" s="1466">
        <v>264511123</v>
      </c>
      <c r="L597" t="str">
        <f t="shared" si="31"/>
        <v>6</v>
      </c>
      <c r="M597" s="638" t="str">
        <f t="shared" si="34"/>
        <v>642713</v>
      </c>
      <c r="N597" s="255">
        <f t="shared" si="32"/>
        <v>-264511123</v>
      </c>
    </row>
    <row r="598" spans="1:14">
      <c r="A598" s="1460">
        <v>45504</v>
      </c>
      <c r="B598" s="1461" t="s">
        <v>1095</v>
      </c>
      <c r="E598" s="1462" t="s">
        <v>1104</v>
      </c>
      <c r="F598" s="1461" t="s">
        <v>980</v>
      </c>
      <c r="G598" s="638" t="s">
        <v>1043</v>
      </c>
      <c r="H598" s="1466">
        <v>1200931507</v>
      </c>
      <c r="L598" t="str">
        <f t="shared" si="31"/>
        <v>6</v>
      </c>
      <c r="M598" s="638" t="str">
        <f t="shared" si="34"/>
        <v>642714</v>
      </c>
      <c r="N598" s="255">
        <f t="shared" si="32"/>
        <v>-1200931507</v>
      </c>
    </row>
    <row r="599" spans="1:14">
      <c r="A599" s="1460">
        <v>45504</v>
      </c>
      <c r="B599" s="1461" t="s">
        <v>1095</v>
      </c>
      <c r="E599" s="1462" t="s">
        <v>950</v>
      </c>
      <c r="F599" s="1461" t="s">
        <v>918</v>
      </c>
      <c r="G599" s="638" t="s">
        <v>1045</v>
      </c>
      <c r="H599" s="1466">
        <v>57534247</v>
      </c>
      <c r="L599" t="str">
        <f t="shared" si="31"/>
        <v>6</v>
      </c>
      <c r="M599" s="638" t="str">
        <f t="shared" si="34"/>
        <v>642718</v>
      </c>
      <c r="N599" s="255">
        <f t="shared" si="32"/>
        <v>-57534247</v>
      </c>
    </row>
    <row r="600" spans="1:14">
      <c r="A600" s="1460">
        <v>45504</v>
      </c>
      <c r="B600" s="1461" t="s">
        <v>1095</v>
      </c>
      <c r="E600" s="1462" t="s">
        <v>1123</v>
      </c>
      <c r="F600" s="1461" t="s">
        <v>1011</v>
      </c>
      <c r="G600" s="638" t="s">
        <v>833</v>
      </c>
      <c r="H600" s="1466">
        <v>107087601</v>
      </c>
      <c r="L600" t="str">
        <f t="shared" si="31"/>
        <v>6</v>
      </c>
      <c r="M600" s="638" t="str">
        <f t="shared" si="34"/>
        <v>642799</v>
      </c>
      <c r="N600" s="255">
        <f t="shared" si="32"/>
        <v>-107087601</v>
      </c>
    </row>
    <row r="601" spans="1:14">
      <c r="A601" s="1460">
        <v>45504</v>
      </c>
      <c r="B601" s="1461" t="s">
        <v>1095</v>
      </c>
      <c r="E601" s="1462" t="s">
        <v>1110</v>
      </c>
      <c r="F601" s="1461" t="s">
        <v>984</v>
      </c>
      <c r="G601" s="638" t="s">
        <v>1033</v>
      </c>
      <c r="H601" s="1466">
        <v>1230919723</v>
      </c>
      <c r="L601" t="str">
        <f t="shared" si="31"/>
        <v>6</v>
      </c>
      <c r="M601" s="638" t="str">
        <f t="shared" si="34"/>
        <v>642802</v>
      </c>
      <c r="N601" s="255">
        <f t="shared" si="32"/>
        <v>-1230919723</v>
      </c>
    </row>
    <row r="602" spans="1:14">
      <c r="A602" s="1460">
        <v>45504</v>
      </c>
      <c r="B602" s="1461" t="s">
        <v>1095</v>
      </c>
      <c r="E602" s="1462" t="s">
        <v>1111</v>
      </c>
      <c r="F602" s="1461" t="s">
        <v>1001</v>
      </c>
      <c r="G602" s="638" t="s">
        <v>1047</v>
      </c>
      <c r="H602" s="1466">
        <v>2360000</v>
      </c>
      <c r="L602" t="str">
        <f t="shared" si="31"/>
        <v>6</v>
      </c>
      <c r="M602" s="638" t="str">
        <f t="shared" si="34"/>
        <v>642804</v>
      </c>
      <c r="N602" s="255">
        <f t="shared" si="32"/>
        <v>-2360000</v>
      </c>
    </row>
    <row r="603" spans="1:14">
      <c r="A603" s="1460">
        <v>45504</v>
      </c>
      <c r="B603" s="1461" t="s">
        <v>1095</v>
      </c>
      <c r="E603" s="1462" t="s">
        <v>1112</v>
      </c>
      <c r="F603" s="1461" t="s">
        <v>1003</v>
      </c>
      <c r="G603" s="638" t="s">
        <v>967</v>
      </c>
      <c r="H603" s="1466">
        <v>1663356312</v>
      </c>
      <c r="L603" t="str">
        <f t="shared" si="31"/>
        <v>6</v>
      </c>
      <c r="M603" s="638" t="str">
        <f t="shared" si="34"/>
        <v>642899</v>
      </c>
      <c r="N603" s="255">
        <f t="shared" si="32"/>
        <v>-1663356312</v>
      </c>
    </row>
    <row r="604" spans="1:14">
      <c r="A604" s="1460">
        <v>45504</v>
      </c>
      <c r="B604" s="1461" t="s">
        <v>1095</v>
      </c>
      <c r="E604" s="1462" t="s">
        <v>1114</v>
      </c>
      <c r="F604" s="1461" t="s">
        <v>251</v>
      </c>
      <c r="G604" s="638" t="s">
        <v>930</v>
      </c>
      <c r="H604" s="1466">
        <v>3266908</v>
      </c>
      <c r="L604" t="str">
        <f t="shared" ref="L604:L667" si="35">LEFT(M604,1)</f>
        <v>8</v>
      </c>
      <c r="M604" s="638" t="str">
        <f t="shared" si="34"/>
        <v>8114</v>
      </c>
      <c r="N604" s="255">
        <f t="shared" ref="N604:N667" si="36">IF(LEFT(F604,1)="9",H604,-H604)</f>
        <v>-3266908</v>
      </c>
    </row>
    <row r="605" spans="1:14">
      <c r="A605" s="1460">
        <v>45535</v>
      </c>
      <c r="B605" s="1461" t="s">
        <v>1096</v>
      </c>
      <c r="E605" s="1462" t="s">
        <v>1116</v>
      </c>
      <c r="F605" s="1461" t="s">
        <v>990</v>
      </c>
      <c r="G605" s="638" t="s">
        <v>769</v>
      </c>
      <c r="H605" s="1466">
        <v>625659687</v>
      </c>
      <c r="L605" t="str">
        <f t="shared" si="35"/>
        <v>5</v>
      </c>
      <c r="M605" s="638" t="str">
        <f t="shared" ref="M605:M667" si="37">F605</f>
        <v>5110501</v>
      </c>
      <c r="N605" s="255">
        <f t="shared" si="36"/>
        <v>-625659687</v>
      </c>
    </row>
    <row r="606" spans="1:14">
      <c r="A606" s="1460">
        <v>45535</v>
      </c>
      <c r="B606" s="1461" t="s">
        <v>1096</v>
      </c>
      <c r="E606" s="1462" t="s">
        <v>1117</v>
      </c>
      <c r="F606" s="1461" t="s">
        <v>993</v>
      </c>
      <c r="G606" s="638" t="s">
        <v>769</v>
      </c>
      <c r="H606" s="1466">
        <v>72926549</v>
      </c>
      <c r="L606" t="str">
        <f t="shared" si="35"/>
        <v>5</v>
      </c>
      <c r="M606" s="638" t="str">
        <f t="shared" si="37"/>
        <v>5110508</v>
      </c>
      <c r="N606" s="255">
        <f t="shared" si="36"/>
        <v>-72926549</v>
      </c>
    </row>
    <row r="607" spans="1:14">
      <c r="A607" s="1460">
        <v>45535</v>
      </c>
      <c r="B607" s="1461" t="s">
        <v>1096</v>
      </c>
      <c r="E607" s="1462" t="s">
        <v>1121</v>
      </c>
      <c r="F607" s="1461" t="s">
        <v>1009</v>
      </c>
      <c r="G607" s="638" t="s">
        <v>769</v>
      </c>
      <c r="H607" s="1466">
        <v>11385000</v>
      </c>
      <c r="L607" t="str">
        <f t="shared" si="35"/>
        <v>5</v>
      </c>
      <c r="M607" s="638" t="str">
        <f t="shared" si="37"/>
        <v>5110701</v>
      </c>
      <c r="N607" s="255">
        <f t="shared" si="36"/>
        <v>-11385000</v>
      </c>
    </row>
    <row r="608" spans="1:14">
      <c r="A608" s="1460">
        <v>45535</v>
      </c>
      <c r="B608" s="1461" t="s">
        <v>1096</v>
      </c>
      <c r="E608" s="1462" t="s">
        <v>1118</v>
      </c>
      <c r="F608" s="1461" t="s">
        <v>995</v>
      </c>
      <c r="G608" s="638" t="s">
        <v>769</v>
      </c>
      <c r="H608" s="1466">
        <v>17888520</v>
      </c>
      <c r="L608" t="str">
        <f t="shared" si="35"/>
        <v>5</v>
      </c>
      <c r="M608" s="638" t="str">
        <f t="shared" si="37"/>
        <v>5110801</v>
      </c>
      <c r="N608" s="255">
        <f t="shared" si="36"/>
        <v>-17888520</v>
      </c>
    </row>
    <row r="609" spans="1:14">
      <c r="A609" s="1460">
        <v>45535</v>
      </c>
      <c r="B609" s="1461" t="s">
        <v>1096</v>
      </c>
      <c r="E609" s="1462" t="s">
        <v>1119</v>
      </c>
      <c r="F609" s="1461" t="s">
        <v>996</v>
      </c>
      <c r="G609" s="638" t="s">
        <v>769</v>
      </c>
      <c r="H609" s="1466">
        <v>3376637</v>
      </c>
      <c r="L609" t="str">
        <f t="shared" si="35"/>
        <v>5</v>
      </c>
      <c r="M609" s="638" t="str">
        <f t="shared" si="37"/>
        <v>5110802</v>
      </c>
      <c r="N609" s="255">
        <f t="shared" si="36"/>
        <v>-3376637</v>
      </c>
    </row>
    <row r="610" spans="1:14">
      <c r="A610" s="1460">
        <v>45535</v>
      </c>
      <c r="B610" s="1461" t="s">
        <v>1096</v>
      </c>
      <c r="E610" s="1462" t="s">
        <v>1114</v>
      </c>
      <c r="F610" s="1461" t="s">
        <v>251</v>
      </c>
      <c r="G610" s="638" t="s">
        <v>769</v>
      </c>
      <c r="H610" s="1466">
        <v>1121302</v>
      </c>
      <c r="L610" t="str">
        <f t="shared" si="35"/>
        <v>5</v>
      </c>
      <c r="M610" s="638" t="str">
        <f t="shared" si="37"/>
        <v>5152</v>
      </c>
      <c r="N610" s="255">
        <f t="shared" si="36"/>
        <v>-1121302</v>
      </c>
    </row>
    <row r="611" spans="1:14">
      <c r="A611" s="1460">
        <v>45535</v>
      </c>
      <c r="B611" s="1461" t="s">
        <v>1096</v>
      </c>
      <c r="E611" s="1462" t="s">
        <v>1112</v>
      </c>
      <c r="F611" s="1461" t="s">
        <v>1003</v>
      </c>
      <c r="G611" s="638" t="s">
        <v>769</v>
      </c>
      <c r="H611" s="1466">
        <v>2147849557</v>
      </c>
      <c r="L611" t="str">
        <f t="shared" si="35"/>
        <v>4</v>
      </c>
      <c r="M611" s="638" t="str">
        <f t="shared" si="37"/>
        <v>42112</v>
      </c>
      <c r="N611" s="255">
        <f t="shared" si="36"/>
        <v>-2147849557</v>
      </c>
    </row>
    <row r="612" spans="1:14">
      <c r="A612" s="1460">
        <v>45535</v>
      </c>
      <c r="B612" s="1461" t="s">
        <v>1096</v>
      </c>
      <c r="E612" s="1462" t="s">
        <v>805</v>
      </c>
      <c r="F612" s="1461" t="s">
        <v>782</v>
      </c>
      <c r="G612" s="638" t="s">
        <v>769</v>
      </c>
      <c r="H612" s="1466">
        <v>87156164</v>
      </c>
      <c r="L612" t="str">
        <f t="shared" si="35"/>
        <v>5</v>
      </c>
      <c r="M612" s="638" t="str">
        <f t="shared" si="37"/>
        <v>51101030201</v>
      </c>
      <c r="N612" s="255">
        <f t="shared" si="36"/>
        <v>-87156164</v>
      </c>
    </row>
    <row r="613" spans="1:14">
      <c r="A613" s="1460">
        <v>45535</v>
      </c>
      <c r="B613" s="1461" t="s">
        <v>1096</v>
      </c>
      <c r="E613" s="1462" t="s">
        <v>1104</v>
      </c>
      <c r="F613" s="1461" t="s">
        <v>980</v>
      </c>
      <c r="G613" s="638" t="s">
        <v>769</v>
      </c>
      <c r="H613" s="1466">
        <v>933123289</v>
      </c>
      <c r="L613" t="str">
        <f t="shared" si="35"/>
        <v>5</v>
      </c>
      <c r="M613" s="638" t="str">
        <f t="shared" si="37"/>
        <v>51101030202</v>
      </c>
      <c r="N613" s="255">
        <f t="shared" si="36"/>
        <v>-933123289</v>
      </c>
    </row>
    <row r="614" spans="1:14">
      <c r="A614" s="1460">
        <v>45535</v>
      </c>
      <c r="B614" s="1461" t="s">
        <v>1096</v>
      </c>
      <c r="E614" s="1462" t="s">
        <v>950</v>
      </c>
      <c r="F614" s="1461" t="s">
        <v>918</v>
      </c>
      <c r="G614" s="638" t="s">
        <v>769</v>
      </c>
      <c r="H614" s="1466">
        <v>297260274</v>
      </c>
      <c r="L614" t="str">
        <f t="shared" si="35"/>
        <v>5</v>
      </c>
      <c r="M614" s="638" t="str">
        <f t="shared" si="37"/>
        <v>51101030203</v>
      </c>
      <c r="N614" s="255">
        <f t="shared" si="36"/>
        <v>-297260274</v>
      </c>
    </row>
    <row r="615" spans="1:14">
      <c r="A615" s="1460">
        <v>45535</v>
      </c>
      <c r="B615" s="1461" t="s">
        <v>1096</v>
      </c>
      <c r="E615" s="1462" t="s">
        <v>1123</v>
      </c>
      <c r="F615" s="1461" t="s">
        <v>1011</v>
      </c>
      <c r="G615" s="638" t="s">
        <v>769</v>
      </c>
      <c r="H615" s="1466">
        <v>53917808</v>
      </c>
      <c r="L615" t="str">
        <f t="shared" si="35"/>
        <v>5</v>
      </c>
      <c r="M615" s="638" t="str">
        <f t="shared" si="37"/>
        <v>5110208</v>
      </c>
      <c r="N615" s="255">
        <f t="shared" si="36"/>
        <v>-53917808</v>
      </c>
    </row>
    <row r="616" spans="1:14">
      <c r="A616" s="1460">
        <v>45535</v>
      </c>
      <c r="B616" s="1461" t="s">
        <v>1096</v>
      </c>
      <c r="E616" s="1462" t="s">
        <v>1110</v>
      </c>
      <c r="F616" s="1461" t="s">
        <v>984</v>
      </c>
      <c r="G616" s="638" t="s">
        <v>769</v>
      </c>
      <c r="H616" s="1466">
        <v>1252843324</v>
      </c>
      <c r="L616" t="str">
        <f t="shared" si="35"/>
        <v>5</v>
      </c>
      <c r="M616" s="638" t="str">
        <f t="shared" si="37"/>
        <v>511030101</v>
      </c>
      <c r="N616" s="255">
        <f t="shared" si="36"/>
        <v>-1252843324</v>
      </c>
    </row>
    <row r="617" spans="1:14">
      <c r="A617" s="1460">
        <v>45535</v>
      </c>
      <c r="B617" s="1461" t="s">
        <v>1096</v>
      </c>
      <c r="E617" s="1462" t="s">
        <v>1115</v>
      </c>
      <c r="F617" s="1461" t="s">
        <v>986</v>
      </c>
      <c r="G617" s="638" t="s">
        <v>769</v>
      </c>
      <c r="H617" s="1466">
        <v>106816987</v>
      </c>
      <c r="L617" t="str">
        <f t="shared" si="35"/>
        <v>5</v>
      </c>
      <c r="M617" s="638" t="str">
        <f t="shared" si="37"/>
        <v>511030201</v>
      </c>
      <c r="N617" s="255">
        <f t="shared" si="36"/>
        <v>-106816987</v>
      </c>
    </row>
    <row r="618" spans="1:14">
      <c r="A618" s="1460">
        <v>45565</v>
      </c>
      <c r="B618" s="1461" t="s">
        <v>1098</v>
      </c>
      <c r="E618" s="1462" t="s">
        <v>1119</v>
      </c>
      <c r="F618" s="1461" t="s">
        <v>996</v>
      </c>
      <c r="G618" s="638" t="s">
        <v>769</v>
      </c>
      <c r="H618" s="1466">
        <v>2739814</v>
      </c>
      <c r="L618" t="str">
        <f t="shared" si="35"/>
        <v>5</v>
      </c>
      <c r="M618" s="638" t="str">
        <f t="shared" si="37"/>
        <v>5110802</v>
      </c>
      <c r="N618" s="255">
        <f t="shared" si="36"/>
        <v>-2739814</v>
      </c>
    </row>
    <row r="619" spans="1:14">
      <c r="A619" s="1460">
        <v>45565</v>
      </c>
      <c r="B619" s="1461" t="s">
        <v>1098</v>
      </c>
      <c r="E619" s="1462" t="s">
        <v>1114</v>
      </c>
      <c r="F619" s="1461" t="s">
        <v>251</v>
      </c>
      <c r="G619" s="638" t="s">
        <v>769</v>
      </c>
      <c r="H619" s="1466">
        <v>735827</v>
      </c>
      <c r="L619" t="str">
        <f t="shared" si="35"/>
        <v>5</v>
      </c>
      <c r="M619" s="638" t="str">
        <f t="shared" si="37"/>
        <v>5152</v>
      </c>
      <c r="N619" s="255">
        <f t="shared" si="36"/>
        <v>-735827</v>
      </c>
    </row>
    <row r="620" spans="1:14">
      <c r="A620" s="1460">
        <v>45565</v>
      </c>
      <c r="B620" s="1461" t="s">
        <v>1098</v>
      </c>
      <c r="E620" s="1462" t="s">
        <v>1110</v>
      </c>
      <c r="F620" s="1461" t="s">
        <v>984</v>
      </c>
      <c r="G620" s="638" t="s">
        <v>980</v>
      </c>
      <c r="H620" s="1466">
        <v>1039902541</v>
      </c>
      <c r="L620" t="str">
        <f t="shared" si="35"/>
        <v>5</v>
      </c>
      <c r="M620" s="638" t="str">
        <f t="shared" ref="M620:M663" si="38">G620</f>
        <v>51101030202</v>
      </c>
      <c r="N620" s="255">
        <f t="shared" si="36"/>
        <v>-1039902541</v>
      </c>
    </row>
    <row r="621" spans="1:14">
      <c r="A621" s="1460">
        <v>45565</v>
      </c>
      <c r="B621" s="1461" t="s">
        <v>1098</v>
      </c>
      <c r="E621" s="1462" t="s">
        <v>1115</v>
      </c>
      <c r="F621" s="1461" t="s">
        <v>986</v>
      </c>
      <c r="G621" s="638" t="s">
        <v>1065</v>
      </c>
      <c r="H621" s="1466">
        <v>83166466</v>
      </c>
      <c r="L621" t="str">
        <f t="shared" si="35"/>
        <v>6</v>
      </c>
      <c r="M621" s="638" t="str">
        <f t="shared" si="38"/>
        <v>63201030305</v>
      </c>
      <c r="N621" s="255">
        <f t="shared" si="36"/>
        <v>-83166466</v>
      </c>
    </row>
    <row r="622" spans="1:14">
      <c r="A622" s="1460">
        <v>45565</v>
      </c>
      <c r="B622" s="1461" t="s">
        <v>1098</v>
      </c>
      <c r="E622" s="1462" t="s">
        <v>1116</v>
      </c>
      <c r="F622" s="1461" t="s">
        <v>990</v>
      </c>
      <c r="G622" s="638" t="s">
        <v>947</v>
      </c>
      <c r="H622" s="1466">
        <v>503892075</v>
      </c>
      <c r="L622" t="str">
        <f t="shared" si="35"/>
        <v>6</v>
      </c>
      <c r="M622" s="638" t="str">
        <f t="shared" si="38"/>
        <v>63208</v>
      </c>
      <c r="N622" s="255">
        <f t="shared" si="36"/>
        <v>-503892075</v>
      </c>
    </row>
    <row r="623" spans="1:14">
      <c r="A623" s="1460">
        <v>45565</v>
      </c>
      <c r="B623" s="1461" t="s">
        <v>1098</v>
      </c>
      <c r="E623" s="1462" t="s">
        <v>1117</v>
      </c>
      <c r="F623" s="1461" t="s">
        <v>993</v>
      </c>
      <c r="G623" s="638" t="s">
        <v>770</v>
      </c>
      <c r="H623" s="1466">
        <v>58480456</v>
      </c>
      <c r="L623" t="str">
        <f t="shared" si="35"/>
        <v>6</v>
      </c>
      <c r="M623" s="638" t="str">
        <f t="shared" si="38"/>
        <v>63311</v>
      </c>
      <c r="N623" s="255">
        <f t="shared" si="36"/>
        <v>-58480456</v>
      </c>
    </row>
    <row r="624" spans="1:14">
      <c r="A624" s="1460">
        <v>45565</v>
      </c>
      <c r="B624" s="1461" t="s">
        <v>1098</v>
      </c>
      <c r="E624" s="1462" t="s">
        <v>1121</v>
      </c>
      <c r="F624" s="1461" t="s">
        <v>1009</v>
      </c>
      <c r="G624" s="638" t="s">
        <v>781</v>
      </c>
      <c r="H624" s="1466">
        <v>6633000</v>
      </c>
      <c r="L624" t="str">
        <f t="shared" si="35"/>
        <v>6</v>
      </c>
      <c r="M624" s="638" t="str">
        <f t="shared" si="38"/>
        <v>63312</v>
      </c>
      <c r="N624" s="255">
        <f t="shared" si="36"/>
        <v>-6633000</v>
      </c>
    </row>
    <row r="625" spans="1:14">
      <c r="A625" s="1460">
        <v>45565</v>
      </c>
      <c r="B625" s="1461" t="s">
        <v>1098</v>
      </c>
      <c r="E625" s="1462" t="s">
        <v>1118</v>
      </c>
      <c r="F625" s="1461" t="s">
        <v>995</v>
      </c>
      <c r="G625" s="638" t="s">
        <v>787</v>
      </c>
      <c r="H625" s="1466">
        <v>17340319</v>
      </c>
      <c r="L625" t="str">
        <f t="shared" si="35"/>
        <v>6</v>
      </c>
      <c r="M625" s="638" t="str">
        <f t="shared" si="38"/>
        <v>63313</v>
      </c>
      <c r="N625" s="255">
        <f t="shared" si="36"/>
        <v>-17340319</v>
      </c>
    </row>
    <row r="626" spans="1:14">
      <c r="A626" s="1460">
        <v>45565</v>
      </c>
      <c r="B626" s="1461" t="s">
        <v>1098</v>
      </c>
      <c r="E626" s="1462" t="s">
        <v>1104</v>
      </c>
      <c r="F626" s="1461" t="s">
        <v>980</v>
      </c>
      <c r="G626" s="638" t="s">
        <v>791</v>
      </c>
      <c r="H626" s="1466">
        <v>689589042</v>
      </c>
      <c r="L626" t="str">
        <f t="shared" si="35"/>
        <v>6</v>
      </c>
      <c r="M626" s="638" t="str">
        <f t="shared" si="38"/>
        <v>6331711</v>
      </c>
      <c r="N626" s="255">
        <f t="shared" si="36"/>
        <v>-689589042</v>
      </c>
    </row>
    <row r="627" spans="1:14">
      <c r="A627" s="1460">
        <v>45565</v>
      </c>
      <c r="B627" s="1461" t="s">
        <v>1098</v>
      </c>
      <c r="E627" s="1462" t="s">
        <v>950</v>
      </c>
      <c r="F627" s="1461" t="s">
        <v>918</v>
      </c>
      <c r="G627" s="638" t="s">
        <v>795</v>
      </c>
      <c r="H627" s="1466">
        <v>30684931</v>
      </c>
      <c r="L627" t="str">
        <f t="shared" si="35"/>
        <v>6</v>
      </c>
      <c r="M627" s="638" t="str">
        <f t="shared" si="38"/>
        <v>6331712</v>
      </c>
      <c r="N627" s="255">
        <f t="shared" si="36"/>
        <v>-30684931</v>
      </c>
    </row>
    <row r="628" spans="1:14">
      <c r="A628" s="1460">
        <v>45565</v>
      </c>
      <c r="B628" s="1461" t="s">
        <v>1098</v>
      </c>
      <c r="E628" s="1462" t="s">
        <v>1123</v>
      </c>
      <c r="F628" s="1461" t="s">
        <v>1011</v>
      </c>
      <c r="G628" s="638" t="s">
        <v>806</v>
      </c>
      <c r="H628" s="1466">
        <v>50547945</v>
      </c>
      <c r="L628" t="str">
        <f t="shared" si="35"/>
        <v>6</v>
      </c>
      <c r="M628" s="638" t="str">
        <f t="shared" si="38"/>
        <v>633173</v>
      </c>
      <c r="N628" s="255">
        <f t="shared" si="36"/>
        <v>-50547945</v>
      </c>
    </row>
    <row r="629" spans="1:14">
      <c r="A629" s="1460">
        <v>45565</v>
      </c>
      <c r="B629" s="1461" t="s">
        <v>1098</v>
      </c>
      <c r="E629" s="1462" t="s">
        <v>1113</v>
      </c>
      <c r="F629" s="1461" t="s">
        <v>976</v>
      </c>
      <c r="G629" s="638" t="s">
        <v>811</v>
      </c>
      <c r="H629" s="1466">
        <v>642600000</v>
      </c>
      <c r="L629" t="str">
        <f t="shared" si="35"/>
        <v>6</v>
      </c>
      <c r="M629" s="638" t="str">
        <f t="shared" si="38"/>
        <v>633174</v>
      </c>
      <c r="N629" s="255">
        <f t="shared" si="36"/>
        <v>-642600000</v>
      </c>
    </row>
    <row r="630" spans="1:14">
      <c r="A630" s="1460">
        <v>45565</v>
      </c>
      <c r="B630" s="1461" t="s">
        <v>1098</v>
      </c>
      <c r="E630" s="1462" t="s">
        <v>1122</v>
      </c>
      <c r="F630" s="1461" t="s">
        <v>1007</v>
      </c>
      <c r="G630" s="638" t="s">
        <v>815</v>
      </c>
      <c r="H630" s="1466">
        <v>537808220</v>
      </c>
      <c r="L630" t="str">
        <f t="shared" si="35"/>
        <v>6</v>
      </c>
      <c r="M630" s="638" t="str">
        <f t="shared" si="38"/>
        <v>633175</v>
      </c>
      <c r="N630" s="255">
        <f t="shared" si="36"/>
        <v>-537808220</v>
      </c>
    </row>
    <row r="631" spans="1:14">
      <c r="A631" s="1460">
        <v>45565</v>
      </c>
      <c r="B631" s="1461" t="s">
        <v>1098</v>
      </c>
      <c r="E631" s="1462" t="s">
        <v>1112</v>
      </c>
      <c r="F631" s="1461" t="s">
        <v>1003</v>
      </c>
      <c r="G631" s="638" t="s">
        <v>1067</v>
      </c>
      <c r="H631" s="1466">
        <v>1472098533</v>
      </c>
      <c r="L631" t="str">
        <f t="shared" si="35"/>
        <v>6</v>
      </c>
      <c r="M631" s="638" t="str">
        <f t="shared" si="38"/>
        <v>633178</v>
      </c>
      <c r="N631" s="255">
        <f t="shared" si="36"/>
        <v>-1472098533</v>
      </c>
    </row>
    <row r="632" spans="1:14">
      <c r="A632" s="1460">
        <v>45596</v>
      </c>
      <c r="B632" s="1461" t="s">
        <v>1099</v>
      </c>
      <c r="E632" s="1462" t="s">
        <v>1112</v>
      </c>
      <c r="F632" s="1461" t="s">
        <v>1003</v>
      </c>
      <c r="G632" s="638" t="s">
        <v>951</v>
      </c>
      <c r="H632" s="1466">
        <v>2624855253</v>
      </c>
      <c r="L632" t="str">
        <f t="shared" si="35"/>
        <v>6</v>
      </c>
      <c r="M632" s="638" t="str">
        <f t="shared" si="38"/>
        <v>6333311</v>
      </c>
      <c r="N632" s="255">
        <f t="shared" si="36"/>
        <v>-2624855253</v>
      </c>
    </row>
    <row r="633" spans="1:14">
      <c r="A633" s="1460">
        <v>45596</v>
      </c>
      <c r="B633" s="1461" t="s">
        <v>1099</v>
      </c>
      <c r="E633" s="1462" t="s">
        <v>1124</v>
      </c>
      <c r="F633" s="1461" t="s">
        <v>1014</v>
      </c>
      <c r="G633" s="638" t="s">
        <v>954</v>
      </c>
      <c r="H633" s="1466">
        <v>3000000</v>
      </c>
      <c r="L633" t="str">
        <f t="shared" si="35"/>
        <v>6</v>
      </c>
      <c r="M633" s="638" t="str">
        <f t="shared" si="38"/>
        <v>6333312</v>
      </c>
      <c r="N633" s="255">
        <f t="shared" si="36"/>
        <v>-3000000</v>
      </c>
    </row>
    <row r="634" spans="1:14">
      <c r="A634" s="1460">
        <v>45596</v>
      </c>
      <c r="B634" s="1461" t="s">
        <v>1099</v>
      </c>
      <c r="E634" s="1462" t="s">
        <v>805</v>
      </c>
      <c r="F634" s="1461" t="s">
        <v>782</v>
      </c>
      <c r="G634" s="638" t="s">
        <v>820</v>
      </c>
      <c r="H634" s="1466">
        <v>65901502</v>
      </c>
      <c r="L634" t="str">
        <f t="shared" si="35"/>
        <v>6</v>
      </c>
      <c r="M634" s="638" t="str">
        <f t="shared" si="38"/>
        <v>63341</v>
      </c>
      <c r="N634" s="255">
        <f t="shared" si="36"/>
        <v>-65901502</v>
      </c>
    </row>
    <row r="635" spans="1:14">
      <c r="A635" s="1460">
        <v>45596</v>
      </c>
      <c r="B635" s="1461" t="s">
        <v>1099</v>
      </c>
      <c r="E635" s="1462" t="s">
        <v>1104</v>
      </c>
      <c r="F635" s="1461" t="s">
        <v>980</v>
      </c>
      <c r="G635" s="638" t="s">
        <v>799</v>
      </c>
      <c r="H635" s="1466">
        <v>712575343</v>
      </c>
      <c r="L635" t="str">
        <f t="shared" si="35"/>
        <v>6</v>
      </c>
      <c r="M635" s="638" t="str">
        <f t="shared" si="38"/>
        <v>63345</v>
      </c>
      <c r="N635" s="255">
        <f t="shared" si="36"/>
        <v>-712575343</v>
      </c>
    </row>
    <row r="636" spans="1:14">
      <c r="A636" s="1460">
        <v>45596</v>
      </c>
      <c r="B636" s="1461" t="s">
        <v>1099</v>
      </c>
      <c r="E636" s="1462" t="s">
        <v>950</v>
      </c>
      <c r="F636" s="1461" t="s">
        <v>918</v>
      </c>
      <c r="G636" s="638" t="s">
        <v>309</v>
      </c>
      <c r="H636" s="1466">
        <v>178356164</v>
      </c>
      <c r="L636" t="str">
        <f t="shared" si="35"/>
        <v>6</v>
      </c>
      <c r="M636" s="638" t="str">
        <f t="shared" si="38"/>
        <v>6352</v>
      </c>
      <c r="N636" s="255">
        <f t="shared" si="36"/>
        <v>-178356164</v>
      </c>
    </row>
    <row r="637" spans="1:14">
      <c r="A637" s="1460">
        <v>45596</v>
      </c>
      <c r="B637" s="1461" t="s">
        <v>1099</v>
      </c>
      <c r="E637" s="1462" t="s">
        <v>1110</v>
      </c>
      <c r="F637" s="1461" t="s">
        <v>984</v>
      </c>
      <c r="G637" s="638" t="s">
        <v>378</v>
      </c>
      <c r="H637" s="1466">
        <v>1248744998</v>
      </c>
      <c r="L637" t="str">
        <f t="shared" si="35"/>
        <v>6</v>
      </c>
      <c r="M637" s="638" t="str">
        <f t="shared" si="38"/>
        <v>64211</v>
      </c>
      <c r="N637" s="255">
        <f t="shared" si="36"/>
        <v>-1248744998</v>
      </c>
    </row>
    <row r="638" spans="1:14">
      <c r="A638" s="1460">
        <v>45596</v>
      </c>
      <c r="B638" s="1461" t="s">
        <v>1099</v>
      </c>
      <c r="E638" s="1462" t="s">
        <v>1115</v>
      </c>
      <c r="F638" s="1461" t="s">
        <v>986</v>
      </c>
      <c r="G638" s="638" t="s">
        <v>379</v>
      </c>
      <c r="H638" s="1466">
        <v>96808667</v>
      </c>
      <c r="L638" t="str">
        <f t="shared" si="35"/>
        <v>6</v>
      </c>
      <c r="M638" s="638" t="str">
        <f t="shared" si="38"/>
        <v>64212</v>
      </c>
      <c r="N638" s="255">
        <f t="shared" si="36"/>
        <v>-96808667</v>
      </c>
    </row>
    <row r="639" spans="1:14">
      <c r="A639" s="1460">
        <v>45596</v>
      </c>
      <c r="B639" s="1461" t="s">
        <v>1099</v>
      </c>
      <c r="E639" s="1462" t="s">
        <v>1116</v>
      </c>
      <c r="F639" s="1461" t="s">
        <v>990</v>
      </c>
      <c r="G639" s="638" t="s">
        <v>505</v>
      </c>
      <c r="H639" s="1466">
        <v>564862905</v>
      </c>
      <c r="L639" t="str">
        <f t="shared" si="35"/>
        <v>6</v>
      </c>
      <c r="M639" s="638" t="str">
        <f t="shared" si="38"/>
        <v>6422</v>
      </c>
      <c r="N639" s="255">
        <f t="shared" si="36"/>
        <v>-564862905</v>
      </c>
    </row>
    <row r="640" spans="1:14">
      <c r="A640" s="1460">
        <v>45596</v>
      </c>
      <c r="B640" s="1461" t="s">
        <v>1099</v>
      </c>
      <c r="E640" s="1462" t="s">
        <v>1117</v>
      </c>
      <c r="F640" s="1461" t="s">
        <v>993</v>
      </c>
      <c r="G640" s="638" t="s">
        <v>381</v>
      </c>
      <c r="H640" s="1466">
        <v>91518348</v>
      </c>
      <c r="L640" t="str">
        <f t="shared" si="35"/>
        <v>6</v>
      </c>
      <c r="M640" s="638" t="str">
        <f t="shared" si="38"/>
        <v>6423</v>
      </c>
      <c r="N640" s="255">
        <f t="shared" si="36"/>
        <v>-91518348</v>
      </c>
    </row>
    <row r="641" spans="1:14">
      <c r="A641" s="1460">
        <v>45596</v>
      </c>
      <c r="B641" s="1461" t="s">
        <v>1099</v>
      </c>
      <c r="E641" s="1462" t="s">
        <v>1121</v>
      </c>
      <c r="F641" s="1461" t="s">
        <v>1009</v>
      </c>
      <c r="G641" s="638" t="s">
        <v>383</v>
      </c>
      <c r="H641" s="1466">
        <v>7623000</v>
      </c>
      <c r="L641" t="str">
        <f t="shared" si="35"/>
        <v>6</v>
      </c>
      <c r="M641" s="638" t="str">
        <f t="shared" si="38"/>
        <v>6424</v>
      </c>
      <c r="N641" s="255">
        <f t="shared" si="36"/>
        <v>-7623000</v>
      </c>
    </row>
    <row r="642" spans="1:14">
      <c r="A642" s="1460">
        <v>45596</v>
      </c>
      <c r="B642" s="1461" t="s">
        <v>1099</v>
      </c>
      <c r="E642" s="1462" t="s">
        <v>1118</v>
      </c>
      <c r="F642" s="1461" t="s">
        <v>995</v>
      </c>
      <c r="G642" s="638" t="s">
        <v>839</v>
      </c>
      <c r="H642" s="1466">
        <v>18615627</v>
      </c>
      <c r="L642" t="str">
        <f t="shared" si="35"/>
        <v>6</v>
      </c>
      <c r="M642" s="638" t="str">
        <f t="shared" si="38"/>
        <v>642701</v>
      </c>
      <c r="N642" s="255">
        <f t="shared" si="36"/>
        <v>-18615627</v>
      </c>
    </row>
    <row r="643" spans="1:14">
      <c r="A643" s="1460">
        <v>45596</v>
      </c>
      <c r="B643" s="1461" t="s">
        <v>1099</v>
      </c>
      <c r="E643" s="1462" t="s">
        <v>1119</v>
      </c>
      <c r="F643" s="1461" t="s">
        <v>996</v>
      </c>
      <c r="G643" s="638" t="s">
        <v>843</v>
      </c>
      <c r="H643" s="1466">
        <v>3701070</v>
      </c>
      <c r="L643" t="str">
        <f t="shared" si="35"/>
        <v>6</v>
      </c>
      <c r="M643" s="638" t="str">
        <f t="shared" si="38"/>
        <v>642702</v>
      </c>
      <c r="N643" s="255">
        <f t="shared" si="36"/>
        <v>-3701070</v>
      </c>
    </row>
    <row r="644" spans="1:14">
      <c r="A644" s="1460">
        <v>45596</v>
      </c>
      <c r="B644" s="1461" t="s">
        <v>1099</v>
      </c>
      <c r="E644" s="1462" t="s">
        <v>1114</v>
      </c>
      <c r="F644" s="1461" t="s">
        <v>251</v>
      </c>
      <c r="G644" s="638" t="s">
        <v>848</v>
      </c>
      <c r="H644" s="1466">
        <v>2571192</v>
      </c>
      <c r="L644" t="str">
        <f t="shared" si="35"/>
        <v>6</v>
      </c>
      <c r="M644" s="638" t="str">
        <f t="shared" si="38"/>
        <v>642703</v>
      </c>
      <c r="N644" s="255">
        <f t="shared" si="36"/>
        <v>-2571192</v>
      </c>
    </row>
    <row r="645" spans="1:14">
      <c r="A645" s="1460">
        <v>45626</v>
      </c>
      <c r="B645" s="1461" t="s">
        <v>1100</v>
      </c>
      <c r="E645" s="1462" t="s">
        <v>1119</v>
      </c>
      <c r="F645" s="1461" t="s">
        <v>996</v>
      </c>
      <c r="G645" s="638" t="s">
        <v>854</v>
      </c>
      <c r="H645" s="1466">
        <v>2969855</v>
      </c>
      <c r="L645" t="str">
        <f t="shared" si="35"/>
        <v>6</v>
      </c>
      <c r="M645" s="638" t="str">
        <f t="shared" si="38"/>
        <v>642704</v>
      </c>
      <c r="N645" s="255">
        <f t="shared" si="36"/>
        <v>-2969855</v>
      </c>
    </row>
    <row r="646" spans="1:14">
      <c r="A646" s="1460">
        <v>45626</v>
      </c>
      <c r="B646" s="1461" t="s">
        <v>1100</v>
      </c>
      <c r="E646" s="1462" t="s">
        <v>1114</v>
      </c>
      <c r="F646" s="1461" t="s">
        <v>251</v>
      </c>
      <c r="G646" s="638" t="s">
        <v>859</v>
      </c>
      <c r="H646" s="1466">
        <v>2104482</v>
      </c>
      <c r="L646" t="str">
        <f t="shared" si="35"/>
        <v>6</v>
      </c>
      <c r="M646" s="638" t="str">
        <f t="shared" si="38"/>
        <v>642706</v>
      </c>
      <c r="N646" s="255">
        <f t="shared" si="36"/>
        <v>-2104482</v>
      </c>
    </row>
    <row r="647" spans="1:14">
      <c r="A647" s="1460">
        <v>45626</v>
      </c>
      <c r="B647" s="1461" t="s">
        <v>1100</v>
      </c>
      <c r="E647" s="1462" t="s">
        <v>1110</v>
      </c>
      <c r="F647" s="1461" t="s">
        <v>984</v>
      </c>
      <c r="G647" s="638" t="s">
        <v>864</v>
      </c>
      <c r="H647" s="1466">
        <v>1225768964</v>
      </c>
      <c r="L647" t="str">
        <f t="shared" si="35"/>
        <v>6</v>
      </c>
      <c r="M647" s="638" t="str">
        <f t="shared" si="38"/>
        <v>642707</v>
      </c>
      <c r="N647" s="255">
        <f t="shared" si="36"/>
        <v>-1225768964</v>
      </c>
    </row>
    <row r="648" spans="1:14">
      <c r="A648" s="1460">
        <v>45626</v>
      </c>
      <c r="B648" s="1461" t="s">
        <v>1100</v>
      </c>
      <c r="E648" s="1462" t="s">
        <v>1115</v>
      </c>
      <c r="F648" s="1461" t="s">
        <v>986</v>
      </c>
      <c r="G648" s="638" t="s">
        <v>810</v>
      </c>
      <c r="H648" s="1466">
        <v>92170440</v>
      </c>
      <c r="L648" t="str">
        <f t="shared" si="35"/>
        <v>6</v>
      </c>
      <c r="M648" s="638" t="str">
        <f t="shared" si="38"/>
        <v>642708</v>
      </c>
      <c r="N648" s="255">
        <f t="shared" si="36"/>
        <v>-92170440</v>
      </c>
    </row>
    <row r="649" spans="1:14">
      <c r="A649" s="1460">
        <v>45626</v>
      </c>
      <c r="B649" s="1461" t="s">
        <v>1100</v>
      </c>
      <c r="E649" s="1462" t="s">
        <v>1116</v>
      </c>
      <c r="F649" s="1461" t="s">
        <v>990</v>
      </c>
      <c r="G649" s="638" t="s">
        <v>814</v>
      </c>
      <c r="H649" s="1466">
        <v>434372400</v>
      </c>
      <c r="L649" t="str">
        <f t="shared" si="35"/>
        <v>6</v>
      </c>
      <c r="M649" s="638" t="str">
        <f t="shared" si="38"/>
        <v>642709</v>
      </c>
      <c r="N649" s="255">
        <f t="shared" si="36"/>
        <v>-434372400</v>
      </c>
    </row>
    <row r="650" spans="1:14">
      <c r="A650" s="1460">
        <v>45626</v>
      </c>
      <c r="B650" s="1461" t="s">
        <v>1100</v>
      </c>
      <c r="E650" s="1462" t="s">
        <v>1117</v>
      </c>
      <c r="F650" s="1461" t="s">
        <v>993</v>
      </c>
      <c r="G650" s="638" t="s">
        <v>819</v>
      </c>
      <c r="H650" s="1466">
        <v>76382218</v>
      </c>
      <c r="L650" t="str">
        <f t="shared" si="35"/>
        <v>6</v>
      </c>
      <c r="M650" s="638" t="str">
        <f t="shared" si="38"/>
        <v>642710</v>
      </c>
      <c r="N650" s="255">
        <f t="shared" si="36"/>
        <v>-76382218</v>
      </c>
    </row>
    <row r="651" spans="1:14">
      <c r="A651" s="1460">
        <v>45626</v>
      </c>
      <c r="B651" s="1461" t="s">
        <v>1100</v>
      </c>
      <c r="E651" s="1462" t="s">
        <v>1121</v>
      </c>
      <c r="F651" s="1461" t="s">
        <v>1009</v>
      </c>
      <c r="G651" s="638" t="s">
        <v>825</v>
      </c>
      <c r="H651" s="1466">
        <v>6534000</v>
      </c>
      <c r="L651" t="str">
        <f t="shared" si="35"/>
        <v>6</v>
      </c>
      <c r="M651" s="638" t="str">
        <f t="shared" si="38"/>
        <v>642711</v>
      </c>
      <c r="N651" s="255">
        <f t="shared" si="36"/>
        <v>-6534000</v>
      </c>
    </row>
    <row r="652" spans="1:14">
      <c r="A652" s="1460">
        <v>45626</v>
      </c>
      <c r="B652" s="1461" t="s">
        <v>1100</v>
      </c>
      <c r="E652" s="1462" t="s">
        <v>1118</v>
      </c>
      <c r="F652" s="1461" t="s">
        <v>995</v>
      </c>
      <c r="G652" s="638" t="s">
        <v>828</v>
      </c>
      <c r="H652" s="1466">
        <v>18073927</v>
      </c>
      <c r="L652" t="str">
        <f t="shared" si="35"/>
        <v>6</v>
      </c>
      <c r="M652" s="638" t="str">
        <f t="shared" si="38"/>
        <v>642712</v>
      </c>
      <c r="N652" s="255">
        <f t="shared" si="36"/>
        <v>-18073927</v>
      </c>
    </row>
    <row r="653" spans="1:14">
      <c r="A653" s="1460">
        <v>45626</v>
      </c>
      <c r="B653" s="1461" t="s">
        <v>1100</v>
      </c>
      <c r="E653" s="1462" t="s">
        <v>1111</v>
      </c>
      <c r="F653" s="1461" t="s">
        <v>1001</v>
      </c>
      <c r="G653" s="638" t="s">
        <v>1039</v>
      </c>
      <c r="H653" s="1466">
        <v>88341</v>
      </c>
      <c r="L653" t="str">
        <f t="shared" si="35"/>
        <v>6</v>
      </c>
      <c r="M653" s="638" t="str">
        <f t="shared" si="38"/>
        <v>642713</v>
      </c>
      <c r="N653" s="255">
        <f t="shared" si="36"/>
        <v>-88341</v>
      </c>
    </row>
    <row r="654" spans="1:14">
      <c r="A654" s="1460">
        <v>45626</v>
      </c>
      <c r="B654" s="1461" t="s">
        <v>1100</v>
      </c>
      <c r="E654" s="1462" t="s">
        <v>805</v>
      </c>
      <c r="F654" s="1461" t="s">
        <v>782</v>
      </c>
      <c r="G654" s="638" t="s">
        <v>1043</v>
      </c>
      <c r="H654" s="1466">
        <v>199065356</v>
      </c>
      <c r="L654" t="str">
        <f t="shared" si="35"/>
        <v>6</v>
      </c>
      <c r="M654" s="638" t="str">
        <f t="shared" si="38"/>
        <v>642714</v>
      </c>
      <c r="N654" s="255">
        <f t="shared" si="36"/>
        <v>-199065356</v>
      </c>
    </row>
    <row r="655" spans="1:14">
      <c r="A655" s="1460">
        <v>45626</v>
      </c>
      <c r="B655" s="1461" t="s">
        <v>1100</v>
      </c>
      <c r="E655" s="1462" t="s">
        <v>1104</v>
      </c>
      <c r="F655" s="1461" t="s">
        <v>980</v>
      </c>
      <c r="G655" s="638" t="s">
        <v>1037</v>
      </c>
      <c r="H655" s="1466">
        <v>689589042</v>
      </c>
      <c r="L655" t="str">
        <f t="shared" si="35"/>
        <v>6</v>
      </c>
      <c r="M655" s="638" t="str">
        <f t="shared" si="38"/>
        <v>642717</v>
      </c>
      <c r="N655" s="255">
        <f t="shared" si="36"/>
        <v>-689589042</v>
      </c>
    </row>
    <row r="656" spans="1:14">
      <c r="A656" s="1460">
        <v>45626</v>
      </c>
      <c r="B656" s="1461" t="s">
        <v>1100</v>
      </c>
      <c r="E656" s="1462" t="s">
        <v>1123</v>
      </c>
      <c r="F656" s="1461" t="s">
        <v>1011</v>
      </c>
      <c r="G656" s="638" t="s">
        <v>1045</v>
      </c>
      <c r="H656" s="1466">
        <v>665754</v>
      </c>
      <c r="L656" t="str">
        <f t="shared" si="35"/>
        <v>6</v>
      </c>
      <c r="M656" s="638" t="str">
        <f t="shared" si="38"/>
        <v>642718</v>
      </c>
      <c r="N656" s="255">
        <f t="shared" si="36"/>
        <v>-665754</v>
      </c>
    </row>
    <row r="657" spans="1:14">
      <c r="A657" s="1460">
        <v>45626</v>
      </c>
      <c r="B657" s="1461" t="s">
        <v>1100</v>
      </c>
      <c r="E657" s="1462" t="s">
        <v>1112</v>
      </c>
      <c r="F657" s="1461" t="s">
        <v>1003</v>
      </c>
      <c r="G657" s="638" t="s">
        <v>833</v>
      </c>
      <c r="H657" s="1466">
        <v>1753813095</v>
      </c>
      <c r="L657" t="str">
        <f t="shared" si="35"/>
        <v>6</v>
      </c>
      <c r="M657" s="638" t="str">
        <f t="shared" si="38"/>
        <v>642799</v>
      </c>
      <c r="N657" s="255">
        <f t="shared" si="36"/>
        <v>-1753813095</v>
      </c>
    </row>
    <row r="658" spans="1:14">
      <c r="A658" s="1460">
        <v>45626</v>
      </c>
      <c r="B658" s="1461" t="s">
        <v>1100</v>
      </c>
      <c r="E658" s="1462" t="s">
        <v>1125</v>
      </c>
      <c r="F658" s="1461" t="s">
        <v>1049</v>
      </c>
      <c r="G658" s="638" t="s">
        <v>1033</v>
      </c>
      <c r="H658" s="1466">
        <v>177581</v>
      </c>
      <c r="L658" t="str">
        <f t="shared" si="35"/>
        <v>6</v>
      </c>
      <c r="M658" s="638" t="str">
        <f t="shared" si="38"/>
        <v>642802</v>
      </c>
      <c r="N658" s="255">
        <f t="shared" si="36"/>
        <v>-177581</v>
      </c>
    </row>
    <row r="659" spans="1:14">
      <c r="A659" s="1460">
        <v>45626</v>
      </c>
      <c r="B659" s="1461" t="s">
        <v>1100</v>
      </c>
      <c r="E659" s="1462" t="s">
        <v>1122</v>
      </c>
      <c r="F659" s="1461" t="s">
        <v>1007</v>
      </c>
      <c r="G659" s="638" t="s">
        <v>1047</v>
      </c>
      <c r="H659" s="1466">
        <v>784109580</v>
      </c>
      <c r="L659" t="str">
        <f t="shared" si="35"/>
        <v>6</v>
      </c>
      <c r="M659" s="638" t="str">
        <f t="shared" si="38"/>
        <v>642804</v>
      </c>
      <c r="N659" s="255">
        <f t="shared" si="36"/>
        <v>-784109580</v>
      </c>
    </row>
    <row r="660" spans="1:14">
      <c r="A660" s="1460">
        <v>45657</v>
      </c>
      <c r="B660" s="1461" t="s">
        <v>1102</v>
      </c>
      <c r="E660" s="1462" t="s">
        <v>1116</v>
      </c>
      <c r="F660" s="1461" t="s">
        <v>990</v>
      </c>
      <c r="G660" s="638" t="s">
        <v>1035</v>
      </c>
      <c r="H660" s="1466">
        <v>624641415</v>
      </c>
      <c r="L660" t="str">
        <f t="shared" si="35"/>
        <v>6</v>
      </c>
      <c r="M660" s="638" t="str">
        <f t="shared" si="38"/>
        <v>642805</v>
      </c>
      <c r="N660" s="255">
        <f t="shared" si="36"/>
        <v>-624641415</v>
      </c>
    </row>
    <row r="661" spans="1:14">
      <c r="A661" s="1460">
        <v>45657</v>
      </c>
      <c r="B661" s="1461" t="s">
        <v>1102</v>
      </c>
      <c r="E661" s="1462" t="s">
        <v>1117</v>
      </c>
      <c r="F661" s="1461" t="s">
        <v>993</v>
      </c>
      <c r="G661" s="638" t="s">
        <v>967</v>
      </c>
      <c r="H661" s="1466">
        <v>83415152</v>
      </c>
      <c r="L661" t="str">
        <f t="shared" si="35"/>
        <v>6</v>
      </c>
      <c r="M661" s="638" t="str">
        <f t="shared" si="38"/>
        <v>642899</v>
      </c>
      <c r="N661" s="255">
        <f t="shared" si="36"/>
        <v>-83415152</v>
      </c>
    </row>
    <row r="662" spans="1:14">
      <c r="A662" s="1460">
        <v>45657</v>
      </c>
      <c r="B662" s="1461" t="s">
        <v>1102</v>
      </c>
      <c r="E662" s="1462" t="s">
        <v>1121</v>
      </c>
      <c r="F662" s="1461" t="s">
        <v>1009</v>
      </c>
      <c r="G662" s="638" t="s">
        <v>930</v>
      </c>
      <c r="H662" s="1466">
        <v>4653000</v>
      </c>
      <c r="L662" t="str">
        <f t="shared" si="35"/>
        <v>8</v>
      </c>
      <c r="M662" s="638" t="str">
        <f t="shared" si="38"/>
        <v>8114</v>
      </c>
      <c r="N662" s="255">
        <f t="shared" si="36"/>
        <v>-4653000</v>
      </c>
    </row>
    <row r="663" spans="1:14">
      <c r="A663" s="1460">
        <v>45657</v>
      </c>
      <c r="B663" s="1461" t="s">
        <v>1102</v>
      </c>
      <c r="E663" s="1462" t="s">
        <v>1118</v>
      </c>
      <c r="F663" s="1461" t="s">
        <v>995</v>
      </c>
      <c r="G663" s="638" t="s">
        <v>1005</v>
      </c>
      <c r="H663" s="1466">
        <v>18370962</v>
      </c>
      <c r="L663" t="str">
        <f t="shared" si="35"/>
        <v>4</v>
      </c>
      <c r="M663" s="638" t="str">
        <f t="shared" si="38"/>
        <v>42122</v>
      </c>
      <c r="N663" s="255">
        <f t="shared" si="36"/>
        <v>-18370962</v>
      </c>
    </row>
    <row r="664" spans="1:14">
      <c r="A664" s="1460">
        <v>45657</v>
      </c>
      <c r="B664" s="1461" t="s">
        <v>1102</v>
      </c>
      <c r="E664" s="1462" t="s">
        <v>1119</v>
      </c>
      <c r="F664" s="1461" t="s">
        <v>996</v>
      </c>
      <c r="G664" s="638" t="s">
        <v>769</v>
      </c>
      <c r="H664" s="1466">
        <v>4165366</v>
      </c>
      <c r="L664" t="str">
        <f t="shared" si="35"/>
        <v>5</v>
      </c>
      <c r="M664" s="638" t="str">
        <f t="shared" si="37"/>
        <v>5110802</v>
      </c>
      <c r="N664" s="255">
        <f t="shared" si="36"/>
        <v>-4165366</v>
      </c>
    </row>
    <row r="665" spans="1:14">
      <c r="A665" s="1460">
        <v>45657</v>
      </c>
      <c r="B665" s="1461" t="s">
        <v>1102</v>
      </c>
      <c r="E665" s="1462" t="s">
        <v>1120</v>
      </c>
      <c r="F665" s="1461" t="s">
        <v>998</v>
      </c>
      <c r="G665" s="638" t="s">
        <v>769</v>
      </c>
      <c r="H665" s="1466">
        <v>9881818182</v>
      </c>
      <c r="L665" t="str">
        <f t="shared" si="35"/>
        <v>5</v>
      </c>
      <c r="M665" s="638" t="str">
        <f t="shared" si="37"/>
        <v>51118</v>
      </c>
      <c r="N665" s="255">
        <f t="shared" si="36"/>
        <v>-9881818182</v>
      </c>
    </row>
    <row r="666" spans="1:14">
      <c r="A666" s="1460">
        <v>45657</v>
      </c>
      <c r="B666" s="1461" t="s">
        <v>1102</v>
      </c>
      <c r="E666" s="1462" t="s">
        <v>805</v>
      </c>
      <c r="F666" s="1461" t="s">
        <v>782</v>
      </c>
      <c r="G666" s="638" t="s">
        <v>1126</v>
      </c>
      <c r="H666" s="1466">
        <v>382993942</v>
      </c>
      <c r="L666" t="str">
        <f t="shared" si="35"/>
        <v>5</v>
      </c>
      <c r="M666" s="638" t="str">
        <f t="shared" si="37"/>
        <v>51101030201</v>
      </c>
      <c r="N666" s="255">
        <f t="shared" si="36"/>
        <v>-382993942</v>
      </c>
    </row>
    <row r="667" spans="1:14">
      <c r="A667" s="1460">
        <v>45657</v>
      </c>
      <c r="B667" s="1461" t="s">
        <v>1102</v>
      </c>
      <c r="E667" s="1462" t="s">
        <v>950</v>
      </c>
      <c r="F667" s="1461" t="s">
        <v>918</v>
      </c>
      <c r="G667" s="638" t="s">
        <v>1126</v>
      </c>
      <c r="H667" s="1466">
        <v>5753424</v>
      </c>
      <c r="L667" t="str">
        <f t="shared" si="35"/>
        <v>5</v>
      </c>
      <c r="M667" s="638" t="str">
        <f t="shared" si="37"/>
        <v>51101030203</v>
      </c>
      <c r="N667" s="255">
        <f t="shared" si="36"/>
        <v>-5753424</v>
      </c>
    </row>
    <row r="668" spans="1:14">
      <c r="A668" s="1460">
        <v>45657</v>
      </c>
      <c r="B668" s="1461" t="s">
        <v>1102</v>
      </c>
      <c r="E668" s="1462" t="s">
        <v>1127</v>
      </c>
      <c r="F668" s="1461" t="s">
        <v>1059</v>
      </c>
      <c r="G668" s="638" t="s">
        <v>1126</v>
      </c>
      <c r="H668" s="1466">
        <v>8580822</v>
      </c>
      <c r="L668" t="str">
        <f t="shared" ref="L668:L683" si="39">LEFT(M668,1)</f>
        <v>5</v>
      </c>
      <c r="M668" s="638" t="str">
        <f t="shared" ref="M668:M683" si="40">F668</f>
        <v>51102010101</v>
      </c>
      <c r="N668" s="255">
        <f t="shared" ref="N668:N683" si="41">IF(LEFT(F668,1)="9",H668,-H668)</f>
        <v>-8580822</v>
      </c>
    </row>
    <row r="669" spans="1:14">
      <c r="A669" s="1460">
        <v>45657</v>
      </c>
      <c r="B669" s="1461" t="s">
        <v>1102</v>
      </c>
      <c r="E669" s="1462" t="s">
        <v>1123</v>
      </c>
      <c r="F669" s="1461" t="s">
        <v>1011</v>
      </c>
      <c r="G669" s="638" t="s">
        <v>769</v>
      </c>
      <c r="H669" s="1466">
        <v>13109625</v>
      </c>
      <c r="L669" t="str">
        <f t="shared" si="39"/>
        <v>5</v>
      </c>
      <c r="M669" s="638" t="str">
        <f t="shared" si="40"/>
        <v>5110208</v>
      </c>
      <c r="N669" s="255">
        <f t="shared" si="41"/>
        <v>-13109625</v>
      </c>
    </row>
    <row r="670" spans="1:14">
      <c r="A670" s="1460">
        <v>45657</v>
      </c>
      <c r="B670" s="1461" t="s">
        <v>1102</v>
      </c>
      <c r="E670" s="1462" t="s">
        <v>1110</v>
      </c>
      <c r="F670" s="1461" t="s">
        <v>984</v>
      </c>
      <c r="G670" s="638" t="s">
        <v>769</v>
      </c>
      <c r="H670" s="1466">
        <v>1129103352</v>
      </c>
      <c r="L670" t="str">
        <f t="shared" si="39"/>
        <v>5</v>
      </c>
      <c r="M670" s="638" t="str">
        <f t="shared" si="40"/>
        <v>511030101</v>
      </c>
      <c r="N670" s="255">
        <f t="shared" si="41"/>
        <v>-1129103352</v>
      </c>
    </row>
    <row r="671" spans="1:14">
      <c r="A671" s="1460">
        <v>45657</v>
      </c>
      <c r="B671" s="1461" t="s">
        <v>1102</v>
      </c>
      <c r="E671" s="1462" t="s">
        <v>1115</v>
      </c>
      <c r="F671" s="1461" t="s">
        <v>986</v>
      </c>
      <c r="G671" s="638" t="s">
        <v>769</v>
      </c>
      <c r="H671" s="1466">
        <v>151740116</v>
      </c>
      <c r="L671" t="str">
        <f t="shared" si="39"/>
        <v>5</v>
      </c>
      <c r="M671" s="638" t="str">
        <f t="shared" si="40"/>
        <v>511030201</v>
      </c>
      <c r="N671" s="255">
        <f t="shared" si="41"/>
        <v>-151740116</v>
      </c>
    </row>
    <row r="672" spans="1:14">
      <c r="A672" s="1460">
        <v>45657</v>
      </c>
      <c r="B672" s="1461" t="s">
        <v>1102</v>
      </c>
      <c r="E672" s="1462" t="s">
        <v>1112</v>
      </c>
      <c r="F672" s="1461" t="s">
        <v>1003</v>
      </c>
      <c r="G672" s="638" t="s">
        <v>769</v>
      </c>
      <c r="H672" s="1466">
        <v>853393754</v>
      </c>
      <c r="L672" t="str">
        <f t="shared" si="39"/>
        <v>4</v>
      </c>
      <c r="M672" s="638" t="str">
        <f t="shared" si="40"/>
        <v>42112</v>
      </c>
      <c r="N672" s="255">
        <f t="shared" si="41"/>
        <v>-853393754</v>
      </c>
    </row>
    <row r="673" spans="1:14">
      <c r="A673" s="1460">
        <v>45657</v>
      </c>
      <c r="B673" s="1461" t="s">
        <v>1102</v>
      </c>
      <c r="E673" s="1462" t="s">
        <v>1111</v>
      </c>
      <c r="F673" s="1461" t="s">
        <v>1001</v>
      </c>
      <c r="G673" s="638" t="s">
        <v>769</v>
      </c>
      <c r="H673" s="1466">
        <v>439830289</v>
      </c>
      <c r="L673" t="str">
        <f t="shared" si="39"/>
        <v>7</v>
      </c>
      <c r="M673" s="638" t="str">
        <f t="shared" si="40"/>
        <v>7114</v>
      </c>
      <c r="N673" s="255">
        <f t="shared" si="41"/>
        <v>-439830289</v>
      </c>
    </row>
    <row r="674" spans="1:14">
      <c r="A674" s="1460">
        <v>45657</v>
      </c>
      <c r="B674" s="1461" t="s">
        <v>1102</v>
      </c>
      <c r="E674" s="1462" t="s">
        <v>1125</v>
      </c>
      <c r="F674" s="1461" t="s">
        <v>1049</v>
      </c>
      <c r="G674" s="638" t="s">
        <v>769</v>
      </c>
      <c r="H674" s="1466">
        <v>55640414</v>
      </c>
      <c r="L674" t="str">
        <f t="shared" si="39"/>
        <v>5</v>
      </c>
      <c r="M674" s="638" t="str">
        <f t="shared" si="40"/>
        <v>51101010305</v>
      </c>
      <c r="N674" s="255">
        <f t="shared" si="41"/>
        <v>-55640414</v>
      </c>
    </row>
    <row r="675" spans="1:14">
      <c r="A675" s="1460">
        <v>45657</v>
      </c>
      <c r="B675" s="1461" t="s">
        <v>1102</v>
      </c>
      <c r="E675" s="1462" t="s">
        <v>1128</v>
      </c>
      <c r="F675" s="1461" t="s">
        <v>1051</v>
      </c>
      <c r="G675" s="638" t="s">
        <v>769</v>
      </c>
      <c r="H675" s="1466">
        <v>2224088000</v>
      </c>
      <c r="L675" t="str">
        <f t="shared" si="39"/>
        <v>5</v>
      </c>
      <c r="M675" s="638" t="str">
        <f t="shared" si="40"/>
        <v>51101010406</v>
      </c>
      <c r="N675" s="255">
        <f t="shared" si="41"/>
        <v>-2224088000</v>
      </c>
    </row>
    <row r="676" spans="1:14">
      <c r="A676" s="1460">
        <v>45657</v>
      </c>
      <c r="B676" s="1461" t="s">
        <v>1102</v>
      </c>
      <c r="E676" s="1462" t="s">
        <v>1114</v>
      </c>
      <c r="F676" s="1461" t="s">
        <v>251</v>
      </c>
      <c r="G676" s="638" t="s">
        <v>769</v>
      </c>
      <c r="H676" s="1466">
        <v>2805642</v>
      </c>
      <c r="L676" t="str">
        <f t="shared" si="39"/>
        <v>5</v>
      </c>
      <c r="M676" s="638" t="str">
        <f t="shared" si="40"/>
        <v>5152</v>
      </c>
      <c r="N676" s="255">
        <f t="shared" si="41"/>
        <v>-2805642</v>
      </c>
    </row>
    <row r="677" spans="1:14">
      <c r="A677" s="1460">
        <v>45322</v>
      </c>
      <c r="B677" s="1461" t="s">
        <v>767</v>
      </c>
      <c r="E677" s="1462" t="s">
        <v>1108</v>
      </c>
      <c r="F677" s="1461" t="s">
        <v>1005</v>
      </c>
      <c r="G677" s="638" t="s">
        <v>769</v>
      </c>
      <c r="H677" s="1466">
        <v>692224658</v>
      </c>
      <c r="L677" t="str">
        <f t="shared" si="39"/>
        <v>4</v>
      </c>
      <c r="M677" s="638" t="str">
        <f t="shared" si="40"/>
        <v>42122</v>
      </c>
      <c r="N677" s="255">
        <f t="shared" si="41"/>
        <v>-692224658</v>
      </c>
    </row>
    <row r="678" spans="1:14">
      <c r="A678" s="1460">
        <v>45473</v>
      </c>
      <c r="B678" s="1461" t="s">
        <v>1081</v>
      </c>
      <c r="E678" s="1462" t="s">
        <v>1108</v>
      </c>
      <c r="F678" s="1461" t="s">
        <v>1005</v>
      </c>
      <c r="G678" s="638" t="s">
        <v>769</v>
      </c>
      <c r="H678" s="1466">
        <v>411910959</v>
      </c>
      <c r="L678" t="str">
        <f t="shared" si="39"/>
        <v>4</v>
      </c>
      <c r="M678" s="638" t="str">
        <f t="shared" si="40"/>
        <v>42122</v>
      </c>
      <c r="N678" s="255">
        <f t="shared" si="41"/>
        <v>-411910959</v>
      </c>
    </row>
    <row r="679" spans="1:14">
      <c r="A679" s="1460">
        <v>45504</v>
      </c>
      <c r="B679" s="1461" t="s">
        <v>1095</v>
      </c>
      <c r="E679" s="1462" t="s">
        <v>1107</v>
      </c>
      <c r="F679" s="1461" t="s">
        <v>1025</v>
      </c>
      <c r="G679" s="638" t="s">
        <v>769</v>
      </c>
      <c r="H679" s="1466">
        <v>27253425</v>
      </c>
      <c r="L679" t="str">
        <f t="shared" si="39"/>
        <v>6</v>
      </c>
      <c r="M679" s="638" t="str">
        <f t="shared" si="40"/>
        <v>63201030301</v>
      </c>
      <c r="N679" s="255">
        <f t="shared" si="41"/>
        <v>-27253425</v>
      </c>
    </row>
    <row r="680" spans="1:14">
      <c r="A680" s="1460">
        <v>45504</v>
      </c>
      <c r="B680" s="1461" t="s">
        <v>1095</v>
      </c>
      <c r="E680" s="1462" t="s">
        <v>1106</v>
      </c>
      <c r="F680" s="1461" t="s">
        <v>1022</v>
      </c>
      <c r="G680" s="638" t="s">
        <v>769</v>
      </c>
      <c r="H680" s="1466">
        <v>384657534</v>
      </c>
      <c r="L680" t="str">
        <f t="shared" si="39"/>
        <v>6</v>
      </c>
      <c r="M680" s="638" t="str">
        <f t="shared" si="40"/>
        <v>63201030306</v>
      </c>
      <c r="N680" s="255">
        <f t="shared" si="41"/>
        <v>-384657534</v>
      </c>
    </row>
    <row r="681" spans="1:14">
      <c r="A681" s="1460">
        <v>45657</v>
      </c>
      <c r="B681" s="1461" t="s">
        <v>1102</v>
      </c>
      <c r="E681" s="1462" t="s">
        <v>1129</v>
      </c>
      <c r="F681" s="1461" t="s">
        <v>1053</v>
      </c>
      <c r="G681" s="638" t="s">
        <v>769</v>
      </c>
      <c r="H681" s="1466">
        <v>55744000</v>
      </c>
      <c r="L681" t="str">
        <f t="shared" si="39"/>
        <v>5</v>
      </c>
      <c r="M681" s="638" t="str">
        <f t="shared" si="40"/>
        <v>51101020104</v>
      </c>
      <c r="N681" s="255">
        <f t="shared" si="41"/>
        <v>-55744000</v>
      </c>
    </row>
    <row r="682" spans="1:14">
      <c r="A682" s="1460">
        <v>45657</v>
      </c>
      <c r="B682" s="1461" t="s">
        <v>1102</v>
      </c>
      <c r="E682" s="1462" t="s">
        <v>1130</v>
      </c>
      <c r="F682" s="1461" t="s">
        <v>1055</v>
      </c>
      <c r="G682" s="638" t="s">
        <v>769</v>
      </c>
      <c r="H682" s="1466">
        <v>153026771</v>
      </c>
      <c r="L682" t="str">
        <f t="shared" si="39"/>
        <v>5</v>
      </c>
      <c r="M682" s="638" t="str">
        <f t="shared" si="40"/>
        <v>51101020301</v>
      </c>
      <c r="N682" s="255">
        <f t="shared" si="41"/>
        <v>-153026771</v>
      </c>
    </row>
    <row r="683" spans="1:14">
      <c r="A683" s="1460">
        <v>45657</v>
      </c>
      <c r="B683" s="1461" t="s">
        <v>1102</v>
      </c>
      <c r="E683" s="1462" t="s">
        <v>1131</v>
      </c>
      <c r="F683" s="1461" t="s">
        <v>1057</v>
      </c>
      <c r="G683" s="638" t="s">
        <v>769</v>
      </c>
      <c r="H683" s="1466">
        <v>12143841</v>
      </c>
      <c r="L683" t="str">
        <f t="shared" si="39"/>
        <v>5</v>
      </c>
      <c r="M683" s="638" t="str">
        <f t="shared" si="40"/>
        <v>51101020305</v>
      </c>
      <c r="N683" s="255">
        <f t="shared" si="41"/>
        <v>-12143841</v>
      </c>
    </row>
  </sheetData>
  <autoFilter ref="AE8:AH104" xr:uid="{B01DBBB6-4BD0-44DB-9AA7-D94C32C36E2F}"/>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D1E85-BA7F-43C2-BC18-6B94AC56585C}">
  <sheetPr codeName="Sheet13"/>
  <dimension ref="A1:P56"/>
  <sheetViews>
    <sheetView topLeftCell="A41" workbookViewId="0">
      <pane xSplit="2" ySplit="8" topLeftCell="N49" activePane="bottomRight" state="frozen"/>
      <selection pane="topRight" activeCell="C41" sqref="C41"/>
      <selection pane="bottomLeft" activeCell="A49" sqref="A49"/>
      <selection pane="bottomRight" activeCell="O51" sqref="O51"/>
    </sheetView>
  </sheetViews>
  <sheetFormatPr defaultColWidth="8.85546875" defaultRowHeight="12.75"/>
  <cols>
    <col min="1" max="1" width="26.140625" style="2" customWidth="1"/>
    <col min="2" max="2" width="18.140625" style="2" customWidth="1"/>
    <col min="3" max="3" width="14.5703125" style="2" bestFit="1" customWidth="1"/>
    <col min="4" max="6" width="13.85546875" style="2" bestFit="1" customWidth="1"/>
    <col min="7" max="14" width="14.5703125" style="2" bestFit="1" customWidth="1"/>
    <col min="15" max="15" width="16.140625" style="2" bestFit="1" customWidth="1"/>
    <col min="16" max="16" width="15.42578125" style="2" bestFit="1" customWidth="1"/>
    <col min="17" max="16384" width="8.85546875" style="2"/>
  </cols>
  <sheetData>
    <row r="1" spans="1:16">
      <c r="A1" s="1" t="s">
        <v>0</v>
      </c>
      <c r="B1" s="850" t="s">
        <v>1</v>
      </c>
      <c r="C1" s="850"/>
      <c r="D1" s="850"/>
      <c r="E1" s="850"/>
      <c r="F1" s="850"/>
      <c r="G1" s="850"/>
      <c r="H1" s="850"/>
      <c r="I1" s="850"/>
      <c r="J1" s="850"/>
      <c r="K1" s="850"/>
      <c r="L1" s="850"/>
      <c r="M1" s="850"/>
      <c r="N1" s="850"/>
      <c r="O1" s="850"/>
      <c r="P1" s="850"/>
    </row>
    <row r="2" spans="1:16">
      <c r="A2" s="1" t="s">
        <v>2</v>
      </c>
      <c r="B2" s="852">
        <v>45473</v>
      </c>
      <c r="C2" s="850"/>
      <c r="D2" s="850"/>
      <c r="E2" s="850"/>
      <c r="F2" s="850"/>
      <c r="G2" s="850"/>
      <c r="H2" s="850"/>
      <c r="I2" s="850"/>
      <c r="J2" s="850"/>
      <c r="K2" s="850"/>
      <c r="L2" s="850"/>
      <c r="M2" s="850"/>
      <c r="N2" s="850"/>
      <c r="O2" s="850"/>
      <c r="P2" s="850"/>
    </row>
    <row r="3" spans="1:16">
      <c r="A3" s="3" t="s">
        <v>1132</v>
      </c>
      <c r="B3" s="850"/>
      <c r="C3" s="850"/>
      <c r="D3" s="850"/>
      <c r="E3" s="850"/>
      <c r="F3" s="850"/>
      <c r="G3" s="850"/>
      <c r="H3" s="850"/>
      <c r="I3" s="850"/>
      <c r="J3" s="850"/>
      <c r="K3" s="850"/>
      <c r="L3" s="850"/>
      <c r="M3" s="850"/>
      <c r="N3" s="850"/>
      <c r="O3" s="850"/>
      <c r="P3" s="850"/>
    </row>
    <row r="7" spans="1:16" ht="13.5" thickBot="1">
      <c r="A7" s="850"/>
      <c r="B7" s="850"/>
      <c r="C7" s="850"/>
      <c r="D7" s="850"/>
      <c r="E7" s="850"/>
      <c r="F7" s="850"/>
      <c r="G7" s="850"/>
      <c r="H7" s="850"/>
      <c r="I7" s="850"/>
      <c r="J7" s="850"/>
      <c r="K7" s="850"/>
      <c r="L7" s="850"/>
      <c r="M7" s="850"/>
      <c r="N7" s="850"/>
      <c r="O7" s="850"/>
      <c r="P7" s="850"/>
    </row>
    <row r="8" spans="1:16" ht="13.5" thickBot="1">
      <c r="A8" s="302" t="s">
        <v>1133</v>
      </c>
      <c r="B8" s="1227" t="s">
        <v>1134</v>
      </c>
      <c r="C8" s="1228">
        <v>2023</v>
      </c>
      <c r="D8" s="1228">
        <v>2023</v>
      </c>
      <c r="E8" s="1228">
        <v>2023</v>
      </c>
      <c r="F8" s="1228">
        <v>2023</v>
      </c>
      <c r="G8" s="1228">
        <v>2023</v>
      </c>
      <c r="H8" s="1228">
        <v>2023</v>
      </c>
      <c r="I8" s="1228">
        <v>2023</v>
      </c>
      <c r="J8" s="1228">
        <v>2023</v>
      </c>
      <c r="K8" s="1228">
        <v>2023</v>
      </c>
      <c r="L8" s="1228">
        <v>2023</v>
      </c>
      <c r="M8" s="1228">
        <v>2023</v>
      </c>
      <c r="N8" s="1228">
        <v>2023</v>
      </c>
      <c r="O8" s="1229"/>
      <c r="P8" s="850"/>
    </row>
    <row r="9" spans="1:16" ht="13.5" thickBot="1">
      <c r="A9" s="300" t="s">
        <v>1135</v>
      </c>
      <c r="B9" s="301" t="s">
        <v>1136</v>
      </c>
      <c r="C9" s="1228">
        <v>1</v>
      </c>
      <c r="D9" s="1228">
        <v>2</v>
      </c>
      <c r="E9" s="1228">
        <v>3</v>
      </c>
      <c r="F9" s="1228">
        <v>4</v>
      </c>
      <c r="G9" s="1228">
        <v>5</v>
      </c>
      <c r="H9" s="1228">
        <v>6</v>
      </c>
      <c r="I9" s="1228">
        <v>7</v>
      </c>
      <c r="J9" s="1228">
        <v>8</v>
      </c>
      <c r="K9" s="1228">
        <v>9</v>
      </c>
      <c r="L9" s="1228">
        <v>10</v>
      </c>
      <c r="M9" s="1228">
        <v>11</v>
      </c>
      <c r="N9" s="1228">
        <v>12</v>
      </c>
      <c r="O9" s="1229" t="s">
        <v>1137</v>
      </c>
      <c r="P9" s="850"/>
    </row>
    <row r="10" spans="1:16" ht="13.5" thickBot="1">
      <c r="A10" s="1230" t="s">
        <v>1138</v>
      </c>
      <c r="B10" s="1231" t="s">
        <v>1139</v>
      </c>
      <c r="C10" s="1232">
        <v>0</v>
      </c>
      <c r="D10" s="1232">
        <v>90000000</v>
      </c>
      <c r="E10" s="1232">
        <v>90300000</v>
      </c>
      <c r="F10" s="1232">
        <v>91000000</v>
      </c>
      <c r="G10" s="1232">
        <v>100000000</v>
      </c>
      <c r="H10" s="1232">
        <v>100000000</v>
      </c>
      <c r="I10" s="1232">
        <v>100000000</v>
      </c>
      <c r="J10" s="1232">
        <v>101300000</v>
      </c>
      <c r="K10" s="1232">
        <v>100000000</v>
      </c>
      <c r="L10" s="1232">
        <v>100000000</v>
      </c>
      <c r="M10" s="1232">
        <v>100000000</v>
      </c>
      <c r="N10" s="1232">
        <v>191666667</v>
      </c>
      <c r="O10" s="1232">
        <v>1164266667</v>
      </c>
      <c r="P10" s="848">
        <f t="shared" ref="P10:P15" si="0">SUM(C10:N10)</f>
        <v>1164266667</v>
      </c>
    </row>
    <row r="11" spans="1:16" ht="13.5" thickBot="1">
      <c r="A11" s="1230" t="s">
        <v>627</v>
      </c>
      <c r="B11" s="1231" t="s">
        <v>1140</v>
      </c>
      <c r="C11" s="1232">
        <v>99650395</v>
      </c>
      <c r="D11" s="1232">
        <v>71065300</v>
      </c>
      <c r="E11" s="1232">
        <v>72065300</v>
      </c>
      <c r="F11" s="1232">
        <v>72065300</v>
      </c>
      <c r="G11" s="1232">
        <v>71065300</v>
      </c>
      <c r="H11" s="1232">
        <v>71065300</v>
      </c>
      <c r="I11" s="1232">
        <v>71065300</v>
      </c>
      <c r="J11" s="1232">
        <v>72065300</v>
      </c>
      <c r="K11" s="1232">
        <v>71365300</v>
      </c>
      <c r="L11" s="1232">
        <v>71065300</v>
      </c>
      <c r="M11" s="1232">
        <v>71065300</v>
      </c>
      <c r="N11" s="1232">
        <v>182130600</v>
      </c>
      <c r="O11" s="1232">
        <v>995733995</v>
      </c>
      <c r="P11" s="848">
        <f t="shared" si="0"/>
        <v>995733995</v>
      </c>
    </row>
    <row r="12" spans="1:16" ht="13.5" thickBot="1">
      <c r="A12" s="1230" t="s">
        <v>625</v>
      </c>
      <c r="B12" s="1231" t="s">
        <v>1141</v>
      </c>
      <c r="C12" s="1232">
        <v>89589041</v>
      </c>
      <c r="D12" s="1232">
        <v>60000000</v>
      </c>
      <c r="E12" s="1232">
        <v>61000000</v>
      </c>
      <c r="F12" s="1232">
        <v>61000000</v>
      </c>
      <c r="G12" s="1232">
        <v>60000000</v>
      </c>
      <c r="H12" s="1232">
        <v>60000000</v>
      </c>
      <c r="I12" s="1232">
        <v>60000000</v>
      </c>
      <c r="J12" s="1232">
        <v>61000000</v>
      </c>
      <c r="K12" s="1232">
        <v>60000000</v>
      </c>
      <c r="L12" s="1232">
        <v>60000000</v>
      </c>
      <c r="M12" s="1232">
        <v>60300000</v>
      </c>
      <c r="N12" s="1232">
        <v>160000000</v>
      </c>
      <c r="O12" s="1232">
        <v>852889041</v>
      </c>
      <c r="P12" s="848">
        <f t="shared" si="0"/>
        <v>852889041</v>
      </c>
    </row>
    <row r="13" spans="1:16" ht="13.5" thickBot="1">
      <c r="A13" s="1230" t="s">
        <v>626</v>
      </c>
      <c r="B13" s="1231" t="s">
        <v>1142</v>
      </c>
      <c r="C13" s="1232">
        <v>133931900</v>
      </c>
      <c r="D13" s="1232">
        <v>52681900</v>
      </c>
      <c r="E13" s="1232">
        <v>53681900</v>
      </c>
      <c r="F13" s="1232">
        <v>53681900</v>
      </c>
      <c r="G13" s="1232">
        <v>52681900</v>
      </c>
      <c r="H13" s="1232">
        <v>52681900</v>
      </c>
      <c r="I13" s="1232">
        <v>52681900</v>
      </c>
      <c r="J13" s="1232">
        <v>53681900</v>
      </c>
      <c r="K13" s="1232">
        <v>52681900</v>
      </c>
      <c r="L13" s="1232">
        <v>52681900</v>
      </c>
      <c r="M13" s="1232">
        <v>52681900</v>
      </c>
      <c r="N13" s="1232">
        <v>145363800</v>
      </c>
      <c r="O13" s="1232">
        <v>809114700</v>
      </c>
      <c r="P13" s="848">
        <f t="shared" si="0"/>
        <v>809114700</v>
      </c>
    </row>
    <row r="14" spans="1:16" ht="13.5" thickBot="1">
      <c r="A14" s="1230" t="s">
        <v>623</v>
      </c>
      <c r="B14" s="1231" t="s">
        <v>1143</v>
      </c>
      <c r="C14" s="1232">
        <v>132869600</v>
      </c>
      <c r="D14" s="1232">
        <v>52869600</v>
      </c>
      <c r="E14" s="1232">
        <v>53869600</v>
      </c>
      <c r="F14" s="1232">
        <v>53869600</v>
      </c>
      <c r="G14" s="1232">
        <v>52869600</v>
      </c>
      <c r="H14" s="1232">
        <v>52869600</v>
      </c>
      <c r="I14" s="1232">
        <v>52869600</v>
      </c>
      <c r="J14" s="1232">
        <v>54169600</v>
      </c>
      <c r="K14" s="1232">
        <v>52869600</v>
      </c>
      <c r="L14" s="1232">
        <v>52869600</v>
      </c>
      <c r="M14" s="1232">
        <v>52869600</v>
      </c>
      <c r="N14" s="1232">
        <v>145739200</v>
      </c>
      <c r="O14" s="1232">
        <v>810604800</v>
      </c>
      <c r="P14" s="848">
        <f t="shared" si="0"/>
        <v>810604800</v>
      </c>
    </row>
    <row r="15" spans="1:16" ht="13.5" thickBot="1">
      <c r="A15" s="1230" t="s">
        <v>622</v>
      </c>
      <c r="B15" s="1231" t="s">
        <v>1144</v>
      </c>
      <c r="C15" s="1232">
        <v>169695300</v>
      </c>
      <c r="D15" s="1232">
        <v>71115300</v>
      </c>
      <c r="E15" s="1232">
        <v>72115300</v>
      </c>
      <c r="F15" s="1232">
        <v>72115300</v>
      </c>
      <c r="G15" s="1232">
        <v>71115300</v>
      </c>
      <c r="H15" s="1232">
        <v>71115300</v>
      </c>
      <c r="I15" s="1232">
        <v>71115300</v>
      </c>
      <c r="J15" s="1232">
        <v>72115300</v>
      </c>
      <c r="K15" s="1232">
        <v>71115300</v>
      </c>
      <c r="L15" s="1232">
        <v>71115300</v>
      </c>
      <c r="M15" s="1232">
        <v>71115300</v>
      </c>
      <c r="N15" s="1232">
        <v>182230600</v>
      </c>
      <c r="O15" s="1232">
        <v>1066078900</v>
      </c>
      <c r="P15" s="848">
        <f t="shared" si="0"/>
        <v>1066078900</v>
      </c>
    </row>
    <row r="16" spans="1:16" ht="13.5" thickBot="1">
      <c r="A16" s="1229"/>
      <c r="B16" s="1229"/>
      <c r="C16" s="1229"/>
      <c r="D16" s="1229"/>
      <c r="E16" s="1229"/>
      <c r="F16" s="1229"/>
      <c r="G16" s="1229"/>
      <c r="H16" s="1229"/>
      <c r="I16" s="1229"/>
      <c r="J16" s="1229"/>
      <c r="K16" s="1229"/>
      <c r="L16" s="1229"/>
      <c r="M16" s="1229"/>
      <c r="N16" s="1229"/>
      <c r="O16" s="1229"/>
      <c r="P16" s="850"/>
    </row>
    <row r="17" spans="1:16" ht="13.5" thickBot="1">
      <c r="A17" s="1229"/>
      <c r="B17" s="1229"/>
      <c r="C17" s="1229"/>
      <c r="D17" s="1229"/>
      <c r="E17" s="1229"/>
      <c r="F17" s="1229"/>
      <c r="G17" s="1229"/>
      <c r="H17" s="1229"/>
      <c r="I17" s="1229"/>
      <c r="J17" s="1229"/>
      <c r="K17" s="1229"/>
      <c r="L17" s="1229"/>
      <c r="M17" s="1229"/>
      <c r="N17" s="1229"/>
      <c r="O17" s="1229"/>
      <c r="P17" s="850"/>
    </row>
    <row r="18" spans="1:16" ht="13.5" thickBot="1">
      <c r="A18" s="302" t="s">
        <v>766</v>
      </c>
      <c r="B18" s="1227" t="s">
        <v>1134</v>
      </c>
      <c r="C18" s="1228">
        <v>2023</v>
      </c>
      <c r="D18" s="1228">
        <v>2023</v>
      </c>
      <c r="E18" s="1228">
        <v>2023</v>
      </c>
      <c r="F18" s="1228">
        <v>2023</v>
      </c>
      <c r="G18" s="1228">
        <v>2023</v>
      </c>
      <c r="H18" s="1228">
        <v>2023</v>
      </c>
      <c r="I18" s="1228">
        <v>2023</v>
      </c>
      <c r="J18" s="1228">
        <v>2023</v>
      </c>
      <c r="K18" s="1228">
        <v>2023</v>
      </c>
      <c r="L18" s="1228">
        <v>2023</v>
      </c>
      <c r="M18" s="1228">
        <v>2023</v>
      </c>
      <c r="N18" s="1228">
        <v>2023</v>
      </c>
      <c r="O18" s="1229"/>
      <c r="P18" s="850"/>
    </row>
    <row r="19" spans="1:16" ht="13.5" thickBot="1">
      <c r="A19" s="300" t="s">
        <v>1135</v>
      </c>
      <c r="B19" s="301" t="s">
        <v>1136</v>
      </c>
      <c r="C19" s="1228">
        <v>1</v>
      </c>
      <c r="D19" s="1228">
        <v>2</v>
      </c>
      <c r="E19" s="1228">
        <v>3</v>
      </c>
      <c r="F19" s="1228">
        <v>4</v>
      </c>
      <c r="G19" s="1228">
        <v>5</v>
      </c>
      <c r="H19" s="1228">
        <v>6</v>
      </c>
      <c r="I19" s="1228">
        <v>7</v>
      </c>
      <c r="J19" s="1228">
        <v>8</v>
      </c>
      <c r="K19" s="1228">
        <v>9</v>
      </c>
      <c r="L19" s="1228">
        <v>10</v>
      </c>
      <c r="M19" s="1228">
        <v>11</v>
      </c>
      <c r="N19" s="1228">
        <v>12</v>
      </c>
      <c r="O19" s="1229" t="s">
        <v>1137</v>
      </c>
      <c r="P19" s="850"/>
    </row>
    <row r="20" spans="1:16" ht="13.5" thickBot="1">
      <c r="A20" s="1230" t="s">
        <v>1138</v>
      </c>
      <c r="B20" s="1231" t="s">
        <v>1139</v>
      </c>
      <c r="C20" s="1232">
        <v>0</v>
      </c>
      <c r="D20" s="1232">
        <v>81000000</v>
      </c>
      <c r="E20" s="1232">
        <v>81270000</v>
      </c>
      <c r="F20" s="1232">
        <v>81497700</v>
      </c>
      <c r="G20" s="1232">
        <v>80149700</v>
      </c>
      <c r="H20" s="1232">
        <v>80149700</v>
      </c>
      <c r="I20" s="1232">
        <v>81014000</v>
      </c>
      <c r="J20" s="1232">
        <v>81924000</v>
      </c>
      <c r="K20" s="1232">
        <v>81014000</v>
      </c>
      <c r="L20" s="1232">
        <v>81014000</v>
      </c>
      <c r="M20" s="1232">
        <v>81014000</v>
      </c>
      <c r="N20" s="1232">
        <v>141112834</v>
      </c>
      <c r="O20" s="1233">
        <v>951159934</v>
      </c>
      <c r="P20" s="848">
        <f t="shared" ref="P20:P25" si="1">SUM(C20:N20)</f>
        <v>951159934</v>
      </c>
    </row>
    <row r="21" spans="1:16" ht="13.5" thickBot="1">
      <c r="A21" s="1230" t="s">
        <v>627</v>
      </c>
      <c r="B21" s="1231" t="s">
        <v>1140</v>
      </c>
      <c r="C21" s="1232">
        <v>87054465</v>
      </c>
      <c r="D21" s="1232">
        <v>62539536</v>
      </c>
      <c r="E21" s="1232">
        <v>60751225</v>
      </c>
      <c r="F21" s="1232">
        <v>59585725</v>
      </c>
      <c r="G21" s="1232">
        <v>58835725</v>
      </c>
      <c r="H21" s="1232">
        <v>58835725</v>
      </c>
      <c r="I21" s="1232">
        <v>59097475</v>
      </c>
      <c r="J21" s="1232">
        <v>59847475</v>
      </c>
      <c r="K21" s="1232">
        <v>59322475</v>
      </c>
      <c r="L21" s="1232">
        <v>59097475</v>
      </c>
      <c r="M21" s="1232">
        <v>59097475</v>
      </c>
      <c r="N21" s="1232">
        <v>133374390</v>
      </c>
      <c r="O21" s="1233">
        <v>817439166</v>
      </c>
      <c r="P21" s="848">
        <f t="shared" si="1"/>
        <v>817439166</v>
      </c>
    </row>
    <row r="22" spans="1:16" ht="13.5" thickBot="1">
      <c r="A22" s="1230" t="s">
        <v>625</v>
      </c>
      <c r="B22" s="1231" t="s">
        <v>1141</v>
      </c>
      <c r="C22" s="1232">
        <v>81847137</v>
      </c>
      <c r="D22" s="1232">
        <v>51948192</v>
      </c>
      <c r="E22" s="1232">
        <v>52216000</v>
      </c>
      <c r="F22" s="1232">
        <v>52036750</v>
      </c>
      <c r="G22" s="1232">
        <v>51286750</v>
      </c>
      <c r="H22" s="1232">
        <v>51286750</v>
      </c>
      <c r="I22" s="1232">
        <v>50798500</v>
      </c>
      <c r="J22" s="1232">
        <v>51548500</v>
      </c>
      <c r="K22" s="1232">
        <v>50798500</v>
      </c>
      <c r="L22" s="1232">
        <v>50798500</v>
      </c>
      <c r="M22" s="1232">
        <v>51023500</v>
      </c>
      <c r="N22" s="1232">
        <v>118989500</v>
      </c>
      <c r="O22" s="1233">
        <v>714578579</v>
      </c>
      <c r="P22" s="848">
        <f t="shared" si="1"/>
        <v>714578579</v>
      </c>
    </row>
    <row r="23" spans="1:16" ht="13.5" thickBot="1">
      <c r="A23" s="1230" t="s">
        <v>626</v>
      </c>
      <c r="B23" s="1231" t="s">
        <v>1142</v>
      </c>
      <c r="C23" s="1232">
        <v>93258735</v>
      </c>
      <c r="D23" s="1232">
        <v>39625520</v>
      </c>
      <c r="E23" s="1232">
        <v>46727425</v>
      </c>
      <c r="F23" s="1232">
        <v>45769320</v>
      </c>
      <c r="G23" s="1232">
        <v>44969320</v>
      </c>
      <c r="H23" s="1232">
        <v>44969320</v>
      </c>
      <c r="I23" s="1232">
        <v>45048520</v>
      </c>
      <c r="J23" s="1232">
        <v>45848520</v>
      </c>
      <c r="K23" s="1232">
        <v>45048520</v>
      </c>
      <c r="L23" s="1232">
        <v>45048520</v>
      </c>
      <c r="M23" s="1232">
        <v>45048520</v>
      </c>
      <c r="N23" s="1232">
        <v>109475970</v>
      </c>
      <c r="O23" s="1233">
        <v>650838210</v>
      </c>
      <c r="P23" s="848">
        <f t="shared" si="1"/>
        <v>650838210</v>
      </c>
    </row>
    <row r="24" spans="1:16" ht="13.5" thickBot="1">
      <c r="A24" s="1230" t="s">
        <v>623</v>
      </c>
      <c r="B24" s="1231" t="s">
        <v>1143</v>
      </c>
      <c r="C24" s="1232">
        <v>101922240</v>
      </c>
      <c r="D24" s="1232">
        <v>40559680</v>
      </c>
      <c r="E24" s="1232">
        <v>48819680</v>
      </c>
      <c r="F24" s="1232">
        <v>48428480</v>
      </c>
      <c r="G24" s="1232">
        <v>47628480</v>
      </c>
      <c r="H24" s="1232">
        <v>47628480</v>
      </c>
      <c r="I24" s="1232">
        <v>47107680</v>
      </c>
      <c r="J24" s="1232">
        <v>48147680</v>
      </c>
      <c r="K24" s="1232">
        <v>47107680</v>
      </c>
      <c r="L24" s="1232">
        <v>47107680</v>
      </c>
      <c r="M24" s="1232">
        <v>47107680</v>
      </c>
      <c r="N24" s="1232">
        <v>112948980</v>
      </c>
      <c r="O24" s="1233">
        <v>684514420</v>
      </c>
      <c r="P24" s="848">
        <f t="shared" si="1"/>
        <v>684514420</v>
      </c>
    </row>
    <row r="25" spans="1:16" ht="13.5" thickBot="1">
      <c r="A25" s="1230" t="s">
        <v>622</v>
      </c>
      <c r="B25" s="1231" t="s">
        <v>1144</v>
      </c>
      <c r="C25" s="1232">
        <v>210196420</v>
      </c>
      <c r="D25" s="1232">
        <v>95609950</v>
      </c>
      <c r="E25" s="1232">
        <v>63514904</v>
      </c>
      <c r="F25" s="1232">
        <v>60522225</v>
      </c>
      <c r="G25" s="1232">
        <v>59772225</v>
      </c>
      <c r="H25" s="1232">
        <v>59772225</v>
      </c>
      <c r="I25" s="1232">
        <v>59283975</v>
      </c>
      <c r="J25" s="1232">
        <v>60033975</v>
      </c>
      <c r="K25" s="1232">
        <v>59283975</v>
      </c>
      <c r="L25" s="1232">
        <v>59283975</v>
      </c>
      <c r="M25" s="1232">
        <v>59283975</v>
      </c>
      <c r="N25" s="1232">
        <v>133588390</v>
      </c>
      <c r="O25" s="1233">
        <v>980146214</v>
      </c>
      <c r="P25" s="848">
        <f t="shared" si="1"/>
        <v>980146214</v>
      </c>
    </row>
    <row r="28" spans="1:16" ht="13.5" thickBot="1">
      <c r="A28" s="850"/>
      <c r="B28" s="850"/>
      <c r="C28" s="850"/>
      <c r="D28" s="850"/>
      <c r="E28" s="850"/>
      <c r="F28" s="850"/>
      <c r="G28" s="850"/>
      <c r="H28" s="850"/>
      <c r="I28" s="850"/>
      <c r="J28" s="850"/>
      <c r="K28" s="850"/>
      <c r="L28" s="850"/>
      <c r="M28" s="850"/>
      <c r="N28" s="850"/>
      <c r="O28" s="850"/>
      <c r="P28" s="850"/>
    </row>
    <row r="29" spans="1:16" ht="13.5" thickBot="1">
      <c r="A29" s="302" t="s">
        <v>1133</v>
      </c>
      <c r="B29" s="1227" t="s">
        <v>1134</v>
      </c>
      <c r="C29" s="1228">
        <v>2024</v>
      </c>
      <c r="D29" s="1228">
        <v>2024</v>
      </c>
      <c r="E29" s="1228">
        <v>2024</v>
      </c>
      <c r="F29" s="1228">
        <v>2024</v>
      </c>
      <c r="G29" s="1228">
        <v>2024</v>
      </c>
      <c r="H29" s="1228">
        <v>2024</v>
      </c>
      <c r="I29" s="1228">
        <v>2024</v>
      </c>
      <c r="J29" s="1228">
        <v>2024</v>
      </c>
      <c r="K29" s="1228">
        <v>2024</v>
      </c>
      <c r="L29" s="1228">
        <v>2024</v>
      </c>
      <c r="M29" s="1228">
        <v>2024</v>
      </c>
      <c r="N29" s="1228">
        <v>2024</v>
      </c>
      <c r="O29" s="1229"/>
      <c r="P29" s="850"/>
    </row>
    <row r="30" spans="1:16" ht="13.5" thickBot="1">
      <c r="A30" s="300" t="s">
        <v>1135</v>
      </c>
      <c r="B30" s="301" t="s">
        <v>1136</v>
      </c>
      <c r="C30" s="1228">
        <v>1</v>
      </c>
      <c r="D30" s="1228">
        <v>2</v>
      </c>
      <c r="E30" s="1228">
        <v>3</v>
      </c>
      <c r="F30" s="1228">
        <v>4</v>
      </c>
      <c r="G30" s="1228">
        <v>5</v>
      </c>
      <c r="H30" s="1228">
        <v>6</v>
      </c>
      <c r="I30" s="1228">
        <v>7</v>
      </c>
      <c r="J30" s="1228">
        <v>8</v>
      </c>
      <c r="K30" s="1228">
        <v>9</v>
      </c>
      <c r="L30" s="1228">
        <v>10</v>
      </c>
      <c r="M30" s="1228">
        <v>11</v>
      </c>
      <c r="N30" s="1228">
        <v>12</v>
      </c>
      <c r="O30" s="1229" t="s">
        <v>1137</v>
      </c>
      <c r="P30" s="850"/>
    </row>
    <row r="31" spans="1:16" ht="13.5" thickBot="1">
      <c r="A31" s="1230" t="s">
        <v>622</v>
      </c>
      <c r="B31" s="1231" t="s">
        <v>1144</v>
      </c>
      <c r="C31" s="857">
        <v>71115300</v>
      </c>
      <c r="D31" s="857">
        <v>71115300</v>
      </c>
      <c r="E31" s="857">
        <v>71115300</v>
      </c>
      <c r="F31" s="857">
        <v>131856200</v>
      </c>
      <c r="G31" s="857">
        <v>130556200</v>
      </c>
      <c r="H31" s="857">
        <v>130556200</v>
      </c>
      <c r="I31" s="850"/>
      <c r="J31" s="850"/>
      <c r="K31" s="850"/>
      <c r="L31" s="850"/>
      <c r="M31" s="850"/>
      <c r="N31" s="850"/>
      <c r="O31" s="848">
        <f>SUM(C31:N31)</f>
        <v>606314500</v>
      </c>
      <c r="P31" s="850"/>
    </row>
    <row r="32" spans="1:16" ht="13.5" thickBot="1">
      <c r="A32" s="1230" t="s">
        <v>623</v>
      </c>
      <c r="B32" s="1231" t="s">
        <v>1143</v>
      </c>
      <c r="C32" s="1017">
        <v>5000000</v>
      </c>
      <c r="D32" s="1017">
        <v>5000000</v>
      </c>
      <c r="E32" s="1017">
        <v>5000000</v>
      </c>
      <c r="F32" s="1017">
        <v>5000000</v>
      </c>
      <c r="G32" s="1017">
        <v>5000000</v>
      </c>
      <c r="H32" s="1017">
        <v>5000000</v>
      </c>
      <c r="I32" s="850"/>
      <c r="J32" s="850"/>
      <c r="K32" s="850"/>
      <c r="L32" s="850"/>
      <c r="M32" s="850"/>
      <c r="N32" s="850"/>
      <c r="O32" s="848">
        <f>SUM(C32:N32)</f>
        <v>30000000</v>
      </c>
      <c r="P32" s="850"/>
    </row>
    <row r="33" spans="1:15" ht="13.5" thickBot="1">
      <c r="A33" s="1230" t="s">
        <v>626</v>
      </c>
      <c r="B33" s="1231" t="s">
        <v>1142</v>
      </c>
      <c r="C33" s="1017">
        <v>5000000</v>
      </c>
      <c r="D33" s="1017">
        <v>5000000</v>
      </c>
      <c r="E33" s="1017">
        <v>5000000</v>
      </c>
      <c r="F33" s="1017">
        <v>5000000</v>
      </c>
      <c r="G33" s="1017">
        <v>5000000</v>
      </c>
      <c r="H33" s="1017">
        <v>5000000</v>
      </c>
      <c r="I33" s="850"/>
      <c r="J33" s="850"/>
      <c r="K33" s="850"/>
      <c r="L33" s="850"/>
      <c r="M33" s="850"/>
      <c r="N33" s="850"/>
      <c r="O33" s="848">
        <f>SUM(C33:N33)</f>
        <v>30000000</v>
      </c>
    </row>
    <row r="34" spans="1:15" ht="13.5" thickBot="1">
      <c r="A34" s="1230" t="s">
        <v>625</v>
      </c>
      <c r="B34" s="1231" t="s">
        <v>1141</v>
      </c>
      <c r="C34" s="1017">
        <v>5000000</v>
      </c>
      <c r="D34" s="1017">
        <v>5000000</v>
      </c>
      <c r="E34" s="1017">
        <v>5000000</v>
      </c>
      <c r="F34" s="1017">
        <v>5000000</v>
      </c>
      <c r="G34" s="1017">
        <v>5000000</v>
      </c>
      <c r="H34" s="1017">
        <v>5000000</v>
      </c>
      <c r="I34" s="850"/>
      <c r="J34" s="850"/>
      <c r="K34" s="850"/>
      <c r="L34" s="850"/>
      <c r="M34" s="850"/>
      <c r="N34" s="850"/>
      <c r="O34" s="848">
        <f>SUM(C34:N34)</f>
        <v>30000000</v>
      </c>
    </row>
    <row r="35" spans="1:15" ht="13.5" thickBot="1">
      <c r="A35" s="1230" t="s">
        <v>627</v>
      </c>
      <c r="B35" s="1231" t="s">
        <v>1140</v>
      </c>
      <c r="C35" s="1017">
        <v>5000000</v>
      </c>
      <c r="D35" s="1017">
        <v>5000000</v>
      </c>
      <c r="E35" s="1017">
        <v>5000000</v>
      </c>
      <c r="F35" s="1017">
        <v>5000000</v>
      </c>
      <c r="G35" s="1017">
        <v>5000000</v>
      </c>
      <c r="H35" s="1017">
        <v>5000000</v>
      </c>
      <c r="I35" s="850"/>
      <c r="J35" s="850"/>
      <c r="K35" s="850"/>
      <c r="L35" s="850"/>
      <c r="M35" s="850"/>
      <c r="N35" s="850"/>
      <c r="O35" s="848">
        <f>SUM(C35:N35)</f>
        <v>30000000</v>
      </c>
    </row>
    <row r="38" spans="1:15" ht="13.5" thickBot="1">
      <c r="A38" s="850"/>
      <c r="B38" s="850"/>
      <c r="C38" s="850"/>
      <c r="D38" s="850"/>
      <c r="E38" s="850"/>
      <c r="F38" s="850"/>
      <c r="G38" s="850"/>
      <c r="H38" s="850"/>
      <c r="I38" s="850"/>
      <c r="J38" s="850"/>
      <c r="K38" s="850"/>
      <c r="L38" s="850"/>
      <c r="M38" s="850"/>
      <c r="N38" s="850"/>
      <c r="O38" s="850"/>
    </row>
    <row r="39" spans="1:15" ht="13.5" thickBot="1">
      <c r="A39" s="302" t="s">
        <v>766</v>
      </c>
      <c r="B39" s="1227" t="s">
        <v>1134</v>
      </c>
      <c r="C39" s="1228">
        <v>2024</v>
      </c>
      <c r="D39" s="1228">
        <v>2024</v>
      </c>
      <c r="E39" s="1228">
        <v>2024</v>
      </c>
      <c r="F39" s="1228">
        <v>2024</v>
      </c>
      <c r="G39" s="1228">
        <v>2024</v>
      </c>
      <c r="H39" s="1228">
        <v>2024</v>
      </c>
      <c r="I39" s="1228">
        <v>2024</v>
      </c>
      <c r="J39" s="1228">
        <v>2024</v>
      </c>
      <c r="K39" s="1228">
        <v>2024</v>
      </c>
      <c r="L39" s="1228">
        <v>2024</v>
      </c>
      <c r="M39" s="1228">
        <v>2024</v>
      </c>
      <c r="N39" s="1228">
        <v>2024</v>
      </c>
      <c r="O39" s="1229"/>
    </row>
    <row r="40" spans="1:15" ht="13.5" thickBot="1">
      <c r="A40" s="300" t="s">
        <v>1135</v>
      </c>
      <c r="B40" s="301" t="s">
        <v>1136</v>
      </c>
      <c r="C40" s="1228">
        <v>1</v>
      </c>
      <c r="D40" s="1228">
        <v>2</v>
      </c>
      <c r="E40" s="1228">
        <v>3</v>
      </c>
      <c r="F40" s="1228">
        <v>4</v>
      </c>
      <c r="G40" s="1228">
        <v>5</v>
      </c>
      <c r="H40" s="1228">
        <v>6</v>
      </c>
      <c r="I40" s="1228">
        <v>7</v>
      </c>
      <c r="J40" s="1228">
        <v>8</v>
      </c>
      <c r="K40" s="1228">
        <v>9</v>
      </c>
      <c r="L40" s="1228">
        <v>10</v>
      </c>
      <c r="M40" s="1228">
        <v>11</v>
      </c>
      <c r="N40" s="1228">
        <v>12</v>
      </c>
      <c r="O40" s="1229" t="s">
        <v>1137</v>
      </c>
    </row>
    <row r="41" spans="1:15" ht="13.5" thickBot="1">
      <c r="A41" s="1230" t="s">
        <v>622</v>
      </c>
      <c r="B41" s="1231" t="s">
        <v>1144</v>
      </c>
      <c r="C41" s="848">
        <v>59283975</v>
      </c>
      <c r="D41" s="848">
        <v>60033975</v>
      </c>
      <c r="E41" s="848">
        <v>65259940</v>
      </c>
      <c r="F41" s="848">
        <v>99845030</v>
      </c>
      <c r="G41" s="848">
        <v>99000030</v>
      </c>
      <c r="H41" s="848">
        <v>99000030</v>
      </c>
      <c r="I41" s="850"/>
      <c r="J41" s="850"/>
      <c r="K41" s="850"/>
      <c r="L41" s="850"/>
      <c r="M41" s="850"/>
      <c r="N41" s="850"/>
      <c r="O41" s="848">
        <f>SUM(C41:N41)</f>
        <v>482422980</v>
      </c>
    </row>
    <row r="42" spans="1:15" ht="13.5" thickBot="1">
      <c r="A42" s="1230" t="s">
        <v>623</v>
      </c>
      <c r="B42" s="1231" t="s">
        <v>1143</v>
      </c>
      <c r="C42" s="1017">
        <v>4750000</v>
      </c>
      <c r="D42" s="1017">
        <v>4750000</v>
      </c>
      <c r="E42" s="1017">
        <v>4750000</v>
      </c>
      <c r="F42" s="1017">
        <v>4750000</v>
      </c>
      <c r="G42" s="1017">
        <v>4750000</v>
      </c>
      <c r="H42" s="1017">
        <v>4750000</v>
      </c>
      <c r="I42" s="850"/>
      <c r="J42" s="850"/>
      <c r="K42" s="850"/>
      <c r="L42" s="850"/>
      <c r="M42" s="850"/>
      <c r="N42" s="850"/>
      <c r="O42" s="848">
        <f>SUM(C42:N42)</f>
        <v>28500000</v>
      </c>
    </row>
    <row r="43" spans="1:15" ht="13.5" thickBot="1">
      <c r="A43" s="1230" t="s">
        <v>626</v>
      </c>
      <c r="B43" s="1231" t="s">
        <v>1142</v>
      </c>
      <c r="C43" s="1017">
        <v>4750000</v>
      </c>
      <c r="D43" s="1017">
        <v>4750000</v>
      </c>
      <c r="E43" s="1017">
        <v>4750000</v>
      </c>
      <c r="F43" s="1017">
        <v>4750000</v>
      </c>
      <c r="G43" s="1017">
        <v>4750000</v>
      </c>
      <c r="H43" s="1017">
        <v>4750000</v>
      </c>
      <c r="I43" s="850"/>
      <c r="J43" s="850"/>
      <c r="K43" s="850"/>
      <c r="L43" s="850"/>
      <c r="M43" s="850"/>
      <c r="N43" s="850"/>
      <c r="O43" s="848">
        <f>SUM(C43:N43)</f>
        <v>28500000</v>
      </c>
    </row>
    <row r="44" spans="1:15" ht="13.5" thickBot="1">
      <c r="A44" s="1230" t="s">
        <v>625</v>
      </c>
      <c r="B44" s="1231" t="s">
        <v>1141</v>
      </c>
      <c r="C44" s="1017">
        <v>4750000</v>
      </c>
      <c r="D44" s="1017">
        <v>4750000</v>
      </c>
      <c r="E44" s="1017">
        <v>4750000</v>
      </c>
      <c r="F44" s="1017">
        <v>4750000</v>
      </c>
      <c r="G44" s="1017">
        <v>4750000</v>
      </c>
      <c r="H44" s="1017">
        <v>4750000</v>
      </c>
      <c r="I44" s="850"/>
      <c r="J44" s="850"/>
      <c r="K44" s="850"/>
      <c r="L44" s="850"/>
      <c r="M44" s="850"/>
      <c r="N44" s="850"/>
      <c r="O44" s="848">
        <f>SUM(C44:N44)</f>
        <v>28500000</v>
      </c>
    </row>
    <row r="45" spans="1:15" ht="13.5" thickBot="1">
      <c r="A45" s="1230" t="s">
        <v>627</v>
      </c>
      <c r="B45" s="1231" t="s">
        <v>1140</v>
      </c>
      <c r="C45" s="1017">
        <v>4750000</v>
      </c>
      <c r="D45" s="1017">
        <v>4750000</v>
      </c>
      <c r="E45" s="1017">
        <v>4750000</v>
      </c>
      <c r="F45" s="1017">
        <v>4750000</v>
      </c>
      <c r="G45" s="1017">
        <v>4750000</v>
      </c>
      <c r="H45" s="1017">
        <v>4750000</v>
      </c>
      <c r="I45" s="850"/>
      <c r="J45" s="850"/>
      <c r="K45" s="850"/>
      <c r="L45" s="850"/>
      <c r="M45" s="850"/>
      <c r="N45" s="850"/>
      <c r="O45" s="848">
        <f>SUM(C45:N45)</f>
        <v>28500000</v>
      </c>
    </row>
    <row r="46" spans="1:15">
      <c r="A46" s="850"/>
      <c r="B46" s="850"/>
      <c r="C46" s="850"/>
      <c r="D46" s="850"/>
      <c r="E46" s="850"/>
      <c r="F46" s="850"/>
      <c r="G46" s="850"/>
      <c r="H46" s="850"/>
      <c r="I46" s="850"/>
      <c r="J46" s="850"/>
      <c r="K46" s="850"/>
      <c r="L46" s="850"/>
      <c r="M46" s="850"/>
      <c r="N46" s="850"/>
      <c r="O46" s="848"/>
    </row>
    <row r="47" spans="1:15">
      <c r="A47" s="850">
        <v>2024</v>
      </c>
      <c r="B47" s="850"/>
      <c r="C47" s="850"/>
      <c r="D47" s="850"/>
      <c r="E47" s="850"/>
      <c r="F47" s="850"/>
      <c r="G47" s="850"/>
      <c r="H47" s="850"/>
      <c r="I47" s="850"/>
      <c r="J47" s="850"/>
      <c r="K47" s="850"/>
      <c r="L47" s="850"/>
      <c r="M47" s="850"/>
      <c r="N47" s="850"/>
      <c r="O47" s="850"/>
    </row>
    <row r="48" spans="1:15" ht="15">
      <c r="A48" s="1508" t="s">
        <v>1145</v>
      </c>
      <c r="B48" s="1508" t="s">
        <v>1146</v>
      </c>
      <c r="C48" s="1508" t="s">
        <v>1147</v>
      </c>
      <c r="D48" s="1508" t="s">
        <v>1148</v>
      </c>
      <c r="E48" s="1508" t="s">
        <v>1149</v>
      </c>
      <c r="F48" s="1508" t="s">
        <v>1150</v>
      </c>
      <c r="G48" s="1508" t="s">
        <v>1151</v>
      </c>
      <c r="H48" s="1508" t="s">
        <v>1152</v>
      </c>
      <c r="I48" s="1508" t="s">
        <v>1153</v>
      </c>
      <c r="J48" s="1508" t="s">
        <v>1154</v>
      </c>
      <c r="K48" s="1508" t="s">
        <v>1155</v>
      </c>
      <c r="L48" s="1508" t="s">
        <v>1156</v>
      </c>
      <c r="M48" s="1508" t="s">
        <v>1157</v>
      </c>
      <c r="N48" s="1508" t="s">
        <v>1158</v>
      </c>
      <c r="O48" s="1508" t="s">
        <v>1159</v>
      </c>
    </row>
    <row r="49" spans="1:15" ht="15">
      <c r="A49" s="1507" t="s">
        <v>622</v>
      </c>
      <c r="B49" s="1507" t="s">
        <v>1160</v>
      </c>
      <c r="C49" s="1509">
        <v>78855300</v>
      </c>
      <c r="D49" s="1509">
        <v>79855300</v>
      </c>
      <c r="E49" s="1509">
        <v>78855300</v>
      </c>
      <c r="F49" s="1509">
        <v>140596200</v>
      </c>
      <c r="G49" s="1509">
        <v>139296200</v>
      </c>
      <c r="H49" s="1509">
        <v>139296200</v>
      </c>
      <c r="I49" s="1509">
        <v>139296200</v>
      </c>
      <c r="J49" s="1509">
        <v>140296200</v>
      </c>
      <c r="K49" s="1509">
        <v>139296200</v>
      </c>
      <c r="L49" s="1509">
        <v>139296200</v>
      </c>
      <c r="M49" s="1509">
        <v>77126581</v>
      </c>
      <c r="N49" s="1510"/>
      <c r="O49" s="1511">
        <v>1292065881</v>
      </c>
    </row>
    <row r="50" spans="1:15" ht="15">
      <c r="A50" s="1507" t="s">
        <v>623</v>
      </c>
      <c r="B50" s="1507" t="s">
        <v>1161</v>
      </c>
      <c r="C50" s="1509">
        <v>5025000</v>
      </c>
      <c r="D50" s="1509">
        <v>5025000</v>
      </c>
      <c r="E50" s="1509">
        <v>5025000</v>
      </c>
      <c r="F50" s="1509">
        <v>5025000</v>
      </c>
      <c r="G50" s="1509">
        <v>5025000</v>
      </c>
      <c r="H50" s="1509">
        <v>5025000</v>
      </c>
      <c r="I50" s="1509">
        <v>5025000</v>
      </c>
      <c r="J50" s="1509">
        <v>5025000</v>
      </c>
      <c r="K50" s="1509">
        <v>5025000</v>
      </c>
      <c r="L50" s="1509">
        <v>5025000</v>
      </c>
      <c r="M50" s="1510"/>
      <c r="N50" s="1510"/>
      <c r="O50" s="1511">
        <v>50250000</v>
      </c>
    </row>
    <row r="51" spans="1:15" ht="15">
      <c r="A51" s="1507" t="s">
        <v>1162</v>
      </c>
      <c r="B51" s="1507" t="s">
        <v>1161</v>
      </c>
      <c r="C51" s="1510"/>
      <c r="D51" s="1510"/>
      <c r="E51" s="1510"/>
      <c r="F51" s="1510"/>
      <c r="G51" s="1510"/>
      <c r="H51" s="1510"/>
      <c r="I51" s="1510"/>
      <c r="J51" s="1510"/>
      <c r="K51" s="1510"/>
      <c r="L51" s="1510"/>
      <c r="M51" s="1509">
        <v>51428571</v>
      </c>
      <c r="N51" s="1509">
        <v>83111111.109999999</v>
      </c>
      <c r="O51" s="1511">
        <v>134539682.11000001</v>
      </c>
    </row>
    <row r="52" spans="1:15" ht="15">
      <c r="A52" s="1507" t="s">
        <v>625</v>
      </c>
      <c r="B52" s="1507" t="s">
        <v>1163</v>
      </c>
      <c r="C52" s="1509">
        <v>5025000</v>
      </c>
      <c r="D52" s="1509">
        <v>5025000</v>
      </c>
      <c r="E52" s="1509">
        <v>5025000</v>
      </c>
      <c r="F52" s="1509">
        <v>5025000</v>
      </c>
      <c r="G52" s="1509">
        <v>5025000</v>
      </c>
      <c r="H52" s="1509">
        <v>5025000</v>
      </c>
      <c r="I52" s="1509">
        <v>5025000</v>
      </c>
      <c r="J52" s="1509">
        <v>5025000</v>
      </c>
      <c r="K52" s="1509">
        <v>5025000</v>
      </c>
      <c r="L52" s="1510"/>
      <c r="M52" s="1510"/>
      <c r="N52" s="1510"/>
      <c r="O52" s="1511">
        <v>45225000</v>
      </c>
    </row>
    <row r="53" spans="1:15" ht="15">
      <c r="A53" s="1507" t="s">
        <v>626</v>
      </c>
      <c r="B53" s="1507" t="s">
        <v>1164</v>
      </c>
      <c r="C53" s="1509">
        <v>5025000</v>
      </c>
      <c r="D53" s="1509">
        <v>5025000</v>
      </c>
      <c r="E53" s="1509">
        <v>5025000</v>
      </c>
      <c r="F53" s="1509">
        <v>5025000</v>
      </c>
      <c r="G53" s="1509">
        <v>5025000</v>
      </c>
      <c r="H53" s="1509">
        <v>5025000</v>
      </c>
      <c r="I53" s="1509">
        <v>5025000</v>
      </c>
      <c r="J53" s="1509">
        <v>5025000</v>
      </c>
      <c r="K53" s="1509">
        <v>5025000</v>
      </c>
      <c r="L53" s="1510"/>
      <c r="M53" s="1510"/>
      <c r="N53" s="1510"/>
      <c r="O53" s="1511">
        <v>45225000</v>
      </c>
    </row>
    <row r="54" spans="1:15" ht="15">
      <c r="A54" s="1507" t="s">
        <v>627</v>
      </c>
      <c r="B54" s="1507" t="s">
        <v>1165</v>
      </c>
      <c r="C54" s="1509">
        <v>5025000</v>
      </c>
      <c r="D54" s="1509">
        <v>5025000</v>
      </c>
      <c r="E54" s="1509">
        <v>5025000</v>
      </c>
      <c r="F54" s="1509">
        <v>5025000</v>
      </c>
      <c r="G54" s="1509">
        <v>5025000</v>
      </c>
      <c r="H54" s="1509">
        <v>5025000</v>
      </c>
      <c r="I54" s="1509">
        <v>5025000</v>
      </c>
      <c r="J54" s="1509">
        <v>5025000</v>
      </c>
      <c r="K54" s="1509">
        <v>5025000</v>
      </c>
      <c r="L54" s="1509">
        <v>5025000</v>
      </c>
      <c r="M54" s="1509">
        <v>5025000</v>
      </c>
      <c r="N54" s="1509">
        <v>5025000</v>
      </c>
      <c r="O54" s="1511">
        <v>60300000</v>
      </c>
    </row>
    <row r="55" spans="1:15" ht="15">
      <c r="A55" s="1507" t="s">
        <v>1138</v>
      </c>
      <c r="B55" s="1507" t="s">
        <v>1166</v>
      </c>
      <c r="C55" s="1510"/>
      <c r="D55" s="1510"/>
      <c r="E55" s="1510"/>
      <c r="F55" s="1510"/>
      <c r="G55" s="1510"/>
      <c r="H55" s="1510"/>
      <c r="I55" s="1510"/>
      <c r="J55" s="1510"/>
      <c r="K55" s="1510"/>
      <c r="L55" s="1510"/>
      <c r="M55" s="1510"/>
      <c r="N55" s="1510"/>
      <c r="O55" s="1511">
        <v>0</v>
      </c>
    </row>
    <row r="56" spans="1:15" ht="15">
      <c r="A56" s="1507" t="s">
        <v>1167</v>
      </c>
      <c r="B56" s="1507" t="s">
        <v>1168</v>
      </c>
      <c r="C56" s="1510"/>
      <c r="D56" s="1510"/>
      <c r="E56" s="1510"/>
      <c r="F56" s="1510"/>
      <c r="G56" s="1510"/>
      <c r="H56" s="1510"/>
      <c r="I56" s="1510"/>
      <c r="J56" s="1510"/>
      <c r="K56" s="1510"/>
      <c r="L56" s="1510"/>
      <c r="M56" s="1509">
        <v>5025000</v>
      </c>
      <c r="N56" s="1509">
        <v>5025000</v>
      </c>
      <c r="O56" s="1511">
        <v>10050000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F988E-1C55-480E-9D90-7A6799A93A40}">
  <sheetPr codeName="Sheet28">
    <outlinePr summaryBelow="0"/>
  </sheetPr>
  <dimension ref="A1:P408"/>
  <sheetViews>
    <sheetView zoomScale="55" zoomScaleNormal="55" workbookViewId="0">
      <pane xSplit="1" ySplit="7" topLeftCell="C228" activePane="bottomRight" state="frozen"/>
      <selection pane="topRight" activeCell="B1" sqref="B1"/>
      <selection pane="bottomLeft" activeCell="A8" sqref="A8"/>
      <selection pane="bottomRight" activeCell="M255" sqref="M255"/>
    </sheetView>
  </sheetViews>
  <sheetFormatPr defaultRowHeight="15"/>
  <cols>
    <col min="1" max="3" width="11.85546875" style="216" customWidth="1"/>
    <col min="4" max="4" width="55.5703125" style="216" customWidth="1"/>
    <col min="5" max="6" width="17.5703125" style="216" bestFit="1" customWidth="1"/>
    <col min="7" max="7" width="19.140625" style="216" bestFit="1" customWidth="1"/>
    <col min="8" max="8" width="18.85546875" style="216" bestFit="1" customWidth="1"/>
    <col min="9" max="10" width="17.5703125" style="216" bestFit="1" customWidth="1"/>
    <col min="11" max="11" width="15.42578125" style="216" bestFit="1" customWidth="1"/>
    <col min="12" max="12" width="9.140625" style="216" customWidth="1"/>
    <col min="13" max="13" width="22" style="216" bestFit="1" customWidth="1"/>
    <col min="14" max="15" width="13.140625" style="216" bestFit="1" customWidth="1"/>
    <col min="16" max="257" width="9.140625" style="216" bestFit="1" customWidth="1"/>
    <col min="258" max="258" width="11.85546875" style="216" customWidth="1"/>
    <col min="259" max="259" width="55.5703125" style="216" customWidth="1"/>
    <col min="260" max="261" width="14.5703125" style="216" customWidth="1"/>
    <col min="262" max="263" width="16.85546875" style="216" bestFit="1" customWidth="1"/>
    <col min="264" max="265" width="14.5703125" style="216" customWidth="1"/>
    <col min="266" max="513" width="9.140625" style="216" bestFit="1" customWidth="1"/>
    <col min="514" max="514" width="11.85546875" style="216" customWidth="1"/>
    <col min="515" max="515" width="55.5703125" style="216" customWidth="1"/>
    <col min="516" max="517" width="14.5703125" style="216" customWidth="1"/>
    <col min="518" max="519" width="16.85546875" style="216" bestFit="1" customWidth="1"/>
    <col min="520" max="521" width="14.5703125" style="216" customWidth="1"/>
    <col min="522" max="769" width="9.140625" style="216" bestFit="1" customWidth="1"/>
    <col min="770" max="770" width="11.85546875" style="216" customWidth="1"/>
    <col min="771" max="771" width="55.5703125" style="216" customWidth="1"/>
    <col min="772" max="773" width="14.5703125" style="216" customWidth="1"/>
    <col min="774" max="775" width="16.85546875" style="216" bestFit="1" customWidth="1"/>
    <col min="776" max="777" width="14.5703125" style="216" customWidth="1"/>
    <col min="778" max="1025" width="9.140625" style="216" bestFit="1" customWidth="1"/>
    <col min="1026" max="1026" width="11.85546875" style="216" customWidth="1"/>
    <col min="1027" max="1027" width="55.5703125" style="216" customWidth="1"/>
    <col min="1028" max="1029" width="14.5703125" style="216" customWidth="1"/>
    <col min="1030" max="1031" width="16.85546875" style="216" bestFit="1" customWidth="1"/>
    <col min="1032" max="1033" width="14.5703125" style="216" customWidth="1"/>
    <col min="1034" max="1281" width="9.140625" style="216" bestFit="1" customWidth="1"/>
    <col min="1282" max="1282" width="11.85546875" style="216" customWidth="1"/>
    <col min="1283" max="1283" width="55.5703125" style="216" customWidth="1"/>
    <col min="1284" max="1285" width="14.5703125" style="216" customWidth="1"/>
    <col min="1286" max="1287" width="16.85546875" style="216" bestFit="1" customWidth="1"/>
    <col min="1288" max="1289" width="14.5703125" style="216" customWidth="1"/>
    <col min="1290" max="1537" width="9.140625" style="216" bestFit="1" customWidth="1"/>
    <col min="1538" max="1538" width="11.85546875" style="216" customWidth="1"/>
    <col min="1539" max="1539" width="55.5703125" style="216" customWidth="1"/>
    <col min="1540" max="1541" width="14.5703125" style="216" customWidth="1"/>
    <col min="1542" max="1543" width="16.85546875" style="216" bestFit="1" customWidth="1"/>
    <col min="1544" max="1545" width="14.5703125" style="216" customWidth="1"/>
    <col min="1546" max="1793" width="9.140625" style="216" bestFit="1" customWidth="1"/>
    <col min="1794" max="1794" width="11.85546875" style="216" customWidth="1"/>
    <col min="1795" max="1795" width="55.5703125" style="216" customWidth="1"/>
    <col min="1796" max="1797" width="14.5703125" style="216" customWidth="1"/>
    <col min="1798" max="1799" width="16.85546875" style="216" bestFit="1" customWidth="1"/>
    <col min="1800" max="1801" width="14.5703125" style="216" customWidth="1"/>
    <col min="1802" max="2049" width="9.140625" style="216" bestFit="1" customWidth="1"/>
    <col min="2050" max="2050" width="11.85546875" style="216" customWidth="1"/>
    <col min="2051" max="2051" width="55.5703125" style="216" customWidth="1"/>
    <col min="2052" max="2053" width="14.5703125" style="216" customWidth="1"/>
    <col min="2054" max="2055" width="16.85546875" style="216" bestFit="1" customWidth="1"/>
    <col min="2056" max="2057" width="14.5703125" style="216" customWidth="1"/>
    <col min="2058" max="2305" width="9.140625" style="216" bestFit="1" customWidth="1"/>
    <col min="2306" max="2306" width="11.85546875" style="216" customWidth="1"/>
    <col min="2307" max="2307" width="55.5703125" style="216" customWidth="1"/>
    <col min="2308" max="2309" width="14.5703125" style="216" customWidth="1"/>
    <col min="2310" max="2311" width="16.85546875" style="216" bestFit="1" customWidth="1"/>
    <col min="2312" max="2313" width="14.5703125" style="216" customWidth="1"/>
    <col min="2314" max="2561" width="9.140625" style="216" bestFit="1" customWidth="1"/>
    <col min="2562" max="2562" width="11.85546875" style="216" customWidth="1"/>
    <col min="2563" max="2563" width="55.5703125" style="216" customWidth="1"/>
    <col min="2564" max="2565" width="14.5703125" style="216" customWidth="1"/>
    <col min="2566" max="2567" width="16.85546875" style="216" bestFit="1" customWidth="1"/>
    <col min="2568" max="2569" width="14.5703125" style="216" customWidth="1"/>
    <col min="2570" max="2817" width="9.140625" style="216" bestFit="1" customWidth="1"/>
    <col min="2818" max="2818" width="11.85546875" style="216" customWidth="1"/>
    <col min="2819" max="2819" width="55.5703125" style="216" customWidth="1"/>
    <col min="2820" max="2821" width="14.5703125" style="216" customWidth="1"/>
    <col min="2822" max="2823" width="16.85546875" style="216" bestFit="1" customWidth="1"/>
    <col min="2824" max="2825" width="14.5703125" style="216" customWidth="1"/>
    <col min="2826" max="3073" width="9.140625" style="216" bestFit="1" customWidth="1"/>
    <col min="3074" max="3074" width="11.85546875" style="216" customWidth="1"/>
    <col min="3075" max="3075" width="55.5703125" style="216" customWidth="1"/>
    <col min="3076" max="3077" width="14.5703125" style="216" customWidth="1"/>
    <col min="3078" max="3079" width="16.85546875" style="216" bestFit="1" customWidth="1"/>
    <col min="3080" max="3081" width="14.5703125" style="216" customWidth="1"/>
    <col min="3082" max="3329" width="9.140625" style="216" bestFit="1" customWidth="1"/>
    <col min="3330" max="3330" width="11.85546875" style="216" customWidth="1"/>
    <col min="3331" max="3331" width="55.5703125" style="216" customWidth="1"/>
    <col min="3332" max="3333" width="14.5703125" style="216" customWidth="1"/>
    <col min="3334" max="3335" width="16.85546875" style="216" bestFit="1" customWidth="1"/>
    <col min="3336" max="3337" width="14.5703125" style="216" customWidth="1"/>
    <col min="3338" max="3585" width="9.140625" style="216" bestFit="1" customWidth="1"/>
    <col min="3586" max="3586" width="11.85546875" style="216" customWidth="1"/>
    <col min="3587" max="3587" width="55.5703125" style="216" customWidth="1"/>
    <col min="3588" max="3589" width="14.5703125" style="216" customWidth="1"/>
    <col min="3590" max="3591" width="16.85546875" style="216" bestFit="1" customWidth="1"/>
    <col min="3592" max="3593" width="14.5703125" style="216" customWidth="1"/>
    <col min="3594" max="3841" width="9.140625" style="216" bestFit="1" customWidth="1"/>
    <col min="3842" max="3842" width="11.85546875" style="216" customWidth="1"/>
    <col min="3843" max="3843" width="55.5703125" style="216" customWidth="1"/>
    <col min="3844" max="3845" width="14.5703125" style="216" customWidth="1"/>
    <col min="3846" max="3847" width="16.85546875" style="216" bestFit="1" customWidth="1"/>
    <col min="3848" max="3849" width="14.5703125" style="216" customWidth="1"/>
    <col min="3850" max="4097" width="9.140625" style="216" bestFit="1" customWidth="1"/>
    <col min="4098" max="4098" width="11.85546875" style="216" customWidth="1"/>
    <col min="4099" max="4099" width="55.5703125" style="216" customWidth="1"/>
    <col min="4100" max="4101" width="14.5703125" style="216" customWidth="1"/>
    <col min="4102" max="4103" width="16.85546875" style="216" bestFit="1" customWidth="1"/>
    <col min="4104" max="4105" width="14.5703125" style="216" customWidth="1"/>
    <col min="4106" max="4353" width="9.140625" style="216" bestFit="1" customWidth="1"/>
    <col min="4354" max="4354" width="11.85546875" style="216" customWidth="1"/>
    <col min="4355" max="4355" width="55.5703125" style="216" customWidth="1"/>
    <col min="4356" max="4357" width="14.5703125" style="216" customWidth="1"/>
    <col min="4358" max="4359" width="16.85546875" style="216" bestFit="1" customWidth="1"/>
    <col min="4360" max="4361" width="14.5703125" style="216" customWidth="1"/>
    <col min="4362" max="4609" width="9.140625" style="216" bestFit="1" customWidth="1"/>
    <col min="4610" max="4610" width="11.85546875" style="216" customWidth="1"/>
    <col min="4611" max="4611" width="55.5703125" style="216" customWidth="1"/>
    <col min="4612" max="4613" width="14.5703125" style="216" customWidth="1"/>
    <col min="4614" max="4615" width="16.85546875" style="216" bestFit="1" customWidth="1"/>
    <col min="4616" max="4617" width="14.5703125" style="216" customWidth="1"/>
    <col min="4618" max="4865" width="9.140625" style="216" bestFit="1" customWidth="1"/>
    <col min="4866" max="4866" width="11.85546875" style="216" customWidth="1"/>
    <col min="4867" max="4867" width="55.5703125" style="216" customWidth="1"/>
    <col min="4868" max="4869" width="14.5703125" style="216" customWidth="1"/>
    <col min="4870" max="4871" width="16.85546875" style="216" bestFit="1" customWidth="1"/>
    <col min="4872" max="4873" width="14.5703125" style="216" customWidth="1"/>
    <col min="4874" max="5121" width="9.140625" style="216" bestFit="1" customWidth="1"/>
    <col min="5122" max="5122" width="11.85546875" style="216" customWidth="1"/>
    <col min="5123" max="5123" width="55.5703125" style="216" customWidth="1"/>
    <col min="5124" max="5125" width="14.5703125" style="216" customWidth="1"/>
    <col min="5126" max="5127" width="16.85546875" style="216" bestFit="1" customWidth="1"/>
    <col min="5128" max="5129" width="14.5703125" style="216" customWidth="1"/>
    <col min="5130" max="5377" width="9.140625" style="216" bestFit="1" customWidth="1"/>
    <col min="5378" max="5378" width="11.85546875" style="216" customWidth="1"/>
    <col min="5379" max="5379" width="55.5703125" style="216" customWidth="1"/>
    <col min="5380" max="5381" width="14.5703125" style="216" customWidth="1"/>
    <col min="5382" max="5383" width="16.85546875" style="216" bestFit="1" customWidth="1"/>
    <col min="5384" max="5385" width="14.5703125" style="216" customWidth="1"/>
    <col min="5386" max="5633" width="9.140625" style="216" bestFit="1" customWidth="1"/>
    <col min="5634" max="5634" width="11.85546875" style="216" customWidth="1"/>
    <col min="5635" max="5635" width="55.5703125" style="216" customWidth="1"/>
    <col min="5636" max="5637" width="14.5703125" style="216" customWidth="1"/>
    <col min="5638" max="5639" width="16.85546875" style="216" bestFit="1" customWidth="1"/>
    <col min="5640" max="5641" width="14.5703125" style="216" customWidth="1"/>
    <col min="5642" max="5889" width="9.140625" style="216" bestFit="1" customWidth="1"/>
    <col min="5890" max="5890" width="11.85546875" style="216" customWidth="1"/>
    <col min="5891" max="5891" width="55.5703125" style="216" customWidth="1"/>
    <col min="5892" max="5893" width="14.5703125" style="216" customWidth="1"/>
    <col min="5894" max="5895" width="16.85546875" style="216" bestFit="1" customWidth="1"/>
    <col min="5896" max="5897" width="14.5703125" style="216" customWidth="1"/>
    <col min="5898" max="6145" width="9.140625" style="216" bestFit="1" customWidth="1"/>
    <col min="6146" max="6146" width="11.85546875" style="216" customWidth="1"/>
    <col min="6147" max="6147" width="55.5703125" style="216" customWidth="1"/>
    <col min="6148" max="6149" width="14.5703125" style="216" customWidth="1"/>
    <col min="6150" max="6151" width="16.85546875" style="216" bestFit="1" customWidth="1"/>
    <col min="6152" max="6153" width="14.5703125" style="216" customWidth="1"/>
    <col min="6154" max="6401" width="9.140625" style="216" bestFit="1" customWidth="1"/>
    <col min="6402" max="6402" width="11.85546875" style="216" customWidth="1"/>
    <col min="6403" max="6403" width="55.5703125" style="216" customWidth="1"/>
    <col min="6404" max="6405" width="14.5703125" style="216" customWidth="1"/>
    <col min="6406" max="6407" width="16.85546875" style="216" bestFit="1" customWidth="1"/>
    <col min="6408" max="6409" width="14.5703125" style="216" customWidth="1"/>
    <col min="6410" max="6657" width="9.140625" style="216" bestFit="1" customWidth="1"/>
    <col min="6658" max="6658" width="11.85546875" style="216" customWidth="1"/>
    <col min="6659" max="6659" width="55.5703125" style="216" customWidth="1"/>
    <col min="6660" max="6661" width="14.5703125" style="216" customWidth="1"/>
    <col min="6662" max="6663" width="16.85546875" style="216" bestFit="1" customWidth="1"/>
    <col min="6664" max="6665" width="14.5703125" style="216" customWidth="1"/>
    <col min="6666" max="6913" width="9.140625" style="216" bestFit="1" customWidth="1"/>
    <col min="6914" max="6914" width="11.85546875" style="216" customWidth="1"/>
    <col min="6915" max="6915" width="55.5703125" style="216" customWidth="1"/>
    <col min="6916" max="6917" width="14.5703125" style="216" customWidth="1"/>
    <col min="6918" max="6919" width="16.85546875" style="216" bestFit="1" customWidth="1"/>
    <col min="6920" max="6921" width="14.5703125" style="216" customWidth="1"/>
    <col min="6922" max="7169" width="9.140625" style="216" bestFit="1" customWidth="1"/>
    <col min="7170" max="7170" width="11.85546875" style="216" customWidth="1"/>
    <col min="7171" max="7171" width="55.5703125" style="216" customWidth="1"/>
    <col min="7172" max="7173" width="14.5703125" style="216" customWidth="1"/>
    <col min="7174" max="7175" width="16.85546875" style="216" bestFit="1" customWidth="1"/>
    <col min="7176" max="7177" width="14.5703125" style="216" customWidth="1"/>
    <col min="7178" max="7425" width="9.140625" style="216" bestFit="1" customWidth="1"/>
    <col min="7426" max="7426" width="11.85546875" style="216" customWidth="1"/>
    <col min="7427" max="7427" width="55.5703125" style="216" customWidth="1"/>
    <col min="7428" max="7429" width="14.5703125" style="216" customWidth="1"/>
    <col min="7430" max="7431" width="16.85546875" style="216" bestFit="1" customWidth="1"/>
    <col min="7432" max="7433" width="14.5703125" style="216" customWidth="1"/>
    <col min="7434" max="7681" width="9.140625" style="216" bestFit="1" customWidth="1"/>
    <col min="7682" max="7682" width="11.85546875" style="216" customWidth="1"/>
    <col min="7683" max="7683" width="55.5703125" style="216" customWidth="1"/>
    <col min="7684" max="7685" width="14.5703125" style="216" customWidth="1"/>
    <col min="7686" max="7687" width="16.85546875" style="216" bestFit="1" customWidth="1"/>
    <col min="7688" max="7689" width="14.5703125" style="216" customWidth="1"/>
    <col min="7690" max="7937" width="9.140625" style="216" bestFit="1" customWidth="1"/>
    <col min="7938" max="7938" width="11.85546875" style="216" customWidth="1"/>
    <col min="7939" max="7939" width="55.5703125" style="216" customWidth="1"/>
    <col min="7940" max="7941" width="14.5703125" style="216" customWidth="1"/>
    <col min="7942" max="7943" width="16.85546875" style="216" bestFit="1" customWidth="1"/>
    <col min="7944" max="7945" width="14.5703125" style="216" customWidth="1"/>
    <col min="7946" max="8193" width="9.140625" style="216" bestFit="1" customWidth="1"/>
    <col min="8194" max="8194" width="11.85546875" style="216" customWidth="1"/>
    <col min="8195" max="8195" width="55.5703125" style="216" customWidth="1"/>
    <col min="8196" max="8197" width="14.5703125" style="216" customWidth="1"/>
    <col min="8198" max="8199" width="16.85546875" style="216" bestFit="1" customWidth="1"/>
    <col min="8200" max="8201" width="14.5703125" style="216" customWidth="1"/>
    <col min="8202" max="8449" width="9.140625" style="216" bestFit="1" customWidth="1"/>
    <col min="8450" max="8450" width="11.85546875" style="216" customWidth="1"/>
    <col min="8451" max="8451" width="55.5703125" style="216" customWidth="1"/>
    <col min="8452" max="8453" width="14.5703125" style="216" customWidth="1"/>
    <col min="8454" max="8455" width="16.85546875" style="216" bestFit="1" customWidth="1"/>
    <col min="8456" max="8457" width="14.5703125" style="216" customWidth="1"/>
    <col min="8458" max="8705" width="9.140625" style="216" bestFit="1" customWidth="1"/>
    <col min="8706" max="8706" width="11.85546875" style="216" customWidth="1"/>
    <col min="8707" max="8707" width="55.5703125" style="216" customWidth="1"/>
    <col min="8708" max="8709" width="14.5703125" style="216" customWidth="1"/>
    <col min="8710" max="8711" width="16.85546875" style="216" bestFit="1" customWidth="1"/>
    <col min="8712" max="8713" width="14.5703125" style="216" customWidth="1"/>
    <col min="8714" max="8961" width="9.140625" style="216" bestFit="1" customWidth="1"/>
    <col min="8962" max="8962" width="11.85546875" style="216" customWidth="1"/>
    <col min="8963" max="8963" width="55.5703125" style="216" customWidth="1"/>
    <col min="8964" max="8965" width="14.5703125" style="216" customWidth="1"/>
    <col min="8966" max="8967" width="16.85546875" style="216" bestFit="1" customWidth="1"/>
    <col min="8968" max="8969" width="14.5703125" style="216" customWidth="1"/>
    <col min="8970" max="9217" width="9.140625" style="216" bestFit="1" customWidth="1"/>
    <col min="9218" max="9218" width="11.85546875" style="216" customWidth="1"/>
    <col min="9219" max="9219" width="55.5703125" style="216" customWidth="1"/>
    <col min="9220" max="9221" width="14.5703125" style="216" customWidth="1"/>
    <col min="9222" max="9223" width="16.85546875" style="216" bestFit="1" customWidth="1"/>
    <col min="9224" max="9225" width="14.5703125" style="216" customWidth="1"/>
    <col min="9226" max="9473" width="9.140625" style="216" bestFit="1" customWidth="1"/>
    <col min="9474" max="9474" width="11.85546875" style="216" customWidth="1"/>
    <col min="9475" max="9475" width="55.5703125" style="216" customWidth="1"/>
    <col min="9476" max="9477" width="14.5703125" style="216" customWidth="1"/>
    <col min="9478" max="9479" width="16.85546875" style="216" bestFit="1" customWidth="1"/>
    <col min="9480" max="9481" width="14.5703125" style="216" customWidth="1"/>
    <col min="9482" max="9729" width="9.140625" style="216" bestFit="1" customWidth="1"/>
    <col min="9730" max="9730" width="11.85546875" style="216" customWidth="1"/>
    <col min="9731" max="9731" width="55.5703125" style="216" customWidth="1"/>
    <col min="9732" max="9733" width="14.5703125" style="216" customWidth="1"/>
    <col min="9734" max="9735" width="16.85546875" style="216" bestFit="1" customWidth="1"/>
    <col min="9736" max="9737" width="14.5703125" style="216" customWidth="1"/>
    <col min="9738" max="9985" width="9.140625" style="216" bestFit="1" customWidth="1"/>
    <col min="9986" max="9986" width="11.85546875" style="216" customWidth="1"/>
    <col min="9987" max="9987" width="55.5703125" style="216" customWidth="1"/>
    <col min="9988" max="9989" width="14.5703125" style="216" customWidth="1"/>
    <col min="9990" max="9991" width="16.85546875" style="216" bestFit="1" customWidth="1"/>
    <col min="9992" max="9993" width="14.5703125" style="216" customWidth="1"/>
    <col min="9994" max="10241" width="9.140625" style="216" bestFit="1" customWidth="1"/>
    <col min="10242" max="10242" width="11.85546875" style="216" customWidth="1"/>
    <col min="10243" max="10243" width="55.5703125" style="216" customWidth="1"/>
    <col min="10244" max="10245" width="14.5703125" style="216" customWidth="1"/>
    <col min="10246" max="10247" width="16.85546875" style="216" bestFit="1" customWidth="1"/>
    <col min="10248" max="10249" width="14.5703125" style="216" customWidth="1"/>
    <col min="10250" max="10497" width="9.140625" style="216" bestFit="1" customWidth="1"/>
    <col min="10498" max="10498" width="11.85546875" style="216" customWidth="1"/>
    <col min="10499" max="10499" width="55.5703125" style="216" customWidth="1"/>
    <col min="10500" max="10501" width="14.5703125" style="216" customWidth="1"/>
    <col min="10502" max="10503" width="16.85546875" style="216" bestFit="1" customWidth="1"/>
    <col min="10504" max="10505" width="14.5703125" style="216" customWidth="1"/>
    <col min="10506" max="10753" width="9.140625" style="216" bestFit="1" customWidth="1"/>
    <col min="10754" max="10754" width="11.85546875" style="216" customWidth="1"/>
    <col min="10755" max="10755" width="55.5703125" style="216" customWidth="1"/>
    <col min="10756" max="10757" width="14.5703125" style="216" customWidth="1"/>
    <col min="10758" max="10759" width="16.85546875" style="216" bestFit="1" customWidth="1"/>
    <col min="10760" max="10761" width="14.5703125" style="216" customWidth="1"/>
    <col min="10762" max="11009" width="9.140625" style="216" bestFit="1" customWidth="1"/>
    <col min="11010" max="11010" width="11.85546875" style="216" customWidth="1"/>
    <col min="11011" max="11011" width="55.5703125" style="216" customWidth="1"/>
    <col min="11012" max="11013" width="14.5703125" style="216" customWidth="1"/>
    <col min="11014" max="11015" width="16.85546875" style="216" bestFit="1" customWidth="1"/>
    <col min="11016" max="11017" width="14.5703125" style="216" customWidth="1"/>
    <col min="11018" max="11265" width="9.140625" style="216" bestFit="1" customWidth="1"/>
    <col min="11266" max="11266" width="11.85546875" style="216" customWidth="1"/>
    <col min="11267" max="11267" width="55.5703125" style="216" customWidth="1"/>
    <col min="11268" max="11269" width="14.5703125" style="216" customWidth="1"/>
    <col min="11270" max="11271" width="16.85546875" style="216" bestFit="1" customWidth="1"/>
    <col min="11272" max="11273" width="14.5703125" style="216" customWidth="1"/>
    <col min="11274" max="11521" width="9.140625" style="216" bestFit="1" customWidth="1"/>
    <col min="11522" max="11522" width="11.85546875" style="216" customWidth="1"/>
    <col min="11523" max="11523" width="55.5703125" style="216" customWidth="1"/>
    <col min="11524" max="11525" width="14.5703125" style="216" customWidth="1"/>
    <col min="11526" max="11527" width="16.85546875" style="216" bestFit="1" customWidth="1"/>
    <col min="11528" max="11529" width="14.5703125" style="216" customWidth="1"/>
    <col min="11530" max="11777" width="9.140625" style="216" bestFit="1" customWidth="1"/>
    <col min="11778" max="11778" width="11.85546875" style="216" customWidth="1"/>
    <col min="11779" max="11779" width="55.5703125" style="216" customWidth="1"/>
    <col min="11780" max="11781" width="14.5703125" style="216" customWidth="1"/>
    <col min="11782" max="11783" width="16.85546875" style="216" bestFit="1" customWidth="1"/>
    <col min="11784" max="11785" width="14.5703125" style="216" customWidth="1"/>
    <col min="11786" max="12033" width="9.140625" style="216" bestFit="1" customWidth="1"/>
    <col min="12034" max="12034" width="11.85546875" style="216" customWidth="1"/>
    <col min="12035" max="12035" width="55.5703125" style="216" customWidth="1"/>
    <col min="12036" max="12037" width="14.5703125" style="216" customWidth="1"/>
    <col min="12038" max="12039" width="16.85546875" style="216" bestFit="1" customWidth="1"/>
    <col min="12040" max="12041" width="14.5703125" style="216" customWidth="1"/>
    <col min="12042" max="12289" width="9.140625" style="216" bestFit="1" customWidth="1"/>
    <col min="12290" max="12290" width="11.85546875" style="216" customWidth="1"/>
    <col min="12291" max="12291" width="55.5703125" style="216" customWidth="1"/>
    <col min="12292" max="12293" width="14.5703125" style="216" customWidth="1"/>
    <col min="12294" max="12295" width="16.85546875" style="216" bestFit="1" customWidth="1"/>
    <col min="12296" max="12297" width="14.5703125" style="216" customWidth="1"/>
    <col min="12298" max="12545" width="9.140625" style="216" bestFit="1" customWidth="1"/>
    <col min="12546" max="12546" width="11.85546875" style="216" customWidth="1"/>
    <col min="12547" max="12547" width="55.5703125" style="216" customWidth="1"/>
    <col min="12548" max="12549" width="14.5703125" style="216" customWidth="1"/>
    <col min="12550" max="12551" width="16.85546875" style="216" bestFit="1" customWidth="1"/>
    <col min="12552" max="12553" width="14.5703125" style="216" customWidth="1"/>
    <col min="12554" max="12801" width="9.140625" style="216" bestFit="1" customWidth="1"/>
    <col min="12802" max="12802" width="11.85546875" style="216" customWidth="1"/>
    <col min="12803" max="12803" width="55.5703125" style="216" customWidth="1"/>
    <col min="12804" max="12805" width="14.5703125" style="216" customWidth="1"/>
    <col min="12806" max="12807" width="16.85546875" style="216" bestFit="1" customWidth="1"/>
    <col min="12808" max="12809" width="14.5703125" style="216" customWidth="1"/>
    <col min="12810" max="13057" width="9.140625" style="216" bestFit="1" customWidth="1"/>
    <col min="13058" max="13058" width="11.85546875" style="216" customWidth="1"/>
    <col min="13059" max="13059" width="55.5703125" style="216" customWidth="1"/>
    <col min="13060" max="13061" width="14.5703125" style="216" customWidth="1"/>
    <col min="13062" max="13063" width="16.85546875" style="216" bestFit="1" customWidth="1"/>
    <col min="13064" max="13065" width="14.5703125" style="216" customWidth="1"/>
    <col min="13066" max="13313" width="9.140625" style="216" bestFit="1" customWidth="1"/>
    <col min="13314" max="13314" width="11.85546875" style="216" customWidth="1"/>
    <col min="13315" max="13315" width="55.5703125" style="216" customWidth="1"/>
    <col min="13316" max="13317" width="14.5703125" style="216" customWidth="1"/>
    <col min="13318" max="13319" width="16.85546875" style="216" bestFit="1" customWidth="1"/>
    <col min="13320" max="13321" width="14.5703125" style="216" customWidth="1"/>
    <col min="13322" max="13569" width="9.140625" style="216" bestFit="1" customWidth="1"/>
    <col min="13570" max="13570" width="11.85546875" style="216" customWidth="1"/>
    <col min="13571" max="13571" width="55.5703125" style="216" customWidth="1"/>
    <col min="13572" max="13573" width="14.5703125" style="216" customWidth="1"/>
    <col min="13574" max="13575" width="16.85546875" style="216" bestFit="1" customWidth="1"/>
    <col min="13576" max="13577" width="14.5703125" style="216" customWidth="1"/>
    <col min="13578" max="13825" width="9.140625" style="216" bestFit="1" customWidth="1"/>
    <col min="13826" max="13826" width="11.85546875" style="216" customWidth="1"/>
    <col min="13827" max="13827" width="55.5703125" style="216" customWidth="1"/>
    <col min="13828" max="13829" width="14.5703125" style="216" customWidth="1"/>
    <col min="13830" max="13831" width="16.85546875" style="216" bestFit="1" customWidth="1"/>
    <col min="13832" max="13833" width="14.5703125" style="216" customWidth="1"/>
    <col min="13834" max="14081" width="9.140625" style="216" bestFit="1" customWidth="1"/>
    <col min="14082" max="14082" width="11.85546875" style="216" customWidth="1"/>
    <col min="14083" max="14083" width="55.5703125" style="216" customWidth="1"/>
    <col min="14084" max="14085" width="14.5703125" style="216" customWidth="1"/>
    <col min="14086" max="14087" width="16.85546875" style="216" bestFit="1" customWidth="1"/>
    <col min="14088" max="14089" width="14.5703125" style="216" customWidth="1"/>
    <col min="14090" max="14337" width="9.140625" style="216" bestFit="1" customWidth="1"/>
    <col min="14338" max="14338" width="11.85546875" style="216" customWidth="1"/>
    <col min="14339" max="14339" width="55.5703125" style="216" customWidth="1"/>
    <col min="14340" max="14341" width="14.5703125" style="216" customWidth="1"/>
    <col min="14342" max="14343" width="16.85546875" style="216" bestFit="1" customWidth="1"/>
    <col min="14344" max="14345" width="14.5703125" style="216" customWidth="1"/>
    <col min="14346" max="14593" width="9.140625" style="216" bestFit="1" customWidth="1"/>
    <col min="14594" max="14594" width="11.85546875" style="216" customWidth="1"/>
    <col min="14595" max="14595" width="55.5703125" style="216" customWidth="1"/>
    <col min="14596" max="14597" width="14.5703125" style="216" customWidth="1"/>
    <col min="14598" max="14599" width="16.85546875" style="216" bestFit="1" customWidth="1"/>
    <col min="14600" max="14601" width="14.5703125" style="216" customWidth="1"/>
    <col min="14602" max="14849" width="9.140625" style="216" bestFit="1" customWidth="1"/>
    <col min="14850" max="14850" width="11.85546875" style="216" customWidth="1"/>
    <col min="14851" max="14851" width="55.5703125" style="216" customWidth="1"/>
    <col min="14852" max="14853" width="14.5703125" style="216" customWidth="1"/>
    <col min="14854" max="14855" width="16.85546875" style="216" bestFit="1" customWidth="1"/>
    <col min="14856" max="14857" width="14.5703125" style="216" customWidth="1"/>
    <col min="14858" max="15105" width="9.140625" style="216" bestFit="1" customWidth="1"/>
    <col min="15106" max="15106" width="11.85546875" style="216" customWidth="1"/>
    <col min="15107" max="15107" width="55.5703125" style="216" customWidth="1"/>
    <col min="15108" max="15109" width="14.5703125" style="216" customWidth="1"/>
    <col min="15110" max="15111" width="16.85546875" style="216" bestFit="1" customWidth="1"/>
    <col min="15112" max="15113" width="14.5703125" style="216" customWidth="1"/>
    <col min="15114" max="15361" width="9.140625" style="216" bestFit="1" customWidth="1"/>
    <col min="15362" max="15362" width="11.85546875" style="216" customWidth="1"/>
    <col min="15363" max="15363" width="55.5703125" style="216" customWidth="1"/>
    <col min="15364" max="15365" width="14.5703125" style="216" customWidth="1"/>
    <col min="15366" max="15367" width="16.85546875" style="216" bestFit="1" customWidth="1"/>
    <col min="15368" max="15369" width="14.5703125" style="216" customWidth="1"/>
    <col min="15370" max="15617" width="9.140625" style="216" bestFit="1" customWidth="1"/>
    <col min="15618" max="15618" width="11.85546875" style="216" customWidth="1"/>
    <col min="15619" max="15619" width="55.5703125" style="216" customWidth="1"/>
    <col min="15620" max="15621" width="14.5703125" style="216" customWidth="1"/>
    <col min="15622" max="15623" width="16.85546875" style="216" bestFit="1" customWidth="1"/>
    <col min="15624" max="15625" width="14.5703125" style="216" customWidth="1"/>
    <col min="15626" max="15873" width="9.140625" style="216" bestFit="1" customWidth="1"/>
    <col min="15874" max="15874" width="11.85546875" style="216" customWidth="1"/>
    <col min="15875" max="15875" width="55.5703125" style="216" customWidth="1"/>
    <col min="15876" max="15877" width="14.5703125" style="216" customWidth="1"/>
    <col min="15878" max="15879" width="16.85546875" style="216" bestFit="1" customWidth="1"/>
    <col min="15880" max="15881" width="14.5703125" style="216" customWidth="1"/>
    <col min="15882" max="16129" width="9.140625" style="216" bestFit="1" customWidth="1"/>
    <col min="16130" max="16130" width="11.85546875" style="216" customWidth="1"/>
    <col min="16131" max="16131" width="55.5703125" style="216" customWidth="1"/>
    <col min="16132" max="16133" width="14.5703125" style="216" customWidth="1"/>
    <col min="16134" max="16135" width="16.85546875" style="216" bestFit="1" customWidth="1"/>
    <col min="16136" max="16137" width="14.5703125" style="216" customWidth="1"/>
    <col min="16138" max="16383" width="9.140625" style="216" bestFit="1" customWidth="1"/>
    <col min="16384" max="16384" width="9.140625" style="216" customWidth="1"/>
  </cols>
  <sheetData>
    <row r="1" spans="1:15">
      <c r="A1" s="218"/>
      <c r="B1" s="218"/>
      <c r="C1" s="218"/>
      <c r="D1" s="218"/>
    </row>
    <row r="2" spans="1:15" ht="18.75">
      <c r="A2" s="219"/>
      <c r="B2" s="219"/>
      <c r="C2" s="219"/>
    </row>
    <row r="3" spans="1:15">
      <c r="A3" s="220"/>
      <c r="B3" s="220"/>
      <c r="C3" s="220"/>
      <c r="L3" s="221" t="s">
        <v>1292</v>
      </c>
    </row>
    <row r="4" spans="1:15">
      <c r="A4" s="222"/>
      <c r="B4" s="222"/>
      <c r="C4" s="222"/>
      <c r="D4" s="222"/>
      <c r="G4" s="223"/>
    </row>
    <row r="5" spans="1:15" ht="14.85" customHeight="1">
      <c r="A5" s="1609" t="s">
        <v>1293</v>
      </c>
      <c r="B5" s="1610"/>
      <c r="C5" s="1610"/>
      <c r="D5" s="1611" t="s">
        <v>1294</v>
      </c>
      <c r="E5" s="1656" t="s">
        <v>1295</v>
      </c>
      <c r="F5" s="1656"/>
      <c r="G5" s="1656" t="s">
        <v>1296</v>
      </c>
      <c r="H5" s="1656"/>
      <c r="I5" s="1656" t="s">
        <v>1297</v>
      </c>
      <c r="J5" s="1657"/>
      <c r="L5" s="216" t="s">
        <v>764</v>
      </c>
      <c r="M5" s="216" t="s">
        <v>1298</v>
      </c>
      <c r="N5" s="216" t="s">
        <v>1299</v>
      </c>
      <c r="O5" s="216" t="s">
        <v>520</v>
      </c>
    </row>
    <row r="6" spans="1:15">
      <c r="A6" s="636"/>
      <c r="B6" s="635"/>
      <c r="C6" s="635"/>
      <c r="D6" s="635"/>
      <c r="E6" s="224" t="s">
        <v>11</v>
      </c>
      <c r="F6" s="224" t="s">
        <v>12</v>
      </c>
      <c r="G6" s="224" t="s">
        <v>11</v>
      </c>
      <c r="H6" s="224" t="s">
        <v>12</v>
      </c>
      <c r="I6" s="224" t="s">
        <v>11</v>
      </c>
      <c r="J6" s="225" t="s">
        <v>12</v>
      </c>
    </row>
    <row r="7" spans="1:15">
      <c r="A7" s="226" t="s">
        <v>1300</v>
      </c>
      <c r="B7" s="227"/>
      <c r="C7" s="227"/>
      <c r="D7" s="227" t="s">
        <v>1301</v>
      </c>
      <c r="E7" s="227">
        <v>1</v>
      </c>
      <c r="F7" s="227">
        <v>2</v>
      </c>
      <c r="G7" s="227">
        <v>3</v>
      </c>
      <c r="H7" s="227">
        <v>4</v>
      </c>
      <c r="I7" s="227">
        <v>5</v>
      </c>
      <c r="J7" s="228">
        <v>6</v>
      </c>
    </row>
    <row r="8" spans="1:15">
      <c r="A8" s="627" t="s">
        <v>17</v>
      </c>
      <c r="B8" s="1471"/>
      <c r="C8" s="1471"/>
      <c r="D8" s="628" t="s">
        <v>1302</v>
      </c>
      <c r="E8" s="1296">
        <v>7774817431</v>
      </c>
      <c r="F8" s="1296">
        <v>0</v>
      </c>
      <c r="G8" s="1296">
        <v>1576662939439</v>
      </c>
      <c r="H8" s="1296">
        <v>1566281923564</v>
      </c>
      <c r="I8" s="1296">
        <v>18155833306</v>
      </c>
      <c r="J8" s="1297">
        <v>0</v>
      </c>
      <c r="L8" s="229" t="str">
        <f t="shared" ref="L8:L15" si="0">LEFT(A8,1)</f>
        <v>1</v>
      </c>
      <c r="M8" s="230">
        <f t="shared" ref="M8:M82" si="1">IF(AND(L8&lt;="4",L8&gt;"0"),I8-J8,IF(OR(L8="6",L8="8"),-H8,G8))</f>
        <v>18155833306</v>
      </c>
      <c r="O8" s="216">
        <f>LEN(A8)</f>
        <v>3</v>
      </c>
    </row>
    <row r="9" spans="1:15">
      <c r="A9" s="627" t="s">
        <v>19</v>
      </c>
      <c r="B9" s="1471"/>
      <c r="C9" s="1471"/>
      <c r="D9" s="628" t="s">
        <v>1303</v>
      </c>
      <c r="E9" s="1296">
        <v>7774817431</v>
      </c>
      <c r="F9" s="1296">
        <v>0</v>
      </c>
      <c r="G9" s="1296">
        <v>1576662939439</v>
      </c>
      <c r="H9" s="1296">
        <v>1566281923564</v>
      </c>
      <c r="I9" s="1296">
        <v>18155833306</v>
      </c>
      <c r="J9" s="1297">
        <v>0</v>
      </c>
      <c r="L9" s="229" t="str">
        <f t="shared" si="0"/>
        <v>1</v>
      </c>
      <c r="M9" s="230">
        <f t="shared" si="1"/>
        <v>18155833306</v>
      </c>
      <c r="N9" s="265" t="s">
        <v>19</v>
      </c>
      <c r="O9" s="216">
        <f t="shared" ref="O9:O72" si="2">LEN(A9)</f>
        <v>4</v>
      </c>
    </row>
    <row r="10" spans="1:15">
      <c r="A10" s="627" t="s">
        <v>1304</v>
      </c>
      <c r="B10" s="1471"/>
      <c r="C10" s="1471"/>
      <c r="D10" s="628" t="s">
        <v>1305</v>
      </c>
      <c r="E10" s="1296">
        <v>80258142</v>
      </c>
      <c r="F10" s="1296">
        <v>0</v>
      </c>
      <c r="G10" s="1296">
        <v>248221133321</v>
      </c>
      <c r="H10" s="1296">
        <v>248201262870</v>
      </c>
      <c r="I10" s="1296">
        <v>100128593</v>
      </c>
      <c r="J10" s="1297">
        <v>0</v>
      </c>
      <c r="L10" s="229" t="str">
        <f t="shared" si="0"/>
        <v>1</v>
      </c>
      <c r="M10" s="230">
        <f t="shared" si="1"/>
        <v>100128593</v>
      </c>
      <c r="O10" s="216">
        <f t="shared" si="2"/>
        <v>6</v>
      </c>
    </row>
    <row r="11" spans="1:15">
      <c r="A11" s="629" t="s">
        <v>1306</v>
      </c>
      <c r="B11" s="1472"/>
      <c r="C11" s="1472"/>
      <c r="D11" s="630" t="s">
        <v>1307</v>
      </c>
      <c r="E11" s="639">
        <v>69492747</v>
      </c>
      <c r="F11" s="639">
        <v>0</v>
      </c>
      <c r="G11" s="639">
        <v>385998618</v>
      </c>
      <c r="H11" s="639">
        <v>431460000</v>
      </c>
      <c r="I11" s="639">
        <v>24031365</v>
      </c>
      <c r="J11" s="1292">
        <v>0</v>
      </c>
      <c r="L11" s="229" t="str">
        <f t="shared" si="0"/>
        <v>1</v>
      </c>
      <c r="M11" s="230">
        <f t="shared" si="1"/>
        <v>24031365</v>
      </c>
      <c r="O11" s="216">
        <f t="shared" si="2"/>
        <v>8</v>
      </c>
    </row>
    <row r="12" spans="1:15">
      <c r="A12" s="629" t="s">
        <v>1308</v>
      </c>
      <c r="B12" s="1472"/>
      <c r="C12" s="1472"/>
      <c r="D12" s="630" t="s">
        <v>1309</v>
      </c>
      <c r="E12" s="639">
        <v>2694967</v>
      </c>
      <c r="F12" s="639">
        <v>0</v>
      </c>
      <c r="G12" s="639">
        <v>5266</v>
      </c>
      <c r="H12" s="639">
        <v>660000</v>
      </c>
      <c r="I12" s="639">
        <v>2040233</v>
      </c>
      <c r="J12" s="1292">
        <v>0</v>
      </c>
      <c r="L12" s="229" t="str">
        <f t="shared" si="0"/>
        <v>1</v>
      </c>
      <c r="M12" s="230">
        <f t="shared" si="1"/>
        <v>2040233</v>
      </c>
      <c r="N12" s="265"/>
      <c r="O12" s="216">
        <f t="shared" si="2"/>
        <v>8</v>
      </c>
    </row>
    <row r="13" spans="1:15">
      <c r="A13" s="629" t="s">
        <v>1310</v>
      </c>
      <c r="B13" s="1472"/>
      <c r="C13" s="1472"/>
      <c r="D13" s="630" t="s">
        <v>1311</v>
      </c>
      <c r="E13" s="639">
        <v>8070428</v>
      </c>
      <c r="F13" s="639">
        <v>0</v>
      </c>
      <c r="G13" s="639">
        <v>50829945</v>
      </c>
      <c r="H13" s="639">
        <v>50718972</v>
      </c>
      <c r="I13" s="639">
        <v>8181401</v>
      </c>
      <c r="J13" s="1292">
        <v>0</v>
      </c>
      <c r="L13" s="229" t="str">
        <f t="shared" si="0"/>
        <v>1</v>
      </c>
      <c r="M13" s="230">
        <f t="shared" si="1"/>
        <v>8181401</v>
      </c>
      <c r="O13" s="216">
        <f t="shared" si="2"/>
        <v>8</v>
      </c>
    </row>
    <row r="14" spans="1:15">
      <c r="A14" s="629" t="s">
        <v>1312</v>
      </c>
      <c r="B14" s="1472"/>
      <c r="C14" s="1472"/>
      <c r="D14" s="630" t="s">
        <v>1313</v>
      </c>
      <c r="E14" s="639">
        <v>0</v>
      </c>
      <c r="F14" s="639">
        <v>0</v>
      </c>
      <c r="G14" s="639">
        <v>7011674</v>
      </c>
      <c r="H14" s="639">
        <v>550000</v>
      </c>
      <c r="I14" s="639">
        <v>6461674</v>
      </c>
      <c r="J14" s="1292">
        <v>0</v>
      </c>
      <c r="L14" s="229" t="str">
        <f t="shared" si="0"/>
        <v>1</v>
      </c>
      <c r="M14" s="230">
        <f t="shared" si="1"/>
        <v>6461674</v>
      </c>
      <c r="O14" s="216">
        <f t="shared" si="2"/>
        <v>8</v>
      </c>
    </row>
    <row r="15" spans="1:15">
      <c r="A15" s="629" t="s">
        <v>1314</v>
      </c>
      <c r="B15" s="1472"/>
      <c r="C15" s="1472"/>
      <c r="D15" s="630" t="s">
        <v>1315</v>
      </c>
      <c r="E15" s="639">
        <v>0</v>
      </c>
      <c r="F15" s="639">
        <v>0</v>
      </c>
      <c r="G15" s="639">
        <v>50823051522</v>
      </c>
      <c r="H15" s="639">
        <v>50763637602</v>
      </c>
      <c r="I15" s="639">
        <v>59413920</v>
      </c>
      <c r="J15" s="1292">
        <v>0</v>
      </c>
      <c r="L15" s="229" t="str">
        <f t="shared" si="0"/>
        <v>1</v>
      </c>
      <c r="M15" s="230">
        <f t="shared" si="1"/>
        <v>59413920</v>
      </c>
      <c r="O15" s="216">
        <f t="shared" si="2"/>
        <v>8</v>
      </c>
    </row>
    <row r="16" spans="1:15" ht="25.5">
      <c r="A16" s="1291" t="s">
        <v>1316</v>
      </c>
      <c r="B16" s="252"/>
      <c r="C16" s="252"/>
      <c r="D16" s="637" t="s">
        <v>1317</v>
      </c>
      <c r="E16" s="639">
        <v>0</v>
      </c>
      <c r="F16" s="639">
        <v>0</v>
      </c>
      <c r="G16" s="639">
        <v>196954236296</v>
      </c>
      <c r="H16" s="639">
        <v>196954236296</v>
      </c>
      <c r="I16" s="639">
        <v>0</v>
      </c>
      <c r="J16" s="1292">
        <v>0</v>
      </c>
      <c r="L16" s="229"/>
      <c r="M16" s="230"/>
      <c r="O16" s="216">
        <f t="shared" si="2"/>
        <v>8</v>
      </c>
    </row>
    <row r="17" spans="1:15">
      <c r="A17" s="627" t="s">
        <v>1318</v>
      </c>
      <c r="B17" s="1471"/>
      <c r="C17" s="1471"/>
      <c r="D17" s="628" t="s">
        <v>1319</v>
      </c>
      <c r="E17" s="1296">
        <v>2584527045</v>
      </c>
      <c r="F17" s="1296">
        <v>0</v>
      </c>
      <c r="G17" s="1296">
        <v>502364695626</v>
      </c>
      <c r="H17" s="1296">
        <v>499596968631</v>
      </c>
      <c r="I17" s="1296">
        <v>5352254040</v>
      </c>
      <c r="J17" s="1297">
        <v>0</v>
      </c>
      <c r="L17" s="229" t="str">
        <f t="shared" ref="L17:L43" si="3">LEFT(A17,1)</f>
        <v>1</v>
      </c>
      <c r="M17" s="230">
        <f t="shared" si="1"/>
        <v>5352254040</v>
      </c>
      <c r="N17" s="265"/>
      <c r="O17" s="216">
        <f t="shared" si="2"/>
        <v>6</v>
      </c>
    </row>
    <row r="18" spans="1:15">
      <c r="A18" s="629" t="s">
        <v>1320</v>
      </c>
      <c r="B18" s="1472"/>
      <c r="C18" s="1472"/>
      <c r="D18" s="630" t="s">
        <v>1321</v>
      </c>
      <c r="E18" s="639">
        <v>2530406747</v>
      </c>
      <c r="F18" s="639">
        <v>0</v>
      </c>
      <c r="G18" s="639">
        <v>477513245318</v>
      </c>
      <c r="H18" s="639">
        <v>474778902027</v>
      </c>
      <c r="I18" s="639">
        <v>5264750038</v>
      </c>
      <c r="J18" s="1292">
        <v>0</v>
      </c>
      <c r="L18" s="229" t="str">
        <f t="shared" si="3"/>
        <v>1</v>
      </c>
      <c r="M18" s="230">
        <f t="shared" si="1"/>
        <v>5264750038</v>
      </c>
      <c r="O18" s="216">
        <f t="shared" si="2"/>
        <v>8</v>
      </c>
    </row>
    <row r="19" spans="1:15">
      <c r="A19" s="629" t="s">
        <v>1322</v>
      </c>
      <c r="B19" s="1472"/>
      <c r="C19" s="1472"/>
      <c r="D19" s="630" t="s">
        <v>1323</v>
      </c>
      <c r="E19" s="639">
        <v>54120298</v>
      </c>
      <c r="F19" s="639">
        <v>0</v>
      </c>
      <c r="G19" s="639">
        <v>24851450308</v>
      </c>
      <c r="H19" s="639">
        <v>24818066604</v>
      </c>
      <c r="I19" s="639">
        <v>87504002</v>
      </c>
      <c r="J19" s="1292">
        <v>0</v>
      </c>
      <c r="L19" s="229" t="str">
        <f t="shared" si="3"/>
        <v>1</v>
      </c>
      <c r="M19" s="230">
        <f t="shared" si="1"/>
        <v>87504002</v>
      </c>
      <c r="O19" s="216">
        <f t="shared" si="2"/>
        <v>8</v>
      </c>
    </row>
    <row r="20" spans="1:15">
      <c r="A20" s="627" t="s">
        <v>1324</v>
      </c>
      <c r="B20" s="1471"/>
      <c r="C20" s="1471"/>
      <c r="D20" s="628" t="s">
        <v>1325</v>
      </c>
      <c r="E20" s="1296">
        <v>58121846</v>
      </c>
      <c r="F20" s="1296">
        <v>0</v>
      </c>
      <c r="G20" s="1296">
        <v>29099</v>
      </c>
      <c r="H20" s="1296">
        <v>105000</v>
      </c>
      <c r="I20" s="1296">
        <v>58045945</v>
      </c>
      <c r="J20" s="1297">
        <v>0</v>
      </c>
      <c r="L20" s="229" t="str">
        <f t="shared" si="3"/>
        <v>1</v>
      </c>
      <c r="M20" s="230">
        <f t="shared" si="1"/>
        <v>58045945</v>
      </c>
      <c r="N20" s="265"/>
      <c r="O20" s="216">
        <f t="shared" si="2"/>
        <v>6</v>
      </c>
    </row>
    <row r="21" spans="1:15">
      <c r="A21" s="629" t="s">
        <v>1326</v>
      </c>
      <c r="B21" s="1472"/>
      <c r="C21" s="1472"/>
      <c r="D21" s="630" t="s">
        <v>1327</v>
      </c>
      <c r="E21" s="639">
        <v>58121846</v>
      </c>
      <c r="F21" s="639">
        <v>0</v>
      </c>
      <c r="G21" s="639">
        <v>29099</v>
      </c>
      <c r="H21" s="639">
        <v>105000</v>
      </c>
      <c r="I21" s="639">
        <v>58045945</v>
      </c>
      <c r="J21" s="1292">
        <v>0</v>
      </c>
      <c r="L21" s="229" t="str">
        <f t="shared" si="3"/>
        <v>1</v>
      </c>
      <c r="M21" s="230">
        <f t="shared" si="1"/>
        <v>58045945</v>
      </c>
      <c r="O21" s="216">
        <f t="shared" si="2"/>
        <v>8</v>
      </c>
    </row>
    <row r="22" spans="1:15">
      <c r="A22" s="627" t="s">
        <v>1328</v>
      </c>
      <c r="B22" s="1471"/>
      <c r="C22" s="1471"/>
      <c r="D22" s="628" t="s">
        <v>1329</v>
      </c>
      <c r="E22" s="1296">
        <v>6036022</v>
      </c>
      <c r="F22" s="1296">
        <v>0</v>
      </c>
      <c r="G22" s="1296">
        <v>5930</v>
      </c>
      <c r="H22" s="1296">
        <v>220000</v>
      </c>
      <c r="I22" s="1296">
        <v>5821952</v>
      </c>
      <c r="J22" s="1297">
        <v>0</v>
      </c>
      <c r="L22" s="229" t="str">
        <f t="shared" si="3"/>
        <v>1</v>
      </c>
      <c r="M22" s="230">
        <f t="shared" si="1"/>
        <v>5821952</v>
      </c>
      <c r="N22" s="265"/>
      <c r="O22" s="216">
        <f t="shared" si="2"/>
        <v>6</v>
      </c>
    </row>
    <row r="23" spans="1:15">
      <c r="A23" s="629" t="s">
        <v>1330</v>
      </c>
      <c r="B23" s="1472"/>
      <c r="C23" s="1472"/>
      <c r="D23" s="630" t="s">
        <v>1331</v>
      </c>
      <c r="E23" s="639">
        <v>6036022</v>
      </c>
      <c r="F23" s="639">
        <v>0</v>
      </c>
      <c r="G23" s="639">
        <v>5930</v>
      </c>
      <c r="H23" s="639">
        <v>220000</v>
      </c>
      <c r="I23" s="639">
        <v>5821952</v>
      </c>
      <c r="J23" s="1292">
        <v>0</v>
      </c>
      <c r="L23" s="229" t="str">
        <f t="shared" si="3"/>
        <v>1</v>
      </c>
      <c r="M23" s="230">
        <f t="shared" si="1"/>
        <v>5821952</v>
      </c>
      <c r="O23" s="216">
        <f t="shared" si="2"/>
        <v>8</v>
      </c>
    </row>
    <row r="24" spans="1:15">
      <c r="A24" s="627" t="s">
        <v>1332</v>
      </c>
      <c r="B24" s="1471"/>
      <c r="C24" s="1471"/>
      <c r="D24" s="628" t="s">
        <v>1333</v>
      </c>
      <c r="E24" s="1296">
        <v>2631528151</v>
      </c>
      <c r="F24" s="1296">
        <v>0</v>
      </c>
      <c r="G24" s="1296">
        <v>590133793943</v>
      </c>
      <c r="H24" s="1296">
        <v>580169192585</v>
      </c>
      <c r="I24" s="1296">
        <v>12596129509</v>
      </c>
      <c r="J24" s="1297">
        <v>0</v>
      </c>
      <c r="L24" s="229" t="str">
        <f t="shared" si="3"/>
        <v>1</v>
      </c>
      <c r="M24" s="230">
        <f t="shared" si="1"/>
        <v>12596129509</v>
      </c>
      <c r="O24" s="216">
        <f t="shared" si="2"/>
        <v>6</v>
      </c>
    </row>
    <row r="25" spans="1:15">
      <c r="A25" s="629" t="s">
        <v>1334</v>
      </c>
      <c r="B25" s="1472"/>
      <c r="C25" s="1472"/>
      <c r="D25" s="630" t="s">
        <v>1335</v>
      </c>
      <c r="E25" s="639">
        <v>2631528151</v>
      </c>
      <c r="F25" s="639">
        <v>0</v>
      </c>
      <c r="G25" s="639">
        <v>590133793943</v>
      </c>
      <c r="H25" s="639">
        <v>580169192585</v>
      </c>
      <c r="I25" s="639">
        <v>12596129509</v>
      </c>
      <c r="J25" s="1292">
        <v>0</v>
      </c>
      <c r="L25" s="229" t="str">
        <f t="shared" si="3"/>
        <v>1</v>
      </c>
      <c r="M25" s="230">
        <f t="shared" si="1"/>
        <v>12596129509</v>
      </c>
      <c r="O25" s="216">
        <f t="shared" si="2"/>
        <v>8</v>
      </c>
    </row>
    <row r="26" spans="1:15">
      <c r="A26" s="627" t="s">
        <v>1336</v>
      </c>
      <c r="B26" s="1471"/>
      <c r="C26" s="1471"/>
      <c r="D26" s="628" t="s">
        <v>1337</v>
      </c>
      <c r="E26" s="1296">
        <v>288256426</v>
      </c>
      <c r="F26" s="1296">
        <v>0</v>
      </c>
      <c r="G26" s="1296">
        <v>128278838190</v>
      </c>
      <c r="H26" s="1296">
        <v>128532116675</v>
      </c>
      <c r="I26" s="1296">
        <v>34977941</v>
      </c>
      <c r="J26" s="1297">
        <v>0</v>
      </c>
      <c r="L26" s="229" t="str">
        <f t="shared" si="3"/>
        <v>1</v>
      </c>
      <c r="M26" s="230">
        <f t="shared" si="1"/>
        <v>34977941</v>
      </c>
      <c r="O26" s="216">
        <f t="shared" si="2"/>
        <v>6</v>
      </c>
    </row>
    <row r="27" spans="1:15">
      <c r="A27" s="629" t="s">
        <v>1338</v>
      </c>
      <c r="B27" s="1472"/>
      <c r="C27" s="1472"/>
      <c r="D27" s="630" t="s">
        <v>1339</v>
      </c>
      <c r="E27" s="639">
        <v>286748305</v>
      </c>
      <c r="F27" s="639">
        <v>0</v>
      </c>
      <c r="G27" s="639">
        <v>5489505722</v>
      </c>
      <c r="H27" s="639">
        <v>5757152676</v>
      </c>
      <c r="I27" s="639">
        <v>19101351</v>
      </c>
      <c r="J27" s="1292">
        <v>0</v>
      </c>
      <c r="L27" s="229" t="str">
        <f t="shared" si="3"/>
        <v>1</v>
      </c>
      <c r="M27" s="230">
        <f t="shared" si="1"/>
        <v>19101351</v>
      </c>
      <c r="O27" s="216">
        <f t="shared" si="2"/>
        <v>8</v>
      </c>
    </row>
    <row r="28" spans="1:15" ht="25.5">
      <c r="A28" s="629" t="s">
        <v>1340</v>
      </c>
      <c r="B28" s="1472"/>
      <c r="C28" s="1472"/>
      <c r="D28" s="630" t="s">
        <v>1341</v>
      </c>
      <c r="E28" s="639">
        <v>1212510</v>
      </c>
      <c r="F28" s="639">
        <v>0</v>
      </c>
      <c r="G28" s="639">
        <v>70565122318</v>
      </c>
      <c r="H28" s="639">
        <v>70550866739</v>
      </c>
      <c r="I28" s="639">
        <v>15468089</v>
      </c>
      <c r="J28" s="1292">
        <v>0</v>
      </c>
      <c r="L28" s="229" t="str">
        <f t="shared" si="3"/>
        <v>1</v>
      </c>
      <c r="M28" s="230">
        <f t="shared" si="1"/>
        <v>15468089</v>
      </c>
      <c r="O28" s="216">
        <f t="shared" si="2"/>
        <v>8</v>
      </c>
    </row>
    <row r="29" spans="1:15" ht="25.5">
      <c r="A29" s="629" t="s">
        <v>1342</v>
      </c>
      <c r="B29" s="1472"/>
      <c r="C29" s="1472"/>
      <c r="D29" s="630" t="s">
        <v>1343</v>
      </c>
      <c r="E29" s="639">
        <v>295611</v>
      </c>
      <c r="F29" s="639">
        <v>0</v>
      </c>
      <c r="G29" s="639">
        <v>52224210150</v>
      </c>
      <c r="H29" s="639">
        <v>52224097260</v>
      </c>
      <c r="I29" s="639">
        <v>408501</v>
      </c>
      <c r="J29" s="1292">
        <v>0</v>
      </c>
      <c r="L29" s="229" t="str">
        <f t="shared" si="3"/>
        <v>1</v>
      </c>
      <c r="M29" s="230">
        <f t="shared" si="1"/>
        <v>408501</v>
      </c>
      <c r="O29" s="216">
        <f t="shared" si="2"/>
        <v>8</v>
      </c>
    </row>
    <row r="30" spans="1:15">
      <c r="A30" s="627" t="s">
        <v>1344</v>
      </c>
      <c r="B30" s="1471"/>
      <c r="C30" s="1471"/>
      <c r="D30" s="628" t="s">
        <v>1345</v>
      </c>
      <c r="E30" s="1296">
        <v>2534251</v>
      </c>
      <c r="F30" s="1296">
        <v>0</v>
      </c>
      <c r="G30" s="1296">
        <v>2562</v>
      </c>
      <c r="H30" s="1296">
        <v>0</v>
      </c>
      <c r="I30" s="1296">
        <v>2536813</v>
      </c>
      <c r="J30" s="1297">
        <v>0</v>
      </c>
      <c r="L30" s="229" t="str">
        <f t="shared" si="3"/>
        <v>1</v>
      </c>
      <c r="M30" s="230">
        <f t="shared" si="1"/>
        <v>2536813</v>
      </c>
      <c r="O30" s="216">
        <f t="shared" si="2"/>
        <v>6</v>
      </c>
    </row>
    <row r="31" spans="1:15">
      <c r="A31" s="629" t="s">
        <v>1346</v>
      </c>
      <c r="B31" s="1472"/>
      <c r="C31" s="1472"/>
      <c r="D31" s="630" t="s">
        <v>1347</v>
      </c>
      <c r="E31" s="639">
        <v>2534251</v>
      </c>
      <c r="F31" s="639">
        <v>0</v>
      </c>
      <c r="G31" s="639">
        <v>2562</v>
      </c>
      <c r="H31" s="639">
        <v>0</v>
      </c>
      <c r="I31" s="639">
        <v>2536813</v>
      </c>
      <c r="J31" s="1292">
        <v>0</v>
      </c>
      <c r="L31" s="229" t="str">
        <f t="shared" si="3"/>
        <v>1</v>
      </c>
      <c r="M31" s="230">
        <f t="shared" si="1"/>
        <v>2536813</v>
      </c>
      <c r="O31" s="216">
        <f t="shared" si="2"/>
        <v>8</v>
      </c>
    </row>
    <row r="32" spans="1:15">
      <c r="A32" s="627" t="s">
        <v>1348</v>
      </c>
      <c r="B32" s="1471"/>
      <c r="C32" s="1471"/>
      <c r="D32" s="628" t="s">
        <v>1349</v>
      </c>
      <c r="E32" s="1296">
        <v>2120746599</v>
      </c>
      <c r="F32" s="1296">
        <v>0</v>
      </c>
      <c r="G32" s="1296">
        <v>56859429316</v>
      </c>
      <c r="H32" s="1296">
        <v>58976145200</v>
      </c>
      <c r="I32" s="1296">
        <v>4030715</v>
      </c>
      <c r="J32" s="1297">
        <v>0</v>
      </c>
      <c r="L32" s="229" t="str">
        <f t="shared" si="3"/>
        <v>1</v>
      </c>
      <c r="M32" s="230">
        <f t="shared" si="1"/>
        <v>4030715</v>
      </c>
      <c r="O32" s="216">
        <f t="shared" si="2"/>
        <v>6</v>
      </c>
    </row>
    <row r="33" spans="1:15">
      <c r="A33" s="629" t="s">
        <v>1350</v>
      </c>
      <c r="B33" s="1472"/>
      <c r="C33" s="1472"/>
      <c r="D33" s="630" t="s">
        <v>1351</v>
      </c>
      <c r="E33" s="639">
        <v>2120746599</v>
      </c>
      <c r="F33" s="639">
        <v>0</v>
      </c>
      <c r="G33" s="639">
        <v>56859429316</v>
      </c>
      <c r="H33" s="639">
        <v>58976145200</v>
      </c>
      <c r="I33" s="639">
        <v>4030715</v>
      </c>
      <c r="J33" s="1292">
        <v>0</v>
      </c>
      <c r="L33" s="229" t="str">
        <f t="shared" si="3"/>
        <v>1</v>
      </c>
      <c r="M33" s="230">
        <f t="shared" si="1"/>
        <v>4030715</v>
      </c>
      <c r="O33" s="216">
        <f t="shared" si="2"/>
        <v>8</v>
      </c>
    </row>
    <row r="34" spans="1:15">
      <c r="A34" s="627" t="s">
        <v>1352</v>
      </c>
      <c r="B34" s="1471"/>
      <c r="C34" s="1471"/>
      <c r="D34" s="628" t="s">
        <v>1353</v>
      </c>
      <c r="E34" s="1296">
        <v>2808949</v>
      </c>
      <c r="F34" s="1296">
        <v>0</v>
      </c>
      <c r="G34" s="1296">
        <v>3944</v>
      </c>
      <c r="H34" s="1296">
        <v>1683000</v>
      </c>
      <c r="I34" s="1296">
        <v>1129893</v>
      </c>
      <c r="J34" s="1297">
        <v>0</v>
      </c>
      <c r="L34" s="229" t="str">
        <f t="shared" si="3"/>
        <v>1</v>
      </c>
      <c r="M34" s="230">
        <f t="shared" si="1"/>
        <v>1129893</v>
      </c>
      <c r="O34" s="216">
        <f t="shared" si="2"/>
        <v>6</v>
      </c>
    </row>
    <row r="35" spans="1:15">
      <c r="A35" s="629" t="s">
        <v>1354</v>
      </c>
      <c r="B35" s="1472"/>
      <c r="C35" s="1472"/>
      <c r="D35" s="630" t="s">
        <v>1355</v>
      </c>
      <c r="E35" s="639">
        <v>1761033</v>
      </c>
      <c r="F35" s="639">
        <v>0</v>
      </c>
      <c r="G35" s="639">
        <v>2871</v>
      </c>
      <c r="H35" s="639">
        <v>660000</v>
      </c>
      <c r="I35" s="639">
        <v>1103904</v>
      </c>
      <c r="J35" s="1292">
        <v>0</v>
      </c>
      <c r="L35" s="229" t="str">
        <f t="shared" si="3"/>
        <v>1</v>
      </c>
      <c r="M35" s="230">
        <f t="shared" si="1"/>
        <v>1103904</v>
      </c>
      <c r="O35" s="216">
        <f t="shared" si="2"/>
        <v>8</v>
      </c>
    </row>
    <row r="36" spans="1:15">
      <c r="A36" s="629" t="s">
        <v>1356</v>
      </c>
      <c r="B36" s="1472"/>
      <c r="C36" s="1472"/>
      <c r="D36" s="630" t="s">
        <v>1357</v>
      </c>
      <c r="E36" s="639">
        <v>1047916</v>
      </c>
      <c r="F36" s="639">
        <v>0</v>
      </c>
      <c r="G36" s="639">
        <v>1073</v>
      </c>
      <c r="H36" s="639">
        <v>1023000</v>
      </c>
      <c r="I36" s="639">
        <v>25989</v>
      </c>
      <c r="J36" s="1292">
        <v>0</v>
      </c>
      <c r="L36" s="229" t="str">
        <f t="shared" si="3"/>
        <v>1</v>
      </c>
      <c r="M36" s="230">
        <f t="shared" si="1"/>
        <v>25989</v>
      </c>
      <c r="O36" s="216">
        <f t="shared" si="2"/>
        <v>8</v>
      </c>
    </row>
    <row r="37" spans="1:15">
      <c r="A37" s="627" t="s">
        <v>1358</v>
      </c>
      <c r="B37" s="1471"/>
      <c r="C37" s="1471"/>
      <c r="D37" s="628" t="s">
        <v>1359</v>
      </c>
      <c r="E37" s="1296">
        <v>0</v>
      </c>
      <c r="F37" s="1296">
        <v>0</v>
      </c>
      <c r="G37" s="1296">
        <v>50805007508</v>
      </c>
      <c r="H37" s="1296">
        <v>50804229603</v>
      </c>
      <c r="I37" s="1296">
        <v>777905</v>
      </c>
      <c r="J37" s="1297">
        <v>0</v>
      </c>
      <c r="L37" s="229" t="str">
        <f t="shared" si="3"/>
        <v>1</v>
      </c>
      <c r="M37" s="230">
        <f t="shared" si="1"/>
        <v>777905</v>
      </c>
      <c r="O37" s="216">
        <f t="shared" si="2"/>
        <v>6</v>
      </c>
    </row>
    <row r="38" spans="1:15">
      <c r="A38" s="629" t="s">
        <v>1360</v>
      </c>
      <c r="B38" s="1472"/>
      <c r="C38" s="1472"/>
      <c r="D38" s="630" t="s">
        <v>1361</v>
      </c>
      <c r="E38" s="639">
        <v>0</v>
      </c>
      <c r="F38" s="639">
        <v>0</v>
      </c>
      <c r="G38" s="639">
        <v>50805007508</v>
      </c>
      <c r="H38" s="639">
        <v>50804229603</v>
      </c>
      <c r="I38" s="639">
        <v>777905</v>
      </c>
      <c r="J38" s="1292">
        <v>0</v>
      </c>
      <c r="L38" s="229" t="str">
        <f t="shared" si="3"/>
        <v>1</v>
      </c>
      <c r="M38" s="230">
        <f t="shared" si="1"/>
        <v>777905</v>
      </c>
      <c r="O38" s="216">
        <f t="shared" si="2"/>
        <v>8</v>
      </c>
    </row>
    <row r="39" spans="1:15" ht="25.5">
      <c r="A39" s="627" t="s">
        <v>1362</v>
      </c>
      <c r="B39" s="1471"/>
      <c r="C39" s="1471"/>
      <c r="D39" s="628" t="s">
        <v>1363</v>
      </c>
      <c r="E39" s="1296">
        <v>41145989608</v>
      </c>
      <c r="F39" s="1296">
        <v>0</v>
      </c>
      <c r="G39" s="1296">
        <v>7905140713778</v>
      </c>
      <c r="H39" s="1296">
        <v>7872029950302</v>
      </c>
      <c r="I39" s="1296">
        <v>74256753084</v>
      </c>
      <c r="J39" s="1297">
        <v>0</v>
      </c>
      <c r="L39" s="229" t="str">
        <f t="shared" si="3"/>
        <v>1</v>
      </c>
      <c r="M39" s="230">
        <f t="shared" si="1"/>
        <v>74256753084</v>
      </c>
      <c r="N39" s="216" t="s">
        <v>1364</v>
      </c>
      <c r="O39" s="216">
        <f t="shared" si="2"/>
        <v>3</v>
      </c>
    </row>
    <row r="40" spans="1:15" ht="25.5">
      <c r="A40" s="627" t="s">
        <v>1365</v>
      </c>
      <c r="B40" s="1471"/>
      <c r="C40" s="1471"/>
      <c r="D40" s="628" t="s">
        <v>1366</v>
      </c>
      <c r="E40" s="1296">
        <v>41145989608</v>
      </c>
      <c r="F40" s="1296">
        <v>0</v>
      </c>
      <c r="G40" s="1296">
        <v>7905140713778</v>
      </c>
      <c r="H40" s="1296">
        <v>7872029950302</v>
      </c>
      <c r="I40" s="1296">
        <v>74256753084</v>
      </c>
      <c r="J40" s="1297">
        <v>0</v>
      </c>
      <c r="L40" s="229" t="str">
        <f t="shared" si="3"/>
        <v>1</v>
      </c>
      <c r="M40" s="230">
        <f t="shared" si="1"/>
        <v>74256753084</v>
      </c>
      <c r="O40" s="216">
        <f t="shared" si="2"/>
        <v>4</v>
      </c>
    </row>
    <row r="41" spans="1:15" ht="25.5">
      <c r="A41" s="627" t="s">
        <v>1367</v>
      </c>
      <c r="B41" s="1471"/>
      <c r="C41" s="1471"/>
      <c r="D41" s="628" t="s">
        <v>1368</v>
      </c>
      <c r="E41" s="1296">
        <v>41145989608</v>
      </c>
      <c r="F41" s="1296">
        <v>0</v>
      </c>
      <c r="G41" s="1296">
        <v>7905140713778</v>
      </c>
      <c r="H41" s="1296">
        <v>7872029950302</v>
      </c>
      <c r="I41" s="1296">
        <v>74256753084</v>
      </c>
      <c r="J41" s="1297">
        <v>0</v>
      </c>
      <c r="L41" s="229" t="str">
        <f t="shared" si="3"/>
        <v>1</v>
      </c>
      <c r="M41" s="230">
        <f t="shared" si="1"/>
        <v>74256753084</v>
      </c>
      <c r="O41" s="216">
        <f t="shared" si="2"/>
        <v>5</v>
      </c>
    </row>
    <row r="42" spans="1:15">
      <c r="A42" s="627" t="s">
        <v>1369</v>
      </c>
      <c r="B42" s="1471"/>
      <c r="C42" s="1471"/>
      <c r="D42" s="628" t="s">
        <v>1370</v>
      </c>
      <c r="E42" s="1296">
        <v>140507860</v>
      </c>
      <c r="F42" s="1296">
        <v>0</v>
      </c>
      <c r="G42" s="1296">
        <v>156693</v>
      </c>
      <c r="H42" s="1296">
        <v>139848450</v>
      </c>
      <c r="I42" s="1296">
        <v>816103</v>
      </c>
      <c r="J42" s="1297">
        <v>0</v>
      </c>
      <c r="L42" s="229" t="str">
        <f t="shared" si="3"/>
        <v>1</v>
      </c>
      <c r="M42" s="230">
        <f t="shared" si="1"/>
        <v>816103</v>
      </c>
      <c r="O42" s="216">
        <f t="shared" si="2"/>
        <v>7</v>
      </c>
    </row>
    <row r="43" spans="1:15">
      <c r="A43" s="629" t="s">
        <v>1371</v>
      </c>
      <c r="B43" s="1472"/>
      <c r="C43" s="1472"/>
      <c r="D43" s="630" t="s">
        <v>1372</v>
      </c>
      <c r="E43" s="639">
        <v>140507860</v>
      </c>
      <c r="F43" s="639">
        <v>0</v>
      </c>
      <c r="G43" s="639">
        <v>60901</v>
      </c>
      <c r="H43" s="639">
        <v>139830000</v>
      </c>
      <c r="I43" s="639">
        <v>738761</v>
      </c>
      <c r="J43" s="1292">
        <v>0</v>
      </c>
      <c r="L43" s="229" t="str">
        <f t="shared" si="3"/>
        <v>1</v>
      </c>
      <c r="M43" s="230">
        <f t="shared" si="1"/>
        <v>738761</v>
      </c>
      <c r="O43" s="216">
        <f t="shared" si="2"/>
        <v>9</v>
      </c>
    </row>
    <row r="44" spans="1:15">
      <c r="A44" s="1291" t="s">
        <v>1373</v>
      </c>
      <c r="B44" s="252"/>
      <c r="C44" s="252"/>
      <c r="D44" s="637" t="s">
        <v>1374</v>
      </c>
      <c r="E44" s="639">
        <v>0</v>
      </c>
      <c r="F44" s="639">
        <v>0</v>
      </c>
      <c r="G44" s="639">
        <v>95792</v>
      </c>
      <c r="H44" s="639">
        <v>18450</v>
      </c>
      <c r="I44" s="639">
        <v>77342</v>
      </c>
      <c r="J44" s="1292">
        <v>0</v>
      </c>
      <c r="L44" s="229"/>
      <c r="M44" s="230"/>
      <c r="O44" s="216">
        <f t="shared" si="2"/>
        <v>9</v>
      </c>
    </row>
    <row r="45" spans="1:15">
      <c r="A45" s="627" t="s">
        <v>1375</v>
      </c>
      <c r="B45" s="1471"/>
      <c r="C45" s="1471"/>
      <c r="D45" s="628" t="s">
        <v>1376</v>
      </c>
      <c r="E45" s="1296">
        <v>46885808</v>
      </c>
      <c r="F45" s="1296">
        <v>0</v>
      </c>
      <c r="G45" s="1296">
        <v>234706</v>
      </c>
      <c r="H45" s="1296">
        <v>396000</v>
      </c>
      <c r="I45" s="1296">
        <v>46724514</v>
      </c>
      <c r="J45" s="1297">
        <v>0</v>
      </c>
      <c r="L45" s="229" t="str">
        <f t="shared" ref="L45:L56" si="4">LEFT(A45,1)</f>
        <v>1</v>
      </c>
      <c r="M45" s="230">
        <f t="shared" si="1"/>
        <v>46724514</v>
      </c>
      <c r="O45" s="216">
        <f t="shared" si="2"/>
        <v>7</v>
      </c>
    </row>
    <row r="46" spans="1:15">
      <c r="A46" s="629" t="s">
        <v>1377</v>
      </c>
      <c r="B46" s="1472"/>
      <c r="C46" s="1472"/>
      <c r="D46" s="630" t="s">
        <v>1378</v>
      </c>
      <c r="E46" s="639">
        <v>46885808</v>
      </c>
      <c r="F46" s="639">
        <v>0</v>
      </c>
      <c r="G46" s="639">
        <v>234706</v>
      </c>
      <c r="H46" s="639">
        <v>396000</v>
      </c>
      <c r="I46" s="639">
        <v>46724514</v>
      </c>
      <c r="J46" s="1292">
        <v>0</v>
      </c>
      <c r="L46" s="229" t="str">
        <f t="shared" si="4"/>
        <v>1</v>
      </c>
      <c r="M46" s="230">
        <f t="shared" si="1"/>
        <v>46724514</v>
      </c>
      <c r="O46" s="216">
        <f t="shared" si="2"/>
        <v>9</v>
      </c>
    </row>
    <row r="47" spans="1:15">
      <c r="A47" s="627" t="s">
        <v>1379</v>
      </c>
      <c r="B47" s="1471"/>
      <c r="C47" s="1471"/>
      <c r="D47" s="628" t="s">
        <v>1380</v>
      </c>
      <c r="E47" s="1296">
        <v>24385501527</v>
      </c>
      <c r="F47" s="1296">
        <v>0</v>
      </c>
      <c r="G47" s="1296">
        <v>7503930810045</v>
      </c>
      <c r="H47" s="1296">
        <v>7509448656027</v>
      </c>
      <c r="I47" s="1296">
        <v>18867655545</v>
      </c>
      <c r="J47" s="1297">
        <v>0</v>
      </c>
      <c r="L47" s="229" t="str">
        <f t="shared" si="4"/>
        <v>1</v>
      </c>
      <c r="M47" s="230">
        <f t="shared" si="1"/>
        <v>18867655545</v>
      </c>
      <c r="O47" s="216">
        <f t="shared" si="2"/>
        <v>7</v>
      </c>
    </row>
    <row r="48" spans="1:15">
      <c r="A48" s="629" t="s">
        <v>1381</v>
      </c>
      <c r="B48" s="1472"/>
      <c r="C48" s="1472"/>
      <c r="D48" s="630" t="s">
        <v>1382</v>
      </c>
      <c r="E48" s="639">
        <v>1245537485</v>
      </c>
      <c r="F48" s="639">
        <v>0</v>
      </c>
      <c r="G48" s="639">
        <v>3595972673661</v>
      </c>
      <c r="H48" s="639">
        <v>3595861682323</v>
      </c>
      <c r="I48" s="639">
        <v>1356528823</v>
      </c>
      <c r="J48" s="1292">
        <v>0</v>
      </c>
      <c r="L48" s="229" t="str">
        <f t="shared" si="4"/>
        <v>1</v>
      </c>
      <c r="M48" s="230">
        <f t="shared" si="1"/>
        <v>1356528823</v>
      </c>
      <c r="O48" s="216">
        <f t="shared" si="2"/>
        <v>9</v>
      </c>
    </row>
    <row r="49" spans="1:15">
      <c r="A49" s="629" t="s">
        <v>1383</v>
      </c>
      <c r="B49" s="1472"/>
      <c r="C49" s="1472"/>
      <c r="D49" s="630" t="s">
        <v>1384</v>
      </c>
      <c r="E49" s="639">
        <v>23139964042</v>
      </c>
      <c r="F49" s="639">
        <v>0</v>
      </c>
      <c r="G49" s="639">
        <v>3907958136384</v>
      </c>
      <c r="H49" s="639">
        <v>3913586973704</v>
      </c>
      <c r="I49" s="639">
        <v>17511126722</v>
      </c>
      <c r="J49" s="1292">
        <v>0</v>
      </c>
      <c r="L49" s="229" t="str">
        <f t="shared" si="4"/>
        <v>1</v>
      </c>
      <c r="M49" s="230">
        <f t="shared" si="1"/>
        <v>17511126722</v>
      </c>
      <c r="O49" s="216">
        <f t="shared" si="2"/>
        <v>9</v>
      </c>
    </row>
    <row r="50" spans="1:15">
      <c r="A50" s="627" t="s">
        <v>1385</v>
      </c>
      <c r="B50" s="1471"/>
      <c r="C50" s="1471"/>
      <c r="D50" s="628" t="s">
        <v>1386</v>
      </c>
      <c r="E50" s="1296">
        <v>16570995794</v>
      </c>
      <c r="F50" s="1296">
        <v>0</v>
      </c>
      <c r="G50" s="1296">
        <v>25012828778</v>
      </c>
      <c r="H50" s="1296">
        <v>41580039600</v>
      </c>
      <c r="I50" s="1296">
        <v>3784972</v>
      </c>
      <c r="J50" s="1297">
        <v>0</v>
      </c>
      <c r="L50" s="229" t="str">
        <f t="shared" si="4"/>
        <v>1</v>
      </c>
      <c r="M50" s="230">
        <f t="shared" si="1"/>
        <v>3784972</v>
      </c>
      <c r="O50" s="216">
        <f t="shared" si="2"/>
        <v>7</v>
      </c>
    </row>
    <row r="51" spans="1:15">
      <c r="A51" s="629" t="s">
        <v>1387</v>
      </c>
      <c r="B51" s="1472"/>
      <c r="C51" s="1472"/>
      <c r="D51" s="630" t="s">
        <v>1388</v>
      </c>
      <c r="E51" s="639">
        <v>16570995794</v>
      </c>
      <c r="F51" s="639">
        <v>0</v>
      </c>
      <c r="G51" s="639">
        <v>25012828778</v>
      </c>
      <c r="H51" s="639">
        <v>41580039600</v>
      </c>
      <c r="I51" s="639">
        <v>3784972</v>
      </c>
      <c r="J51" s="1292">
        <v>0</v>
      </c>
      <c r="L51" s="229" t="str">
        <f t="shared" si="4"/>
        <v>1</v>
      </c>
      <c r="M51" s="230">
        <f t="shared" si="1"/>
        <v>3784972</v>
      </c>
      <c r="O51" s="216">
        <f t="shared" si="2"/>
        <v>9</v>
      </c>
    </row>
    <row r="52" spans="1:15">
      <c r="A52" s="627" t="s">
        <v>1389</v>
      </c>
      <c r="B52" s="1471"/>
      <c r="C52" s="1471"/>
      <c r="D52" s="628" t="s">
        <v>1390</v>
      </c>
      <c r="E52" s="1296">
        <v>2098619</v>
      </c>
      <c r="F52" s="1296">
        <v>0</v>
      </c>
      <c r="G52" s="1296">
        <v>30009267751</v>
      </c>
      <c r="H52" s="1296">
        <v>30010000000</v>
      </c>
      <c r="I52" s="1296">
        <v>1366370</v>
      </c>
      <c r="J52" s="1297">
        <v>0</v>
      </c>
      <c r="L52" s="229" t="str">
        <f t="shared" si="4"/>
        <v>1</v>
      </c>
      <c r="M52" s="230">
        <f t="shared" si="1"/>
        <v>1366370</v>
      </c>
      <c r="O52" s="216">
        <f t="shared" si="2"/>
        <v>7</v>
      </c>
    </row>
    <row r="53" spans="1:15" ht="25.5">
      <c r="A53" s="629" t="s">
        <v>1391</v>
      </c>
      <c r="B53" s="1472"/>
      <c r="C53" s="1472"/>
      <c r="D53" s="630" t="s">
        <v>1392</v>
      </c>
      <c r="E53" s="639">
        <v>1998603</v>
      </c>
      <c r="F53" s="639">
        <v>0</v>
      </c>
      <c r="G53" s="639">
        <v>30009267551</v>
      </c>
      <c r="H53" s="639">
        <v>30010000000</v>
      </c>
      <c r="I53" s="639">
        <v>1266154</v>
      </c>
      <c r="J53" s="1292">
        <v>0</v>
      </c>
      <c r="L53" s="229" t="str">
        <f t="shared" si="4"/>
        <v>1</v>
      </c>
      <c r="M53" s="230">
        <f t="shared" si="1"/>
        <v>1266154</v>
      </c>
      <c r="O53" s="216">
        <f t="shared" si="2"/>
        <v>9</v>
      </c>
    </row>
    <row r="54" spans="1:15" ht="25.5">
      <c r="A54" s="629" t="s">
        <v>1393</v>
      </c>
      <c r="B54" s="1472"/>
      <c r="C54" s="1472"/>
      <c r="D54" s="630" t="s">
        <v>1394</v>
      </c>
      <c r="E54" s="639">
        <v>100016</v>
      </c>
      <c r="F54" s="639">
        <v>0</v>
      </c>
      <c r="G54" s="639">
        <v>200</v>
      </c>
      <c r="H54" s="639">
        <v>0</v>
      </c>
      <c r="I54" s="639">
        <v>100216</v>
      </c>
      <c r="J54" s="1292">
        <v>0</v>
      </c>
      <c r="L54" s="229" t="str">
        <f t="shared" si="4"/>
        <v>1</v>
      </c>
      <c r="M54" s="230">
        <f t="shared" si="1"/>
        <v>100216</v>
      </c>
      <c r="O54" s="216">
        <f t="shared" si="2"/>
        <v>9</v>
      </c>
    </row>
    <row r="55" spans="1:15">
      <c r="A55" s="627" t="s">
        <v>1395</v>
      </c>
      <c r="B55" s="1471"/>
      <c r="C55" s="1471"/>
      <c r="D55" s="628" t="s">
        <v>1396</v>
      </c>
      <c r="E55" s="1296">
        <v>0</v>
      </c>
      <c r="F55" s="1296">
        <v>0</v>
      </c>
      <c r="G55" s="1296">
        <v>214603051475</v>
      </c>
      <c r="H55" s="1296">
        <v>209500528000</v>
      </c>
      <c r="I55" s="1296">
        <v>5102523475</v>
      </c>
      <c r="J55" s="1297">
        <v>0</v>
      </c>
      <c r="L55" s="229" t="str">
        <f t="shared" si="4"/>
        <v>1</v>
      </c>
      <c r="M55" s="230">
        <f t="shared" si="1"/>
        <v>5102523475</v>
      </c>
      <c r="O55" s="216">
        <f t="shared" si="2"/>
        <v>7</v>
      </c>
    </row>
    <row r="56" spans="1:15">
      <c r="A56" s="629" t="s">
        <v>1397</v>
      </c>
      <c r="B56" s="1472"/>
      <c r="C56" s="1472"/>
      <c r="D56" s="630" t="s">
        <v>1398</v>
      </c>
      <c r="E56" s="639">
        <v>0</v>
      </c>
      <c r="F56" s="639">
        <v>0</v>
      </c>
      <c r="G56" s="639">
        <v>214603051475</v>
      </c>
      <c r="H56" s="639">
        <v>209500528000</v>
      </c>
      <c r="I56" s="639">
        <v>5102523475</v>
      </c>
      <c r="J56" s="1292">
        <v>0</v>
      </c>
      <c r="L56" s="229" t="str">
        <f t="shared" si="4"/>
        <v>1</v>
      </c>
      <c r="M56" s="230">
        <f t="shared" si="1"/>
        <v>5102523475</v>
      </c>
      <c r="O56" s="216">
        <f t="shared" si="2"/>
        <v>9</v>
      </c>
    </row>
    <row r="57" spans="1:15">
      <c r="A57" s="1290" t="s">
        <v>1399</v>
      </c>
      <c r="B57" s="1473"/>
      <c r="C57" s="1473"/>
      <c r="D57" s="1293" t="s">
        <v>1400</v>
      </c>
      <c r="E57" s="1296">
        <v>0</v>
      </c>
      <c r="F57" s="1296">
        <v>0</v>
      </c>
      <c r="G57" s="1296">
        <v>101074976252</v>
      </c>
      <c r="H57" s="1296">
        <v>50847382225</v>
      </c>
      <c r="I57" s="1296">
        <v>50227594027</v>
      </c>
      <c r="J57" s="1297">
        <v>0</v>
      </c>
      <c r="L57" s="229"/>
      <c r="M57" s="230"/>
      <c r="O57" s="216">
        <f t="shared" si="2"/>
        <v>7</v>
      </c>
    </row>
    <row r="58" spans="1:15" ht="25.5">
      <c r="A58" s="1291" t="s">
        <v>1401</v>
      </c>
      <c r="B58" s="252"/>
      <c r="C58" s="252"/>
      <c r="D58" s="637" t="s">
        <v>1402</v>
      </c>
      <c r="E58" s="639">
        <v>0</v>
      </c>
      <c r="F58" s="639">
        <v>0</v>
      </c>
      <c r="G58" s="639">
        <v>1061699616</v>
      </c>
      <c r="H58" s="639">
        <v>846390000</v>
      </c>
      <c r="I58" s="639">
        <v>215309616</v>
      </c>
      <c r="J58" s="1292">
        <v>0</v>
      </c>
      <c r="L58" s="229"/>
      <c r="M58" s="230"/>
      <c r="O58" s="216">
        <f t="shared" si="2"/>
        <v>9</v>
      </c>
    </row>
    <row r="59" spans="1:15" ht="25.5">
      <c r="A59" s="1291" t="s">
        <v>1403</v>
      </c>
      <c r="B59" s="252"/>
      <c r="C59" s="252"/>
      <c r="D59" s="637" t="s">
        <v>1404</v>
      </c>
      <c r="E59" s="639">
        <v>0</v>
      </c>
      <c r="F59" s="639">
        <v>0</v>
      </c>
      <c r="G59" s="639">
        <v>100013276636</v>
      </c>
      <c r="H59" s="639">
        <v>50000992225</v>
      </c>
      <c r="I59" s="639">
        <v>50012284411</v>
      </c>
      <c r="J59" s="1292">
        <v>0</v>
      </c>
      <c r="L59" s="229"/>
      <c r="M59" s="230"/>
      <c r="O59" s="216">
        <f t="shared" si="2"/>
        <v>9</v>
      </c>
    </row>
    <row r="60" spans="1:15">
      <c r="A60" s="627" t="s">
        <v>1405</v>
      </c>
      <c r="B60" s="1471"/>
      <c r="C60" s="1471"/>
      <c r="D60" s="628" t="s">
        <v>1406</v>
      </c>
      <c r="E60" s="1296">
        <v>0</v>
      </c>
      <c r="F60" s="1296">
        <v>0</v>
      </c>
      <c r="G60" s="1296">
        <v>30509388078</v>
      </c>
      <c r="H60" s="1296">
        <v>30503100000</v>
      </c>
      <c r="I60" s="1296">
        <v>6288078</v>
      </c>
      <c r="J60" s="1297">
        <v>0</v>
      </c>
      <c r="L60" s="229" t="str">
        <f t="shared" ref="L60:L70" si="5">LEFT(A60,1)</f>
        <v>1</v>
      </c>
      <c r="M60" s="230">
        <f t="shared" si="1"/>
        <v>6288078</v>
      </c>
      <c r="O60" s="216">
        <f t="shared" si="2"/>
        <v>7</v>
      </c>
    </row>
    <row r="61" spans="1:15">
      <c r="A61" s="629" t="s">
        <v>1407</v>
      </c>
      <c r="B61" s="1472"/>
      <c r="C61" s="1472"/>
      <c r="D61" s="630" t="s">
        <v>1408</v>
      </c>
      <c r="E61" s="639">
        <v>0</v>
      </c>
      <c r="F61" s="639">
        <v>0</v>
      </c>
      <c r="G61" s="639">
        <v>30509388078</v>
      </c>
      <c r="H61" s="639">
        <v>30503100000</v>
      </c>
      <c r="I61" s="639">
        <v>6288078</v>
      </c>
      <c r="J61" s="1292">
        <v>0</v>
      </c>
      <c r="L61" s="229" t="str">
        <f t="shared" si="5"/>
        <v>1</v>
      </c>
      <c r="M61" s="230">
        <f t="shared" si="1"/>
        <v>6288078</v>
      </c>
      <c r="O61" s="216">
        <f t="shared" si="2"/>
        <v>9</v>
      </c>
    </row>
    <row r="62" spans="1:15">
      <c r="A62" s="627" t="s">
        <v>1409</v>
      </c>
      <c r="B62" s="1471"/>
      <c r="C62" s="1471"/>
      <c r="D62" s="628" t="s">
        <v>1410</v>
      </c>
      <c r="E62" s="1296">
        <v>245903954</v>
      </c>
      <c r="F62" s="1296">
        <v>0</v>
      </c>
      <c r="G62" s="1296">
        <v>20465162978</v>
      </c>
      <c r="H62" s="1296">
        <v>20616040330</v>
      </c>
      <c r="I62" s="1296">
        <v>95026602</v>
      </c>
      <c r="J62" s="1297">
        <v>0</v>
      </c>
      <c r="L62" s="229" t="str">
        <f t="shared" si="5"/>
        <v>1</v>
      </c>
      <c r="M62" s="230">
        <f t="shared" si="1"/>
        <v>95026602</v>
      </c>
      <c r="N62" s="216" t="s">
        <v>1364</v>
      </c>
      <c r="O62" s="216">
        <f t="shared" si="2"/>
        <v>3</v>
      </c>
    </row>
    <row r="63" spans="1:15">
      <c r="A63" s="627" t="s">
        <v>1411</v>
      </c>
      <c r="B63" s="1471"/>
      <c r="C63" s="1471"/>
      <c r="D63" s="628" t="s">
        <v>1412</v>
      </c>
      <c r="E63" s="1296">
        <v>245903954</v>
      </c>
      <c r="F63" s="1296">
        <v>0</v>
      </c>
      <c r="G63" s="1296">
        <v>20465162978</v>
      </c>
      <c r="H63" s="1296">
        <v>20616040330</v>
      </c>
      <c r="I63" s="1296">
        <v>95026602</v>
      </c>
      <c r="J63" s="1297">
        <v>0</v>
      </c>
      <c r="L63" s="229" t="str">
        <f t="shared" si="5"/>
        <v>1</v>
      </c>
      <c r="M63" s="230">
        <f t="shared" si="1"/>
        <v>95026602</v>
      </c>
      <c r="O63" s="216">
        <f t="shared" si="2"/>
        <v>4</v>
      </c>
    </row>
    <row r="64" spans="1:15" ht="25.5">
      <c r="A64" s="629" t="s">
        <v>1413</v>
      </c>
      <c r="B64" s="1472"/>
      <c r="C64" s="1472"/>
      <c r="D64" s="630" t="s">
        <v>1414</v>
      </c>
      <c r="E64" s="639">
        <v>245903954</v>
      </c>
      <c r="F64" s="639">
        <v>0</v>
      </c>
      <c r="G64" s="639">
        <v>20465162978</v>
      </c>
      <c r="H64" s="639">
        <v>20616040330</v>
      </c>
      <c r="I64" s="639">
        <v>95026602</v>
      </c>
      <c r="J64" s="1292">
        <v>0</v>
      </c>
      <c r="L64" s="229" t="str">
        <f t="shared" si="5"/>
        <v>1</v>
      </c>
      <c r="M64" s="230">
        <f t="shared" si="1"/>
        <v>95026602</v>
      </c>
      <c r="O64" s="216">
        <f t="shared" si="2"/>
        <v>5</v>
      </c>
    </row>
    <row r="65" spans="1:16">
      <c r="A65" s="627" t="s">
        <v>1415</v>
      </c>
      <c r="B65" s="1471"/>
      <c r="C65" s="1471"/>
      <c r="D65" s="628" t="s">
        <v>1416</v>
      </c>
      <c r="E65" s="1296">
        <v>14437747247</v>
      </c>
      <c r="F65" s="1296">
        <v>0</v>
      </c>
      <c r="G65" s="1296">
        <v>1931946726469</v>
      </c>
      <c r="H65" s="1296">
        <v>1918457171352</v>
      </c>
      <c r="I65" s="1296">
        <v>27927302364</v>
      </c>
      <c r="J65" s="1297">
        <v>0</v>
      </c>
      <c r="L65" s="229" t="str">
        <f t="shared" si="5"/>
        <v>1</v>
      </c>
      <c r="M65" s="230">
        <f t="shared" si="1"/>
        <v>27927302364</v>
      </c>
      <c r="N65" s="216" t="s">
        <v>1364</v>
      </c>
      <c r="O65" s="216">
        <f t="shared" si="2"/>
        <v>3</v>
      </c>
    </row>
    <row r="66" spans="1:16">
      <c r="A66" s="627" t="s">
        <v>1417</v>
      </c>
      <c r="B66" s="1471"/>
      <c r="C66" s="1471"/>
      <c r="D66" s="628" t="s">
        <v>1418</v>
      </c>
      <c r="E66" s="1296">
        <v>937103</v>
      </c>
      <c r="F66" s="1296">
        <v>0</v>
      </c>
      <c r="G66" s="1296">
        <v>973828235982</v>
      </c>
      <c r="H66" s="1296">
        <v>972674770596</v>
      </c>
      <c r="I66" s="1296">
        <v>1154402489</v>
      </c>
      <c r="J66" s="1297">
        <v>0</v>
      </c>
      <c r="L66" s="229" t="str">
        <f t="shared" si="5"/>
        <v>1</v>
      </c>
      <c r="M66" s="230">
        <f t="shared" si="1"/>
        <v>1154402489</v>
      </c>
      <c r="N66" s="265" t="s">
        <v>19</v>
      </c>
      <c r="O66" s="216">
        <f t="shared" si="2"/>
        <v>4</v>
      </c>
    </row>
    <row r="67" spans="1:16">
      <c r="A67" s="629" t="s">
        <v>1419</v>
      </c>
      <c r="B67" s="1472"/>
      <c r="C67" s="1472"/>
      <c r="D67" s="630" t="s">
        <v>1420</v>
      </c>
      <c r="E67" s="639">
        <v>937103</v>
      </c>
      <c r="F67" s="639">
        <v>0</v>
      </c>
      <c r="G67" s="639">
        <v>395280504543</v>
      </c>
      <c r="H67" s="639">
        <v>394128940596</v>
      </c>
      <c r="I67" s="639">
        <v>1152501050</v>
      </c>
      <c r="J67" s="1292">
        <v>0</v>
      </c>
      <c r="L67" s="229" t="str">
        <f t="shared" si="5"/>
        <v>1</v>
      </c>
      <c r="M67" s="230">
        <f t="shared" si="1"/>
        <v>1152501050</v>
      </c>
      <c r="O67" s="216">
        <f t="shared" si="2"/>
        <v>5</v>
      </c>
    </row>
    <row r="68" spans="1:16">
      <c r="A68" s="629" t="s">
        <v>1421</v>
      </c>
      <c r="B68" s="1472"/>
      <c r="C68" s="1472"/>
      <c r="D68" s="630" t="s">
        <v>1422</v>
      </c>
      <c r="E68" s="639">
        <v>0</v>
      </c>
      <c r="F68" s="639">
        <v>0</v>
      </c>
      <c r="G68" s="639">
        <v>578547731439</v>
      </c>
      <c r="H68" s="639">
        <v>578545830000</v>
      </c>
      <c r="I68" s="639">
        <v>1901439</v>
      </c>
      <c r="J68" s="1292">
        <v>0</v>
      </c>
      <c r="L68" s="229" t="str">
        <f t="shared" si="5"/>
        <v>1</v>
      </c>
      <c r="M68" s="230">
        <f t="shared" si="1"/>
        <v>1901439</v>
      </c>
      <c r="O68" s="216">
        <f t="shared" si="2"/>
        <v>5</v>
      </c>
    </row>
    <row r="69" spans="1:16" ht="25.5">
      <c r="A69" s="627" t="s">
        <v>1423</v>
      </c>
      <c r="B69" s="1471"/>
      <c r="C69" s="1471"/>
      <c r="D69" s="628" t="s">
        <v>1424</v>
      </c>
      <c r="E69" s="1296">
        <v>14436810144</v>
      </c>
      <c r="F69" s="1296">
        <v>0</v>
      </c>
      <c r="G69" s="1296">
        <v>957068482245</v>
      </c>
      <c r="H69" s="1296">
        <v>944733251248</v>
      </c>
      <c r="I69" s="1296">
        <v>26772041141</v>
      </c>
      <c r="J69" s="1297">
        <v>0</v>
      </c>
      <c r="L69" s="229" t="str">
        <f t="shared" si="5"/>
        <v>1</v>
      </c>
      <c r="M69" s="230">
        <f t="shared" si="1"/>
        <v>26772041141</v>
      </c>
      <c r="O69" s="216">
        <f t="shared" si="2"/>
        <v>4</v>
      </c>
    </row>
    <row r="70" spans="1:16">
      <c r="A70" s="629" t="s">
        <v>1425</v>
      </c>
      <c r="B70" s="1472"/>
      <c r="C70" s="1472"/>
      <c r="D70" s="630" t="s">
        <v>1426</v>
      </c>
      <c r="E70" s="639">
        <v>14436810144</v>
      </c>
      <c r="F70" s="639">
        <v>0</v>
      </c>
      <c r="G70" s="639">
        <v>957068482245</v>
      </c>
      <c r="H70" s="639">
        <v>944733251248</v>
      </c>
      <c r="I70" s="639">
        <v>26772041141</v>
      </c>
      <c r="J70" s="1292">
        <v>0</v>
      </c>
      <c r="L70" s="229" t="str">
        <f t="shared" si="5"/>
        <v>1</v>
      </c>
      <c r="M70" s="230">
        <f t="shared" si="1"/>
        <v>26772041141</v>
      </c>
      <c r="O70" s="216">
        <f t="shared" si="2"/>
        <v>5</v>
      </c>
    </row>
    <row r="71" spans="1:16" ht="25.5">
      <c r="A71" s="1290" t="s">
        <v>1427</v>
      </c>
      <c r="B71" s="1473"/>
      <c r="C71" s="1473"/>
      <c r="D71" s="1293" t="s">
        <v>1428</v>
      </c>
      <c r="E71" s="1296">
        <v>0</v>
      </c>
      <c r="F71" s="1296">
        <v>0</v>
      </c>
      <c r="G71" s="1296">
        <v>1050008242</v>
      </c>
      <c r="H71" s="1296">
        <v>1049149508</v>
      </c>
      <c r="I71" s="1296">
        <v>858734</v>
      </c>
      <c r="J71" s="1297">
        <v>0</v>
      </c>
      <c r="L71" s="229"/>
      <c r="M71" s="230"/>
      <c r="O71" s="216">
        <f t="shared" si="2"/>
        <v>4</v>
      </c>
    </row>
    <row r="72" spans="1:16">
      <c r="A72" s="1291" t="s">
        <v>1429</v>
      </c>
      <c r="B72" s="252"/>
      <c r="C72" s="252"/>
      <c r="D72" s="637" t="s">
        <v>1430</v>
      </c>
      <c r="E72" s="639">
        <v>0</v>
      </c>
      <c r="F72" s="639">
        <v>0</v>
      </c>
      <c r="G72" s="639">
        <v>1050008242</v>
      </c>
      <c r="H72" s="639">
        <v>1049149508</v>
      </c>
      <c r="I72" s="639">
        <v>858734</v>
      </c>
      <c r="J72" s="1292">
        <v>0</v>
      </c>
      <c r="L72" s="229"/>
      <c r="M72" s="230"/>
      <c r="O72" s="216">
        <f t="shared" si="2"/>
        <v>5</v>
      </c>
    </row>
    <row r="73" spans="1:16">
      <c r="A73" s="627" t="s">
        <v>25</v>
      </c>
      <c r="B73" s="1471"/>
      <c r="C73" s="1471"/>
      <c r="D73" s="628" t="s">
        <v>1431</v>
      </c>
      <c r="E73" s="1296">
        <v>178962865753</v>
      </c>
      <c r="F73" s="1296">
        <v>0</v>
      </c>
      <c r="G73" s="1296">
        <v>640191136439</v>
      </c>
      <c r="H73" s="1296">
        <v>670340556067</v>
      </c>
      <c r="I73" s="1296">
        <v>149005661911</v>
      </c>
      <c r="J73" s="1297">
        <v>192215786</v>
      </c>
      <c r="L73" s="229" t="str">
        <f>LEFT(A73,1)</f>
        <v>1</v>
      </c>
      <c r="M73" s="230">
        <f t="shared" si="1"/>
        <v>148813446125</v>
      </c>
      <c r="O73" s="216">
        <f t="shared" ref="O73:O136" si="6">LEN(A73)</f>
        <v>3</v>
      </c>
    </row>
    <row r="74" spans="1:16">
      <c r="A74" s="627" t="s">
        <v>27</v>
      </c>
      <c r="B74" s="1471"/>
      <c r="C74" s="1471"/>
      <c r="D74" s="628" t="s">
        <v>1432</v>
      </c>
      <c r="E74" s="1296">
        <v>178270641095</v>
      </c>
      <c r="F74" s="1296">
        <v>0</v>
      </c>
      <c r="G74" s="1296">
        <v>639970221827</v>
      </c>
      <c r="H74" s="1296">
        <v>669443971782</v>
      </c>
      <c r="I74" s="1296">
        <v>148796891140</v>
      </c>
      <c r="J74" s="1297">
        <v>0</v>
      </c>
      <c r="L74" s="229" t="str">
        <f>LEFT(A74,1)</f>
        <v>1</v>
      </c>
      <c r="M74" s="230">
        <f>IF(AND(L74&lt;="4",L74&gt;"0"),I74-J74,IF(OR(L74="6",L74="8"),-H74,G74))</f>
        <v>148796891140</v>
      </c>
      <c r="O74" s="216">
        <f t="shared" si="6"/>
        <v>4</v>
      </c>
    </row>
    <row r="75" spans="1:16">
      <c r="A75" s="1290" t="s">
        <v>1433</v>
      </c>
      <c r="B75" s="1473"/>
      <c r="C75" s="1473"/>
      <c r="D75" s="1293" t="s">
        <v>1434</v>
      </c>
      <c r="E75" s="1296">
        <v>0</v>
      </c>
      <c r="F75" s="1296">
        <v>0</v>
      </c>
      <c r="G75" s="1296">
        <v>2485602000</v>
      </c>
      <c r="H75" s="1296">
        <v>1240380000</v>
      </c>
      <c r="I75" s="1296">
        <v>1245222000</v>
      </c>
      <c r="J75" s="1297">
        <v>0</v>
      </c>
      <c r="L75" s="229" t="str">
        <f>LEFT(A75,1)</f>
        <v>1</v>
      </c>
      <c r="M75" s="230">
        <f>IF(AND(L75&lt;="4",L75&gt;"0"),I75-J75,IF(OR(L75="6",L75="8"),-H75,G75))</f>
        <v>1245222000</v>
      </c>
      <c r="N75" s="265" t="s">
        <v>27</v>
      </c>
      <c r="O75" s="216">
        <f t="shared" si="6"/>
        <v>6</v>
      </c>
      <c r="P75" s="216" t="s">
        <v>28</v>
      </c>
    </row>
    <row r="76" spans="1:16">
      <c r="A76" s="1291" t="s">
        <v>1435</v>
      </c>
      <c r="B76" s="252"/>
      <c r="C76" s="252"/>
      <c r="D76" s="637" t="s">
        <v>1436</v>
      </c>
      <c r="E76" s="639">
        <v>0</v>
      </c>
      <c r="F76" s="639">
        <v>0</v>
      </c>
      <c r="G76" s="639">
        <v>1240380000</v>
      </c>
      <c r="H76" s="639">
        <v>1240380000</v>
      </c>
      <c r="I76" s="639">
        <v>0</v>
      </c>
      <c r="J76" s="1292">
        <v>0</v>
      </c>
      <c r="L76" s="229"/>
      <c r="M76" s="230"/>
      <c r="O76" s="216">
        <f t="shared" si="6"/>
        <v>8</v>
      </c>
    </row>
    <row r="77" spans="1:16">
      <c r="A77" s="1291" t="s">
        <v>1437</v>
      </c>
      <c r="B77" s="252"/>
      <c r="C77" s="252"/>
      <c r="D77" s="637" t="s">
        <v>1438</v>
      </c>
      <c r="E77" s="639">
        <v>0</v>
      </c>
      <c r="F77" s="639">
        <v>0</v>
      </c>
      <c r="G77" s="639">
        <v>1245222000</v>
      </c>
      <c r="H77" s="639">
        <v>0</v>
      </c>
      <c r="I77" s="639">
        <v>1245222000</v>
      </c>
      <c r="J77" s="1292">
        <v>0</v>
      </c>
      <c r="L77" s="229"/>
      <c r="M77" s="230"/>
      <c r="O77" s="216">
        <f t="shared" si="6"/>
        <v>8</v>
      </c>
    </row>
    <row r="78" spans="1:16">
      <c r="A78" s="627" t="s">
        <v>1439</v>
      </c>
      <c r="B78" s="1471"/>
      <c r="C78" s="1471"/>
      <c r="D78" s="628" t="s">
        <v>1440</v>
      </c>
      <c r="E78" s="1296">
        <v>56522150000</v>
      </c>
      <c r="F78" s="1296">
        <v>0</v>
      </c>
      <c r="G78" s="1296">
        <v>440470517312</v>
      </c>
      <c r="H78" s="1296">
        <v>405495518697</v>
      </c>
      <c r="I78" s="1296">
        <v>91497148615</v>
      </c>
      <c r="J78" s="1297">
        <v>0</v>
      </c>
      <c r="L78" s="229" t="str">
        <f>LEFT(A78,1)</f>
        <v>1</v>
      </c>
      <c r="M78" s="230">
        <f>IF(AND(L78&lt;="4",L78&gt;"0"),I78-J78,IF(OR(L78="6",L78="8"),-H78,G78))</f>
        <v>91497148615</v>
      </c>
      <c r="N78" s="265" t="s">
        <v>29</v>
      </c>
      <c r="O78" s="216">
        <f t="shared" si="6"/>
        <v>6</v>
      </c>
      <c r="P78" s="216" t="s">
        <v>30</v>
      </c>
    </row>
    <row r="79" spans="1:16">
      <c r="A79" s="629" t="s">
        <v>1441</v>
      </c>
      <c r="B79" s="1472"/>
      <c r="C79" s="1472"/>
      <c r="D79" s="630" t="s">
        <v>1442</v>
      </c>
      <c r="E79" s="639">
        <v>0</v>
      </c>
      <c r="F79" s="639">
        <v>0</v>
      </c>
      <c r="G79" s="639">
        <v>314667090000</v>
      </c>
      <c r="H79" s="639">
        <v>263891970000</v>
      </c>
      <c r="I79" s="639">
        <v>50775120000</v>
      </c>
      <c r="J79" s="1292">
        <v>0</v>
      </c>
      <c r="L79" s="229" t="str">
        <f>LEFT(A79,1)</f>
        <v>1</v>
      </c>
      <c r="M79" s="230">
        <f t="shared" si="1"/>
        <v>50775120000</v>
      </c>
      <c r="O79" s="216">
        <f t="shared" si="6"/>
        <v>8</v>
      </c>
    </row>
    <row r="80" spans="1:16" ht="25.5">
      <c r="A80" s="1291" t="s">
        <v>1443</v>
      </c>
      <c r="B80" s="252"/>
      <c r="C80" s="252"/>
      <c r="D80" s="637" t="s">
        <v>1444</v>
      </c>
      <c r="E80" s="639">
        <v>0</v>
      </c>
      <c r="F80" s="639">
        <v>0</v>
      </c>
      <c r="G80" s="639">
        <v>63018938435</v>
      </c>
      <c r="H80" s="639">
        <v>22296909820</v>
      </c>
      <c r="I80" s="639">
        <v>40722028615</v>
      </c>
      <c r="J80" s="1292">
        <v>0</v>
      </c>
      <c r="L80" s="229"/>
      <c r="M80" s="230"/>
      <c r="O80" s="216">
        <f t="shared" si="6"/>
        <v>8</v>
      </c>
    </row>
    <row r="81" spans="1:16">
      <c r="A81" s="629" t="s">
        <v>1445</v>
      </c>
      <c r="B81" s="1472"/>
      <c r="C81" s="1472"/>
      <c r="D81" s="630" t="s">
        <v>1446</v>
      </c>
      <c r="E81" s="639">
        <v>56522150000</v>
      </c>
      <c r="F81" s="639">
        <v>0</v>
      </c>
      <c r="G81" s="639">
        <v>62784488877</v>
      </c>
      <c r="H81" s="639">
        <v>119306638877</v>
      </c>
      <c r="I81" s="639">
        <v>0</v>
      </c>
      <c r="J81" s="1292">
        <v>0</v>
      </c>
      <c r="L81" s="229" t="str">
        <f>LEFT(A81,1)</f>
        <v>1</v>
      </c>
      <c r="M81" s="230">
        <f t="shared" si="1"/>
        <v>0</v>
      </c>
      <c r="O81" s="216">
        <f t="shared" si="6"/>
        <v>8</v>
      </c>
    </row>
    <row r="82" spans="1:16">
      <c r="A82" s="627" t="s">
        <v>1447</v>
      </c>
      <c r="B82" s="1471"/>
      <c r="C82" s="1471"/>
      <c r="D82" s="628" t="s">
        <v>1448</v>
      </c>
      <c r="E82" s="1296">
        <v>50887450000</v>
      </c>
      <c r="F82" s="1296">
        <v>0</v>
      </c>
      <c r="G82" s="1296">
        <v>99558904110</v>
      </c>
      <c r="H82" s="1296">
        <v>100446354110</v>
      </c>
      <c r="I82" s="1296">
        <v>50000000000</v>
      </c>
      <c r="J82" s="1297">
        <v>0</v>
      </c>
      <c r="L82" s="229" t="str">
        <f>LEFT(A82,1)</f>
        <v>1</v>
      </c>
      <c r="M82" s="230">
        <f t="shared" si="1"/>
        <v>50000000000</v>
      </c>
      <c r="N82" s="265" t="s">
        <v>29</v>
      </c>
      <c r="O82" s="216">
        <f t="shared" si="6"/>
        <v>6</v>
      </c>
      <c r="P82" s="216" t="s">
        <v>30</v>
      </c>
    </row>
    <row r="83" spans="1:16" ht="25.5">
      <c r="A83" s="629" t="s">
        <v>1449</v>
      </c>
      <c r="B83" s="1472"/>
      <c r="C83" s="1472"/>
      <c r="D83" s="630" t="s">
        <v>1450</v>
      </c>
      <c r="E83" s="639">
        <v>0</v>
      </c>
      <c r="F83" s="639">
        <v>0</v>
      </c>
      <c r="G83" s="639">
        <v>50000000000</v>
      </c>
      <c r="H83" s="639">
        <v>0</v>
      </c>
      <c r="I83" s="639">
        <v>50000000000</v>
      </c>
      <c r="J83" s="1292">
        <v>0</v>
      </c>
      <c r="L83" s="229" t="str">
        <f>LEFT(A83,1)</f>
        <v>1</v>
      </c>
      <c r="M83" s="230">
        <f t="shared" ref="M83:M161" si="7">IF(AND(L83&lt;="4",L83&gt;"0"),I83-J83,IF(OR(L83="6",L83="8"),-H83,G83))</f>
        <v>50000000000</v>
      </c>
      <c r="O83" s="216">
        <f t="shared" si="6"/>
        <v>8</v>
      </c>
    </row>
    <row r="84" spans="1:16">
      <c r="A84" s="629" t="s">
        <v>1451</v>
      </c>
      <c r="B84" s="1472"/>
      <c r="C84" s="1472"/>
      <c r="D84" s="630" t="s">
        <v>1452</v>
      </c>
      <c r="E84" s="639">
        <v>50887450000</v>
      </c>
      <c r="F84" s="639">
        <v>0</v>
      </c>
      <c r="G84" s="639">
        <v>49558904110</v>
      </c>
      <c r="H84" s="639">
        <v>100446354110</v>
      </c>
      <c r="I84" s="639">
        <v>0</v>
      </c>
      <c r="J84" s="1292">
        <v>0</v>
      </c>
      <c r="L84" s="229" t="str">
        <f>LEFT(A84,1)</f>
        <v>1</v>
      </c>
      <c r="M84" s="230">
        <f t="shared" si="7"/>
        <v>0</v>
      </c>
      <c r="O84" s="216">
        <f t="shared" si="6"/>
        <v>8</v>
      </c>
    </row>
    <row r="85" spans="1:16">
      <c r="A85" s="627" t="s">
        <v>1453</v>
      </c>
      <c r="B85" s="1471"/>
      <c r="C85" s="1471"/>
      <c r="D85" s="628" t="s">
        <v>1454</v>
      </c>
      <c r="E85" s="1296">
        <v>70861041095</v>
      </c>
      <c r="F85" s="1296">
        <v>0</v>
      </c>
      <c r="G85" s="1296">
        <v>97455198405</v>
      </c>
      <c r="H85" s="1296">
        <v>162261718975</v>
      </c>
      <c r="I85" s="1296">
        <v>6054520525</v>
      </c>
      <c r="J85" s="1297">
        <v>0</v>
      </c>
      <c r="L85" s="229" t="str">
        <f>LEFT(A85,1)</f>
        <v>1</v>
      </c>
      <c r="M85" s="230">
        <f t="shared" si="7"/>
        <v>6054520525</v>
      </c>
      <c r="N85" s="265" t="s">
        <v>31</v>
      </c>
      <c r="O85" s="216">
        <f t="shared" si="6"/>
        <v>6</v>
      </c>
      <c r="P85" s="216" t="s">
        <v>1455</v>
      </c>
    </row>
    <row r="86" spans="1:16">
      <c r="A86" s="1291" t="s">
        <v>1456</v>
      </c>
      <c r="B86" s="252"/>
      <c r="C86" s="252"/>
      <c r="D86" s="637" t="s">
        <v>1457</v>
      </c>
      <c r="E86" s="639">
        <v>0</v>
      </c>
      <c r="F86" s="639">
        <v>0</v>
      </c>
      <c r="G86" s="639">
        <v>6054520525</v>
      </c>
      <c r="H86" s="639">
        <v>0</v>
      </c>
      <c r="I86" s="639">
        <v>6054520525</v>
      </c>
      <c r="J86" s="1292">
        <v>0</v>
      </c>
      <c r="L86" s="229"/>
      <c r="M86" s="230"/>
      <c r="N86" s="265"/>
      <c r="O86" s="216">
        <f t="shared" si="6"/>
        <v>8</v>
      </c>
    </row>
    <row r="87" spans="1:16">
      <c r="A87" s="629" t="s">
        <v>1458</v>
      </c>
      <c r="B87" s="1472"/>
      <c r="C87" s="1472"/>
      <c r="D87" s="630" t="s">
        <v>1459</v>
      </c>
      <c r="E87" s="639">
        <v>70861041095</v>
      </c>
      <c r="F87" s="639">
        <v>0</v>
      </c>
      <c r="G87" s="639">
        <v>91400677880</v>
      </c>
      <c r="H87" s="639">
        <v>162261718975</v>
      </c>
      <c r="I87" s="639">
        <v>0</v>
      </c>
      <c r="J87" s="1292">
        <v>0</v>
      </c>
      <c r="L87" s="229" t="str">
        <f>LEFT(A87,1)</f>
        <v>1</v>
      </c>
      <c r="M87" s="230">
        <f t="shared" si="7"/>
        <v>0</v>
      </c>
      <c r="O87" s="216">
        <f t="shared" si="6"/>
        <v>8</v>
      </c>
    </row>
    <row r="88" spans="1:16" ht="25.5">
      <c r="A88" s="627" t="s">
        <v>29</v>
      </c>
      <c r="B88" s="1471"/>
      <c r="C88" s="1471"/>
      <c r="D88" s="628" t="s">
        <v>1460</v>
      </c>
      <c r="E88" s="1296">
        <v>692224658</v>
      </c>
      <c r="F88" s="1296">
        <v>0</v>
      </c>
      <c r="G88" s="1296">
        <v>220914612</v>
      </c>
      <c r="H88" s="1296">
        <v>896584285</v>
      </c>
      <c r="I88" s="1296">
        <v>208770771</v>
      </c>
      <c r="J88" s="1297">
        <v>192215786</v>
      </c>
      <c r="L88" s="229" t="str">
        <f>LEFT(A88,1)</f>
        <v>1</v>
      </c>
      <c r="M88" s="230">
        <f t="shared" si="7"/>
        <v>16554985</v>
      </c>
      <c r="O88" s="216">
        <f t="shared" si="6"/>
        <v>4</v>
      </c>
    </row>
    <row r="89" spans="1:16">
      <c r="A89" s="1290" t="s">
        <v>1461</v>
      </c>
      <c r="B89" s="1473"/>
      <c r="C89" s="1473"/>
      <c r="D89" s="1293" t="s">
        <v>1462</v>
      </c>
      <c r="E89" s="1296">
        <v>0</v>
      </c>
      <c r="F89" s="1296">
        <v>0</v>
      </c>
      <c r="G89" s="1296">
        <v>55744000</v>
      </c>
      <c r="H89" s="1296">
        <v>0</v>
      </c>
      <c r="I89" s="1296">
        <v>55744000</v>
      </c>
      <c r="J89" s="1297">
        <v>0</v>
      </c>
      <c r="L89" s="229"/>
      <c r="M89" s="230">
        <f t="shared" ref="M89" si="8">IF(AND(L89&lt;="4",L89&gt;"0"),I89-J89,IF(OR(L89="6",L89="8"),-H89,G89))</f>
        <v>55744000</v>
      </c>
      <c r="N89" s="265" t="s">
        <v>1230</v>
      </c>
      <c r="O89" s="216">
        <f t="shared" si="6"/>
        <v>6</v>
      </c>
      <c r="P89" s="216" t="s">
        <v>1463</v>
      </c>
    </row>
    <row r="90" spans="1:16">
      <c r="A90" s="1291" t="s">
        <v>1464</v>
      </c>
      <c r="B90" s="252"/>
      <c r="C90" s="252"/>
      <c r="D90" s="637" t="s">
        <v>1465</v>
      </c>
      <c r="E90" s="639">
        <v>0</v>
      </c>
      <c r="F90" s="639">
        <v>0</v>
      </c>
      <c r="G90" s="639">
        <v>55744000</v>
      </c>
      <c r="H90" s="639">
        <v>0</v>
      </c>
      <c r="I90" s="639">
        <v>55744000</v>
      </c>
      <c r="J90" s="1292">
        <v>0</v>
      </c>
      <c r="L90" s="229"/>
      <c r="M90" s="230"/>
      <c r="O90" s="216">
        <f t="shared" si="6"/>
        <v>8</v>
      </c>
    </row>
    <row r="91" spans="1:16">
      <c r="A91" s="627" t="s">
        <v>1466</v>
      </c>
      <c r="B91" s="1471"/>
      <c r="C91" s="1471"/>
      <c r="D91" s="628" t="s">
        <v>1467</v>
      </c>
      <c r="E91" s="1296">
        <v>692224658</v>
      </c>
      <c r="F91" s="1296">
        <v>0</v>
      </c>
      <c r="G91" s="1296">
        <v>165170612</v>
      </c>
      <c r="H91" s="1296">
        <v>896584285</v>
      </c>
      <c r="I91" s="1296">
        <v>153026771</v>
      </c>
      <c r="J91" s="1297">
        <v>192215786</v>
      </c>
      <c r="L91" s="229" t="str">
        <f>LEFT(A91,1)</f>
        <v>1</v>
      </c>
      <c r="M91" s="230">
        <f t="shared" si="7"/>
        <v>-39189015</v>
      </c>
      <c r="N91" s="265" t="s">
        <v>1219</v>
      </c>
      <c r="O91" s="216">
        <f t="shared" si="6"/>
        <v>6</v>
      </c>
      <c r="P91" s="216" t="s">
        <v>1468</v>
      </c>
    </row>
    <row r="92" spans="1:16">
      <c r="A92" s="1291" t="s">
        <v>1469</v>
      </c>
      <c r="B92" s="252"/>
      <c r="C92" s="252"/>
      <c r="D92" s="637" t="s">
        <v>1470</v>
      </c>
      <c r="E92" s="639">
        <v>0</v>
      </c>
      <c r="F92" s="639">
        <v>0</v>
      </c>
      <c r="G92" s="639">
        <v>153026771</v>
      </c>
      <c r="H92" s="639">
        <v>0</v>
      </c>
      <c r="I92" s="639">
        <v>153026771</v>
      </c>
      <c r="J92" s="1292">
        <v>0</v>
      </c>
      <c r="L92" s="229"/>
      <c r="M92" s="230"/>
      <c r="N92" s="265"/>
      <c r="O92" s="216">
        <f t="shared" si="6"/>
        <v>8</v>
      </c>
    </row>
    <row r="93" spans="1:16">
      <c r="A93" s="1291" t="s">
        <v>1471</v>
      </c>
      <c r="B93" s="252"/>
      <c r="C93" s="252"/>
      <c r="D93" s="637" t="s">
        <v>1472</v>
      </c>
      <c r="E93" s="639">
        <v>0</v>
      </c>
      <c r="F93" s="639">
        <v>0</v>
      </c>
      <c r="G93" s="639">
        <v>12143841</v>
      </c>
      <c r="H93" s="639">
        <v>204359627</v>
      </c>
      <c r="I93" s="639">
        <v>0</v>
      </c>
      <c r="J93" s="1292">
        <v>192215786</v>
      </c>
      <c r="L93" s="229"/>
      <c r="M93" s="230"/>
      <c r="N93" s="265"/>
      <c r="O93" s="216">
        <f t="shared" si="6"/>
        <v>8</v>
      </c>
    </row>
    <row r="94" spans="1:16">
      <c r="A94" s="629" t="s">
        <v>1473</v>
      </c>
      <c r="B94" s="1472"/>
      <c r="C94" s="1472"/>
      <c r="D94" s="630" t="s">
        <v>1474</v>
      </c>
      <c r="E94" s="639">
        <v>692224658</v>
      </c>
      <c r="F94" s="639">
        <v>0</v>
      </c>
      <c r="G94" s="639">
        <v>0</v>
      </c>
      <c r="H94" s="639">
        <v>692224658</v>
      </c>
      <c r="I94" s="639">
        <v>0</v>
      </c>
      <c r="J94" s="1292">
        <v>0</v>
      </c>
      <c r="L94" s="229" t="str">
        <f t="shared" ref="L94:L111" si="9">LEFT(A94,1)</f>
        <v>1</v>
      </c>
      <c r="M94" s="230">
        <f t="shared" si="7"/>
        <v>0</v>
      </c>
      <c r="O94" s="216">
        <f t="shared" si="6"/>
        <v>8</v>
      </c>
    </row>
    <row r="95" spans="1:16">
      <c r="A95" s="627" t="s">
        <v>1475</v>
      </c>
      <c r="B95" s="1471"/>
      <c r="C95" s="1471"/>
      <c r="D95" s="628" t="s">
        <v>1476</v>
      </c>
      <c r="E95" s="1296">
        <v>0</v>
      </c>
      <c r="F95" s="1296">
        <v>0</v>
      </c>
      <c r="G95" s="1296">
        <v>141089205479</v>
      </c>
      <c r="H95" s="1296">
        <v>135089205479</v>
      </c>
      <c r="I95" s="1296">
        <v>6000000000</v>
      </c>
      <c r="J95" s="1297">
        <v>0</v>
      </c>
      <c r="L95" s="229" t="str">
        <f t="shared" si="9"/>
        <v>1</v>
      </c>
      <c r="M95" s="230">
        <f t="shared" si="7"/>
        <v>6000000000</v>
      </c>
      <c r="O95" s="216">
        <f t="shared" si="6"/>
        <v>3</v>
      </c>
    </row>
    <row r="96" spans="1:16">
      <c r="A96" s="627" t="s">
        <v>1477</v>
      </c>
      <c r="B96" s="1471"/>
      <c r="C96" s="1471"/>
      <c r="D96" s="628" t="s">
        <v>1478</v>
      </c>
      <c r="E96" s="1296">
        <v>0</v>
      </c>
      <c r="F96" s="1296">
        <v>0</v>
      </c>
      <c r="G96" s="1296">
        <v>141089205479</v>
      </c>
      <c r="H96" s="1296">
        <v>135089205479</v>
      </c>
      <c r="I96" s="1296">
        <v>6000000000</v>
      </c>
      <c r="J96" s="1297">
        <v>0</v>
      </c>
      <c r="L96" s="229" t="str">
        <f t="shared" si="9"/>
        <v>1</v>
      </c>
      <c r="M96" s="230">
        <f t="shared" si="7"/>
        <v>6000000000</v>
      </c>
      <c r="O96" s="216">
        <f t="shared" si="6"/>
        <v>4</v>
      </c>
    </row>
    <row r="97" spans="1:16">
      <c r="A97" s="627" t="s">
        <v>1479</v>
      </c>
      <c r="B97" s="1471"/>
      <c r="C97" s="1471"/>
      <c r="D97" s="628" t="s">
        <v>1480</v>
      </c>
      <c r="E97" s="1296">
        <v>0</v>
      </c>
      <c r="F97" s="1296">
        <v>0</v>
      </c>
      <c r="G97" s="1296">
        <v>141089205479</v>
      </c>
      <c r="H97" s="1296">
        <v>135089205479</v>
      </c>
      <c r="I97" s="1296">
        <v>6000000000</v>
      </c>
      <c r="J97" s="1297">
        <v>0</v>
      </c>
      <c r="L97" s="229" t="str">
        <f t="shared" si="9"/>
        <v>1</v>
      </c>
      <c r="M97" s="230">
        <f t="shared" si="7"/>
        <v>6000000000</v>
      </c>
      <c r="N97" s="265">
        <v>1123</v>
      </c>
      <c r="O97" s="216">
        <f t="shared" si="6"/>
        <v>6</v>
      </c>
      <c r="P97" s="216" t="s">
        <v>1481</v>
      </c>
    </row>
    <row r="98" spans="1:16" ht="25.5">
      <c r="A98" s="627" t="s">
        <v>1482</v>
      </c>
      <c r="B98" s="1471"/>
      <c r="C98" s="1471"/>
      <c r="D98" s="628" t="s">
        <v>1483</v>
      </c>
      <c r="E98" s="1296">
        <v>0</v>
      </c>
      <c r="F98" s="1296">
        <v>0</v>
      </c>
      <c r="G98" s="1296">
        <v>141089205479</v>
      </c>
      <c r="H98" s="1296">
        <v>135089205479</v>
      </c>
      <c r="I98" s="1296">
        <v>6000000000</v>
      </c>
      <c r="J98" s="1297">
        <v>0</v>
      </c>
      <c r="L98" s="229" t="str">
        <f t="shared" si="9"/>
        <v>1</v>
      </c>
      <c r="M98" s="230">
        <f t="shared" si="7"/>
        <v>6000000000</v>
      </c>
      <c r="O98" s="216">
        <f t="shared" si="6"/>
        <v>8</v>
      </c>
    </row>
    <row r="99" spans="1:16" ht="25.5">
      <c r="A99" s="629" t="s">
        <v>1484</v>
      </c>
      <c r="B99" s="1472"/>
      <c r="C99" s="1472"/>
      <c r="D99" s="630" t="s">
        <v>1485</v>
      </c>
      <c r="E99" s="639">
        <v>0</v>
      </c>
      <c r="F99" s="639">
        <v>0</v>
      </c>
      <c r="G99" s="639">
        <v>141089205479</v>
      </c>
      <c r="H99" s="639">
        <v>135089205479</v>
      </c>
      <c r="I99" s="639">
        <v>6000000000</v>
      </c>
      <c r="J99" s="1292">
        <v>0</v>
      </c>
      <c r="L99" s="229" t="str">
        <f t="shared" si="9"/>
        <v>1</v>
      </c>
      <c r="M99" s="230">
        <f t="shared" si="7"/>
        <v>6000000000</v>
      </c>
      <c r="N99" s="265"/>
      <c r="O99" s="216">
        <f t="shared" si="6"/>
        <v>9</v>
      </c>
    </row>
    <row r="100" spans="1:16">
      <c r="A100" s="627" t="s">
        <v>1486</v>
      </c>
      <c r="B100" s="1471"/>
      <c r="C100" s="1471"/>
      <c r="D100" s="628" t="s">
        <v>1487</v>
      </c>
      <c r="E100" s="1296">
        <v>62892816295</v>
      </c>
      <c r="F100" s="1296">
        <v>0</v>
      </c>
      <c r="G100" s="1296">
        <v>2274537481427</v>
      </c>
      <c r="H100" s="1296">
        <v>2231595479129</v>
      </c>
      <c r="I100" s="1296">
        <v>105834818593</v>
      </c>
      <c r="J100" s="1297">
        <v>0</v>
      </c>
      <c r="L100" s="229" t="str">
        <f t="shared" si="9"/>
        <v>1</v>
      </c>
      <c r="M100" s="230">
        <f t="shared" si="7"/>
        <v>105834818593</v>
      </c>
      <c r="N100" s="265" t="s">
        <v>45</v>
      </c>
      <c r="O100" s="216">
        <f t="shared" si="6"/>
        <v>3</v>
      </c>
    </row>
    <row r="101" spans="1:16">
      <c r="A101" s="627" t="s">
        <v>1488</v>
      </c>
      <c r="B101" s="1471"/>
      <c r="C101" s="1471"/>
      <c r="D101" s="628" t="s">
        <v>1489</v>
      </c>
      <c r="E101" s="1296">
        <v>57051182979</v>
      </c>
      <c r="F101" s="1296">
        <v>0</v>
      </c>
      <c r="G101" s="1296">
        <v>594552431011</v>
      </c>
      <c r="H101" s="1296">
        <v>557785789020</v>
      </c>
      <c r="I101" s="1296">
        <v>93817824970</v>
      </c>
      <c r="J101" s="1297">
        <v>0</v>
      </c>
      <c r="L101" s="229" t="str">
        <f t="shared" si="9"/>
        <v>1</v>
      </c>
      <c r="M101" s="230">
        <f t="shared" si="7"/>
        <v>93817824970</v>
      </c>
      <c r="O101" s="216">
        <f t="shared" si="6"/>
        <v>4</v>
      </c>
    </row>
    <row r="102" spans="1:16">
      <c r="A102" s="627" t="s">
        <v>1490</v>
      </c>
      <c r="B102" s="1471"/>
      <c r="C102" s="1471"/>
      <c r="D102" s="628" t="s">
        <v>1491</v>
      </c>
      <c r="E102" s="1296">
        <v>57051182979</v>
      </c>
      <c r="F102" s="1296">
        <v>0</v>
      </c>
      <c r="G102" s="1296">
        <v>594552431011</v>
      </c>
      <c r="H102" s="1296">
        <v>557785789020</v>
      </c>
      <c r="I102" s="1296">
        <v>93817824970</v>
      </c>
      <c r="J102" s="1297">
        <v>0</v>
      </c>
      <c r="L102" s="229" t="str">
        <f t="shared" si="9"/>
        <v>1</v>
      </c>
      <c r="M102" s="230">
        <f t="shared" si="7"/>
        <v>93817824970</v>
      </c>
      <c r="O102" s="216">
        <f t="shared" si="6"/>
        <v>5</v>
      </c>
    </row>
    <row r="103" spans="1:16">
      <c r="A103" s="629" t="s">
        <v>1492</v>
      </c>
      <c r="B103" s="1472"/>
      <c r="C103" s="1472"/>
      <c r="D103" s="630" t="s">
        <v>1493</v>
      </c>
      <c r="E103" s="639">
        <v>57051182979</v>
      </c>
      <c r="F103" s="639">
        <v>0</v>
      </c>
      <c r="G103" s="639">
        <v>594552431011</v>
      </c>
      <c r="H103" s="639">
        <v>557785789020</v>
      </c>
      <c r="I103" s="639">
        <v>93817824970</v>
      </c>
      <c r="J103" s="1292">
        <v>0</v>
      </c>
      <c r="L103" s="229" t="str">
        <f t="shared" si="9"/>
        <v>1</v>
      </c>
      <c r="M103" s="230">
        <f t="shared" si="7"/>
        <v>93817824970</v>
      </c>
      <c r="O103" s="216">
        <f t="shared" si="6"/>
        <v>6</v>
      </c>
    </row>
    <row r="104" spans="1:16">
      <c r="A104" s="627" t="s">
        <v>1494</v>
      </c>
      <c r="B104" s="1471"/>
      <c r="C104" s="1471"/>
      <c r="D104" s="628" t="s">
        <v>1495</v>
      </c>
      <c r="E104" s="1296">
        <v>5841633316</v>
      </c>
      <c r="F104" s="1296">
        <v>0</v>
      </c>
      <c r="G104" s="1296">
        <v>1679985050416</v>
      </c>
      <c r="H104" s="1296">
        <v>1673809690109</v>
      </c>
      <c r="I104" s="1296">
        <v>12016993623</v>
      </c>
      <c r="J104" s="1297">
        <v>0</v>
      </c>
      <c r="L104" s="229" t="str">
        <f t="shared" si="9"/>
        <v>1</v>
      </c>
      <c r="M104" s="230">
        <f t="shared" si="7"/>
        <v>12016993623</v>
      </c>
      <c r="O104" s="216">
        <f t="shared" si="6"/>
        <v>4</v>
      </c>
    </row>
    <row r="105" spans="1:16">
      <c r="A105" s="627" t="s">
        <v>1496</v>
      </c>
      <c r="B105" s="1471"/>
      <c r="C105" s="1471"/>
      <c r="D105" s="628" t="s">
        <v>1497</v>
      </c>
      <c r="E105" s="1296">
        <v>5841633316</v>
      </c>
      <c r="F105" s="1296">
        <v>0</v>
      </c>
      <c r="G105" s="1296">
        <v>1679985050416</v>
      </c>
      <c r="H105" s="1296">
        <v>1673809690109</v>
      </c>
      <c r="I105" s="1296">
        <v>12016993623</v>
      </c>
      <c r="J105" s="1297">
        <v>0</v>
      </c>
      <c r="L105" s="229" t="str">
        <f t="shared" si="9"/>
        <v>1</v>
      </c>
      <c r="M105" s="230">
        <f t="shared" si="7"/>
        <v>12016993623</v>
      </c>
      <c r="O105" s="216">
        <f t="shared" si="6"/>
        <v>5</v>
      </c>
    </row>
    <row r="106" spans="1:16" ht="25.5">
      <c r="A106" s="629" t="s">
        <v>1498</v>
      </c>
      <c r="B106" s="1472"/>
      <c r="C106" s="1472"/>
      <c r="D106" s="630" t="s">
        <v>1499</v>
      </c>
      <c r="E106" s="639">
        <v>5841633316</v>
      </c>
      <c r="F106" s="639">
        <v>0</v>
      </c>
      <c r="G106" s="639">
        <v>1679985050416</v>
      </c>
      <c r="H106" s="639">
        <v>1673809690109</v>
      </c>
      <c r="I106" s="639">
        <v>12016993623</v>
      </c>
      <c r="J106" s="1292">
        <v>0</v>
      </c>
      <c r="L106" s="229" t="str">
        <f t="shared" si="9"/>
        <v>1</v>
      </c>
      <c r="M106" s="230">
        <f t="shared" si="7"/>
        <v>12016993623</v>
      </c>
      <c r="O106" s="216">
        <f t="shared" si="6"/>
        <v>6</v>
      </c>
    </row>
    <row r="107" spans="1:16">
      <c r="A107" s="627" t="s">
        <v>47</v>
      </c>
      <c r="B107" s="1471"/>
      <c r="C107" s="1471"/>
      <c r="D107" s="628" t="s">
        <v>48</v>
      </c>
      <c r="E107" s="1296">
        <v>0</v>
      </c>
      <c r="F107" s="1296">
        <v>0</v>
      </c>
      <c r="G107" s="1296">
        <v>679415116523</v>
      </c>
      <c r="H107" s="1296">
        <v>679415116523</v>
      </c>
      <c r="I107" s="1296">
        <v>0</v>
      </c>
      <c r="J107" s="1297">
        <v>0</v>
      </c>
      <c r="L107" s="229" t="str">
        <f t="shared" si="9"/>
        <v>1</v>
      </c>
      <c r="M107" s="230">
        <f t="shared" si="7"/>
        <v>0</v>
      </c>
      <c r="O107" s="216">
        <f t="shared" si="6"/>
        <v>3</v>
      </c>
    </row>
    <row r="108" spans="1:16">
      <c r="A108" s="627" t="s">
        <v>1500</v>
      </c>
      <c r="B108" s="1471"/>
      <c r="C108" s="1471"/>
      <c r="D108" s="628" t="s">
        <v>1501</v>
      </c>
      <c r="E108" s="1296">
        <v>0</v>
      </c>
      <c r="F108" s="1296">
        <v>0</v>
      </c>
      <c r="G108" s="1296">
        <v>679415116523</v>
      </c>
      <c r="H108" s="1296">
        <v>679415116523</v>
      </c>
      <c r="I108" s="1296">
        <v>0</v>
      </c>
      <c r="J108" s="1297">
        <v>0</v>
      </c>
      <c r="L108" s="229" t="str">
        <f t="shared" si="9"/>
        <v>1</v>
      </c>
      <c r="M108" s="230">
        <f t="shared" si="7"/>
        <v>0</v>
      </c>
      <c r="O108" s="216">
        <f t="shared" si="6"/>
        <v>4</v>
      </c>
    </row>
    <row r="109" spans="1:16">
      <c r="A109" s="627" t="s">
        <v>1502</v>
      </c>
      <c r="B109" s="1471"/>
      <c r="C109" s="1471"/>
      <c r="D109" s="628" t="s">
        <v>1503</v>
      </c>
      <c r="E109" s="1296">
        <v>0</v>
      </c>
      <c r="F109" s="1296">
        <v>0</v>
      </c>
      <c r="G109" s="1296">
        <v>512413630883</v>
      </c>
      <c r="H109" s="1296">
        <v>512413630883</v>
      </c>
      <c r="I109" s="1296">
        <v>0</v>
      </c>
      <c r="J109" s="1297">
        <v>0</v>
      </c>
      <c r="L109" s="229" t="str">
        <f t="shared" si="9"/>
        <v>1</v>
      </c>
      <c r="M109" s="230">
        <f t="shared" si="7"/>
        <v>0</v>
      </c>
      <c r="O109" s="216">
        <f t="shared" si="6"/>
        <v>5</v>
      </c>
    </row>
    <row r="110" spans="1:16">
      <c r="A110" s="627" t="s">
        <v>1504</v>
      </c>
      <c r="B110" s="1471"/>
      <c r="C110" s="1471"/>
      <c r="D110" s="628" t="s">
        <v>1505</v>
      </c>
      <c r="E110" s="1296">
        <v>0</v>
      </c>
      <c r="F110" s="1296">
        <v>0</v>
      </c>
      <c r="G110" s="1296">
        <v>512413630883</v>
      </c>
      <c r="H110" s="1296">
        <v>512413630883</v>
      </c>
      <c r="I110" s="1296">
        <v>0</v>
      </c>
      <c r="J110" s="1297">
        <v>0</v>
      </c>
      <c r="L110" s="229" t="str">
        <f t="shared" si="9"/>
        <v>1</v>
      </c>
      <c r="M110" s="230">
        <f t="shared" si="7"/>
        <v>0</v>
      </c>
      <c r="O110" s="216">
        <f t="shared" si="6"/>
        <v>7</v>
      </c>
    </row>
    <row r="111" spans="1:16">
      <c r="A111" s="629" t="s">
        <v>1506</v>
      </c>
      <c r="B111" s="1472"/>
      <c r="C111" s="1472"/>
      <c r="D111" s="630" t="s">
        <v>1507</v>
      </c>
      <c r="E111" s="639">
        <v>0</v>
      </c>
      <c r="F111" s="639">
        <v>0</v>
      </c>
      <c r="G111" s="639">
        <v>512413630883</v>
      </c>
      <c r="H111" s="639">
        <v>512413630883</v>
      </c>
      <c r="I111" s="639">
        <v>0</v>
      </c>
      <c r="J111" s="1292">
        <v>0</v>
      </c>
      <c r="L111" s="229" t="str">
        <f t="shared" si="9"/>
        <v>1</v>
      </c>
      <c r="M111" s="230">
        <f t="shared" si="7"/>
        <v>0</v>
      </c>
      <c r="O111" s="216">
        <f t="shared" si="6"/>
        <v>8</v>
      </c>
    </row>
    <row r="112" spans="1:16">
      <c r="A112" s="1290" t="s">
        <v>1508</v>
      </c>
      <c r="B112" s="1473"/>
      <c r="C112" s="1473"/>
      <c r="D112" s="1293" t="s">
        <v>1509</v>
      </c>
      <c r="E112" s="1296">
        <v>0</v>
      </c>
      <c r="F112" s="1296">
        <v>0</v>
      </c>
      <c r="G112" s="1296">
        <v>167001485640</v>
      </c>
      <c r="H112" s="1296">
        <v>167001485640</v>
      </c>
      <c r="I112" s="1296">
        <v>0</v>
      </c>
      <c r="J112" s="1297">
        <v>0</v>
      </c>
      <c r="L112" s="229"/>
      <c r="M112" s="230"/>
      <c r="O112" s="216">
        <f t="shared" si="6"/>
        <v>5</v>
      </c>
    </row>
    <row r="113" spans="1:15">
      <c r="A113" s="1290" t="s">
        <v>1510</v>
      </c>
      <c r="B113" s="1473"/>
      <c r="C113" s="1473"/>
      <c r="D113" s="1293" t="s">
        <v>1511</v>
      </c>
      <c r="E113" s="1296">
        <v>0</v>
      </c>
      <c r="F113" s="1296">
        <v>0</v>
      </c>
      <c r="G113" s="1296">
        <v>167001485640</v>
      </c>
      <c r="H113" s="1296">
        <v>167001485640</v>
      </c>
      <c r="I113" s="1296">
        <v>0</v>
      </c>
      <c r="J113" s="1297">
        <v>0</v>
      </c>
      <c r="L113" s="229"/>
      <c r="M113" s="230"/>
      <c r="O113" s="216">
        <f t="shared" si="6"/>
        <v>7</v>
      </c>
    </row>
    <row r="114" spans="1:15">
      <c r="A114" s="1291" t="s">
        <v>1512</v>
      </c>
      <c r="B114" s="252"/>
      <c r="C114" s="252"/>
      <c r="D114" s="637" t="s">
        <v>1513</v>
      </c>
      <c r="E114" s="639">
        <v>0</v>
      </c>
      <c r="F114" s="639">
        <v>0</v>
      </c>
      <c r="G114" s="639">
        <v>167001485640</v>
      </c>
      <c r="H114" s="639">
        <v>167001485640</v>
      </c>
      <c r="I114" s="639">
        <v>0</v>
      </c>
      <c r="J114" s="1292">
        <v>0</v>
      </c>
      <c r="L114" s="229"/>
      <c r="M114" s="230"/>
      <c r="O114" s="216">
        <f t="shared" si="6"/>
        <v>8</v>
      </c>
    </row>
    <row r="115" spans="1:15">
      <c r="A115" s="627" t="s">
        <v>1514</v>
      </c>
      <c r="B115" s="1471"/>
      <c r="C115" s="1471"/>
      <c r="D115" s="628" t="s">
        <v>1515</v>
      </c>
      <c r="E115" s="1296">
        <v>2521308325</v>
      </c>
      <c r="F115" s="1296">
        <v>0</v>
      </c>
      <c r="G115" s="1296">
        <v>20823473313</v>
      </c>
      <c r="H115" s="1296">
        <v>20119271583</v>
      </c>
      <c r="I115" s="1296">
        <v>3225510055</v>
      </c>
      <c r="J115" s="1297">
        <v>0</v>
      </c>
      <c r="L115" s="229" t="str">
        <f>LEFT(A115,1)</f>
        <v>1</v>
      </c>
      <c r="M115" s="230">
        <f t="shared" si="7"/>
        <v>3225510055</v>
      </c>
      <c r="N115" s="265" t="s">
        <v>1221</v>
      </c>
      <c r="O115" s="216">
        <f t="shared" si="6"/>
        <v>3</v>
      </c>
    </row>
    <row r="116" spans="1:15" ht="25.5">
      <c r="A116" s="627" t="s">
        <v>1516</v>
      </c>
      <c r="B116" s="1471"/>
      <c r="C116" s="1471"/>
      <c r="D116" s="628" t="s">
        <v>1517</v>
      </c>
      <c r="E116" s="1296">
        <v>2521308325</v>
      </c>
      <c r="F116" s="1296">
        <v>0</v>
      </c>
      <c r="G116" s="1296">
        <v>20823473313</v>
      </c>
      <c r="H116" s="1296">
        <v>20119271583</v>
      </c>
      <c r="I116" s="1296">
        <v>3225510055</v>
      </c>
      <c r="J116" s="1297">
        <v>0</v>
      </c>
      <c r="L116" s="229" t="str">
        <f>LEFT(A116,1)</f>
        <v>1</v>
      </c>
      <c r="M116" s="230">
        <f t="shared" si="7"/>
        <v>3225510055</v>
      </c>
      <c r="O116" s="216">
        <f t="shared" si="6"/>
        <v>4</v>
      </c>
    </row>
    <row r="117" spans="1:15">
      <c r="A117" s="627" t="s">
        <v>1518</v>
      </c>
      <c r="B117" s="1471"/>
      <c r="C117" s="1471"/>
      <c r="D117" s="628" t="s">
        <v>1519</v>
      </c>
      <c r="E117" s="1296">
        <v>210623288</v>
      </c>
      <c r="F117" s="1296">
        <v>0</v>
      </c>
      <c r="G117" s="1296">
        <v>89295292</v>
      </c>
      <c r="H117" s="1296">
        <v>0</v>
      </c>
      <c r="I117" s="1296">
        <v>299918580</v>
      </c>
      <c r="J117" s="1297">
        <v>0</v>
      </c>
      <c r="L117" s="229" t="str">
        <f>LEFT(A117,1)</f>
        <v>1</v>
      </c>
      <c r="M117" s="230">
        <f t="shared" si="7"/>
        <v>299918580</v>
      </c>
      <c r="O117" s="216">
        <f t="shared" si="6"/>
        <v>5</v>
      </c>
    </row>
    <row r="118" spans="1:15">
      <c r="A118" s="627" t="s">
        <v>1520</v>
      </c>
      <c r="B118" s="1471"/>
      <c r="C118" s="1471"/>
      <c r="D118" s="628" t="s">
        <v>1521</v>
      </c>
      <c r="E118" s="1296">
        <v>0</v>
      </c>
      <c r="F118" s="1296">
        <v>0</v>
      </c>
      <c r="G118" s="1296">
        <v>8580822</v>
      </c>
      <c r="H118" s="1296">
        <v>0</v>
      </c>
      <c r="I118" s="1296">
        <v>8580822</v>
      </c>
      <c r="J118" s="1297">
        <v>0</v>
      </c>
      <c r="L118" s="229" t="str">
        <f>LEFT(A118,1)</f>
        <v>1</v>
      </c>
      <c r="M118" s="230">
        <f t="shared" si="7"/>
        <v>8580822</v>
      </c>
      <c r="O118" s="216">
        <f t="shared" si="6"/>
        <v>7</v>
      </c>
    </row>
    <row r="119" spans="1:15">
      <c r="A119" s="629" t="s">
        <v>1522</v>
      </c>
      <c r="B119" s="1472"/>
      <c r="C119" s="1472"/>
      <c r="D119" s="630" t="s">
        <v>1523</v>
      </c>
      <c r="E119" s="639">
        <v>0</v>
      </c>
      <c r="F119" s="639">
        <v>0</v>
      </c>
      <c r="G119" s="639">
        <v>8580822</v>
      </c>
      <c r="H119" s="639">
        <v>0</v>
      </c>
      <c r="I119" s="639">
        <v>8580822</v>
      </c>
      <c r="J119" s="1292">
        <v>0</v>
      </c>
      <c r="L119" s="229" t="str">
        <f>LEFT(A119,1)</f>
        <v>1</v>
      </c>
      <c r="M119" s="230">
        <f t="shared" si="7"/>
        <v>8580822</v>
      </c>
      <c r="O119" s="216">
        <f t="shared" si="6"/>
        <v>8</v>
      </c>
    </row>
    <row r="120" spans="1:15">
      <c r="A120" s="1290" t="s">
        <v>1524</v>
      </c>
      <c r="B120" s="1473"/>
      <c r="C120" s="1473"/>
      <c r="D120" s="1293" t="s">
        <v>1525</v>
      </c>
      <c r="E120" s="1296">
        <v>0</v>
      </c>
      <c r="F120" s="1296">
        <v>0</v>
      </c>
      <c r="G120" s="1296">
        <v>291337758</v>
      </c>
      <c r="H120" s="1296">
        <v>0</v>
      </c>
      <c r="I120" s="1296">
        <v>291337758</v>
      </c>
      <c r="J120" s="1297">
        <v>0</v>
      </c>
      <c r="L120" s="229"/>
      <c r="M120" s="230"/>
      <c r="O120" s="216">
        <f t="shared" si="6"/>
        <v>7</v>
      </c>
    </row>
    <row r="121" spans="1:15">
      <c r="A121" s="1291" t="s">
        <v>1526</v>
      </c>
      <c r="B121" s="252"/>
      <c r="C121" s="252"/>
      <c r="D121" s="637" t="s">
        <v>1527</v>
      </c>
      <c r="E121" s="639">
        <v>0</v>
      </c>
      <c r="F121" s="639">
        <v>0</v>
      </c>
      <c r="G121" s="639">
        <v>291337758</v>
      </c>
      <c r="H121" s="639">
        <v>0</v>
      </c>
      <c r="I121" s="639">
        <v>291337758</v>
      </c>
      <c r="J121" s="1292">
        <v>0</v>
      </c>
      <c r="L121" s="229"/>
      <c r="M121" s="230"/>
      <c r="O121" s="216">
        <f t="shared" si="6"/>
        <v>8</v>
      </c>
    </row>
    <row r="122" spans="1:15">
      <c r="A122" s="627" t="s">
        <v>1528</v>
      </c>
      <c r="B122" s="1471"/>
      <c r="C122" s="1471"/>
      <c r="D122" s="628" t="s">
        <v>1529</v>
      </c>
      <c r="E122" s="1296">
        <v>210623288</v>
      </c>
      <c r="F122" s="1296">
        <v>0</v>
      </c>
      <c r="G122" s="1296">
        <v>-210623288</v>
      </c>
      <c r="H122" s="1296">
        <v>0</v>
      </c>
      <c r="I122" s="1296">
        <v>0</v>
      </c>
      <c r="J122" s="1297">
        <v>0</v>
      </c>
      <c r="L122" s="229" t="str">
        <f t="shared" ref="L122:L135" si="10">LEFT(A122,1)</f>
        <v>1</v>
      </c>
      <c r="M122" s="230">
        <f t="shared" si="7"/>
        <v>0</v>
      </c>
      <c r="O122" s="216">
        <f t="shared" si="6"/>
        <v>7</v>
      </c>
    </row>
    <row r="123" spans="1:15">
      <c r="A123" s="629" t="s">
        <v>1530</v>
      </c>
      <c r="B123" s="1472"/>
      <c r="C123" s="1472"/>
      <c r="D123" s="630" t="s">
        <v>1531</v>
      </c>
      <c r="E123" s="639">
        <v>210623288</v>
      </c>
      <c r="F123" s="639">
        <v>0</v>
      </c>
      <c r="G123" s="639">
        <v>-210623288</v>
      </c>
      <c r="H123" s="639">
        <v>0</v>
      </c>
      <c r="I123" s="639">
        <v>0</v>
      </c>
      <c r="J123" s="1292">
        <v>0</v>
      </c>
      <c r="L123" s="229" t="str">
        <f t="shared" si="10"/>
        <v>1</v>
      </c>
      <c r="M123" s="230">
        <f t="shared" si="7"/>
        <v>0</v>
      </c>
      <c r="O123" s="216">
        <f t="shared" si="6"/>
        <v>8</v>
      </c>
    </row>
    <row r="124" spans="1:15">
      <c r="A124" s="627" t="s">
        <v>1532</v>
      </c>
      <c r="B124" s="1471"/>
      <c r="C124" s="1471"/>
      <c r="D124" s="628" t="s">
        <v>1533</v>
      </c>
      <c r="E124" s="1296">
        <v>299315068</v>
      </c>
      <c r="F124" s="1296">
        <v>0</v>
      </c>
      <c r="G124" s="1296">
        <v>8044575345</v>
      </c>
      <c r="H124" s="1296">
        <v>6617808219</v>
      </c>
      <c r="I124" s="1296">
        <v>1726082194</v>
      </c>
      <c r="J124" s="1297">
        <v>0</v>
      </c>
      <c r="L124" s="229" t="str">
        <f t="shared" si="10"/>
        <v>1</v>
      </c>
      <c r="M124" s="230">
        <f t="shared" si="7"/>
        <v>1726082194</v>
      </c>
      <c r="O124" s="216">
        <f t="shared" si="6"/>
        <v>5</v>
      </c>
    </row>
    <row r="125" spans="1:15">
      <c r="A125" s="627" t="s">
        <v>1534</v>
      </c>
      <c r="B125" s="1471"/>
      <c r="C125" s="1471"/>
      <c r="D125" s="628" t="s">
        <v>1535</v>
      </c>
      <c r="E125" s="1296">
        <v>0</v>
      </c>
      <c r="F125" s="1296">
        <v>0</v>
      </c>
      <c r="G125" s="1296">
        <v>1726082194</v>
      </c>
      <c r="H125" s="1296">
        <v>0</v>
      </c>
      <c r="I125" s="1296">
        <v>1726082194</v>
      </c>
      <c r="J125" s="1297">
        <v>0</v>
      </c>
      <c r="L125" s="229" t="str">
        <f t="shared" si="10"/>
        <v>1</v>
      </c>
      <c r="M125" s="230">
        <f t="shared" si="7"/>
        <v>1726082194</v>
      </c>
      <c r="O125" s="216">
        <f t="shared" si="6"/>
        <v>7</v>
      </c>
    </row>
    <row r="126" spans="1:15">
      <c r="A126" s="629" t="s">
        <v>1536</v>
      </c>
      <c r="B126" s="1472"/>
      <c r="C126" s="1472"/>
      <c r="D126" s="630" t="s">
        <v>1527</v>
      </c>
      <c r="E126" s="639">
        <v>0</v>
      </c>
      <c r="F126" s="639">
        <v>0</v>
      </c>
      <c r="G126" s="639">
        <v>1726082194</v>
      </c>
      <c r="H126" s="639">
        <v>0</v>
      </c>
      <c r="I126" s="639">
        <v>1726082194</v>
      </c>
      <c r="J126" s="1292">
        <v>0</v>
      </c>
      <c r="L126" s="229" t="str">
        <f t="shared" si="10"/>
        <v>1</v>
      </c>
      <c r="M126" s="230">
        <f t="shared" si="7"/>
        <v>1726082194</v>
      </c>
      <c r="O126" s="216">
        <f t="shared" si="6"/>
        <v>8</v>
      </c>
    </row>
    <row r="127" spans="1:15">
      <c r="A127" s="627" t="s">
        <v>1537</v>
      </c>
      <c r="B127" s="1471"/>
      <c r="C127" s="1471"/>
      <c r="D127" s="628" t="s">
        <v>1538</v>
      </c>
      <c r="E127" s="1296">
        <v>299315068</v>
      </c>
      <c r="F127" s="1296">
        <v>0</v>
      </c>
      <c r="G127" s="1296">
        <v>6318493151</v>
      </c>
      <c r="H127" s="1296">
        <v>6617808219</v>
      </c>
      <c r="I127" s="1296">
        <v>0</v>
      </c>
      <c r="J127" s="1297">
        <v>0</v>
      </c>
      <c r="L127" s="229" t="str">
        <f t="shared" si="10"/>
        <v>1</v>
      </c>
      <c r="M127" s="230">
        <f t="shared" si="7"/>
        <v>0</v>
      </c>
      <c r="O127" s="216">
        <f t="shared" si="6"/>
        <v>7</v>
      </c>
    </row>
    <row r="128" spans="1:15">
      <c r="A128" s="629" t="s">
        <v>1539</v>
      </c>
      <c r="B128" s="1472"/>
      <c r="C128" s="1472"/>
      <c r="D128" s="630" t="s">
        <v>1531</v>
      </c>
      <c r="E128" s="639">
        <v>299315068</v>
      </c>
      <c r="F128" s="639">
        <v>0</v>
      </c>
      <c r="G128" s="639">
        <v>6318493151</v>
      </c>
      <c r="H128" s="639">
        <v>6617808219</v>
      </c>
      <c r="I128" s="639">
        <v>0</v>
      </c>
      <c r="J128" s="1292">
        <v>0</v>
      </c>
      <c r="L128" s="229" t="str">
        <f t="shared" si="10"/>
        <v>1</v>
      </c>
      <c r="M128" s="230">
        <f t="shared" si="7"/>
        <v>0</v>
      </c>
      <c r="O128" s="216">
        <f t="shared" si="6"/>
        <v>8</v>
      </c>
    </row>
    <row r="129" spans="1:15">
      <c r="A129" s="627" t="s">
        <v>1540</v>
      </c>
      <c r="B129" s="1471"/>
      <c r="C129" s="1471"/>
      <c r="D129" s="628" t="s">
        <v>1541</v>
      </c>
      <c r="E129" s="1296">
        <v>1286835617</v>
      </c>
      <c r="F129" s="1296">
        <v>0</v>
      </c>
      <c r="G129" s="1296">
        <v>-795327756</v>
      </c>
      <c r="H129" s="1296">
        <v>478653068</v>
      </c>
      <c r="I129" s="1296">
        <v>12854793</v>
      </c>
      <c r="J129" s="1297">
        <v>0</v>
      </c>
      <c r="L129" s="229" t="str">
        <f t="shared" si="10"/>
        <v>1</v>
      </c>
      <c r="M129" s="230">
        <f t="shared" si="7"/>
        <v>12854793</v>
      </c>
      <c r="O129" s="216">
        <f t="shared" si="6"/>
        <v>5</v>
      </c>
    </row>
    <row r="130" spans="1:15">
      <c r="A130" s="627" t="s">
        <v>1542</v>
      </c>
      <c r="B130" s="1471"/>
      <c r="C130" s="1471"/>
      <c r="D130" s="628" t="s">
        <v>1543</v>
      </c>
      <c r="E130" s="1296">
        <v>1286835617</v>
      </c>
      <c r="F130" s="1296">
        <v>0</v>
      </c>
      <c r="G130" s="1296">
        <v>-795327756</v>
      </c>
      <c r="H130" s="1296">
        <v>478653068</v>
      </c>
      <c r="I130" s="1296">
        <v>12854793</v>
      </c>
      <c r="J130" s="1297">
        <v>0</v>
      </c>
      <c r="L130" s="229" t="str">
        <f t="shared" si="10"/>
        <v>1</v>
      </c>
      <c r="M130" s="230">
        <f t="shared" si="7"/>
        <v>12854793</v>
      </c>
      <c r="O130" s="216">
        <f t="shared" si="6"/>
        <v>7</v>
      </c>
    </row>
    <row r="131" spans="1:15">
      <c r="A131" s="629" t="s">
        <v>1544</v>
      </c>
      <c r="B131" s="1472"/>
      <c r="C131" s="1472"/>
      <c r="D131" s="630" t="s">
        <v>1545</v>
      </c>
      <c r="E131" s="639">
        <v>1286835617</v>
      </c>
      <c r="F131" s="639">
        <v>0</v>
      </c>
      <c r="G131" s="639">
        <v>-795327756</v>
      </c>
      <c r="H131" s="639">
        <v>478653068</v>
      </c>
      <c r="I131" s="639">
        <v>12854793</v>
      </c>
      <c r="J131" s="1292">
        <v>0</v>
      </c>
      <c r="L131" s="229" t="str">
        <f t="shared" si="10"/>
        <v>1</v>
      </c>
      <c r="M131" s="230">
        <f t="shared" si="7"/>
        <v>12854793</v>
      </c>
      <c r="O131" s="216">
        <f t="shared" si="6"/>
        <v>8</v>
      </c>
    </row>
    <row r="132" spans="1:15">
      <c r="A132" s="627" t="s">
        <v>1546</v>
      </c>
      <c r="B132" s="1471"/>
      <c r="C132" s="1471"/>
      <c r="D132" s="628" t="s">
        <v>1547</v>
      </c>
      <c r="E132" s="1296">
        <v>724534352</v>
      </c>
      <c r="F132" s="1296">
        <v>0</v>
      </c>
      <c r="G132" s="1296">
        <v>12135199856</v>
      </c>
      <c r="H132" s="1296">
        <v>11673079720</v>
      </c>
      <c r="I132" s="1296">
        <v>1186654488</v>
      </c>
      <c r="J132" s="1297">
        <v>0</v>
      </c>
      <c r="L132" s="229" t="str">
        <f t="shared" si="10"/>
        <v>1</v>
      </c>
      <c r="M132" s="230">
        <f t="shared" si="7"/>
        <v>1186654488</v>
      </c>
      <c r="O132" s="216">
        <f t="shared" si="6"/>
        <v>5</v>
      </c>
    </row>
    <row r="133" spans="1:15">
      <c r="A133" s="629" t="s">
        <v>1548</v>
      </c>
      <c r="B133" s="1472"/>
      <c r="C133" s="1472"/>
      <c r="D133" s="630" t="s">
        <v>1549</v>
      </c>
      <c r="E133" s="639">
        <v>724534352</v>
      </c>
      <c r="F133" s="639">
        <v>0</v>
      </c>
      <c r="G133" s="639">
        <v>12135199856</v>
      </c>
      <c r="H133" s="639">
        <v>11673079720</v>
      </c>
      <c r="I133" s="639">
        <v>1186654488</v>
      </c>
      <c r="J133" s="1292">
        <v>0</v>
      </c>
      <c r="L133" s="229" t="str">
        <f t="shared" si="10"/>
        <v>1</v>
      </c>
      <c r="M133" s="230">
        <f t="shared" si="7"/>
        <v>1186654488</v>
      </c>
      <c r="O133" s="216">
        <f t="shared" si="6"/>
        <v>6</v>
      </c>
    </row>
    <row r="134" spans="1:15" ht="25.5">
      <c r="A134" s="627" t="s">
        <v>1550</v>
      </c>
      <c r="B134" s="1471"/>
      <c r="C134" s="1471"/>
      <c r="D134" s="628" t="s">
        <v>1551</v>
      </c>
      <c r="E134" s="1296">
        <v>0</v>
      </c>
      <c r="F134" s="1296">
        <v>0</v>
      </c>
      <c r="G134" s="1296">
        <v>1349730576</v>
      </c>
      <c r="H134" s="1296">
        <v>1349730576</v>
      </c>
      <c r="I134" s="1296">
        <v>0</v>
      </c>
      <c r="J134" s="1297">
        <v>0</v>
      </c>
      <c r="L134" s="229" t="str">
        <f t="shared" si="10"/>
        <v>1</v>
      </c>
      <c r="M134" s="230">
        <f t="shared" si="7"/>
        <v>0</v>
      </c>
      <c r="O134" s="216">
        <f t="shared" si="6"/>
        <v>5</v>
      </c>
    </row>
    <row r="135" spans="1:15" ht="25.5">
      <c r="A135" s="629" t="s">
        <v>1552</v>
      </c>
      <c r="B135" s="1472"/>
      <c r="C135" s="1472"/>
      <c r="D135" s="630" t="s">
        <v>1553</v>
      </c>
      <c r="E135" s="639">
        <v>0</v>
      </c>
      <c r="F135" s="639">
        <v>0</v>
      </c>
      <c r="G135" s="639">
        <v>1349730576</v>
      </c>
      <c r="H135" s="639">
        <v>1349730576</v>
      </c>
      <c r="I135" s="639">
        <v>0</v>
      </c>
      <c r="J135" s="1292">
        <v>0</v>
      </c>
      <c r="L135" s="229" t="str">
        <f t="shared" si="10"/>
        <v>1</v>
      </c>
      <c r="M135" s="230">
        <f t="shared" si="7"/>
        <v>0</v>
      </c>
      <c r="O135" s="216">
        <f t="shared" si="6"/>
        <v>6</v>
      </c>
    </row>
    <row r="136" spans="1:15">
      <c r="A136" s="1290" t="s">
        <v>49</v>
      </c>
      <c r="B136" s="1473"/>
      <c r="C136" s="1473"/>
      <c r="D136" s="1293" t="s">
        <v>50</v>
      </c>
      <c r="E136" s="1296">
        <v>0</v>
      </c>
      <c r="F136" s="1296">
        <v>0</v>
      </c>
      <c r="G136" s="1296">
        <v>887272727</v>
      </c>
      <c r="H136" s="1296">
        <v>887272727</v>
      </c>
      <c r="I136" s="1296">
        <v>0</v>
      </c>
      <c r="J136" s="1297">
        <v>0</v>
      </c>
      <c r="L136" s="229"/>
      <c r="M136" s="230"/>
      <c r="O136" s="216">
        <f t="shared" si="6"/>
        <v>3</v>
      </c>
    </row>
    <row r="137" spans="1:15">
      <c r="A137" s="1290" t="s">
        <v>51</v>
      </c>
      <c r="B137" s="1473"/>
      <c r="C137" s="1473"/>
      <c r="D137" s="1293" t="s">
        <v>1554</v>
      </c>
      <c r="E137" s="1296">
        <v>0</v>
      </c>
      <c r="F137" s="1296">
        <v>0</v>
      </c>
      <c r="G137" s="1296">
        <v>887272727</v>
      </c>
      <c r="H137" s="1296">
        <v>887272727</v>
      </c>
      <c r="I137" s="1296">
        <v>0</v>
      </c>
      <c r="J137" s="1297">
        <v>0</v>
      </c>
      <c r="L137" s="229"/>
      <c r="M137" s="230"/>
      <c r="O137" s="216">
        <f t="shared" ref="O137:O200" si="11">LEN(A137)</f>
        <v>4</v>
      </c>
    </row>
    <row r="138" spans="1:15">
      <c r="A138" s="1291" t="s">
        <v>1555</v>
      </c>
      <c r="B138" s="252"/>
      <c r="C138" s="252"/>
      <c r="D138" s="637" t="s">
        <v>1556</v>
      </c>
      <c r="E138" s="639">
        <v>0</v>
      </c>
      <c r="F138" s="639">
        <v>0</v>
      </c>
      <c r="G138" s="639">
        <v>887272727</v>
      </c>
      <c r="H138" s="639">
        <v>887272727</v>
      </c>
      <c r="I138" s="639">
        <v>0</v>
      </c>
      <c r="J138" s="1292">
        <v>0</v>
      </c>
      <c r="L138" s="229"/>
      <c r="M138" s="230"/>
      <c r="O138" s="216">
        <f t="shared" si="11"/>
        <v>5</v>
      </c>
    </row>
    <row r="139" spans="1:15">
      <c r="A139" s="627" t="s">
        <v>1557</v>
      </c>
      <c r="B139" s="1471"/>
      <c r="C139" s="1471"/>
      <c r="D139" s="628" t="s">
        <v>1558</v>
      </c>
      <c r="E139" s="1296">
        <v>43966894</v>
      </c>
      <c r="F139" s="1296">
        <v>0</v>
      </c>
      <c r="G139" s="1296">
        <v>19297209659</v>
      </c>
      <c r="H139" s="1296">
        <v>10238870555</v>
      </c>
      <c r="I139" s="1296">
        <v>9102305998</v>
      </c>
      <c r="J139" s="1297">
        <v>0</v>
      </c>
      <c r="L139" s="229" t="str">
        <f t="shared" ref="L139:L148" si="12">LEFT(A139,1)</f>
        <v>1</v>
      </c>
      <c r="M139" s="230">
        <f t="shared" si="7"/>
        <v>9102305998</v>
      </c>
      <c r="N139" s="265" t="s">
        <v>1266</v>
      </c>
      <c r="O139" s="216">
        <f t="shared" si="11"/>
        <v>3</v>
      </c>
    </row>
    <row r="140" spans="1:15">
      <c r="A140" s="627" t="s">
        <v>1559</v>
      </c>
      <c r="B140" s="1471"/>
      <c r="C140" s="1471"/>
      <c r="D140" s="628" t="s">
        <v>1560</v>
      </c>
      <c r="E140" s="1296">
        <v>28528625</v>
      </c>
      <c r="F140" s="1296">
        <v>0</v>
      </c>
      <c r="G140" s="1296">
        <v>7624975395</v>
      </c>
      <c r="H140" s="1296">
        <v>7450330406</v>
      </c>
      <c r="I140" s="1296">
        <v>203173614</v>
      </c>
      <c r="J140" s="1297">
        <v>0</v>
      </c>
      <c r="L140" s="229" t="str">
        <f t="shared" si="12"/>
        <v>1</v>
      </c>
      <c r="M140" s="230">
        <f t="shared" si="7"/>
        <v>203173614</v>
      </c>
      <c r="O140" s="216">
        <f t="shared" si="11"/>
        <v>5</v>
      </c>
    </row>
    <row r="141" spans="1:15" ht="25.5">
      <c r="A141" s="629" t="s">
        <v>1561</v>
      </c>
      <c r="B141" s="1472"/>
      <c r="C141" s="1472"/>
      <c r="D141" s="630" t="s">
        <v>1562</v>
      </c>
      <c r="E141" s="639">
        <v>10931961</v>
      </c>
      <c r="F141" s="639">
        <v>0</v>
      </c>
      <c r="G141" s="639">
        <v>1132818786</v>
      </c>
      <c r="H141" s="639">
        <v>966782537</v>
      </c>
      <c r="I141" s="639">
        <v>176968210</v>
      </c>
      <c r="J141" s="1292">
        <v>0</v>
      </c>
      <c r="L141" s="229" t="str">
        <f t="shared" si="12"/>
        <v>1</v>
      </c>
      <c r="M141" s="230">
        <f t="shared" si="7"/>
        <v>176968210</v>
      </c>
      <c r="O141" s="216">
        <f t="shared" si="11"/>
        <v>7</v>
      </c>
    </row>
    <row r="142" spans="1:15" ht="25.5">
      <c r="A142" s="629" t="s">
        <v>1563</v>
      </c>
      <c r="B142" s="1472"/>
      <c r="C142" s="1472"/>
      <c r="D142" s="630" t="s">
        <v>1564</v>
      </c>
      <c r="E142" s="639">
        <v>17596664</v>
      </c>
      <c r="F142" s="639">
        <v>0</v>
      </c>
      <c r="G142" s="639">
        <v>6492156609</v>
      </c>
      <c r="H142" s="639">
        <v>6483547869</v>
      </c>
      <c r="I142" s="639">
        <v>26205404</v>
      </c>
      <c r="J142" s="1292">
        <v>0</v>
      </c>
      <c r="L142" s="229" t="str">
        <f t="shared" si="12"/>
        <v>1</v>
      </c>
      <c r="M142" s="230">
        <f t="shared" si="7"/>
        <v>26205404</v>
      </c>
      <c r="O142" s="216">
        <f t="shared" si="11"/>
        <v>7</v>
      </c>
    </row>
    <row r="143" spans="1:15">
      <c r="A143" s="627" t="s">
        <v>1565</v>
      </c>
      <c r="B143" s="1471"/>
      <c r="C143" s="1471"/>
      <c r="D143" s="628" t="s">
        <v>1566</v>
      </c>
      <c r="E143" s="1296">
        <v>0</v>
      </c>
      <c r="F143" s="1296">
        <v>0</v>
      </c>
      <c r="G143" s="1296">
        <v>129195000</v>
      </c>
      <c r="H143" s="1296">
        <v>129195000</v>
      </c>
      <c r="I143" s="1296">
        <v>0</v>
      </c>
      <c r="J143" s="1297">
        <v>0</v>
      </c>
      <c r="L143" s="229" t="str">
        <f t="shared" si="12"/>
        <v>1</v>
      </c>
      <c r="M143" s="230">
        <f t="shared" si="7"/>
        <v>0</v>
      </c>
      <c r="O143" s="216">
        <f t="shared" si="11"/>
        <v>5</v>
      </c>
    </row>
    <row r="144" spans="1:15">
      <c r="A144" s="627" t="s">
        <v>1567</v>
      </c>
      <c r="B144" s="1471"/>
      <c r="C144" s="1471"/>
      <c r="D144" s="628" t="s">
        <v>1568</v>
      </c>
      <c r="E144" s="1296">
        <v>0</v>
      </c>
      <c r="F144" s="1296">
        <v>0</v>
      </c>
      <c r="G144" s="1296">
        <v>129195000</v>
      </c>
      <c r="H144" s="1296">
        <v>129195000</v>
      </c>
      <c r="I144" s="1296">
        <v>0</v>
      </c>
      <c r="J144" s="1297">
        <v>0</v>
      </c>
      <c r="L144" s="229" t="str">
        <f t="shared" si="12"/>
        <v>1</v>
      </c>
      <c r="M144" s="230">
        <f t="shared" si="7"/>
        <v>0</v>
      </c>
      <c r="O144" s="216">
        <f t="shared" si="11"/>
        <v>7</v>
      </c>
    </row>
    <row r="145" spans="1:15">
      <c r="A145" s="629" t="s">
        <v>1569</v>
      </c>
      <c r="B145" s="1472"/>
      <c r="C145" s="1472"/>
      <c r="D145" s="630" t="s">
        <v>1570</v>
      </c>
      <c r="E145" s="639">
        <v>0</v>
      </c>
      <c r="F145" s="639">
        <v>0</v>
      </c>
      <c r="G145" s="639">
        <v>129195000</v>
      </c>
      <c r="H145" s="639">
        <v>129195000</v>
      </c>
      <c r="I145" s="639">
        <v>0</v>
      </c>
      <c r="J145" s="1292">
        <v>0</v>
      </c>
      <c r="L145" s="229" t="str">
        <f t="shared" si="12"/>
        <v>1</v>
      </c>
      <c r="M145" s="230">
        <f t="shared" si="7"/>
        <v>0</v>
      </c>
      <c r="O145" s="216">
        <f t="shared" si="11"/>
        <v>9</v>
      </c>
    </row>
    <row r="146" spans="1:15">
      <c r="A146" s="627" t="s">
        <v>1571</v>
      </c>
      <c r="B146" s="1471"/>
      <c r="C146" s="1471"/>
      <c r="D146" s="628" t="s">
        <v>1572</v>
      </c>
      <c r="E146" s="1296">
        <v>15438269</v>
      </c>
      <c r="F146" s="1296">
        <v>0</v>
      </c>
      <c r="G146" s="1296">
        <v>189509555</v>
      </c>
      <c r="H146" s="1296">
        <v>175815440</v>
      </c>
      <c r="I146" s="1296">
        <v>29132384</v>
      </c>
      <c r="J146" s="1297">
        <v>0</v>
      </c>
      <c r="L146" s="229" t="str">
        <f t="shared" si="12"/>
        <v>1</v>
      </c>
      <c r="M146" s="230">
        <f t="shared" si="7"/>
        <v>29132384</v>
      </c>
      <c r="O146" s="216">
        <f t="shared" si="11"/>
        <v>5</v>
      </c>
    </row>
    <row r="147" spans="1:15">
      <c r="A147" s="627" t="s">
        <v>1573</v>
      </c>
      <c r="B147" s="1471"/>
      <c r="C147" s="1471"/>
      <c r="D147" s="628" t="s">
        <v>1574</v>
      </c>
      <c r="E147" s="1296">
        <v>15438269</v>
      </c>
      <c r="F147" s="1296">
        <v>0</v>
      </c>
      <c r="G147" s="1296">
        <v>189509555</v>
      </c>
      <c r="H147" s="1296">
        <v>175815440</v>
      </c>
      <c r="I147" s="1296">
        <v>29132384</v>
      </c>
      <c r="J147" s="1297">
        <v>0</v>
      </c>
      <c r="L147" s="229" t="str">
        <f t="shared" si="12"/>
        <v>1</v>
      </c>
      <c r="M147" s="230">
        <f t="shared" si="7"/>
        <v>29132384</v>
      </c>
      <c r="O147" s="216">
        <f t="shared" si="11"/>
        <v>7</v>
      </c>
    </row>
    <row r="148" spans="1:15">
      <c r="A148" s="629" t="s">
        <v>1575</v>
      </c>
      <c r="B148" s="1472"/>
      <c r="C148" s="1472"/>
      <c r="D148" s="630" t="s">
        <v>1576</v>
      </c>
      <c r="E148" s="639">
        <v>15438269</v>
      </c>
      <c r="F148" s="639">
        <v>0</v>
      </c>
      <c r="G148" s="639">
        <v>189509555</v>
      </c>
      <c r="H148" s="639">
        <v>175815440</v>
      </c>
      <c r="I148" s="639">
        <v>29132384</v>
      </c>
      <c r="J148" s="1292">
        <v>0</v>
      </c>
      <c r="L148" s="229" t="str">
        <f t="shared" si="12"/>
        <v>1</v>
      </c>
      <c r="M148" s="230">
        <f t="shared" si="7"/>
        <v>29132384</v>
      </c>
      <c r="O148" s="216">
        <f t="shared" si="11"/>
        <v>9</v>
      </c>
    </row>
    <row r="149" spans="1:15">
      <c r="A149" s="1290" t="s">
        <v>1577</v>
      </c>
      <c r="B149" s="1473"/>
      <c r="C149" s="1473"/>
      <c r="D149" s="1293" t="s">
        <v>1578</v>
      </c>
      <c r="E149" s="1296">
        <v>0</v>
      </c>
      <c r="F149" s="1296">
        <v>0</v>
      </c>
      <c r="G149" s="1296">
        <v>11353529709</v>
      </c>
      <c r="H149" s="1296">
        <v>2483529709</v>
      </c>
      <c r="I149" s="1296">
        <v>8870000000</v>
      </c>
      <c r="J149" s="1297">
        <v>0</v>
      </c>
      <c r="L149" s="229"/>
      <c r="M149" s="230"/>
      <c r="O149" s="216">
        <f t="shared" si="11"/>
        <v>5</v>
      </c>
    </row>
    <row r="150" spans="1:15">
      <c r="A150" s="1291" t="s">
        <v>1579</v>
      </c>
      <c r="B150" s="252"/>
      <c r="C150" s="252"/>
      <c r="D150" s="637" t="s">
        <v>1580</v>
      </c>
      <c r="E150" s="639">
        <v>0</v>
      </c>
      <c r="F150" s="639">
        <v>0</v>
      </c>
      <c r="G150" s="639">
        <v>11353529709</v>
      </c>
      <c r="H150" s="639">
        <v>2483529709</v>
      </c>
      <c r="I150" s="639">
        <v>8870000000</v>
      </c>
      <c r="J150" s="1292">
        <v>0</v>
      </c>
      <c r="L150" s="229"/>
      <c r="M150" s="230"/>
      <c r="O150" s="216">
        <f t="shared" si="11"/>
        <v>7</v>
      </c>
    </row>
    <row r="151" spans="1:15">
      <c r="A151" s="627" t="s">
        <v>55</v>
      </c>
      <c r="B151" s="1471"/>
      <c r="C151" s="1471"/>
      <c r="D151" s="628" t="s">
        <v>56</v>
      </c>
      <c r="E151" s="1296">
        <v>16709104</v>
      </c>
      <c r="F151" s="1296">
        <v>0</v>
      </c>
      <c r="G151" s="1296">
        <v>3621753533</v>
      </c>
      <c r="H151" s="1296">
        <v>3589311600</v>
      </c>
      <c r="I151" s="1296">
        <v>49151037</v>
      </c>
      <c r="J151" s="1297">
        <v>0</v>
      </c>
      <c r="L151" s="229" t="str">
        <f t="shared" ref="L151:L197" si="13">LEFT(A151,1)</f>
        <v>1</v>
      </c>
      <c r="M151" s="230">
        <f t="shared" si="7"/>
        <v>49151037</v>
      </c>
      <c r="N151" s="216" t="s">
        <v>62</v>
      </c>
      <c r="O151" s="216">
        <f t="shared" si="11"/>
        <v>3</v>
      </c>
    </row>
    <row r="152" spans="1:15">
      <c r="A152" s="627" t="s">
        <v>57</v>
      </c>
      <c r="B152" s="1471"/>
      <c r="C152" s="1471"/>
      <c r="D152" s="628" t="s">
        <v>1581</v>
      </c>
      <c r="E152" s="1296">
        <v>16709104</v>
      </c>
      <c r="F152" s="1296">
        <v>0</v>
      </c>
      <c r="G152" s="1296">
        <v>3621753533</v>
      </c>
      <c r="H152" s="1296">
        <v>3589311600</v>
      </c>
      <c r="I152" s="1296">
        <v>49151037</v>
      </c>
      <c r="J152" s="1297">
        <v>0</v>
      </c>
      <c r="L152" s="229" t="str">
        <f t="shared" si="13"/>
        <v>1</v>
      </c>
      <c r="M152" s="230">
        <f t="shared" si="7"/>
        <v>49151037</v>
      </c>
      <c r="O152" s="216">
        <f t="shared" si="11"/>
        <v>4</v>
      </c>
    </row>
    <row r="153" spans="1:15">
      <c r="A153" s="627" t="s">
        <v>1582</v>
      </c>
      <c r="B153" s="1471"/>
      <c r="C153" s="1471"/>
      <c r="D153" s="628" t="s">
        <v>1583</v>
      </c>
      <c r="E153" s="1296">
        <v>16709104</v>
      </c>
      <c r="F153" s="1296">
        <v>0</v>
      </c>
      <c r="G153" s="1296">
        <v>3621753533</v>
      </c>
      <c r="H153" s="1296">
        <v>3589311600</v>
      </c>
      <c r="I153" s="1296">
        <v>49151037</v>
      </c>
      <c r="J153" s="1297">
        <v>0</v>
      </c>
      <c r="L153" s="229" t="str">
        <f t="shared" si="13"/>
        <v>1</v>
      </c>
      <c r="M153" s="230">
        <f t="shared" si="7"/>
        <v>49151037</v>
      </c>
      <c r="O153" s="216">
        <f t="shared" si="11"/>
        <v>5</v>
      </c>
    </row>
    <row r="154" spans="1:15">
      <c r="A154" s="629" t="s">
        <v>1584</v>
      </c>
      <c r="B154" s="1472"/>
      <c r="C154" s="1472"/>
      <c r="D154" s="630" t="s">
        <v>1585</v>
      </c>
      <c r="E154" s="639">
        <v>16709104</v>
      </c>
      <c r="F154" s="639">
        <v>0</v>
      </c>
      <c r="G154" s="639">
        <v>3621753533</v>
      </c>
      <c r="H154" s="639">
        <v>3589311600</v>
      </c>
      <c r="I154" s="639">
        <v>49151037</v>
      </c>
      <c r="J154" s="1292">
        <v>0</v>
      </c>
      <c r="L154" s="229" t="str">
        <f t="shared" si="13"/>
        <v>1</v>
      </c>
      <c r="M154" s="230">
        <f t="shared" si="7"/>
        <v>49151037</v>
      </c>
      <c r="O154" s="216">
        <f t="shared" si="11"/>
        <v>6</v>
      </c>
    </row>
    <row r="155" spans="1:15">
      <c r="A155" s="629" t="s">
        <v>69</v>
      </c>
      <c r="B155" s="1472"/>
      <c r="C155" s="1472"/>
      <c r="D155" s="630" t="s">
        <v>70</v>
      </c>
      <c r="E155" s="639">
        <v>45089000</v>
      </c>
      <c r="F155" s="639">
        <v>0</v>
      </c>
      <c r="G155" s="639">
        <v>454221000</v>
      </c>
      <c r="H155" s="639">
        <v>468941389</v>
      </c>
      <c r="I155" s="639">
        <v>30368611</v>
      </c>
      <c r="J155" s="1292">
        <v>0</v>
      </c>
      <c r="L155" s="229" t="str">
        <f t="shared" si="13"/>
        <v>1</v>
      </c>
      <c r="M155" s="230">
        <f t="shared" si="7"/>
        <v>30368611</v>
      </c>
      <c r="N155" s="265" t="s">
        <v>69</v>
      </c>
      <c r="O155" s="216">
        <f t="shared" si="11"/>
        <v>3</v>
      </c>
    </row>
    <row r="156" spans="1:15">
      <c r="A156" s="627" t="s">
        <v>77</v>
      </c>
      <c r="B156" s="1471"/>
      <c r="C156" s="1471"/>
      <c r="D156" s="628" t="s">
        <v>78</v>
      </c>
      <c r="E156" s="1296">
        <v>10750759100</v>
      </c>
      <c r="F156" s="1296">
        <v>0</v>
      </c>
      <c r="G156" s="1296">
        <v>112888000</v>
      </c>
      <c r="H156" s="1296">
        <v>0</v>
      </c>
      <c r="I156" s="1296">
        <v>10863647100</v>
      </c>
      <c r="J156" s="1297">
        <v>0</v>
      </c>
      <c r="L156" s="229" t="str">
        <f t="shared" si="13"/>
        <v>2</v>
      </c>
      <c r="M156" s="230">
        <f t="shared" si="7"/>
        <v>10863647100</v>
      </c>
      <c r="O156" s="216">
        <f t="shared" si="11"/>
        <v>3</v>
      </c>
    </row>
    <row r="157" spans="1:15">
      <c r="A157" s="629" t="s">
        <v>79</v>
      </c>
      <c r="B157" s="1472"/>
      <c r="C157" s="1472"/>
      <c r="D157" s="630" t="s">
        <v>1586</v>
      </c>
      <c r="E157" s="639">
        <v>1654533100</v>
      </c>
      <c r="F157" s="639">
        <v>0</v>
      </c>
      <c r="G157" s="639">
        <v>44000000</v>
      </c>
      <c r="H157" s="639">
        <v>0</v>
      </c>
      <c r="I157" s="639">
        <v>1698533100</v>
      </c>
      <c r="J157" s="1292">
        <v>0</v>
      </c>
      <c r="L157" s="229" t="str">
        <f t="shared" si="13"/>
        <v>2</v>
      </c>
      <c r="M157" s="230">
        <f t="shared" si="7"/>
        <v>1698533100</v>
      </c>
      <c r="N157" s="265" t="s">
        <v>79</v>
      </c>
      <c r="O157" s="216">
        <f t="shared" si="11"/>
        <v>4</v>
      </c>
    </row>
    <row r="158" spans="1:15">
      <c r="A158" s="629" t="s">
        <v>81</v>
      </c>
      <c r="B158" s="1472"/>
      <c r="C158" s="1472"/>
      <c r="D158" s="630" t="s">
        <v>1587</v>
      </c>
      <c r="E158" s="639">
        <v>1463809091</v>
      </c>
      <c r="F158" s="639">
        <v>0</v>
      </c>
      <c r="G158" s="639">
        <v>0</v>
      </c>
      <c r="H158" s="639">
        <v>0</v>
      </c>
      <c r="I158" s="639">
        <v>1463809091</v>
      </c>
      <c r="J158" s="1292">
        <v>0</v>
      </c>
      <c r="L158" s="229" t="str">
        <f t="shared" si="13"/>
        <v>2</v>
      </c>
      <c r="M158" s="230">
        <f t="shared" si="7"/>
        <v>1463809091</v>
      </c>
      <c r="N158" s="265" t="s">
        <v>81</v>
      </c>
      <c r="O158" s="216">
        <f t="shared" si="11"/>
        <v>4</v>
      </c>
    </row>
    <row r="159" spans="1:15">
      <c r="A159" s="629" t="s">
        <v>83</v>
      </c>
      <c r="B159" s="1472"/>
      <c r="C159" s="1472"/>
      <c r="D159" s="630" t="s">
        <v>1588</v>
      </c>
      <c r="E159" s="639">
        <v>7632416909</v>
      </c>
      <c r="F159" s="639">
        <v>0</v>
      </c>
      <c r="G159" s="639">
        <v>68888000</v>
      </c>
      <c r="H159" s="639">
        <v>0</v>
      </c>
      <c r="I159" s="639">
        <v>7701304909</v>
      </c>
      <c r="J159" s="1292">
        <v>0</v>
      </c>
      <c r="L159" s="229" t="str">
        <f t="shared" si="13"/>
        <v>2</v>
      </c>
      <c r="M159" s="230">
        <f t="shared" si="7"/>
        <v>7701304909</v>
      </c>
      <c r="N159" s="265" t="s">
        <v>83</v>
      </c>
      <c r="O159" s="216">
        <f t="shared" si="11"/>
        <v>4</v>
      </c>
    </row>
    <row r="160" spans="1:15">
      <c r="A160" s="627" t="s">
        <v>85</v>
      </c>
      <c r="B160" s="1471"/>
      <c r="C160" s="1471"/>
      <c r="D160" s="628" t="s">
        <v>86</v>
      </c>
      <c r="E160" s="1296">
        <v>5062078108</v>
      </c>
      <c r="F160" s="1296">
        <v>0</v>
      </c>
      <c r="G160" s="1296">
        <v>0</v>
      </c>
      <c r="H160" s="1296">
        <v>0</v>
      </c>
      <c r="I160" s="1296">
        <v>5062078108</v>
      </c>
      <c r="J160" s="1297">
        <v>0</v>
      </c>
      <c r="L160" s="229" t="str">
        <f t="shared" si="13"/>
        <v>2</v>
      </c>
      <c r="M160" s="230">
        <f t="shared" si="7"/>
        <v>5062078108</v>
      </c>
      <c r="O160" s="216">
        <f t="shared" si="11"/>
        <v>3</v>
      </c>
    </row>
    <row r="161" spans="1:15">
      <c r="A161" s="629" t="s">
        <v>1589</v>
      </c>
      <c r="B161" s="1472"/>
      <c r="C161" s="1472"/>
      <c r="D161" s="630" t="s">
        <v>1590</v>
      </c>
      <c r="E161" s="639">
        <v>433397208</v>
      </c>
      <c r="F161" s="639">
        <v>0</v>
      </c>
      <c r="G161" s="639">
        <v>0</v>
      </c>
      <c r="H161" s="639">
        <v>0</v>
      </c>
      <c r="I161" s="639">
        <v>433397208</v>
      </c>
      <c r="J161" s="1292">
        <v>0</v>
      </c>
      <c r="L161" s="229" t="str">
        <f t="shared" si="13"/>
        <v>2</v>
      </c>
      <c r="M161" s="230">
        <f t="shared" si="7"/>
        <v>433397208</v>
      </c>
      <c r="N161" s="265" t="s">
        <v>1589</v>
      </c>
      <c r="O161" s="216">
        <f t="shared" si="11"/>
        <v>4</v>
      </c>
    </row>
    <row r="162" spans="1:15">
      <c r="A162" s="629" t="s">
        <v>87</v>
      </c>
      <c r="B162" s="1472"/>
      <c r="C162" s="1472"/>
      <c r="D162" s="630" t="s">
        <v>1591</v>
      </c>
      <c r="E162" s="639">
        <v>4628680900</v>
      </c>
      <c r="F162" s="639">
        <v>0</v>
      </c>
      <c r="G162" s="639">
        <v>0</v>
      </c>
      <c r="H162" s="639">
        <v>0</v>
      </c>
      <c r="I162" s="639">
        <v>4628680900</v>
      </c>
      <c r="J162" s="1292">
        <v>0</v>
      </c>
      <c r="L162" s="229" t="str">
        <f t="shared" si="13"/>
        <v>2</v>
      </c>
      <c r="M162" s="230">
        <f t="shared" ref="M162:M227" si="14">IF(AND(L162&lt;="4",L162&gt;"0"),I162-J162,IF(OR(L162="6",L162="8"),-H162,G162))</f>
        <v>4628680900</v>
      </c>
      <c r="N162" s="265" t="s">
        <v>87</v>
      </c>
      <c r="O162" s="216">
        <f t="shared" si="11"/>
        <v>4</v>
      </c>
    </row>
    <row r="163" spans="1:15">
      <c r="A163" s="627" t="s">
        <v>89</v>
      </c>
      <c r="B163" s="1471"/>
      <c r="C163" s="1471"/>
      <c r="D163" s="628" t="s">
        <v>1592</v>
      </c>
      <c r="E163" s="1296">
        <v>0</v>
      </c>
      <c r="F163" s="1296">
        <v>3239763807</v>
      </c>
      <c r="G163" s="1296">
        <v>0</v>
      </c>
      <c r="H163" s="1296">
        <v>2510935859</v>
      </c>
      <c r="I163" s="1296">
        <v>0</v>
      </c>
      <c r="J163" s="1297">
        <v>5750699666</v>
      </c>
      <c r="L163" s="229" t="str">
        <f t="shared" si="13"/>
        <v>2</v>
      </c>
      <c r="M163" s="230">
        <f t="shared" si="14"/>
        <v>-5750699666</v>
      </c>
      <c r="O163" s="216">
        <f t="shared" si="11"/>
        <v>3</v>
      </c>
    </row>
    <row r="164" spans="1:15">
      <c r="A164" s="627" t="s">
        <v>91</v>
      </c>
      <c r="B164" s="1471"/>
      <c r="C164" s="1471"/>
      <c r="D164" s="628" t="s">
        <v>1593</v>
      </c>
      <c r="E164" s="1296">
        <v>0</v>
      </c>
      <c r="F164" s="1296">
        <v>2415096035</v>
      </c>
      <c r="G164" s="1296">
        <v>0</v>
      </c>
      <c r="H164" s="1296">
        <v>1860329259</v>
      </c>
      <c r="I164" s="1296">
        <v>0</v>
      </c>
      <c r="J164" s="1297">
        <v>4275425294</v>
      </c>
      <c r="L164" s="229" t="str">
        <f t="shared" si="13"/>
        <v>2</v>
      </c>
      <c r="M164" s="230">
        <f t="shared" si="14"/>
        <v>-4275425294</v>
      </c>
      <c r="N164" s="265" t="s">
        <v>91</v>
      </c>
      <c r="O164" s="216">
        <f t="shared" si="11"/>
        <v>4</v>
      </c>
    </row>
    <row r="165" spans="1:15">
      <c r="A165" s="629" t="s">
        <v>1594</v>
      </c>
      <c r="B165" s="1472"/>
      <c r="C165" s="1472"/>
      <c r="D165" s="630" t="s">
        <v>1595</v>
      </c>
      <c r="E165" s="639">
        <v>0</v>
      </c>
      <c r="F165" s="639">
        <v>64473657</v>
      </c>
      <c r="G165" s="639">
        <v>0</v>
      </c>
      <c r="H165" s="639">
        <v>172053297</v>
      </c>
      <c r="I165" s="639">
        <v>0</v>
      </c>
      <c r="J165" s="1292">
        <v>236526954</v>
      </c>
      <c r="L165" s="229" t="str">
        <f t="shared" si="13"/>
        <v>2</v>
      </c>
      <c r="M165" s="230">
        <f t="shared" si="14"/>
        <v>-236526954</v>
      </c>
      <c r="O165" s="216">
        <f t="shared" si="11"/>
        <v>5</v>
      </c>
    </row>
    <row r="166" spans="1:15">
      <c r="A166" s="629" t="s">
        <v>1596</v>
      </c>
      <c r="B166" s="1472"/>
      <c r="C166" s="1472"/>
      <c r="D166" s="630" t="s">
        <v>1597</v>
      </c>
      <c r="E166" s="639">
        <v>0</v>
      </c>
      <c r="F166" s="639">
        <v>597722041</v>
      </c>
      <c r="G166" s="639">
        <v>0</v>
      </c>
      <c r="H166" s="639">
        <v>146380908</v>
      </c>
      <c r="I166" s="639">
        <v>0</v>
      </c>
      <c r="J166" s="1292">
        <v>744102949</v>
      </c>
      <c r="L166" s="229" t="str">
        <f t="shared" si="13"/>
        <v>2</v>
      </c>
      <c r="M166" s="230">
        <f t="shared" si="14"/>
        <v>-744102949</v>
      </c>
      <c r="O166" s="216">
        <f t="shared" si="11"/>
        <v>5</v>
      </c>
    </row>
    <row r="167" spans="1:15">
      <c r="A167" s="629" t="s">
        <v>1598</v>
      </c>
      <c r="B167" s="1472"/>
      <c r="C167" s="1472"/>
      <c r="D167" s="630" t="s">
        <v>1599</v>
      </c>
      <c r="E167" s="639">
        <v>0</v>
      </c>
      <c r="F167" s="639">
        <v>1752900337</v>
      </c>
      <c r="G167" s="639">
        <v>0</v>
      </c>
      <c r="H167" s="639">
        <v>1541895054</v>
      </c>
      <c r="I167" s="639">
        <v>0</v>
      </c>
      <c r="J167" s="1292">
        <v>3294795391</v>
      </c>
      <c r="L167" s="229" t="str">
        <f t="shared" si="13"/>
        <v>2</v>
      </c>
      <c r="M167" s="230">
        <f t="shared" si="14"/>
        <v>-3294795391</v>
      </c>
      <c r="O167" s="216">
        <f t="shared" si="11"/>
        <v>5</v>
      </c>
    </row>
    <row r="168" spans="1:15">
      <c r="A168" s="627" t="s">
        <v>93</v>
      </c>
      <c r="B168" s="1471"/>
      <c r="C168" s="1471"/>
      <c r="D168" s="628" t="s">
        <v>1600</v>
      </c>
      <c r="E168" s="1296">
        <v>0</v>
      </c>
      <c r="F168" s="1296">
        <v>824667772</v>
      </c>
      <c r="G168" s="1296">
        <v>0</v>
      </c>
      <c r="H168" s="1296">
        <v>650606600</v>
      </c>
      <c r="I168" s="1296">
        <v>0</v>
      </c>
      <c r="J168" s="1297">
        <v>1475274372</v>
      </c>
      <c r="L168" s="229" t="str">
        <f t="shared" si="13"/>
        <v>2</v>
      </c>
      <c r="M168" s="230">
        <f t="shared" si="14"/>
        <v>-1475274372</v>
      </c>
      <c r="N168" s="265" t="s">
        <v>93</v>
      </c>
      <c r="O168" s="216">
        <f t="shared" si="11"/>
        <v>4</v>
      </c>
    </row>
    <row r="169" spans="1:15">
      <c r="A169" s="629" t="s">
        <v>1601</v>
      </c>
      <c r="B169" s="1472"/>
      <c r="C169" s="1472"/>
      <c r="D169" s="630" t="s">
        <v>1602</v>
      </c>
      <c r="E169" s="639">
        <v>0</v>
      </c>
      <c r="F169" s="639">
        <v>4893194</v>
      </c>
      <c r="G169" s="639">
        <v>0</v>
      </c>
      <c r="H169" s="639">
        <v>86679444</v>
      </c>
      <c r="I169" s="639">
        <v>0</v>
      </c>
      <c r="J169" s="1292">
        <v>91572638</v>
      </c>
      <c r="L169" s="229" t="str">
        <f t="shared" si="13"/>
        <v>2</v>
      </c>
      <c r="M169" s="230">
        <f t="shared" si="14"/>
        <v>-91572638</v>
      </c>
      <c r="O169" s="216">
        <f t="shared" si="11"/>
        <v>5</v>
      </c>
    </row>
    <row r="170" spans="1:15">
      <c r="A170" s="629" t="s">
        <v>1603</v>
      </c>
      <c r="B170" s="1472"/>
      <c r="C170" s="1472"/>
      <c r="D170" s="630" t="s">
        <v>1604</v>
      </c>
      <c r="E170" s="639">
        <v>0</v>
      </c>
      <c r="F170" s="639">
        <v>819774578</v>
      </c>
      <c r="G170" s="639">
        <v>0</v>
      </c>
      <c r="H170" s="639">
        <v>563927156</v>
      </c>
      <c r="I170" s="639">
        <v>0</v>
      </c>
      <c r="J170" s="1292">
        <v>1383701734</v>
      </c>
      <c r="L170" s="229" t="str">
        <f t="shared" si="13"/>
        <v>2</v>
      </c>
      <c r="M170" s="230">
        <f t="shared" si="14"/>
        <v>-1383701734</v>
      </c>
      <c r="O170" s="216">
        <f t="shared" si="11"/>
        <v>5</v>
      </c>
    </row>
    <row r="171" spans="1:15">
      <c r="A171" s="627" t="s">
        <v>112</v>
      </c>
      <c r="B171" s="1471"/>
      <c r="C171" s="1471"/>
      <c r="D171" s="628" t="s">
        <v>113</v>
      </c>
      <c r="E171" s="1296">
        <v>36597533726</v>
      </c>
      <c r="F171" s="1296">
        <v>0</v>
      </c>
      <c r="G171" s="1296">
        <v>12692799604</v>
      </c>
      <c r="H171" s="1296">
        <v>15175765508</v>
      </c>
      <c r="I171" s="1296">
        <v>34114567822</v>
      </c>
      <c r="J171" s="1297">
        <v>0</v>
      </c>
      <c r="L171" s="229" t="str">
        <f t="shared" si="13"/>
        <v>2</v>
      </c>
      <c r="M171" s="230">
        <f t="shared" si="14"/>
        <v>34114567822</v>
      </c>
      <c r="N171" s="265"/>
      <c r="O171" s="216">
        <f t="shared" si="11"/>
        <v>3</v>
      </c>
    </row>
    <row r="172" spans="1:15">
      <c r="A172" s="627" t="s">
        <v>523</v>
      </c>
      <c r="B172" s="1471"/>
      <c r="C172" s="1471"/>
      <c r="D172" s="628" t="s">
        <v>1605</v>
      </c>
      <c r="E172" s="1296">
        <v>2151147598</v>
      </c>
      <c r="F172" s="1296">
        <v>0</v>
      </c>
      <c r="G172" s="1296">
        <v>12626444804</v>
      </c>
      <c r="H172" s="1296">
        <v>11171503326</v>
      </c>
      <c r="I172" s="1296">
        <v>3606089076</v>
      </c>
      <c r="J172" s="1297">
        <v>0</v>
      </c>
      <c r="L172" s="229" t="str">
        <f t="shared" si="13"/>
        <v>2</v>
      </c>
      <c r="M172" s="230">
        <f t="shared" si="14"/>
        <v>3606089076</v>
      </c>
      <c r="O172" s="216">
        <f t="shared" si="11"/>
        <v>4</v>
      </c>
    </row>
    <row r="173" spans="1:15">
      <c r="A173" s="629" t="s">
        <v>1606</v>
      </c>
      <c r="B173" s="1472"/>
      <c r="C173" s="1472"/>
      <c r="D173" s="630" t="s">
        <v>1607</v>
      </c>
      <c r="E173" s="639">
        <v>9298213</v>
      </c>
      <c r="F173" s="639">
        <v>0</v>
      </c>
      <c r="G173" s="639">
        <v>60534000</v>
      </c>
      <c r="H173" s="639">
        <v>63800908</v>
      </c>
      <c r="I173" s="639">
        <v>6031305</v>
      </c>
      <c r="J173" s="1292">
        <v>0</v>
      </c>
      <c r="L173" s="229" t="str">
        <f t="shared" si="13"/>
        <v>2</v>
      </c>
      <c r="M173" s="230">
        <f t="shared" si="14"/>
        <v>6031305</v>
      </c>
      <c r="N173" s="265" t="s">
        <v>114</v>
      </c>
      <c r="O173" s="216">
        <f t="shared" si="11"/>
        <v>5</v>
      </c>
    </row>
    <row r="174" spans="1:15">
      <c r="A174" s="629" t="s">
        <v>1608</v>
      </c>
      <c r="B174" s="1472"/>
      <c r="C174" s="1472"/>
      <c r="D174" s="630" t="s">
        <v>1609</v>
      </c>
      <c r="E174" s="639">
        <v>286302280</v>
      </c>
      <c r="F174" s="639">
        <v>0</v>
      </c>
      <c r="G174" s="639">
        <v>570934428</v>
      </c>
      <c r="H174" s="639">
        <v>565988845</v>
      </c>
      <c r="I174" s="639">
        <v>291247863</v>
      </c>
      <c r="J174" s="1292">
        <v>0</v>
      </c>
      <c r="L174" s="229" t="str">
        <f t="shared" si="13"/>
        <v>2</v>
      </c>
      <c r="M174" s="230">
        <f t="shared" si="14"/>
        <v>291247863</v>
      </c>
      <c r="N174" s="265" t="s">
        <v>117</v>
      </c>
      <c r="O174" s="216">
        <f t="shared" si="11"/>
        <v>5</v>
      </c>
    </row>
    <row r="175" spans="1:15">
      <c r="A175" s="629" t="s">
        <v>1610</v>
      </c>
      <c r="B175" s="1472"/>
      <c r="C175" s="1472"/>
      <c r="D175" s="630" t="s">
        <v>1611</v>
      </c>
      <c r="E175" s="639">
        <v>1855547105</v>
      </c>
      <c r="F175" s="639">
        <v>0</v>
      </c>
      <c r="G175" s="639">
        <v>11994976376</v>
      </c>
      <c r="H175" s="639">
        <v>10541713573</v>
      </c>
      <c r="I175" s="639">
        <v>3308809908</v>
      </c>
      <c r="J175" s="1292">
        <v>0</v>
      </c>
      <c r="L175" s="229" t="str">
        <f t="shared" si="13"/>
        <v>2</v>
      </c>
      <c r="M175" s="230">
        <f t="shared" si="14"/>
        <v>3308809908</v>
      </c>
      <c r="N175" s="265" t="s">
        <v>117</v>
      </c>
      <c r="O175" s="216">
        <f t="shared" si="11"/>
        <v>5</v>
      </c>
    </row>
    <row r="176" spans="1:15">
      <c r="A176" s="627" t="s">
        <v>116</v>
      </c>
      <c r="B176" s="1471"/>
      <c r="C176" s="1471"/>
      <c r="D176" s="628" t="s">
        <v>1612</v>
      </c>
      <c r="E176" s="1296">
        <v>34446386128</v>
      </c>
      <c r="F176" s="1296">
        <v>0</v>
      </c>
      <c r="G176" s="1296">
        <v>66354800</v>
      </c>
      <c r="H176" s="1296">
        <v>4004262182</v>
      </c>
      <c r="I176" s="1296">
        <v>30508478746</v>
      </c>
      <c r="J176" s="1297">
        <v>0</v>
      </c>
      <c r="L176" s="229" t="str">
        <f t="shared" si="13"/>
        <v>2</v>
      </c>
      <c r="M176" s="230">
        <f t="shared" si="14"/>
        <v>30508478746</v>
      </c>
      <c r="O176" s="216">
        <f t="shared" si="11"/>
        <v>4</v>
      </c>
    </row>
    <row r="177" spans="1:15">
      <c r="A177" s="629" t="s">
        <v>1613</v>
      </c>
      <c r="B177" s="1472"/>
      <c r="C177" s="1472"/>
      <c r="D177" s="630" t="s">
        <v>1614</v>
      </c>
      <c r="E177" s="639">
        <v>152763238</v>
      </c>
      <c r="F177" s="639">
        <v>0</v>
      </c>
      <c r="G177" s="639">
        <v>6160000</v>
      </c>
      <c r="H177" s="639">
        <v>62963390</v>
      </c>
      <c r="I177" s="639">
        <v>95959848</v>
      </c>
      <c r="J177" s="1292">
        <v>0</v>
      </c>
      <c r="L177" s="229" t="str">
        <f t="shared" si="13"/>
        <v>2</v>
      </c>
      <c r="M177" s="230">
        <f t="shared" si="14"/>
        <v>95959848</v>
      </c>
      <c r="N177" s="265" t="s">
        <v>522</v>
      </c>
      <c r="O177" s="216">
        <f t="shared" si="11"/>
        <v>5</v>
      </c>
    </row>
    <row r="178" spans="1:15">
      <c r="A178" s="629" t="s">
        <v>1615</v>
      </c>
      <c r="B178" s="1472"/>
      <c r="C178" s="1472"/>
      <c r="D178" s="630" t="s">
        <v>1616</v>
      </c>
      <c r="E178" s="639">
        <v>42240000</v>
      </c>
      <c r="F178" s="639">
        <v>0</v>
      </c>
      <c r="G178" s="639">
        <v>13200000</v>
      </c>
      <c r="H178" s="639">
        <v>45068571</v>
      </c>
      <c r="I178" s="639">
        <v>10371429</v>
      </c>
      <c r="J178" s="1292">
        <v>0</v>
      </c>
      <c r="L178" s="229" t="str">
        <f t="shared" si="13"/>
        <v>2</v>
      </c>
      <c r="M178" s="230">
        <f t="shared" si="14"/>
        <v>10371429</v>
      </c>
      <c r="N178" s="265" t="s">
        <v>1262</v>
      </c>
      <c r="O178" s="216">
        <f t="shared" si="11"/>
        <v>5</v>
      </c>
    </row>
    <row r="179" spans="1:15">
      <c r="A179" s="629" t="s">
        <v>1617</v>
      </c>
      <c r="B179" s="1472"/>
      <c r="C179" s="1472"/>
      <c r="D179" s="630" t="s">
        <v>1618</v>
      </c>
      <c r="E179" s="639">
        <v>34251382890</v>
      </c>
      <c r="F179" s="639">
        <v>0</v>
      </c>
      <c r="G179" s="639">
        <v>46994800</v>
      </c>
      <c r="H179" s="639">
        <v>3896230221</v>
      </c>
      <c r="I179" s="639">
        <v>30402147469</v>
      </c>
      <c r="J179" s="1292">
        <v>0</v>
      </c>
      <c r="L179" s="229" t="str">
        <f t="shared" si="13"/>
        <v>2</v>
      </c>
      <c r="M179" s="230">
        <f t="shared" si="14"/>
        <v>30402147469</v>
      </c>
      <c r="N179" s="265" t="s">
        <v>1262</v>
      </c>
      <c r="O179" s="216">
        <f t="shared" si="11"/>
        <v>5</v>
      </c>
    </row>
    <row r="180" spans="1:15">
      <c r="A180" s="627" t="s">
        <v>121</v>
      </c>
      <c r="B180" s="1471"/>
      <c r="C180" s="1471"/>
      <c r="D180" s="628" t="s">
        <v>122</v>
      </c>
      <c r="E180" s="1296">
        <v>215341089</v>
      </c>
      <c r="F180" s="1296">
        <v>0</v>
      </c>
      <c r="G180" s="1296">
        <v>907249861</v>
      </c>
      <c r="H180" s="1296">
        <v>22700000</v>
      </c>
      <c r="I180" s="1296">
        <v>1099890950</v>
      </c>
      <c r="J180" s="1297">
        <v>0</v>
      </c>
      <c r="L180" s="229" t="str">
        <f t="shared" si="13"/>
        <v>2</v>
      </c>
      <c r="M180" s="230">
        <f t="shared" si="14"/>
        <v>1099890950</v>
      </c>
      <c r="O180" s="216">
        <f t="shared" si="11"/>
        <v>3</v>
      </c>
    </row>
    <row r="181" spans="1:15">
      <c r="A181" s="629" t="s">
        <v>1619</v>
      </c>
      <c r="B181" s="1472"/>
      <c r="C181" s="1472"/>
      <c r="D181" s="630" t="s">
        <v>1620</v>
      </c>
      <c r="E181" s="639">
        <v>37700000</v>
      </c>
      <c r="F181" s="639">
        <v>0</v>
      </c>
      <c r="G181" s="639">
        <v>46000000</v>
      </c>
      <c r="H181" s="639">
        <v>22700000</v>
      </c>
      <c r="I181" s="639">
        <v>61000000</v>
      </c>
      <c r="J181" s="1292">
        <v>0</v>
      </c>
      <c r="L181" s="229" t="str">
        <f t="shared" si="13"/>
        <v>2</v>
      </c>
      <c r="M181" s="230">
        <f t="shared" si="14"/>
        <v>61000000</v>
      </c>
      <c r="N181" s="265" t="s">
        <v>121</v>
      </c>
      <c r="O181" s="216">
        <f t="shared" si="11"/>
        <v>4</v>
      </c>
    </row>
    <row r="182" spans="1:15">
      <c r="A182" s="629" t="s">
        <v>1621</v>
      </c>
      <c r="B182" s="1472"/>
      <c r="C182" s="1472"/>
      <c r="D182" s="630" t="s">
        <v>1622</v>
      </c>
      <c r="E182" s="639">
        <v>177641089</v>
      </c>
      <c r="F182" s="639">
        <v>0</v>
      </c>
      <c r="G182" s="639">
        <v>861249861</v>
      </c>
      <c r="H182" s="639">
        <v>0</v>
      </c>
      <c r="I182" s="639">
        <v>1038890950</v>
      </c>
      <c r="J182" s="1292">
        <v>0</v>
      </c>
      <c r="L182" s="229" t="str">
        <f t="shared" si="13"/>
        <v>2</v>
      </c>
      <c r="M182" s="230">
        <f t="shared" si="14"/>
        <v>1038890950</v>
      </c>
      <c r="N182" s="265" t="s">
        <v>1621</v>
      </c>
      <c r="O182" s="216">
        <f t="shared" si="11"/>
        <v>4</v>
      </c>
    </row>
    <row r="183" spans="1:15">
      <c r="A183" s="627" t="s">
        <v>1623</v>
      </c>
      <c r="B183" s="1471"/>
      <c r="C183" s="1471"/>
      <c r="D183" s="628" t="s">
        <v>1624</v>
      </c>
      <c r="E183" s="1296">
        <v>120000000</v>
      </c>
      <c r="F183" s="1296">
        <v>0</v>
      </c>
      <c r="G183" s="1296">
        <v>263667462</v>
      </c>
      <c r="H183" s="1296">
        <v>5921822</v>
      </c>
      <c r="I183" s="1296">
        <v>377745640</v>
      </c>
      <c r="J183" s="1297">
        <v>0</v>
      </c>
      <c r="L183" s="229" t="str">
        <f t="shared" si="13"/>
        <v>2</v>
      </c>
      <c r="M183" s="230">
        <f t="shared" si="14"/>
        <v>377745640</v>
      </c>
      <c r="N183" s="265" t="s">
        <v>1621</v>
      </c>
      <c r="O183" s="216">
        <f t="shared" si="11"/>
        <v>3</v>
      </c>
    </row>
    <row r="184" spans="1:15">
      <c r="A184" s="629" t="s">
        <v>1625</v>
      </c>
      <c r="B184" s="1472"/>
      <c r="C184" s="1472"/>
      <c r="D184" s="630" t="s">
        <v>1626</v>
      </c>
      <c r="E184" s="639">
        <v>120000000</v>
      </c>
      <c r="F184" s="639">
        <v>0</v>
      </c>
      <c r="G184" s="639">
        <v>0</v>
      </c>
      <c r="H184" s="639">
        <v>0</v>
      </c>
      <c r="I184" s="639">
        <v>120000000</v>
      </c>
      <c r="J184" s="1292">
        <v>0</v>
      </c>
      <c r="L184" s="229" t="str">
        <f t="shared" si="13"/>
        <v>2</v>
      </c>
      <c r="M184" s="230">
        <f t="shared" si="14"/>
        <v>120000000</v>
      </c>
      <c r="O184" s="216">
        <f t="shared" si="11"/>
        <v>4</v>
      </c>
    </row>
    <row r="185" spans="1:15">
      <c r="A185" s="629" t="s">
        <v>1627</v>
      </c>
      <c r="B185" s="1472"/>
      <c r="C185" s="1472"/>
      <c r="D185" s="630" t="s">
        <v>1628</v>
      </c>
      <c r="E185" s="639">
        <v>0</v>
      </c>
      <c r="F185" s="639">
        <v>0</v>
      </c>
      <c r="G185" s="639">
        <v>257745640</v>
      </c>
      <c r="H185" s="639">
        <v>0</v>
      </c>
      <c r="I185" s="639">
        <v>257745640</v>
      </c>
      <c r="J185" s="1292">
        <v>0</v>
      </c>
      <c r="L185" s="229" t="str">
        <f t="shared" si="13"/>
        <v>2</v>
      </c>
      <c r="M185" s="230">
        <f t="shared" si="14"/>
        <v>257745640</v>
      </c>
      <c r="O185" s="216">
        <f t="shared" si="11"/>
        <v>4</v>
      </c>
    </row>
    <row r="186" spans="1:15">
      <c r="A186" s="629" t="s">
        <v>1629</v>
      </c>
      <c r="B186" s="1472"/>
      <c r="C186" s="1472"/>
      <c r="D186" s="630" t="s">
        <v>1630</v>
      </c>
      <c r="E186" s="639">
        <v>0</v>
      </c>
      <c r="F186" s="639">
        <v>0</v>
      </c>
      <c r="G186" s="639">
        <v>5921822</v>
      </c>
      <c r="H186" s="639">
        <v>5921822</v>
      </c>
      <c r="I186" s="639">
        <v>0</v>
      </c>
      <c r="J186" s="1292">
        <v>0</v>
      </c>
      <c r="L186" s="229" t="str">
        <f t="shared" si="13"/>
        <v>2</v>
      </c>
      <c r="M186" s="230">
        <f t="shared" si="14"/>
        <v>0</v>
      </c>
      <c r="O186" s="216">
        <f t="shared" si="11"/>
        <v>4</v>
      </c>
    </row>
    <row r="187" spans="1:15">
      <c r="A187" s="627" t="s">
        <v>1631</v>
      </c>
      <c r="B187" s="1474" t="s">
        <v>1631</v>
      </c>
      <c r="C187" s="1476">
        <f>A187-B187</f>
        <v>0</v>
      </c>
      <c r="D187" s="628" t="s">
        <v>1632</v>
      </c>
      <c r="E187" s="1467">
        <v>0</v>
      </c>
      <c r="F187" s="1467">
        <v>0</v>
      </c>
      <c r="G187" s="1467">
        <v>218594500000</v>
      </c>
      <c r="H187" s="1467">
        <v>267594500000</v>
      </c>
      <c r="I187" s="1467">
        <v>0</v>
      </c>
      <c r="J187" s="1468">
        <v>49000000000</v>
      </c>
      <c r="L187" s="229" t="str">
        <f t="shared" si="13"/>
        <v>3</v>
      </c>
      <c r="M187" s="230">
        <f t="shared" si="14"/>
        <v>-49000000000</v>
      </c>
      <c r="N187" s="216">
        <v>3411</v>
      </c>
      <c r="O187" s="216">
        <f t="shared" si="11"/>
        <v>3</v>
      </c>
    </row>
    <row r="188" spans="1:15">
      <c r="A188" s="627" t="s">
        <v>1633</v>
      </c>
      <c r="B188" s="1474" t="s">
        <v>1633</v>
      </c>
      <c r="C188" s="1476">
        <f t="shared" ref="C188:C196" si="15">A188-B188</f>
        <v>0</v>
      </c>
      <c r="D188" s="628" t="s">
        <v>1634</v>
      </c>
      <c r="E188" s="1467">
        <v>0</v>
      </c>
      <c r="F188" s="1467">
        <v>0</v>
      </c>
      <c r="G188" s="1467">
        <v>218594500000</v>
      </c>
      <c r="H188" s="1467">
        <v>267594500000</v>
      </c>
      <c r="I188" s="1467">
        <v>0</v>
      </c>
      <c r="J188" s="1468">
        <v>49000000000</v>
      </c>
      <c r="L188" s="229" t="str">
        <f t="shared" si="13"/>
        <v>3</v>
      </c>
      <c r="M188" s="230">
        <f t="shared" si="14"/>
        <v>-49000000000</v>
      </c>
      <c r="O188" s="216">
        <f t="shared" si="11"/>
        <v>4</v>
      </c>
    </row>
    <row r="189" spans="1:15">
      <c r="A189" s="629" t="s">
        <v>1635</v>
      </c>
      <c r="B189" s="1475" t="s">
        <v>1635</v>
      </c>
      <c r="C189" s="1476">
        <f t="shared" si="15"/>
        <v>0</v>
      </c>
      <c r="D189" s="630" t="s">
        <v>1636</v>
      </c>
      <c r="E189" s="1469">
        <v>0</v>
      </c>
      <c r="F189" s="1469">
        <v>0</v>
      </c>
      <c r="G189" s="1469">
        <v>218594500000</v>
      </c>
      <c r="H189" s="1469">
        <v>267594500000</v>
      </c>
      <c r="I189" s="1469">
        <v>0</v>
      </c>
      <c r="J189" s="1470">
        <v>49000000000</v>
      </c>
      <c r="L189" s="229" t="str">
        <f t="shared" si="13"/>
        <v>3</v>
      </c>
      <c r="M189" s="230">
        <f t="shared" si="14"/>
        <v>-49000000000</v>
      </c>
      <c r="O189" s="216">
        <f t="shared" si="11"/>
        <v>5</v>
      </c>
    </row>
    <row r="190" spans="1:15">
      <c r="A190" s="627" t="s">
        <v>1637</v>
      </c>
      <c r="B190" s="1474" t="s">
        <v>1637</v>
      </c>
      <c r="C190" s="1476">
        <f t="shared" si="15"/>
        <v>0</v>
      </c>
      <c r="D190" s="628" t="s">
        <v>1638</v>
      </c>
      <c r="E190" s="1467">
        <v>0</v>
      </c>
      <c r="F190" s="1467">
        <v>0</v>
      </c>
      <c r="G190" s="1467">
        <v>2063641919315</v>
      </c>
      <c r="H190" s="1467">
        <v>2063641919315</v>
      </c>
      <c r="I190" s="1467">
        <v>0</v>
      </c>
      <c r="J190" s="1468">
        <v>0</v>
      </c>
      <c r="L190" s="229" t="str">
        <f t="shared" si="13"/>
        <v>3</v>
      </c>
      <c r="M190" s="230">
        <f t="shared" si="14"/>
        <v>0</v>
      </c>
      <c r="N190" s="216" t="s">
        <v>1364</v>
      </c>
      <c r="O190" s="216">
        <f t="shared" si="11"/>
        <v>3</v>
      </c>
    </row>
    <row r="191" spans="1:15">
      <c r="A191" s="629" t="s">
        <v>1639</v>
      </c>
      <c r="B191" s="1475" t="s">
        <v>1639</v>
      </c>
      <c r="C191" s="1476">
        <f t="shared" si="15"/>
        <v>0</v>
      </c>
      <c r="D191" s="630" t="s">
        <v>1640</v>
      </c>
      <c r="E191" s="1469">
        <v>0</v>
      </c>
      <c r="F191" s="1469">
        <v>0</v>
      </c>
      <c r="G191" s="1469">
        <v>852293242411</v>
      </c>
      <c r="H191" s="1469">
        <v>852293242411</v>
      </c>
      <c r="I191" s="1469">
        <v>0</v>
      </c>
      <c r="J191" s="1470">
        <v>0</v>
      </c>
      <c r="L191" s="229" t="str">
        <f t="shared" si="13"/>
        <v>3</v>
      </c>
      <c r="M191" s="230">
        <f t="shared" si="14"/>
        <v>0</v>
      </c>
      <c r="O191" s="216">
        <f t="shared" si="11"/>
        <v>4</v>
      </c>
    </row>
    <row r="192" spans="1:15" ht="25.5">
      <c r="A192" s="629" t="s">
        <v>1641</v>
      </c>
      <c r="B192" s="1475" t="s">
        <v>1641</v>
      </c>
      <c r="C192" s="1476">
        <f t="shared" si="15"/>
        <v>0</v>
      </c>
      <c r="D192" s="630" t="s">
        <v>1642</v>
      </c>
      <c r="E192" s="1469">
        <v>0</v>
      </c>
      <c r="F192" s="1469">
        <v>0</v>
      </c>
      <c r="G192" s="1469">
        <v>1211348676904</v>
      </c>
      <c r="H192" s="1469">
        <v>1211348676904</v>
      </c>
      <c r="I192" s="1469">
        <v>0</v>
      </c>
      <c r="J192" s="1470">
        <v>0</v>
      </c>
      <c r="L192" s="229" t="str">
        <f t="shared" si="13"/>
        <v>3</v>
      </c>
      <c r="M192" s="230">
        <f t="shared" si="14"/>
        <v>0</v>
      </c>
      <c r="O192" s="216">
        <f t="shared" si="11"/>
        <v>4</v>
      </c>
    </row>
    <row r="193" spans="1:16">
      <c r="A193" s="627" t="s">
        <v>1643</v>
      </c>
      <c r="B193" s="1474" t="s">
        <v>1643</v>
      </c>
      <c r="C193" s="1476">
        <f t="shared" si="15"/>
        <v>0</v>
      </c>
      <c r="D193" s="628" t="s">
        <v>1644</v>
      </c>
      <c r="E193" s="1467">
        <v>0</v>
      </c>
      <c r="F193" s="1467">
        <v>245903954</v>
      </c>
      <c r="G193" s="1467">
        <v>20616040330</v>
      </c>
      <c r="H193" s="1467">
        <v>20465162978</v>
      </c>
      <c r="I193" s="1467">
        <v>0</v>
      </c>
      <c r="J193" s="1468">
        <v>95026602</v>
      </c>
      <c r="L193" s="229" t="str">
        <f t="shared" si="13"/>
        <v>3</v>
      </c>
      <c r="M193" s="230">
        <f t="shared" si="14"/>
        <v>-95026602</v>
      </c>
      <c r="N193" s="216" t="s">
        <v>1364</v>
      </c>
      <c r="O193" s="216">
        <f t="shared" si="11"/>
        <v>3</v>
      </c>
    </row>
    <row r="194" spans="1:16">
      <c r="A194" s="629" t="s">
        <v>1645</v>
      </c>
      <c r="B194" s="1475" t="s">
        <v>1645</v>
      </c>
      <c r="C194" s="1476">
        <f t="shared" si="15"/>
        <v>0</v>
      </c>
      <c r="D194" s="630" t="s">
        <v>1646</v>
      </c>
      <c r="E194" s="1469">
        <v>0</v>
      </c>
      <c r="F194" s="1469">
        <v>245903954</v>
      </c>
      <c r="G194" s="1469">
        <v>20616040330</v>
      </c>
      <c r="H194" s="1469">
        <v>20465162978</v>
      </c>
      <c r="I194" s="1469">
        <v>0</v>
      </c>
      <c r="J194" s="1470">
        <v>95026602</v>
      </c>
      <c r="L194" s="229" t="str">
        <f t="shared" si="13"/>
        <v>3</v>
      </c>
      <c r="M194" s="230">
        <f t="shared" si="14"/>
        <v>-95026602</v>
      </c>
      <c r="O194" s="216">
        <f t="shared" si="11"/>
        <v>4</v>
      </c>
    </row>
    <row r="195" spans="1:16" ht="25.5">
      <c r="A195" s="627" t="s">
        <v>1647</v>
      </c>
      <c r="B195" s="1474" t="s">
        <v>1647</v>
      </c>
      <c r="C195" s="1476">
        <f t="shared" si="15"/>
        <v>0</v>
      </c>
      <c r="D195" s="628" t="s">
        <v>1648</v>
      </c>
      <c r="E195" s="1467">
        <v>0</v>
      </c>
      <c r="F195" s="1467">
        <v>55582799752</v>
      </c>
      <c r="G195" s="1467">
        <v>6150056554882</v>
      </c>
      <c r="H195" s="1467">
        <v>6195503408089</v>
      </c>
      <c r="I195" s="1467">
        <v>0</v>
      </c>
      <c r="J195" s="1468">
        <v>101029652959</v>
      </c>
      <c r="L195" s="229" t="str">
        <f t="shared" si="13"/>
        <v>3</v>
      </c>
      <c r="M195" s="230">
        <f t="shared" si="14"/>
        <v>-101029652959</v>
      </c>
      <c r="N195" s="216" t="s">
        <v>1364</v>
      </c>
      <c r="O195" s="216">
        <f t="shared" si="11"/>
        <v>3</v>
      </c>
    </row>
    <row r="196" spans="1:16" ht="25.5">
      <c r="A196" s="627" t="s">
        <v>1649</v>
      </c>
      <c r="B196" s="1474" t="s">
        <v>1649</v>
      </c>
      <c r="C196" s="1476">
        <f t="shared" si="15"/>
        <v>0</v>
      </c>
      <c r="D196" s="628" t="s">
        <v>1650</v>
      </c>
      <c r="E196" s="1467">
        <v>0</v>
      </c>
      <c r="F196" s="1467">
        <v>55582799752</v>
      </c>
      <c r="G196" s="1467">
        <v>6150056554882</v>
      </c>
      <c r="H196" s="1467">
        <v>6195503408089</v>
      </c>
      <c r="I196" s="1467">
        <v>0</v>
      </c>
      <c r="J196" s="1468">
        <v>101029652959</v>
      </c>
      <c r="L196" s="229" t="str">
        <f t="shared" si="13"/>
        <v>3</v>
      </c>
      <c r="M196" s="230">
        <f t="shared" si="14"/>
        <v>-101029652959</v>
      </c>
      <c r="O196" s="216">
        <f t="shared" si="11"/>
        <v>4</v>
      </c>
    </row>
    <row r="197" spans="1:16" ht="25.5">
      <c r="A197" s="629" t="s">
        <v>1651</v>
      </c>
      <c r="B197" s="1475" t="s">
        <v>1651</v>
      </c>
      <c r="C197" s="1476">
        <f>A197-B197</f>
        <v>0</v>
      </c>
      <c r="D197" s="630" t="s">
        <v>1652</v>
      </c>
      <c r="E197" s="1469">
        <v>0</v>
      </c>
      <c r="F197" s="1469">
        <v>55582799752</v>
      </c>
      <c r="G197" s="1469">
        <v>6150056554882</v>
      </c>
      <c r="H197" s="1469">
        <v>6195503408089</v>
      </c>
      <c r="I197" s="1469">
        <v>0</v>
      </c>
      <c r="J197" s="1470">
        <v>101029652959</v>
      </c>
      <c r="L197" s="229" t="str">
        <f t="shared" si="13"/>
        <v>3</v>
      </c>
      <c r="M197" s="230">
        <f t="shared" si="14"/>
        <v>-101029652959</v>
      </c>
      <c r="O197" s="216">
        <f t="shared" si="11"/>
        <v>5</v>
      </c>
    </row>
    <row r="198" spans="1:16" ht="25.5">
      <c r="A198" s="1290" t="s">
        <v>1653</v>
      </c>
      <c r="C198" s="1476">
        <f t="shared" ref="C198:C261" si="16">A198-B198</f>
        <v>3242</v>
      </c>
      <c r="D198" s="1293" t="s">
        <v>1654</v>
      </c>
      <c r="E198" s="1296">
        <v>0</v>
      </c>
      <c r="F198" s="1296">
        <v>0</v>
      </c>
      <c r="G198" s="1296">
        <v>0</v>
      </c>
      <c r="H198" s="1296">
        <v>0</v>
      </c>
      <c r="I198" s="1296">
        <v>0</v>
      </c>
      <c r="J198" s="1297">
        <v>0</v>
      </c>
      <c r="L198" s="229"/>
      <c r="M198" s="230"/>
      <c r="O198" s="216">
        <f t="shared" si="11"/>
        <v>4</v>
      </c>
    </row>
    <row r="199" spans="1:16" ht="25.5">
      <c r="A199" s="1291" t="s">
        <v>1655</v>
      </c>
      <c r="C199" s="1476">
        <f t="shared" si="16"/>
        <v>32421</v>
      </c>
      <c r="D199" s="637" t="s">
        <v>1656</v>
      </c>
      <c r="E199" s="639">
        <v>0</v>
      </c>
      <c r="F199" s="639">
        <v>0</v>
      </c>
      <c r="G199" s="639">
        <v>0</v>
      </c>
      <c r="H199" s="639">
        <v>0</v>
      </c>
      <c r="I199" s="639">
        <v>0</v>
      </c>
      <c r="J199" s="1292">
        <v>0</v>
      </c>
      <c r="L199" s="229"/>
      <c r="M199" s="230"/>
      <c r="O199" s="216">
        <f t="shared" si="11"/>
        <v>5</v>
      </c>
    </row>
    <row r="200" spans="1:16">
      <c r="A200" s="627" t="s">
        <v>1657</v>
      </c>
      <c r="B200" s="1474" t="s">
        <v>1657</v>
      </c>
      <c r="C200" s="1476">
        <f t="shared" si="16"/>
        <v>0</v>
      </c>
      <c r="D200" s="628" t="s">
        <v>1658</v>
      </c>
      <c r="E200" s="1467">
        <v>0</v>
      </c>
      <c r="F200" s="1467">
        <v>128584199</v>
      </c>
      <c r="G200" s="1467">
        <v>2765366719</v>
      </c>
      <c r="H200" s="1467">
        <v>2850065138</v>
      </c>
      <c r="I200" s="1467">
        <v>0</v>
      </c>
      <c r="J200" s="1468">
        <v>213282618</v>
      </c>
      <c r="L200" s="229" t="str">
        <f t="shared" ref="L200:L231" si="17">LEFT(A200,1)</f>
        <v>3</v>
      </c>
      <c r="M200" s="230">
        <f t="shared" si="14"/>
        <v>-213282618</v>
      </c>
      <c r="N200" s="216" t="s">
        <v>1659</v>
      </c>
      <c r="O200" s="216">
        <f t="shared" si="11"/>
        <v>3</v>
      </c>
    </row>
    <row r="201" spans="1:16">
      <c r="A201" s="627" t="s">
        <v>1660</v>
      </c>
      <c r="B201" s="1474" t="s">
        <v>1660</v>
      </c>
      <c r="C201" s="1476">
        <f t="shared" si="16"/>
        <v>0</v>
      </c>
      <c r="D201" s="628" t="s">
        <v>1661</v>
      </c>
      <c r="E201" s="1467">
        <v>0</v>
      </c>
      <c r="F201" s="1467">
        <v>114293584</v>
      </c>
      <c r="G201" s="1467">
        <v>2254132488</v>
      </c>
      <c r="H201" s="1467">
        <v>2329214192</v>
      </c>
      <c r="I201" s="1467">
        <v>0</v>
      </c>
      <c r="J201" s="1468">
        <v>189375288</v>
      </c>
      <c r="L201" s="229" t="str">
        <f t="shared" si="17"/>
        <v>3</v>
      </c>
      <c r="M201" s="230">
        <f t="shared" si="14"/>
        <v>-189375288</v>
      </c>
      <c r="O201" s="216">
        <f t="shared" ref="O201:O264" si="18">LEN(A201)</f>
        <v>4</v>
      </c>
    </row>
    <row r="202" spans="1:16">
      <c r="A202" s="627" t="s">
        <v>1662</v>
      </c>
      <c r="B202" s="1474" t="s">
        <v>1662</v>
      </c>
      <c r="C202" s="1476">
        <f t="shared" si="16"/>
        <v>0</v>
      </c>
      <c r="D202" s="628" t="s">
        <v>1663</v>
      </c>
      <c r="E202" s="1467">
        <v>0</v>
      </c>
      <c r="F202" s="1467">
        <v>114293584</v>
      </c>
      <c r="G202" s="1467">
        <v>2254132488</v>
      </c>
      <c r="H202" s="1467">
        <v>2329214192</v>
      </c>
      <c r="I202" s="1467">
        <v>0</v>
      </c>
      <c r="J202" s="1468">
        <v>189375288</v>
      </c>
      <c r="L202" s="229" t="str">
        <f t="shared" si="17"/>
        <v>3</v>
      </c>
      <c r="M202" s="230">
        <f t="shared" si="14"/>
        <v>-189375288</v>
      </c>
      <c r="O202" s="216">
        <f t="shared" si="18"/>
        <v>5</v>
      </c>
    </row>
    <row r="203" spans="1:16">
      <c r="A203" s="629" t="s">
        <v>1664</v>
      </c>
      <c r="B203" s="1475" t="s">
        <v>1664</v>
      </c>
      <c r="C203" s="1476">
        <f t="shared" si="16"/>
        <v>0</v>
      </c>
      <c r="D203" s="630" t="s">
        <v>1665</v>
      </c>
      <c r="E203" s="1469">
        <v>0</v>
      </c>
      <c r="F203" s="1469">
        <v>96757308</v>
      </c>
      <c r="G203" s="1469">
        <v>1602304794</v>
      </c>
      <c r="H203" s="1469">
        <v>1656254049</v>
      </c>
      <c r="I203" s="1469">
        <v>0</v>
      </c>
      <c r="J203" s="1470">
        <v>150706563</v>
      </c>
      <c r="L203" s="229" t="str">
        <f t="shared" si="17"/>
        <v>3</v>
      </c>
      <c r="M203" s="230">
        <f t="shared" si="14"/>
        <v>-150706563</v>
      </c>
      <c r="O203" s="216">
        <f t="shared" si="18"/>
        <v>6</v>
      </c>
    </row>
    <row r="204" spans="1:16">
      <c r="A204" s="629" t="s">
        <v>1666</v>
      </c>
      <c r="B204" s="1475" t="s">
        <v>1666</v>
      </c>
      <c r="C204" s="1476">
        <f t="shared" si="16"/>
        <v>0</v>
      </c>
      <c r="D204" s="630" t="s">
        <v>1667</v>
      </c>
      <c r="E204" s="1469">
        <v>0</v>
      </c>
      <c r="F204" s="1469">
        <v>17536276</v>
      </c>
      <c r="G204" s="1469">
        <v>631827694</v>
      </c>
      <c r="H204" s="1469">
        <v>652960143</v>
      </c>
      <c r="I204" s="1469">
        <v>0</v>
      </c>
      <c r="J204" s="1470">
        <v>38668725</v>
      </c>
      <c r="L204" s="229" t="str">
        <f t="shared" si="17"/>
        <v>3</v>
      </c>
      <c r="M204" s="230">
        <f t="shared" si="14"/>
        <v>-38668725</v>
      </c>
      <c r="O204" s="216">
        <f t="shared" si="18"/>
        <v>6</v>
      </c>
    </row>
    <row r="205" spans="1:16">
      <c r="A205" s="629" t="s">
        <v>1668</v>
      </c>
      <c r="B205" s="1475" t="s">
        <v>1668</v>
      </c>
      <c r="C205" s="1476">
        <f t="shared" si="16"/>
        <v>0</v>
      </c>
      <c r="D205" s="630" t="s">
        <v>1669</v>
      </c>
      <c r="E205" s="1469">
        <v>0</v>
      </c>
      <c r="F205" s="1469">
        <v>0</v>
      </c>
      <c r="G205" s="1469">
        <v>20000000</v>
      </c>
      <c r="H205" s="1469">
        <v>20000000</v>
      </c>
      <c r="I205" s="1469">
        <v>0</v>
      </c>
      <c r="J205" s="1470">
        <v>0</v>
      </c>
      <c r="L205" s="229" t="str">
        <f t="shared" si="17"/>
        <v>3</v>
      </c>
      <c r="M205" s="230">
        <f t="shared" si="14"/>
        <v>0</v>
      </c>
      <c r="O205" s="216">
        <f t="shared" si="18"/>
        <v>6</v>
      </c>
    </row>
    <row r="206" spans="1:16">
      <c r="A206" s="629" t="s">
        <v>1670</v>
      </c>
      <c r="B206" s="1475" t="s">
        <v>1670</v>
      </c>
      <c r="C206" s="1476">
        <f t="shared" si="16"/>
        <v>0</v>
      </c>
      <c r="D206" s="630" t="s">
        <v>1671</v>
      </c>
      <c r="E206" s="1469">
        <v>0</v>
      </c>
      <c r="F206" s="1469">
        <v>14290615</v>
      </c>
      <c r="G206" s="1469">
        <v>511234231</v>
      </c>
      <c r="H206" s="1469">
        <v>520850946</v>
      </c>
      <c r="I206" s="1469">
        <v>0</v>
      </c>
      <c r="J206" s="1470">
        <v>23907330</v>
      </c>
      <c r="L206" s="229" t="str">
        <f t="shared" si="17"/>
        <v>3</v>
      </c>
      <c r="M206" s="230">
        <f t="shared" si="14"/>
        <v>-23907330</v>
      </c>
      <c r="O206" s="216">
        <f t="shared" si="18"/>
        <v>4</v>
      </c>
    </row>
    <row r="207" spans="1:16">
      <c r="A207" s="627" t="s">
        <v>123</v>
      </c>
      <c r="B207" s="1474" t="s">
        <v>123</v>
      </c>
      <c r="C207" s="1476">
        <f t="shared" si="16"/>
        <v>0</v>
      </c>
      <c r="D207" s="628" t="s">
        <v>124</v>
      </c>
      <c r="E207" s="1467">
        <v>942442383</v>
      </c>
      <c r="F207" s="1467">
        <v>950880658</v>
      </c>
      <c r="G207" s="1467">
        <v>793430271204</v>
      </c>
      <c r="H207" s="1467">
        <v>799650889959</v>
      </c>
      <c r="I207" s="1467">
        <v>1828000000</v>
      </c>
      <c r="J207" s="1468">
        <v>8057057030</v>
      </c>
      <c r="L207" s="229" t="str">
        <f t="shared" si="17"/>
        <v>3</v>
      </c>
      <c r="M207" s="230">
        <f t="shared" si="14"/>
        <v>-6229057030</v>
      </c>
      <c r="N207" s="265" t="s">
        <v>125</v>
      </c>
      <c r="O207" s="216">
        <f t="shared" si="18"/>
        <v>3</v>
      </c>
      <c r="P207" s="216" t="s">
        <v>1672</v>
      </c>
    </row>
    <row r="208" spans="1:16">
      <c r="A208" s="627" t="s">
        <v>1673</v>
      </c>
      <c r="B208" s="1474" t="s">
        <v>1673</v>
      </c>
      <c r="C208" s="1476">
        <f t="shared" si="16"/>
        <v>0</v>
      </c>
      <c r="D208" s="628" t="s">
        <v>1674</v>
      </c>
      <c r="E208" s="1467">
        <v>0</v>
      </c>
      <c r="F208" s="1467">
        <v>0</v>
      </c>
      <c r="G208" s="1467">
        <v>773108439402</v>
      </c>
      <c r="H208" s="1467">
        <v>773108439402</v>
      </c>
      <c r="I208" s="1467">
        <v>0</v>
      </c>
      <c r="J208" s="1468">
        <v>0</v>
      </c>
      <c r="L208" s="229" t="str">
        <f t="shared" si="17"/>
        <v>3</v>
      </c>
      <c r="M208" s="230">
        <f t="shared" si="14"/>
        <v>0</v>
      </c>
      <c r="O208" s="216">
        <f t="shared" si="18"/>
        <v>4</v>
      </c>
    </row>
    <row r="209" spans="1:15">
      <c r="A209" s="629" t="s">
        <v>1675</v>
      </c>
      <c r="B209" s="1475" t="s">
        <v>1675</v>
      </c>
      <c r="C209" s="1476">
        <f t="shared" si="16"/>
        <v>0</v>
      </c>
      <c r="D209" s="630" t="s">
        <v>1676</v>
      </c>
      <c r="E209" s="1469">
        <v>0</v>
      </c>
      <c r="F209" s="1469">
        <v>0</v>
      </c>
      <c r="G209" s="1469">
        <v>773108439402</v>
      </c>
      <c r="H209" s="1469">
        <v>773108439402</v>
      </c>
      <c r="I209" s="1469">
        <v>0</v>
      </c>
      <c r="J209" s="1470">
        <v>0</v>
      </c>
      <c r="L209" s="229" t="str">
        <f t="shared" si="17"/>
        <v>3</v>
      </c>
      <c r="M209" s="230">
        <f t="shared" si="14"/>
        <v>0</v>
      </c>
      <c r="O209" s="216">
        <f t="shared" si="18"/>
        <v>5</v>
      </c>
    </row>
    <row r="210" spans="1:15">
      <c r="A210" s="627" t="s">
        <v>1677</v>
      </c>
      <c r="B210" s="1474" t="s">
        <v>1677</v>
      </c>
      <c r="C210" s="1476">
        <f t="shared" si="16"/>
        <v>0</v>
      </c>
      <c r="D210" s="628" t="s">
        <v>1678</v>
      </c>
      <c r="E210" s="1467">
        <v>942442383</v>
      </c>
      <c r="F210" s="1467">
        <v>950880658</v>
      </c>
      <c r="G210" s="1467">
        <v>20321831802</v>
      </c>
      <c r="H210" s="1467">
        <v>26542450557</v>
      </c>
      <c r="I210" s="1467">
        <v>1828000000</v>
      </c>
      <c r="J210" s="1468">
        <v>8057057030</v>
      </c>
      <c r="L210" s="229" t="str">
        <f t="shared" si="17"/>
        <v>3</v>
      </c>
      <c r="M210" s="230">
        <f t="shared" si="14"/>
        <v>-6229057030</v>
      </c>
      <c r="O210" s="216">
        <f t="shared" si="18"/>
        <v>4</v>
      </c>
    </row>
    <row r="211" spans="1:15" ht="25.5">
      <c r="A211" s="627" t="s">
        <v>1679</v>
      </c>
      <c r="B211" s="1474" t="s">
        <v>1679</v>
      </c>
      <c r="C211" s="1476">
        <f t="shared" si="16"/>
        <v>0</v>
      </c>
      <c r="D211" s="628" t="s">
        <v>1680</v>
      </c>
      <c r="E211" s="1467">
        <v>942442383</v>
      </c>
      <c r="F211" s="1467">
        <v>950880658</v>
      </c>
      <c r="G211" s="1467">
        <v>20321831802</v>
      </c>
      <c r="H211" s="1467">
        <v>26542450557</v>
      </c>
      <c r="I211" s="1467">
        <v>1828000000</v>
      </c>
      <c r="J211" s="1468">
        <v>8057057030</v>
      </c>
      <c r="K211" s="582">
        <f>F211+H211-G211</f>
        <v>7171499413</v>
      </c>
      <c r="L211" s="229" t="str">
        <f t="shared" si="17"/>
        <v>3</v>
      </c>
      <c r="M211" s="230">
        <f t="shared" si="14"/>
        <v>-6229057030</v>
      </c>
      <c r="O211" s="216">
        <f t="shared" si="18"/>
        <v>5</v>
      </c>
    </row>
    <row r="212" spans="1:15" ht="25.5">
      <c r="A212" s="629" t="s">
        <v>1681</v>
      </c>
      <c r="B212" s="1475" t="s">
        <v>1681</v>
      </c>
      <c r="C212" s="1476">
        <f t="shared" si="16"/>
        <v>0</v>
      </c>
      <c r="D212" s="630" t="s">
        <v>1682</v>
      </c>
      <c r="E212" s="1469">
        <v>942442383</v>
      </c>
      <c r="F212" s="1469">
        <v>950880658</v>
      </c>
      <c r="G212" s="1469">
        <v>20321831802</v>
      </c>
      <c r="H212" s="1469">
        <v>26542450557</v>
      </c>
      <c r="I212" s="1469">
        <v>1828000000</v>
      </c>
      <c r="J212" s="1470">
        <v>8057057030</v>
      </c>
      <c r="L212" s="229" t="str">
        <f t="shared" si="17"/>
        <v>3</v>
      </c>
      <c r="M212" s="230">
        <f t="shared" si="14"/>
        <v>-6229057030</v>
      </c>
      <c r="O212" s="216">
        <f t="shared" si="18"/>
        <v>6</v>
      </c>
    </row>
    <row r="213" spans="1:15">
      <c r="A213" s="627" t="s">
        <v>1683</v>
      </c>
      <c r="B213" s="1474" t="s">
        <v>1683</v>
      </c>
      <c r="C213" s="1476">
        <f t="shared" si="16"/>
        <v>0</v>
      </c>
      <c r="D213" s="628" t="s">
        <v>1684</v>
      </c>
      <c r="E213" s="1467">
        <v>0</v>
      </c>
      <c r="F213" s="1467">
        <v>14592000</v>
      </c>
      <c r="G213" s="1467">
        <v>2685029000</v>
      </c>
      <c r="H213" s="1467">
        <v>2716487000</v>
      </c>
      <c r="I213" s="1467">
        <v>0</v>
      </c>
      <c r="J213" s="1468">
        <v>46050000</v>
      </c>
      <c r="L213" s="229" t="str">
        <f t="shared" si="17"/>
        <v>3</v>
      </c>
      <c r="M213" s="230">
        <f t="shared" si="14"/>
        <v>-46050000</v>
      </c>
      <c r="O213" s="216">
        <f t="shared" si="18"/>
        <v>3</v>
      </c>
    </row>
    <row r="214" spans="1:15">
      <c r="A214" s="629" t="s">
        <v>1685</v>
      </c>
      <c r="B214" s="1475" t="s">
        <v>1685</v>
      </c>
      <c r="C214" s="1476">
        <f t="shared" si="16"/>
        <v>0</v>
      </c>
      <c r="D214" s="630" t="s">
        <v>1686</v>
      </c>
      <c r="E214" s="1469">
        <v>0</v>
      </c>
      <c r="F214" s="1469">
        <v>0</v>
      </c>
      <c r="G214" s="1469">
        <v>2015526000</v>
      </c>
      <c r="H214" s="1469">
        <v>2015526000</v>
      </c>
      <c r="I214" s="1469">
        <v>0</v>
      </c>
      <c r="J214" s="1470">
        <v>0</v>
      </c>
      <c r="L214" s="229" t="str">
        <f t="shared" si="17"/>
        <v>3</v>
      </c>
      <c r="M214" s="230">
        <f t="shared" si="14"/>
        <v>0</v>
      </c>
      <c r="N214" s="216" t="s">
        <v>160</v>
      </c>
      <c r="O214" s="216">
        <f t="shared" si="18"/>
        <v>4</v>
      </c>
    </row>
    <row r="215" spans="1:15">
      <c r="A215" s="629" t="s">
        <v>1687</v>
      </c>
      <c r="B215" s="1475" t="s">
        <v>1687</v>
      </c>
      <c r="C215" s="1476">
        <f t="shared" si="16"/>
        <v>0</v>
      </c>
      <c r="D215" s="630" t="s">
        <v>1688</v>
      </c>
      <c r="E215" s="1469">
        <v>0</v>
      </c>
      <c r="F215" s="1469">
        <v>0</v>
      </c>
      <c r="G215" s="1469">
        <v>356094000</v>
      </c>
      <c r="H215" s="1469">
        <v>356094000</v>
      </c>
      <c r="I215" s="1469">
        <v>0</v>
      </c>
      <c r="J215" s="1470">
        <v>0</v>
      </c>
      <c r="L215" s="229" t="str">
        <f t="shared" si="17"/>
        <v>3</v>
      </c>
      <c r="M215" s="230">
        <f t="shared" si="14"/>
        <v>0</v>
      </c>
      <c r="N215" s="216" t="s">
        <v>162</v>
      </c>
      <c r="O215" s="216">
        <f t="shared" si="18"/>
        <v>4</v>
      </c>
    </row>
    <row r="216" spans="1:15">
      <c r="A216" s="629" t="s">
        <v>1689</v>
      </c>
      <c r="B216" s="1475" t="s">
        <v>1689</v>
      </c>
      <c r="C216" s="1476">
        <f t="shared" si="16"/>
        <v>0</v>
      </c>
      <c r="D216" s="630" t="s">
        <v>1690</v>
      </c>
      <c r="E216" s="1469">
        <v>0</v>
      </c>
      <c r="F216" s="1469">
        <v>0</v>
      </c>
      <c r="G216" s="1469">
        <v>150104000</v>
      </c>
      <c r="H216" s="1469">
        <v>150104000</v>
      </c>
      <c r="I216" s="1469">
        <v>0</v>
      </c>
      <c r="J216" s="1470">
        <v>0</v>
      </c>
      <c r="L216" s="229" t="str">
        <f t="shared" si="17"/>
        <v>3</v>
      </c>
      <c r="M216" s="230">
        <f t="shared" si="14"/>
        <v>0</v>
      </c>
      <c r="N216" s="216" t="s">
        <v>164</v>
      </c>
      <c r="O216" s="216">
        <f t="shared" si="18"/>
        <v>4</v>
      </c>
    </row>
    <row r="217" spans="1:15">
      <c r="A217" s="629" t="s">
        <v>1691</v>
      </c>
      <c r="B217" s="1475" t="s">
        <v>1691</v>
      </c>
      <c r="C217" s="1476">
        <f t="shared" si="16"/>
        <v>0</v>
      </c>
      <c r="D217" s="630" t="s">
        <v>1692</v>
      </c>
      <c r="E217" s="1469">
        <v>0</v>
      </c>
      <c r="F217" s="1469">
        <v>14592000</v>
      </c>
      <c r="G217" s="1469">
        <v>163305000</v>
      </c>
      <c r="H217" s="1469">
        <v>194763000</v>
      </c>
      <c r="I217" s="1469">
        <v>0</v>
      </c>
      <c r="J217" s="1470">
        <v>46050000</v>
      </c>
      <c r="L217" s="229" t="str">
        <f t="shared" si="17"/>
        <v>3</v>
      </c>
      <c r="M217" s="230">
        <f t="shared" si="14"/>
        <v>-46050000</v>
      </c>
      <c r="N217" s="265" t="s">
        <v>158</v>
      </c>
      <c r="O217" s="216">
        <f t="shared" si="18"/>
        <v>4</v>
      </c>
    </row>
    <row r="218" spans="1:15">
      <c r="A218" s="627" t="s">
        <v>128</v>
      </c>
      <c r="B218" s="1474" t="s">
        <v>128</v>
      </c>
      <c r="C218" s="1476">
        <f t="shared" si="16"/>
        <v>0</v>
      </c>
      <c r="D218" s="628" t="s">
        <v>129</v>
      </c>
      <c r="E218" s="1467">
        <v>0</v>
      </c>
      <c r="F218" s="1467">
        <v>355523154</v>
      </c>
      <c r="G218" s="1467">
        <v>6632614587</v>
      </c>
      <c r="H218" s="1467">
        <v>7138967436</v>
      </c>
      <c r="I218" s="1467">
        <v>0</v>
      </c>
      <c r="J218" s="1468">
        <v>861876003</v>
      </c>
      <c r="L218" s="229" t="str">
        <f t="shared" si="17"/>
        <v>3</v>
      </c>
      <c r="M218" s="230">
        <f t="shared" si="14"/>
        <v>-861876003</v>
      </c>
      <c r="O218" s="216">
        <f t="shared" si="18"/>
        <v>3</v>
      </c>
    </row>
    <row r="219" spans="1:15">
      <c r="A219" s="627" t="s">
        <v>130</v>
      </c>
      <c r="B219" s="1474" t="s">
        <v>130</v>
      </c>
      <c r="C219" s="1476">
        <f t="shared" si="16"/>
        <v>0</v>
      </c>
      <c r="D219" s="628" t="s">
        <v>1693</v>
      </c>
      <c r="E219" s="1467">
        <v>0</v>
      </c>
      <c r="F219" s="1467">
        <v>0</v>
      </c>
      <c r="G219" s="1467">
        <v>926266762</v>
      </c>
      <c r="H219" s="1467">
        <v>1071133099</v>
      </c>
      <c r="I219" s="1467">
        <v>0</v>
      </c>
      <c r="J219" s="1468">
        <v>144866337</v>
      </c>
      <c r="L219" s="229" t="str">
        <f t="shared" si="17"/>
        <v>3</v>
      </c>
      <c r="M219" s="230">
        <f t="shared" si="14"/>
        <v>-144866337</v>
      </c>
      <c r="O219" s="216">
        <f t="shared" si="18"/>
        <v>4</v>
      </c>
    </row>
    <row r="220" spans="1:15">
      <c r="A220" s="629" t="s">
        <v>132</v>
      </c>
      <c r="B220" s="1475" t="s">
        <v>132</v>
      </c>
      <c r="C220" s="1476">
        <f t="shared" si="16"/>
        <v>0</v>
      </c>
      <c r="D220" s="630" t="s">
        <v>1694</v>
      </c>
      <c r="E220" s="1469">
        <v>0</v>
      </c>
      <c r="F220" s="1469">
        <v>0</v>
      </c>
      <c r="G220" s="1469">
        <v>926266762</v>
      </c>
      <c r="H220" s="1469">
        <v>1071133099</v>
      </c>
      <c r="I220" s="1469">
        <v>0</v>
      </c>
      <c r="J220" s="1470">
        <v>144866337</v>
      </c>
      <c r="L220" s="229" t="str">
        <f t="shared" si="17"/>
        <v>3</v>
      </c>
      <c r="M220" s="230">
        <f t="shared" si="14"/>
        <v>-144866337</v>
      </c>
      <c r="N220" s="216" t="s">
        <v>132</v>
      </c>
      <c r="O220" s="216">
        <f t="shared" si="18"/>
        <v>5</v>
      </c>
    </row>
    <row r="221" spans="1:15">
      <c r="A221" s="627" t="s">
        <v>134</v>
      </c>
      <c r="B221" s="1474" t="s">
        <v>134</v>
      </c>
      <c r="C221" s="1476">
        <f t="shared" si="16"/>
        <v>0</v>
      </c>
      <c r="D221" s="628" t="s">
        <v>1695</v>
      </c>
      <c r="E221" s="1467">
        <v>0</v>
      </c>
      <c r="F221" s="1467">
        <v>355523154</v>
      </c>
      <c r="G221" s="1467">
        <v>5706347825</v>
      </c>
      <c r="H221" s="1467">
        <v>6067834337</v>
      </c>
      <c r="I221" s="1467">
        <v>0</v>
      </c>
      <c r="J221" s="1468">
        <v>717009666</v>
      </c>
      <c r="L221" s="229" t="str">
        <f t="shared" si="17"/>
        <v>3</v>
      </c>
      <c r="M221" s="230">
        <f t="shared" si="14"/>
        <v>-717009666</v>
      </c>
      <c r="O221" s="216">
        <f t="shared" si="18"/>
        <v>4</v>
      </c>
    </row>
    <row r="222" spans="1:15">
      <c r="A222" s="627" t="s">
        <v>1696</v>
      </c>
      <c r="B222" s="1474" t="s">
        <v>1696</v>
      </c>
      <c r="C222" s="1476">
        <f t="shared" si="16"/>
        <v>0</v>
      </c>
      <c r="D222" s="628" t="s">
        <v>1697</v>
      </c>
      <c r="E222" s="1467">
        <v>0</v>
      </c>
      <c r="F222" s="1467">
        <v>187869788</v>
      </c>
      <c r="G222" s="1467">
        <v>2450068665</v>
      </c>
      <c r="H222" s="1467">
        <v>2542010665</v>
      </c>
      <c r="I222" s="1467">
        <v>0</v>
      </c>
      <c r="J222" s="1468">
        <v>279811788</v>
      </c>
      <c r="L222" s="229" t="str">
        <f t="shared" si="17"/>
        <v>3</v>
      </c>
      <c r="M222" s="230">
        <f t="shared" si="14"/>
        <v>-279811788</v>
      </c>
      <c r="N222" s="265" t="s">
        <v>136</v>
      </c>
      <c r="O222" s="216">
        <f t="shared" si="18"/>
        <v>5</v>
      </c>
    </row>
    <row r="223" spans="1:15">
      <c r="A223" s="629" t="s">
        <v>1698</v>
      </c>
      <c r="B223" s="1475" t="s">
        <v>1698</v>
      </c>
      <c r="C223" s="1476">
        <f t="shared" si="16"/>
        <v>0</v>
      </c>
      <c r="D223" s="630" t="s">
        <v>1699</v>
      </c>
      <c r="E223" s="1469">
        <v>0</v>
      </c>
      <c r="F223" s="1469">
        <v>182258675</v>
      </c>
      <c r="G223" s="1469">
        <v>2408951433</v>
      </c>
      <c r="H223" s="1469">
        <v>2501289879</v>
      </c>
      <c r="I223" s="1469">
        <v>0</v>
      </c>
      <c r="J223" s="1470">
        <v>274597121</v>
      </c>
      <c r="L223" s="229" t="str">
        <f t="shared" si="17"/>
        <v>3</v>
      </c>
      <c r="M223" s="230">
        <f t="shared" si="14"/>
        <v>-274597121</v>
      </c>
      <c r="O223" s="216">
        <f t="shared" si="18"/>
        <v>6</v>
      </c>
    </row>
    <row r="224" spans="1:15" s="217" customFormat="1" ht="25.5">
      <c r="A224" s="629" t="s">
        <v>1700</v>
      </c>
      <c r="B224" s="1475" t="s">
        <v>1700</v>
      </c>
      <c r="C224" s="1476">
        <f t="shared" si="16"/>
        <v>0</v>
      </c>
      <c r="D224" s="630" t="s">
        <v>1701</v>
      </c>
      <c r="E224" s="1469">
        <v>0</v>
      </c>
      <c r="F224" s="1469">
        <v>5611113</v>
      </c>
      <c r="G224" s="1469">
        <v>41117232</v>
      </c>
      <c r="H224" s="1469">
        <v>40720786</v>
      </c>
      <c r="I224" s="1469">
        <v>0</v>
      </c>
      <c r="J224" s="1470">
        <v>5214667</v>
      </c>
      <c r="L224" s="231" t="str">
        <f t="shared" si="17"/>
        <v>3</v>
      </c>
      <c r="M224" s="232">
        <f t="shared" si="14"/>
        <v>-5214667</v>
      </c>
      <c r="N224" s="216"/>
      <c r="O224" s="216">
        <f t="shared" si="18"/>
        <v>6</v>
      </c>
    </row>
    <row r="225" spans="1:15">
      <c r="A225" s="627" t="s">
        <v>1702</v>
      </c>
      <c r="B225" s="1474" t="s">
        <v>1702</v>
      </c>
      <c r="C225" s="1476">
        <f t="shared" si="16"/>
        <v>0</v>
      </c>
      <c r="D225" s="628" t="s">
        <v>1703</v>
      </c>
      <c r="E225" s="1467">
        <v>0</v>
      </c>
      <c r="F225" s="1467">
        <v>167653366</v>
      </c>
      <c r="G225" s="1467">
        <v>3256279160</v>
      </c>
      <c r="H225" s="1467">
        <v>3525823672</v>
      </c>
      <c r="I225" s="1467">
        <v>0</v>
      </c>
      <c r="J225" s="1468">
        <v>437197878</v>
      </c>
      <c r="L225" s="229" t="str">
        <f t="shared" si="17"/>
        <v>3</v>
      </c>
      <c r="M225" s="230">
        <f t="shared" si="14"/>
        <v>-437197878</v>
      </c>
      <c r="N225" s="216" t="s">
        <v>140</v>
      </c>
      <c r="O225" s="216">
        <f t="shared" si="18"/>
        <v>5</v>
      </c>
    </row>
    <row r="226" spans="1:15">
      <c r="A226" s="629" t="s">
        <v>1704</v>
      </c>
      <c r="B226" s="1475" t="s">
        <v>1704</v>
      </c>
      <c r="C226" s="1476">
        <f t="shared" si="16"/>
        <v>0</v>
      </c>
      <c r="D226" s="630" t="s">
        <v>1705</v>
      </c>
      <c r="E226" s="1469">
        <v>0</v>
      </c>
      <c r="F226" s="1469">
        <v>154755194</v>
      </c>
      <c r="G226" s="1469">
        <v>2887682213</v>
      </c>
      <c r="H226" s="1469">
        <v>3129909790</v>
      </c>
      <c r="I226" s="1469">
        <v>0</v>
      </c>
      <c r="J226" s="1470">
        <v>396982771</v>
      </c>
      <c r="L226" s="229" t="str">
        <f t="shared" si="17"/>
        <v>3</v>
      </c>
      <c r="M226" s="230">
        <f t="shared" si="14"/>
        <v>-396982771</v>
      </c>
      <c r="O226" s="216">
        <f t="shared" si="18"/>
        <v>6</v>
      </c>
    </row>
    <row r="227" spans="1:15">
      <c r="A227" s="629" t="s">
        <v>1706</v>
      </c>
      <c r="B227" s="1475" t="s">
        <v>1706</v>
      </c>
      <c r="C227" s="1476">
        <f t="shared" si="16"/>
        <v>0</v>
      </c>
      <c r="D227" s="630" t="s">
        <v>1707</v>
      </c>
      <c r="E227" s="1469">
        <v>0</v>
      </c>
      <c r="F227" s="1469">
        <v>12898172</v>
      </c>
      <c r="G227" s="1469">
        <v>368596947</v>
      </c>
      <c r="H227" s="1469">
        <v>395913882</v>
      </c>
      <c r="I227" s="1469">
        <v>0</v>
      </c>
      <c r="J227" s="1470">
        <v>40215107</v>
      </c>
      <c r="L227" s="229" t="str">
        <f t="shared" si="17"/>
        <v>3</v>
      </c>
      <c r="M227" s="230">
        <f t="shared" si="14"/>
        <v>-40215107</v>
      </c>
      <c r="O227" s="216">
        <f t="shared" si="18"/>
        <v>6</v>
      </c>
    </row>
    <row r="228" spans="1:15">
      <c r="A228" s="627" t="s">
        <v>148</v>
      </c>
      <c r="B228" s="1474" t="s">
        <v>148</v>
      </c>
      <c r="C228" s="1476">
        <f t="shared" si="16"/>
        <v>0</v>
      </c>
      <c r="D228" s="628" t="s">
        <v>149</v>
      </c>
      <c r="E228" s="1467">
        <v>0</v>
      </c>
      <c r="F228" s="1467">
        <v>1302789489</v>
      </c>
      <c r="G228" s="1467">
        <v>28282986014</v>
      </c>
      <c r="H228" s="1467">
        <v>28806554381</v>
      </c>
      <c r="I228" s="1467">
        <v>0</v>
      </c>
      <c r="J228" s="1468">
        <v>1826357856</v>
      </c>
      <c r="L228" s="229" t="str">
        <f t="shared" si="17"/>
        <v>3</v>
      </c>
      <c r="M228" s="230">
        <f t="shared" ref="M228:M301" si="19">IF(AND(L228&lt;="4",L228&gt;"0"),I228-J228,IF(OR(L228="6",L228="8"),-H228,G228))</f>
        <v>-1826357856</v>
      </c>
      <c r="N228" s="216" t="s">
        <v>150</v>
      </c>
      <c r="O228" s="216">
        <f t="shared" si="18"/>
        <v>3</v>
      </c>
    </row>
    <row r="229" spans="1:15">
      <c r="A229" s="629" t="s">
        <v>150</v>
      </c>
      <c r="B229" s="1475" t="s">
        <v>150</v>
      </c>
      <c r="C229" s="1476">
        <f t="shared" si="16"/>
        <v>0</v>
      </c>
      <c r="D229" s="630" t="s">
        <v>1708</v>
      </c>
      <c r="E229" s="1469">
        <v>0</v>
      </c>
      <c r="F229" s="1469">
        <v>1272789489</v>
      </c>
      <c r="G229" s="1469">
        <v>28162986014</v>
      </c>
      <c r="H229" s="1469">
        <v>28686554381</v>
      </c>
      <c r="I229" s="1469">
        <v>0</v>
      </c>
      <c r="J229" s="1470">
        <v>1796357856</v>
      </c>
      <c r="L229" s="229" t="str">
        <f t="shared" si="17"/>
        <v>3</v>
      </c>
      <c r="M229" s="230">
        <f t="shared" si="19"/>
        <v>-1796357856</v>
      </c>
      <c r="O229" s="216">
        <f t="shared" si="18"/>
        <v>4</v>
      </c>
    </row>
    <row r="230" spans="1:15">
      <c r="A230" s="629" t="s">
        <v>1709</v>
      </c>
      <c r="B230" s="1475" t="s">
        <v>1709</v>
      </c>
      <c r="C230" s="1476">
        <f t="shared" si="16"/>
        <v>0</v>
      </c>
      <c r="D230" s="630" t="s">
        <v>1710</v>
      </c>
      <c r="E230" s="1469">
        <v>0</v>
      </c>
      <c r="F230" s="1469">
        <v>30000000</v>
      </c>
      <c r="G230" s="1469">
        <v>120000000</v>
      </c>
      <c r="H230" s="1469">
        <v>120000000</v>
      </c>
      <c r="I230" s="1469">
        <v>0</v>
      </c>
      <c r="J230" s="1470">
        <v>30000000</v>
      </c>
      <c r="L230" s="229" t="str">
        <f t="shared" si="17"/>
        <v>3</v>
      </c>
      <c r="M230" s="230">
        <f t="shared" si="19"/>
        <v>-30000000</v>
      </c>
      <c r="O230" s="216">
        <f t="shared" si="18"/>
        <v>4</v>
      </c>
    </row>
    <row r="231" spans="1:15">
      <c r="A231" s="627" t="s">
        <v>154</v>
      </c>
      <c r="B231" s="1474" t="s">
        <v>154</v>
      </c>
      <c r="C231" s="1476">
        <f t="shared" si="16"/>
        <v>0</v>
      </c>
      <c r="D231" s="628" t="s">
        <v>155</v>
      </c>
      <c r="E231" s="1467">
        <v>0</v>
      </c>
      <c r="F231" s="1467">
        <v>390253694</v>
      </c>
      <c r="G231" s="1467">
        <v>3169510040</v>
      </c>
      <c r="H231" s="1467">
        <v>4661602133</v>
      </c>
      <c r="I231" s="1467">
        <v>0</v>
      </c>
      <c r="J231" s="1468">
        <v>1882345787</v>
      </c>
      <c r="L231" s="229" t="str">
        <f t="shared" si="17"/>
        <v>3</v>
      </c>
      <c r="M231" s="230">
        <f t="shared" si="19"/>
        <v>-1882345787</v>
      </c>
      <c r="N231" s="265" t="s">
        <v>154</v>
      </c>
      <c r="O231" s="216">
        <f t="shared" si="18"/>
        <v>3</v>
      </c>
    </row>
    <row r="232" spans="1:15">
      <c r="A232" s="627" t="s">
        <v>1711</v>
      </c>
      <c r="B232" s="1474" t="s">
        <v>1711</v>
      </c>
      <c r="C232" s="1476">
        <f t="shared" si="16"/>
        <v>0</v>
      </c>
      <c r="D232" s="628" t="s">
        <v>1712</v>
      </c>
      <c r="E232" s="1467">
        <v>0</v>
      </c>
      <c r="F232" s="1467">
        <v>0</v>
      </c>
      <c r="G232" s="1467">
        <v>1712761638</v>
      </c>
      <c r="H232" s="1467">
        <v>1718534241</v>
      </c>
      <c r="I232" s="1467">
        <v>0</v>
      </c>
      <c r="J232" s="1468">
        <v>5772603</v>
      </c>
      <c r="L232" s="229" t="str">
        <f t="shared" ref="L232:L260" si="20">LEFT(A232,1)</f>
        <v>3</v>
      </c>
      <c r="M232" s="230">
        <f t="shared" si="19"/>
        <v>-5772603</v>
      </c>
      <c r="O232" s="216">
        <f t="shared" si="18"/>
        <v>4</v>
      </c>
    </row>
    <row r="233" spans="1:15">
      <c r="A233" s="627" t="s">
        <v>1713</v>
      </c>
      <c r="B233" s="1474" t="s">
        <v>1713</v>
      </c>
      <c r="C233" s="1476">
        <f t="shared" si="16"/>
        <v>0</v>
      </c>
      <c r="D233" s="628" t="s">
        <v>1714</v>
      </c>
      <c r="E233" s="1467">
        <v>0</v>
      </c>
      <c r="F233" s="1467">
        <v>0</v>
      </c>
      <c r="G233" s="1467">
        <v>1712761638</v>
      </c>
      <c r="H233" s="1467">
        <v>1718534241</v>
      </c>
      <c r="I233" s="1467">
        <v>0</v>
      </c>
      <c r="J233" s="1468">
        <v>5772603</v>
      </c>
      <c r="L233" s="229" t="str">
        <f t="shared" si="20"/>
        <v>3</v>
      </c>
      <c r="M233" s="230">
        <f t="shared" si="19"/>
        <v>-5772603</v>
      </c>
      <c r="O233" s="216">
        <f t="shared" si="18"/>
        <v>5</v>
      </c>
    </row>
    <row r="234" spans="1:15">
      <c r="A234" s="627" t="s">
        <v>1715</v>
      </c>
      <c r="B234" s="1474" t="s">
        <v>1715</v>
      </c>
      <c r="C234" s="1476">
        <f t="shared" si="16"/>
        <v>0</v>
      </c>
      <c r="D234" s="628" t="s">
        <v>1716</v>
      </c>
      <c r="E234" s="1467">
        <v>0</v>
      </c>
      <c r="F234" s="1467">
        <v>0</v>
      </c>
      <c r="G234" s="1467">
        <v>1712761638</v>
      </c>
      <c r="H234" s="1467">
        <v>1718534241</v>
      </c>
      <c r="I234" s="1467">
        <v>0</v>
      </c>
      <c r="J234" s="1468">
        <v>5772603</v>
      </c>
      <c r="L234" s="229" t="str">
        <f t="shared" si="20"/>
        <v>3</v>
      </c>
      <c r="M234" s="230">
        <f t="shared" si="19"/>
        <v>-5772603</v>
      </c>
      <c r="O234" s="216">
        <f t="shared" si="18"/>
        <v>6</v>
      </c>
    </row>
    <row r="235" spans="1:15">
      <c r="A235" s="629" t="s">
        <v>1717</v>
      </c>
      <c r="B235" s="1475" t="s">
        <v>1717</v>
      </c>
      <c r="C235" s="1476">
        <f t="shared" si="16"/>
        <v>0</v>
      </c>
      <c r="D235" s="630" t="s">
        <v>1718</v>
      </c>
      <c r="E235" s="1469">
        <v>0</v>
      </c>
      <c r="F235" s="1469">
        <v>0</v>
      </c>
      <c r="G235" s="1469">
        <v>1712761638</v>
      </c>
      <c r="H235" s="1469">
        <v>1718534241</v>
      </c>
      <c r="I235" s="1469">
        <v>0</v>
      </c>
      <c r="J235" s="1470">
        <v>5772603</v>
      </c>
      <c r="L235" s="229" t="str">
        <f t="shared" si="20"/>
        <v>3</v>
      </c>
      <c r="M235" s="230">
        <f t="shared" si="19"/>
        <v>-5772603</v>
      </c>
      <c r="O235" s="216">
        <f t="shared" si="18"/>
        <v>7</v>
      </c>
    </row>
    <row r="236" spans="1:15">
      <c r="A236" s="627" t="s">
        <v>1719</v>
      </c>
      <c r="B236" s="1474" t="s">
        <v>1719</v>
      </c>
      <c r="C236" s="1476">
        <f t="shared" si="16"/>
        <v>0</v>
      </c>
      <c r="D236" s="628" t="s">
        <v>1720</v>
      </c>
      <c r="E236" s="1467">
        <v>0</v>
      </c>
      <c r="F236" s="1467">
        <v>390253694</v>
      </c>
      <c r="G236" s="1467">
        <v>1456748402</v>
      </c>
      <c r="H236" s="1467">
        <v>2943067892</v>
      </c>
      <c r="I236" s="1467">
        <v>0</v>
      </c>
      <c r="J236" s="1468">
        <v>1876573184</v>
      </c>
      <c r="L236" s="229" t="str">
        <f t="shared" si="20"/>
        <v>3</v>
      </c>
      <c r="M236" s="230">
        <f t="shared" si="19"/>
        <v>-1876573184</v>
      </c>
      <c r="O236" s="216">
        <f t="shared" si="18"/>
        <v>4</v>
      </c>
    </row>
    <row r="237" spans="1:15">
      <c r="A237" s="627" t="s">
        <v>1721</v>
      </c>
      <c r="B237" s="1474" t="s">
        <v>1721</v>
      </c>
      <c r="C237" s="1476">
        <f t="shared" si="16"/>
        <v>0</v>
      </c>
      <c r="D237" s="628" t="s">
        <v>1722</v>
      </c>
      <c r="E237" s="1467">
        <v>0</v>
      </c>
      <c r="F237" s="1467">
        <v>390253694</v>
      </c>
      <c r="G237" s="1467">
        <v>1456748402</v>
      </c>
      <c r="H237" s="1467">
        <v>1194443865</v>
      </c>
      <c r="I237" s="1467">
        <v>0</v>
      </c>
      <c r="J237" s="1468">
        <v>127949157</v>
      </c>
      <c r="L237" s="229" t="str">
        <f t="shared" si="20"/>
        <v>3</v>
      </c>
      <c r="M237" s="230">
        <f t="shared" si="19"/>
        <v>-127949157</v>
      </c>
      <c r="O237" s="216">
        <f t="shared" si="18"/>
        <v>5</v>
      </c>
    </row>
    <row r="238" spans="1:15">
      <c r="A238" s="629" t="s">
        <v>1723</v>
      </c>
      <c r="B238" s="1475" t="s">
        <v>1723</v>
      </c>
      <c r="C238" s="1476">
        <f t="shared" si="16"/>
        <v>0</v>
      </c>
      <c r="D238" s="630" t="s">
        <v>1724</v>
      </c>
      <c r="E238" s="1469">
        <v>0</v>
      </c>
      <c r="F238" s="1469">
        <v>390253694</v>
      </c>
      <c r="G238" s="1469">
        <v>1456748402</v>
      </c>
      <c r="H238" s="1469">
        <v>1194443865</v>
      </c>
      <c r="I238" s="1469">
        <v>0</v>
      </c>
      <c r="J238" s="1470">
        <v>127949157</v>
      </c>
      <c r="L238" s="229" t="str">
        <f t="shared" si="20"/>
        <v>3</v>
      </c>
      <c r="M238" s="230">
        <f t="shared" si="19"/>
        <v>-127949157</v>
      </c>
      <c r="N238" s="217"/>
      <c r="O238" s="216">
        <f t="shared" si="18"/>
        <v>6</v>
      </c>
    </row>
    <row r="239" spans="1:15">
      <c r="A239" s="627" t="s">
        <v>1725</v>
      </c>
      <c r="B239" s="1474" t="s">
        <v>1725</v>
      </c>
      <c r="C239" s="1476">
        <f t="shared" si="16"/>
        <v>0</v>
      </c>
      <c r="D239" s="628" t="s">
        <v>1726</v>
      </c>
      <c r="E239" s="1467">
        <v>0</v>
      </c>
      <c r="F239" s="1467">
        <v>0</v>
      </c>
      <c r="G239" s="1467">
        <v>0</v>
      </c>
      <c r="H239" s="1467">
        <v>1748624027</v>
      </c>
      <c r="I239" s="1467">
        <v>0</v>
      </c>
      <c r="J239" s="1468">
        <v>1748624027</v>
      </c>
      <c r="L239" s="229" t="str">
        <f t="shared" si="20"/>
        <v>3</v>
      </c>
      <c r="M239" s="230">
        <f t="shared" si="19"/>
        <v>-1748624027</v>
      </c>
      <c r="N239" s="217"/>
      <c r="O239" s="216">
        <f t="shared" si="18"/>
        <v>5</v>
      </c>
    </row>
    <row r="240" spans="1:15">
      <c r="A240" s="629" t="s">
        <v>1727</v>
      </c>
      <c r="B240" s="1475" t="s">
        <v>1727</v>
      </c>
      <c r="C240" s="1476">
        <f t="shared" si="16"/>
        <v>0</v>
      </c>
      <c r="D240" s="630" t="s">
        <v>1728</v>
      </c>
      <c r="E240" s="1469">
        <v>0</v>
      </c>
      <c r="F240" s="1469">
        <v>0</v>
      </c>
      <c r="G240" s="1469">
        <v>0</v>
      </c>
      <c r="H240" s="1469">
        <v>1748624027</v>
      </c>
      <c r="I240" s="1469">
        <v>0</v>
      </c>
      <c r="J240" s="1470">
        <v>1748624027</v>
      </c>
      <c r="L240" s="229" t="str">
        <f t="shared" si="20"/>
        <v>3</v>
      </c>
      <c r="M240" s="230">
        <f t="shared" si="19"/>
        <v>-1748624027</v>
      </c>
      <c r="O240" s="216">
        <f t="shared" si="18"/>
        <v>6</v>
      </c>
    </row>
    <row r="241" spans="1:16">
      <c r="A241" s="627" t="s">
        <v>156</v>
      </c>
      <c r="B241" s="1474" t="s">
        <v>156</v>
      </c>
      <c r="C241" s="1476">
        <f t="shared" si="16"/>
        <v>0</v>
      </c>
      <c r="D241" s="628" t="s">
        <v>157</v>
      </c>
      <c r="E241" s="1467">
        <v>0</v>
      </c>
      <c r="F241" s="1467">
        <v>14981221</v>
      </c>
      <c r="G241" s="1467">
        <v>2765909547</v>
      </c>
      <c r="H241" s="1467">
        <v>2840388951</v>
      </c>
      <c r="I241" s="1467">
        <v>0</v>
      </c>
      <c r="J241" s="1468">
        <v>89460625</v>
      </c>
      <c r="L241" s="229" t="str">
        <f t="shared" si="20"/>
        <v>3</v>
      </c>
      <c r="M241" s="230">
        <f t="shared" si="19"/>
        <v>-89460625</v>
      </c>
      <c r="N241" s="265" t="s">
        <v>1729</v>
      </c>
      <c r="O241" s="216">
        <f t="shared" si="18"/>
        <v>3</v>
      </c>
    </row>
    <row r="242" spans="1:16">
      <c r="A242" s="627" t="s">
        <v>168</v>
      </c>
      <c r="B242" s="1474" t="s">
        <v>168</v>
      </c>
      <c r="C242" s="1476">
        <f t="shared" si="16"/>
        <v>0</v>
      </c>
      <c r="D242" s="628" t="s">
        <v>1730</v>
      </c>
      <c r="E242" s="1467">
        <v>0</v>
      </c>
      <c r="F242" s="1467">
        <v>14981221</v>
      </c>
      <c r="G242" s="1467">
        <v>2765909547</v>
      </c>
      <c r="H242" s="1467">
        <v>2840388951</v>
      </c>
      <c r="I242" s="1467">
        <v>0</v>
      </c>
      <c r="J242" s="1468">
        <v>89460625</v>
      </c>
      <c r="L242" s="229" t="str">
        <f t="shared" si="20"/>
        <v>3</v>
      </c>
      <c r="M242" s="230">
        <f t="shared" si="19"/>
        <v>-89460625</v>
      </c>
      <c r="O242" s="216">
        <f t="shared" si="18"/>
        <v>4</v>
      </c>
    </row>
    <row r="243" spans="1:16">
      <c r="A243" s="629" t="s">
        <v>1731</v>
      </c>
      <c r="B243" s="1475" t="s">
        <v>1731</v>
      </c>
      <c r="C243" s="1476">
        <f t="shared" si="16"/>
        <v>0</v>
      </c>
      <c r="D243" s="630" t="s">
        <v>1732</v>
      </c>
      <c r="E243" s="1469">
        <v>0</v>
      </c>
      <c r="F243" s="1469">
        <v>14981221</v>
      </c>
      <c r="G243" s="1469">
        <v>2329498286</v>
      </c>
      <c r="H243" s="1469">
        <v>2323517065</v>
      </c>
      <c r="I243" s="1469">
        <v>0</v>
      </c>
      <c r="J243" s="1470">
        <v>9000000</v>
      </c>
      <c r="L243" s="229" t="str">
        <f t="shared" si="20"/>
        <v>3</v>
      </c>
      <c r="M243" s="230">
        <f t="shared" si="19"/>
        <v>-9000000</v>
      </c>
      <c r="O243" s="216">
        <f t="shared" si="18"/>
        <v>5</v>
      </c>
    </row>
    <row r="244" spans="1:16">
      <c r="A244" s="629" t="s">
        <v>1733</v>
      </c>
      <c r="B244" s="1475" t="s">
        <v>1733</v>
      </c>
      <c r="C244" s="1476">
        <f t="shared" si="16"/>
        <v>0</v>
      </c>
      <c r="D244" s="630" t="s">
        <v>1734</v>
      </c>
      <c r="E244" s="1469">
        <v>0</v>
      </c>
      <c r="F244" s="1469">
        <v>0</v>
      </c>
      <c r="G244" s="1469">
        <v>436411261</v>
      </c>
      <c r="H244" s="1469">
        <v>516871886</v>
      </c>
      <c r="I244" s="1469">
        <v>0</v>
      </c>
      <c r="J244" s="1470">
        <v>80460625</v>
      </c>
      <c r="L244" s="229" t="str">
        <f t="shared" si="20"/>
        <v>3</v>
      </c>
      <c r="M244" s="230">
        <f t="shared" si="19"/>
        <v>-80460625</v>
      </c>
      <c r="O244" s="216">
        <f t="shared" si="18"/>
        <v>5</v>
      </c>
    </row>
    <row r="245" spans="1:16">
      <c r="A245" s="627" t="s">
        <v>203</v>
      </c>
      <c r="B245" s="1474" t="s">
        <v>203</v>
      </c>
      <c r="C245" s="1476">
        <f t="shared" si="16"/>
        <v>0</v>
      </c>
      <c r="D245" s="628" t="s">
        <v>204</v>
      </c>
      <c r="E245" s="1467">
        <v>0</v>
      </c>
      <c r="F245" s="1467">
        <v>558599980000</v>
      </c>
      <c r="G245" s="1467">
        <v>0</v>
      </c>
      <c r="H245" s="1467">
        <v>0</v>
      </c>
      <c r="I245" s="1467">
        <v>0</v>
      </c>
      <c r="J245" s="1468">
        <v>558599980000</v>
      </c>
      <c r="L245" s="229" t="str">
        <f t="shared" si="20"/>
        <v>4</v>
      </c>
      <c r="M245" s="230">
        <f t="shared" si="19"/>
        <v>-558599980000</v>
      </c>
      <c r="N245" s="265" t="s">
        <v>207</v>
      </c>
      <c r="O245" s="216">
        <f t="shared" si="18"/>
        <v>3</v>
      </c>
    </row>
    <row r="246" spans="1:16">
      <c r="A246" s="627" t="s">
        <v>205</v>
      </c>
      <c r="B246" s="1474" t="s">
        <v>205</v>
      </c>
      <c r="C246" s="1476">
        <f t="shared" si="16"/>
        <v>0</v>
      </c>
      <c r="D246" s="628" t="s">
        <v>1735</v>
      </c>
      <c r="E246" s="1467">
        <v>0</v>
      </c>
      <c r="F246" s="1467">
        <v>558599980000</v>
      </c>
      <c r="G246" s="1467">
        <v>0</v>
      </c>
      <c r="H246" s="1467">
        <v>0</v>
      </c>
      <c r="I246" s="1467">
        <v>0</v>
      </c>
      <c r="J246" s="1468">
        <v>558599980000</v>
      </c>
      <c r="L246" s="229" t="str">
        <f t="shared" si="20"/>
        <v>4</v>
      </c>
      <c r="M246" s="230">
        <f t="shared" si="19"/>
        <v>-558599980000</v>
      </c>
      <c r="O246" s="216">
        <f t="shared" si="18"/>
        <v>4</v>
      </c>
    </row>
    <row r="247" spans="1:16">
      <c r="A247" s="627" t="s">
        <v>207</v>
      </c>
      <c r="B247" s="1474" t="s">
        <v>207</v>
      </c>
      <c r="C247" s="1476">
        <f t="shared" si="16"/>
        <v>0</v>
      </c>
      <c r="D247" s="628" t="s">
        <v>1736</v>
      </c>
      <c r="E247" s="1467">
        <v>0</v>
      </c>
      <c r="F247" s="1467">
        <v>558599980000</v>
      </c>
      <c r="G247" s="1467">
        <v>0</v>
      </c>
      <c r="H247" s="1467">
        <v>0</v>
      </c>
      <c r="I247" s="1467">
        <v>0</v>
      </c>
      <c r="J247" s="1468">
        <v>558599980000</v>
      </c>
      <c r="L247" s="229" t="str">
        <f t="shared" si="20"/>
        <v>4</v>
      </c>
      <c r="M247" s="230">
        <f t="shared" si="19"/>
        <v>-558599980000</v>
      </c>
      <c r="O247" s="216">
        <f t="shared" si="18"/>
        <v>5</v>
      </c>
    </row>
    <row r="248" spans="1:16">
      <c r="A248" s="629" t="s">
        <v>1737</v>
      </c>
      <c r="B248" s="1475" t="s">
        <v>1737</v>
      </c>
      <c r="C248" s="1476">
        <f t="shared" si="16"/>
        <v>0</v>
      </c>
      <c r="D248" s="630" t="s">
        <v>1738</v>
      </c>
      <c r="E248" s="1469">
        <v>0</v>
      </c>
      <c r="F248" s="1469">
        <v>558599980000</v>
      </c>
      <c r="G248" s="1469">
        <v>0</v>
      </c>
      <c r="H248" s="1469">
        <v>0</v>
      </c>
      <c r="I248" s="1469">
        <v>0</v>
      </c>
      <c r="J248" s="1470">
        <v>558599980000</v>
      </c>
      <c r="L248" s="229" t="str">
        <f t="shared" si="20"/>
        <v>4</v>
      </c>
      <c r="M248" s="230">
        <f t="shared" si="19"/>
        <v>-558599980000</v>
      </c>
      <c r="O248" s="216">
        <f t="shared" si="18"/>
        <v>6</v>
      </c>
    </row>
    <row r="249" spans="1:16">
      <c r="A249" s="627" t="s">
        <v>1739</v>
      </c>
      <c r="B249" s="1474" t="s">
        <v>1739</v>
      </c>
      <c r="C249" s="1476">
        <f t="shared" si="16"/>
        <v>0</v>
      </c>
      <c r="D249" s="628" t="s">
        <v>1740</v>
      </c>
      <c r="E249" s="1467">
        <v>0</v>
      </c>
      <c r="F249" s="1467">
        <v>254998000</v>
      </c>
      <c r="G249" s="1467">
        <v>0</v>
      </c>
      <c r="H249" s="1467">
        <v>0</v>
      </c>
      <c r="I249" s="1467">
        <v>0</v>
      </c>
      <c r="J249" s="1468">
        <v>254998000</v>
      </c>
      <c r="L249" s="229" t="str">
        <f t="shared" si="20"/>
        <v>4</v>
      </c>
      <c r="M249" s="230">
        <f t="shared" si="19"/>
        <v>-254998000</v>
      </c>
      <c r="N249" s="265" t="s">
        <v>1201</v>
      </c>
      <c r="O249" s="216">
        <f t="shared" si="18"/>
        <v>3</v>
      </c>
    </row>
    <row r="250" spans="1:16">
      <c r="A250" s="629" t="s">
        <v>1201</v>
      </c>
      <c r="B250" s="1475" t="s">
        <v>1201</v>
      </c>
      <c r="C250" s="1476">
        <f t="shared" si="16"/>
        <v>0</v>
      </c>
      <c r="D250" s="630" t="s">
        <v>1741</v>
      </c>
      <c r="E250" s="1469">
        <v>0</v>
      </c>
      <c r="F250" s="1469">
        <v>254998000</v>
      </c>
      <c r="G250" s="1469">
        <v>0</v>
      </c>
      <c r="H250" s="1469">
        <v>0</v>
      </c>
      <c r="I250" s="1469">
        <v>0</v>
      </c>
      <c r="J250" s="1470">
        <v>254998000</v>
      </c>
      <c r="L250" s="229" t="str">
        <f t="shared" si="20"/>
        <v>4</v>
      </c>
      <c r="M250" s="230">
        <f t="shared" si="19"/>
        <v>-254998000</v>
      </c>
      <c r="O250" s="216">
        <f t="shared" si="18"/>
        <v>4</v>
      </c>
    </row>
    <row r="251" spans="1:16">
      <c r="A251" s="627" t="s">
        <v>213</v>
      </c>
      <c r="B251" s="1474" t="s">
        <v>213</v>
      </c>
      <c r="C251" s="1476">
        <f t="shared" si="16"/>
        <v>0</v>
      </c>
      <c r="D251" s="628" t="s">
        <v>1742</v>
      </c>
      <c r="E251" s="1467">
        <v>259997906569</v>
      </c>
      <c r="F251" s="1467">
        <v>692224658</v>
      </c>
      <c r="G251" s="1467">
        <v>21993125784</v>
      </c>
      <c r="H251" s="1467">
        <v>428465944</v>
      </c>
      <c r="I251" s="1467">
        <v>280886896736</v>
      </c>
      <c r="J251" s="1468">
        <v>16554985</v>
      </c>
      <c r="L251" s="229" t="str">
        <f t="shared" si="20"/>
        <v>4</v>
      </c>
      <c r="M251" s="230">
        <f t="shared" si="19"/>
        <v>280870341751</v>
      </c>
      <c r="O251" s="216">
        <f t="shared" si="18"/>
        <v>3</v>
      </c>
    </row>
    <row r="252" spans="1:16">
      <c r="A252" s="627" t="s">
        <v>215</v>
      </c>
      <c r="B252" s="1474" t="s">
        <v>215</v>
      </c>
      <c r="C252" s="1476">
        <f t="shared" si="16"/>
        <v>0</v>
      </c>
      <c r="D252" s="628" t="s">
        <v>1743</v>
      </c>
      <c r="E252" s="1467">
        <v>259997906569</v>
      </c>
      <c r="F252" s="1467">
        <v>0</v>
      </c>
      <c r="G252" s="1467">
        <v>20888990167</v>
      </c>
      <c r="H252" s="1467">
        <v>0</v>
      </c>
      <c r="I252" s="1467">
        <v>280886896736</v>
      </c>
      <c r="J252" s="1468">
        <v>0</v>
      </c>
      <c r="L252" s="229" t="str">
        <f t="shared" si="20"/>
        <v>4</v>
      </c>
      <c r="M252" s="230">
        <f t="shared" si="19"/>
        <v>280886896736</v>
      </c>
      <c r="O252" s="216">
        <f t="shared" si="18"/>
        <v>4</v>
      </c>
    </row>
    <row r="253" spans="1:16">
      <c r="A253" s="629" t="s">
        <v>1003</v>
      </c>
      <c r="B253" s="1475" t="s">
        <v>1003</v>
      </c>
      <c r="C253" s="1476">
        <f t="shared" si="16"/>
        <v>0</v>
      </c>
      <c r="D253" s="630" t="s">
        <v>1004</v>
      </c>
      <c r="E253" s="1469">
        <v>259997906569</v>
      </c>
      <c r="F253" s="1469">
        <v>0</v>
      </c>
      <c r="G253" s="1469">
        <v>20888990167</v>
      </c>
      <c r="H253" s="1469">
        <v>0</v>
      </c>
      <c r="I253" s="1469">
        <v>280886896736</v>
      </c>
      <c r="J253" s="1470">
        <v>0</v>
      </c>
      <c r="L253" s="229" t="str">
        <f t="shared" si="20"/>
        <v>4</v>
      </c>
      <c r="M253" s="230">
        <f>IF(AND(L253&lt;="4",L253&gt;"0"),I253-J253,IF(OR(L253="6",L253="8"),-H253,G253))-'A0.LS'!AE4</f>
        <v>259305681911</v>
      </c>
      <c r="N253" s="265" t="s">
        <v>215</v>
      </c>
      <c r="O253" s="216">
        <f t="shared" si="18"/>
        <v>5</v>
      </c>
    </row>
    <row r="254" spans="1:16">
      <c r="A254" s="627" t="s">
        <v>217</v>
      </c>
      <c r="B254" s="1474" t="s">
        <v>217</v>
      </c>
      <c r="C254" s="1476">
        <f t="shared" si="16"/>
        <v>0</v>
      </c>
      <c r="D254" s="628" t="s">
        <v>1744</v>
      </c>
      <c r="E254" s="1467">
        <v>0</v>
      </c>
      <c r="F254" s="1467">
        <v>692224658</v>
      </c>
      <c r="G254" s="1467">
        <v>1104135617</v>
      </c>
      <c r="H254" s="1467">
        <v>428465944</v>
      </c>
      <c r="I254" s="1467">
        <v>0</v>
      </c>
      <c r="J254" s="1468">
        <v>16554985</v>
      </c>
      <c r="L254" s="229" t="str">
        <f t="shared" si="20"/>
        <v>4</v>
      </c>
      <c r="M254" s="230">
        <f>IF(AND(L254&lt;="4",L254&gt;"0"),I254-J254,IF(OR(L254="6",L254="8"),-H254,G254))</f>
        <v>-16554985</v>
      </c>
      <c r="N254" s="265"/>
      <c r="O254" s="216">
        <f t="shared" si="18"/>
        <v>4</v>
      </c>
    </row>
    <row r="255" spans="1:16">
      <c r="A255" s="629" t="s">
        <v>1005</v>
      </c>
      <c r="B255" s="1475" t="s">
        <v>1005</v>
      </c>
      <c r="C255" s="1476">
        <f t="shared" si="16"/>
        <v>0</v>
      </c>
      <c r="D255" s="630" t="s">
        <v>1006</v>
      </c>
      <c r="E255" s="1469">
        <v>0</v>
      </c>
      <c r="F255" s="1469">
        <v>692224658</v>
      </c>
      <c r="G255" s="1469">
        <v>1104135617</v>
      </c>
      <c r="H255" s="1469">
        <v>428465944</v>
      </c>
      <c r="I255" s="1469">
        <v>0</v>
      </c>
      <c r="J255" s="1470">
        <v>16554985</v>
      </c>
      <c r="L255" s="229" t="str">
        <f t="shared" si="20"/>
        <v>4</v>
      </c>
      <c r="M255" s="230">
        <f>+'A0.LS'!AE4+IF(AND(L255&lt;="4",L255&gt;"0"),I255-J255,IF(OR(L255="6",L255="8"),-H255,G255))</f>
        <v>21564659840</v>
      </c>
      <c r="N255" s="265" t="s">
        <v>217</v>
      </c>
      <c r="O255" s="216">
        <f t="shared" si="18"/>
        <v>5</v>
      </c>
      <c r="P255" s="216" t="s">
        <v>1745</v>
      </c>
    </row>
    <row r="256" spans="1:16">
      <c r="A256" s="627" t="s">
        <v>219</v>
      </c>
      <c r="B256" s="1474" t="s">
        <v>219</v>
      </c>
      <c r="C256" s="1476">
        <f t="shared" si="16"/>
        <v>0</v>
      </c>
      <c r="D256" s="628" t="s">
        <v>1746</v>
      </c>
      <c r="E256" s="1467">
        <v>0</v>
      </c>
      <c r="F256" s="1467">
        <v>0</v>
      </c>
      <c r="G256" s="1467">
        <v>54690135359</v>
      </c>
      <c r="H256" s="1467">
        <v>54690135359</v>
      </c>
      <c r="I256" s="1467">
        <v>0</v>
      </c>
      <c r="J256" s="1468">
        <v>0</v>
      </c>
      <c r="L256" s="229" t="str">
        <f t="shared" si="20"/>
        <v>5</v>
      </c>
      <c r="M256" s="230">
        <f t="shared" si="19"/>
        <v>54690135359</v>
      </c>
      <c r="N256" s="216" t="e">
        <f>_xlfn.XLOOKUP(A256,'GL911 VNSC FY24'!Z:Z,'GL911 VNSC FY24'!AB:AB)</f>
        <v>#N/A</v>
      </c>
      <c r="O256" s="216">
        <f t="shared" si="18"/>
        <v>3</v>
      </c>
    </row>
    <row r="257" spans="1:15" ht="25.5">
      <c r="A257" s="627" t="s">
        <v>1747</v>
      </c>
      <c r="B257" s="1474" t="s">
        <v>1747</v>
      </c>
      <c r="C257" s="1476">
        <f t="shared" si="16"/>
        <v>0</v>
      </c>
      <c r="D257" s="628" t="s">
        <v>1748</v>
      </c>
      <c r="E257" s="1467">
        <v>0</v>
      </c>
      <c r="F257" s="1467">
        <v>0</v>
      </c>
      <c r="G257" s="1467">
        <v>22879829238</v>
      </c>
      <c r="H257" s="1467">
        <v>22879829238</v>
      </c>
      <c r="I257" s="1467">
        <v>0</v>
      </c>
      <c r="J257" s="1468">
        <v>0</v>
      </c>
      <c r="L257" s="229" t="str">
        <f t="shared" si="20"/>
        <v>5</v>
      </c>
      <c r="M257" s="230">
        <f t="shared" si="19"/>
        <v>22879829238</v>
      </c>
      <c r="N257" s="216" t="e">
        <f>_xlfn.XLOOKUP(A257,'GL911 VNSC FY24'!Z:Z,'GL911 VNSC FY24'!AB:AB)</f>
        <v>#N/A</v>
      </c>
      <c r="O257" s="216">
        <f t="shared" si="18"/>
        <v>5</v>
      </c>
    </row>
    <row r="258" spans="1:15">
      <c r="A258" s="627" t="s">
        <v>1749</v>
      </c>
      <c r="B258" s="1474" t="s">
        <v>1749</v>
      </c>
      <c r="C258" s="1476">
        <f t="shared" si="16"/>
        <v>0</v>
      </c>
      <c r="D258" s="628" t="s">
        <v>1750</v>
      </c>
      <c r="E258" s="1467">
        <v>0</v>
      </c>
      <c r="F258" s="1467">
        <v>0</v>
      </c>
      <c r="G258" s="1467">
        <v>10268896288</v>
      </c>
      <c r="H258" s="1467">
        <v>10268896288</v>
      </c>
      <c r="I258" s="1467">
        <v>0</v>
      </c>
      <c r="J258" s="1468">
        <v>0</v>
      </c>
      <c r="L258" s="229" t="str">
        <f t="shared" si="20"/>
        <v>5</v>
      </c>
      <c r="M258" s="230">
        <f t="shared" si="19"/>
        <v>10268896288</v>
      </c>
      <c r="N258" s="216" t="e">
        <f>_xlfn.XLOOKUP(A258,'GL911 VNSC FY24'!Z:Z,'GL911 VNSC FY24'!AB:AB)</f>
        <v>#N/A</v>
      </c>
      <c r="O258" s="216">
        <f t="shared" si="18"/>
        <v>7</v>
      </c>
    </row>
    <row r="259" spans="1:15">
      <c r="A259" s="627" t="s">
        <v>1751</v>
      </c>
      <c r="B259" s="1474" t="s">
        <v>1751</v>
      </c>
      <c r="C259" s="1476">
        <f t="shared" si="16"/>
        <v>0</v>
      </c>
      <c r="D259" s="628" t="s">
        <v>1752</v>
      </c>
      <c r="E259" s="1467">
        <v>0</v>
      </c>
      <c r="F259" s="1467">
        <v>0</v>
      </c>
      <c r="G259" s="1467">
        <v>3286389118</v>
      </c>
      <c r="H259" s="1467">
        <v>3286389118</v>
      </c>
      <c r="I259" s="1467">
        <v>0</v>
      </c>
      <c r="J259" s="1468">
        <v>0</v>
      </c>
      <c r="L259" s="229" t="str">
        <f t="shared" si="20"/>
        <v>5</v>
      </c>
      <c r="M259" s="230">
        <f t="shared" si="19"/>
        <v>3286389118</v>
      </c>
      <c r="N259" s="216" t="e">
        <f>_xlfn.XLOOKUP(A259,'GL911 VNSC FY24'!Z:Z,'GL911 VNSC FY24'!AB:AB)</f>
        <v>#N/A</v>
      </c>
      <c r="O259" s="216">
        <f t="shared" si="18"/>
        <v>9</v>
      </c>
    </row>
    <row r="260" spans="1:15">
      <c r="A260" s="629" t="s">
        <v>1014</v>
      </c>
      <c r="B260" s="1475" t="s">
        <v>1014</v>
      </c>
      <c r="C260" s="1476">
        <f t="shared" si="16"/>
        <v>0</v>
      </c>
      <c r="D260" s="630" t="s">
        <v>1015</v>
      </c>
      <c r="E260" s="1469">
        <v>0</v>
      </c>
      <c r="F260" s="1469">
        <v>0</v>
      </c>
      <c r="G260" s="1469">
        <v>6000000</v>
      </c>
      <c r="H260" s="1469">
        <v>6000000</v>
      </c>
      <c r="I260" s="1469">
        <v>0</v>
      </c>
      <c r="J260" s="1470">
        <v>0</v>
      </c>
      <c r="L260" s="229" t="str">
        <f t="shared" si="20"/>
        <v>5</v>
      </c>
      <c r="M260" s="230">
        <f t="shared" si="19"/>
        <v>6000000</v>
      </c>
      <c r="N260" s="216" t="e">
        <f>_xlfn.XLOOKUP(A260,'GL911 VNSC FY24'!Z:Z,'GL911 VNSC FY24'!AB:AB)</f>
        <v>#N/A</v>
      </c>
      <c r="O260" s="216">
        <f t="shared" si="18"/>
        <v>11</v>
      </c>
    </row>
    <row r="261" spans="1:15">
      <c r="A261" s="1291" t="s">
        <v>1049</v>
      </c>
      <c r="B261" s="1475" t="s">
        <v>1049</v>
      </c>
      <c r="C261" s="1476">
        <f t="shared" si="16"/>
        <v>0</v>
      </c>
      <c r="D261" s="637" t="s">
        <v>1050</v>
      </c>
      <c r="E261" s="1469">
        <v>0</v>
      </c>
      <c r="F261" s="1469">
        <v>0</v>
      </c>
      <c r="G261" s="1469">
        <v>55817995</v>
      </c>
      <c r="H261" s="1469">
        <v>55817995</v>
      </c>
      <c r="I261" s="1469">
        <v>0</v>
      </c>
      <c r="J261" s="1470">
        <v>0</v>
      </c>
      <c r="L261" s="229"/>
      <c r="M261" s="230"/>
      <c r="O261" s="216">
        <f t="shared" si="18"/>
        <v>11</v>
      </c>
    </row>
    <row r="262" spans="1:15">
      <c r="A262" s="629" t="s">
        <v>976</v>
      </c>
      <c r="B262" s="1475" t="s">
        <v>976</v>
      </c>
      <c r="C262" s="1476">
        <f t="shared" ref="C262:C325" si="21">A262-B262</f>
        <v>0</v>
      </c>
      <c r="D262" s="630" t="s">
        <v>979</v>
      </c>
      <c r="E262" s="1469">
        <v>0</v>
      </c>
      <c r="F262" s="1469">
        <v>0</v>
      </c>
      <c r="G262" s="1469">
        <v>3224571123</v>
      </c>
      <c r="H262" s="1469">
        <v>3224571123</v>
      </c>
      <c r="I262" s="1469">
        <v>0</v>
      </c>
      <c r="J262" s="1470">
        <v>0</v>
      </c>
      <c r="L262" s="229" t="str">
        <f>LEFT(A262,1)</f>
        <v>5</v>
      </c>
      <c r="M262" s="230">
        <f t="shared" si="19"/>
        <v>3224571123</v>
      </c>
      <c r="N262" s="216" t="e">
        <f>_xlfn.XLOOKUP(A262,'GL911 VNSC FY24'!Z:Z,'GL911 VNSC FY24'!AB:AB)</f>
        <v>#N/A</v>
      </c>
      <c r="O262" s="216">
        <f t="shared" si="18"/>
        <v>11</v>
      </c>
    </row>
    <row r="263" spans="1:15">
      <c r="A263" s="1290" t="s">
        <v>1753</v>
      </c>
      <c r="B263" s="1474" t="s">
        <v>1753</v>
      </c>
      <c r="C263" s="1476">
        <f t="shared" si="21"/>
        <v>0</v>
      </c>
      <c r="D263" s="1293" t="s">
        <v>1754</v>
      </c>
      <c r="E263" s="1467">
        <v>0</v>
      </c>
      <c r="F263" s="1467">
        <v>0</v>
      </c>
      <c r="G263" s="1467">
        <v>2224088000</v>
      </c>
      <c r="H263" s="1467">
        <v>2224088000</v>
      </c>
      <c r="I263" s="1467">
        <v>0</v>
      </c>
      <c r="J263" s="1468">
        <v>0</v>
      </c>
      <c r="L263" s="229"/>
      <c r="M263" s="230"/>
      <c r="O263" s="216">
        <f t="shared" si="18"/>
        <v>9</v>
      </c>
    </row>
    <row r="264" spans="1:15">
      <c r="A264" s="1291" t="s">
        <v>1051</v>
      </c>
      <c r="B264" s="1475" t="s">
        <v>1051</v>
      </c>
      <c r="C264" s="1476">
        <f t="shared" si="21"/>
        <v>0</v>
      </c>
      <c r="D264" s="637" t="s">
        <v>1052</v>
      </c>
      <c r="E264" s="1469">
        <v>0</v>
      </c>
      <c r="F264" s="1469">
        <v>0</v>
      </c>
      <c r="G264" s="1469">
        <v>2224088000</v>
      </c>
      <c r="H264" s="1469">
        <v>2224088000</v>
      </c>
      <c r="I264" s="1469">
        <v>0</v>
      </c>
      <c r="J264" s="1470">
        <v>0</v>
      </c>
      <c r="L264" s="229"/>
      <c r="M264" s="230"/>
      <c r="O264" s="216">
        <f t="shared" si="18"/>
        <v>11</v>
      </c>
    </row>
    <row r="265" spans="1:15">
      <c r="A265" s="627" t="s">
        <v>1755</v>
      </c>
      <c r="B265" s="1474" t="s">
        <v>1755</v>
      </c>
      <c r="C265" s="1476">
        <f t="shared" si="21"/>
        <v>0</v>
      </c>
      <c r="D265" s="628" t="s">
        <v>1756</v>
      </c>
      <c r="E265" s="1467">
        <v>0</v>
      </c>
      <c r="F265" s="1467">
        <v>0</v>
      </c>
      <c r="G265" s="1467">
        <v>4758419170</v>
      </c>
      <c r="H265" s="1467">
        <v>4758419170</v>
      </c>
      <c r="I265" s="1467">
        <v>0</v>
      </c>
      <c r="J265" s="1468">
        <v>0</v>
      </c>
      <c r="L265" s="229" t="str">
        <f>LEFT(A265,1)</f>
        <v>5</v>
      </c>
      <c r="M265" s="230">
        <f t="shared" si="19"/>
        <v>4758419170</v>
      </c>
      <c r="N265" s="216" t="e">
        <f>_xlfn.XLOOKUP(A265,'GL911 VNSC FY24'!Z:Z,'GL911 VNSC FY24'!AB:AB)</f>
        <v>#N/A</v>
      </c>
      <c r="O265" s="216">
        <f t="shared" ref="O265:O328" si="22">LEN(A265)</f>
        <v>9</v>
      </c>
    </row>
    <row r="266" spans="1:15">
      <c r="A266" s="629" t="s">
        <v>1007</v>
      </c>
      <c r="B266" s="1475" t="s">
        <v>1007</v>
      </c>
      <c r="C266" s="1476">
        <f t="shared" si="21"/>
        <v>0</v>
      </c>
      <c r="D266" s="630" t="s">
        <v>1008</v>
      </c>
      <c r="E266" s="1469">
        <v>0</v>
      </c>
      <c r="F266" s="1469">
        <v>0</v>
      </c>
      <c r="G266" s="1469">
        <v>4758419170</v>
      </c>
      <c r="H266" s="1469">
        <v>4758419170</v>
      </c>
      <c r="I266" s="1469">
        <v>0</v>
      </c>
      <c r="J266" s="1470">
        <v>0</v>
      </c>
      <c r="L266" s="229" t="str">
        <f>LEFT(A266,1)</f>
        <v>5</v>
      </c>
      <c r="M266" s="230">
        <f t="shared" si="19"/>
        <v>4758419170</v>
      </c>
      <c r="N266" s="216" t="e">
        <f>_xlfn.XLOOKUP(A266,'GL911 VNSC FY24'!Z:Z,'GL911 VNSC FY24'!AB:AB)</f>
        <v>#N/A</v>
      </c>
      <c r="O266" s="216">
        <f t="shared" si="22"/>
        <v>11</v>
      </c>
    </row>
    <row r="267" spans="1:15" ht="25.5">
      <c r="A267" s="627" t="s">
        <v>1757</v>
      </c>
      <c r="B267" s="1474" t="s">
        <v>1757</v>
      </c>
      <c r="C267" s="1476">
        <f t="shared" si="21"/>
        <v>0</v>
      </c>
      <c r="D267" s="628" t="s">
        <v>1758</v>
      </c>
      <c r="E267" s="1467">
        <v>0</v>
      </c>
      <c r="F267" s="1467">
        <v>0</v>
      </c>
      <c r="G267" s="1467">
        <v>913139270</v>
      </c>
      <c r="H267" s="1467">
        <v>913139270</v>
      </c>
      <c r="I267" s="1467">
        <v>0</v>
      </c>
      <c r="J267" s="1468">
        <v>0</v>
      </c>
      <c r="L267" s="229" t="str">
        <f>LEFT(A267,1)</f>
        <v>5</v>
      </c>
      <c r="M267" s="230">
        <f t="shared" si="19"/>
        <v>913139270</v>
      </c>
      <c r="N267" s="216" t="e">
        <f>_xlfn.XLOOKUP(A267,'GL911 VNSC FY24'!Z:Z,'GL911 VNSC FY24'!AB:AB)</f>
        <v>#N/A</v>
      </c>
      <c r="O267" s="216">
        <f t="shared" si="22"/>
        <v>7</v>
      </c>
    </row>
    <row r="268" spans="1:15">
      <c r="A268" s="1290" t="s">
        <v>1759</v>
      </c>
      <c r="B268" s="1474" t="s">
        <v>1759</v>
      </c>
      <c r="C268" s="1476">
        <f t="shared" si="21"/>
        <v>0</v>
      </c>
      <c r="D268" s="1293" t="s">
        <v>1760</v>
      </c>
      <c r="E268" s="1467">
        <v>0</v>
      </c>
      <c r="F268" s="1467">
        <v>0</v>
      </c>
      <c r="G268" s="1467">
        <v>55744000</v>
      </c>
      <c r="H268" s="1467">
        <v>55744000</v>
      </c>
      <c r="I268" s="1467">
        <v>0</v>
      </c>
      <c r="J268" s="1468">
        <v>0</v>
      </c>
      <c r="L268" s="229"/>
      <c r="M268" s="230"/>
      <c r="O268" s="216">
        <f t="shared" si="22"/>
        <v>9</v>
      </c>
    </row>
    <row r="269" spans="1:15">
      <c r="A269" s="1291" t="s">
        <v>1053</v>
      </c>
      <c r="B269" s="1475" t="s">
        <v>1053</v>
      </c>
      <c r="C269" s="1476">
        <f t="shared" si="21"/>
        <v>0</v>
      </c>
      <c r="D269" s="637" t="s">
        <v>1054</v>
      </c>
      <c r="E269" s="1469">
        <v>0</v>
      </c>
      <c r="F269" s="1469">
        <v>0</v>
      </c>
      <c r="G269" s="1469">
        <v>55744000</v>
      </c>
      <c r="H269" s="1469">
        <v>55744000</v>
      </c>
      <c r="I269" s="1469">
        <v>0</v>
      </c>
      <c r="J269" s="1470">
        <v>0</v>
      </c>
      <c r="L269" s="229"/>
      <c r="M269" s="230"/>
      <c r="O269" s="216">
        <f t="shared" si="22"/>
        <v>11</v>
      </c>
    </row>
    <row r="270" spans="1:15">
      <c r="A270" s="627" t="s">
        <v>1761</v>
      </c>
      <c r="B270" s="1474" t="s">
        <v>1761</v>
      </c>
      <c r="C270" s="1476">
        <f t="shared" si="21"/>
        <v>0</v>
      </c>
      <c r="D270" s="628" t="s">
        <v>1762</v>
      </c>
      <c r="E270" s="1467">
        <v>0</v>
      </c>
      <c r="F270" s="1467">
        <v>0</v>
      </c>
      <c r="G270" s="1467">
        <v>857395270</v>
      </c>
      <c r="H270" s="1467">
        <v>857395270</v>
      </c>
      <c r="I270" s="1467">
        <v>0</v>
      </c>
      <c r="J270" s="1468">
        <v>0</v>
      </c>
      <c r="L270" s="229" t="str">
        <f>LEFT(A270,1)</f>
        <v>5</v>
      </c>
      <c r="M270" s="230">
        <f t="shared" si="19"/>
        <v>857395270</v>
      </c>
      <c r="N270" s="216" t="e">
        <f>_xlfn.XLOOKUP(A270,'GL911 VNSC FY24'!Z:Z,'GL911 VNSC FY24'!AB:AB)</f>
        <v>#N/A</v>
      </c>
      <c r="O270" s="216">
        <f t="shared" si="22"/>
        <v>9</v>
      </c>
    </row>
    <row r="271" spans="1:15">
      <c r="A271" s="1291" t="s">
        <v>1055</v>
      </c>
      <c r="B271" s="1475" t="s">
        <v>1055</v>
      </c>
      <c r="C271" s="1476">
        <f t="shared" si="21"/>
        <v>0</v>
      </c>
      <c r="D271" s="637" t="s">
        <v>1056</v>
      </c>
      <c r="E271" s="1469">
        <v>0</v>
      </c>
      <c r="F271" s="1469">
        <v>0</v>
      </c>
      <c r="G271" s="1469">
        <v>153026771</v>
      </c>
      <c r="H271" s="1469">
        <v>153026771</v>
      </c>
      <c r="I271" s="1469">
        <v>0</v>
      </c>
      <c r="J271" s="1470">
        <v>0</v>
      </c>
      <c r="L271" s="229"/>
      <c r="M271" s="230"/>
      <c r="O271" s="216">
        <f t="shared" si="22"/>
        <v>11</v>
      </c>
    </row>
    <row r="272" spans="1:15" ht="25.5">
      <c r="A272" s="1291" t="s">
        <v>1057</v>
      </c>
      <c r="B272" s="1475" t="s">
        <v>1057</v>
      </c>
      <c r="C272" s="1476">
        <f t="shared" si="21"/>
        <v>0</v>
      </c>
      <c r="D272" s="637" t="s">
        <v>1058</v>
      </c>
      <c r="E272" s="1469">
        <v>0</v>
      </c>
      <c r="F272" s="1469">
        <v>0</v>
      </c>
      <c r="G272" s="1469">
        <v>12143841</v>
      </c>
      <c r="H272" s="1469">
        <v>12143841</v>
      </c>
      <c r="I272" s="1469">
        <v>0</v>
      </c>
      <c r="J272" s="1470">
        <v>0</v>
      </c>
      <c r="L272" s="229"/>
      <c r="M272" s="230"/>
      <c r="O272" s="216">
        <f t="shared" si="22"/>
        <v>11</v>
      </c>
    </row>
    <row r="273" spans="1:15">
      <c r="A273" s="629" t="s">
        <v>1016</v>
      </c>
      <c r="B273" s="1475" t="s">
        <v>1016</v>
      </c>
      <c r="C273" s="1476">
        <f t="shared" si="21"/>
        <v>0</v>
      </c>
      <c r="D273" s="630" t="s">
        <v>1017</v>
      </c>
      <c r="E273" s="1469">
        <v>0</v>
      </c>
      <c r="F273" s="1469">
        <v>0</v>
      </c>
      <c r="G273" s="1469">
        <v>692224658</v>
      </c>
      <c r="H273" s="1469">
        <v>692224658</v>
      </c>
      <c r="I273" s="1469">
        <v>0</v>
      </c>
      <c r="J273" s="1470">
        <v>0</v>
      </c>
      <c r="L273" s="229" t="str">
        <f t="shared" ref="L273:L279" si="23">LEFT(A273,1)</f>
        <v>5</v>
      </c>
      <c r="M273" s="230">
        <f t="shared" si="19"/>
        <v>692224658</v>
      </c>
      <c r="N273" s="216" t="e">
        <f>_xlfn.XLOOKUP(A273,'GL911 VNSC FY24'!Z:Z,'GL911 VNSC FY24'!AB:AB)</f>
        <v>#N/A</v>
      </c>
      <c r="O273" s="216">
        <f t="shared" si="22"/>
        <v>11</v>
      </c>
    </row>
    <row r="274" spans="1:15">
      <c r="A274" s="627" t="s">
        <v>1763</v>
      </c>
      <c r="B274" s="1474" t="s">
        <v>1763</v>
      </c>
      <c r="C274" s="1476">
        <f t="shared" si="21"/>
        <v>0</v>
      </c>
      <c r="D274" s="628" t="s">
        <v>1764</v>
      </c>
      <c r="E274" s="1467">
        <v>0</v>
      </c>
      <c r="F274" s="1467">
        <v>0</v>
      </c>
      <c r="G274" s="1467">
        <v>11697793680</v>
      </c>
      <c r="H274" s="1467">
        <v>11697793680</v>
      </c>
      <c r="I274" s="1467">
        <v>0</v>
      </c>
      <c r="J274" s="1468">
        <v>0</v>
      </c>
      <c r="L274" s="229" t="str">
        <f t="shared" si="23"/>
        <v>5</v>
      </c>
      <c r="M274" s="230">
        <f t="shared" si="19"/>
        <v>11697793680</v>
      </c>
      <c r="N274" s="216" t="e">
        <f>_xlfn.XLOOKUP(A274,'GL911 VNSC FY24'!Z:Z,'GL911 VNSC FY24'!AB:AB)</f>
        <v>#N/A</v>
      </c>
      <c r="O274" s="216">
        <f t="shared" si="22"/>
        <v>7</v>
      </c>
    </row>
    <row r="275" spans="1:15">
      <c r="A275" s="627" t="s">
        <v>1765</v>
      </c>
      <c r="B275" s="1474" t="s">
        <v>1765</v>
      </c>
      <c r="C275" s="1476">
        <f t="shared" si="21"/>
        <v>0</v>
      </c>
      <c r="D275" s="628" t="s">
        <v>1766</v>
      </c>
      <c r="E275" s="1467">
        <v>0</v>
      </c>
      <c r="F275" s="1467">
        <v>0</v>
      </c>
      <c r="G275" s="1467">
        <v>11697793680</v>
      </c>
      <c r="H275" s="1467">
        <v>11697793680</v>
      </c>
      <c r="I275" s="1467">
        <v>0</v>
      </c>
      <c r="J275" s="1468">
        <v>0</v>
      </c>
      <c r="L275" s="229" t="str">
        <f t="shared" si="23"/>
        <v>5</v>
      </c>
      <c r="M275" s="230">
        <f t="shared" si="19"/>
        <v>11697793680</v>
      </c>
      <c r="N275" s="216" t="e">
        <f>_xlfn.XLOOKUP(A275,'GL911 VNSC FY24'!Z:Z,'GL911 VNSC FY24'!AB:AB)</f>
        <v>#N/A</v>
      </c>
      <c r="O275" s="216">
        <f t="shared" si="22"/>
        <v>9</v>
      </c>
    </row>
    <row r="276" spans="1:15" ht="25.5">
      <c r="A276" s="629" t="s">
        <v>782</v>
      </c>
      <c r="B276" s="1475" t="s">
        <v>782</v>
      </c>
      <c r="C276" s="1476">
        <f t="shared" si="21"/>
        <v>0</v>
      </c>
      <c r="D276" s="630" t="s">
        <v>785</v>
      </c>
      <c r="E276" s="1469">
        <v>0</v>
      </c>
      <c r="F276" s="1469">
        <v>0</v>
      </c>
      <c r="G276" s="1469">
        <v>873506006</v>
      </c>
      <c r="H276" s="1469">
        <v>873506006</v>
      </c>
      <c r="I276" s="1469">
        <v>0</v>
      </c>
      <c r="J276" s="1470">
        <v>0</v>
      </c>
      <c r="L276" s="229" t="str">
        <f t="shared" si="23"/>
        <v>5</v>
      </c>
      <c r="M276" s="230">
        <f t="shared" si="19"/>
        <v>873506006</v>
      </c>
      <c r="N276" s="216" t="e">
        <f>_xlfn.XLOOKUP(A276,'GL911 VNSC FY24'!Z:Z,'GL911 VNSC FY24'!AB:AB)</f>
        <v>#N/A</v>
      </c>
      <c r="O276" s="216">
        <f t="shared" si="22"/>
        <v>11</v>
      </c>
    </row>
    <row r="277" spans="1:15" ht="25.5">
      <c r="A277" s="629" t="s">
        <v>980</v>
      </c>
      <c r="B277" s="1475" t="s">
        <v>980</v>
      </c>
      <c r="C277" s="1476">
        <f t="shared" si="21"/>
        <v>0</v>
      </c>
      <c r="D277" s="630" t="s">
        <v>982</v>
      </c>
      <c r="E277" s="1469">
        <v>0</v>
      </c>
      <c r="F277" s="1469">
        <v>0</v>
      </c>
      <c r="G277" s="1469">
        <v>9682684936</v>
      </c>
      <c r="H277" s="1469">
        <v>9682684936</v>
      </c>
      <c r="I277" s="1469">
        <v>0</v>
      </c>
      <c r="J277" s="1470">
        <v>0</v>
      </c>
      <c r="L277" s="229" t="str">
        <f t="shared" si="23"/>
        <v>5</v>
      </c>
      <c r="M277" s="230">
        <f t="shared" si="19"/>
        <v>9682684936</v>
      </c>
      <c r="N277" s="216" t="e">
        <f>_xlfn.XLOOKUP(A277,'GL911 VNSC FY24'!Z:Z,'GL911 VNSC FY24'!AB:AB)</f>
        <v>#N/A</v>
      </c>
      <c r="O277" s="216">
        <f t="shared" si="22"/>
        <v>11</v>
      </c>
    </row>
    <row r="278" spans="1:15">
      <c r="A278" s="629" t="s">
        <v>918</v>
      </c>
      <c r="B278" s="1475" t="s">
        <v>918</v>
      </c>
      <c r="C278" s="1476">
        <f t="shared" si="21"/>
        <v>0</v>
      </c>
      <c r="D278" s="630" t="s">
        <v>920</v>
      </c>
      <c r="E278" s="1469">
        <v>0</v>
      </c>
      <c r="F278" s="1469">
        <v>0</v>
      </c>
      <c r="G278" s="1469">
        <v>1141602738</v>
      </c>
      <c r="H278" s="1469">
        <v>1141602738</v>
      </c>
      <c r="I278" s="1469">
        <v>0</v>
      </c>
      <c r="J278" s="1470">
        <v>0</v>
      </c>
      <c r="L278" s="229" t="str">
        <f t="shared" si="23"/>
        <v>5</v>
      </c>
      <c r="M278" s="230">
        <f t="shared" si="19"/>
        <v>1141602738</v>
      </c>
      <c r="N278" s="216" t="e">
        <f>_xlfn.XLOOKUP(A278,'GL911 VNSC FY24'!Z:Z,'GL911 VNSC FY24'!AB:AB)</f>
        <v>#N/A</v>
      </c>
      <c r="O278" s="216">
        <f t="shared" si="22"/>
        <v>11</v>
      </c>
    </row>
    <row r="279" spans="1:15">
      <c r="A279" s="627" t="s">
        <v>1767</v>
      </c>
      <c r="B279" s="1474" t="s">
        <v>1767</v>
      </c>
      <c r="C279" s="1476">
        <f t="shared" si="21"/>
        <v>0</v>
      </c>
      <c r="D279" s="628" t="s">
        <v>1768</v>
      </c>
      <c r="E279" s="1467">
        <v>0</v>
      </c>
      <c r="F279" s="1467">
        <v>0</v>
      </c>
      <c r="G279" s="1467">
        <v>494351735</v>
      </c>
      <c r="H279" s="1467">
        <v>494351735</v>
      </c>
      <c r="I279" s="1467">
        <v>0</v>
      </c>
      <c r="J279" s="1468">
        <v>0</v>
      </c>
      <c r="L279" s="229" t="str">
        <f t="shared" si="23"/>
        <v>5</v>
      </c>
      <c r="M279" s="230">
        <f t="shared" si="19"/>
        <v>494351735</v>
      </c>
      <c r="N279" s="216" t="e">
        <f>_xlfn.XLOOKUP(A279,'GL911 VNSC FY24'!Z:Z,'GL911 VNSC FY24'!AB:AB)</f>
        <v>#N/A</v>
      </c>
      <c r="O279" s="216">
        <f t="shared" si="22"/>
        <v>5</v>
      </c>
    </row>
    <row r="280" spans="1:15">
      <c r="A280" s="1290" t="s">
        <v>1769</v>
      </c>
      <c r="B280" s="1474" t="s">
        <v>1769</v>
      </c>
      <c r="C280" s="1476">
        <f t="shared" si="21"/>
        <v>0</v>
      </c>
      <c r="D280" s="1293" t="s">
        <v>1770</v>
      </c>
      <c r="E280" s="1467">
        <v>0</v>
      </c>
      <c r="F280" s="1467">
        <v>0</v>
      </c>
      <c r="G280" s="1467">
        <v>8580822</v>
      </c>
      <c r="H280" s="1467">
        <v>8580822</v>
      </c>
      <c r="I280" s="1467">
        <v>0</v>
      </c>
      <c r="J280" s="1468">
        <v>0</v>
      </c>
      <c r="L280" s="229"/>
      <c r="M280" s="230"/>
      <c r="O280" s="216">
        <f t="shared" si="22"/>
        <v>7</v>
      </c>
    </row>
    <row r="281" spans="1:15">
      <c r="A281" s="1290" t="s">
        <v>1771</v>
      </c>
      <c r="B281" s="1474" t="s">
        <v>1771</v>
      </c>
      <c r="C281" s="1476">
        <f t="shared" si="21"/>
        <v>0</v>
      </c>
      <c r="D281" s="1293" t="s">
        <v>1772</v>
      </c>
      <c r="E281" s="1467">
        <v>0</v>
      </c>
      <c r="F281" s="1467">
        <v>0</v>
      </c>
      <c r="G281" s="1467">
        <v>8580822</v>
      </c>
      <c r="H281" s="1467">
        <v>8580822</v>
      </c>
      <c r="I281" s="1467">
        <v>0</v>
      </c>
      <c r="J281" s="1468">
        <v>0</v>
      </c>
      <c r="L281" s="229"/>
      <c r="M281" s="230"/>
      <c r="O281" s="216">
        <f t="shared" si="22"/>
        <v>9</v>
      </c>
    </row>
    <row r="282" spans="1:15">
      <c r="A282" s="1291" t="s">
        <v>1059</v>
      </c>
      <c r="B282" s="1475" t="s">
        <v>1059</v>
      </c>
      <c r="C282" s="1476">
        <f t="shared" si="21"/>
        <v>0</v>
      </c>
      <c r="D282" s="637" t="s">
        <v>1060</v>
      </c>
      <c r="E282" s="1469">
        <v>0</v>
      </c>
      <c r="F282" s="1469">
        <v>0</v>
      </c>
      <c r="G282" s="1469">
        <v>8580822</v>
      </c>
      <c r="H282" s="1469">
        <v>8580822</v>
      </c>
      <c r="I282" s="1469">
        <v>0</v>
      </c>
      <c r="J282" s="1470">
        <v>0</v>
      </c>
      <c r="L282" s="229"/>
      <c r="M282" s="230"/>
      <c r="O282" s="216">
        <f t="shared" si="22"/>
        <v>11</v>
      </c>
    </row>
    <row r="283" spans="1:15">
      <c r="A283" s="629" t="s">
        <v>1011</v>
      </c>
      <c r="B283" s="1475" t="s">
        <v>1011</v>
      </c>
      <c r="C283" s="1476">
        <f t="shared" si="21"/>
        <v>0</v>
      </c>
      <c r="D283" s="630" t="s">
        <v>1012</v>
      </c>
      <c r="E283" s="1469">
        <v>0</v>
      </c>
      <c r="F283" s="1469">
        <v>0</v>
      </c>
      <c r="G283" s="1469">
        <v>485770913</v>
      </c>
      <c r="H283" s="1469">
        <v>485770913</v>
      </c>
      <c r="I283" s="1469">
        <v>0</v>
      </c>
      <c r="J283" s="1470">
        <v>0</v>
      </c>
      <c r="L283" s="229" t="str">
        <f t="shared" ref="L283:L304" si="24">LEFT(A283,1)</f>
        <v>5</v>
      </c>
      <c r="M283" s="230">
        <f t="shared" si="19"/>
        <v>485770913</v>
      </c>
      <c r="N283" s="216" t="e">
        <f>_xlfn.XLOOKUP(A283,'GL911 VNSC FY24'!Z:Z,'GL911 VNSC FY24'!AB:AB)</f>
        <v>#N/A</v>
      </c>
      <c r="O283" s="216">
        <f t="shared" si="22"/>
        <v>7</v>
      </c>
    </row>
    <row r="284" spans="1:15">
      <c r="A284" s="627" t="s">
        <v>1773</v>
      </c>
      <c r="B284" s="1474" t="s">
        <v>1773</v>
      </c>
      <c r="C284" s="1476">
        <f t="shared" si="21"/>
        <v>0</v>
      </c>
      <c r="D284" s="628" t="s">
        <v>1774</v>
      </c>
      <c r="E284" s="1467">
        <v>0</v>
      </c>
      <c r="F284" s="1467">
        <v>0</v>
      </c>
      <c r="G284" s="1467">
        <v>13484930432</v>
      </c>
      <c r="H284" s="1467">
        <v>13484930432</v>
      </c>
      <c r="I284" s="1467">
        <v>0</v>
      </c>
      <c r="J284" s="1468">
        <v>0</v>
      </c>
      <c r="L284" s="229" t="str">
        <f t="shared" si="24"/>
        <v>5</v>
      </c>
      <c r="M284" s="230">
        <f t="shared" si="19"/>
        <v>13484930432</v>
      </c>
      <c r="N284" s="216" t="e">
        <f>_xlfn.XLOOKUP(A284,'GL911 VNSC FY24'!Z:Z,'GL911 VNSC FY24'!AB:AB)</f>
        <v>#N/A</v>
      </c>
      <c r="O284" s="216">
        <f t="shared" si="22"/>
        <v>5</v>
      </c>
    </row>
    <row r="285" spans="1:15">
      <c r="A285" s="627" t="s">
        <v>1775</v>
      </c>
      <c r="B285" s="1474" t="s">
        <v>1775</v>
      </c>
      <c r="C285" s="1476">
        <f t="shared" si="21"/>
        <v>0</v>
      </c>
      <c r="D285" s="628" t="s">
        <v>1776</v>
      </c>
      <c r="E285" s="1467">
        <v>0</v>
      </c>
      <c r="F285" s="1467">
        <v>0</v>
      </c>
      <c r="G285" s="1467">
        <v>12135199856</v>
      </c>
      <c r="H285" s="1467">
        <v>12135199856</v>
      </c>
      <c r="I285" s="1467">
        <v>0</v>
      </c>
      <c r="J285" s="1468">
        <v>0</v>
      </c>
      <c r="L285" s="229" t="str">
        <f t="shared" si="24"/>
        <v>5</v>
      </c>
      <c r="M285" s="230">
        <f t="shared" si="19"/>
        <v>12135199856</v>
      </c>
      <c r="N285" s="216" t="e">
        <f>_xlfn.XLOOKUP(A285,'GL911 VNSC FY24'!Z:Z,'GL911 VNSC FY24'!AB:AB)</f>
        <v>#N/A</v>
      </c>
      <c r="O285" s="216">
        <f t="shared" si="22"/>
        <v>7</v>
      </c>
    </row>
    <row r="286" spans="1:15">
      <c r="A286" s="629" t="s">
        <v>984</v>
      </c>
      <c r="B286" s="1475" t="s">
        <v>984</v>
      </c>
      <c r="C286" s="1476">
        <f t="shared" si="21"/>
        <v>0</v>
      </c>
      <c r="D286" s="630" t="s">
        <v>985</v>
      </c>
      <c r="E286" s="1469">
        <v>0</v>
      </c>
      <c r="F286" s="1469">
        <v>0</v>
      </c>
      <c r="G286" s="1469">
        <v>12135199856</v>
      </c>
      <c r="H286" s="1469">
        <v>12135199856</v>
      </c>
      <c r="I286" s="1469">
        <v>0</v>
      </c>
      <c r="J286" s="1470">
        <v>0</v>
      </c>
      <c r="L286" s="229" t="str">
        <f t="shared" si="24"/>
        <v>5</v>
      </c>
      <c r="M286" s="230">
        <f t="shared" si="19"/>
        <v>12135199856</v>
      </c>
      <c r="N286" s="216" t="e">
        <f>_xlfn.XLOOKUP(A286,'GL911 VNSC FY24'!Z:Z,'GL911 VNSC FY24'!AB:AB)</f>
        <v>#N/A</v>
      </c>
      <c r="O286" s="216">
        <f t="shared" si="22"/>
        <v>9</v>
      </c>
    </row>
    <row r="287" spans="1:15">
      <c r="A287" s="627" t="s">
        <v>1777</v>
      </c>
      <c r="B287" s="1474" t="s">
        <v>1777</v>
      </c>
      <c r="C287" s="1476">
        <f t="shared" si="21"/>
        <v>0</v>
      </c>
      <c r="D287" s="628" t="s">
        <v>1778</v>
      </c>
      <c r="E287" s="1467">
        <v>0</v>
      </c>
      <c r="F287" s="1467">
        <v>0</v>
      </c>
      <c r="G287" s="1467">
        <v>1349730576</v>
      </c>
      <c r="H287" s="1467">
        <v>1349730576</v>
      </c>
      <c r="I287" s="1467">
        <v>0</v>
      </c>
      <c r="J287" s="1468">
        <v>0</v>
      </c>
      <c r="L287" s="229" t="str">
        <f t="shared" si="24"/>
        <v>5</v>
      </c>
      <c r="M287" s="230">
        <f t="shared" si="19"/>
        <v>1349730576</v>
      </c>
      <c r="N287" s="216" t="e">
        <f>_xlfn.XLOOKUP(A287,'GL911 VNSC FY24'!Z:Z,'GL911 VNSC FY24'!AB:AB)</f>
        <v>#N/A</v>
      </c>
      <c r="O287" s="216">
        <f t="shared" si="22"/>
        <v>7</v>
      </c>
    </row>
    <row r="288" spans="1:15" ht="25.5">
      <c r="A288" s="629" t="s">
        <v>986</v>
      </c>
      <c r="B288" s="1475" t="s">
        <v>986</v>
      </c>
      <c r="C288" s="1476">
        <f t="shared" si="21"/>
        <v>0</v>
      </c>
      <c r="D288" s="630" t="s">
        <v>988</v>
      </c>
      <c r="E288" s="1469">
        <v>0</v>
      </c>
      <c r="F288" s="1469">
        <v>0</v>
      </c>
      <c r="G288" s="1469">
        <v>1349730576</v>
      </c>
      <c r="H288" s="1469">
        <v>1349730576</v>
      </c>
      <c r="I288" s="1469">
        <v>0</v>
      </c>
      <c r="J288" s="1470">
        <v>0</v>
      </c>
      <c r="L288" s="229" t="str">
        <f t="shared" si="24"/>
        <v>5</v>
      </c>
      <c r="M288" s="230">
        <f t="shared" si="19"/>
        <v>1349730576</v>
      </c>
      <c r="N288" s="216" t="e">
        <f>_xlfn.XLOOKUP(A288,'GL911 VNSC FY24'!Z:Z,'GL911 VNSC FY24'!AB:AB)</f>
        <v>#N/A</v>
      </c>
      <c r="O288" s="216">
        <f t="shared" si="22"/>
        <v>9</v>
      </c>
    </row>
    <row r="289" spans="1:15">
      <c r="A289" s="627" t="s">
        <v>1779</v>
      </c>
      <c r="B289" s="1474" t="s">
        <v>1779</v>
      </c>
      <c r="C289" s="1476">
        <f t="shared" si="21"/>
        <v>0</v>
      </c>
      <c r="D289" s="628" t="s">
        <v>1780</v>
      </c>
      <c r="E289" s="1467">
        <v>0</v>
      </c>
      <c r="F289" s="1467">
        <v>0</v>
      </c>
      <c r="G289" s="1467">
        <v>7578721743</v>
      </c>
      <c r="H289" s="1467">
        <v>7578721743</v>
      </c>
      <c r="I289" s="1467">
        <v>0</v>
      </c>
      <c r="J289" s="1468">
        <v>0</v>
      </c>
      <c r="L289" s="229" t="str">
        <f t="shared" si="24"/>
        <v>5</v>
      </c>
      <c r="M289" s="230">
        <f t="shared" si="19"/>
        <v>7578721743</v>
      </c>
      <c r="N289" s="216" t="e">
        <f>_xlfn.XLOOKUP(A289,'GL911 VNSC FY24'!Z:Z,'GL911 VNSC FY24'!AB:AB)</f>
        <v>#N/A</v>
      </c>
      <c r="O289" s="216">
        <f t="shared" si="22"/>
        <v>5</v>
      </c>
    </row>
    <row r="290" spans="1:15">
      <c r="A290" s="629" t="s">
        <v>990</v>
      </c>
      <c r="B290" s="1475" t="s">
        <v>990</v>
      </c>
      <c r="C290" s="1476">
        <f t="shared" si="21"/>
        <v>0</v>
      </c>
      <c r="D290" s="630" t="s">
        <v>992</v>
      </c>
      <c r="E290" s="1469">
        <v>0</v>
      </c>
      <c r="F290" s="1469">
        <v>0</v>
      </c>
      <c r="G290" s="1469">
        <v>6829993173</v>
      </c>
      <c r="H290" s="1469">
        <v>6829993173</v>
      </c>
      <c r="I290" s="1469">
        <v>0</v>
      </c>
      <c r="J290" s="1470">
        <v>0</v>
      </c>
      <c r="L290" s="229" t="str">
        <f t="shared" si="24"/>
        <v>5</v>
      </c>
      <c r="M290" s="230">
        <f t="shared" si="19"/>
        <v>6829993173</v>
      </c>
      <c r="N290" s="216" t="e">
        <f>_xlfn.XLOOKUP(A290,'GL911 VNSC FY24'!Z:Z,'GL911 VNSC FY24'!AB:AB)</f>
        <v>#N/A</v>
      </c>
      <c r="O290" s="216">
        <f t="shared" si="22"/>
        <v>7</v>
      </c>
    </row>
    <row r="291" spans="1:15">
      <c r="A291" s="629" t="s">
        <v>993</v>
      </c>
      <c r="B291" s="1475" t="s">
        <v>993</v>
      </c>
      <c r="C291" s="1476">
        <f t="shared" si="21"/>
        <v>0</v>
      </c>
      <c r="D291" s="630" t="s">
        <v>994</v>
      </c>
      <c r="E291" s="1469">
        <v>0</v>
      </c>
      <c r="F291" s="1469">
        <v>0</v>
      </c>
      <c r="G291" s="1469">
        <v>748728570</v>
      </c>
      <c r="H291" s="1469">
        <v>748728570</v>
      </c>
      <c r="I291" s="1469">
        <v>0</v>
      </c>
      <c r="J291" s="1470">
        <v>0</v>
      </c>
      <c r="L291" s="229" t="str">
        <f t="shared" si="24"/>
        <v>5</v>
      </c>
      <c r="M291" s="230">
        <f t="shared" si="19"/>
        <v>748728570</v>
      </c>
      <c r="N291" s="216" t="e">
        <f>_xlfn.XLOOKUP(A291,'GL911 VNSC FY24'!Z:Z,'GL911 VNSC FY24'!AB:AB)</f>
        <v>#N/A</v>
      </c>
      <c r="O291" s="216">
        <f t="shared" si="22"/>
        <v>7</v>
      </c>
    </row>
    <row r="292" spans="1:15">
      <c r="A292" s="627" t="s">
        <v>1781</v>
      </c>
      <c r="B292" s="1474" t="s">
        <v>1781</v>
      </c>
      <c r="C292" s="1476">
        <f t="shared" si="21"/>
        <v>0</v>
      </c>
      <c r="D292" s="628" t="s">
        <v>1782</v>
      </c>
      <c r="E292" s="1467">
        <v>0</v>
      </c>
      <c r="F292" s="1467">
        <v>0</v>
      </c>
      <c r="G292" s="1467">
        <v>128799000</v>
      </c>
      <c r="H292" s="1467">
        <v>128799000</v>
      </c>
      <c r="I292" s="1467">
        <v>0</v>
      </c>
      <c r="J292" s="1468">
        <v>0</v>
      </c>
      <c r="L292" s="229" t="str">
        <f t="shared" si="24"/>
        <v>5</v>
      </c>
      <c r="M292" s="230">
        <f t="shared" si="19"/>
        <v>128799000</v>
      </c>
      <c r="N292" s="216" t="e">
        <f>_xlfn.XLOOKUP(A292,'GL911 VNSC FY24'!Z:Z,'GL911 VNSC FY24'!AB:AB)</f>
        <v>#N/A</v>
      </c>
      <c r="O292" s="216">
        <f t="shared" si="22"/>
        <v>5</v>
      </c>
    </row>
    <row r="293" spans="1:15">
      <c r="A293" s="629" t="s">
        <v>1009</v>
      </c>
      <c r="B293" s="1475" t="s">
        <v>1009</v>
      </c>
      <c r="C293" s="1476">
        <f t="shared" si="21"/>
        <v>0</v>
      </c>
      <c r="D293" s="630" t="s">
        <v>1010</v>
      </c>
      <c r="E293" s="1469">
        <v>0</v>
      </c>
      <c r="F293" s="1469">
        <v>0</v>
      </c>
      <c r="G293" s="1469">
        <v>128799000</v>
      </c>
      <c r="H293" s="1469">
        <v>128799000</v>
      </c>
      <c r="I293" s="1469">
        <v>0</v>
      </c>
      <c r="J293" s="1470">
        <v>0</v>
      </c>
      <c r="L293" s="229" t="str">
        <f t="shared" si="24"/>
        <v>5</v>
      </c>
      <c r="M293" s="230">
        <f t="shared" si="19"/>
        <v>128799000</v>
      </c>
      <c r="N293" s="216" t="e">
        <f>_xlfn.XLOOKUP(A293,'GL911 VNSC FY24'!Z:Z,'GL911 VNSC FY24'!AB:AB)</f>
        <v>#N/A</v>
      </c>
      <c r="O293" s="216">
        <f t="shared" si="22"/>
        <v>7</v>
      </c>
    </row>
    <row r="294" spans="1:15">
      <c r="A294" s="627" t="s">
        <v>1783</v>
      </c>
      <c r="B294" s="1474" t="s">
        <v>1783</v>
      </c>
      <c r="C294" s="1476">
        <f t="shared" si="21"/>
        <v>0</v>
      </c>
      <c r="D294" s="628" t="s">
        <v>1784</v>
      </c>
      <c r="E294" s="1467">
        <v>0</v>
      </c>
      <c r="F294" s="1467">
        <v>0</v>
      </c>
      <c r="G294" s="1467">
        <v>235763207</v>
      </c>
      <c r="H294" s="1467">
        <v>235763207</v>
      </c>
      <c r="I294" s="1467">
        <v>0</v>
      </c>
      <c r="J294" s="1468">
        <v>0</v>
      </c>
      <c r="L294" s="229" t="str">
        <f t="shared" si="24"/>
        <v>5</v>
      </c>
      <c r="M294" s="230">
        <f t="shared" si="19"/>
        <v>235763207</v>
      </c>
      <c r="N294" s="216" t="e">
        <f>_xlfn.XLOOKUP(A294,'GL911 VNSC FY24'!Z:Z,'GL911 VNSC FY24'!AB:AB)</f>
        <v>#N/A</v>
      </c>
      <c r="O294" s="216">
        <f t="shared" si="22"/>
        <v>5</v>
      </c>
    </row>
    <row r="295" spans="1:15">
      <c r="A295" s="629" t="s">
        <v>995</v>
      </c>
      <c r="B295" s="1475" t="s">
        <v>995</v>
      </c>
      <c r="C295" s="1476">
        <f t="shared" si="21"/>
        <v>0</v>
      </c>
      <c r="D295" s="630" t="s">
        <v>822</v>
      </c>
      <c r="E295" s="1469">
        <v>0</v>
      </c>
      <c r="F295" s="1469">
        <v>0</v>
      </c>
      <c r="G295" s="1469">
        <v>189509555</v>
      </c>
      <c r="H295" s="1469">
        <v>189509555</v>
      </c>
      <c r="I295" s="1469">
        <v>0</v>
      </c>
      <c r="J295" s="1470">
        <v>0</v>
      </c>
      <c r="L295" s="229" t="str">
        <f t="shared" si="24"/>
        <v>5</v>
      </c>
      <c r="M295" s="230">
        <f t="shared" si="19"/>
        <v>189509555</v>
      </c>
      <c r="N295" s="216" t="e">
        <f>_xlfn.XLOOKUP(A295,'GL911 VNSC FY24'!Z:Z,'GL911 VNSC FY24'!AB:AB)</f>
        <v>#N/A</v>
      </c>
      <c r="O295" s="216">
        <f t="shared" si="22"/>
        <v>7</v>
      </c>
    </row>
    <row r="296" spans="1:15">
      <c r="A296" s="629" t="s">
        <v>996</v>
      </c>
      <c r="B296" s="1475" t="s">
        <v>996</v>
      </c>
      <c r="C296" s="1476">
        <f t="shared" si="21"/>
        <v>0</v>
      </c>
      <c r="D296" s="630" t="s">
        <v>997</v>
      </c>
      <c r="E296" s="1469">
        <v>0</v>
      </c>
      <c r="F296" s="1469">
        <v>0</v>
      </c>
      <c r="G296" s="1469">
        <v>46253652</v>
      </c>
      <c r="H296" s="1469">
        <v>46253652</v>
      </c>
      <c r="I296" s="1469">
        <v>0</v>
      </c>
      <c r="J296" s="1470">
        <v>0</v>
      </c>
      <c r="L296" s="229" t="str">
        <f t="shared" si="24"/>
        <v>5</v>
      </c>
      <c r="M296" s="230">
        <f t="shared" si="19"/>
        <v>46253652</v>
      </c>
      <c r="N296" s="216" t="e">
        <f>_xlfn.XLOOKUP(A296,'GL911 VNSC FY24'!Z:Z,'GL911 VNSC FY24'!AB:AB)</f>
        <v>#N/A</v>
      </c>
      <c r="O296" s="216">
        <f t="shared" si="22"/>
        <v>7</v>
      </c>
    </row>
    <row r="297" spans="1:15">
      <c r="A297" s="629" t="s">
        <v>998</v>
      </c>
      <c r="B297" s="1475" t="s">
        <v>998</v>
      </c>
      <c r="C297" s="1476">
        <f t="shared" si="21"/>
        <v>0</v>
      </c>
      <c r="D297" s="630" t="s">
        <v>999</v>
      </c>
      <c r="E297" s="1469">
        <v>0</v>
      </c>
      <c r="F297" s="1469">
        <v>0</v>
      </c>
      <c r="G297" s="1469">
        <v>9887740004</v>
      </c>
      <c r="H297" s="1469">
        <v>9887740004</v>
      </c>
      <c r="I297" s="1469">
        <v>0</v>
      </c>
      <c r="J297" s="1470">
        <v>0</v>
      </c>
      <c r="L297" s="229" t="str">
        <f t="shared" si="24"/>
        <v>5</v>
      </c>
      <c r="M297" s="230">
        <f t="shared" si="19"/>
        <v>9887740004</v>
      </c>
      <c r="N297" s="216" t="e">
        <f>_xlfn.XLOOKUP(A297,'GL911 VNSC FY24'!Z:Z,'GL911 VNSC FY24'!AB:AB)</f>
        <v>#N/A</v>
      </c>
      <c r="O297" s="216">
        <f t="shared" si="22"/>
        <v>5</v>
      </c>
    </row>
    <row r="298" spans="1:15">
      <c r="A298" s="627" t="s">
        <v>247</v>
      </c>
      <c r="B298" s="1474" t="s">
        <v>247</v>
      </c>
      <c r="C298" s="1476">
        <f t="shared" si="21"/>
        <v>0</v>
      </c>
      <c r="D298" s="628" t="s">
        <v>248</v>
      </c>
      <c r="E298" s="1467">
        <v>0</v>
      </c>
      <c r="F298" s="1467">
        <v>0</v>
      </c>
      <c r="G298" s="1467">
        <v>33277416</v>
      </c>
      <c r="H298" s="1467">
        <v>33277416</v>
      </c>
      <c r="I298" s="1467">
        <v>0</v>
      </c>
      <c r="J298" s="1468">
        <v>0</v>
      </c>
      <c r="L298" s="229" t="str">
        <f t="shared" si="24"/>
        <v>5</v>
      </c>
      <c r="M298" s="230">
        <f t="shared" si="19"/>
        <v>33277416</v>
      </c>
      <c r="N298" s="216" t="e">
        <f>_xlfn.XLOOKUP(A298,'GL911 VNSC FY24'!Z:Z,'GL911 VNSC FY24'!AB:AB)</f>
        <v>#N/A</v>
      </c>
      <c r="O298" s="216">
        <f t="shared" si="22"/>
        <v>3</v>
      </c>
    </row>
    <row r="299" spans="1:15">
      <c r="A299" s="629" t="s">
        <v>251</v>
      </c>
      <c r="B299" s="1475" t="s">
        <v>251</v>
      </c>
      <c r="C299" s="1476">
        <f t="shared" si="21"/>
        <v>0</v>
      </c>
      <c r="D299" s="630" t="s">
        <v>1000</v>
      </c>
      <c r="E299" s="1469">
        <v>0</v>
      </c>
      <c r="F299" s="1469">
        <v>0</v>
      </c>
      <c r="G299" s="1469">
        <v>33277416</v>
      </c>
      <c r="H299" s="1469">
        <v>33277416</v>
      </c>
      <c r="I299" s="1469">
        <v>0</v>
      </c>
      <c r="J299" s="1470">
        <v>0</v>
      </c>
      <c r="L299" s="229" t="str">
        <f t="shared" si="24"/>
        <v>5</v>
      </c>
      <c r="M299" s="230">
        <f t="shared" si="19"/>
        <v>33277416</v>
      </c>
      <c r="N299" s="216" t="e">
        <f>_xlfn.XLOOKUP(A299,'GL911 VNSC FY24'!Z:Z,'GL911 VNSC FY24'!AB:AB)</f>
        <v>#N/A</v>
      </c>
      <c r="O299" s="216">
        <f t="shared" si="22"/>
        <v>4</v>
      </c>
    </row>
    <row r="300" spans="1:15">
      <c r="A300" s="627" t="s">
        <v>303</v>
      </c>
      <c r="B300" s="1474" t="s">
        <v>303</v>
      </c>
      <c r="C300" s="1476">
        <f t="shared" si="21"/>
        <v>0</v>
      </c>
      <c r="D300" s="628" t="s">
        <v>1785</v>
      </c>
      <c r="E300" s="1467">
        <v>0</v>
      </c>
      <c r="F300" s="1467">
        <v>0</v>
      </c>
      <c r="G300" s="1467">
        <v>1184109539</v>
      </c>
      <c r="H300" s="1467">
        <v>1184109539</v>
      </c>
      <c r="I300" s="1467">
        <v>0</v>
      </c>
      <c r="J300" s="1468">
        <v>0</v>
      </c>
      <c r="L300" s="229" t="str">
        <f t="shared" si="24"/>
        <v>6</v>
      </c>
      <c r="M300" s="230">
        <f t="shared" si="19"/>
        <v>-1184109539</v>
      </c>
      <c r="N300" s="216" t="e">
        <f>_xlfn.XLOOKUP(A300,'GL911 VNSC FY24'!Z:Z,'GL911 VNSC FY24'!AB:AB)</f>
        <v>#N/A</v>
      </c>
      <c r="O300" s="216">
        <f t="shared" si="22"/>
        <v>3</v>
      </c>
    </row>
    <row r="301" spans="1:15" ht="25.5">
      <c r="A301" s="627" t="s">
        <v>1786</v>
      </c>
      <c r="B301" s="1474" t="s">
        <v>1786</v>
      </c>
      <c r="C301" s="1476">
        <f t="shared" si="21"/>
        <v>0</v>
      </c>
      <c r="D301" s="628" t="s">
        <v>1787</v>
      </c>
      <c r="E301" s="1467">
        <v>0</v>
      </c>
      <c r="F301" s="1467">
        <v>0</v>
      </c>
      <c r="G301" s="1467">
        <v>1138355911</v>
      </c>
      <c r="H301" s="1467">
        <v>1138355911</v>
      </c>
      <c r="I301" s="1467">
        <v>0</v>
      </c>
      <c r="J301" s="1468">
        <v>0</v>
      </c>
      <c r="L301" s="229" t="str">
        <f t="shared" si="24"/>
        <v>6</v>
      </c>
      <c r="M301" s="230">
        <f t="shared" si="19"/>
        <v>-1138355911</v>
      </c>
      <c r="N301" s="216" t="e">
        <f>_xlfn.XLOOKUP(A301,'GL911 VNSC FY24'!Z:Z,'GL911 VNSC FY24'!AB:AB)</f>
        <v>#N/A</v>
      </c>
      <c r="O301" s="216">
        <f t="shared" si="22"/>
        <v>5</v>
      </c>
    </row>
    <row r="302" spans="1:15">
      <c r="A302" s="627" t="s">
        <v>1788</v>
      </c>
      <c r="B302" s="1474" t="s">
        <v>1788</v>
      </c>
      <c r="C302" s="1476">
        <f t="shared" si="21"/>
        <v>0</v>
      </c>
      <c r="D302" s="628" t="s">
        <v>1789</v>
      </c>
      <c r="E302" s="1467">
        <v>0</v>
      </c>
      <c r="F302" s="1467">
        <v>0</v>
      </c>
      <c r="G302" s="1467">
        <v>506686615</v>
      </c>
      <c r="H302" s="1467">
        <v>506686615</v>
      </c>
      <c r="I302" s="1467">
        <v>0</v>
      </c>
      <c r="J302" s="1468">
        <v>0</v>
      </c>
      <c r="L302" s="229" t="str">
        <f t="shared" si="24"/>
        <v>6</v>
      </c>
      <c r="M302" s="230">
        <f t="shared" ref="M302:M355" si="25">IF(AND(L302&lt;="4",L302&gt;"0"),I302-J302,IF(OR(L302="6",L302="8"),-H302,G302))</f>
        <v>-506686615</v>
      </c>
      <c r="N302" s="216" t="e">
        <f>_xlfn.XLOOKUP(A302,'GL911 VNSC FY24'!Z:Z,'GL911 VNSC FY24'!AB:AB)</f>
        <v>#N/A</v>
      </c>
      <c r="O302" s="216">
        <f t="shared" si="22"/>
        <v>7</v>
      </c>
    </row>
    <row r="303" spans="1:15">
      <c r="A303" s="627" t="s">
        <v>1790</v>
      </c>
      <c r="B303" s="1474" t="s">
        <v>1790</v>
      </c>
      <c r="C303" s="1476">
        <f t="shared" si="21"/>
        <v>0</v>
      </c>
      <c r="D303" s="628" t="s">
        <v>1791</v>
      </c>
      <c r="E303" s="1467">
        <v>0</v>
      </c>
      <c r="F303" s="1467">
        <v>0</v>
      </c>
      <c r="G303" s="1467">
        <v>41680000</v>
      </c>
      <c r="H303" s="1467">
        <v>41680000</v>
      </c>
      <c r="I303" s="1467">
        <v>0</v>
      </c>
      <c r="J303" s="1468">
        <v>0</v>
      </c>
      <c r="L303" s="229" t="str">
        <f t="shared" si="24"/>
        <v>6</v>
      </c>
      <c r="M303" s="230">
        <f t="shared" si="25"/>
        <v>-41680000</v>
      </c>
      <c r="N303" s="216" t="e">
        <f>_xlfn.XLOOKUP(A303,'GL911 VNSC FY24'!Z:Z,'GL911 VNSC FY24'!AB:AB)</f>
        <v>#N/A</v>
      </c>
      <c r="O303" s="216">
        <f t="shared" si="22"/>
        <v>9</v>
      </c>
    </row>
    <row r="304" spans="1:15">
      <c r="A304" s="629" t="s">
        <v>936</v>
      </c>
      <c r="B304" s="1475" t="s">
        <v>936</v>
      </c>
      <c r="C304" s="1476">
        <f t="shared" si="21"/>
        <v>0</v>
      </c>
      <c r="D304" s="630" t="s">
        <v>939</v>
      </c>
      <c r="E304" s="1469">
        <v>0</v>
      </c>
      <c r="F304" s="1469">
        <v>0</v>
      </c>
      <c r="G304" s="1469">
        <v>41680000</v>
      </c>
      <c r="H304" s="1469">
        <v>41680000</v>
      </c>
      <c r="I304" s="1469">
        <v>0</v>
      </c>
      <c r="J304" s="1470">
        <v>0</v>
      </c>
      <c r="L304" s="229" t="str">
        <f t="shared" si="24"/>
        <v>6</v>
      </c>
      <c r="M304" s="230">
        <f t="shared" si="25"/>
        <v>-41680000</v>
      </c>
      <c r="N304" s="216" t="e">
        <f>_xlfn.XLOOKUP(A304,'GL911 VNSC FY24'!Z:Z,'GL911 VNSC FY24'!AB:AB)</f>
        <v>#N/A</v>
      </c>
      <c r="O304" s="216">
        <f t="shared" si="22"/>
        <v>11</v>
      </c>
    </row>
    <row r="305" spans="1:15">
      <c r="A305" s="1290" t="s">
        <v>1792</v>
      </c>
      <c r="B305" s="1474" t="s">
        <v>1792</v>
      </c>
      <c r="C305" s="1476">
        <f t="shared" si="21"/>
        <v>0</v>
      </c>
      <c r="D305" s="1293" t="s">
        <v>1793</v>
      </c>
      <c r="E305" s="1467">
        <v>0</v>
      </c>
      <c r="F305" s="1467">
        <v>0</v>
      </c>
      <c r="G305" s="1467">
        <v>446354110</v>
      </c>
      <c r="H305" s="1467">
        <v>446354110</v>
      </c>
      <c r="I305" s="1467">
        <v>0</v>
      </c>
      <c r="J305" s="1468">
        <v>0</v>
      </c>
      <c r="L305" s="229"/>
      <c r="M305" s="230"/>
      <c r="O305" s="216">
        <f t="shared" si="22"/>
        <v>9</v>
      </c>
    </row>
    <row r="306" spans="1:15">
      <c r="A306" s="1291" t="s">
        <v>1061</v>
      </c>
      <c r="B306" s="1475" t="s">
        <v>1061</v>
      </c>
      <c r="C306" s="1476">
        <f t="shared" si="21"/>
        <v>0</v>
      </c>
      <c r="D306" s="637" t="s">
        <v>1062</v>
      </c>
      <c r="E306" s="1469">
        <v>0</v>
      </c>
      <c r="F306" s="1469">
        <v>0</v>
      </c>
      <c r="G306" s="1469">
        <v>446354110</v>
      </c>
      <c r="H306" s="1469">
        <v>446354110</v>
      </c>
      <c r="I306" s="1469">
        <v>0</v>
      </c>
      <c r="J306" s="1470">
        <v>0</v>
      </c>
      <c r="L306" s="229"/>
      <c r="M306" s="230"/>
      <c r="O306" s="216">
        <f t="shared" si="22"/>
        <v>11</v>
      </c>
    </row>
    <row r="307" spans="1:15">
      <c r="A307" s="627" t="s">
        <v>1794</v>
      </c>
      <c r="B307" s="1474" t="s">
        <v>1794</v>
      </c>
      <c r="C307" s="1476">
        <f t="shared" si="21"/>
        <v>0</v>
      </c>
      <c r="D307" s="628" t="s">
        <v>1795</v>
      </c>
      <c r="E307" s="1467">
        <v>0</v>
      </c>
      <c r="F307" s="1467">
        <v>0</v>
      </c>
      <c r="G307" s="1467">
        <v>18652505</v>
      </c>
      <c r="H307" s="1467">
        <v>18652505</v>
      </c>
      <c r="I307" s="1467">
        <v>0</v>
      </c>
      <c r="J307" s="1468">
        <v>0</v>
      </c>
      <c r="L307" s="229" t="str">
        <f>LEFT(A307,1)</f>
        <v>6</v>
      </c>
      <c r="M307" s="230">
        <f t="shared" si="25"/>
        <v>-18652505</v>
      </c>
      <c r="N307" s="216" t="e">
        <f>_xlfn.XLOOKUP(A307,'GL911 VNSC FY24'!Z:Z,'GL911 VNSC FY24'!AB:AB)</f>
        <v>#N/A</v>
      </c>
      <c r="O307" s="216">
        <f t="shared" si="22"/>
        <v>9</v>
      </c>
    </row>
    <row r="308" spans="1:15">
      <c r="A308" s="629" t="s">
        <v>940</v>
      </c>
      <c r="B308" s="1475" t="s">
        <v>940</v>
      </c>
      <c r="C308" s="1476">
        <f t="shared" si="21"/>
        <v>0</v>
      </c>
      <c r="D308" s="630" t="s">
        <v>943</v>
      </c>
      <c r="E308" s="1469">
        <v>0</v>
      </c>
      <c r="F308" s="1469">
        <v>0</v>
      </c>
      <c r="G308" s="1469">
        <v>18652505</v>
      </c>
      <c r="H308" s="1469">
        <v>18652505</v>
      </c>
      <c r="I308" s="1469">
        <v>0</v>
      </c>
      <c r="J308" s="1470">
        <v>0</v>
      </c>
      <c r="L308" s="229" t="str">
        <f>LEFT(A308,1)</f>
        <v>6</v>
      </c>
      <c r="M308" s="230">
        <f t="shared" si="25"/>
        <v>-18652505</v>
      </c>
      <c r="N308" s="216" t="e">
        <f>_xlfn.XLOOKUP(A308,'GL911 VNSC FY24'!Z:Z,'GL911 VNSC FY24'!AB:AB)</f>
        <v>#N/A</v>
      </c>
      <c r="O308" s="216">
        <f t="shared" si="22"/>
        <v>11</v>
      </c>
    </row>
    <row r="309" spans="1:15" ht="25.5">
      <c r="A309" s="627" t="s">
        <v>1796</v>
      </c>
      <c r="B309" s="1474" t="s">
        <v>1796</v>
      </c>
      <c r="C309" s="1476">
        <f t="shared" si="21"/>
        <v>0</v>
      </c>
      <c r="D309" s="628" t="s">
        <v>1797</v>
      </c>
      <c r="E309" s="1467">
        <v>0</v>
      </c>
      <c r="F309" s="1467">
        <v>0</v>
      </c>
      <c r="G309" s="1467">
        <v>15398710</v>
      </c>
      <c r="H309" s="1467">
        <v>15398710</v>
      </c>
      <c r="I309" s="1467">
        <v>0</v>
      </c>
      <c r="J309" s="1468">
        <v>0</v>
      </c>
      <c r="L309" s="229" t="str">
        <f>LEFT(A309,1)</f>
        <v>6</v>
      </c>
      <c r="M309" s="230">
        <f t="shared" si="25"/>
        <v>-15398710</v>
      </c>
      <c r="N309" s="216" t="e">
        <f>_xlfn.XLOOKUP(A309,'GL911 VNSC FY24'!Z:Z,'GL911 VNSC FY24'!AB:AB)</f>
        <v>#N/A</v>
      </c>
      <c r="O309" s="216">
        <f t="shared" si="22"/>
        <v>7</v>
      </c>
    </row>
    <row r="310" spans="1:15">
      <c r="A310" s="627" t="s">
        <v>1798</v>
      </c>
      <c r="B310" s="1474" t="s">
        <v>1798</v>
      </c>
      <c r="C310" s="1476">
        <f t="shared" si="21"/>
        <v>0</v>
      </c>
      <c r="D310" s="628" t="s">
        <v>1799</v>
      </c>
      <c r="E310" s="1467">
        <v>0</v>
      </c>
      <c r="F310" s="1467">
        <v>0</v>
      </c>
      <c r="G310" s="1467">
        <v>15398710</v>
      </c>
      <c r="H310" s="1467">
        <v>15398710</v>
      </c>
      <c r="I310" s="1467">
        <v>0</v>
      </c>
      <c r="J310" s="1468">
        <v>0</v>
      </c>
      <c r="L310" s="229" t="str">
        <f>LEFT(A310,1)</f>
        <v>6</v>
      </c>
      <c r="M310" s="230">
        <f t="shared" si="25"/>
        <v>-15398710</v>
      </c>
      <c r="N310" s="216" t="e">
        <f>_xlfn.XLOOKUP(A310,'GL911 VNSC FY24'!Z:Z,'GL911 VNSC FY24'!AB:AB)</f>
        <v>#N/A</v>
      </c>
      <c r="O310" s="216">
        <f t="shared" si="22"/>
        <v>9</v>
      </c>
    </row>
    <row r="311" spans="1:15">
      <c r="A311" s="629" t="s">
        <v>944</v>
      </c>
      <c r="B311" s="1475" t="s">
        <v>944</v>
      </c>
      <c r="C311" s="1476">
        <f t="shared" si="21"/>
        <v>0</v>
      </c>
      <c r="D311" s="630" t="s">
        <v>946</v>
      </c>
      <c r="E311" s="1469">
        <v>0</v>
      </c>
      <c r="F311" s="1469">
        <v>0</v>
      </c>
      <c r="G311" s="1469">
        <v>15398710</v>
      </c>
      <c r="H311" s="1469">
        <v>15398710</v>
      </c>
      <c r="I311" s="1469">
        <v>0</v>
      </c>
      <c r="J311" s="1470">
        <v>0</v>
      </c>
      <c r="L311" s="229" t="str">
        <f>LEFT(A311,1)</f>
        <v>6</v>
      </c>
      <c r="M311" s="230">
        <f t="shared" si="25"/>
        <v>-15398710</v>
      </c>
      <c r="N311" s="216" t="e">
        <f>_xlfn.XLOOKUP(A311,'GL911 VNSC FY24'!Z:Z,'GL911 VNSC FY24'!AB:AB)</f>
        <v>#N/A</v>
      </c>
      <c r="O311" s="216">
        <f t="shared" si="22"/>
        <v>11</v>
      </c>
    </row>
    <row r="312" spans="1:15" ht="25.5">
      <c r="A312" s="1290" t="s">
        <v>1800</v>
      </c>
      <c r="B312" s="1474" t="s">
        <v>1800</v>
      </c>
      <c r="C312" s="1476">
        <f t="shared" si="21"/>
        <v>0</v>
      </c>
      <c r="D312" s="1293" t="s">
        <v>1801</v>
      </c>
      <c r="E312" s="1467">
        <v>0</v>
      </c>
      <c r="F312" s="1467">
        <v>0</v>
      </c>
      <c r="G312" s="1467">
        <v>616270586</v>
      </c>
      <c r="H312" s="1467">
        <v>616270586</v>
      </c>
      <c r="I312" s="1467">
        <v>0</v>
      </c>
      <c r="J312" s="1468">
        <v>0</v>
      </c>
      <c r="L312" s="229"/>
      <c r="M312" s="230"/>
      <c r="O312" s="216">
        <f t="shared" si="22"/>
        <v>7</v>
      </c>
    </row>
    <row r="313" spans="1:15">
      <c r="A313" s="1290" t="s">
        <v>1802</v>
      </c>
      <c r="B313" s="1474" t="s">
        <v>1802</v>
      </c>
      <c r="C313" s="1476">
        <f t="shared" si="21"/>
        <v>0</v>
      </c>
      <c r="D313" s="1293" t="s">
        <v>1803</v>
      </c>
      <c r="E313" s="1467">
        <v>0</v>
      </c>
      <c r="F313" s="1467">
        <v>0</v>
      </c>
      <c r="G313" s="1467">
        <v>616270586</v>
      </c>
      <c r="H313" s="1467">
        <v>616270586</v>
      </c>
      <c r="I313" s="1467">
        <v>0</v>
      </c>
      <c r="J313" s="1468">
        <v>0</v>
      </c>
      <c r="L313" s="229"/>
      <c r="M313" s="230"/>
      <c r="O313" s="216">
        <f t="shared" si="22"/>
        <v>9</v>
      </c>
    </row>
    <row r="314" spans="1:15">
      <c r="A314" s="1291" t="s">
        <v>1025</v>
      </c>
      <c r="B314" s="1475" t="s">
        <v>1025</v>
      </c>
      <c r="C314" s="1476">
        <f t="shared" si="21"/>
        <v>0</v>
      </c>
      <c r="D314" s="637" t="s">
        <v>1026</v>
      </c>
      <c r="E314" s="1469">
        <v>0</v>
      </c>
      <c r="F314" s="1469">
        <v>0</v>
      </c>
      <c r="G314" s="1469">
        <v>27253425</v>
      </c>
      <c r="H314" s="1469">
        <v>27253425</v>
      </c>
      <c r="I314" s="1469">
        <v>0</v>
      </c>
      <c r="J314" s="1470">
        <v>0</v>
      </c>
      <c r="L314" s="229"/>
      <c r="M314" s="230"/>
      <c r="O314" s="216">
        <f t="shared" si="22"/>
        <v>11</v>
      </c>
    </row>
    <row r="315" spans="1:15" ht="25.5">
      <c r="A315" s="1291" t="s">
        <v>1065</v>
      </c>
      <c r="B315" s="1475" t="s">
        <v>1065</v>
      </c>
      <c r="C315" s="1476">
        <f t="shared" si="21"/>
        <v>0</v>
      </c>
      <c r="D315" s="637" t="s">
        <v>1066</v>
      </c>
      <c r="E315" s="1469">
        <v>0</v>
      </c>
      <c r="F315" s="1469">
        <v>0</v>
      </c>
      <c r="G315" s="1469">
        <v>204359627</v>
      </c>
      <c r="H315" s="1469">
        <v>204359627</v>
      </c>
      <c r="I315" s="1469">
        <v>0</v>
      </c>
      <c r="J315" s="1470">
        <v>0</v>
      </c>
      <c r="L315" s="229"/>
      <c r="M315" s="230"/>
      <c r="O315" s="216">
        <f t="shared" si="22"/>
        <v>11</v>
      </c>
    </row>
    <row r="316" spans="1:15" ht="25.5">
      <c r="A316" s="1291" t="s">
        <v>1022</v>
      </c>
      <c r="B316" s="1475" t="s">
        <v>1022</v>
      </c>
      <c r="C316" s="1476">
        <f t="shared" si="21"/>
        <v>0</v>
      </c>
      <c r="D316" s="637" t="s">
        <v>1023</v>
      </c>
      <c r="E316" s="1469">
        <v>0</v>
      </c>
      <c r="F316" s="1469">
        <v>0</v>
      </c>
      <c r="G316" s="1469">
        <v>384657534</v>
      </c>
      <c r="H316" s="1469">
        <v>384657534</v>
      </c>
      <c r="I316" s="1469">
        <v>0</v>
      </c>
      <c r="J316" s="1470">
        <v>0</v>
      </c>
      <c r="L316" s="229"/>
      <c r="M316" s="230"/>
      <c r="O316" s="216">
        <f t="shared" si="22"/>
        <v>11</v>
      </c>
    </row>
    <row r="317" spans="1:15">
      <c r="A317" s="629" t="s">
        <v>947</v>
      </c>
      <c r="B317" s="1475" t="s">
        <v>947</v>
      </c>
      <c r="C317" s="1476">
        <f t="shared" si="21"/>
        <v>0</v>
      </c>
      <c r="D317" s="630" t="s">
        <v>949</v>
      </c>
      <c r="E317" s="1469">
        <v>0</v>
      </c>
      <c r="F317" s="1469">
        <v>0</v>
      </c>
      <c r="G317" s="1469">
        <v>42453628</v>
      </c>
      <c r="H317" s="1469">
        <v>42453628</v>
      </c>
      <c r="I317" s="1469">
        <v>0</v>
      </c>
      <c r="J317" s="1470">
        <v>0</v>
      </c>
      <c r="L317" s="229" t="str">
        <f t="shared" ref="L317:L332" si="26">LEFT(A317,1)</f>
        <v>6</v>
      </c>
      <c r="M317" s="230">
        <f t="shared" si="25"/>
        <v>-42453628</v>
      </c>
      <c r="N317" s="216" t="e">
        <f>_xlfn.XLOOKUP(A317,'GL911 VNSC FY24'!Z:Z,'GL911 VNSC FY24'!AB:AB)</f>
        <v>#N/A</v>
      </c>
      <c r="O317" s="216">
        <f t="shared" si="22"/>
        <v>5</v>
      </c>
    </row>
    <row r="318" spans="1:15">
      <c r="A318" s="627" t="s">
        <v>1804</v>
      </c>
      <c r="B318" s="1474" t="s">
        <v>1804</v>
      </c>
      <c r="C318" s="1476">
        <f t="shared" si="21"/>
        <v>0</v>
      </c>
      <c r="D318" s="628" t="s">
        <v>1805</v>
      </c>
      <c r="E318" s="1467">
        <v>0</v>
      </c>
      <c r="F318" s="1467">
        <v>0</v>
      </c>
      <c r="G318" s="1467">
        <v>3300000</v>
      </c>
      <c r="H318" s="1467">
        <v>3300000</v>
      </c>
      <c r="I318" s="1467">
        <v>0</v>
      </c>
      <c r="J318" s="1468">
        <v>0</v>
      </c>
      <c r="L318" s="229" t="str">
        <f t="shared" si="26"/>
        <v>6</v>
      </c>
      <c r="M318" s="230">
        <f t="shared" si="25"/>
        <v>-3300000</v>
      </c>
      <c r="N318" s="216" t="e">
        <f>_xlfn.XLOOKUP(A318,'GL911 VNSC FY24'!Z:Z,'GL911 VNSC FY24'!AB:AB)</f>
        <v>#N/A</v>
      </c>
      <c r="O318" s="216">
        <f t="shared" si="22"/>
        <v>5</v>
      </c>
    </row>
    <row r="319" spans="1:15">
      <c r="A319" s="629" t="s">
        <v>973</v>
      </c>
      <c r="B319" s="1475" t="s">
        <v>973</v>
      </c>
      <c r="C319" s="1476">
        <f t="shared" si="21"/>
        <v>0</v>
      </c>
      <c r="D319" s="630" t="s">
        <v>975</v>
      </c>
      <c r="E319" s="1469">
        <v>0</v>
      </c>
      <c r="F319" s="1469">
        <v>0</v>
      </c>
      <c r="G319" s="1469">
        <v>3300000</v>
      </c>
      <c r="H319" s="1469">
        <v>3300000</v>
      </c>
      <c r="I319" s="1469">
        <v>0</v>
      </c>
      <c r="J319" s="1470">
        <v>0</v>
      </c>
      <c r="L319" s="229" t="str">
        <f t="shared" si="26"/>
        <v>6</v>
      </c>
      <c r="M319" s="230">
        <f t="shared" si="25"/>
        <v>-3300000</v>
      </c>
      <c r="N319" s="216" t="e">
        <f>_xlfn.XLOOKUP(A319,'GL911 VNSC FY24'!Z:Z,'GL911 VNSC FY24'!AB:AB)</f>
        <v>#N/A</v>
      </c>
      <c r="O319" s="216">
        <f t="shared" si="22"/>
        <v>7</v>
      </c>
    </row>
    <row r="320" spans="1:15">
      <c r="A320" s="627" t="s">
        <v>1806</v>
      </c>
      <c r="B320" s="1474" t="s">
        <v>1806</v>
      </c>
      <c r="C320" s="1476">
        <f t="shared" si="21"/>
        <v>0</v>
      </c>
      <c r="D320" s="628" t="s">
        <v>1807</v>
      </c>
      <c r="E320" s="1467">
        <v>0</v>
      </c>
      <c r="F320" s="1467">
        <v>0</v>
      </c>
      <c r="G320" s="1467">
        <v>35914139347</v>
      </c>
      <c r="H320" s="1467">
        <v>35914139347</v>
      </c>
      <c r="I320" s="1467">
        <v>0</v>
      </c>
      <c r="J320" s="1468">
        <v>0</v>
      </c>
      <c r="L320" s="229" t="str">
        <f t="shared" si="26"/>
        <v>6</v>
      </c>
      <c r="M320" s="230">
        <f t="shared" si="25"/>
        <v>-35914139347</v>
      </c>
      <c r="N320" s="216" t="e">
        <f>_xlfn.XLOOKUP(A320,'GL911 VNSC FY24'!Z:Z,'GL911 VNSC FY24'!AB:AB)</f>
        <v>#N/A</v>
      </c>
      <c r="O320" s="216">
        <f t="shared" si="22"/>
        <v>3</v>
      </c>
    </row>
    <row r="321" spans="1:15">
      <c r="A321" s="627" t="s">
        <v>789</v>
      </c>
      <c r="B321" s="1474" t="s">
        <v>789</v>
      </c>
      <c r="C321" s="1476">
        <f t="shared" si="21"/>
        <v>0</v>
      </c>
      <c r="D321" s="628" t="s">
        <v>1808</v>
      </c>
      <c r="E321" s="1467">
        <v>0</v>
      </c>
      <c r="F321" s="1467">
        <v>0</v>
      </c>
      <c r="G321" s="1467">
        <v>35539850426</v>
      </c>
      <c r="H321" s="1467">
        <v>35539850426</v>
      </c>
      <c r="I321" s="1467">
        <v>0</v>
      </c>
      <c r="J321" s="1468">
        <v>0</v>
      </c>
      <c r="L321" s="229" t="str">
        <f t="shared" si="26"/>
        <v>6</v>
      </c>
      <c r="M321" s="230">
        <f t="shared" si="25"/>
        <v>-35539850426</v>
      </c>
      <c r="N321" s="216" t="e">
        <f>_xlfn.XLOOKUP(A321,'GL911 VNSC FY24'!Z:Z,'GL911 VNSC FY24'!AB:AB)</f>
        <v>#N/A</v>
      </c>
      <c r="O321" s="216">
        <f t="shared" si="22"/>
        <v>4</v>
      </c>
    </row>
    <row r="322" spans="1:15">
      <c r="A322" s="629" t="s">
        <v>770</v>
      </c>
      <c r="B322" s="1475" t="s">
        <v>770</v>
      </c>
      <c r="C322" s="1476">
        <f t="shared" si="21"/>
        <v>0</v>
      </c>
      <c r="D322" s="630" t="s">
        <v>788</v>
      </c>
      <c r="E322" s="1469">
        <v>0</v>
      </c>
      <c r="F322" s="1469">
        <v>0</v>
      </c>
      <c r="G322" s="1469">
        <v>1872773164</v>
      </c>
      <c r="H322" s="1469">
        <v>1872773164</v>
      </c>
      <c r="I322" s="1469">
        <v>0</v>
      </c>
      <c r="J322" s="1470">
        <v>0</v>
      </c>
      <c r="L322" s="229" t="str">
        <f t="shared" si="26"/>
        <v>6</v>
      </c>
      <c r="M322" s="230">
        <f t="shared" si="25"/>
        <v>-1872773164</v>
      </c>
      <c r="N322" s="216" t="e">
        <f>_xlfn.XLOOKUP(A322,'GL911 VNSC FY24'!Z:Z,'GL911 VNSC FY24'!AB:AB)</f>
        <v>#N/A</v>
      </c>
      <c r="O322" s="216">
        <f t="shared" si="22"/>
        <v>5</v>
      </c>
    </row>
    <row r="323" spans="1:15" ht="25.5">
      <c r="A323" s="629" t="s">
        <v>781</v>
      </c>
      <c r="B323" s="1475" t="s">
        <v>781</v>
      </c>
      <c r="C323" s="1476">
        <f t="shared" si="21"/>
        <v>0</v>
      </c>
      <c r="D323" s="630" t="s">
        <v>793</v>
      </c>
      <c r="E323" s="1469">
        <v>0</v>
      </c>
      <c r="F323" s="1469">
        <v>0</v>
      </c>
      <c r="G323" s="1469">
        <v>528166673</v>
      </c>
      <c r="H323" s="1469">
        <v>528166673</v>
      </c>
      <c r="I323" s="1469">
        <v>0</v>
      </c>
      <c r="J323" s="1470">
        <v>0</v>
      </c>
      <c r="L323" s="229" t="str">
        <f t="shared" si="26"/>
        <v>6</v>
      </c>
      <c r="M323" s="230">
        <f t="shared" si="25"/>
        <v>-528166673</v>
      </c>
      <c r="N323" s="216" t="e">
        <f>_xlfn.XLOOKUP(A323,'GL911 VNSC FY24'!Z:Z,'GL911 VNSC FY24'!AB:AB)</f>
        <v>#N/A</v>
      </c>
      <c r="O323" s="216">
        <f t="shared" si="22"/>
        <v>5</v>
      </c>
    </row>
    <row r="324" spans="1:15">
      <c r="A324" s="629" t="s">
        <v>787</v>
      </c>
      <c r="B324" s="1475" t="s">
        <v>787</v>
      </c>
      <c r="C324" s="1476">
        <f t="shared" si="21"/>
        <v>0</v>
      </c>
      <c r="D324" s="630" t="s">
        <v>797</v>
      </c>
      <c r="E324" s="1469">
        <v>0</v>
      </c>
      <c r="F324" s="1469">
        <v>0</v>
      </c>
      <c r="G324" s="1469">
        <v>142690000</v>
      </c>
      <c r="H324" s="1469">
        <v>142690000</v>
      </c>
      <c r="I324" s="1469">
        <v>0</v>
      </c>
      <c r="J324" s="1470">
        <v>0</v>
      </c>
      <c r="L324" s="229" t="str">
        <f t="shared" si="26"/>
        <v>6</v>
      </c>
      <c r="M324" s="230">
        <f t="shared" si="25"/>
        <v>-142690000</v>
      </c>
      <c r="N324" s="216" t="e">
        <f>_xlfn.XLOOKUP(A324,'GL911 VNSC FY24'!Z:Z,'GL911 VNSC FY24'!AB:AB)</f>
        <v>#N/A</v>
      </c>
      <c r="O324" s="216">
        <f t="shared" si="22"/>
        <v>5</v>
      </c>
    </row>
    <row r="325" spans="1:15">
      <c r="A325" s="629" t="s">
        <v>921</v>
      </c>
      <c r="B325" s="1475" t="s">
        <v>921</v>
      </c>
      <c r="C325" s="1476">
        <f t="shared" si="21"/>
        <v>0</v>
      </c>
      <c r="D325" s="630" t="s">
        <v>923</v>
      </c>
      <c r="E325" s="1469">
        <v>0</v>
      </c>
      <c r="F325" s="1469">
        <v>0</v>
      </c>
      <c r="G325" s="1469">
        <v>2600000</v>
      </c>
      <c r="H325" s="1469">
        <v>2600000</v>
      </c>
      <c r="I325" s="1469">
        <v>0</v>
      </c>
      <c r="J325" s="1470">
        <v>0</v>
      </c>
      <c r="L325" s="229" t="str">
        <f t="shared" si="26"/>
        <v>6</v>
      </c>
      <c r="M325" s="230">
        <f t="shared" si="25"/>
        <v>-2600000</v>
      </c>
      <c r="N325" s="216" t="e">
        <f>_xlfn.XLOOKUP(A325,'GL911 VNSC FY24'!Z:Z,'GL911 VNSC FY24'!AB:AB)</f>
        <v>#N/A</v>
      </c>
      <c r="O325" s="216">
        <f t="shared" si="22"/>
        <v>5</v>
      </c>
    </row>
    <row r="326" spans="1:15">
      <c r="A326" s="627" t="s">
        <v>1809</v>
      </c>
      <c r="B326" s="1474" t="s">
        <v>1809</v>
      </c>
      <c r="C326" s="1476">
        <f t="shared" ref="C326:C389" si="27">A326-B326</f>
        <v>0</v>
      </c>
      <c r="D326" s="628" t="s">
        <v>1810</v>
      </c>
      <c r="E326" s="1467">
        <v>0</v>
      </c>
      <c r="F326" s="1467">
        <v>0</v>
      </c>
      <c r="G326" s="1467">
        <v>32993620589</v>
      </c>
      <c r="H326" s="1467">
        <v>32993620589</v>
      </c>
      <c r="I326" s="1467">
        <v>0</v>
      </c>
      <c r="J326" s="1468">
        <v>0</v>
      </c>
      <c r="L326" s="229" t="str">
        <f t="shared" si="26"/>
        <v>6</v>
      </c>
      <c r="M326" s="230">
        <f t="shared" si="25"/>
        <v>-32993620589</v>
      </c>
      <c r="N326" s="216" t="e">
        <f>_xlfn.XLOOKUP(A326,'GL911 VNSC FY24'!Z:Z,'GL911 VNSC FY24'!AB:AB)</f>
        <v>#N/A</v>
      </c>
      <c r="O326" s="216">
        <f t="shared" si="22"/>
        <v>5</v>
      </c>
    </row>
    <row r="327" spans="1:15">
      <c r="A327" s="627" t="s">
        <v>1811</v>
      </c>
      <c r="B327" s="1474" t="s">
        <v>1811</v>
      </c>
      <c r="C327" s="1476">
        <f t="shared" si="27"/>
        <v>0</v>
      </c>
      <c r="D327" s="628" t="s">
        <v>1812</v>
      </c>
      <c r="E327" s="1467">
        <v>0</v>
      </c>
      <c r="F327" s="1467">
        <v>0</v>
      </c>
      <c r="G327" s="1467">
        <v>12524364621</v>
      </c>
      <c r="H327" s="1467">
        <v>12524364621</v>
      </c>
      <c r="I327" s="1467">
        <v>0</v>
      </c>
      <c r="J327" s="1468">
        <v>0</v>
      </c>
      <c r="L327" s="229" t="str">
        <f t="shared" si="26"/>
        <v>6</v>
      </c>
      <c r="M327" s="230">
        <f t="shared" si="25"/>
        <v>-12524364621</v>
      </c>
      <c r="N327" s="216" t="e">
        <f>_xlfn.XLOOKUP(A327,'GL911 VNSC FY24'!Z:Z,'GL911 VNSC FY24'!AB:AB)</f>
        <v>#N/A</v>
      </c>
      <c r="O327" s="216">
        <f t="shared" si="22"/>
        <v>6</v>
      </c>
    </row>
    <row r="328" spans="1:15">
      <c r="A328" s="629" t="s">
        <v>791</v>
      </c>
      <c r="B328" s="1475" t="s">
        <v>791</v>
      </c>
      <c r="C328" s="1476">
        <f t="shared" si="27"/>
        <v>0</v>
      </c>
      <c r="D328" s="630" t="s">
        <v>801</v>
      </c>
      <c r="E328" s="1469">
        <v>0</v>
      </c>
      <c r="F328" s="1469">
        <v>0</v>
      </c>
      <c r="G328" s="1469">
        <v>11784648621</v>
      </c>
      <c r="H328" s="1469">
        <v>11784648621</v>
      </c>
      <c r="I328" s="1469">
        <v>0</v>
      </c>
      <c r="J328" s="1470">
        <v>0</v>
      </c>
      <c r="L328" s="229" t="str">
        <f t="shared" si="26"/>
        <v>6</v>
      </c>
      <c r="M328" s="230">
        <f t="shared" si="25"/>
        <v>-11784648621</v>
      </c>
      <c r="N328" s="216" t="e">
        <f>_xlfn.XLOOKUP(A328,'GL911 VNSC FY24'!Z:Z,'GL911 VNSC FY24'!AB:AB)</f>
        <v>#N/A</v>
      </c>
      <c r="O328" s="216">
        <f t="shared" si="22"/>
        <v>7</v>
      </c>
    </row>
    <row r="329" spans="1:15">
      <c r="A329" s="629" t="s">
        <v>795</v>
      </c>
      <c r="B329" s="1475" t="s">
        <v>795</v>
      </c>
      <c r="C329" s="1476">
        <f t="shared" si="27"/>
        <v>0</v>
      </c>
      <c r="D329" s="630" t="s">
        <v>804</v>
      </c>
      <c r="E329" s="1469">
        <v>0</v>
      </c>
      <c r="F329" s="1469">
        <v>0</v>
      </c>
      <c r="G329" s="1469">
        <v>739716000</v>
      </c>
      <c r="H329" s="1469">
        <v>739716000</v>
      </c>
      <c r="I329" s="1469">
        <v>0</v>
      </c>
      <c r="J329" s="1470">
        <v>0</v>
      </c>
      <c r="L329" s="229" t="str">
        <f t="shared" si="26"/>
        <v>6</v>
      </c>
      <c r="M329" s="230">
        <f t="shared" si="25"/>
        <v>-739716000</v>
      </c>
      <c r="N329" s="216" t="e">
        <f>_xlfn.XLOOKUP(A329,'GL911 VNSC FY24'!Z:Z,'GL911 VNSC FY24'!AB:AB)</f>
        <v>#N/A</v>
      </c>
      <c r="O329" s="216">
        <f t="shared" ref="O329:O392" si="28">LEN(A329)</f>
        <v>7</v>
      </c>
    </row>
    <row r="330" spans="1:15" ht="25.5">
      <c r="A330" s="629" t="s">
        <v>806</v>
      </c>
      <c r="B330" s="1475" t="s">
        <v>806</v>
      </c>
      <c r="C330" s="1476">
        <f t="shared" si="27"/>
        <v>0</v>
      </c>
      <c r="D330" s="630" t="s">
        <v>808</v>
      </c>
      <c r="E330" s="1469">
        <v>0</v>
      </c>
      <c r="F330" s="1469">
        <v>0</v>
      </c>
      <c r="G330" s="1469">
        <v>5172416668</v>
      </c>
      <c r="H330" s="1469">
        <v>5172416668</v>
      </c>
      <c r="I330" s="1469">
        <v>0</v>
      </c>
      <c r="J330" s="1470">
        <v>0</v>
      </c>
      <c r="L330" s="229" t="str">
        <f t="shared" si="26"/>
        <v>6</v>
      </c>
      <c r="M330" s="230">
        <f t="shared" si="25"/>
        <v>-5172416668</v>
      </c>
      <c r="N330" s="216" t="e">
        <f>_xlfn.XLOOKUP(A330,'GL911 VNSC FY24'!Z:Z,'GL911 VNSC FY24'!AB:AB)</f>
        <v>#N/A</v>
      </c>
      <c r="O330" s="216">
        <f t="shared" si="28"/>
        <v>6</v>
      </c>
    </row>
    <row r="331" spans="1:15">
      <c r="A331" s="629" t="s">
        <v>811</v>
      </c>
      <c r="B331" s="1475" t="s">
        <v>811</v>
      </c>
      <c r="C331" s="1476">
        <f t="shared" si="27"/>
        <v>0</v>
      </c>
      <c r="D331" s="630" t="s">
        <v>812</v>
      </c>
      <c r="E331" s="1469">
        <v>0</v>
      </c>
      <c r="F331" s="1469">
        <v>0</v>
      </c>
      <c r="G331" s="1469">
        <v>1358344765</v>
      </c>
      <c r="H331" s="1469">
        <v>1358344765</v>
      </c>
      <c r="I331" s="1469">
        <v>0</v>
      </c>
      <c r="J331" s="1470">
        <v>0</v>
      </c>
      <c r="L331" s="229" t="str">
        <f t="shared" si="26"/>
        <v>6</v>
      </c>
      <c r="M331" s="230">
        <f t="shared" si="25"/>
        <v>-1358344765</v>
      </c>
      <c r="N331" s="216" t="e">
        <f>_xlfn.XLOOKUP(A331,'GL911 VNSC FY24'!Z:Z,'GL911 VNSC FY24'!AB:AB)</f>
        <v>#N/A</v>
      </c>
      <c r="O331" s="216">
        <f t="shared" si="28"/>
        <v>6</v>
      </c>
    </row>
    <row r="332" spans="1:15">
      <c r="A332" s="629" t="s">
        <v>815</v>
      </c>
      <c r="B332" s="1475" t="s">
        <v>815</v>
      </c>
      <c r="C332" s="1476">
        <f t="shared" si="27"/>
        <v>0</v>
      </c>
      <c r="D332" s="630" t="s">
        <v>817</v>
      </c>
      <c r="E332" s="1469">
        <v>0</v>
      </c>
      <c r="F332" s="1469">
        <v>0</v>
      </c>
      <c r="G332" s="1469">
        <v>5065767262</v>
      </c>
      <c r="H332" s="1469">
        <v>5065767262</v>
      </c>
      <c r="I332" s="1469">
        <v>0</v>
      </c>
      <c r="J332" s="1470">
        <v>0</v>
      </c>
      <c r="L332" s="229" t="str">
        <f t="shared" si="26"/>
        <v>6</v>
      </c>
      <c r="M332" s="230">
        <f t="shared" si="25"/>
        <v>-5065767262</v>
      </c>
      <c r="N332" s="216" t="e">
        <f>_xlfn.XLOOKUP(A332,'GL911 VNSC FY24'!Z:Z,'GL911 VNSC FY24'!AB:AB)</f>
        <v>#N/A</v>
      </c>
      <c r="O332" s="216">
        <f t="shared" si="28"/>
        <v>6</v>
      </c>
    </row>
    <row r="333" spans="1:15">
      <c r="A333" s="1291" t="s">
        <v>1067</v>
      </c>
      <c r="B333" s="1475" t="s">
        <v>1067</v>
      </c>
      <c r="C333" s="1476">
        <f t="shared" si="27"/>
        <v>0</v>
      </c>
      <c r="D333" s="637" t="s">
        <v>1064</v>
      </c>
      <c r="E333" s="1469">
        <v>0</v>
      </c>
      <c r="F333" s="1469">
        <v>0</v>
      </c>
      <c r="G333" s="1469">
        <v>8872727273</v>
      </c>
      <c r="H333" s="1469">
        <v>8872727273</v>
      </c>
      <c r="I333" s="1469">
        <v>0</v>
      </c>
      <c r="J333" s="1470">
        <v>0</v>
      </c>
      <c r="L333" s="229"/>
      <c r="M333" s="230"/>
      <c r="O333" s="216">
        <f t="shared" si="28"/>
        <v>6</v>
      </c>
    </row>
    <row r="334" spans="1:15">
      <c r="A334" s="627" t="s">
        <v>1813</v>
      </c>
      <c r="B334" s="1474" t="s">
        <v>1813</v>
      </c>
      <c r="C334" s="1476">
        <f t="shared" si="27"/>
        <v>0</v>
      </c>
      <c r="D334" s="628" t="s">
        <v>1814</v>
      </c>
      <c r="E334" s="1467">
        <v>0</v>
      </c>
      <c r="F334" s="1467">
        <v>0</v>
      </c>
      <c r="G334" s="1467">
        <v>133783615</v>
      </c>
      <c r="H334" s="1467">
        <v>133783615</v>
      </c>
      <c r="I334" s="1467">
        <v>0</v>
      </c>
      <c r="J334" s="1468">
        <v>0</v>
      </c>
      <c r="L334" s="229" t="str">
        <f t="shared" ref="L334:L340" si="29">LEFT(A334,1)</f>
        <v>6</v>
      </c>
      <c r="M334" s="230">
        <f t="shared" si="25"/>
        <v>-133783615</v>
      </c>
      <c r="N334" s="216" t="e">
        <f>_xlfn.XLOOKUP(A334,'GL911 VNSC FY24'!Z:Z,'GL911 VNSC FY24'!AB:AB)</f>
        <v>#N/A</v>
      </c>
      <c r="O334" s="216">
        <f t="shared" si="28"/>
        <v>4</v>
      </c>
    </row>
    <row r="335" spans="1:15">
      <c r="A335" s="627" t="s">
        <v>1815</v>
      </c>
      <c r="B335" s="1474" t="s">
        <v>1815</v>
      </c>
      <c r="C335" s="1476">
        <f t="shared" si="27"/>
        <v>0</v>
      </c>
      <c r="D335" s="628" t="s">
        <v>1816</v>
      </c>
      <c r="E335" s="1467">
        <v>0</v>
      </c>
      <c r="F335" s="1467">
        <v>0</v>
      </c>
      <c r="G335" s="1467">
        <v>133783615</v>
      </c>
      <c r="H335" s="1467">
        <v>133783615</v>
      </c>
      <c r="I335" s="1467">
        <v>0</v>
      </c>
      <c r="J335" s="1468">
        <v>0</v>
      </c>
      <c r="L335" s="229" t="str">
        <f t="shared" si="29"/>
        <v>6</v>
      </c>
      <c r="M335" s="230">
        <f t="shared" si="25"/>
        <v>-133783615</v>
      </c>
      <c r="N335" s="216" t="e">
        <f>_xlfn.XLOOKUP(A335,'GL911 VNSC FY24'!Z:Z,'GL911 VNSC FY24'!AB:AB)</f>
        <v>#N/A</v>
      </c>
      <c r="O335" s="216">
        <f t="shared" si="28"/>
        <v>5</v>
      </c>
    </row>
    <row r="336" spans="1:15">
      <c r="A336" s="627" t="s">
        <v>1817</v>
      </c>
      <c r="B336" s="1474" t="s">
        <v>1817</v>
      </c>
      <c r="C336" s="1476">
        <f t="shared" si="27"/>
        <v>0</v>
      </c>
      <c r="D336" s="628" t="s">
        <v>1818</v>
      </c>
      <c r="E336" s="1467">
        <v>0</v>
      </c>
      <c r="F336" s="1467">
        <v>0</v>
      </c>
      <c r="G336" s="1467">
        <v>133783615</v>
      </c>
      <c r="H336" s="1467">
        <v>133783615</v>
      </c>
      <c r="I336" s="1467">
        <v>0</v>
      </c>
      <c r="J336" s="1468">
        <v>0</v>
      </c>
      <c r="L336" s="229" t="str">
        <f t="shared" si="29"/>
        <v>6</v>
      </c>
      <c r="M336" s="230">
        <f t="shared" si="25"/>
        <v>-133783615</v>
      </c>
      <c r="N336" s="216" t="e">
        <f>_xlfn.XLOOKUP(A336,'GL911 VNSC FY24'!Z:Z,'GL911 VNSC FY24'!AB:AB)</f>
        <v>#N/A</v>
      </c>
      <c r="O336" s="216">
        <f t="shared" si="28"/>
        <v>6</v>
      </c>
    </row>
    <row r="337" spans="1:15">
      <c r="A337" s="629" t="s">
        <v>951</v>
      </c>
      <c r="B337" s="1475" t="s">
        <v>951</v>
      </c>
      <c r="C337" s="1476">
        <f t="shared" si="27"/>
        <v>0</v>
      </c>
      <c r="D337" s="630" t="s">
        <v>953</v>
      </c>
      <c r="E337" s="1469">
        <v>0</v>
      </c>
      <c r="F337" s="1469">
        <v>0</v>
      </c>
      <c r="G337" s="1469">
        <v>121093615</v>
      </c>
      <c r="H337" s="1469">
        <v>121093615</v>
      </c>
      <c r="I337" s="1469">
        <v>0</v>
      </c>
      <c r="J337" s="1470">
        <v>0</v>
      </c>
      <c r="L337" s="229" t="str">
        <f t="shared" si="29"/>
        <v>6</v>
      </c>
      <c r="M337" s="230">
        <f t="shared" si="25"/>
        <v>-121093615</v>
      </c>
      <c r="N337" s="216" t="e">
        <f>_xlfn.XLOOKUP(A337,'GL911 VNSC FY24'!Z:Z,'GL911 VNSC FY24'!AB:AB)</f>
        <v>#N/A</v>
      </c>
      <c r="O337" s="216">
        <f t="shared" si="28"/>
        <v>7</v>
      </c>
    </row>
    <row r="338" spans="1:15" ht="25.5">
      <c r="A338" s="629" t="s">
        <v>954</v>
      </c>
      <c r="B338" s="1475" t="s">
        <v>954</v>
      </c>
      <c r="C338" s="1476">
        <f t="shared" si="27"/>
        <v>0</v>
      </c>
      <c r="D338" s="630" t="s">
        <v>956</v>
      </c>
      <c r="E338" s="1469">
        <v>0</v>
      </c>
      <c r="F338" s="1469">
        <v>0</v>
      </c>
      <c r="G338" s="1469">
        <v>12690000</v>
      </c>
      <c r="H338" s="1469">
        <v>12690000</v>
      </c>
      <c r="I338" s="1469">
        <v>0</v>
      </c>
      <c r="J338" s="1470">
        <v>0</v>
      </c>
      <c r="L338" s="229" t="str">
        <f t="shared" si="29"/>
        <v>6</v>
      </c>
      <c r="M338" s="230">
        <f t="shared" si="25"/>
        <v>-12690000</v>
      </c>
      <c r="N338" s="216" t="e">
        <f>_xlfn.XLOOKUP(A338,'GL911 VNSC FY24'!Z:Z,'GL911 VNSC FY24'!AB:AB)</f>
        <v>#N/A</v>
      </c>
      <c r="O338" s="216">
        <f t="shared" si="28"/>
        <v>7</v>
      </c>
    </row>
    <row r="339" spans="1:15">
      <c r="A339" s="627" t="s">
        <v>1819</v>
      </c>
      <c r="B339" s="1474" t="s">
        <v>1819</v>
      </c>
      <c r="C339" s="1476">
        <f t="shared" si="27"/>
        <v>0</v>
      </c>
      <c r="D339" s="628" t="s">
        <v>1820</v>
      </c>
      <c r="E339" s="1467">
        <v>0</v>
      </c>
      <c r="F339" s="1467">
        <v>0</v>
      </c>
      <c r="G339" s="1467">
        <v>240505306</v>
      </c>
      <c r="H339" s="1467">
        <v>240505306</v>
      </c>
      <c r="I339" s="1467">
        <v>0</v>
      </c>
      <c r="J339" s="1468">
        <v>0</v>
      </c>
      <c r="L339" s="229" t="str">
        <f t="shared" si="29"/>
        <v>6</v>
      </c>
      <c r="M339" s="230">
        <f t="shared" si="25"/>
        <v>-240505306</v>
      </c>
      <c r="N339" s="216" t="e">
        <f>_xlfn.XLOOKUP(A339,'GL911 VNSC FY24'!Z:Z,'GL911 VNSC FY24'!AB:AB)</f>
        <v>#N/A</v>
      </c>
      <c r="O339" s="216">
        <f t="shared" si="28"/>
        <v>4</v>
      </c>
    </row>
    <row r="340" spans="1:15">
      <c r="A340" s="629" t="s">
        <v>820</v>
      </c>
      <c r="B340" s="1475" t="s">
        <v>820</v>
      </c>
      <c r="C340" s="1476">
        <f t="shared" si="27"/>
        <v>0</v>
      </c>
      <c r="D340" s="630" t="s">
        <v>822</v>
      </c>
      <c r="E340" s="1469">
        <v>0</v>
      </c>
      <c r="F340" s="1469">
        <v>0</v>
      </c>
      <c r="G340" s="1469">
        <v>193861809</v>
      </c>
      <c r="H340" s="1469">
        <v>193861809</v>
      </c>
      <c r="I340" s="1469">
        <v>0</v>
      </c>
      <c r="J340" s="1470">
        <v>0</v>
      </c>
      <c r="L340" s="229" t="str">
        <f t="shared" si="29"/>
        <v>6</v>
      </c>
      <c r="M340" s="230">
        <f t="shared" si="25"/>
        <v>-193861809</v>
      </c>
      <c r="N340" s="216" t="e">
        <f>_xlfn.XLOOKUP(A340,'GL911 VNSC FY24'!Z:Z,'GL911 VNSC FY24'!AB:AB)</f>
        <v>#N/A</v>
      </c>
      <c r="O340" s="216">
        <f t="shared" si="28"/>
        <v>5</v>
      </c>
    </row>
    <row r="341" spans="1:15">
      <c r="A341" s="1290" t="s">
        <v>1821</v>
      </c>
      <c r="B341" s="1474" t="s">
        <v>1821</v>
      </c>
      <c r="C341" s="1476">
        <f t="shared" si="27"/>
        <v>0</v>
      </c>
      <c r="D341" s="1293" t="s">
        <v>1822</v>
      </c>
      <c r="E341" s="1467">
        <v>0</v>
      </c>
      <c r="F341" s="1467">
        <v>0</v>
      </c>
      <c r="G341" s="1467">
        <v>280500</v>
      </c>
      <c r="H341" s="1467">
        <v>280500</v>
      </c>
      <c r="I341" s="1467">
        <v>0</v>
      </c>
      <c r="J341" s="1468">
        <v>0</v>
      </c>
      <c r="L341" s="229"/>
      <c r="M341" s="230"/>
      <c r="O341" s="216">
        <f t="shared" si="28"/>
        <v>5</v>
      </c>
    </row>
    <row r="342" spans="1:15">
      <c r="A342" s="1291" t="s">
        <v>1063</v>
      </c>
      <c r="B342" s="1475" t="s">
        <v>1063</v>
      </c>
      <c r="C342" s="1476">
        <f t="shared" si="27"/>
        <v>0</v>
      </c>
      <c r="D342" s="637" t="s">
        <v>1064</v>
      </c>
      <c r="E342" s="1469">
        <v>0</v>
      </c>
      <c r="F342" s="1469">
        <v>0</v>
      </c>
      <c r="G342" s="1469">
        <v>280500</v>
      </c>
      <c r="H342" s="1469">
        <v>280500</v>
      </c>
      <c r="I342" s="1469">
        <v>0</v>
      </c>
      <c r="J342" s="1470">
        <v>0</v>
      </c>
      <c r="L342" s="229"/>
      <c r="M342" s="230"/>
      <c r="O342" s="216">
        <f t="shared" si="28"/>
        <v>6</v>
      </c>
    </row>
    <row r="343" spans="1:15">
      <c r="A343" s="629" t="s">
        <v>799</v>
      </c>
      <c r="B343" s="1475" t="s">
        <v>799</v>
      </c>
      <c r="C343" s="1476">
        <f t="shared" si="27"/>
        <v>0</v>
      </c>
      <c r="D343" s="630" t="s">
        <v>826</v>
      </c>
      <c r="E343" s="1469">
        <v>0</v>
      </c>
      <c r="F343" s="1469">
        <v>0</v>
      </c>
      <c r="G343" s="1469">
        <v>46362997</v>
      </c>
      <c r="H343" s="1469">
        <v>46362997</v>
      </c>
      <c r="I343" s="1469">
        <v>0</v>
      </c>
      <c r="J343" s="1470">
        <v>0</v>
      </c>
      <c r="L343" s="229" t="str">
        <f>LEFT(A343,1)</f>
        <v>6</v>
      </c>
      <c r="M343" s="230">
        <f t="shared" si="25"/>
        <v>-46362997</v>
      </c>
      <c r="N343" s="216" t="e">
        <f>_xlfn.XLOOKUP(A343,'GL911 VNSC FY24'!Z:Z,'GL911 VNSC FY24'!AB:AB)</f>
        <v>#N/A</v>
      </c>
      <c r="O343" s="216">
        <f t="shared" si="28"/>
        <v>5</v>
      </c>
    </row>
    <row r="344" spans="1:15">
      <c r="A344" s="1290" t="s">
        <v>305</v>
      </c>
      <c r="B344" s="1474" t="s">
        <v>305</v>
      </c>
      <c r="C344" s="1476">
        <f t="shared" si="27"/>
        <v>0</v>
      </c>
      <c r="D344" s="1293" t="s">
        <v>306</v>
      </c>
      <c r="E344" s="1467">
        <v>0</v>
      </c>
      <c r="F344" s="1467">
        <v>0</v>
      </c>
      <c r="G344" s="1467">
        <v>1718534241</v>
      </c>
      <c r="H344" s="1467">
        <v>1718534241</v>
      </c>
      <c r="I344" s="1467">
        <v>0</v>
      </c>
      <c r="J344" s="1468">
        <v>0</v>
      </c>
      <c r="L344" s="229"/>
      <c r="M344" s="230"/>
      <c r="O344" s="216">
        <f t="shared" si="28"/>
        <v>3</v>
      </c>
    </row>
    <row r="345" spans="1:15">
      <c r="A345" s="1291" t="s">
        <v>309</v>
      </c>
      <c r="B345" s="1475" t="s">
        <v>309</v>
      </c>
      <c r="C345" s="1476">
        <f t="shared" si="27"/>
        <v>0</v>
      </c>
      <c r="D345" s="637" t="s">
        <v>1019</v>
      </c>
      <c r="E345" s="1469">
        <v>0</v>
      </c>
      <c r="F345" s="1469">
        <v>0</v>
      </c>
      <c r="G345" s="1469">
        <v>1718534241</v>
      </c>
      <c r="H345" s="1469">
        <v>1718534241</v>
      </c>
      <c r="I345" s="1469">
        <v>0</v>
      </c>
      <c r="J345" s="1470">
        <v>0</v>
      </c>
      <c r="L345" s="229"/>
      <c r="M345" s="230"/>
      <c r="O345" s="216">
        <f t="shared" si="28"/>
        <v>4</v>
      </c>
    </row>
    <row r="346" spans="1:15">
      <c r="A346" s="627" t="s">
        <v>333</v>
      </c>
      <c r="B346" s="1474" t="s">
        <v>333</v>
      </c>
      <c r="C346" s="1476">
        <f t="shared" si="27"/>
        <v>0</v>
      </c>
      <c r="D346" s="628" t="s">
        <v>334</v>
      </c>
      <c r="E346" s="1467">
        <v>0</v>
      </c>
      <c r="F346" s="1467">
        <v>0</v>
      </c>
      <c r="G346" s="1467">
        <v>2557988661</v>
      </c>
      <c r="H346" s="1467">
        <v>2557988661</v>
      </c>
      <c r="I346" s="1467">
        <v>0</v>
      </c>
      <c r="J346" s="1468">
        <v>0</v>
      </c>
      <c r="L346" s="229" t="str">
        <f t="shared" ref="L346:L355" si="30">LEFT(A346,1)</f>
        <v>6</v>
      </c>
      <c r="M346" s="230">
        <f t="shared" si="25"/>
        <v>-2557988661</v>
      </c>
      <c r="N346" s="216" t="e">
        <f>_xlfn.XLOOKUP(A346,'GL911 VNSC FY24'!Z:Z,'GL911 VNSC FY24'!AB:AB)</f>
        <v>#N/A</v>
      </c>
      <c r="O346" s="216">
        <f t="shared" si="28"/>
        <v>3</v>
      </c>
    </row>
    <row r="347" spans="1:15">
      <c r="A347" s="627" t="s">
        <v>335</v>
      </c>
      <c r="B347" s="1474" t="s">
        <v>335</v>
      </c>
      <c r="C347" s="1476">
        <f t="shared" si="27"/>
        <v>0</v>
      </c>
      <c r="D347" s="628" t="s">
        <v>1823</v>
      </c>
      <c r="E347" s="1467">
        <v>0</v>
      </c>
      <c r="F347" s="1467">
        <v>0</v>
      </c>
      <c r="G347" s="1467">
        <v>2119331798</v>
      </c>
      <c r="H347" s="1467">
        <v>2119331798</v>
      </c>
      <c r="I347" s="1467">
        <v>0</v>
      </c>
      <c r="J347" s="1468">
        <v>0</v>
      </c>
      <c r="L347" s="229" t="str">
        <f t="shared" si="30"/>
        <v>6</v>
      </c>
      <c r="M347" s="230">
        <f t="shared" si="25"/>
        <v>-2119331798</v>
      </c>
      <c r="N347" s="216" t="e">
        <f>_xlfn.XLOOKUP(A347,'GL911 VNSC FY24'!Z:Z,'GL911 VNSC FY24'!AB:AB)</f>
        <v>#N/A</v>
      </c>
      <c r="O347" s="216">
        <f t="shared" si="28"/>
        <v>4</v>
      </c>
    </row>
    <row r="348" spans="1:15">
      <c r="A348" s="629" t="s">
        <v>337</v>
      </c>
      <c r="B348" s="1475" t="s">
        <v>337</v>
      </c>
      <c r="C348" s="1476">
        <f t="shared" si="27"/>
        <v>0</v>
      </c>
      <c r="D348" s="630" t="s">
        <v>830</v>
      </c>
      <c r="E348" s="1469">
        <v>0</v>
      </c>
      <c r="F348" s="1469">
        <v>0</v>
      </c>
      <c r="G348" s="1469">
        <v>1953907798</v>
      </c>
      <c r="H348" s="1469">
        <v>1953907798</v>
      </c>
      <c r="I348" s="1469">
        <v>0</v>
      </c>
      <c r="J348" s="1470">
        <v>0</v>
      </c>
      <c r="L348" s="229" t="str">
        <f t="shared" si="30"/>
        <v>6</v>
      </c>
      <c r="M348" s="230">
        <f t="shared" si="25"/>
        <v>-1953907798</v>
      </c>
      <c r="N348" s="216" t="e">
        <f>_xlfn.XLOOKUP(A348,'GL911 VNSC FY24'!Z:Z,'GL911 VNSC FY24'!AB:AB)</f>
        <v>#N/A</v>
      </c>
      <c r="O348" s="216">
        <f t="shared" si="28"/>
        <v>5</v>
      </c>
    </row>
    <row r="349" spans="1:15">
      <c r="A349" s="629" t="s">
        <v>339</v>
      </c>
      <c r="B349" s="1475" t="s">
        <v>339</v>
      </c>
      <c r="C349" s="1476">
        <f t="shared" si="27"/>
        <v>0</v>
      </c>
      <c r="D349" s="630" t="s">
        <v>836</v>
      </c>
      <c r="E349" s="1469">
        <v>0</v>
      </c>
      <c r="F349" s="1469">
        <v>0</v>
      </c>
      <c r="G349" s="1469">
        <v>165424000</v>
      </c>
      <c r="H349" s="1469">
        <v>165424000</v>
      </c>
      <c r="I349" s="1469">
        <v>0</v>
      </c>
      <c r="J349" s="1470">
        <v>0</v>
      </c>
      <c r="L349" s="229" t="str">
        <f t="shared" si="30"/>
        <v>6</v>
      </c>
      <c r="M349" s="230">
        <f t="shared" si="25"/>
        <v>-165424000</v>
      </c>
      <c r="N349" s="216" t="e">
        <f>_xlfn.XLOOKUP(A349,'GL911 VNSC FY24'!Z:Z,'GL911 VNSC FY24'!AB:AB)</f>
        <v>#N/A</v>
      </c>
      <c r="O349" s="216">
        <f t="shared" si="28"/>
        <v>5</v>
      </c>
    </row>
    <row r="350" spans="1:15">
      <c r="A350" s="627" t="s">
        <v>343</v>
      </c>
      <c r="B350" s="1474" t="s">
        <v>343</v>
      </c>
      <c r="C350" s="1476">
        <f t="shared" si="27"/>
        <v>0</v>
      </c>
      <c r="D350" s="628" t="s">
        <v>1824</v>
      </c>
      <c r="E350" s="1467">
        <v>0</v>
      </c>
      <c r="F350" s="1467">
        <v>0</v>
      </c>
      <c r="G350" s="1467">
        <v>150554084</v>
      </c>
      <c r="H350" s="1467">
        <v>150554084</v>
      </c>
      <c r="I350" s="1467">
        <v>0</v>
      </c>
      <c r="J350" s="1468">
        <v>0</v>
      </c>
      <c r="L350" s="229" t="str">
        <f t="shared" si="30"/>
        <v>6</v>
      </c>
      <c r="M350" s="230">
        <f t="shared" si="25"/>
        <v>-150554084</v>
      </c>
      <c r="N350" s="216" t="e">
        <f>_xlfn.XLOOKUP(A350,'GL911 VNSC FY24'!Z:Z,'GL911 VNSC FY24'!AB:AB)</f>
        <v>#N/A</v>
      </c>
      <c r="O350" s="216">
        <f t="shared" si="28"/>
        <v>4</v>
      </c>
    </row>
    <row r="351" spans="1:15">
      <c r="A351" s="629" t="s">
        <v>924</v>
      </c>
      <c r="B351" s="1475" t="s">
        <v>924</v>
      </c>
      <c r="C351" s="1476">
        <f t="shared" si="27"/>
        <v>0</v>
      </c>
      <c r="D351" s="630" t="s">
        <v>926</v>
      </c>
      <c r="E351" s="1469">
        <v>0</v>
      </c>
      <c r="F351" s="1469">
        <v>0</v>
      </c>
      <c r="G351" s="1469">
        <v>147844000</v>
      </c>
      <c r="H351" s="1469">
        <v>147844000</v>
      </c>
      <c r="I351" s="1469">
        <v>0</v>
      </c>
      <c r="J351" s="1470">
        <v>0</v>
      </c>
      <c r="L351" s="229" t="str">
        <f t="shared" si="30"/>
        <v>6</v>
      </c>
      <c r="M351" s="230">
        <f t="shared" si="25"/>
        <v>-147844000</v>
      </c>
      <c r="N351" s="216" t="e">
        <f>_xlfn.XLOOKUP(A351,'GL911 VNSC FY24'!Z:Z,'GL911 VNSC FY24'!AB:AB)</f>
        <v>#N/A</v>
      </c>
      <c r="O351" s="216">
        <f t="shared" si="28"/>
        <v>5</v>
      </c>
    </row>
    <row r="352" spans="1:15">
      <c r="A352" s="629" t="s">
        <v>957</v>
      </c>
      <c r="B352" s="1475" t="s">
        <v>957</v>
      </c>
      <c r="C352" s="1476">
        <f t="shared" si="27"/>
        <v>0</v>
      </c>
      <c r="D352" s="630" t="s">
        <v>959</v>
      </c>
      <c r="E352" s="1469">
        <v>0</v>
      </c>
      <c r="F352" s="1469">
        <v>0</v>
      </c>
      <c r="G352" s="1469">
        <v>2710084</v>
      </c>
      <c r="H352" s="1469">
        <v>2710084</v>
      </c>
      <c r="I352" s="1469">
        <v>0</v>
      </c>
      <c r="J352" s="1470">
        <v>0</v>
      </c>
      <c r="L352" s="229" t="str">
        <f t="shared" si="30"/>
        <v>6</v>
      </c>
      <c r="M352" s="230">
        <f t="shared" si="25"/>
        <v>-2710084</v>
      </c>
      <c r="N352" s="216" t="e">
        <f>_xlfn.XLOOKUP(A352,'GL911 VNSC FY24'!Z:Z,'GL911 VNSC FY24'!AB:AB)</f>
        <v>#N/A</v>
      </c>
      <c r="O352" s="216">
        <f t="shared" si="28"/>
        <v>5</v>
      </c>
    </row>
    <row r="353" spans="1:15">
      <c r="A353" s="629" t="s">
        <v>345</v>
      </c>
      <c r="B353" s="1475" t="s">
        <v>345</v>
      </c>
      <c r="C353" s="1476">
        <f t="shared" si="27"/>
        <v>0</v>
      </c>
      <c r="D353" s="630" t="s">
        <v>841</v>
      </c>
      <c r="E353" s="1469">
        <v>0</v>
      </c>
      <c r="F353" s="1469">
        <v>0</v>
      </c>
      <c r="G353" s="1469">
        <v>36116435</v>
      </c>
      <c r="H353" s="1469">
        <v>36116435</v>
      </c>
      <c r="I353" s="1469">
        <v>0</v>
      </c>
      <c r="J353" s="1470">
        <v>0</v>
      </c>
      <c r="L353" s="229" t="str">
        <f t="shared" si="30"/>
        <v>6</v>
      </c>
      <c r="M353" s="230">
        <f t="shared" si="25"/>
        <v>-36116435</v>
      </c>
      <c r="N353" s="216" t="e">
        <f>_xlfn.XLOOKUP(A353,'GL911 VNSC FY24'!Z:Z,'GL911 VNSC FY24'!AB:AB)</f>
        <v>#N/A</v>
      </c>
      <c r="O353" s="216">
        <f t="shared" si="28"/>
        <v>4</v>
      </c>
    </row>
    <row r="354" spans="1:15">
      <c r="A354" s="627" t="s">
        <v>346</v>
      </c>
      <c r="B354" s="1474" t="s">
        <v>346</v>
      </c>
      <c r="C354" s="1476">
        <f t="shared" si="27"/>
        <v>0</v>
      </c>
      <c r="D354" s="628" t="s">
        <v>1825</v>
      </c>
      <c r="E354" s="1467">
        <v>0</v>
      </c>
      <c r="F354" s="1467">
        <v>0</v>
      </c>
      <c r="G354" s="1467">
        <v>198218156</v>
      </c>
      <c r="H354" s="1467">
        <v>198218156</v>
      </c>
      <c r="I354" s="1467">
        <v>0</v>
      </c>
      <c r="J354" s="1468">
        <v>0</v>
      </c>
      <c r="L354" s="229" t="str">
        <f t="shared" si="30"/>
        <v>6</v>
      </c>
      <c r="M354" s="230">
        <f t="shared" si="25"/>
        <v>-198218156</v>
      </c>
      <c r="N354" s="216" t="e">
        <f>_xlfn.XLOOKUP(A354,'GL911 VNSC FY24'!Z:Z,'GL911 VNSC FY24'!AB:AB)</f>
        <v>#N/A</v>
      </c>
      <c r="O354" s="216">
        <f t="shared" si="28"/>
        <v>4</v>
      </c>
    </row>
    <row r="355" spans="1:15" ht="25.5">
      <c r="A355" s="629" t="s">
        <v>927</v>
      </c>
      <c r="B355" s="1475" t="s">
        <v>927</v>
      </c>
      <c r="C355" s="1476">
        <f t="shared" si="27"/>
        <v>0</v>
      </c>
      <c r="D355" s="630" t="s">
        <v>929</v>
      </c>
      <c r="E355" s="1469">
        <v>0</v>
      </c>
      <c r="F355" s="1469">
        <v>0</v>
      </c>
      <c r="G355" s="1469">
        <v>5400000</v>
      </c>
      <c r="H355" s="1469">
        <v>5400000</v>
      </c>
      <c r="I355" s="1469">
        <v>0</v>
      </c>
      <c r="J355" s="1470">
        <v>0</v>
      </c>
      <c r="L355" s="229" t="str">
        <f t="shared" si="30"/>
        <v>6</v>
      </c>
      <c r="M355" s="230">
        <f t="shared" si="25"/>
        <v>-5400000</v>
      </c>
      <c r="N355" s="216" t="e">
        <f>_xlfn.XLOOKUP(A355,'GL911 VNSC FY24'!Z:Z,'GL911 VNSC FY24'!AB:AB)</f>
        <v>#N/A</v>
      </c>
      <c r="O355" s="216">
        <f t="shared" si="28"/>
        <v>6</v>
      </c>
    </row>
    <row r="356" spans="1:15">
      <c r="A356" s="629" t="s">
        <v>844</v>
      </c>
      <c r="B356" s="1475" t="s">
        <v>844</v>
      </c>
      <c r="C356" s="1476">
        <f t="shared" si="27"/>
        <v>0</v>
      </c>
      <c r="D356" s="630" t="s">
        <v>846</v>
      </c>
      <c r="E356" s="1469">
        <v>0</v>
      </c>
      <c r="F356" s="1469">
        <v>0</v>
      </c>
      <c r="G356" s="1469">
        <v>13893155</v>
      </c>
      <c r="H356" s="1469">
        <v>13893155</v>
      </c>
      <c r="I356" s="1469">
        <v>0</v>
      </c>
      <c r="J356" s="1470">
        <v>0</v>
      </c>
      <c r="N356" s="216" t="e">
        <f>_xlfn.XLOOKUP(A356,'GL911 VNSC FY24'!Z:Z,'GL911 VNSC FY24'!AB:AB)</f>
        <v>#N/A</v>
      </c>
      <c r="O356" s="216">
        <f t="shared" si="28"/>
        <v>6</v>
      </c>
    </row>
    <row r="357" spans="1:15">
      <c r="A357" s="629" t="s">
        <v>960</v>
      </c>
      <c r="B357" s="1475" t="s">
        <v>960</v>
      </c>
      <c r="C357" s="1476">
        <f t="shared" si="27"/>
        <v>0</v>
      </c>
      <c r="D357" s="630" t="s">
        <v>962</v>
      </c>
      <c r="E357" s="1469">
        <v>0</v>
      </c>
      <c r="F357" s="1469">
        <v>0</v>
      </c>
      <c r="G357" s="1469">
        <v>149074666</v>
      </c>
      <c r="H357" s="1469">
        <v>149074666</v>
      </c>
      <c r="I357" s="1469">
        <v>0</v>
      </c>
      <c r="J357" s="1470">
        <v>0</v>
      </c>
      <c r="N357" s="216" t="e">
        <f>_xlfn.XLOOKUP(A357,'GL911 VNSC FY24'!Z:Z,'GL911 VNSC FY24'!AB:AB)</f>
        <v>#N/A</v>
      </c>
      <c r="O357" s="216">
        <f t="shared" si="28"/>
        <v>6</v>
      </c>
    </row>
    <row r="358" spans="1:15">
      <c r="A358" s="629" t="s">
        <v>849</v>
      </c>
      <c r="B358" s="1475" t="s">
        <v>849</v>
      </c>
      <c r="C358" s="1476">
        <f t="shared" si="27"/>
        <v>0</v>
      </c>
      <c r="D358" s="630" t="s">
        <v>852</v>
      </c>
      <c r="E358" s="1469">
        <v>0</v>
      </c>
      <c r="F358" s="1469">
        <v>0</v>
      </c>
      <c r="G358" s="1469">
        <v>8730335</v>
      </c>
      <c r="H358" s="1469">
        <v>8730335</v>
      </c>
      <c r="I358" s="1469">
        <v>0</v>
      </c>
      <c r="J358" s="1470">
        <v>0</v>
      </c>
      <c r="N358" s="216" t="e">
        <f>_xlfn.XLOOKUP(A358,'GL911 VNSC FY24'!Z:Z,'GL911 VNSC FY24'!AB:AB)</f>
        <v>#N/A</v>
      </c>
      <c r="O358" s="216">
        <f t="shared" si="28"/>
        <v>6</v>
      </c>
    </row>
    <row r="359" spans="1:15">
      <c r="A359" s="629" t="s">
        <v>963</v>
      </c>
      <c r="B359" s="1475" t="s">
        <v>963</v>
      </c>
      <c r="C359" s="1476">
        <f t="shared" si="27"/>
        <v>0</v>
      </c>
      <c r="D359" s="630" t="s">
        <v>965</v>
      </c>
      <c r="E359" s="1469">
        <v>0</v>
      </c>
      <c r="F359" s="1469">
        <v>0</v>
      </c>
      <c r="G359" s="1469">
        <v>16200000</v>
      </c>
      <c r="H359" s="1469">
        <v>16200000</v>
      </c>
      <c r="I359" s="1469">
        <v>0</v>
      </c>
      <c r="J359" s="1470">
        <v>0</v>
      </c>
      <c r="N359" s="216" t="e">
        <f>_xlfn.XLOOKUP(A359,'GL911 VNSC FY24'!Z:Z,'GL911 VNSC FY24'!AB:AB)</f>
        <v>#N/A</v>
      </c>
      <c r="O359" s="216">
        <f t="shared" si="28"/>
        <v>6</v>
      </c>
    </row>
    <row r="360" spans="1:15">
      <c r="A360" s="629" t="s">
        <v>968</v>
      </c>
      <c r="B360" s="1475" t="s">
        <v>968</v>
      </c>
      <c r="C360" s="1476">
        <f t="shared" si="27"/>
        <v>0</v>
      </c>
      <c r="D360" s="630" t="s">
        <v>971</v>
      </c>
      <c r="E360" s="1469">
        <v>0</v>
      </c>
      <c r="F360" s="1469">
        <v>0</v>
      </c>
      <c r="G360" s="1469">
        <v>4920000</v>
      </c>
      <c r="H360" s="1469">
        <v>4920000</v>
      </c>
      <c r="I360" s="1469">
        <v>0</v>
      </c>
      <c r="J360" s="1470">
        <v>0</v>
      </c>
      <c r="N360" s="216" t="e">
        <f>_xlfn.XLOOKUP(A360,'GL911 VNSC FY24'!Z:Z,'GL911 VNSC FY24'!AB:AB)</f>
        <v>#N/A</v>
      </c>
      <c r="O360" s="216">
        <f t="shared" si="28"/>
        <v>6</v>
      </c>
    </row>
    <row r="361" spans="1:15">
      <c r="A361" s="627" t="s">
        <v>369</v>
      </c>
      <c r="B361" s="1474" t="s">
        <v>369</v>
      </c>
      <c r="C361" s="1476">
        <f t="shared" si="27"/>
        <v>0</v>
      </c>
      <c r="D361" s="628" t="s">
        <v>932</v>
      </c>
      <c r="E361" s="1467">
        <v>0</v>
      </c>
      <c r="F361" s="1467">
        <v>0</v>
      </c>
      <c r="G361" s="1467">
        <v>53768188</v>
      </c>
      <c r="H361" s="1467">
        <v>53768188</v>
      </c>
      <c r="I361" s="1467">
        <v>0</v>
      </c>
      <c r="J361" s="1468">
        <v>0</v>
      </c>
      <c r="N361" s="216" t="e">
        <f>_xlfn.XLOOKUP(A361,'GL911 VNSC FY24'!Z:Z,'GL911 VNSC FY24'!AB:AB)</f>
        <v>#N/A</v>
      </c>
      <c r="O361" s="216">
        <f t="shared" si="28"/>
        <v>4</v>
      </c>
    </row>
    <row r="362" spans="1:15">
      <c r="A362" s="629" t="s">
        <v>933</v>
      </c>
      <c r="B362" s="1475" t="s">
        <v>933</v>
      </c>
      <c r="C362" s="1476">
        <f t="shared" si="27"/>
        <v>0</v>
      </c>
      <c r="D362" s="630" t="s">
        <v>935</v>
      </c>
      <c r="E362" s="1469">
        <v>0</v>
      </c>
      <c r="F362" s="1469">
        <v>0</v>
      </c>
      <c r="G362" s="1469">
        <v>6120000</v>
      </c>
      <c r="H362" s="1469">
        <v>6120000</v>
      </c>
      <c r="I362" s="1469">
        <v>0</v>
      </c>
      <c r="J362" s="1470">
        <v>0</v>
      </c>
      <c r="N362" s="216" t="e">
        <f>_xlfn.XLOOKUP(A362,'GL911 VNSC FY24'!Z:Z,'GL911 VNSC FY24'!AB:AB)</f>
        <v>#N/A</v>
      </c>
      <c r="O362" s="216">
        <f t="shared" si="28"/>
        <v>6</v>
      </c>
    </row>
    <row r="363" spans="1:15">
      <c r="A363" s="629" t="s">
        <v>855</v>
      </c>
      <c r="B363" s="1475" t="s">
        <v>855</v>
      </c>
      <c r="C363" s="1476">
        <f t="shared" si="27"/>
        <v>0</v>
      </c>
      <c r="D363" s="630" t="s">
        <v>857</v>
      </c>
      <c r="E363" s="1469">
        <v>0</v>
      </c>
      <c r="F363" s="1469">
        <v>0</v>
      </c>
      <c r="G363" s="1469">
        <v>45499788</v>
      </c>
      <c r="H363" s="1469">
        <v>45499788</v>
      </c>
      <c r="I363" s="1469">
        <v>0</v>
      </c>
      <c r="J363" s="1470">
        <v>0</v>
      </c>
      <c r="N363" s="216" t="e">
        <f>_xlfn.XLOOKUP(A363,'GL911 VNSC FY24'!Z:Z,'GL911 VNSC FY24'!AB:AB)</f>
        <v>#N/A</v>
      </c>
      <c r="O363" s="216">
        <f t="shared" si="28"/>
        <v>6</v>
      </c>
    </row>
    <row r="364" spans="1:15">
      <c r="A364" s="629" t="s">
        <v>860</v>
      </c>
      <c r="B364" s="1475" t="s">
        <v>1826</v>
      </c>
      <c r="C364" s="1476">
        <f t="shared" si="27"/>
        <v>6</v>
      </c>
      <c r="D364" s="630" t="s">
        <v>862</v>
      </c>
      <c r="E364" s="1469">
        <v>0</v>
      </c>
      <c r="F364" s="1469">
        <v>0</v>
      </c>
      <c r="G364" s="1469">
        <v>0</v>
      </c>
      <c r="H364" s="1469">
        <v>0</v>
      </c>
      <c r="I364" s="1469">
        <v>0</v>
      </c>
      <c r="J364" s="1470">
        <v>0</v>
      </c>
      <c r="N364" s="216" t="e">
        <f>_xlfn.XLOOKUP(A364,'GL911 VNSC FY24'!Z:Z,'GL911 VNSC FY24'!AB:AB)</f>
        <v>#N/A</v>
      </c>
      <c r="O364" s="216">
        <f t="shared" si="28"/>
        <v>6</v>
      </c>
    </row>
    <row r="365" spans="1:15">
      <c r="A365" s="627" t="s">
        <v>374</v>
      </c>
      <c r="B365" s="1475" t="s">
        <v>1827</v>
      </c>
      <c r="C365" s="1476">
        <f t="shared" si="27"/>
        <v>-641162</v>
      </c>
      <c r="D365" s="628" t="s">
        <v>1828</v>
      </c>
      <c r="E365" s="1469">
        <v>0</v>
      </c>
      <c r="F365" s="1469">
        <v>0</v>
      </c>
      <c r="G365" s="1469">
        <v>0</v>
      </c>
      <c r="H365" s="1469">
        <v>0</v>
      </c>
      <c r="I365" s="1469">
        <v>0</v>
      </c>
      <c r="J365" s="1470">
        <v>0</v>
      </c>
      <c r="N365" s="216" t="e">
        <f>_xlfn.XLOOKUP(A365,'GL911 VNSC FY24'!Z:Z,'GL911 VNSC FY24'!AB:AB)</f>
        <v>#N/A</v>
      </c>
      <c r="O365" s="216">
        <f t="shared" si="28"/>
        <v>3</v>
      </c>
    </row>
    <row r="366" spans="1:15">
      <c r="A366" s="627" t="s">
        <v>376</v>
      </c>
      <c r="B366" s="1475" t="s">
        <v>860</v>
      </c>
      <c r="C366" s="1476">
        <f t="shared" si="27"/>
        <v>-635388</v>
      </c>
      <c r="D366" s="628" t="s">
        <v>1829</v>
      </c>
      <c r="E366" s="1469">
        <v>0</v>
      </c>
      <c r="F366" s="1469">
        <v>0</v>
      </c>
      <c r="G366" s="1469">
        <v>2148400</v>
      </c>
      <c r="H366" s="1469">
        <v>2148400</v>
      </c>
      <c r="I366" s="1469">
        <v>0</v>
      </c>
      <c r="J366" s="1470">
        <v>0</v>
      </c>
      <c r="N366" s="216" t="e">
        <f>_xlfn.XLOOKUP(A366,'GL911 VNSC FY24'!Z:Z,'GL911 VNSC FY24'!AB:AB)</f>
        <v>#N/A</v>
      </c>
      <c r="O366" s="216">
        <f t="shared" si="28"/>
        <v>4</v>
      </c>
    </row>
    <row r="367" spans="1:15">
      <c r="A367" s="629" t="s">
        <v>378</v>
      </c>
      <c r="B367" s="1474" t="s">
        <v>374</v>
      </c>
      <c r="C367" s="1476">
        <f t="shared" si="27"/>
        <v>63569</v>
      </c>
      <c r="D367" s="630" t="s">
        <v>866</v>
      </c>
      <c r="E367" s="639">
        <v>0</v>
      </c>
      <c r="F367" s="639">
        <v>0</v>
      </c>
      <c r="G367" s="639">
        <v>18954108536</v>
      </c>
      <c r="H367" s="639">
        <v>18954108536</v>
      </c>
      <c r="I367" s="639">
        <v>0</v>
      </c>
      <c r="J367" s="1292">
        <v>0</v>
      </c>
      <c r="N367" s="216" t="e">
        <f>_xlfn.XLOOKUP(A367,'GL911 VNSC FY24'!Z:Z,'GL911 VNSC FY24'!AB:AB)</f>
        <v>#N/A</v>
      </c>
      <c r="O367" s="216">
        <f t="shared" si="28"/>
        <v>5</v>
      </c>
    </row>
    <row r="368" spans="1:15" ht="25.5">
      <c r="A368" s="629" t="s">
        <v>379</v>
      </c>
      <c r="B368" s="1474" t="s">
        <v>376</v>
      </c>
      <c r="C368" s="1476">
        <f t="shared" si="27"/>
        <v>57791</v>
      </c>
      <c r="D368" s="630" t="s">
        <v>869</v>
      </c>
      <c r="E368" s="639">
        <v>0</v>
      </c>
      <c r="F368" s="639">
        <v>0</v>
      </c>
      <c r="G368" s="639">
        <v>1126314000</v>
      </c>
      <c r="H368" s="639">
        <v>1126314000</v>
      </c>
      <c r="I368" s="639">
        <v>0</v>
      </c>
      <c r="J368" s="1292">
        <v>0</v>
      </c>
      <c r="N368" s="216" t="e">
        <f>_xlfn.XLOOKUP(A368,'GL911 VNSC FY24'!Z:Z,'GL911 VNSC FY24'!AB:AB)</f>
        <v>#N/A</v>
      </c>
      <c r="O368" s="216">
        <f t="shared" si="28"/>
        <v>5</v>
      </c>
    </row>
    <row r="369" spans="1:15">
      <c r="A369" s="629" t="s">
        <v>505</v>
      </c>
      <c r="B369" s="1475" t="s">
        <v>378</v>
      </c>
      <c r="C369" s="1476">
        <f t="shared" si="27"/>
        <v>-57789</v>
      </c>
      <c r="D369" s="630" t="s">
        <v>873</v>
      </c>
      <c r="E369" s="639">
        <v>0</v>
      </c>
      <c r="F369" s="639">
        <v>0</v>
      </c>
      <c r="G369" s="639">
        <v>276302355</v>
      </c>
      <c r="H369" s="639">
        <v>276302355</v>
      </c>
      <c r="I369" s="639">
        <v>0</v>
      </c>
      <c r="J369" s="1292">
        <v>0</v>
      </c>
      <c r="N369" s="216" t="e">
        <f>_xlfn.XLOOKUP(A369,'GL911 VNSC FY24'!Z:Z,'GL911 VNSC FY24'!AB:AB)</f>
        <v>#N/A</v>
      </c>
      <c r="O369" s="216">
        <f t="shared" si="28"/>
        <v>4</v>
      </c>
    </row>
    <row r="370" spans="1:15">
      <c r="A370" s="629" t="s">
        <v>381</v>
      </c>
      <c r="B370" s="1475" t="s">
        <v>379</v>
      </c>
      <c r="C370" s="1476">
        <f t="shared" si="27"/>
        <v>-57789</v>
      </c>
      <c r="D370" s="630" t="s">
        <v>876</v>
      </c>
      <c r="E370" s="639">
        <v>0</v>
      </c>
      <c r="F370" s="639">
        <v>0</v>
      </c>
      <c r="G370" s="639">
        <v>515666988</v>
      </c>
      <c r="H370" s="639">
        <v>515666988</v>
      </c>
      <c r="I370" s="639">
        <v>0</v>
      </c>
      <c r="J370" s="1292">
        <v>0</v>
      </c>
      <c r="N370" s="216" t="e">
        <f>_xlfn.XLOOKUP(A370,'GL911 VNSC FY24'!Z:Z,'GL911 VNSC FY24'!AB:AB)</f>
        <v>#N/A</v>
      </c>
      <c r="O370" s="216">
        <f t="shared" si="28"/>
        <v>4</v>
      </c>
    </row>
    <row r="371" spans="1:15">
      <c r="A371" s="629" t="s">
        <v>383</v>
      </c>
      <c r="B371" s="1475" t="s">
        <v>505</v>
      </c>
      <c r="C371" s="1476">
        <f t="shared" si="27"/>
        <v>2</v>
      </c>
      <c r="D371" s="630" t="s">
        <v>879</v>
      </c>
      <c r="E371" s="639">
        <v>0</v>
      </c>
      <c r="F371" s="639">
        <v>0</v>
      </c>
      <c r="G371" s="639">
        <v>1152591094</v>
      </c>
      <c r="H371" s="639">
        <v>1152591094</v>
      </c>
      <c r="I371" s="639">
        <v>0</v>
      </c>
      <c r="J371" s="1292">
        <v>0</v>
      </c>
      <c r="N371" s="216" t="e">
        <f>_xlfn.XLOOKUP(A371,'GL911 VNSC FY24'!Z:Z,'GL911 VNSC FY24'!AB:AB)</f>
        <v>#N/A</v>
      </c>
      <c r="O371" s="216">
        <f t="shared" si="28"/>
        <v>4</v>
      </c>
    </row>
    <row r="372" spans="1:15">
      <c r="A372" s="629" t="s">
        <v>384</v>
      </c>
      <c r="B372" s="1475" t="s">
        <v>381</v>
      </c>
      <c r="C372" s="1476">
        <f t="shared" si="27"/>
        <v>2</v>
      </c>
      <c r="D372" s="630" t="s">
        <v>882</v>
      </c>
      <c r="E372" s="639">
        <v>0</v>
      </c>
      <c r="F372" s="639">
        <v>0</v>
      </c>
      <c r="G372" s="639">
        <v>24199469</v>
      </c>
      <c r="H372" s="639">
        <v>24199469</v>
      </c>
      <c r="I372" s="639">
        <v>0</v>
      </c>
      <c r="J372" s="1292">
        <v>0</v>
      </c>
      <c r="N372" s="216" t="e">
        <f>_xlfn.XLOOKUP(A372,'GL911 VNSC FY24'!Z:Z,'GL911 VNSC FY24'!AB:AB)</f>
        <v>#N/A</v>
      </c>
      <c r="O372" s="216">
        <f t="shared" si="28"/>
        <v>4</v>
      </c>
    </row>
    <row r="373" spans="1:15">
      <c r="A373" s="627" t="s">
        <v>386</v>
      </c>
      <c r="B373" s="1475" t="s">
        <v>383</v>
      </c>
      <c r="C373" s="1476">
        <f t="shared" si="27"/>
        <v>3</v>
      </c>
      <c r="D373" s="628" t="s">
        <v>1825</v>
      </c>
      <c r="E373" s="1296">
        <v>0</v>
      </c>
      <c r="F373" s="1296">
        <v>0</v>
      </c>
      <c r="G373" s="1296">
        <v>9501998739</v>
      </c>
      <c r="H373" s="1296">
        <v>9501998739</v>
      </c>
      <c r="I373" s="1296">
        <v>0</v>
      </c>
      <c r="J373" s="1297">
        <v>0</v>
      </c>
      <c r="N373" s="216" t="e">
        <f>_xlfn.XLOOKUP(A373,'GL911 VNSC FY24'!Z:Z,'GL911 VNSC FY24'!AB:AB)</f>
        <v>#N/A</v>
      </c>
      <c r="O373" s="216">
        <f t="shared" si="28"/>
        <v>4</v>
      </c>
    </row>
    <row r="374" spans="1:15">
      <c r="A374" s="629" t="s">
        <v>839</v>
      </c>
      <c r="B374" s="1475" t="s">
        <v>384</v>
      </c>
      <c r="C374" s="1476">
        <f t="shared" si="27"/>
        <v>636276</v>
      </c>
      <c r="D374" s="630" t="s">
        <v>884</v>
      </c>
      <c r="E374" s="639">
        <v>0</v>
      </c>
      <c r="F374" s="639">
        <v>0</v>
      </c>
      <c r="G374" s="639">
        <v>4454466235</v>
      </c>
      <c r="H374" s="639">
        <v>4454466235</v>
      </c>
      <c r="I374" s="639">
        <v>0</v>
      </c>
      <c r="J374" s="1292">
        <v>0</v>
      </c>
      <c r="N374" s="216" t="e">
        <f>_xlfn.XLOOKUP(A374,'GL911 VNSC FY24'!Z:Z,'GL911 VNSC FY24'!AB:AB)</f>
        <v>#N/A</v>
      </c>
      <c r="O374" s="216">
        <f t="shared" si="28"/>
        <v>6</v>
      </c>
    </row>
    <row r="375" spans="1:15">
      <c r="A375" s="629" t="s">
        <v>843</v>
      </c>
      <c r="B375" s="1474" t="s">
        <v>386</v>
      </c>
      <c r="C375" s="1476">
        <f t="shared" si="27"/>
        <v>636275</v>
      </c>
      <c r="D375" s="630" t="s">
        <v>887</v>
      </c>
      <c r="E375" s="639">
        <v>0</v>
      </c>
      <c r="F375" s="639">
        <v>0</v>
      </c>
      <c r="G375" s="639">
        <v>357750689</v>
      </c>
      <c r="H375" s="639">
        <v>357750689</v>
      </c>
      <c r="I375" s="639">
        <v>0</v>
      </c>
      <c r="J375" s="1292">
        <v>0</v>
      </c>
      <c r="N375" s="216" t="e">
        <f>_xlfn.XLOOKUP(A375,'GL911 VNSC FY24'!Z:Z,'GL911 VNSC FY24'!AB:AB)</f>
        <v>#N/A</v>
      </c>
      <c r="O375" s="216">
        <f t="shared" si="28"/>
        <v>6</v>
      </c>
    </row>
    <row r="376" spans="1:15">
      <c r="A376" s="629" t="s">
        <v>848</v>
      </c>
      <c r="B376" s="1475" t="s">
        <v>839</v>
      </c>
      <c r="C376" s="1476">
        <f t="shared" si="27"/>
        <v>2</v>
      </c>
      <c r="D376" s="630" t="s">
        <v>890</v>
      </c>
      <c r="E376" s="639">
        <v>0</v>
      </c>
      <c r="F376" s="639">
        <v>0</v>
      </c>
      <c r="G376" s="639">
        <v>63807789</v>
      </c>
      <c r="H376" s="639">
        <v>63807789</v>
      </c>
      <c r="I376" s="639">
        <v>0</v>
      </c>
      <c r="J376" s="1292">
        <v>0</v>
      </c>
      <c r="N376" s="216" t="e">
        <f>_xlfn.XLOOKUP(A376,'GL911 VNSC FY24'!Z:Z,'GL911 VNSC FY24'!AB:AB)</f>
        <v>#N/A</v>
      </c>
      <c r="O376" s="216">
        <f t="shared" si="28"/>
        <v>6</v>
      </c>
    </row>
    <row r="377" spans="1:15">
      <c r="A377" s="629" t="s">
        <v>854</v>
      </c>
      <c r="B377" s="1475" t="s">
        <v>843</v>
      </c>
      <c r="C377" s="1476">
        <f t="shared" si="27"/>
        <v>2</v>
      </c>
      <c r="D377" s="630" t="s">
        <v>893</v>
      </c>
      <c r="E377" s="639">
        <v>0</v>
      </c>
      <c r="F377" s="639">
        <v>0</v>
      </c>
      <c r="G377" s="639">
        <v>202610004</v>
      </c>
      <c r="H377" s="639">
        <v>202610004</v>
      </c>
      <c r="I377" s="639">
        <v>0</v>
      </c>
      <c r="J377" s="1292">
        <v>0</v>
      </c>
      <c r="N377" s="216" t="e">
        <f>_xlfn.XLOOKUP(A377,'GL911 VNSC FY24'!Z:Z,'GL911 VNSC FY24'!AB:AB)</f>
        <v>#N/A</v>
      </c>
      <c r="O377" s="216">
        <f t="shared" si="28"/>
        <v>6</v>
      </c>
    </row>
    <row r="378" spans="1:15">
      <c r="A378" s="629" t="s">
        <v>859</v>
      </c>
      <c r="B378" s="1475" t="s">
        <v>848</v>
      </c>
      <c r="C378" s="1476">
        <f t="shared" si="27"/>
        <v>3</v>
      </c>
      <c r="D378" s="630" t="s">
        <v>896</v>
      </c>
      <c r="E378" s="639">
        <v>0</v>
      </c>
      <c r="F378" s="639">
        <v>0</v>
      </c>
      <c r="G378" s="639">
        <v>504765688</v>
      </c>
      <c r="H378" s="639">
        <v>504765688</v>
      </c>
      <c r="I378" s="639">
        <v>0</v>
      </c>
      <c r="J378" s="1292">
        <v>0</v>
      </c>
      <c r="N378" s="216" t="e">
        <f>_xlfn.XLOOKUP(A378,'GL911 VNSC FY24'!Z:Z,'GL911 VNSC FY24'!AB:AB)</f>
        <v>#N/A</v>
      </c>
      <c r="O378" s="216">
        <f t="shared" si="28"/>
        <v>6</v>
      </c>
    </row>
    <row r="379" spans="1:15" ht="25.5">
      <c r="A379" s="629" t="s">
        <v>864</v>
      </c>
      <c r="B379" s="1475" t="s">
        <v>854</v>
      </c>
      <c r="C379" s="1476">
        <f t="shared" si="27"/>
        <v>3</v>
      </c>
      <c r="D379" s="630" t="s">
        <v>899</v>
      </c>
      <c r="E379" s="639">
        <v>0</v>
      </c>
      <c r="F379" s="639">
        <v>0</v>
      </c>
      <c r="G379" s="639">
        <v>774335652</v>
      </c>
      <c r="H379" s="639">
        <v>774335652</v>
      </c>
      <c r="I379" s="639">
        <v>0</v>
      </c>
      <c r="J379" s="1292">
        <v>0</v>
      </c>
      <c r="N379" s="216" t="e">
        <f>_xlfn.XLOOKUP(A379,'GL911 VNSC FY24'!Z:Z,'GL911 VNSC FY24'!AB:AB)</f>
        <v>#N/A</v>
      </c>
      <c r="O379" s="216">
        <f t="shared" si="28"/>
        <v>6</v>
      </c>
    </row>
    <row r="380" spans="1:15">
      <c r="A380" s="629" t="s">
        <v>810</v>
      </c>
      <c r="B380" s="1475" t="s">
        <v>859</v>
      </c>
      <c r="C380" s="1476">
        <f t="shared" si="27"/>
        <v>2</v>
      </c>
      <c r="D380" s="630" t="s">
        <v>902</v>
      </c>
      <c r="E380" s="639">
        <v>0</v>
      </c>
      <c r="F380" s="639">
        <v>0</v>
      </c>
      <c r="G380" s="639">
        <v>664875032</v>
      </c>
      <c r="H380" s="639">
        <v>664875032</v>
      </c>
      <c r="I380" s="639">
        <v>0</v>
      </c>
      <c r="J380" s="1292">
        <v>0</v>
      </c>
      <c r="N380" s="216" t="e">
        <f>_xlfn.XLOOKUP(A380,'GL911 VNSC FY24'!Z:Z,'GL911 VNSC FY24'!AB:AB)</f>
        <v>#N/A</v>
      </c>
      <c r="O380" s="216">
        <f t="shared" si="28"/>
        <v>6</v>
      </c>
    </row>
    <row r="381" spans="1:15">
      <c r="A381" s="629" t="s">
        <v>814</v>
      </c>
      <c r="B381" s="1475" t="s">
        <v>864</v>
      </c>
      <c r="C381" s="1476">
        <f t="shared" si="27"/>
        <v>2</v>
      </c>
      <c r="D381" s="630" t="s">
        <v>905</v>
      </c>
      <c r="E381" s="639">
        <v>0</v>
      </c>
      <c r="F381" s="639">
        <v>0</v>
      </c>
      <c r="G381" s="639">
        <v>99681037</v>
      </c>
      <c r="H381" s="639">
        <v>99681037</v>
      </c>
      <c r="I381" s="639">
        <v>0</v>
      </c>
      <c r="J381" s="1292">
        <v>0</v>
      </c>
      <c r="N381" s="216" t="e">
        <f>_xlfn.XLOOKUP(A381,'GL911 VNSC FY24'!Z:Z,'GL911 VNSC FY24'!AB:AB)</f>
        <v>#N/A</v>
      </c>
      <c r="O381" s="216">
        <f t="shared" si="28"/>
        <v>6</v>
      </c>
    </row>
    <row r="382" spans="1:15" ht="25.5">
      <c r="A382" s="629" t="s">
        <v>819</v>
      </c>
      <c r="B382" s="1475" t="s">
        <v>810</v>
      </c>
      <c r="C382" s="1476">
        <f t="shared" si="27"/>
        <v>2</v>
      </c>
      <c r="D382" s="630" t="s">
        <v>908</v>
      </c>
      <c r="E382" s="639">
        <v>0</v>
      </c>
      <c r="F382" s="639">
        <v>0</v>
      </c>
      <c r="G382" s="639">
        <v>7376556</v>
      </c>
      <c r="H382" s="639">
        <v>7376556</v>
      </c>
      <c r="I382" s="639">
        <v>0</v>
      </c>
      <c r="J382" s="1292">
        <v>0</v>
      </c>
      <c r="N382" s="216" t="e">
        <f>_xlfn.XLOOKUP(A382,'GL911 VNSC FY24'!Z:Z,'GL911 VNSC FY24'!AB:AB)</f>
        <v>#N/A</v>
      </c>
      <c r="O382" s="216">
        <f t="shared" si="28"/>
        <v>6</v>
      </c>
    </row>
    <row r="383" spans="1:15" ht="25.5">
      <c r="A383" s="629" t="s">
        <v>825</v>
      </c>
      <c r="B383" s="1475" t="s">
        <v>814</v>
      </c>
      <c r="C383" s="1476">
        <f t="shared" si="27"/>
        <v>2</v>
      </c>
      <c r="D383" s="630" t="s">
        <v>911</v>
      </c>
      <c r="E383" s="639">
        <v>0</v>
      </c>
      <c r="F383" s="639">
        <v>0</v>
      </c>
      <c r="G383" s="639">
        <v>106919909</v>
      </c>
      <c r="H383" s="639">
        <v>106919909</v>
      </c>
      <c r="I383" s="639">
        <v>0</v>
      </c>
      <c r="J383" s="1292">
        <v>0</v>
      </c>
      <c r="N383" s="216" t="e">
        <f>_xlfn.XLOOKUP(A383,'GL911 VNSC FY24'!Z:Z,'GL911 VNSC FY24'!AB:AB)</f>
        <v>#N/A</v>
      </c>
      <c r="O383" s="216">
        <f t="shared" si="28"/>
        <v>6</v>
      </c>
    </row>
    <row r="384" spans="1:15">
      <c r="A384" s="629" t="s">
        <v>828</v>
      </c>
      <c r="B384" s="1475" t="s">
        <v>819</v>
      </c>
      <c r="C384" s="1476">
        <f t="shared" si="27"/>
        <v>2</v>
      </c>
      <c r="D384" s="630" t="s">
        <v>914</v>
      </c>
      <c r="E384" s="639">
        <v>0</v>
      </c>
      <c r="F384" s="639">
        <v>0</v>
      </c>
      <c r="G384" s="639">
        <v>22724702</v>
      </c>
      <c r="H384" s="639">
        <v>22724702</v>
      </c>
      <c r="I384" s="639">
        <v>0</v>
      </c>
      <c r="J384" s="1292">
        <v>0</v>
      </c>
      <c r="N384" s="216" t="e">
        <f>_xlfn.XLOOKUP(A384,'GL911 VNSC FY24'!Z:Z,'GL911 VNSC FY24'!AB:AB)</f>
        <v>#N/A</v>
      </c>
      <c r="O384" s="216">
        <f t="shared" si="28"/>
        <v>6</v>
      </c>
    </row>
    <row r="385" spans="1:15" ht="25.5">
      <c r="A385" s="1291" t="s">
        <v>1039</v>
      </c>
      <c r="B385" s="1475" t="s">
        <v>825</v>
      </c>
      <c r="C385" s="1476">
        <f t="shared" si="27"/>
        <v>2</v>
      </c>
      <c r="D385" s="637" t="s">
        <v>1040</v>
      </c>
      <c r="E385" s="639">
        <v>0</v>
      </c>
      <c r="F385" s="639">
        <v>0</v>
      </c>
      <c r="G385" s="639">
        <v>929876100</v>
      </c>
      <c r="H385" s="639">
        <v>929876100</v>
      </c>
      <c r="I385" s="639">
        <v>0</v>
      </c>
      <c r="J385" s="1292">
        <v>0</v>
      </c>
      <c r="O385" s="216">
        <f t="shared" si="28"/>
        <v>6</v>
      </c>
    </row>
    <row r="386" spans="1:15">
      <c r="A386" s="1291" t="s">
        <v>1043</v>
      </c>
      <c r="B386" s="1475" t="s">
        <v>828</v>
      </c>
      <c r="C386" s="1476">
        <f t="shared" si="27"/>
        <v>2</v>
      </c>
      <c r="D386" s="637" t="s">
        <v>1044</v>
      </c>
      <c r="E386" s="639">
        <v>0</v>
      </c>
      <c r="F386" s="639">
        <v>0</v>
      </c>
      <c r="G386" s="639">
        <v>208239522</v>
      </c>
      <c r="H386" s="639">
        <v>208239522</v>
      </c>
      <c r="I386" s="639">
        <v>0</v>
      </c>
      <c r="J386" s="1292">
        <v>0</v>
      </c>
      <c r="O386" s="216">
        <f t="shared" si="28"/>
        <v>6</v>
      </c>
    </row>
    <row r="387" spans="1:15">
      <c r="A387" s="1291" t="s">
        <v>1041</v>
      </c>
      <c r="B387" s="1475" t="s">
        <v>1039</v>
      </c>
      <c r="C387" s="1476">
        <f t="shared" si="27"/>
        <v>2</v>
      </c>
      <c r="D387" s="637" t="s">
        <v>1042</v>
      </c>
      <c r="E387" s="639">
        <v>0</v>
      </c>
      <c r="F387" s="639">
        <v>0</v>
      </c>
      <c r="G387" s="639">
        <v>431260084</v>
      </c>
      <c r="H387" s="639">
        <v>431260084</v>
      </c>
      <c r="I387" s="639">
        <v>0</v>
      </c>
      <c r="J387" s="1292">
        <v>0</v>
      </c>
      <c r="O387" s="216">
        <f t="shared" si="28"/>
        <v>6</v>
      </c>
    </row>
    <row r="388" spans="1:15">
      <c r="A388" s="1291" t="s">
        <v>1031</v>
      </c>
      <c r="B388" s="1475" t="s">
        <v>1043</v>
      </c>
      <c r="C388" s="1476">
        <f t="shared" si="27"/>
        <v>2</v>
      </c>
      <c r="D388" s="637" t="s">
        <v>1032</v>
      </c>
      <c r="E388" s="639">
        <v>0</v>
      </c>
      <c r="F388" s="639">
        <v>0</v>
      </c>
      <c r="G388" s="639">
        <v>124851935</v>
      </c>
      <c r="H388" s="639">
        <v>124851935</v>
      </c>
      <c r="I388" s="639">
        <v>0</v>
      </c>
      <c r="J388" s="1292">
        <v>0</v>
      </c>
      <c r="O388" s="216">
        <f t="shared" si="28"/>
        <v>6</v>
      </c>
    </row>
    <row r="389" spans="1:15">
      <c r="A389" s="1291" t="s">
        <v>1037</v>
      </c>
      <c r="B389" s="1475" t="s">
        <v>1041</v>
      </c>
      <c r="C389" s="1476">
        <f t="shared" si="27"/>
        <v>2</v>
      </c>
      <c r="D389" s="637" t="s">
        <v>1038</v>
      </c>
      <c r="E389" s="639">
        <v>0</v>
      </c>
      <c r="F389" s="639">
        <v>0</v>
      </c>
      <c r="G389" s="639">
        <v>116510400</v>
      </c>
      <c r="H389" s="639">
        <v>116510400</v>
      </c>
      <c r="I389" s="639">
        <v>0</v>
      </c>
      <c r="J389" s="1292">
        <v>0</v>
      </c>
      <c r="O389" s="216">
        <f t="shared" si="28"/>
        <v>6</v>
      </c>
    </row>
    <row r="390" spans="1:15" ht="25.5">
      <c r="A390" s="1291" t="s">
        <v>1045</v>
      </c>
      <c r="B390" s="1475" t="s">
        <v>1031</v>
      </c>
      <c r="C390" s="1476">
        <f t="shared" ref="C390:C407" si="31">A390-B390</f>
        <v>2</v>
      </c>
      <c r="D390" s="637" t="s">
        <v>1046</v>
      </c>
      <c r="E390" s="639">
        <v>0</v>
      </c>
      <c r="F390" s="639">
        <v>0</v>
      </c>
      <c r="G390" s="639">
        <v>60686654</v>
      </c>
      <c r="H390" s="639">
        <v>60686654</v>
      </c>
      <c r="I390" s="639">
        <v>0</v>
      </c>
      <c r="J390" s="1292">
        <v>0</v>
      </c>
      <c r="O390" s="216">
        <f t="shared" si="28"/>
        <v>6</v>
      </c>
    </row>
    <row r="391" spans="1:15">
      <c r="A391" s="629" t="s">
        <v>833</v>
      </c>
      <c r="B391" s="1475" t="s">
        <v>1037</v>
      </c>
      <c r="C391" s="1476">
        <f t="shared" si="31"/>
        <v>82</v>
      </c>
      <c r="D391" s="630" t="s">
        <v>917</v>
      </c>
      <c r="E391" s="639">
        <v>0</v>
      </c>
      <c r="F391" s="639">
        <v>0</v>
      </c>
      <c r="G391" s="639">
        <v>371260751</v>
      </c>
      <c r="H391" s="639">
        <v>371260751</v>
      </c>
      <c r="I391" s="639">
        <v>0</v>
      </c>
      <c r="J391" s="1292">
        <v>0</v>
      </c>
      <c r="N391" s="216" t="e">
        <f>_xlfn.XLOOKUP(A391,'GL911 VNSC FY24'!Z:Z,'GL911 VNSC FY24'!AB:AB)</f>
        <v>#N/A</v>
      </c>
      <c r="O391" s="216">
        <f t="shared" si="28"/>
        <v>6</v>
      </c>
    </row>
    <row r="392" spans="1:15">
      <c r="A392" s="1294" t="s">
        <v>434</v>
      </c>
      <c r="B392" s="1475" t="s">
        <v>1045</v>
      </c>
      <c r="C392" s="1476">
        <f t="shared" si="31"/>
        <v>-636290</v>
      </c>
      <c r="D392" s="1295" t="s">
        <v>1830</v>
      </c>
      <c r="E392" s="1296">
        <v>0</v>
      </c>
      <c r="F392" s="1296">
        <v>0</v>
      </c>
      <c r="G392" s="1296">
        <v>708283363</v>
      </c>
      <c r="H392" s="1296">
        <v>708283363</v>
      </c>
      <c r="I392" s="1296">
        <v>0</v>
      </c>
      <c r="J392" s="1297">
        <v>0</v>
      </c>
      <c r="N392" s="216" t="e">
        <f>_xlfn.XLOOKUP(A392,'GL911 VNSC FY24'!Z:Z,'GL911 VNSC FY24'!AB:AB)</f>
        <v>#N/A</v>
      </c>
      <c r="O392" s="216">
        <f t="shared" si="28"/>
        <v>4</v>
      </c>
    </row>
    <row r="393" spans="1:15" ht="25.5">
      <c r="A393" s="1291" t="s">
        <v>1027</v>
      </c>
      <c r="B393" s="1475" t="s">
        <v>833</v>
      </c>
      <c r="C393" s="1476">
        <f t="shared" si="31"/>
        <v>2</v>
      </c>
      <c r="D393" s="637" t="s">
        <v>1028</v>
      </c>
      <c r="E393" s="639">
        <v>0</v>
      </c>
      <c r="F393" s="639">
        <v>0</v>
      </c>
      <c r="G393" s="639">
        <v>14857875</v>
      </c>
      <c r="H393" s="639">
        <v>14857875</v>
      </c>
      <c r="I393" s="639">
        <v>0</v>
      </c>
      <c r="J393" s="1292">
        <v>0</v>
      </c>
      <c r="O393" s="216">
        <f t="shared" ref="O393:O406" si="32">LEN(A393)</f>
        <v>6</v>
      </c>
    </row>
    <row r="394" spans="1:15">
      <c r="A394" s="1291" t="s">
        <v>1033</v>
      </c>
      <c r="B394" s="1474" t="s">
        <v>434</v>
      </c>
      <c r="C394" s="1476">
        <f t="shared" si="31"/>
        <v>636374</v>
      </c>
      <c r="D394" s="637" t="s">
        <v>1034</v>
      </c>
      <c r="E394" s="639">
        <v>0</v>
      </c>
      <c r="F394" s="639">
        <v>0</v>
      </c>
      <c r="G394" s="639">
        <v>63775319</v>
      </c>
      <c r="H394" s="639">
        <v>63775319</v>
      </c>
      <c r="I394" s="639">
        <v>0</v>
      </c>
      <c r="J394" s="1292">
        <v>0</v>
      </c>
      <c r="O394" s="216">
        <f t="shared" si="32"/>
        <v>6</v>
      </c>
    </row>
    <row r="395" spans="1:15" ht="25.5">
      <c r="A395" s="1291" t="s">
        <v>1029</v>
      </c>
      <c r="B395" s="1475" t="s">
        <v>1027</v>
      </c>
      <c r="C395" s="1476">
        <f t="shared" si="31"/>
        <v>2</v>
      </c>
      <c r="D395" s="637" t="s">
        <v>1030</v>
      </c>
      <c r="E395" s="639">
        <v>0</v>
      </c>
      <c r="F395" s="639">
        <v>0</v>
      </c>
      <c r="G395" s="639">
        <v>66837822</v>
      </c>
      <c r="H395" s="639">
        <v>66837822</v>
      </c>
      <c r="I395" s="639">
        <v>0</v>
      </c>
      <c r="J395" s="1292">
        <v>0</v>
      </c>
      <c r="O395" s="216">
        <f t="shared" si="32"/>
        <v>6</v>
      </c>
    </row>
    <row r="396" spans="1:15" ht="25.5">
      <c r="A396" s="1291" t="s">
        <v>1047</v>
      </c>
      <c r="B396" s="1475" t="s">
        <v>1033</v>
      </c>
      <c r="C396" s="1476">
        <f t="shared" si="31"/>
        <v>2</v>
      </c>
      <c r="D396" s="637" t="s">
        <v>1048</v>
      </c>
      <c r="E396" s="639">
        <v>0</v>
      </c>
      <c r="F396" s="639">
        <v>0</v>
      </c>
      <c r="G396" s="639">
        <v>219572419</v>
      </c>
      <c r="H396" s="639">
        <v>219572419</v>
      </c>
      <c r="I396" s="639">
        <v>0</v>
      </c>
      <c r="J396" s="1292">
        <v>0</v>
      </c>
      <c r="O396" s="216">
        <f t="shared" si="32"/>
        <v>6</v>
      </c>
    </row>
    <row r="397" spans="1:15">
      <c r="A397" s="1291" t="s">
        <v>1035</v>
      </c>
      <c r="B397" s="1475" t="s">
        <v>1029</v>
      </c>
      <c r="C397" s="1476">
        <f t="shared" si="31"/>
        <v>2</v>
      </c>
      <c r="D397" s="637" t="s">
        <v>1036</v>
      </c>
      <c r="E397" s="639">
        <v>0</v>
      </c>
      <c r="F397" s="639">
        <v>0</v>
      </c>
      <c r="G397" s="639">
        <v>40605987</v>
      </c>
      <c r="H397" s="639">
        <v>40605987</v>
      </c>
      <c r="I397" s="639">
        <v>0</v>
      </c>
      <c r="J397" s="1292">
        <v>0</v>
      </c>
      <c r="O397" s="216">
        <f t="shared" si="32"/>
        <v>6</v>
      </c>
    </row>
    <row r="398" spans="1:15">
      <c r="A398" s="1291" t="s">
        <v>967</v>
      </c>
      <c r="B398" s="1475" t="s">
        <v>1047</v>
      </c>
      <c r="C398" s="1476">
        <f t="shared" si="31"/>
        <v>95</v>
      </c>
      <c r="D398" s="637" t="s">
        <v>1018</v>
      </c>
      <c r="E398" s="639">
        <v>0</v>
      </c>
      <c r="F398" s="639">
        <v>0</v>
      </c>
      <c r="G398" s="639">
        <v>302633941</v>
      </c>
      <c r="H398" s="639">
        <v>302633941</v>
      </c>
      <c r="I398" s="639">
        <v>0</v>
      </c>
      <c r="J398" s="1292">
        <v>0</v>
      </c>
      <c r="O398" s="216">
        <f t="shared" si="32"/>
        <v>6</v>
      </c>
    </row>
    <row r="399" spans="1:15">
      <c r="A399" s="627" t="s">
        <v>442</v>
      </c>
      <c r="B399" s="1475" t="s">
        <v>1035</v>
      </c>
      <c r="C399" s="1476">
        <f t="shared" si="31"/>
        <v>-642094</v>
      </c>
      <c r="D399" s="628" t="s">
        <v>443</v>
      </c>
      <c r="E399" s="1296">
        <v>0</v>
      </c>
      <c r="F399" s="1296">
        <v>0</v>
      </c>
      <c r="G399" s="1296">
        <v>442278855</v>
      </c>
      <c r="H399" s="1296">
        <v>442278855</v>
      </c>
      <c r="I399" s="1296">
        <v>0</v>
      </c>
      <c r="J399" s="1297">
        <v>0</v>
      </c>
      <c r="N399" s="216" t="e">
        <f>_xlfn.XLOOKUP(A399,'GL911 VNSC FY24'!Z:Z,'GL911 VNSC FY24'!AB:AB)</f>
        <v>#N/A</v>
      </c>
      <c r="O399" s="216">
        <f t="shared" si="32"/>
        <v>3</v>
      </c>
    </row>
    <row r="400" spans="1:15">
      <c r="A400" s="629" t="s">
        <v>1001</v>
      </c>
      <c r="B400" s="1475" t="s">
        <v>967</v>
      </c>
      <c r="C400" s="1476">
        <f t="shared" si="31"/>
        <v>-635785</v>
      </c>
      <c r="D400" s="630" t="s">
        <v>1002</v>
      </c>
      <c r="E400" s="639">
        <v>0</v>
      </c>
      <c r="F400" s="639">
        <v>0</v>
      </c>
      <c r="G400" s="639">
        <v>442278855</v>
      </c>
      <c r="H400" s="639">
        <v>442278855</v>
      </c>
      <c r="I400" s="639">
        <v>0</v>
      </c>
      <c r="J400" s="1292">
        <v>0</v>
      </c>
      <c r="N400" s="216" t="e">
        <f>_xlfn.XLOOKUP(A400,'GL911 VNSC FY24'!Z:Z,'GL911 VNSC FY24'!AB:AB)</f>
        <v>#N/A</v>
      </c>
      <c r="O400" s="216">
        <f t="shared" si="32"/>
        <v>4</v>
      </c>
    </row>
    <row r="401" spans="1:15">
      <c r="A401" s="627" t="s">
        <v>444</v>
      </c>
      <c r="B401" s="1474" t="s">
        <v>442</v>
      </c>
      <c r="C401" s="1476">
        <f t="shared" si="31"/>
        <v>100</v>
      </c>
      <c r="D401" s="628" t="s">
        <v>445</v>
      </c>
      <c r="E401" s="1296">
        <v>0</v>
      </c>
      <c r="F401" s="1296">
        <v>0</v>
      </c>
      <c r="G401" s="1296">
        <v>401358563</v>
      </c>
      <c r="H401" s="1296">
        <v>401358563</v>
      </c>
      <c r="I401" s="1296">
        <v>0</v>
      </c>
      <c r="J401" s="1297">
        <v>0</v>
      </c>
      <c r="N401" s="216" t="e">
        <f>_xlfn.XLOOKUP(A401,'GL911 VNSC FY24'!Z:Z,'GL911 VNSC FY24'!AB:AB)</f>
        <v>#N/A</v>
      </c>
      <c r="O401" s="216">
        <f t="shared" si="32"/>
        <v>3</v>
      </c>
    </row>
    <row r="402" spans="1:15">
      <c r="A402" s="629" t="s">
        <v>930</v>
      </c>
      <c r="B402" s="1475" t="s">
        <v>1001</v>
      </c>
      <c r="C402" s="1476">
        <f t="shared" si="31"/>
        <v>1000</v>
      </c>
      <c r="D402" s="630" t="s">
        <v>932</v>
      </c>
      <c r="E402" s="639">
        <v>0</v>
      </c>
      <c r="F402" s="639">
        <v>0</v>
      </c>
      <c r="G402" s="639">
        <v>401358563</v>
      </c>
      <c r="H402" s="639">
        <v>401358563</v>
      </c>
      <c r="I402" s="639">
        <v>0</v>
      </c>
      <c r="J402" s="1292">
        <v>0</v>
      </c>
      <c r="N402" s="216" t="e">
        <f>_xlfn.XLOOKUP(A402,'GL911 VNSC FY24'!Z:Z,'GL911 VNSC FY24'!AB:AB)</f>
        <v>#N/A</v>
      </c>
      <c r="O402" s="216">
        <f t="shared" si="32"/>
        <v>4</v>
      </c>
    </row>
    <row r="403" spans="1:15">
      <c r="A403" s="627" t="s">
        <v>446</v>
      </c>
      <c r="B403" s="1474" t="s">
        <v>444</v>
      </c>
      <c r="C403" s="1476">
        <f t="shared" si="31"/>
        <v>100</v>
      </c>
      <c r="D403" s="628" t="s">
        <v>447</v>
      </c>
      <c r="E403" s="1296">
        <v>0</v>
      </c>
      <c r="F403" s="1296">
        <v>0</v>
      </c>
      <c r="G403" s="1296">
        <v>79457259043</v>
      </c>
      <c r="H403" s="1296">
        <v>79457259043</v>
      </c>
      <c r="I403" s="1296">
        <v>0</v>
      </c>
      <c r="J403" s="1297">
        <v>0</v>
      </c>
      <c r="N403" s="216" t="e">
        <f>_xlfn.XLOOKUP(A403,'GL911 VNSC FY24'!Z:Z,'GL911 VNSC FY24'!AB:AB)</f>
        <v>#N/A</v>
      </c>
      <c r="O403" s="216">
        <f t="shared" si="32"/>
        <v>3</v>
      </c>
    </row>
    <row r="404" spans="1:15">
      <c r="A404" s="629" t="s">
        <v>769</v>
      </c>
      <c r="B404" s="1475" t="s">
        <v>930</v>
      </c>
      <c r="C404" s="1476">
        <f t="shared" si="31"/>
        <v>997</v>
      </c>
      <c r="D404" s="630" t="s">
        <v>1831</v>
      </c>
      <c r="E404" s="639">
        <v>0</v>
      </c>
      <c r="F404" s="639">
        <v>0</v>
      </c>
      <c r="G404" s="639">
        <v>77720297855</v>
      </c>
      <c r="H404" s="639">
        <v>77720297855</v>
      </c>
      <c r="I404" s="639">
        <v>0</v>
      </c>
      <c r="J404" s="1292">
        <v>0</v>
      </c>
      <c r="N404" s="216" t="e">
        <f>_xlfn.XLOOKUP(A404,'GL911 VNSC FY24'!Z:Z,'GL911 VNSC FY24'!AB:AB)</f>
        <v>#N/A</v>
      </c>
      <c r="O404" s="216">
        <f t="shared" si="32"/>
        <v>4</v>
      </c>
    </row>
    <row r="405" spans="1:15">
      <c r="A405" s="627" t="s">
        <v>1832</v>
      </c>
      <c r="B405" s="1474" t="s">
        <v>446</v>
      </c>
      <c r="C405" s="1476">
        <f t="shared" si="31"/>
        <v>8201</v>
      </c>
      <c r="D405" s="628" t="s">
        <v>1833</v>
      </c>
      <c r="E405" s="1296">
        <v>0</v>
      </c>
      <c r="F405" s="1296">
        <v>0</v>
      </c>
      <c r="G405" s="1296">
        <v>1736961188</v>
      </c>
      <c r="H405" s="1296">
        <v>1736961188</v>
      </c>
      <c r="I405" s="1296">
        <v>0</v>
      </c>
      <c r="J405" s="1297">
        <v>0</v>
      </c>
      <c r="N405" s="216" t="e">
        <f>_xlfn.XLOOKUP(A405,'GL911 VNSC FY24'!Z:Z,'GL911 VNSC FY24'!AB:AB)</f>
        <v>#N/A</v>
      </c>
      <c r="O405" s="216">
        <f t="shared" si="32"/>
        <v>4</v>
      </c>
    </row>
    <row r="406" spans="1:15">
      <c r="A406" s="629" t="s">
        <v>1126</v>
      </c>
      <c r="B406" s="1475" t="s">
        <v>769</v>
      </c>
      <c r="C406" s="1476">
        <f t="shared" si="31"/>
        <v>82011</v>
      </c>
      <c r="D406" s="630" t="s">
        <v>1834</v>
      </c>
      <c r="E406" s="639">
        <v>0</v>
      </c>
      <c r="F406" s="639">
        <v>0</v>
      </c>
      <c r="G406" s="639">
        <v>1736961188</v>
      </c>
      <c r="H406" s="639">
        <v>1736961188</v>
      </c>
      <c r="I406" s="639">
        <v>0</v>
      </c>
      <c r="J406" s="1292">
        <v>0</v>
      </c>
      <c r="N406" s="216" t="e">
        <f>_xlfn.XLOOKUP(A406,'GL911 VNSC FY24'!Z:Z,'GL911 VNSC FY24'!AB:AB)</f>
        <v>#N/A</v>
      </c>
      <c r="O406" s="216">
        <f t="shared" si="32"/>
        <v>5</v>
      </c>
    </row>
    <row r="407" spans="1:15">
      <c r="A407" s="631"/>
      <c r="B407" s="1474" t="s">
        <v>1832</v>
      </c>
      <c r="C407" s="1476">
        <f t="shared" si="31"/>
        <v>-9112</v>
      </c>
      <c r="D407" s="632" t="s">
        <v>1835</v>
      </c>
      <c r="E407" s="633">
        <v>621773274586</v>
      </c>
      <c r="F407" s="633">
        <v>621773274586</v>
      </c>
      <c r="G407" s="633">
        <v>24751801390681</v>
      </c>
      <c r="H407" s="633">
        <v>24751801390681</v>
      </c>
      <c r="I407" s="633">
        <v>727915557917</v>
      </c>
      <c r="J407" s="634">
        <v>727915557917</v>
      </c>
      <c r="K407" s="216" t="s">
        <v>681</v>
      </c>
      <c r="O407" s="216" t="s">
        <v>681</v>
      </c>
    </row>
    <row r="408" spans="1:15">
      <c r="B408" s="1475" t="s">
        <v>1126</v>
      </c>
    </row>
  </sheetData>
  <autoFilter ref="A5:O408" xr:uid="{A64F988E-1C55-480E-9D90-7A6799A93A40}">
    <filterColumn colId="4" showButton="0"/>
    <filterColumn colId="6" showButton="0"/>
    <filterColumn colId="8" showButton="0"/>
  </autoFilter>
  <mergeCells count="3">
    <mergeCell ref="E5:F5"/>
    <mergeCell ref="G5:H5"/>
    <mergeCell ref="I5:J5"/>
  </mergeCells>
  <printOptions horizontalCentered="1"/>
  <pageMargins left="0" right="0" top="0.5899999737739563" bottom="0.5899999737739563" header="0.5" footer="0.5"/>
  <pageSetup paperSize="9"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03C65-E81D-4067-A0A1-BAE0328F3CF0}">
  <sheetPr codeName="Sheet4">
    <tabColor rgb="FF002060"/>
  </sheetPr>
  <dimension ref="A1:X147"/>
  <sheetViews>
    <sheetView showGridLines="0" zoomScale="70" zoomScaleNormal="70" workbookViewId="0">
      <pane xSplit="3" ySplit="6" topLeftCell="M112" activePane="bottomRight" state="frozen"/>
      <selection pane="topRight" activeCell="D1" sqref="D1"/>
      <selection pane="bottomLeft" activeCell="A7" sqref="A7"/>
      <selection pane="bottomRight" activeCell="P137" sqref="P137"/>
    </sheetView>
  </sheetViews>
  <sheetFormatPr defaultColWidth="9.140625" defaultRowHeight="12.75"/>
  <cols>
    <col min="1" max="1" width="9.140625" style="2"/>
    <col min="2" max="2" width="11.5703125" style="2" bestFit="1" customWidth="1"/>
    <col min="3" max="3" width="38.140625" style="2" customWidth="1"/>
    <col min="4" max="4" width="23.42578125" style="2" customWidth="1"/>
    <col min="5" max="5" width="17.42578125" style="2" customWidth="1"/>
    <col min="6" max="6" width="22.85546875" style="2" customWidth="1"/>
    <col min="7" max="7" width="23.85546875" style="2" customWidth="1"/>
    <col min="8" max="8" width="2" style="2" customWidth="1"/>
    <col min="9" max="9" width="23.140625" style="2" customWidth="1"/>
    <col min="10" max="10" width="19.140625" style="2" customWidth="1"/>
    <col min="11" max="11" width="17.140625" style="2" customWidth="1"/>
    <col min="12" max="12" width="27.5703125" style="2" customWidth="1"/>
    <col min="13" max="13" width="9.140625" style="2" customWidth="1"/>
    <col min="14" max="14" width="11.140625" style="2" customWidth="1"/>
    <col min="15" max="15" width="9.140625" style="2" customWidth="1"/>
    <col min="16" max="16" width="24" style="2" customWidth="1"/>
    <col min="17" max="17" width="22.85546875" style="2" customWidth="1"/>
    <col min="18" max="18" width="22.85546875" style="2" bestFit="1" customWidth="1"/>
    <col min="19" max="19" width="6.42578125" style="2" hidden="1" customWidth="1"/>
    <col min="20" max="20" width="23.140625" style="2" hidden="1" customWidth="1"/>
    <col min="21" max="21" width="22.140625" style="2" hidden="1" customWidth="1"/>
    <col min="22" max="22" width="23.140625" style="2" bestFit="1" customWidth="1"/>
    <col min="23" max="23" width="14.85546875" style="2" customWidth="1"/>
    <col min="24" max="24" width="10.85546875" style="2" bestFit="1" customWidth="1"/>
    <col min="25" max="16384" width="9.140625" style="2"/>
  </cols>
  <sheetData>
    <row r="1" spans="1:24">
      <c r="A1" s="1" t="s">
        <v>0</v>
      </c>
      <c r="B1" s="850" t="s">
        <v>1</v>
      </c>
      <c r="C1" s="850"/>
      <c r="D1" s="850"/>
      <c r="E1" s="850"/>
      <c r="F1" s="850"/>
      <c r="G1" s="850"/>
      <c r="H1" s="850"/>
      <c r="I1" s="850"/>
      <c r="J1" s="850"/>
      <c r="K1" s="850"/>
      <c r="L1" s="850"/>
      <c r="M1" s="850"/>
      <c r="N1" s="850"/>
      <c r="O1" s="850"/>
      <c r="P1" s="850"/>
      <c r="Q1" s="850"/>
      <c r="R1" s="850"/>
      <c r="S1" s="850"/>
      <c r="T1" s="850"/>
      <c r="U1" s="850"/>
      <c r="V1" s="850"/>
      <c r="W1" s="850"/>
      <c r="X1" s="850"/>
    </row>
    <row r="2" spans="1:24">
      <c r="A2" s="1" t="s">
        <v>2</v>
      </c>
      <c r="B2" s="852">
        <v>45657</v>
      </c>
      <c r="C2" s="850"/>
      <c r="D2" s="850"/>
      <c r="E2" s="850"/>
      <c r="F2" s="850"/>
      <c r="G2" s="19" t="s">
        <v>1836</v>
      </c>
      <c r="H2" s="850"/>
      <c r="I2" s="850"/>
      <c r="J2" s="850"/>
      <c r="K2" s="850"/>
      <c r="L2" s="19" t="s">
        <v>1836</v>
      </c>
      <c r="M2" s="850"/>
      <c r="N2" s="850"/>
      <c r="O2" s="850"/>
      <c r="P2" s="850"/>
      <c r="Q2" s="850"/>
      <c r="R2" s="19" t="s">
        <v>1837</v>
      </c>
      <c r="S2" s="850"/>
      <c r="T2" s="850"/>
      <c r="U2" s="850"/>
      <c r="V2" s="19" t="s">
        <v>1837</v>
      </c>
      <c r="W2" s="564"/>
      <c r="X2" s="850"/>
    </row>
    <row r="3" spans="1:24" ht="20.25">
      <c r="A3" s="3" t="s">
        <v>1838</v>
      </c>
      <c r="B3" s="850"/>
      <c r="C3" s="850"/>
      <c r="D3" s="850"/>
      <c r="E3" s="850"/>
      <c r="F3" s="850"/>
      <c r="G3" s="36" t="s">
        <v>1839</v>
      </c>
      <c r="H3" s="850"/>
      <c r="I3" s="850"/>
      <c r="J3" s="850"/>
      <c r="K3" s="850"/>
      <c r="L3" s="36" t="s">
        <v>1839</v>
      </c>
      <c r="M3" s="850"/>
      <c r="N3" s="850"/>
      <c r="O3" s="850"/>
      <c r="P3" s="850"/>
      <c r="Q3" s="850"/>
      <c r="R3" s="36" t="s">
        <v>1839</v>
      </c>
      <c r="S3" s="850"/>
      <c r="T3" s="850"/>
      <c r="U3" s="850"/>
      <c r="V3" s="36" t="s">
        <v>1839</v>
      </c>
      <c r="W3" s="564"/>
      <c r="X3" s="850"/>
    </row>
    <row r="4" spans="1:24" ht="13.5" thickBot="1">
      <c r="A4" s="850"/>
      <c r="B4" s="850"/>
      <c r="C4" s="850"/>
      <c r="D4" s="850"/>
      <c r="E4" s="850"/>
      <c r="F4" s="850"/>
      <c r="G4" s="850"/>
      <c r="H4" s="850"/>
      <c r="I4" s="850"/>
      <c r="J4" s="850"/>
      <c r="K4" s="850"/>
      <c r="L4" s="850"/>
      <c r="M4" s="850"/>
      <c r="N4" s="850"/>
      <c r="O4" s="850"/>
      <c r="P4" s="850"/>
      <c r="Q4" s="850"/>
      <c r="R4" s="850"/>
      <c r="S4" s="850"/>
      <c r="T4" s="850"/>
      <c r="U4" s="850"/>
      <c r="V4" s="850"/>
      <c r="W4" s="850"/>
      <c r="X4" s="850"/>
    </row>
    <row r="5" spans="1:24" s="33" customFormat="1" ht="38.25">
      <c r="A5" s="860"/>
      <c r="B5" s="181" t="s">
        <v>1840</v>
      </c>
      <c r="C5" s="40" t="s">
        <v>1841</v>
      </c>
      <c r="D5" s="34" t="s">
        <v>1842</v>
      </c>
      <c r="E5" s="34" t="s">
        <v>1843</v>
      </c>
      <c r="F5" s="109" t="s">
        <v>1844</v>
      </c>
      <c r="G5" s="119" t="s">
        <v>1845</v>
      </c>
      <c r="H5" s="861"/>
      <c r="I5" s="41" t="s">
        <v>1846</v>
      </c>
      <c r="J5" s="42" t="s">
        <v>1847</v>
      </c>
      <c r="K5" s="125" t="s">
        <v>1848</v>
      </c>
      <c r="L5" s="131" t="s">
        <v>1849</v>
      </c>
      <c r="M5" s="860"/>
      <c r="N5" s="35" t="s">
        <v>1850</v>
      </c>
      <c r="O5" s="860"/>
      <c r="P5" s="467" t="s">
        <v>1842</v>
      </c>
      <c r="Q5" s="473" t="s">
        <v>1851</v>
      </c>
      <c r="R5" s="483" t="s">
        <v>1842</v>
      </c>
      <c r="S5" s="862"/>
      <c r="T5" s="468" t="s">
        <v>1852</v>
      </c>
      <c r="U5" s="486" t="s">
        <v>1851</v>
      </c>
      <c r="V5" s="489" t="s">
        <v>1846</v>
      </c>
      <c r="W5" s="860"/>
      <c r="X5" s="494" t="s">
        <v>1853</v>
      </c>
    </row>
    <row r="6" spans="1:24">
      <c r="A6" s="850"/>
      <c r="B6" s="863"/>
      <c r="C6" s="864"/>
      <c r="D6" s="865"/>
      <c r="E6" s="865"/>
      <c r="F6" s="866"/>
      <c r="G6" s="867"/>
      <c r="H6" s="868"/>
      <c r="I6" s="869"/>
      <c r="J6" s="869"/>
      <c r="K6" s="870"/>
      <c r="L6" s="871"/>
      <c r="M6" s="850"/>
      <c r="N6" s="850"/>
      <c r="O6" s="850"/>
      <c r="P6" s="872"/>
      <c r="Q6" s="873"/>
      <c r="R6" s="874"/>
      <c r="S6" s="477"/>
      <c r="T6" s="875"/>
      <c r="U6" s="876"/>
      <c r="V6" s="877"/>
      <c r="W6" s="850"/>
      <c r="X6" s="850"/>
    </row>
    <row r="7" spans="1:24" s="38" customFormat="1">
      <c r="B7" s="55">
        <v>100</v>
      </c>
      <c r="C7" s="56" t="s">
        <v>1854</v>
      </c>
      <c r="D7" s="44">
        <f t="shared" ref="D7:F7" si="0">SUM(D9,D13,D18,D28,D32)</f>
        <v>1343148071069</v>
      </c>
      <c r="E7" s="44">
        <f t="shared" si="0"/>
        <v>36545996</v>
      </c>
      <c r="F7" s="111">
        <f t="shared" si="0"/>
        <v>58832261950</v>
      </c>
      <c r="G7" s="121">
        <f>SUM(G9,G13,G18,G28,G32)</f>
        <v>1402016879015</v>
      </c>
      <c r="H7" s="116"/>
      <c r="I7" s="49">
        <f>SUM(I9,I13,I18,I28,I32)</f>
        <v>1765334875984</v>
      </c>
      <c r="J7" s="49">
        <f t="shared" ref="J7:L7" si="1">SUM(J9,J13,J18,J28,J32)</f>
        <v>-1162078783</v>
      </c>
      <c r="K7" s="127">
        <f t="shared" si="1"/>
        <v>199826863788</v>
      </c>
      <c r="L7" s="133">
        <f t="shared" si="1"/>
        <v>1963999660989</v>
      </c>
      <c r="N7" s="39" t="str">
        <f>IF(OR(L7&lt;&gt;0,G7&lt;&gt;0,G7="",L7=""),"x","")</f>
        <v>x</v>
      </c>
      <c r="P7" s="469">
        <f t="shared" ref="P7:R7" si="2">SUM(P9,P13,P18,P28,P32)</f>
        <v>1706109178671</v>
      </c>
      <c r="Q7" s="474">
        <f t="shared" si="2"/>
        <v>-8471256300</v>
      </c>
      <c r="R7" s="603">
        <f t="shared" si="2"/>
        <v>1697637922371</v>
      </c>
      <c r="S7" s="478"/>
      <c r="T7" s="464">
        <f t="shared" ref="T7:V7" si="3">SUM(T9,T13,T18,T28,T32)</f>
        <v>2229534868220</v>
      </c>
      <c r="U7" s="465">
        <f t="shared" si="3"/>
        <v>-2677115209</v>
      </c>
      <c r="V7" s="604">
        <f t="shared" si="3"/>
        <v>2226857753007</v>
      </c>
      <c r="W7" s="462"/>
      <c r="X7" s="39" t="str">
        <f t="shared" ref="X7:X23" si="4">IF(OR(V7&lt;&gt;0,R7&lt;&gt;0,R7="",V7=""),"x","")</f>
        <v>x</v>
      </c>
    </row>
    <row r="8" spans="1:24">
      <c r="A8" s="850"/>
      <c r="B8" s="863"/>
      <c r="C8" s="864"/>
      <c r="D8" s="865"/>
      <c r="E8" s="865"/>
      <c r="F8" s="866"/>
      <c r="G8" s="867"/>
      <c r="H8" s="868"/>
      <c r="I8" s="869"/>
      <c r="J8" s="869"/>
      <c r="K8" s="870"/>
      <c r="L8" s="871"/>
      <c r="M8" s="850"/>
      <c r="N8" s="19" t="str">
        <f t="shared" ref="N8:N71" si="5">IF(OR(L8&lt;&gt;0,G8&lt;&gt;0,G8="",L8=""),"x","")</f>
        <v>x</v>
      </c>
      <c r="O8" s="850"/>
      <c r="P8" s="872"/>
      <c r="Q8" s="873"/>
      <c r="R8" s="874"/>
      <c r="S8" s="878"/>
      <c r="T8" s="875"/>
      <c r="U8" s="876"/>
      <c r="V8" s="877"/>
      <c r="W8" s="850"/>
      <c r="X8" s="39" t="str">
        <f t="shared" si="4"/>
        <v>x</v>
      </c>
    </row>
    <row r="9" spans="1:24" s="38" customFormat="1">
      <c r="B9" s="55">
        <v>110</v>
      </c>
      <c r="C9" s="56" t="s">
        <v>1855</v>
      </c>
      <c r="D9" s="44">
        <f t="shared" ref="D9:G9" si="6">SUM(D10:D11)</f>
        <v>44116321681</v>
      </c>
      <c r="E9" s="44">
        <f t="shared" si="6"/>
        <v>0</v>
      </c>
      <c r="F9" s="111">
        <f t="shared" si="6"/>
        <v>27670656154</v>
      </c>
      <c r="G9" s="121">
        <f t="shared" si="6"/>
        <v>71786977835</v>
      </c>
      <c r="H9" s="116"/>
      <c r="I9" s="49">
        <f>SUM(I10:I11)</f>
        <v>59110724999</v>
      </c>
      <c r="J9" s="49">
        <f t="shared" ref="J9:L9" si="7">SUM(J10:J11)</f>
        <v>-7</v>
      </c>
      <c r="K9" s="127">
        <f t="shared" si="7"/>
        <v>11846047322</v>
      </c>
      <c r="L9" s="133">
        <f t="shared" si="7"/>
        <v>70956772314</v>
      </c>
      <c r="N9" s="39" t="str">
        <f t="shared" si="5"/>
        <v>x</v>
      </c>
      <c r="P9" s="469">
        <f t="shared" ref="P9:R9" si="8">SUM(P10:P11)</f>
        <v>100718763617</v>
      </c>
      <c r="Q9" s="474">
        <f t="shared" si="8"/>
        <v>0</v>
      </c>
      <c r="R9" s="484">
        <f t="shared" si="8"/>
        <v>100718763617</v>
      </c>
      <c r="S9" s="478"/>
      <c r="T9" s="464">
        <f t="shared" ref="T9:V9" si="9">SUM(T10:T11)</f>
        <v>86374145020</v>
      </c>
      <c r="U9" s="465">
        <f t="shared" si="9"/>
        <v>0</v>
      </c>
      <c r="V9" s="490">
        <f t="shared" si="9"/>
        <v>86374145020</v>
      </c>
      <c r="X9" s="39" t="str">
        <f t="shared" si="4"/>
        <v>x</v>
      </c>
    </row>
    <row r="10" spans="1:24">
      <c r="A10" s="850"/>
      <c r="B10" s="863">
        <v>111</v>
      </c>
      <c r="C10" s="864" t="s">
        <v>1856</v>
      </c>
      <c r="D10" s="879">
        <f>ROUND(SUMIFS('A0.LS'!I:I,'A0.LS'!B:B,'A1.BS'!B10),0)</f>
        <v>44116321681</v>
      </c>
      <c r="E10" s="879">
        <f>ROUND(SUMIFS('A0.LS'!J:J,'A0.LS'!B:B,'A1.BS'!B10),0)</f>
        <v>0</v>
      </c>
      <c r="F10" s="880">
        <f>ROUND(SUMIFS('A0.LS'!K:K,'A0.LS'!B:B,'A1.BS'!B10),0)</f>
        <v>-2329343846</v>
      </c>
      <c r="G10" s="881">
        <f>ROUND(SUM(D10:F10),0)</f>
        <v>41786977835</v>
      </c>
      <c r="H10" s="868"/>
      <c r="I10" s="882">
        <f>ROUND(SUMIFS('A0.LS'!N:N,'A0.LS'!B:B,'A1.BS'!B10),0)</f>
        <v>59110724999</v>
      </c>
      <c r="J10" s="882">
        <f>ROUND(SUMIFS('A0.LS'!O:O,'A0.LS'!B:B,'A1.BS'!B10),0)</f>
        <v>-7</v>
      </c>
      <c r="K10" s="883">
        <f>ROUND(SUMIFS('A0.LS'!P:P,'A0.LS'!B:B,'A1.BS'!B10),0)</f>
        <v>-3163952678</v>
      </c>
      <c r="L10" s="884">
        <f>ROUND(SUM(I10:K10),0)</f>
        <v>55946772314</v>
      </c>
      <c r="M10" s="850"/>
      <c r="N10" s="19" t="str">
        <f t="shared" si="5"/>
        <v>x</v>
      </c>
      <c r="O10" s="850"/>
      <c r="P10" s="885">
        <f>ROUND(SUMIFS('A0.LS'!AV:AV,'A0.LS'!B:B,'A1.BS'!B10),0)</f>
        <v>61961257585</v>
      </c>
      <c r="Q10" s="886">
        <f>ROUND(SUMIFS('A0.LS'!AW:AW,'A0.LS'!B:B,'A1.BS'!B10),0)</f>
        <v>0</v>
      </c>
      <c r="R10" s="887">
        <f>ROUND(SUM(P10:Q10),0)</f>
        <v>61961257585</v>
      </c>
      <c r="S10" s="878"/>
      <c r="T10" s="888">
        <f>ROUND(SUMIFS('A0.LS'!BP:BP,'A0.LS'!B:B,'A1.BS'!B10),0)</f>
        <v>69041490532</v>
      </c>
      <c r="U10" s="889">
        <f>ROUND(SUMIFS('A0.LS'!BQ:BQ,'A0.LS'!B:B,'A1.BS'!B10),0)</f>
        <v>0</v>
      </c>
      <c r="V10" s="890">
        <v>69041490532</v>
      </c>
      <c r="W10" s="850"/>
      <c r="X10" s="39" t="str">
        <f t="shared" si="4"/>
        <v>x</v>
      </c>
    </row>
    <row r="11" spans="1:24">
      <c r="A11" s="850"/>
      <c r="B11" s="863">
        <v>112</v>
      </c>
      <c r="C11" s="864" t="s">
        <v>1857</v>
      </c>
      <c r="D11" s="879">
        <f>ROUND(SUMIFS('A0.LS'!I:I,'A0.LS'!B:B,'A1.BS'!B11),0)</f>
        <v>0</v>
      </c>
      <c r="E11" s="879">
        <f>ROUND(SUMIFS('A0.LS'!J:J,'A0.LS'!B:B,'A1.BS'!B11),0)</f>
        <v>0</v>
      </c>
      <c r="F11" s="880">
        <f>ROUND(SUMIFS('A0.LS'!K:K,'A0.LS'!B:B,'A1.BS'!B11),0)</f>
        <v>30000000000</v>
      </c>
      <c r="G11" s="881">
        <f>ROUND(SUM(D11:F11),0)</f>
        <v>30000000000</v>
      </c>
      <c r="H11" s="868"/>
      <c r="I11" s="882">
        <f>ROUND(SUMIFS('A0.LS'!N:N,'A0.LS'!B:B,'A1.BS'!B11),0)</f>
        <v>0</v>
      </c>
      <c r="J11" s="882">
        <f>ROUND(SUMIFS('A0.LS'!O:O,'A0.LS'!B:B,'A1.BS'!B11),0)</f>
        <v>0</v>
      </c>
      <c r="K11" s="883">
        <f>ROUND(SUMIFS('A0.LS'!P:P,'A0.LS'!B:B,'A1.BS'!B11),0)</f>
        <v>15010000000</v>
      </c>
      <c r="L11" s="884">
        <f>ROUND(SUM(I11:K11),0)</f>
        <v>15010000000</v>
      </c>
      <c r="M11" s="850"/>
      <c r="N11" s="19" t="str">
        <f t="shared" si="5"/>
        <v>x</v>
      </c>
      <c r="O11" s="850"/>
      <c r="P11" s="885">
        <f>ROUND(SUMIFS('A0.LS'!AV:AV,'A0.LS'!B:B,'A1.BS'!B11),0)</f>
        <v>38757506032</v>
      </c>
      <c r="Q11" s="886">
        <f>ROUND(SUMIFS('A0.LS'!AW:AW,'A0.LS'!B:B,'A1.BS'!B11),0)</f>
        <v>0</v>
      </c>
      <c r="R11" s="887">
        <f>ROUND(SUM(P11:Q11),0)</f>
        <v>38757506032</v>
      </c>
      <c r="S11" s="878"/>
      <c r="T11" s="888">
        <f>ROUND(SUMIFS('A0.LS'!BP:BP,'A0.LS'!B:B,'A1.BS'!B11),0)</f>
        <v>17332654488</v>
      </c>
      <c r="U11" s="889">
        <f>ROUND(SUMIFS('A0.LS'!BQ:BQ,'A0.LS'!B:B,'A1.BS'!B11),0)</f>
        <v>0</v>
      </c>
      <c r="V11" s="890">
        <v>17332654488</v>
      </c>
      <c r="W11" s="850"/>
      <c r="X11" s="39" t="str">
        <f t="shared" si="4"/>
        <v>x</v>
      </c>
    </row>
    <row r="12" spans="1:24">
      <c r="A12" s="850"/>
      <c r="B12" s="863"/>
      <c r="C12" s="864"/>
      <c r="D12" s="865"/>
      <c r="E12" s="865"/>
      <c r="F12" s="866"/>
      <c r="G12" s="867"/>
      <c r="H12" s="868"/>
      <c r="I12" s="869"/>
      <c r="J12" s="869"/>
      <c r="K12" s="870"/>
      <c r="L12" s="871"/>
      <c r="M12" s="850"/>
      <c r="N12" s="19" t="str">
        <f t="shared" si="5"/>
        <v>x</v>
      </c>
      <c r="O12" s="850"/>
      <c r="P12" s="872"/>
      <c r="Q12" s="873"/>
      <c r="R12" s="874"/>
      <c r="S12" s="878"/>
      <c r="T12" s="875"/>
      <c r="U12" s="876"/>
      <c r="V12" s="877"/>
      <c r="W12" s="850"/>
      <c r="X12" s="39" t="str">
        <f t="shared" si="4"/>
        <v>x</v>
      </c>
    </row>
    <row r="13" spans="1:24" s="38" customFormat="1">
      <c r="B13" s="55">
        <v>120</v>
      </c>
      <c r="C13" s="56" t="s">
        <v>1858</v>
      </c>
      <c r="D13" s="44">
        <f t="shared" ref="D13:G13" si="10">SUM(D14:D16)</f>
        <v>1258146293460</v>
      </c>
      <c r="E13" s="44">
        <f t="shared" si="10"/>
        <v>0</v>
      </c>
      <c r="F13" s="111">
        <f t="shared" si="10"/>
        <v>33683374538</v>
      </c>
      <c r="G13" s="121">
        <f t="shared" si="10"/>
        <v>1291829667998</v>
      </c>
      <c r="H13" s="116"/>
      <c r="I13" s="49">
        <f>SUM(I14:I16)</f>
        <v>1658284726267</v>
      </c>
      <c r="J13" s="49">
        <f t="shared" ref="J13:L13" si="11">SUM(J14:J16)</f>
        <v>252763435</v>
      </c>
      <c r="K13" s="127">
        <f t="shared" si="11"/>
        <v>173117915663</v>
      </c>
      <c r="L13" s="133">
        <f t="shared" si="11"/>
        <v>1831655405365</v>
      </c>
      <c r="N13" s="39" t="str">
        <f t="shared" si="5"/>
        <v>x</v>
      </c>
      <c r="P13" s="469">
        <f t="shared" ref="P13:R13" si="12">SUM(P14:P16)</f>
        <v>1550961377731</v>
      </c>
      <c r="Q13" s="474">
        <f t="shared" si="12"/>
        <v>-8452255363</v>
      </c>
      <c r="R13" s="484">
        <f t="shared" si="12"/>
        <v>1542509122368</v>
      </c>
      <c r="S13" s="479"/>
      <c r="T13" s="464">
        <f t="shared" ref="T13:U13" si="13">SUM(T14:T16)</f>
        <v>2072818862755</v>
      </c>
      <c r="U13" s="465">
        <f t="shared" si="13"/>
        <v>0</v>
      </c>
      <c r="V13" s="490">
        <f>SUM(V14:V16)</f>
        <v>2072818862755</v>
      </c>
      <c r="X13" s="39" t="str">
        <f t="shared" si="4"/>
        <v>x</v>
      </c>
    </row>
    <row r="14" spans="1:24">
      <c r="A14" s="850"/>
      <c r="B14" s="863">
        <v>121</v>
      </c>
      <c r="C14" s="864" t="s">
        <v>1859</v>
      </c>
      <c r="D14" s="879">
        <f>ROUND(SUMIFS('A0.LS'!I:I,'A0.LS'!B:B,'A1.BS'!B14),0)</f>
        <v>1177891586193</v>
      </c>
      <c r="E14" s="879">
        <f>ROUND(SUMIFS('A0.LS'!J:J,'A0.LS'!B:B,'A1.BS'!B14),0)</f>
        <v>0</v>
      </c>
      <c r="F14" s="880">
        <f>ROUND(SUMIFS('A0.LS'!K:K,'A0.LS'!B:B,'A1.BS'!B14),0)</f>
        <v>-1316625462</v>
      </c>
      <c r="G14" s="881">
        <f t="shared" ref="G14:G15" si="14">ROUND(SUM(D14:F14),0)</f>
        <v>1176574960731</v>
      </c>
      <c r="H14" s="868"/>
      <c r="I14" s="882">
        <f>ROUND(SUMIFS('A0.LS'!N:N,'A0.LS'!B:B,'A1.BS'!B14),0)</f>
        <v>1251646066773</v>
      </c>
      <c r="J14" s="882">
        <f>ROUND(SUMIFS('A0.LS'!O:O,'A0.LS'!B:B,'A1.BS'!B14),0)</f>
        <v>231125435</v>
      </c>
      <c r="K14" s="883">
        <f>ROUND(SUMIFS('A0.LS'!P:P,'A0.LS'!B:B,'A1.BS'!B14),0)</f>
        <v>5490244044</v>
      </c>
      <c r="L14" s="884">
        <f t="shared" ref="L14:L16" si="15">ROUND(SUM(I14:K14),0)</f>
        <v>1257367436252</v>
      </c>
      <c r="M14" s="850"/>
      <c r="N14" s="19" t="str">
        <f t="shared" si="5"/>
        <v>x</v>
      </c>
      <c r="O14" s="850"/>
      <c r="P14" s="885">
        <f>ROUND(SUMIFS('A0.LS'!AV:AV,'A0.LS'!B:B,'A1.BS'!B14),0)</f>
        <v>1325371851871</v>
      </c>
      <c r="Q14" s="886">
        <f>ROUND(SUMIFS('A0.LS'!AW:AW,'A0.LS'!B:B,'A1.BS'!B14),0)</f>
        <v>-3952255363</v>
      </c>
      <c r="R14" s="887">
        <f>ROUND(SUM(P14:Q14),0)</f>
        <v>1321419596508</v>
      </c>
      <c r="S14" s="878"/>
      <c r="T14" s="888">
        <f>ROUND(SUMIFS('A0.LS'!BP:BP,'A0.LS'!B:B,'A1.BS'!B14),0)</f>
        <v>1435638077347</v>
      </c>
      <c r="U14" s="889">
        <f>ROUND(SUMIFS('A0.LS'!BQ:BQ,'A0.LS'!B:B,'A1.BS'!B14),0)</f>
        <v>0</v>
      </c>
      <c r="V14" s="890">
        <v>1435638077347</v>
      </c>
      <c r="W14" s="850"/>
      <c r="X14" s="39" t="str">
        <f t="shared" si="4"/>
        <v>x</v>
      </c>
    </row>
    <row r="15" spans="1:24">
      <c r="A15" s="850"/>
      <c r="B15" s="863">
        <v>122</v>
      </c>
      <c r="C15" s="864" t="s">
        <v>1860</v>
      </c>
      <c r="D15" s="879">
        <f>ROUND(SUMIFS('A0.LS'!I:I,'A0.LS'!B:B,'A1.BS'!B15),0)</f>
        <v>-127484513</v>
      </c>
      <c r="E15" s="879">
        <f>ROUND(SUMIFS('A0.LS'!J:J,'A0.LS'!B:B,'A1.BS'!B15),0)</f>
        <v>0</v>
      </c>
      <c r="F15" s="880">
        <f>ROUND(SUMIFS('A0.LS'!K:K,'A0.LS'!B:B,'A1.BS'!B15),0)</f>
        <v>0</v>
      </c>
      <c r="G15" s="881">
        <f t="shared" si="14"/>
        <v>-127484513</v>
      </c>
      <c r="H15" s="868"/>
      <c r="I15" s="882">
        <f>ROUND(SUMIFS('A0.LS'!N:N,'A0.LS'!B:B,'A1.BS'!B15),0)</f>
        <v>-427113466</v>
      </c>
      <c r="J15" s="882">
        <f>ROUND(SUMIFS('A0.LS'!O:O,'A0.LS'!B:B,'A1.BS'!B15),0)</f>
        <v>0</v>
      </c>
      <c r="K15" s="883">
        <f>ROUND(SUMIFS('A0.LS'!P:P,'A0.LS'!B:B,'A1.BS'!B15),0)</f>
        <v>242740112</v>
      </c>
      <c r="L15" s="884">
        <f t="shared" si="15"/>
        <v>-184373354</v>
      </c>
      <c r="M15" s="850"/>
      <c r="N15" s="19" t="str">
        <f t="shared" si="5"/>
        <v>x</v>
      </c>
      <c r="O15" s="850"/>
      <c r="P15" s="885">
        <f>ROUND(SUMIFS('A0.LS'!AV:AV,'A0.LS'!B:B,'A1.BS'!B15),0)</f>
        <v>-127484513</v>
      </c>
      <c r="Q15" s="886">
        <f>ROUND(SUMIFS('A0.LS'!AW:AW,'A0.LS'!B:B,'A1.BS'!B15),0)</f>
        <v>0</v>
      </c>
      <c r="R15" s="887">
        <f t="shared" ref="R15" si="16">ROUND(SUM(P15:Q15),0)</f>
        <v>-127484513</v>
      </c>
      <c r="S15" s="878"/>
      <c r="T15" s="888">
        <f>ROUND(SUMIFS('A0.LS'!BP:BP,'A0.LS'!B:B,'A1.BS'!B15),0)</f>
        <v>-184373354</v>
      </c>
      <c r="U15" s="889">
        <f>ROUND(SUMIFS('A0.LS'!BQ:BQ,'A0.LS'!B:B,'A1.BS'!B15),0)</f>
        <v>0</v>
      </c>
      <c r="V15" s="890">
        <f>-184373354</f>
        <v>-184373354</v>
      </c>
      <c r="W15" s="850"/>
      <c r="X15" s="39" t="str">
        <f t="shared" si="4"/>
        <v>x</v>
      </c>
    </row>
    <row r="16" spans="1:24">
      <c r="A16" s="850"/>
      <c r="B16" s="863">
        <v>123</v>
      </c>
      <c r="C16" s="864" t="s">
        <v>1861</v>
      </c>
      <c r="D16" s="879">
        <f>ROUND(SUMIFS('A0.LS'!I:I,'A0.LS'!B:B,'A1.BS'!B16),0)</f>
        <v>80382191780</v>
      </c>
      <c r="E16" s="879">
        <f>ROUND(SUMIFS('A0.LS'!J:J,'A0.LS'!B:B,'A1.BS'!B16),0)</f>
        <v>0</v>
      </c>
      <c r="F16" s="880">
        <f>ROUND(SUMIFS('A0.LS'!K:K,'A0.LS'!B:B,'A1.BS'!B16),0)</f>
        <v>35000000000</v>
      </c>
      <c r="G16" s="881">
        <f>ROUND(SUM(D16:F16),0)</f>
        <v>115382191780</v>
      </c>
      <c r="H16" s="868"/>
      <c r="I16" s="882">
        <f>ROUND(SUMIFS('A0.LS'!N:N,'A0.LS'!B:B,'A1.BS'!B16),0)</f>
        <v>407065772960</v>
      </c>
      <c r="J16" s="882">
        <f>ROUND(SUMIFS('A0.LS'!O:O,'A0.LS'!B:B,'A1.BS'!B16),0)</f>
        <v>21638000</v>
      </c>
      <c r="K16" s="883">
        <f>ROUND(SUMIFS('A0.LS'!P:P,'A0.LS'!B:B,'A1.BS'!B16),0)</f>
        <v>167384931507</v>
      </c>
      <c r="L16" s="884">
        <f t="shared" si="15"/>
        <v>574472342467</v>
      </c>
      <c r="M16" s="850"/>
      <c r="N16" s="19" t="str">
        <f t="shared" si="5"/>
        <v>x</v>
      </c>
      <c r="O16" s="850"/>
      <c r="P16" s="885">
        <f>ROUND(SUMIFS('A0.LS'!AV:AV,'A0.LS'!B:B,'A1.BS'!B16),0)</f>
        <v>225717010373</v>
      </c>
      <c r="Q16" s="886">
        <f>ROUND(SUMIFS('A0.LS'!AW:AW,'A0.LS'!B:B,'A1.BS'!B16),0)</f>
        <v>-4500000000</v>
      </c>
      <c r="R16" s="887">
        <f>ROUND(SUM(P16:Q16),0)</f>
        <v>221217010373</v>
      </c>
      <c r="S16" s="878"/>
      <c r="T16" s="888">
        <f>ROUND(SUMIFS('A0.LS'!BP:BP,'A0.LS'!B:B,'A1.BS'!B16),0)</f>
        <v>637365158762</v>
      </c>
      <c r="U16" s="889">
        <f>ROUND(SUMIFS('A0.LS'!BQ:BQ,'A0.LS'!B:B,'A1.BS'!B16),0)</f>
        <v>0</v>
      </c>
      <c r="V16" s="890">
        <v>637365158762</v>
      </c>
      <c r="W16" s="850"/>
      <c r="X16" s="39" t="str">
        <f t="shared" si="4"/>
        <v>x</v>
      </c>
    </row>
    <row r="17" spans="2:24">
      <c r="B17" s="863"/>
      <c r="C17" s="864"/>
      <c r="D17" s="865"/>
      <c r="E17" s="865"/>
      <c r="F17" s="866"/>
      <c r="G17" s="867"/>
      <c r="H17" s="868"/>
      <c r="I17" s="869"/>
      <c r="J17" s="869"/>
      <c r="K17" s="870"/>
      <c r="L17" s="871"/>
      <c r="M17" s="850"/>
      <c r="N17" s="19" t="str">
        <f t="shared" si="5"/>
        <v>x</v>
      </c>
      <c r="O17" s="850"/>
      <c r="P17" s="872"/>
      <c r="Q17" s="873"/>
      <c r="R17" s="874"/>
      <c r="S17" s="878"/>
      <c r="T17" s="875"/>
      <c r="U17" s="876"/>
      <c r="V17" s="877"/>
      <c r="W17" s="850"/>
      <c r="X17" s="39" t="str">
        <f t="shared" si="4"/>
        <v>x</v>
      </c>
    </row>
    <row r="18" spans="2:24" s="38" customFormat="1">
      <c r="B18" s="55">
        <v>130</v>
      </c>
      <c r="C18" s="56" t="s">
        <v>1862</v>
      </c>
      <c r="D18" s="44">
        <f t="shared" ref="D18:G18" si="17">SUM(D19:D26)</f>
        <v>36737821902</v>
      </c>
      <c r="E18" s="44">
        <f t="shared" si="17"/>
        <v>74690366</v>
      </c>
      <c r="F18" s="111">
        <f t="shared" si="17"/>
        <v>-2521768742</v>
      </c>
      <c r="G18" s="121">
        <f t="shared" si="17"/>
        <v>34290743526</v>
      </c>
      <c r="H18" s="116"/>
      <c r="I18" s="49">
        <f>SUM(I19:I26)</f>
        <v>38712341137</v>
      </c>
      <c r="J18" s="49">
        <f t="shared" ref="J18:L18" si="18">SUM(J19:J26)</f>
        <v>-42720446</v>
      </c>
      <c r="K18" s="127">
        <f t="shared" si="18"/>
        <v>15472671080</v>
      </c>
      <c r="L18" s="133">
        <f t="shared" si="18"/>
        <v>54142291771</v>
      </c>
      <c r="N18" s="39" t="str">
        <f t="shared" si="5"/>
        <v>x</v>
      </c>
      <c r="P18" s="469">
        <f t="shared" ref="P18:Q18" si="19">SUM(P19:P26)</f>
        <v>46682931694</v>
      </c>
      <c r="Q18" s="474">
        <f t="shared" si="19"/>
        <v>-19000937</v>
      </c>
      <c r="R18" s="484">
        <f>SUM(R19:R26)</f>
        <v>46663930757</v>
      </c>
      <c r="S18" s="479"/>
      <c r="T18" s="464">
        <f t="shared" ref="T18:V18" si="20">SUM(T19:T26)</f>
        <v>56132647220</v>
      </c>
      <c r="U18" s="465">
        <f t="shared" si="20"/>
        <v>-2677115209</v>
      </c>
      <c r="V18" s="490">
        <f t="shared" si="20"/>
        <v>53455532007</v>
      </c>
      <c r="X18" s="39" t="str">
        <f t="shared" si="4"/>
        <v>x</v>
      </c>
    </row>
    <row r="19" spans="2:24">
      <c r="B19" s="863">
        <v>131</v>
      </c>
      <c r="C19" s="864" t="s">
        <v>1863</v>
      </c>
      <c r="D19" s="879">
        <f>ROUND(SUMIFS('A0.LS'!I:I,'A0.LS'!B:B,'A1.BS'!B19),0)</f>
        <v>201848975</v>
      </c>
      <c r="E19" s="879">
        <f>ROUND(SUMIFS('A0.LS'!J:J,'A0.LS'!B:B,'A1.BS'!B19),0)</f>
        <v>55998689</v>
      </c>
      <c r="F19" s="880">
        <f>ROUND(SUMIFS('A0.LS'!K:K,'A0.LS'!B:B,'A1.BS'!B19),0)</f>
        <v>0</v>
      </c>
      <c r="G19" s="881">
        <f t="shared" ref="G19:G26" si="21">ROUND(SUM(D19:F19),0)</f>
        <v>257847664</v>
      </c>
      <c r="H19" s="868"/>
      <c r="I19" s="882">
        <f>ROUND(SUMIFS('A0.LS'!N:N,'A0.LS'!B:B,'A1.BS'!B19),0)</f>
        <v>56978048</v>
      </c>
      <c r="J19" s="882">
        <f>ROUND(SUMIFS('A0.LS'!O:O,'A0.LS'!B:B,'A1.BS'!B19),0)</f>
        <v>0</v>
      </c>
      <c r="K19" s="883">
        <f>ROUND(SUMIFS('A0.LS'!P:P,'A0.LS'!B:B,'A1.BS'!B19),0)</f>
        <v>0</v>
      </c>
      <c r="L19" s="884">
        <f t="shared" ref="L19:L26" si="22">ROUND(SUM(I19:K19),0)</f>
        <v>56978048</v>
      </c>
      <c r="M19" s="850"/>
      <c r="N19" s="19" t="str">
        <f t="shared" si="5"/>
        <v>x</v>
      </c>
      <c r="O19" s="850"/>
      <c r="P19" s="885">
        <f>ROUND(SUMIFS('A0.LS'!AV:AV,'A0.LS'!B:B,'A1.BS'!B19),0)</f>
        <v>2085847664</v>
      </c>
      <c r="Q19" s="886">
        <f>ROUND(SUMIFS('A0.LS'!AW:AW,'A0.LS'!B:B,'A1.BS'!B19),0)</f>
        <v>0</v>
      </c>
      <c r="R19" s="887">
        <f t="shared" ref="R19:R26" si="23">ROUND(SUM(P19:Q19),0)</f>
        <v>2085847664</v>
      </c>
      <c r="S19" s="878"/>
      <c r="T19" s="888">
        <f>ROUND(SUMIFS('A0.LS'!BP:BP,'A0.LS'!B:B,'A1.BS'!B19),0)</f>
        <v>999420431</v>
      </c>
      <c r="U19" s="889">
        <f>ROUND(SUMIFS('A0.LS'!BQ:BQ,'A0.LS'!B:B,'A1.BS'!B19),0)</f>
        <v>0</v>
      </c>
      <c r="V19" s="890">
        <v>999420431</v>
      </c>
      <c r="W19" s="850"/>
      <c r="X19" s="39" t="str">
        <f t="shared" si="4"/>
        <v>x</v>
      </c>
    </row>
    <row r="20" spans="2:24">
      <c r="B20" s="863">
        <v>132</v>
      </c>
      <c r="C20" s="864" t="s">
        <v>1864</v>
      </c>
      <c r="D20" s="879">
        <f>ROUND(SUMIFS('A0.LS'!I:I,'A0.LS'!B:B,'A1.BS'!B20),0)</f>
        <v>96677660</v>
      </c>
      <c r="E20" s="879">
        <f>ROUND(SUMIFS('A0.LS'!J:J,'A0.LS'!B:B,'A1.BS'!B20),0)</f>
        <v>0</v>
      </c>
      <c r="F20" s="880">
        <f>ROUND(SUMIFS('A0.LS'!K:K,'A0.LS'!B:B,'A1.BS'!B20),0)</f>
        <v>0</v>
      </c>
      <c r="G20" s="881">
        <f t="shared" si="21"/>
        <v>96677660</v>
      </c>
      <c r="H20" s="868"/>
      <c r="I20" s="882">
        <f>ROUND(SUMIFS('A0.LS'!N:N,'A0.LS'!B:B,'A1.BS'!B20),0)</f>
        <v>27179765</v>
      </c>
      <c r="J20" s="882">
        <f>ROUND(SUMIFS('A0.LS'!O:O,'A0.LS'!B:B,'A1.BS'!B20),0)</f>
        <v>0</v>
      </c>
      <c r="K20" s="883">
        <f>ROUND(SUMIFS('A0.LS'!P:P,'A0.LS'!B:B,'A1.BS'!B20),0)</f>
        <v>0</v>
      </c>
      <c r="L20" s="884">
        <f t="shared" si="22"/>
        <v>27179765</v>
      </c>
      <c r="M20" s="850"/>
      <c r="N20" s="19" t="str">
        <f t="shared" si="5"/>
        <v>x</v>
      </c>
      <c r="O20" s="850"/>
      <c r="P20" s="885">
        <f>ROUND(SUMIFS('A0.LS'!AV:AV,'A0.LS'!B:B,'A1.BS'!B20),0)</f>
        <v>96677660</v>
      </c>
      <c r="Q20" s="886">
        <f>ROUND(SUMIFS('A0.LS'!AW:AW,'A0.LS'!B:B,'A1.BS'!B20),0)</f>
        <v>0</v>
      </c>
      <c r="R20" s="887">
        <f t="shared" si="23"/>
        <v>96677660</v>
      </c>
      <c r="S20" s="878"/>
      <c r="T20" s="888">
        <f>ROUND(SUMIFS('A0.LS'!BP:BP,'A0.LS'!B:B,'A1.BS'!B20),0)</f>
        <v>28829765</v>
      </c>
      <c r="U20" s="889">
        <f>ROUND(SUMIFS('A0.LS'!BQ:BQ,'A0.LS'!B:B,'A1.BS'!B20),0)</f>
        <v>0</v>
      </c>
      <c r="V20" s="890">
        <v>28829765</v>
      </c>
      <c r="W20" s="850"/>
      <c r="X20" s="39" t="str">
        <f t="shared" si="4"/>
        <v>x</v>
      </c>
    </row>
    <row r="21" spans="2:24">
      <c r="B21" s="863">
        <v>133</v>
      </c>
      <c r="C21" s="864" t="s">
        <v>1865</v>
      </c>
      <c r="D21" s="879">
        <f>ROUND(SUMIFS('A0.LS'!I:I,'A0.LS'!B:B,'A1.BS'!B21),0)</f>
        <v>0</v>
      </c>
      <c r="E21" s="879">
        <f>ROUND(SUMIFS('A0.LS'!J:J,'A0.LS'!B:B,'A1.BS'!B21),0)</f>
        <v>0</v>
      </c>
      <c r="F21" s="880">
        <f>ROUND(SUMIFS('A0.LS'!K:K,'A0.LS'!B:B,'A1.BS'!B21),0)</f>
        <v>0</v>
      </c>
      <c r="G21" s="881">
        <f t="shared" si="21"/>
        <v>0</v>
      </c>
      <c r="H21" s="868"/>
      <c r="I21" s="882">
        <f>ROUND(SUMIFS('A0.LS'!N:N,'A0.LS'!B:B,'A1.BS'!B21),0)</f>
        <v>0</v>
      </c>
      <c r="J21" s="882">
        <f>ROUND(SUMIFS('A0.LS'!O:O,'A0.LS'!B:B,'A1.BS'!B21),0)</f>
        <v>0</v>
      </c>
      <c r="K21" s="883">
        <f>ROUND(SUMIFS('A0.LS'!P:P,'A0.LS'!B:B,'A1.BS'!B21),0)</f>
        <v>0</v>
      </c>
      <c r="L21" s="884">
        <f t="shared" si="22"/>
        <v>0</v>
      </c>
      <c r="M21" s="850"/>
      <c r="N21" s="19" t="str">
        <f t="shared" si="5"/>
        <v/>
      </c>
      <c r="O21" s="850"/>
      <c r="P21" s="885">
        <f>ROUND(SUMIFS('A0.LS'!AV:AV,'A0.LS'!B:B,'A1.BS'!B21),0)</f>
        <v>0</v>
      </c>
      <c r="Q21" s="886">
        <f>ROUND(SUMIFS('A0.LS'!AW:AW,'A0.LS'!B:B,'A1.BS'!B21),0)</f>
        <v>0</v>
      </c>
      <c r="R21" s="887">
        <f t="shared" si="23"/>
        <v>0</v>
      </c>
      <c r="S21" s="878"/>
      <c r="T21" s="888">
        <f>ROUND(SUMIFS('A0.LS'!BP:BP,'A0.LS'!B:B,'A1.BS'!B21),0)</f>
        <v>0</v>
      </c>
      <c r="U21" s="889">
        <f>ROUND(SUMIFS('A0.LS'!BQ:BQ,'A0.LS'!B:B,'A1.BS'!B21),0)</f>
        <v>0</v>
      </c>
      <c r="V21" s="890">
        <f t="shared" ref="V21:V26" si="24">ROUND(SUM(T21:U21),0)</f>
        <v>0</v>
      </c>
      <c r="W21" s="850"/>
      <c r="X21" s="39" t="str">
        <f t="shared" si="4"/>
        <v/>
      </c>
    </row>
    <row r="22" spans="2:24">
      <c r="B22" s="863">
        <v>134</v>
      </c>
      <c r="C22" s="864" t="s">
        <v>1866</v>
      </c>
      <c r="D22" s="879">
        <f>ROUND(SUMIFS('A0.LS'!I:I,'A0.LS'!B:B,'A1.BS'!B22),0)</f>
        <v>0</v>
      </c>
      <c r="E22" s="879">
        <f>ROUND(SUMIFS('A0.LS'!J:J,'A0.LS'!B:B,'A1.BS'!B22),0)</f>
        <v>0</v>
      </c>
      <c r="F22" s="880">
        <f>ROUND(SUMIFS('A0.LS'!K:K,'A0.LS'!B:B,'A1.BS'!B22),0)</f>
        <v>0</v>
      </c>
      <c r="G22" s="881">
        <f t="shared" si="21"/>
        <v>0</v>
      </c>
      <c r="H22" s="868"/>
      <c r="I22" s="882">
        <f>ROUND(SUMIFS('A0.LS'!N:N,'A0.LS'!B:B,'A1.BS'!B22),0)</f>
        <v>0</v>
      </c>
      <c r="J22" s="882">
        <f>ROUND(SUMIFS('A0.LS'!O:O,'A0.LS'!B:B,'A1.BS'!B22),0)</f>
        <v>0</v>
      </c>
      <c r="K22" s="883">
        <f>ROUND(SUMIFS('A0.LS'!P:P,'A0.LS'!B:B,'A1.BS'!B22),0)</f>
        <v>0</v>
      </c>
      <c r="L22" s="884">
        <f t="shared" si="22"/>
        <v>0</v>
      </c>
      <c r="M22" s="850"/>
      <c r="N22" s="19" t="str">
        <f t="shared" si="5"/>
        <v/>
      </c>
      <c r="O22" s="850"/>
      <c r="P22" s="885">
        <f>ROUND(SUMIFS('A0.LS'!AV:AV,'A0.LS'!B:B,'A1.BS'!B22),0)</f>
        <v>0</v>
      </c>
      <c r="Q22" s="886">
        <f>ROUND(SUMIFS('A0.LS'!AW:AW,'A0.LS'!B:B,'A1.BS'!B22),0)</f>
        <v>0</v>
      </c>
      <c r="R22" s="887">
        <f t="shared" si="23"/>
        <v>0</v>
      </c>
      <c r="S22" s="878"/>
      <c r="T22" s="888">
        <f>ROUND(SUMIFS('A0.LS'!BP:BP,'A0.LS'!B:B,'A1.BS'!B22),0)</f>
        <v>0</v>
      </c>
      <c r="U22" s="889">
        <f>ROUND(SUMIFS('A0.LS'!BQ:BQ,'A0.LS'!B:B,'A1.BS'!B22),0)</f>
        <v>0</v>
      </c>
      <c r="V22" s="890">
        <f t="shared" si="24"/>
        <v>0</v>
      </c>
      <c r="W22" s="850"/>
      <c r="X22" s="39" t="str">
        <f t="shared" si="4"/>
        <v/>
      </c>
    </row>
    <row r="23" spans="2:24">
      <c r="B23" s="863">
        <v>135</v>
      </c>
      <c r="C23" s="864" t="s">
        <v>1867</v>
      </c>
      <c r="D23" s="879">
        <f>ROUND(SUMIFS('A0.LS'!I:I,'A0.LS'!B:B,'A1.BS'!B23),0)</f>
        <v>0</v>
      </c>
      <c r="E23" s="879">
        <f>ROUND(SUMIFS('A0.LS'!J:J,'A0.LS'!B:B,'A1.BS'!B23),0)</f>
        <v>0</v>
      </c>
      <c r="F23" s="880">
        <f>ROUND(SUMIFS('A0.LS'!K:K,'A0.LS'!B:B,'A1.BS'!B23),0)</f>
        <v>0</v>
      </c>
      <c r="G23" s="881">
        <f t="shared" si="21"/>
        <v>0</v>
      </c>
      <c r="H23" s="868"/>
      <c r="I23" s="882">
        <f>ROUND(SUMIFS('A0.LS'!N:N,'A0.LS'!B:B,'A1.BS'!B23),0)</f>
        <v>0</v>
      </c>
      <c r="J23" s="882">
        <f>ROUND(SUMIFS('A0.LS'!O:O,'A0.LS'!B:B,'A1.BS'!B23),0)</f>
        <v>0</v>
      </c>
      <c r="K23" s="883">
        <f>ROUND(SUMIFS('A0.LS'!P:P,'A0.LS'!B:B,'A1.BS'!B23),0)</f>
        <v>0</v>
      </c>
      <c r="L23" s="884">
        <f t="shared" si="22"/>
        <v>0</v>
      </c>
      <c r="M23" s="850"/>
      <c r="N23" s="19" t="str">
        <f t="shared" si="5"/>
        <v/>
      </c>
      <c r="O23" s="850"/>
      <c r="P23" s="885">
        <f>ROUND(SUMIFS('A0.LS'!AV:AV,'A0.LS'!B:B,'A1.BS'!B23),0)</f>
        <v>0</v>
      </c>
      <c r="Q23" s="886">
        <f>ROUND(SUMIFS('A0.LS'!AW:AW,'A0.LS'!B:B,'A1.BS'!B23),0)</f>
        <v>0</v>
      </c>
      <c r="R23" s="887">
        <f t="shared" si="23"/>
        <v>0</v>
      </c>
      <c r="S23" s="878"/>
      <c r="T23" s="888">
        <f>ROUND(SUMIFS('A0.LS'!BP:BP,'A0.LS'!B:B,'A1.BS'!B23),0)</f>
        <v>0</v>
      </c>
      <c r="U23" s="889">
        <f>ROUND(SUMIFS('A0.LS'!BQ:BQ,'A0.LS'!B:B,'A1.BS'!B23),0)</f>
        <v>0</v>
      </c>
      <c r="V23" s="890">
        <f t="shared" si="24"/>
        <v>0</v>
      </c>
      <c r="W23" s="850"/>
      <c r="X23" s="39" t="str">
        <f t="shared" si="4"/>
        <v/>
      </c>
    </row>
    <row r="24" spans="2:24">
      <c r="B24" s="863">
        <v>136</v>
      </c>
      <c r="C24" s="864" t="s">
        <v>1868</v>
      </c>
      <c r="D24" s="879">
        <f>ROUND(SUMIFS('A0.LS'!I:I,'A0.LS'!B:B,'A1.BS'!B24),0)</f>
        <v>36439295267</v>
      </c>
      <c r="E24" s="879">
        <f>ROUND(SUMIFS('A0.LS'!J:J,'A0.LS'!B:B,'A1.BS'!B24),0)</f>
        <v>18691677</v>
      </c>
      <c r="F24" s="880">
        <f>ROUND(SUMIFS('A0.LS'!K:K,'A0.LS'!B:B,'A1.BS'!B24),0)</f>
        <v>-2521768742</v>
      </c>
      <c r="G24" s="359">
        <f>ROUND(SUM(D24:F24),0)</f>
        <v>33936218202</v>
      </c>
      <c r="H24" s="868"/>
      <c r="I24" s="882">
        <f>ROUND(SUMIFS('A0.LS'!N:N,'A0.LS'!B:B,'A1.BS'!B24),0)</f>
        <v>38628183324</v>
      </c>
      <c r="J24" s="882">
        <f>ROUND(SUMIFS('A0.LS'!O:O,'A0.LS'!B:B,'A1.BS'!B24),0)</f>
        <v>-42720446</v>
      </c>
      <c r="K24" s="883">
        <f>ROUND(SUMIFS('A0.LS'!P:P,'A0.LS'!B:B,'A1.BS'!B24),0)</f>
        <v>15472671080</v>
      </c>
      <c r="L24" s="884">
        <f t="shared" si="22"/>
        <v>54058133958</v>
      </c>
      <c r="M24" s="850"/>
      <c r="N24" s="19" t="str">
        <f t="shared" si="5"/>
        <v>x</v>
      </c>
      <c r="O24" s="850"/>
      <c r="P24" s="885">
        <f>ROUND(SUMIFS('A0.LS'!AV:AV,'A0.LS'!B:B,'A1.BS'!B24),0)</f>
        <v>44500406370</v>
      </c>
      <c r="Q24" s="886">
        <f>ROUND(SUMIFS('A0.LS'!AW:AW,'A0.LS'!B:B,'A1.BS'!B24),0)</f>
        <v>-19000937</v>
      </c>
      <c r="R24" s="887">
        <f t="shared" si="23"/>
        <v>44481405433</v>
      </c>
      <c r="S24" s="878"/>
      <c r="T24" s="888">
        <f>ROUND(SUMIFS('A0.LS'!BP:BP,'A0.LS'!B:B,'A1.BS'!B24),0)</f>
        <v>55104397024</v>
      </c>
      <c r="U24" s="889">
        <f>ROUND(SUMIFS('A0.LS'!BQ:BQ,'A0.LS'!B:B,'A1.BS'!B24),0)</f>
        <v>-2677115209</v>
      </c>
      <c r="V24" s="890">
        <v>52427281811</v>
      </c>
      <c r="W24" s="850"/>
      <c r="X24" s="39" t="str">
        <f>IF(OR(V24&lt;&gt;0,R24&lt;&gt;0,R24="",V24=""),"x","")</f>
        <v>x</v>
      </c>
    </row>
    <row r="25" spans="2:24">
      <c r="B25" s="863">
        <v>137</v>
      </c>
      <c r="C25" s="864" t="s">
        <v>1869</v>
      </c>
      <c r="D25" s="879">
        <f>ROUND(SUMIFS('A0.LS'!I:I,'A0.LS'!B:B,'A1.BS'!B25),0)</f>
        <v>0</v>
      </c>
      <c r="E25" s="879">
        <f>ROUND(SUMIFS('A0.LS'!J:J,'A0.LS'!B:B,'A1.BS'!B25),0)</f>
        <v>0</v>
      </c>
      <c r="F25" s="880">
        <f>ROUND(SUMIFS('A0.LS'!K:K,'A0.LS'!B:B,'A1.BS'!B25),0)</f>
        <v>0</v>
      </c>
      <c r="G25" s="881">
        <f t="shared" si="21"/>
        <v>0</v>
      </c>
      <c r="H25" s="868"/>
      <c r="I25" s="882">
        <f>ROUND(SUMIFS('A0.LS'!N:N,'A0.LS'!B:B,'A1.BS'!B25),0)</f>
        <v>0</v>
      </c>
      <c r="J25" s="882">
        <f>ROUND(SUMIFS('A0.LS'!O:O,'A0.LS'!B:B,'A1.BS'!B25),0)</f>
        <v>0</v>
      </c>
      <c r="K25" s="883">
        <f>ROUND(SUMIFS('A0.LS'!P:P,'A0.LS'!B:B,'A1.BS'!B25),0)</f>
        <v>0</v>
      </c>
      <c r="L25" s="884">
        <f t="shared" si="22"/>
        <v>0</v>
      </c>
      <c r="M25" s="850"/>
      <c r="N25" s="19" t="str">
        <f t="shared" si="5"/>
        <v/>
      </c>
      <c r="O25" s="850"/>
      <c r="P25" s="885">
        <f>ROUND(SUMIFS('A0.LS'!AV:AV,'A0.LS'!B:B,'A1.BS'!B25),0)</f>
        <v>0</v>
      </c>
      <c r="Q25" s="886">
        <f>ROUND(SUMIFS('A0.LS'!AW:AW,'A0.LS'!B:B,'A1.BS'!B25),0)</f>
        <v>0</v>
      </c>
      <c r="R25" s="887">
        <f t="shared" si="23"/>
        <v>0</v>
      </c>
      <c r="S25" s="878"/>
      <c r="T25" s="888">
        <f>ROUND(SUMIFS('A0.LS'!BP:BP,'A0.LS'!B:B,'A1.BS'!B25),0)</f>
        <v>0</v>
      </c>
      <c r="U25" s="889">
        <f>ROUND(SUMIFS('A0.LS'!BQ:BQ,'A0.LS'!B:B,'A1.BS'!B25),0)</f>
        <v>0</v>
      </c>
      <c r="V25" s="890">
        <f t="shared" si="24"/>
        <v>0</v>
      </c>
      <c r="W25" s="850"/>
      <c r="X25" s="39" t="str">
        <f t="shared" ref="X25:X26" si="25">IF(OR(V25&lt;&gt;0,R25&lt;&gt;0,R25="",V25=""),"x","")</f>
        <v/>
      </c>
    </row>
    <row r="26" spans="2:24">
      <c r="B26" s="863">
        <v>139</v>
      </c>
      <c r="C26" s="864" t="s">
        <v>1870</v>
      </c>
      <c r="D26" s="879">
        <f>ROUND(SUMIFS('A0.LS'!I:I,'A0.LS'!B:B,'A1.BS'!B26),0)</f>
        <v>0</v>
      </c>
      <c r="E26" s="879">
        <f>ROUND(SUMIFS('A0.LS'!J:J,'A0.LS'!B:B,'A1.BS'!B26),0)</f>
        <v>0</v>
      </c>
      <c r="F26" s="880">
        <f>ROUND(SUMIFS('A0.LS'!K:K,'A0.LS'!B:B,'A1.BS'!B26),0)</f>
        <v>0</v>
      </c>
      <c r="G26" s="881">
        <f t="shared" si="21"/>
        <v>0</v>
      </c>
      <c r="H26" s="868"/>
      <c r="I26" s="882">
        <f>ROUND(SUMIFS('A0.LS'!N:N,'A0.LS'!B:B,'A1.BS'!B26),0)</f>
        <v>0</v>
      </c>
      <c r="J26" s="882">
        <f>ROUND(SUMIFS('A0.LS'!O:O,'A0.LS'!B:B,'A1.BS'!B26),0)</f>
        <v>0</v>
      </c>
      <c r="K26" s="883">
        <f>ROUND(SUMIFS('A0.LS'!P:P,'A0.LS'!B:B,'A1.BS'!B26),0)</f>
        <v>0</v>
      </c>
      <c r="L26" s="884">
        <f t="shared" si="22"/>
        <v>0</v>
      </c>
      <c r="M26" s="850"/>
      <c r="N26" s="19" t="str">
        <f t="shared" si="5"/>
        <v/>
      </c>
      <c r="O26" s="850"/>
      <c r="P26" s="885">
        <f>ROUND(SUMIFS('A0.LS'!AV:AV,'A0.LS'!B:B,'A1.BS'!B26),0)</f>
        <v>0</v>
      </c>
      <c r="Q26" s="886">
        <f>ROUND(SUMIFS('A0.LS'!AW:AW,'A0.LS'!B:B,'A1.BS'!B26),0)</f>
        <v>0</v>
      </c>
      <c r="R26" s="887">
        <f t="shared" si="23"/>
        <v>0</v>
      </c>
      <c r="S26" s="878"/>
      <c r="T26" s="888">
        <f>ROUND(SUMIFS('A0.LS'!BP:BP,'A0.LS'!B:B,'A1.BS'!B26),0)</f>
        <v>0</v>
      </c>
      <c r="U26" s="889">
        <f>ROUND(SUMIFS('A0.LS'!BQ:BQ,'A0.LS'!B:B,'A1.BS'!B26),0)</f>
        <v>0</v>
      </c>
      <c r="V26" s="890">
        <f t="shared" si="24"/>
        <v>0</v>
      </c>
      <c r="W26" s="850"/>
      <c r="X26" s="39" t="str">
        <f t="shared" si="25"/>
        <v/>
      </c>
    </row>
    <row r="27" spans="2:24">
      <c r="B27" s="863"/>
      <c r="C27" s="864"/>
      <c r="D27" s="865"/>
      <c r="E27" s="865"/>
      <c r="F27" s="866"/>
      <c r="G27" s="867"/>
      <c r="H27" s="868"/>
      <c r="I27" s="869"/>
      <c r="J27" s="869"/>
      <c r="K27" s="870"/>
      <c r="L27" s="871"/>
      <c r="M27" s="850"/>
      <c r="N27" s="19" t="s">
        <v>681</v>
      </c>
      <c r="O27" s="850"/>
      <c r="P27" s="872"/>
      <c r="Q27" s="873"/>
      <c r="R27" s="874"/>
      <c r="S27" s="878"/>
      <c r="T27" s="875"/>
      <c r="U27" s="876"/>
      <c r="V27" s="877"/>
      <c r="W27" s="850"/>
      <c r="X27" s="39" t="str">
        <f>IF(OR(V27&lt;&gt;0,R27&lt;&gt;0,R27="",V27=""),"x","")</f>
        <v>x</v>
      </c>
    </row>
    <row r="28" spans="2:24" s="38" customFormat="1">
      <c r="B28" s="55">
        <v>140</v>
      </c>
      <c r="C28" s="56" t="s">
        <v>1871</v>
      </c>
      <c r="D28" s="44">
        <f t="shared" ref="D28:G28" si="26">SUM(D29:D30)</f>
        <v>0</v>
      </c>
      <c r="E28" s="44">
        <f t="shared" si="26"/>
        <v>0</v>
      </c>
      <c r="F28" s="111">
        <f t="shared" si="26"/>
        <v>0</v>
      </c>
      <c r="G28" s="121">
        <f t="shared" si="26"/>
        <v>0</v>
      </c>
      <c r="H28" s="116"/>
      <c r="I28" s="49">
        <f>SUM(I29:I30)</f>
        <v>3000000000</v>
      </c>
      <c r="J28" s="49">
        <f t="shared" ref="J28:L28" si="27">SUM(J29:J30)</f>
        <v>0</v>
      </c>
      <c r="K28" s="127">
        <f t="shared" si="27"/>
        <v>0</v>
      </c>
      <c r="L28" s="133">
        <f t="shared" si="27"/>
        <v>3000000000</v>
      </c>
      <c r="N28" s="39" t="str">
        <f t="shared" si="5"/>
        <v>x</v>
      </c>
      <c r="P28" s="469">
        <f t="shared" ref="P28:V28" si="28">SUM(P29:P30)</f>
        <v>0</v>
      </c>
      <c r="Q28" s="474">
        <f t="shared" si="28"/>
        <v>0</v>
      </c>
      <c r="R28" s="484">
        <f t="shared" si="28"/>
        <v>0</v>
      </c>
      <c r="S28" s="478"/>
      <c r="T28" s="464">
        <f t="shared" si="28"/>
        <v>7790138369</v>
      </c>
      <c r="U28" s="465">
        <f t="shared" si="28"/>
        <v>0</v>
      </c>
      <c r="V28" s="490">
        <f t="shared" si="28"/>
        <v>7790138369</v>
      </c>
      <c r="X28" s="39" t="str">
        <f>IF(OR(V28&lt;&gt;0,R28&lt;&gt;0,R28="",V28=""),"x","")</f>
        <v>x</v>
      </c>
    </row>
    <row r="29" spans="2:24">
      <c r="B29" s="863">
        <v>141</v>
      </c>
      <c r="C29" s="864" t="s">
        <v>1872</v>
      </c>
      <c r="D29" s="879">
        <f>ROUND(SUMIFS('A0.LS'!I:I,'A0.LS'!B:B,'A1.BS'!B29),0)</f>
        <v>0</v>
      </c>
      <c r="E29" s="879">
        <f>ROUND(SUMIFS('A0.LS'!J:J,'A0.LS'!B:B,'A1.BS'!B29),0)</f>
        <v>0</v>
      </c>
      <c r="F29" s="880">
        <f>ROUND(SUMIFS('A0.LS'!K:K,'A0.LS'!B:B,'A1.BS'!B29),0)</f>
        <v>0</v>
      </c>
      <c r="G29" s="881">
        <f t="shared" ref="G29:G30" si="29">ROUND(SUM(D29:F29),0)</f>
        <v>0</v>
      </c>
      <c r="H29" s="868"/>
      <c r="I29" s="882">
        <f>ROUND(SUMIFS('A0.LS'!N:N,'A0.LS'!B:B,'A1.BS'!B29),0)</f>
        <v>3000000000</v>
      </c>
      <c r="J29" s="882">
        <f>ROUND(SUMIFS('A0.LS'!O:O,'A0.LS'!B:B,'A1.BS'!B29),0)</f>
        <v>0</v>
      </c>
      <c r="K29" s="883">
        <f>ROUND(SUMIFS('A0.LS'!P:P,'A0.LS'!B:B,'A1.BS'!B29),0)</f>
        <v>0</v>
      </c>
      <c r="L29" s="884">
        <f t="shared" ref="L29:L30" si="30">ROUND(SUM(I29:K29),0)</f>
        <v>3000000000</v>
      </c>
      <c r="M29" s="850"/>
      <c r="N29" s="19" t="str">
        <f t="shared" si="5"/>
        <v>x</v>
      </c>
      <c r="O29" s="850"/>
      <c r="P29" s="885">
        <f>ROUND(SUMIFS('A0.LS'!AV:AV,'A0.LS'!B:B,'A1.BS'!B29),0)</f>
        <v>0</v>
      </c>
      <c r="Q29" s="886">
        <f>ROUND(SUMIFS('A0.LS'!AW:AW,'A0.LS'!B:B,'A1.BS'!B29),0)</f>
        <v>0</v>
      </c>
      <c r="R29" s="887">
        <f t="shared" ref="R29:R30" si="31">ROUND(SUM(P29:Q29),0)</f>
        <v>0</v>
      </c>
      <c r="S29" s="878"/>
      <c r="T29" s="888">
        <f>ROUND(SUMIFS('A0.LS'!BP:BP,'A0.LS'!B:B,'A1.BS'!B29),0)</f>
        <v>7790138369</v>
      </c>
      <c r="U29" s="889">
        <f>ROUND(SUMIFS('A0.LS'!BQ:BQ,'A0.LS'!B:B,'A1.BS'!B29),0)</f>
        <v>0</v>
      </c>
      <c r="V29" s="890">
        <v>7790138369</v>
      </c>
      <c r="W29" s="850"/>
      <c r="X29" s="39" t="str">
        <f t="shared" ref="X29:X92" si="32">IF(OR(V29&lt;&gt;0,R29&lt;&gt;0,R29="",V29=""),"x","")</f>
        <v>x</v>
      </c>
    </row>
    <row r="30" spans="2:24">
      <c r="B30" s="863">
        <v>149</v>
      </c>
      <c r="C30" s="864" t="s">
        <v>1873</v>
      </c>
      <c r="D30" s="879">
        <f>ROUND(SUMIFS('A0.LS'!I:I,'A0.LS'!B:B,'A1.BS'!B30),0)</f>
        <v>0</v>
      </c>
      <c r="E30" s="879">
        <f>ROUND(SUMIFS('A0.LS'!J:J,'A0.LS'!B:B,'A1.BS'!B30),0)</f>
        <v>0</v>
      </c>
      <c r="F30" s="880">
        <f>ROUND(SUMIFS('A0.LS'!K:K,'A0.LS'!B:B,'A1.BS'!B30),0)</f>
        <v>0</v>
      </c>
      <c r="G30" s="881">
        <f t="shared" si="29"/>
        <v>0</v>
      </c>
      <c r="H30" s="868"/>
      <c r="I30" s="882">
        <f>ROUND(SUMIFS('A0.LS'!N:N,'A0.LS'!B:B,'A1.BS'!B30),0)</f>
        <v>0</v>
      </c>
      <c r="J30" s="882">
        <f>ROUND(SUMIFS('A0.LS'!O:O,'A0.LS'!B:B,'A1.BS'!B30),0)</f>
        <v>0</v>
      </c>
      <c r="K30" s="883">
        <f>ROUND(SUMIFS('A0.LS'!P:P,'A0.LS'!B:B,'A1.BS'!B30),0)</f>
        <v>0</v>
      </c>
      <c r="L30" s="884">
        <f t="shared" si="30"/>
        <v>0</v>
      </c>
      <c r="M30" s="850"/>
      <c r="N30" s="19" t="str">
        <f t="shared" si="5"/>
        <v/>
      </c>
      <c r="O30" s="850"/>
      <c r="P30" s="885">
        <f>ROUND(SUMIFS('A0.LS'!AV:AV,'A0.LS'!B:B,'A1.BS'!B30),0)</f>
        <v>0</v>
      </c>
      <c r="Q30" s="886">
        <f>ROUND(SUMIFS('A0.LS'!AW:AW,'A0.LS'!B:B,'A1.BS'!B30),0)</f>
        <v>0</v>
      </c>
      <c r="R30" s="887">
        <f t="shared" si="31"/>
        <v>0</v>
      </c>
      <c r="S30" s="878"/>
      <c r="T30" s="888">
        <f>ROUND(SUMIFS('A0.LS'!BP:BP,'A0.LS'!B:B,'A1.BS'!B30),0)</f>
        <v>0</v>
      </c>
      <c r="U30" s="889">
        <f>ROUND(SUMIFS('A0.LS'!BQ:BQ,'A0.LS'!B:B,'A1.BS'!B30),0)</f>
        <v>0</v>
      </c>
      <c r="V30" s="890">
        <f>ROUND(SUM(T30:U30),0)</f>
        <v>0</v>
      </c>
      <c r="W30" s="850"/>
      <c r="X30" s="39" t="str">
        <f t="shared" si="32"/>
        <v/>
      </c>
    </row>
    <row r="31" spans="2:24">
      <c r="B31" s="863"/>
      <c r="C31" s="864"/>
      <c r="D31" s="865"/>
      <c r="E31" s="865"/>
      <c r="F31" s="866"/>
      <c r="G31" s="867"/>
      <c r="H31" s="868"/>
      <c r="I31" s="869"/>
      <c r="J31" s="869"/>
      <c r="K31" s="870"/>
      <c r="L31" s="871"/>
      <c r="M31" s="850"/>
      <c r="N31" s="19" t="str">
        <f t="shared" si="5"/>
        <v>x</v>
      </c>
      <c r="O31" s="850"/>
      <c r="P31" s="872"/>
      <c r="Q31" s="873"/>
      <c r="R31" s="874"/>
      <c r="S31" s="878"/>
      <c r="T31" s="875"/>
      <c r="U31" s="876"/>
      <c r="V31" s="877"/>
      <c r="W31" s="850"/>
      <c r="X31" s="39" t="str">
        <f t="shared" si="32"/>
        <v>x</v>
      </c>
    </row>
    <row r="32" spans="2:24" s="38" customFormat="1">
      <c r="B32" s="55">
        <v>150</v>
      </c>
      <c r="C32" s="56" t="s">
        <v>1874</v>
      </c>
      <c r="D32" s="44">
        <f t="shared" ref="D32:G32" si="33">SUM(D33:D37)</f>
        <v>4147634026</v>
      </c>
      <c r="E32" s="44">
        <f t="shared" si="33"/>
        <v>-38144370</v>
      </c>
      <c r="F32" s="111">
        <f t="shared" si="33"/>
        <v>0</v>
      </c>
      <c r="G32" s="121">
        <f t="shared" si="33"/>
        <v>4109489656</v>
      </c>
      <c r="H32" s="116"/>
      <c r="I32" s="49">
        <f>SUM(I33:I37)</f>
        <v>6227083581</v>
      </c>
      <c r="J32" s="49">
        <f t="shared" ref="J32:L32" si="34">SUM(J33:J37)</f>
        <v>-1372121765</v>
      </c>
      <c r="K32" s="127">
        <f t="shared" si="34"/>
        <v>-609770277</v>
      </c>
      <c r="L32" s="133">
        <f t="shared" si="34"/>
        <v>4245191539</v>
      </c>
      <c r="N32" s="39" t="str">
        <f t="shared" si="5"/>
        <v>x</v>
      </c>
      <c r="P32" s="469">
        <f t="shared" ref="P32:R32" si="35">SUM(P33:P37)</f>
        <v>7746105629</v>
      </c>
      <c r="Q32" s="474">
        <f t="shared" si="35"/>
        <v>0</v>
      </c>
      <c r="R32" s="484">
        <f t="shared" si="35"/>
        <v>7746105629</v>
      </c>
      <c r="S32" s="478"/>
      <c r="T32" s="464">
        <f t="shared" ref="T32:V32" si="36">SUM(T33:T37)</f>
        <v>6419074856</v>
      </c>
      <c r="U32" s="465">
        <f t="shared" si="36"/>
        <v>0</v>
      </c>
      <c r="V32" s="490">
        <f t="shared" si="36"/>
        <v>6419074856</v>
      </c>
      <c r="X32" s="39" t="str">
        <f t="shared" si="32"/>
        <v>x</v>
      </c>
    </row>
    <row r="33" spans="2:24">
      <c r="B33" s="863">
        <v>151</v>
      </c>
      <c r="C33" s="864" t="s">
        <v>1875</v>
      </c>
      <c r="D33" s="879">
        <f>ROUND(SUMIFS('A0.LS'!I:I,'A0.LS'!B:B,'A1.BS'!B33),0)</f>
        <v>237534109</v>
      </c>
      <c r="E33" s="879">
        <f>ROUND(SUMIFS('A0.LS'!J:J,'A0.LS'!B:B,'A1.BS'!B33),0)</f>
        <v>-36000000</v>
      </c>
      <c r="F33" s="880">
        <f>ROUND(SUMIFS('A0.LS'!K:K,'A0.LS'!B:B,'A1.BS'!B33),0)</f>
        <v>0</v>
      </c>
      <c r="G33" s="881">
        <f t="shared" ref="G33:G37" si="37">ROUND(SUM(D33:F33),0)</f>
        <v>201534109</v>
      </c>
      <c r="H33" s="868"/>
      <c r="I33" s="882">
        <f>ROUND(SUMIFS('A0.LS'!N:N,'A0.LS'!B:B,'A1.BS'!B33),0)</f>
        <v>696798263</v>
      </c>
      <c r="J33" s="882">
        <f>ROUND(SUMIFS('A0.LS'!O:O,'A0.LS'!B:B,'A1.BS'!B33),0)</f>
        <v>0</v>
      </c>
      <c r="K33" s="883">
        <f>ROUND(SUMIFS('A0.LS'!P:P,'A0.LS'!B:B,'A1.BS'!B33),0)</f>
        <v>-334509243</v>
      </c>
      <c r="L33" s="884">
        <f t="shared" ref="L33:L37" si="38">ROUND(SUM(I33:K33),0)</f>
        <v>362289020</v>
      </c>
      <c r="M33" s="850"/>
      <c r="N33" s="19" t="str">
        <f t="shared" si="5"/>
        <v>x</v>
      </c>
      <c r="O33" s="850"/>
      <c r="P33" s="885">
        <f>ROUND(SUMIFS('A0.LS'!AV:AV,'A0.LS'!B:B,'A1.BS'!B33),0)</f>
        <v>3830316040</v>
      </c>
      <c r="Q33" s="886">
        <f>ROUND(SUMIFS('A0.LS'!AW:AW,'A0.LS'!B:B,'A1.BS'!B33),0)</f>
        <v>0</v>
      </c>
      <c r="R33" s="887">
        <f t="shared" ref="R33:R37" si="39">ROUND(SUM(P33:Q33),0)</f>
        <v>3830316040</v>
      </c>
      <c r="S33" s="878"/>
      <c r="T33" s="888">
        <f>ROUND(SUMIFS('A0.LS'!BP:BP,'A0.LS'!B:B,'A1.BS'!B33),0)</f>
        <v>2528332878</v>
      </c>
      <c r="U33" s="889">
        <f>ROUND(SUMIFS('A0.LS'!BQ:BQ,'A0.LS'!B:B,'A1.BS'!B33),0)</f>
        <v>0</v>
      </c>
      <c r="V33" s="890">
        <v>2528332878</v>
      </c>
      <c r="W33" s="850"/>
      <c r="X33" s="39" t="str">
        <f t="shared" si="32"/>
        <v>x</v>
      </c>
    </row>
    <row r="34" spans="2:24">
      <c r="B34" s="863">
        <v>152</v>
      </c>
      <c r="C34" s="864" t="s">
        <v>1876</v>
      </c>
      <c r="D34" s="879">
        <f>ROUND(SUMIFS('A0.LS'!I:I,'A0.LS'!B:B,'A1.BS'!B34),0)</f>
        <v>3910099917</v>
      </c>
      <c r="E34" s="879">
        <f>ROUND(SUMIFS('A0.LS'!J:J,'A0.LS'!B:B,'A1.BS'!B34),0)</f>
        <v>-2144370</v>
      </c>
      <c r="F34" s="880">
        <f>ROUND(SUMIFS('A0.LS'!K:K,'A0.LS'!B:B,'A1.BS'!B34),0)</f>
        <v>0</v>
      </c>
      <c r="G34" s="881">
        <f t="shared" si="37"/>
        <v>3907955547</v>
      </c>
      <c r="H34" s="868"/>
      <c r="I34" s="882">
        <f>ROUND(SUMIFS('A0.LS'!N:N,'A0.LS'!B:B,'A1.BS'!B34),0)</f>
        <v>5530285318</v>
      </c>
      <c r="J34" s="882">
        <f>ROUND(SUMIFS('A0.LS'!O:O,'A0.LS'!B:B,'A1.BS'!B34),0)</f>
        <v>-1372121765</v>
      </c>
      <c r="K34" s="883">
        <f>ROUND(SUMIFS('A0.LS'!P:P,'A0.LS'!B:B,'A1.BS'!B34),0)</f>
        <v>-275261034</v>
      </c>
      <c r="L34" s="884">
        <f t="shared" si="38"/>
        <v>3882902519</v>
      </c>
      <c r="M34" s="850"/>
      <c r="N34" s="19" t="str">
        <f t="shared" si="5"/>
        <v>x</v>
      </c>
      <c r="O34" s="850"/>
      <c r="P34" s="885">
        <f>ROUND(SUMIFS('A0.LS'!AV:AV,'A0.LS'!B:B,'A1.BS'!B34),0)</f>
        <v>3915789589</v>
      </c>
      <c r="Q34" s="886">
        <f>ROUND(SUMIFS('A0.LS'!AW:AW,'A0.LS'!B:B,'A1.BS'!B34),0)</f>
        <v>0</v>
      </c>
      <c r="R34" s="887">
        <f t="shared" si="39"/>
        <v>3915789589</v>
      </c>
      <c r="S34" s="878"/>
      <c r="T34" s="888">
        <f>ROUND(SUMIFS('A0.LS'!BP:BP,'A0.LS'!B:B,'A1.BS'!B34),0)</f>
        <v>3890741978</v>
      </c>
      <c r="U34" s="889">
        <f>ROUND(SUMIFS('A0.LS'!BQ:BQ,'A0.LS'!B:B,'A1.BS'!B34),0)</f>
        <v>0</v>
      </c>
      <c r="V34" s="890">
        <v>3890741978</v>
      </c>
      <c r="W34" s="850"/>
      <c r="X34" s="39" t="str">
        <f t="shared" si="32"/>
        <v>x</v>
      </c>
    </row>
    <row r="35" spans="2:24">
      <c r="B35" s="863">
        <v>153</v>
      </c>
      <c r="C35" s="864" t="s">
        <v>1877</v>
      </c>
      <c r="D35" s="879">
        <f>ROUND(SUMIFS('A0.LS'!I:I,'A0.LS'!B:B,'A1.BS'!B35),0)</f>
        <v>0</v>
      </c>
      <c r="E35" s="879">
        <f>ROUND(SUMIFS('A0.LS'!J:J,'A0.LS'!B:B,'A1.BS'!B35),0)</f>
        <v>0</v>
      </c>
      <c r="F35" s="880">
        <f>ROUND(SUMIFS('A0.LS'!K:K,'A0.LS'!B:B,'A1.BS'!B35),0)</f>
        <v>0</v>
      </c>
      <c r="G35" s="881">
        <f t="shared" si="37"/>
        <v>0</v>
      </c>
      <c r="H35" s="868"/>
      <c r="I35" s="882">
        <f>ROUND(SUMIFS('A0.LS'!N:N,'A0.LS'!B:B,'A1.BS'!B35),0)</f>
        <v>0</v>
      </c>
      <c r="J35" s="882">
        <f>ROUND(SUMIFS('A0.LS'!O:O,'A0.LS'!B:B,'A1.BS'!B35),0)</f>
        <v>0</v>
      </c>
      <c r="K35" s="883">
        <f>ROUND(SUMIFS('A0.LS'!P:P,'A0.LS'!B:B,'A1.BS'!B35),0)</f>
        <v>0</v>
      </c>
      <c r="L35" s="884">
        <f t="shared" si="38"/>
        <v>0</v>
      </c>
      <c r="M35" s="850"/>
      <c r="N35" s="19" t="str">
        <f t="shared" si="5"/>
        <v/>
      </c>
      <c r="O35" s="850"/>
      <c r="P35" s="885">
        <f>ROUND(SUMIFS('A0.LS'!AV:AV,'A0.LS'!B:B,'A1.BS'!B35),0)</f>
        <v>0</v>
      </c>
      <c r="Q35" s="886">
        <f>ROUND(SUMIFS('A0.LS'!AW:AW,'A0.LS'!B:B,'A1.BS'!B35),0)</f>
        <v>0</v>
      </c>
      <c r="R35" s="887">
        <f t="shared" si="39"/>
        <v>0</v>
      </c>
      <c r="S35" s="878"/>
      <c r="T35" s="888">
        <f>ROUND(SUMIFS('A0.LS'!BP:BP,'A0.LS'!B:B,'A1.BS'!B35),0)</f>
        <v>0</v>
      </c>
      <c r="U35" s="889">
        <f>ROUND(SUMIFS('A0.LS'!BQ:BQ,'A0.LS'!B:B,'A1.BS'!B35),0)</f>
        <v>0</v>
      </c>
      <c r="V35" s="890">
        <f t="shared" ref="V35:V37" si="40">ROUND(SUM(T35:U35),0)</f>
        <v>0</v>
      </c>
      <c r="W35" s="850"/>
      <c r="X35" s="39" t="str">
        <f t="shared" si="32"/>
        <v/>
      </c>
    </row>
    <row r="36" spans="2:24">
      <c r="B36" s="863">
        <v>154</v>
      </c>
      <c r="C36" s="864" t="s">
        <v>1878</v>
      </c>
      <c r="D36" s="879">
        <f>ROUND(SUMIFS('A0.LS'!I:I,'A0.LS'!B:B,'A1.BS'!B36),0)</f>
        <v>0</v>
      </c>
      <c r="E36" s="879">
        <f>ROUND(SUMIFS('A0.LS'!J:J,'A0.LS'!B:B,'A1.BS'!B36),0)</f>
        <v>0</v>
      </c>
      <c r="F36" s="880">
        <f>ROUND(SUMIFS('A0.LS'!K:K,'A0.LS'!B:B,'A1.BS'!B36),0)</f>
        <v>0</v>
      </c>
      <c r="G36" s="881">
        <f t="shared" si="37"/>
        <v>0</v>
      </c>
      <c r="H36" s="868"/>
      <c r="I36" s="882">
        <f>ROUND(SUMIFS('A0.LS'!N:N,'A0.LS'!B:B,'A1.BS'!B36),0)</f>
        <v>0</v>
      </c>
      <c r="J36" s="882">
        <f>ROUND(SUMIFS('A0.LS'!O:O,'A0.LS'!B:B,'A1.BS'!B36),0)</f>
        <v>0</v>
      </c>
      <c r="K36" s="883">
        <f>ROUND(SUMIFS('A0.LS'!P:P,'A0.LS'!B:B,'A1.BS'!B36),0)</f>
        <v>0</v>
      </c>
      <c r="L36" s="884">
        <f t="shared" si="38"/>
        <v>0</v>
      </c>
      <c r="M36" s="850"/>
      <c r="N36" s="19" t="str">
        <f t="shared" si="5"/>
        <v/>
      </c>
      <c r="O36" s="850"/>
      <c r="P36" s="885">
        <f>ROUND(SUMIFS('A0.LS'!AV:AV,'A0.LS'!B:B,'A1.BS'!B36),0)</f>
        <v>0</v>
      </c>
      <c r="Q36" s="886">
        <f>ROUND(SUMIFS('A0.LS'!AW:AW,'A0.LS'!B:B,'A1.BS'!B36),0)</f>
        <v>0</v>
      </c>
      <c r="R36" s="887">
        <f t="shared" si="39"/>
        <v>0</v>
      </c>
      <c r="S36" s="878"/>
      <c r="T36" s="888">
        <f>ROUND(SUMIFS('A0.LS'!BP:BP,'A0.LS'!B:B,'A1.BS'!B36),0)</f>
        <v>0</v>
      </c>
      <c r="U36" s="889">
        <f>ROUND(SUMIFS('A0.LS'!BQ:BQ,'A0.LS'!B:B,'A1.BS'!B36),0)</f>
        <v>0</v>
      </c>
      <c r="V36" s="890">
        <f t="shared" si="40"/>
        <v>0</v>
      </c>
      <c r="W36" s="850"/>
      <c r="X36" s="39" t="str">
        <f t="shared" si="32"/>
        <v/>
      </c>
    </row>
    <row r="37" spans="2:24">
      <c r="B37" s="863">
        <v>155</v>
      </c>
      <c r="C37" s="864" t="s">
        <v>1879</v>
      </c>
      <c r="D37" s="879">
        <f>ROUND(SUMIFS('A0.LS'!I:I,'A0.LS'!B:B,'A1.BS'!B37),0)</f>
        <v>0</v>
      </c>
      <c r="E37" s="879">
        <f>ROUND(SUMIFS('A0.LS'!J:J,'A0.LS'!B:B,'A1.BS'!B37),0)</f>
        <v>0</v>
      </c>
      <c r="F37" s="880">
        <f>ROUND(SUMIFS('A0.LS'!K:K,'A0.LS'!B:B,'A1.BS'!B37),0)</f>
        <v>0</v>
      </c>
      <c r="G37" s="881">
        <f t="shared" si="37"/>
        <v>0</v>
      </c>
      <c r="H37" s="868"/>
      <c r="I37" s="882">
        <f>ROUND(SUMIFS('A0.LS'!N:N,'A0.LS'!B:B,'A1.BS'!B37),0)</f>
        <v>0</v>
      </c>
      <c r="J37" s="882">
        <f>ROUND(SUMIFS('A0.LS'!O:O,'A0.LS'!B:B,'A1.BS'!B37),0)</f>
        <v>0</v>
      </c>
      <c r="K37" s="883">
        <f>ROUND(SUMIFS('A0.LS'!P:P,'A0.LS'!B:B,'A1.BS'!B37),0)</f>
        <v>0</v>
      </c>
      <c r="L37" s="884">
        <f t="shared" si="38"/>
        <v>0</v>
      </c>
      <c r="M37" s="850"/>
      <c r="N37" s="19" t="str">
        <f t="shared" si="5"/>
        <v/>
      </c>
      <c r="O37" s="850"/>
      <c r="P37" s="885">
        <f>ROUND(SUMIFS('A0.LS'!AV:AV,'A0.LS'!B:B,'A1.BS'!B37),0)</f>
        <v>0</v>
      </c>
      <c r="Q37" s="886">
        <f>ROUND(SUMIFS('A0.LS'!AW:AW,'A0.LS'!B:B,'A1.BS'!B37),0)</f>
        <v>0</v>
      </c>
      <c r="R37" s="887">
        <f t="shared" si="39"/>
        <v>0</v>
      </c>
      <c r="S37" s="878"/>
      <c r="T37" s="888">
        <f>ROUND(SUMIFS('A0.LS'!BP:BP,'A0.LS'!B:B,'A1.BS'!B37),0)</f>
        <v>0</v>
      </c>
      <c r="U37" s="889">
        <f>ROUND(SUMIFS('A0.LS'!BQ:BQ,'A0.LS'!B:B,'A1.BS'!B37),0)</f>
        <v>0</v>
      </c>
      <c r="V37" s="890">
        <f t="shared" si="40"/>
        <v>0</v>
      </c>
      <c r="W37" s="850"/>
      <c r="X37" s="39" t="str">
        <f t="shared" si="32"/>
        <v/>
      </c>
    </row>
    <row r="38" spans="2:24">
      <c r="B38" s="863"/>
      <c r="C38" s="864"/>
      <c r="D38" s="865"/>
      <c r="E38" s="865"/>
      <c r="F38" s="866"/>
      <c r="G38" s="867"/>
      <c r="H38" s="868"/>
      <c r="I38" s="869"/>
      <c r="J38" s="869"/>
      <c r="K38" s="870"/>
      <c r="L38" s="871"/>
      <c r="M38" s="850"/>
      <c r="N38" s="19" t="str">
        <f t="shared" si="5"/>
        <v>x</v>
      </c>
      <c r="O38" s="850"/>
      <c r="P38" s="872"/>
      <c r="Q38" s="873"/>
      <c r="R38" s="874"/>
      <c r="S38" s="878"/>
      <c r="T38" s="875"/>
      <c r="U38" s="876"/>
      <c r="V38" s="877"/>
      <c r="W38" s="850"/>
      <c r="X38" s="39" t="str">
        <f t="shared" si="32"/>
        <v>x</v>
      </c>
    </row>
    <row r="39" spans="2:24" s="38" customFormat="1">
      <c r="B39" s="55">
        <v>200</v>
      </c>
      <c r="C39" s="56" t="s">
        <v>1880</v>
      </c>
      <c r="D39" s="44">
        <f>SUM(D41,D50,D61,D65,D69,D76)</f>
        <v>504518267242</v>
      </c>
      <c r="E39" s="44">
        <f>SUM(E41,E50,E61,E65,E69,E76)</f>
        <v>47000000</v>
      </c>
      <c r="F39" s="111">
        <f>SUM(F41,F50,F61,F65,F69,F76)</f>
        <v>-83429782259</v>
      </c>
      <c r="G39" s="121">
        <f>SUM(G41,G50,G61,G65,G69,G76)</f>
        <v>421135484983</v>
      </c>
      <c r="H39" s="116"/>
      <c r="I39" s="49">
        <f>SUM(I41,I50,I61,I65,I69,I76)</f>
        <v>412725079286</v>
      </c>
      <c r="J39" s="49">
        <f>SUM(J41,J50,J61,J65,J69,J76)</f>
        <v>4891767</v>
      </c>
      <c r="K39" s="127">
        <f>SUM(K41,K50,K61,K65,K69,K76)</f>
        <v>38238622208</v>
      </c>
      <c r="L39" s="133">
        <f>SUM(L41,L50,L61,L65,L69,L76)</f>
        <v>450968593261</v>
      </c>
      <c r="N39" s="39" t="str">
        <f t="shared" si="5"/>
        <v>x</v>
      </c>
      <c r="P39" s="469">
        <f t="shared" ref="P39:V39" si="41">SUM(P41,P50,P61,P65,P69,P76)</f>
        <v>546010155882</v>
      </c>
      <c r="Q39" s="474">
        <f t="shared" si="41"/>
        <v>-396963658696</v>
      </c>
      <c r="R39" s="603">
        <f t="shared" si="41"/>
        <v>149046497186</v>
      </c>
      <c r="S39" s="478"/>
      <c r="T39" s="464">
        <f t="shared" si="41"/>
        <v>592904871688</v>
      </c>
      <c r="U39" s="465">
        <f t="shared" si="41"/>
        <v>-435712761183</v>
      </c>
      <c r="V39" s="604">
        <f t="shared" si="41"/>
        <v>157192110505</v>
      </c>
      <c r="X39" s="39" t="str">
        <f t="shared" si="32"/>
        <v>x</v>
      </c>
    </row>
    <row r="40" spans="2:24">
      <c r="B40" s="863"/>
      <c r="C40" s="864"/>
      <c r="D40" s="865"/>
      <c r="E40" s="865"/>
      <c r="F40" s="866"/>
      <c r="G40" s="867"/>
      <c r="H40" s="868"/>
      <c r="I40" s="869"/>
      <c r="J40" s="869"/>
      <c r="K40" s="870"/>
      <c r="L40" s="871"/>
      <c r="M40" s="850"/>
      <c r="N40" s="19"/>
      <c r="O40" s="850"/>
      <c r="P40" s="872"/>
      <c r="Q40" s="873"/>
      <c r="R40" s="874"/>
      <c r="S40" s="878"/>
      <c r="T40" s="875"/>
      <c r="U40" s="876"/>
      <c r="V40" s="877"/>
      <c r="W40" s="850"/>
      <c r="X40" s="39" t="str">
        <f t="shared" si="32"/>
        <v>x</v>
      </c>
    </row>
    <row r="41" spans="2:24" s="38" customFormat="1">
      <c r="B41" s="55">
        <v>210</v>
      </c>
      <c r="C41" s="56" t="s">
        <v>1881</v>
      </c>
      <c r="D41" s="44">
        <f t="shared" ref="D41:G41" si="42">SUM(D42:D48)</f>
        <v>0</v>
      </c>
      <c r="E41" s="44">
        <f t="shared" si="42"/>
        <v>0</v>
      </c>
      <c r="F41" s="111">
        <f t="shared" si="42"/>
        <v>0</v>
      </c>
      <c r="G41" s="121">
        <f t="shared" si="42"/>
        <v>0</v>
      </c>
      <c r="H41" s="116"/>
      <c r="I41" s="49">
        <f>SUM(I42:I48)</f>
        <v>0</v>
      </c>
      <c r="J41" s="49">
        <f t="shared" ref="J41:L41" si="43">SUM(J42:J48)</f>
        <v>0</v>
      </c>
      <c r="K41" s="127">
        <f t="shared" si="43"/>
        <v>0</v>
      </c>
      <c r="L41" s="133">
        <f t="shared" si="43"/>
        <v>0</v>
      </c>
      <c r="N41" s="19" t="str">
        <f t="shared" si="5"/>
        <v/>
      </c>
      <c r="P41" s="469">
        <f t="shared" ref="P41:R41" si="44">SUM(P42:P48)</f>
        <v>0</v>
      </c>
      <c r="Q41" s="474">
        <f t="shared" si="44"/>
        <v>0</v>
      </c>
      <c r="R41" s="484">
        <f t="shared" si="44"/>
        <v>0</v>
      </c>
      <c r="S41" s="479"/>
      <c r="T41" s="464">
        <f t="shared" ref="T41:V41" si="45">SUM(T42:T48)</f>
        <v>0</v>
      </c>
      <c r="U41" s="465">
        <f t="shared" si="45"/>
        <v>0</v>
      </c>
      <c r="V41" s="490">
        <f t="shared" si="45"/>
        <v>0</v>
      </c>
      <c r="X41" s="39" t="str">
        <f t="shared" si="32"/>
        <v/>
      </c>
    </row>
    <row r="42" spans="2:24">
      <c r="B42" s="863">
        <v>211</v>
      </c>
      <c r="C42" s="864" t="s">
        <v>1882</v>
      </c>
      <c r="D42" s="879">
        <f>ROUND(SUMIFS('A0.LS'!I:I,'A0.LS'!B:B,'A1.BS'!B42),0)</f>
        <v>0</v>
      </c>
      <c r="E42" s="879">
        <f>ROUND(SUMIFS('A0.LS'!J:J,'A0.LS'!B:B,'A1.BS'!B42),0)</f>
        <v>0</v>
      </c>
      <c r="F42" s="880">
        <f>ROUND(SUMIFS('A0.LS'!K:K,'A0.LS'!B:B,'A1.BS'!B42),0)</f>
        <v>0</v>
      </c>
      <c r="G42" s="881">
        <f t="shared" ref="G42:G48" si="46">ROUND(SUM(D42:F42),0)</f>
        <v>0</v>
      </c>
      <c r="H42" s="868"/>
      <c r="I42" s="882">
        <f>ROUND(SUMIFS('A0.LS'!N:N,'A0.LS'!B:B,'A1.BS'!B42),0)</f>
        <v>0</v>
      </c>
      <c r="J42" s="882">
        <f>ROUND(SUMIFS('A0.LS'!O:O,'A0.LS'!B:B,'A1.BS'!B42),0)</f>
        <v>0</v>
      </c>
      <c r="K42" s="883">
        <f>ROUND(SUMIFS('A0.LS'!P:P,'A0.LS'!B:B,'A1.BS'!B42),0)</f>
        <v>0</v>
      </c>
      <c r="L42" s="884">
        <f t="shared" ref="L42:L48" si="47">ROUND(SUM(I42:K42),0)</f>
        <v>0</v>
      </c>
      <c r="M42" s="850"/>
      <c r="N42" s="19" t="str">
        <f t="shared" si="5"/>
        <v/>
      </c>
      <c r="O42" s="850"/>
      <c r="P42" s="885">
        <f>ROUND(SUMIFS('A0.LS'!AV:AV,'A0.LS'!B:B,'A1.BS'!B42),0)</f>
        <v>0</v>
      </c>
      <c r="Q42" s="886">
        <f>ROUND(SUMIFS('A0.LS'!AW:AW,'A0.LS'!B:B,'A1.BS'!B42),0)</f>
        <v>0</v>
      </c>
      <c r="R42" s="887">
        <f t="shared" ref="R42:R48" si="48">ROUND(SUM(P42:Q42),0)</f>
        <v>0</v>
      </c>
      <c r="S42" s="878"/>
      <c r="T42" s="888">
        <f>ROUND(SUMIFS('A0.LS'!BP:BP,'A0.LS'!B:B,'A1.BS'!B42),0)</f>
        <v>0</v>
      </c>
      <c r="U42" s="889">
        <f>ROUND(SUMIFS('A0.LS'!BQ:BQ,'A0.LS'!B:B,'A1.BS'!B42),0)</f>
        <v>0</v>
      </c>
      <c r="V42" s="890">
        <f t="shared" ref="V42:V48" si="49">ROUND(SUM(T42:U42),0)</f>
        <v>0</v>
      </c>
      <c r="W42" s="850"/>
      <c r="X42" s="39" t="str">
        <f t="shared" si="32"/>
        <v/>
      </c>
    </row>
    <row r="43" spans="2:24">
      <c r="B43" s="863">
        <v>212</v>
      </c>
      <c r="C43" s="864" t="s">
        <v>1883</v>
      </c>
      <c r="D43" s="879">
        <f>ROUND(SUMIFS('A0.LS'!I:I,'A0.LS'!B:B,'A1.BS'!B43),0)</f>
        <v>0</v>
      </c>
      <c r="E43" s="879">
        <f>ROUND(SUMIFS('A0.LS'!J:J,'A0.LS'!B:B,'A1.BS'!B43),0)</f>
        <v>0</v>
      </c>
      <c r="F43" s="880">
        <f>ROUND(SUMIFS('A0.LS'!K:K,'A0.LS'!B:B,'A1.BS'!B43),0)</f>
        <v>0</v>
      </c>
      <c r="G43" s="881">
        <f t="shared" si="46"/>
        <v>0</v>
      </c>
      <c r="H43" s="868"/>
      <c r="I43" s="882">
        <f>ROUND(SUMIFS('A0.LS'!N:N,'A0.LS'!B:B,'A1.BS'!B43),0)</f>
        <v>0</v>
      </c>
      <c r="J43" s="882">
        <f>ROUND(SUMIFS('A0.LS'!O:O,'A0.LS'!B:B,'A1.BS'!B43),0)</f>
        <v>0</v>
      </c>
      <c r="K43" s="883">
        <f>ROUND(SUMIFS('A0.LS'!P:P,'A0.LS'!B:B,'A1.BS'!B43),0)</f>
        <v>0</v>
      </c>
      <c r="L43" s="884">
        <f t="shared" si="47"/>
        <v>0</v>
      </c>
      <c r="M43" s="850"/>
      <c r="N43" s="19" t="str">
        <f t="shared" si="5"/>
        <v/>
      </c>
      <c r="O43" s="850"/>
      <c r="P43" s="885">
        <f>ROUND(SUMIFS('A0.LS'!AV:AV,'A0.LS'!B:B,'A1.BS'!B43),0)</f>
        <v>0</v>
      </c>
      <c r="Q43" s="886">
        <f>ROUND(SUMIFS('A0.LS'!AW:AW,'A0.LS'!B:B,'A1.BS'!B43),0)</f>
        <v>0</v>
      </c>
      <c r="R43" s="887">
        <f t="shared" si="48"/>
        <v>0</v>
      </c>
      <c r="S43" s="878"/>
      <c r="T43" s="888">
        <f>ROUND(SUMIFS('A0.LS'!BP:BP,'A0.LS'!B:B,'A1.BS'!B43),0)</f>
        <v>0</v>
      </c>
      <c r="U43" s="889">
        <f>ROUND(SUMIFS('A0.LS'!BQ:BQ,'A0.LS'!B:B,'A1.BS'!B43),0)</f>
        <v>0</v>
      </c>
      <c r="V43" s="890">
        <f t="shared" si="49"/>
        <v>0</v>
      </c>
      <c r="W43" s="850"/>
      <c r="X43" s="39" t="str">
        <f t="shared" si="32"/>
        <v/>
      </c>
    </row>
    <row r="44" spans="2:24">
      <c r="B44" s="863">
        <v>213</v>
      </c>
      <c r="C44" s="864" t="s">
        <v>1884</v>
      </c>
      <c r="D44" s="879">
        <f>ROUND(SUMIFS('A0.LS'!I:I,'A0.LS'!B:B,'A1.BS'!B44),0)</f>
        <v>0</v>
      </c>
      <c r="E44" s="879">
        <f>ROUND(SUMIFS('A0.LS'!J:J,'A0.LS'!B:B,'A1.BS'!B44),0)</f>
        <v>0</v>
      </c>
      <c r="F44" s="880">
        <f>ROUND(SUMIFS('A0.LS'!K:K,'A0.LS'!B:B,'A1.BS'!B44),0)</f>
        <v>0</v>
      </c>
      <c r="G44" s="881">
        <f t="shared" si="46"/>
        <v>0</v>
      </c>
      <c r="H44" s="868"/>
      <c r="I44" s="882">
        <f>ROUND(SUMIFS('A0.LS'!N:N,'A0.LS'!B:B,'A1.BS'!B44),0)</f>
        <v>0</v>
      </c>
      <c r="J44" s="882">
        <f>ROUND(SUMIFS('A0.LS'!O:O,'A0.LS'!B:B,'A1.BS'!B44),0)</f>
        <v>0</v>
      </c>
      <c r="K44" s="883">
        <f>ROUND(SUMIFS('A0.LS'!P:P,'A0.LS'!B:B,'A1.BS'!B44),0)</f>
        <v>0</v>
      </c>
      <c r="L44" s="884">
        <f t="shared" si="47"/>
        <v>0</v>
      </c>
      <c r="M44" s="850"/>
      <c r="N44" s="19" t="str">
        <f t="shared" si="5"/>
        <v/>
      </c>
      <c r="O44" s="850"/>
      <c r="P44" s="885">
        <f>ROUND(SUMIFS('A0.LS'!AV:AV,'A0.LS'!B:B,'A1.BS'!B44),0)</f>
        <v>0</v>
      </c>
      <c r="Q44" s="886">
        <f>ROUND(SUMIFS('A0.LS'!AW:AW,'A0.LS'!B:B,'A1.BS'!B44),0)</f>
        <v>0</v>
      </c>
      <c r="R44" s="887">
        <f t="shared" si="48"/>
        <v>0</v>
      </c>
      <c r="S44" s="878"/>
      <c r="T44" s="888">
        <f>ROUND(SUMIFS('A0.LS'!BP:BP,'A0.LS'!B:B,'A1.BS'!B44),0)</f>
        <v>0</v>
      </c>
      <c r="U44" s="889">
        <f>ROUND(SUMIFS('A0.LS'!BQ:BQ,'A0.LS'!B:B,'A1.BS'!B44),0)</f>
        <v>0</v>
      </c>
      <c r="V44" s="890">
        <f t="shared" si="49"/>
        <v>0</v>
      </c>
      <c r="W44" s="850"/>
      <c r="X44" s="39" t="str">
        <f t="shared" si="32"/>
        <v/>
      </c>
    </row>
    <row r="45" spans="2:24">
      <c r="B45" s="863">
        <v>214</v>
      </c>
      <c r="C45" s="864" t="s">
        <v>1885</v>
      </c>
      <c r="D45" s="879">
        <f>ROUND(SUMIFS('A0.LS'!I:I,'A0.LS'!B:B,'A1.BS'!B45),0)</f>
        <v>0</v>
      </c>
      <c r="E45" s="879">
        <f>ROUND(SUMIFS('A0.LS'!J:J,'A0.LS'!B:B,'A1.BS'!B45),0)</f>
        <v>0</v>
      </c>
      <c r="F45" s="880">
        <f>ROUND(SUMIFS('A0.LS'!K:K,'A0.LS'!B:B,'A1.BS'!B45),0)</f>
        <v>0</v>
      </c>
      <c r="G45" s="881">
        <f t="shared" si="46"/>
        <v>0</v>
      </c>
      <c r="H45" s="868"/>
      <c r="I45" s="882">
        <f>ROUND(SUMIFS('A0.LS'!N:N,'A0.LS'!B:B,'A1.BS'!B45),0)</f>
        <v>0</v>
      </c>
      <c r="J45" s="882">
        <f>ROUND(SUMIFS('A0.LS'!O:O,'A0.LS'!B:B,'A1.BS'!B45),0)</f>
        <v>0</v>
      </c>
      <c r="K45" s="883">
        <f>ROUND(SUMIFS('A0.LS'!P:P,'A0.LS'!B:B,'A1.BS'!B45),0)</f>
        <v>0</v>
      </c>
      <c r="L45" s="884">
        <f t="shared" si="47"/>
        <v>0</v>
      </c>
      <c r="M45" s="850"/>
      <c r="N45" s="19" t="str">
        <f t="shared" si="5"/>
        <v/>
      </c>
      <c r="O45" s="850"/>
      <c r="P45" s="885">
        <f>ROUND(SUMIFS('A0.LS'!AV:AV,'A0.LS'!B:B,'A1.BS'!B45),0)</f>
        <v>0</v>
      </c>
      <c r="Q45" s="886">
        <f>ROUND(SUMIFS('A0.LS'!AW:AW,'A0.LS'!B:B,'A1.BS'!B45),0)</f>
        <v>0</v>
      </c>
      <c r="R45" s="887">
        <f t="shared" si="48"/>
        <v>0</v>
      </c>
      <c r="S45" s="878"/>
      <c r="T45" s="888">
        <f>ROUND(SUMIFS('A0.LS'!BP:BP,'A0.LS'!B:B,'A1.BS'!B45),0)</f>
        <v>0</v>
      </c>
      <c r="U45" s="889">
        <f>ROUND(SUMIFS('A0.LS'!BQ:BQ,'A0.LS'!B:B,'A1.BS'!B45),0)</f>
        <v>0</v>
      </c>
      <c r="V45" s="890">
        <f t="shared" si="49"/>
        <v>0</v>
      </c>
      <c r="W45" s="850"/>
      <c r="X45" s="39" t="str">
        <f t="shared" si="32"/>
        <v/>
      </c>
    </row>
    <row r="46" spans="2:24">
      <c r="B46" s="863">
        <v>215</v>
      </c>
      <c r="C46" s="864" t="s">
        <v>1886</v>
      </c>
      <c r="D46" s="879">
        <f>ROUND(SUMIFS('A0.LS'!I:I,'A0.LS'!B:B,'A1.BS'!B46),0)</f>
        <v>0</v>
      </c>
      <c r="E46" s="879">
        <f>ROUND(SUMIFS('A0.LS'!J:J,'A0.LS'!B:B,'A1.BS'!B46),0)</f>
        <v>0</v>
      </c>
      <c r="F46" s="880">
        <f>ROUND(SUMIFS('A0.LS'!K:K,'A0.LS'!B:B,'A1.BS'!B46),0)</f>
        <v>0</v>
      </c>
      <c r="G46" s="881">
        <f t="shared" si="46"/>
        <v>0</v>
      </c>
      <c r="H46" s="868"/>
      <c r="I46" s="882">
        <f>ROUND(SUMIFS('A0.LS'!N:N,'A0.LS'!B:B,'A1.BS'!B46),0)</f>
        <v>0</v>
      </c>
      <c r="J46" s="882">
        <f>ROUND(SUMIFS('A0.LS'!O:O,'A0.LS'!B:B,'A1.BS'!B46),0)</f>
        <v>0</v>
      </c>
      <c r="K46" s="883">
        <f>ROUND(SUMIFS('A0.LS'!P:P,'A0.LS'!B:B,'A1.BS'!B46),0)</f>
        <v>0</v>
      </c>
      <c r="L46" s="884">
        <f t="shared" si="47"/>
        <v>0</v>
      </c>
      <c r="M46" s="850"/>
      <c r="N46" s="19" t="str">
        <f t="shared" si="5"/>
        <v/>
      </c>
      <c r="O46" s="850"/>
      <c r="P46" s="885">
        <f>ROUND(SUMIFS('A0.LS'!AV:AV,'A0.LS'!B:B,'A1.BS'!B46),0)</f>
        <v>0</v>
      </c>
      <c r="Q46" s="886">
        <f>ROUND(SUMIFS('A0.LS'!AW:AW,'A0.LS'!B:B,'A1.BS'!B46),0)</f>
        <v>0</v>
      </c>
      <c r="R46" s="887">
        <f t="shared" si="48"/>
        <v>0</v>
      </c>
      <c r="S46" s="878"/>
      <c r="T46" s="888">
        <f>ROUND(SUMIFS('A0.LS'!BP:BP,'A0.LS'!B:B,'A1.BS'!B46),0)</f>
        <v>0</v>
      </c>
      <c r="U46" s="889">
        <f>ROUND(SUMIFS('A0.LS'!BQ:BQ,'A0.LS'!B:B,'A1.BS'!B46),0)</f>
        <v>0</v>
      </c>
      <c r="V46" s="890">
        <f t="shared" si="49"/>
        <v>0</v>
      </c>
      <c r="W46" s="850"/>
      <c r="X46" s="39" t="str">
        <f t="shared" si="32"/>
        <v/>
      </c>
    </row>
    <row r="47" spans="2:24">
      <c r="B47" s="863">
        <v>216</v>
      </c>
      <c r="C47" s="864" t="s">
        <v>1887</v>
      </c>
      <c r="D47" s="879">
        <f>ROUND(SUMIFS('A0.LS'!I:I,'A0.LS'!B:B,'A1.BS'!B47),0)</f>
        <v>0</v>
      </c>
      <c r="E47" s="879">
        <f>ROUND(SUMIFS('A0.LS'!J:J,'A0.LS'!B:B,'A1.BS'!B47),0)</f>
        <v>0</v>
      </c>
      <c r="F47" s="880">
        <f>ROUND(SUMIFS('A0.LS'!K:K,'A0.LS'!B:B,'A1.BS'!B47),0)</f>
        <v>0</v>
      </c>
      <c r="G47" s="881">
        <f t="shared" si="46"/>
        <v>0</v>
      </c>
      <c r="H47" s="868"/>
      <c r="I47" s="882">
        <f>ROUND(SUMIFS('A0.LS'!N:N,'A0.LS'!B:B,'A1.BS'!B47),0)</f>
        <v>0</v>
      </c>
      <c r="J47" s="882">
        <f>ROUND(SUMIFS('A0.LS'!O:O,'A0.LS'!B:B,'A1.BS'!B47),0)</f>
        <v>0</v>
      </c>
      <c r="K47" s="883">
        <f>ROUND(SUMIFS('A0.LS'!P:P,'A0.LS'!B:B,'A1.BS'!B47),0)</f>
        <v>0</v>
      </c>
      <c r="L47" s="884">
        <f t="shared" si="47"/>
        <v>0</v>
      </c>
      <c r="M47" s="850"/>
      <c r="N47" s="19" t="str">
        <f t="shared" si="5"/>
        <v/>
      </c>
      <c r="O47" s="850"/>
      <c r="P47" s="885">
        <f>ROUND(SUMIFS('A0.LS'!AV:AV,'A0.LS'!B:B,'A1.BS'!B47),0)</f>
        <v>0</v>
      </c>
      <c r="Q47" s="886">
        <f>ROUND(SUMIFS('A0.LS'!AW:AW,'A0.LS'!B:B,'A1.BS'!B47),0)</f>
        <v>0</v>
      </c>
      <c r="R47" s="887">
        <f t="shared" si="48"/>
        <v>0</v>
      </c>
      <c r="S47" s="878"/>
      <c r="T47" s="888">
        <f>ROUND(SUMIFS('A0.LS'!BP:BP,'A0.LS'!B:B,'A1.BS'!B47),0)</f>
        <v>0</v>
      </c>
      <c r="U47" s="889">
        <f>ROUND(SUMIFS('A0.LS'!BQ:BQ,'A0.LS'!B:B,'A1.BS'!B47),0)</f>
        <v>0</v>
      </c>
      <c r="V47" s="890">
        <f t="shared" si="49"/>
        <v>0</v>
      </c>
      <c r="W47" s="850"/>
      <c r="X47" s="39" t="str">
        <f t="shared" si="32"/>
        <v/>
      </c>
    </row>
    <row r="48" spans="2:24">
      <c r="B48" s="863">
        <v>219</v>
      </c>
      <c r="C48" s="864" t="s">
        <v>1888</v>
      </c>
      <c r="D48" s="879">
        <f>ROUND(SUMIFS('A0.LS'!I:I,'A0.LS'!B:B,'A1.BS'!B48),0)</f>
        <v>0</v>
      </c>
      <c r="E48" s="879">
        <f>ROUND(SUMIFS('A0.LS'!J:J,'A0.LS'!B:B,'A1.BS'!B48),0)</f>
        <v>0</v>
      </c>
      <c r="F48" s="880">
        <f>ROUND(SUMIFS('A0.LS'!K:K,'A0.LS'!B:B,'A1.BS'!B48),0)</f>
        <v>0</v>
      </c>
      <c r="G48" s="881">
        <f t="shared" si="46"/>
        <v>0</v>
      </c>
      <c r="H48" s="868"/>
      <c r="I48" s="882">
        <f>ROUND(SUMIFS('A0.LS'!N:N,'A0.LS'!B:B,'A1.BS'!B48),0)</f>
        <v>0</v>
      </c>
      <c r="J48" s="882">
        <f>ROUND(SUMIFS('A0.LS'!O:O,'A0.LS'!B:B,'A1.BS'!B48),0)</f>
        <v>0</v>
      </c>
      <c r="K48" s="883">
        <f>ROUND(SUMIFS('A0.LS'!P:P,'A0.LS'!B:B,'A1.BS'!B48),0)</f>
        <v>0</v>
      </c>
      <c r="L48" s="884">
        <f t="shared" si="47"/>
        <v>0</v>
      </c>
      <c r="M48" s="850"/>
      <c r="N48" s="19" t="str">
        <f t="shared" si="5"/>
        <v/>
      </c>
      <c r="O48" s="850"/>
      <c r="P48" s="885">
        <f>ROUND(SUMIFS('A0.LS'!AV:AV,'A0.LS'!B:B,'A1.BS'!B48),0)</f>
        <v>0</v>
      </c>
      <c r="Q48" s="886">
        <f>ROUND(SUMIFS('A0.LS'!AW:AW,'A0.LS'!B:B,'A1.BS'!B48),0)</f>
        <v>0</v>
      </c>
      <c r="R48" s="887">
        <f t="shared" si="48"/>
        <v>0</v>
      </c>
      <c r="S48" s="878"/>
      <c r="T48" s="888">
        <f>ROUND(SUMIFS('A0.LS'!BP:BP,'A0.LS'!B:B,'A1.BS'!B48),0)</f>
        <v>0</v>
      </c>
      <c r="U48" s="889">
        <f>ROUND(SUMIFS('A0.LS'!BQ:BQ,'A0.LS'!B:B,'A1.BS'!B48),0)</f>
        <v>0</v>
      </c>
      <c r="V48" s="890">
        <f t="shared" si="49"/>
        <v>0</v>
      </c>
      <c r="W48" s="850"/>
      <c r="X48" s="39" t="str">
        <f t="shared" si="32"/>
        <v/>
      </c>
    </row>
    <row r="49" spans="2:24">
      <c r="B49" s="863"/>
      <c r="C49" s="864"/>
      <c r="D49" s="865"/>
      <c r="E49" s="865"/>
      <c r="F49" s="866"/>
      <c r="G49" s="867"/>
      <c r="H49" s="868"/>
      <c r="I49" s="869"/>
      <c r="J49" s="869"/>
      <c r="K49" s="870"/>
      <c r="L49" s="871"/>
      <c r="M49" s="850"/>
      <c r="N49" s="19" t="str">
        <f t="shared" si="5"/>
        <v>x</v>
      </c>
      <c r="O49" s="850"/>
      <c r="P49" s="872"/>
      <c r="Q49" s="873"/>
      <c r="R49" s="874"/>
      <c r="S49" s="878"/>
      <c r="T49" s="875"/>
      <c r="U49" s="876"/>
      <c r="V49" s="877"/>
      <c r="W49" s="850"/>
      <c r="X49" s="39"/>
    </row>
    <row r="50" spans="2:24" s="38" customFormat="1">
      <c r="B50" s="55">
        <v>220</v>
      </c>
      <c r="C50" s="56" t="s">
        <v>1889</v>
      </c>
      <c r="D50" s="44">
        <f>SUM(D51,D54,D57)</f>
        <v>46663974472</v>
      </c>
      <c r="E50" s="44">
        <f>SUM(E51,E54,E57)</f>
        <v>0</v>
      </c>
      <c r="F50" s="111">
        <f>SUM(F51,F54,F57)</f>
        <v>0</v>
      </c>
      <c r="G50" s="121">
        <f>SUM(G51,G54,G57)</f>
        <v>46663974472</v>
      </c>
      <c r="H50" s="116"/>
      <c r="I50" s="49">
        <f>SUM(I51,I54,I57)</f>
        <v>42229970773</v>
      </c>
      <c r="J50" s="49">
        <f>SUM(J51,J54,J57)</f>
        <v>4891767</v>
      </c>
      <c r="K50" s="127">
        <f>SUM(K51,K54,K57)</f>
        <v>0</v>
      </c>
      <c r="L50" s="133">
        <f>SUM(L51,L54,L57)</f>
        <v>42234862540</v>
      </c>
      <c r="N50" s="19" t="str">
        <f t="shared" si="5"/>
        <v>x</v>
      </c>
      <c r="P50" s="469">
        <f t="shared" ref="P50:R50" si="50">SUM(P51,P54,P57)</f>
        <v>56839000014</v>
      </c>
      <c r="Q50" s="474">
        <f t="shared" si="50"/>
        <v>0</v>
      </c>
      <c r="R50" s="484">
        <f t="shared" si="50"/>
        <v>56839000014</v>
      </c>
      <c r="S50" s="479"/>
      <c r="T50" s="464">
        <f t="shared" ref="T50:V50" si="51">SUM(T51,T54,T57)</f>
        <v>54807935941</v>
      </c>
      <c r="U50" s="465">
        <f t="shared" si="51"/>
        <v>0</v>
      </c>
      <c r="V50" s="490">
        <f t="shared" si="51"/>
        <v>54807935941</v>
      </c>
      <c r="X50" s="39" t="str">
        <f t="shared" si="32"/>
        <v>x</v>
      </c>
    </row>
    <row r="51" spans="2:24">
      <c r="B51" s="863">
        <v>221</v>
      </c>
      <c r="C51" s="864" t="s">
        <v>1890</v>
      </c>
      <c r="D51" s="879">
        <f t="shared" ref="D51:G51" si="52">SUM(D52:D53)</f>
        <v>998238255</v>
      </c>
      <c r="E51" s="879">
        <f t="shared" si="52"/>
        <v>0</v>
      </c>
      <c r="F51" s="880">
        <f t="shared" si="52"/>
        <v>0</v>
      </c>
      <c r="G51" s="881">
        <f t="shared" si="52"/>
        <v>998238255</v>
      </c>
      <c r="H51" s="868"/>
      <c r="I51" s="882">
        <f>SUM(I52:I53)</f>
        <v>1428393450</v>
      </c>
      <c r="J51" s="882">
        <f t="shared" ref="J51:L51" si="53">SUM(J52:J53)</f>
        <v>0</v>
      </c>
      <c r="K51" s="883">
        <f t="shared" si="53"/>
        <v>0</v>
      </c>
      <c r="L51" s="891">
        <f t="shared" si="53"/>
        <v>1428393450</v>
      </c>
      <c r="M51" s="850"/>
      <c r="N51" s="19" t="str">
        <f t="shared" si="5"/>
        <v>x</v>
      </c>
      <c r="O51" s="850"/>
      <c r="P51" s="885">
        <f t="shared" ref="P51:R51" si="54">SUM(P52:P53)</f>
        <v>7586460061</v>
      </c>
      <c r="Q51" s="886">
        <f t="shared" si="54"/>
        <v>0</v>
      </c>
      <c r="R51" s="892">
        <f t="shared" si="54"/>
        <v>7586460061</v>
      </c>
      <c r="S51" s="893"/>
      <c r="T51" s="888">
        <f t="shared" ref="T51:U51" si="55">SUM(T52:T53)</f>
        <v>9764056515</v>
      </c>
      <c r="U51" s="889">
        <f t="shared" si="55"/>
        <v>0</v>
      </c>
      <c r="V51" s="894">
        <f>SUM(V52:V53)</f>
        <v>9764056515</v>
      </c>
      <c r="W51" s="850"/>
      <c r="X51" s="39" t="str">
        <f t="shared" si="32"/>
        <v>x</v>
      </c>
    </row>
    <row r="52" spans="2:24" s="37" customFormat="1">
      <c r="B52" s="57">
        <v>222</v>
      </c>
      <c r="C52" s="58" t="s">
        <v>1891</v>
      </c>
      <c r="D52" s="45">
        <f>ROUND(SUMIFS('A0.LS'!I:I,'A0.LS'!B:B,'A1.BS'!B52),0)</f>
        <v>2403010140</v>
      </c>
      <c r="E52" s="45">
        <f>ROUND(SUMIFS('A0.LS'!J:J,'A0.LS'!B:B,'A1.BS'!B52),0)</f>
        <v>0</v>
      </c>
      <c r="F52" s="112">
        <f>ROUND(SUMIFS('A0.LS'!K:K,'A0.LS'!B:B,'A1.BS'!B52),0)</f>
        <v>0</v>
      </c>
      <c r="G52" s="122">
        <f t="shared" ref="G52:G53" si="56">ROUND(SUM(D52:F52),0)</f>
        <v>2403010140</v>
      </c>
      <c r="H52" s="117"/>
      <c r="I52" s="50">
        <f>ROUND(SUMIFS('A0.LS'!N:N,'A0.LS'!B:B,'A1.BS'!B52),0)</f>
        <v>2322101049</v>
      </c>
      <c r="J52" s="50">
        <f>ROUND(SUMIFS('A0.LS'!O:O,'A0.LS'!B:B,'A1.BS'!B52),0)</f>
        <v>0</v>
      </c>
      <c r="K52" s="128">
        <f>ROUND(SUMIFS('A0.LS'!P:P,'A0.LS'!B:B,'A1.BS'!B52),0)</f>
        <v>0</v>
      </c>
      <c r="L52" s="134">
        <f t="shared" ref="L52:L59" si="57">ROUND(SUM(I52:K52),0)</f>
        <v>2322101049</v>
      </c>
      <c r="N52" s="39" t="str">
        <f t="shared" si="5"/>
        <v>x</v>
      </c>
      <c r="P52" s="470">
        <f>ROUND(SUMIFS('A0.LS'!AV:AV,'A0.LS'!B:B,'A1.BS'!B52),0)</f>
        <v>13266657240</v>
      </c>
      <c r="Q52" s="475">
        <f>ROUND(SUMIFS('A0.LS'!AW:AW,'A0.LS'!B:B,'A1.BS'!B52),0)</f>
        <v>0</v>
      </c>
      <c r="R52" s="485">
        <f t="shared" ref="R52:R53" si="58">ROUND(SUM(P52:Q52),0)</f>
        <v>13266657240</v>
      </c>
      <c r="S52" s="480"/>
      <c r="T52" s="466">
        <f>ROUND(SUMIFS('A0.LS'!BP:BP,'A0.LS'!B:B,'A1.BS'!B52),0)</f>
        <v>13072860149</v>
      </c>
      <c r="U52" s="487">
        <f>ROUND(SUMIFS('A0.LS'!BQ:BQ,'A0.LS'!B:B,'A1.BS'!B52),0)</f>
        <v>0</v>
      </c>
      <c r="V52" s="491">
        <v>13072860149</v>
      </c>
      <c r="X52" s="39" t="str">
        <f t="shared" si="32"/>
        <v>x</v>
      </c>
    </row>
    <row r="53" spans="2:24" s="37" customFormat="1">
      <c r="B53" s="57">
        <v>223</v>
      </c>
      <c r="C53" s="58" t="s">
        <v>1892</v>
      </c>
      <c r="D53" s="45">
        <f>ROUND(SUMIFS('A0.LS'!I:I,'A0.LS'!B:B,'A1.BS'!B53),0)</f>
        <v>-1404771885</v>
      </c>
      <c r="E53" s="45">
        <f>ROUND(SUMIFS('A0.LS'!J:J,'A0.LS'!B:B,'A1.BS'!B53),0)</f>
        <v>0</v>
      </c>
      <c r="F53" s="112">
        <f>ROUND(SUMIFS('A0.LS'!K:K,'A0.LS'!B:B,'A1.BS'!B53),0)</f>
        <v>0</v>
      </c>
      <c r="G53" s="122">
        <f t="shared" si="56"/>
        <v>-1404771885</v>
      </c>
      <c r="H53" s="117"/>
      <c r="I53" s="50">
        <f>ROUND(SUMIFS('A0.LS'!N:N,'A0.LS'!B:B,'A1.BS'!B53),0)</f>
        <v>-893707599</v>
      </c>
      <c r="J53" s="50">
        <f>ROUND(SUMIFS('A0.LS'!O:O,'A0.LS'!B:B,'A1.BS'!B53),0)</f>
        <v>0</v>
      </c>
      <c r="K53" s="128">
        <f>ROUND(SUMIFS('A0.LS'!P:P,'A0.LS'!B:B,'A1.BS'!B53),0)</f>
        <v>0</v>
      </c>
      <c r="L53" s="134">
        <f t="shared" si="57"/>
        <v>-893707599</v>
      </c>
      <c r="N53" s="39" t="str">
        <f>IF(OR(L53&lt;&gt;0,G53&lt;&gt;0,G53="",L53=""),"x","")</f>
        <v>x</v>
      </c>
      <c r="P53" s="470">
        <f>ROUND(SUMIFS('A0.LS'!AV:AV,'A0.LS'!B:B,'A1.BS'!B53),0)</f>
        <v>-5680197179</v>
      </c>
      <c r="Q53" s="475">
        <f>ROUND(SUMIFS('A0.LS'!AW:AW,'A0.LS'!B:B,'A1.BS'!B53),0)</f>
        <v>0</v>
      </c>
      <c r="R53" s="485">
        <f t="shared" si="58"/>
        <v>-5680197179</v>
      </c>
      <c r="S53" s="480"/>
      <c r="T53" s="466">
        <f>ROUND(SUMIFS('A0.LS'!BP:BP,'A0.LS'!B:B,'A1.BS'!B53),0)</f>
        <v>-3308803634</v>
      </c>
      <c r="U53" s="487">
        <f>ROUND(SUMIFS('A0.LS'!BQ:BQ,'A0.LS'!B:B,'A1.BS'!B53),0)</f>
        <v>0</v>
      </c>
      <c r="V53" s="491">
        <f>-3308803634</f>
        <v>-3308803634</v>
      </c>
      <c r="X53" s="39" t="str">
        <f t="shared" si="32"/>
        <v>x</v>
      </c>
    </row>
    <row r="54" spans="2:24">
      <c r="B54" s="863">
        <v>224</v>
      </c>
      <c r="C54" s="864" t="s">
        <v>1893</v>
      </c>
      <c r="D54" s="879">
        <f>SUM(D55:D56)</f>
        <v>0</v>
      </c>
      <c r="E54" s="879">
        <f>SUM(E55:E56)</f>
        <v>0</v>
      </c>
      <c r="F54" s="880">
        <f>SUM(F55:F56)</f>
        <v>0</v>
      </c>
      <c r="G54" s="881">
        <f>SUM(G55:G56)</f>
        <v>0</v>
      </c>
      <c r="H54" s="868"/>
      <c r="I54" s="882">
        <f>SUM(I55:I56)</f>
        <v>0</v>
      </c>
      <c r="J54" s="882">
        <f>SUM(J55:J56)</f>
        <v>0</v>
      </c>
      <c r="K54" s="883">
        <f>SUM(K55:K56)</f>
        <v>0</v>
      </c>
      <c r="L54" s="891">
        <f>SUM(L55:L56)</f>
        <v>0</v>
      </c>
      <c r="M54" s="850"/>
      <c r="N54" s="19" t="str">
        <f t="shared" si="5"/>
        <v/>
      </c>
      <c r="O54" s="850"/>
      <c r="P54" s="885">
        <f t="shared" ref="P54:R54" si="59">SUM(P55:P56)</f>
        <v>0</v>
      </c>
      <c r="Q54" s="886">
        <f t="shared" si="59"/>
        <v>0</v>
      </c>
      <c r="R54" s="892">
        <f t="shared" si="59"/>
        <v>0</v>
      </c>
      <c r="S54" s="893"/>
      <c r="T54" s="888">
        <f t="shared" ref="T54:V54" si="60">SUM(T55:T56)</f>
        <v>0</v>
      </c>
      <c r="U54" s="889">
        <f t="shared" si="60"/>
        <v>0</v>
      </c>
      <c r="V54" s="894">
        <f t="shared" si="60"/>
        <v>0</v>
      </c>
      <c r="W54" s="850"/>
      <c r="X54" s="39" t="str">
        <f t="shared" si="32"/>
        <v/>
      </c>
    </row>
    <row r="55" spans="2:24" s="37" customFormat="1">
      <c r="B55" s="57">
        <v>225</v>
      </c>
      <c r="C55" s="58" t="s">
        <v>1891</v>
      </c>
      <c r="D55" s="45">
        <f>ROUND(SUMIFS('A0.LS'!I:I,'A0.LS'!B:B,'A1.BS'!B55),0)</f>
        <v>0</v>
      </c>
      <c r="E55" s="45">
        <f>ROUND(SUMIFS('A0.LS'!J:J,'A0.LS'!B:B,'A1.BS'!B55),0)</f>
        <v>0</v>
      </c>
      <c r="F55" s="112">
        <f>ROUND(SUMIFS('A0.LS'!K:K,'A0.LS'!B:B,'A1.BS'!B55),0)</f>
        <v>0</v>
      </c>
      <c r="G55" s="122">
        <f t="shared" ref="G55:G56" si="61">ROUND(SUM(D55:F55),0)</f>
        <v>0</v>
      </c>
      <c r="H55" s="117"/>
      <c r="I55" s="50">
        <f>ROUND(SUMIFS('A0.LS'!N:N,'A0.LS'!B:B,'A1.BS'!B55),0)</f>
        <v>0</v>
      </c>
      <c r="J55" s="50">
        <f>ROUND(SUMIFS('A0.LS'!O:O,'A0.LS'!B:B,'A1.BS'!B55),0)</f>
        <v>0</v>
      </c>
      <c r="K55" s="128">
        <f>ROUND(SUMIFS('A0.LS'!P:P,'A0.LS'!B:B,'A1.BS'!B55),0)</f>
        <v>0</v>
      </c>
      <c r="L55" s="134">
        <f t="shared" si="57"/>
        <v>0</v>
      </c>
      <c r="N55" s="19" t="str">
        <f t="shared" si="5"/>
        <v/>
      </c>
      <c r="P55" s="470">
        <f>ROUND(SUMIFS('A0.LS'!AV:AV,'A0.LS'!B:B,'A1.BS'!B55),0)</f>
        <v>0</v>
      </c>
      <c r="Q55" s="475">
        <f>ROUND(SUMIFS('A0.LS'!AW:AW,'A0.LS'!B:B,'A1.BS'!B55),0)</f>
        <v>0</v>
      </c>
      <c r="R55" s="485">
        <f t="shared" ref="R55:R56" si="62">ROUND(SUM(P55:Q55),0)</f>
        <v>0</v>
      </c>
      <c r="S55" s="480"/>
      <c r="T55" s="466">
        <f>ROUND(SUMIFS('A0.LS'!BP:BP,'A0.LS'!B:B,'A1.BS'!B55),0)</f>
        <v>0</v>
      </c>
      <c r="U55" s="487">
        <f>ROUND(SUMIFS('A0.LS'!BQ:BQ,'A0.LS'!B:B,'A1.BS'!B55),0)</f>
        <v>0</v>
      </c>
      <c r="V55" s="491">
        <f t="shared" ref="V55:V56" si="63">ROUND(SUM(T55:U55),0)</f>
        <v>0</v>
      </c>
      <c r="X55" s="39" t="str">
        <f t="shared" si="32"/>
        <v/>
      </c>
    </row>
    <row r="56" spans="2:24" s="37" customFormat="1">
      <c r="B56" s="57">
        <v>226</v>
      </c>
      <c r="C56" s="58" t="s">
        <v>1892</v>
      </c>
      <c r="D56" s="45">
        <f>ROUND(SUMIFS('A0.LS'!I:I,'A0.LS'!B:B,'A1.BS'!B56),0)</f>
        <v>0</v>
      </c>
      <c r="E56" s="45">
        <f>ROUND(SUMIFS('A0.LS'!J:J,'A0.LS'!B:B,'A1.BS'!B56),0)</f>
        <v>0</v>
      </c>
      <c r="F56" s="112">
        <f>ROUND(SUMIFS('A0.LS'!K:K,'A0.LS'!B:B,'A1.BS'!B56),0)</f>
        <v>0</v>
      </c>
      <c r="G56" s="122">
        <f t="shared" si="61"/>
        <v>0</v>
      </c>
      <c r="H56" s="117"/>
      <c r="I56" s="50">
        <f>ROUND(SUMIFS('A0.LS'!N:N,'A0.LS'!B:B,'A1.BS'!B56),0)</f>
        <v>0</v>
      </c>
      <c r="J56" s="50">
        <f>ROUND(SUMIFS('A0.LS'!O:O,'A0.LS'!B:B,'A1.BS'!B56),0)</f>
        <v>0</v>
      </c>
      <c r="K56" s="128">
        <f>ROUND(SUMIFS('A0.LS'!P:P,'A0.LS'!B:B,'A1.BS'!B56),0)</f>
        <v>0</v>
      </c>
      <c r="L56" s="134">
        <f t="shared" si="57"/>
        <v>0</v>
      </c>
      <c r="N56" s="19" t="str">
        <f t="shared" si="5"/>
        <v/>
      </c>
      <c r="P56" s="470">
        <f>ROUND(SUMIFS('A0.LS'!AV:AV,'A0.LS'!B:B,'A1.BS'!B56),0)</f>
        <v>0</v>
      </c>
      <c r="Q56" s="475">
        <f>ROUND(SUMIFS('A0.LS'!AW:AW,'A0.LS'!B:B,'A1.BS'!B56),0)</f>
        <v>0</v>
      </c>
      <c r="R56" s="485">
        <f t="shared" si="62"/>
        <v>0</v>
      </c>
      <c r="S56" s="480"/>
      <c r="T56" s="466">
        <f>ROUND(SUMIFS('A0.LS'!BP:BP,'A0.LS'!B:B,'A1.BS'!B56),0)</f>
        <v>0</v>
      </c>
      <c r="U56" s="487">
        <f>ROUND(SUMIFS('A0.LS'!BQ:BQ,'A0.LS'!B:B,'A1.BS'!B56),0)</f>
        <v>0</v>
      </c>
      <c r="V56" s="491">
        <f t="shared" si="63"/>
        <v>0</v>
      </c>
      <c r="X56" s="39" t="str">
        <f t="shared" si="32"/>
        <v/>
      </c>
    </row>
    <row r="57" spans="2:24">
      <c r="B57" s="863">
        <v>227</v>
      </c>
      <c r="C57" s="864" t="s">
        <v>1894</v>
      </c>
      <c r="D57" s="879">
        <f t="shared" ref="D57:G57" si="64">SUM(D58:D59)</f>
        <v>45665736217</v>
      </c>
      <c r="E57" s="879">
        <f t="shared" si="64"/>
        <v>0</v>
      </c>
      <c r="F57" s="880">
        <f t="shared" si="64"/>
        <v>0</v>
      </c>
      <c r="G57" s="881">
        <f t="shared" si="64"/>
        <v>45665736217</v>
      </c>
      <c r="H57" s="868"/>
      <c r="I57" s="882">
        <f>SUM(I58:I59)</f>
        <v>40801577323</v>
      </c>
      <c r="J57" s="882">
        <f t="shared" ref="J57:L57" si="65">SUM(J58:J59)</f>
        <v>4891767</v>
      </c>
      <c r="K57" s="883">
        <f t="shared" si="65"/>
        <v>0</v>
      </c>
      <c r="L57" s="891">
        <f t="shared" si="65"/>
        <v>40806469090</v>
      </c>
      <c r="M57" s="850"/>
      <c r="N57" s="19" t="str">
        <f t="shared" si="5"/>
        <v>x</v>
      </c>
      <c r="O57" s="850"/>
      <c r="P57" s="885">
        <f t="shared" ref="P57:R57" si="66">SUM(P58:P59)</f>
        <v>49252539953</v>
      </c>
      <c r="Q57" s="886">
        <f t="shared" si="66"/>
        <v>0</v>
      </c>
      <c r="R57" s="892">
        <f t="shared" si="66"/>
        <v>49252539953</v>
      </c>
      <c r="S57" s="893"/>
      <c r="T57" s="888">
        <f t="shared" ref="T57:V57" si="67">SUM(T58:T59)</f>
        <v>45043879426</v>
      </c>
      <c r="U57" s="889">
        <f t="shared" si="67"/>
        <v>0</v>
      </c>
      <c r="V57" s="894">
        <f t="shared" si="67"/>
        <v>45043879426</v>
      </c>
      <c r="W57" s="850"/>
      <c r="X57" s="39" t="str">
        <f t="shared" si="32"/>
        <v>x</v>
      </c>
    </row>
    <row r="58" spans="2:24" s="37" customFormat="1">
      <c r="B58" s="57">
        <v>228</v>
      </c>
      <c r="C58" s="58" t="s">
        <v>1891</v>
      </c>
      <c r="D58" s="45">
        <f>ROUND(SUMIFS('A0.LS'!I:I,'A0.LS'!B:B,'A1.BS'!B58),0)</f>
        <v>53008591420</v>
      </c>
      <c r="E58" s="45">
        <f>ROUND(SUMIFS('A0.LS'!J:J,'A0.LS'!B:B,'A1.BS'!B58),0)</f>
        <v>0</v>
      </c>
      <c r="F58" s="112">
        <f>ROUND(SUMIFS('A0.LS'!K:K,'A0.LS'!B:B,'A1.BS'!B58),0)</f>
        <v>0</v>
      </c>
      <c r="G58" s="122">
        <f>ROUND(SUM(D58:F58),0)</f>
        <v>53008591420</v>
      </c>
      <c r="H58" s="117"/>
      <c r="I58" s="50">
        <f>ROUND(SUMIFS('A0.LS'!N:N,'A0.LS'!B:B,'A1.BS'!B58),0)</f>
        <v>44677813903</v>
      </c>
      <c r="J58" s="50">
        <f>ROUND(SUMIFS('A0.LS'!O:O,'A0.LS'!B:B,'A1.BS'!B58),0)</f>
        <v>0</v>
      </c>
      <c r="K58" s="128">
        <f>ROUND(SUMIFS('A0.LS'!P:P,'A0.LS'!B:B,'A1.BS'!B58),0)</f>
        <v>0</v>
      </c>
      <c r="L58" s="134">
        <f>ROUND(SUM(I58:K58),0)</f>
        <v>44677813903</v>
      </c>
      <c r="N58" s="39" t="str">
        <f t="shared" si="5"/>
        <v>x</v>
      </c>
      <c r="P58" s="470">
        <f>ROUND(SUMIFS('A0.LS'!AV:AV,'A0.LS'!B:B,'A1.BS'!B58),0)</f>
        <v>58070669528</v>
      </c>
      <c r="Q58" s="475">
        <f>ROUND(SUMIFS('A0.LS'!AW:AW,'A0.LS'!B:B,'A1.BS'!B58),0)</f>
        <v>0</v>
      </c>
      <c r="R58" s="485">
        <f t="shared" ref="R58:R59" si="68">ROUND(SUM(P58:Q58),0)</f>
        <v>58070669528</v>
      </c>
      <c r="S58" s="481"/>
      <c r="T58" s="466">
        <f>ROUND(SUMIFS('A0.LS'!BP:BP,'A0.LS'!B:B,'A1.BS'!B58),0)</f>
        <v>49739892011</v>
      </c>
      <c r="U58" s="487">
        <f>ROUND(SUMIFS('A0.LS'!BQ:BQ,'A0.LS'!B:B,'A1.BS'!B58),0)</f>
        <v>0</v>
      </c>
      <c r="V58" s="491">
        <v>49739892011</v>
      </c>
      <c r="X58" s="39" t="str">
        <f t="shared" si="32"/>
        <v>x</v>
      </c>
    </row>
    <row r="59" spans="2:24" s="37" customFormat="1">
      <c r="B59" s="57">
        <v>229</v>
      </c>
      <c r="C59" s="58" t="s">
        <v>1892</v>
      </c>
      <c r="D59" s="45">
        <f>ROUND(SUMIFS('A0.LS'!I:I,'A0.LS'!B:B,'A1.BS'!B59),0)</f>
        <v>-7342855203</v>
      </c>
      <c r="E59" s="45">
        <f>ROUND(SUMIFS('A0.LS'!J:J,'A0.LS'!B:B,'A1.BS'!B59),0)</f>
        <v>0</v>
      </c>
      <c r="F59" s="112">
        <f>ROUND(SUMIFS('A0.LS'!K:K,'A0.LS'!B:B,'A1.BS'!B59),0)</f>
        <v>0</v>
      </c>
      <c r="G59" s="122">
        <f t="shared" ref="G59" si="69">ROUND(SUM(D59:F59),0)</f>
        <v>-7342855203</v>
      </c>
      <c r="H59" s="117"/>
      <c r="I59" s="50">
        <f>ROUND(SUMIFS('A0.LS'!N:N,'A0.LS'!B:B,'A1.BS'!B59),0)</f>
        <v>-3876236580</v>
      </c>
      <c r="J59" s="50">
        <f>ROUND(SUMIFS('A0.LS'!O:O,'A0.LS'!B:B,'A1.BS'!B59),0)</f>
        <v>4891767</v>
      </c>
      <c r="K59" s="128">
        <f>ROUND(SUMIFS('A0.LS'!P:P,'A0.LS'!B:B,'A1.BS'!B59),0)</f>
        <v>0</v>
      </c>
      <c r="L59" s="134">
        <f t="shared" si="57"/>
        <v>-3871344813</v>
      </c>
      <c r="N59" s="39" t="str">
        <f t="shared" si="5"/>
        <v>x</v>
      </c>
      <c r="P59" s="470">
        <f>ROUND(SUMIFS('A0.LS'!AV:AV,'A0.LS'!B:B,'A1.BS'!B59),0)</f>
        <v>-8818129575</v>
      </c>
      <c r="Q59" s="475">
        <f>ROUND(SUMIFS('A0.LS'!AW:AW,'A0.LS'!B:B,'A1.BS'!B59),0)</f>
        <v>0</v>
      </c>
      <c r="R59" s="485">
        <f t="shared" si="68"/>
        <v>-8818129575</v>
      </c>
      <c r="S59" s="481"/>
      <c r="T59" s="466">
        <f>ROUND(SUMIFS('A0.LS'!BP:BP,'A0.LS'!B:B,'A1.BS'!B59),0)</f>
        <v>-4696012585</v>
      </c>
      <c r="U59" s="487">
        <f>ROUND(SUMIFS('A0.LS'!BQ:BQ,'A0.LS'!B:B,'A1.BS'!B59),0)</f>
        <v>0</v>
      </c>
      <c r="V59" s="491">
        <f>-4696012585</f>
        <v>-4696012585</v>
      </c>
      <c r="X59" s="39" t="str">
        <f t="shared" si="32"/>
        <v>x</v>
      </c>
    </row>
    <row r="60" spans="2:24">
      <c r="B60" s="863"/>
      <c r="C60" s="864"/>
      <c r="D60" s="865"/>
      <c r="E60" s="865"/>
      <c r="F60" s="866"/>
      <c r="G60" s="867"/>
      <c r="H60" s="868"/>
      <c r="I60" s="869"/>
      <c r="J60" s="869"/>
      <c r="K60" s="870"/>
      <c r="L60" s="871"/>
      <c r="M60" s="850"/>
      <c r="N60" s="19"/>
      <c r="O60" s="850"/>
      <c r="P60" s="872"/>
      <c r="Q60" s="873"/>
      <c r="R60" s="874"/>
      <c r="S60" s="878"/>
      <c r="T60" s="875"/>
      <c r="U60" s="876"/>
      <c r="V60" s="877"/>
      <c r="W60" s="850"/>
      <c r="X60" s="39" t="str">
        <f t="shared" si="32"/>
        <v>x</v>
      </c>
    </row>
    <row r="61" spans="2:24" s="38" customFormat="1">
      <c r="B61" s="55">
        <v>230</v>
      </c>
      <c r="C61" s="56" t="s">
        <v>1895</v>
      </c>
      <c r="D61" s="44">
        <f t="shared" ref="D61:G61" si="70">SUM(D62:D63)</f>
        <v>0</v>
      </c>
      <c r="E61" s="44">
        <f t="shared" si="70"/>
        <v>0</v>
      </c>
      <c r="F61" s="111">
        <f t="shared" si="70"/>
        <v>0</v>
      </c>
      <c r="G61" s="121">
        <f t="shared" si="70"/>
        <v>0</v>
      </c>
      <c r="H61" s="116"/>
      <c r="I61" s="49">
        <f>SUM(I62:I63)</f>
        <v>0</v>
      </c>
      <c r="J61" s="49">
        <f t="shared" ref="J61:L61" si="71">SUM(J62:J63)</f>
        <v>0</v>
      </c>
      <c r="K61" s="127">
        <f t="shared" si="71"/>
        <v>0</v>
      </c>
      <c r="L61" s="133">
        <f t="shared" si="71"/>
        <v>0</v>
      </c>
      <c r="N61" s="19" t="str">
        <f t="shared" si="5"/>
        <v/>
      </c>
      <c r="P61" s="469">
        <f t="shared" ref="P61:R61" si="72">SUM(P62:P63)</f>
        <v>0</v>
      </c>
      <c r="Q61" s="474">
        <f t="shared" si="72"/>
        <v>0</v>
      </c>
      <c r="R61" s="484">
        <f t="shared" si="72"/>
        <v>0</v>
      </c>
      <c r="S61" s="479"/>
      <c r="T61" s="464">
        <f t="shared" ref="T61:V61" si="73">SUM(T62:T63)</f>
        <v>0</v>
      </c>
      <c r="U61" s="465">
        <f t="shared" si="73"/>
        <v>0</v>
      </c>
      <c r="V61" s="490">
        <f t="shared" si="73"/>
        <v>0</v>
      </c>
      <c r="X61" s="39" t="str">
        <f t="shared" si="32"/>
        <v/>
      </c>
    </row>
    <row r="62" spans="2:24">
      <c r="B62" s="863">
        <v>231</v>
      </c>
      <c r="C62" s="864" t="s">
        <v>1896</v>
      </c>
      <c r="D62" s="879">
        <f>ROUND(SUMIFS('A0.LS'!I:I,'A0.LS'!B:B,'A1.BS'!B62),0)</f>
        <v>0</v>
      </c>
      <c r="E62" s="879">
        <f>ROUND(SUMIFS('A0.LS'!J:J,'A0.LS'!B:B,'A1.BS'!B62),0)</f>
        <v>0</v>
      </c>
      <c r="F62" s="880">
        <f>ROUND(SUMIFS('A0.LS'!K:K,'A0.LS'!B:B,'A1.BS'!B62),0)</f>
        <v>0</v>
      </c>
      <c r="G62" s="881">
        <f t="shared" ref="G62:G63" si="74">ROUND(SUM(D62:F62),0)</f>
        <v>0</v>
      </c>
      <c r="H62" s="868"/>
      <c r="I62" s="882">
        <f>ROUND(SUMIFS('A0.LS'!N:N,'A0.LS'!B:B,'A1.BS'!B62),0)</f>
        <v>0</v>
      </c>
      <c r="J62" s="882">
        <f>ROUND(SUMIFS('A0.LS'!O:O,'A0.LS'!B:B,'A1.BS'!B62),0)</f>
        <v>0</v>
      </c>
      <c r="K62" s="883">
        <f>ROUND(SUMIFS('A0.LS'!P:P,'A0.LS'!B:B,'A1.BS'!B62),0)</f>
        <v>0</v>
      </c>
      <c r="L62" s="884">
        <f t="shared" ref="L62:L63" si="75">ROUND(SUM(I62:K62),0)</f>
        <v>0</v>
      </c>
      <c r="M62" s="850"/>
      <c r="N62" s="19" t="str">
        <f t="shared" si="5"/>
        <v/>
      </c>
      <c r="O62" s="850"/>
      <c r="P62" s="885">
        <f>ROUND(SUMIFS('A0.LS'!AV:AV,'A0.LS'!B:B,'A1.BS'!B62),0)</f>
        <v>0</v>
      </c>
      <c r="Q62" s="886">
        <f>ROUND(SUMIFS('A0.LS'!AW:AW,'A0.LS'!B:B,'A1.BS'!B62),0)</f>
        <v>0</v>
      </c>
      <c r="R62" s="887">
        <f t="shared" ref="R62:R63" si="76">ROUND(SUM(P62:Q62),0)</f>
        <v>0</v>
      </c>
      <c r="S62" s="878"/>
      <c r="T62" s="888">
        <f>ROUND(SUMIFS('A0.LS'!BP:BP,'A0.LS'!B:B,'A1.BS'!B62),0)</f>
        <v>0</v>
      </c>
      <c r="U62" s="889">
        <f>ROUND(SUMIFS('A0.LS'!BQ:BQ,'A0.LS'!B:B,'A1.BS'!B62),0)</f>
        <v>0</v>
      </c>
      <c r="V62" s="890">
        <f t="shared" ref="V62:V63" si="77">ROUND(SUM(T62:U62),0)</f>
        <v>0</v>
      </c>
      <c r="W62" s="850"/>
      <c r="X62" s="39" t="str">
        <f t="shared" si="32"/>
        <v/>
      </c>
    </row>
    <row r="63" spans="2:24">
      <c r="B63" s="863">
        <v>232</v>
      </c>
      <c r="C63" s="864" t="s">
        <v>1897</v>
      </c>
      <c r="D63" s="879">
        <f>ROUND(SUMIFS('A0.LS'!I:I,'A0.LS'!B:B,'A1.BS'!B63),0)</f>
        <v>0</v>
      </c>
      <c r="E63" s="879">
        <f>ROUND(SUMIFS('A0.LS'!J:J,'A0.LS'!B:B,'A1.BS'!B63),0)</f>
        <v>0</v>
      </c>
      <c r="F63" s="880">
        <f>ROUND(SUMIFS('A0.LS'!K:K,'A0.LS'!B:B,'A1.BS'!B63),0)</f>
        <v>0</v>
      </c>
      <c r="G63" s="881">
        <f t="shared" si="74"/>
        <v>0</v>
      </c>
      <c r="H63" s="868"/>
      <c r="I63" s="882">
        <f>ROUND(SUMIFS('A0.LS'!N:N,'A0.LS'!B:B,'A1.BS'!B63),0)</f>
        <v>0</v>
      </c>
      <c r="J63" s="882">
        <f>ROUND(SUMIFS('A0.LS'!O:O,'A0.LS'!B:B,'A1.BS'!B63),0)</f>
        <v>0</v>
      </c>
      <c r="K63" s="883">
        <f>ROUND(SUMIFS('A0.LS'!P:P,'A0.LS'!B:B,'A1.BS'!B63),0)</f>
        <v>0</v>
      </c>
      <c r="L63" s="884">
        <f t="shared" si="75"/>
        <v>0</v>
      </c>
      <c r="M63" s="850"/>
      <c r="N63" s="19" t="str">
        <f t="shared" si="5"/>
        <v/>
      </c>
      <c r="O63" s="850"/>
      <c r="P63" s="885">
        <f>ROUND(SUMIFS('A0.LS'!AV:AV,'A0.LS'!B:B,'A1.BS'!B63),0)</f>
        <v>0</v>
      </c>
      <c r="Q63" s="886">
        <f>ROUND(SUMIFS('A0.LS'!AW:AW,'A0.LS'!B:B,'A1.BS'!B63),0)</f>
        <v>0</v>
      </c>
      <c r="R63" s="887">
        <f t="shared" si="76"/>
        <v>0</v>
      </c>
      <c r="S63" s="878"/>
      <c r="T63" s="888">
        <f>ROUND(SUMIFS('A0.LS'!BP:BP,'A0.LS'!B:B,'A1.BS'!B63),0)</f>
        <v>0</v>
      </c>
      <c r="U63" s="889">
        <f>ROUND(SUMIFS('A0.LS'!BQ:BQ,'A0.LS'!B:B,'A1.BS'!B63),0)</f>
        <v>0</v>
      </c>
      <c r="V63" s="890">
        <f t="shared" si="77"/>
        <v>0</v>
      </c>
      <c r="W63" s="850"/>
      <c r="X63" s="39" t="str">
        <f t="shared" si="32"/>
        <v/>
      </c>
    </row>
    <row r="64" spans="2:24">
      <c r="B64" s="863"/>
      <c r="C64" s="864"/>
      <c r="D64" s="865"/>
      <c r="E64" s="865"/>
      <c r="F64" s="866"/>
      <c r="G64" s="867"/>
      <c r="H64" s="868"/>
      <c r="I64" s="869"/>
      <c r="J64" s="869"/>
      <c r="K64" s="870"/>
      <c r="L64" s="871"/>
      <c r="M64" s="850"/>
      <c r="N64" s="19" t="str">
        <f t="shared" si="5"/>
        <v>x</v>
      </c>
      <c r="O64" s="850"/>
      <c r="P64" s="872"/>
      <c r="Q64" s="873"/>
      <c r="R64" s="874"/>
      <c r="S64" s="878"/>
      <c r="T64" s="875"/>
      <c r="U64" s="876"/>
      <c r="V64" s="877"/>
      <c r="W64" s="850"/>
      <c r="X64" s="39"/>
    </row>
    <row r="65" spans="2:24" s="38" customFormat="1">
      <c r="B65" s="55">
        <v>240</v>
      </c>
      <c r="C65" s="56" t="s">
        <v>1898</v>
      </c>
      <c r="D65" s="44">
        <f t="shared" ref="D65:G65" si="78">SUM(D66:D67)</f>
        <v>7003749613</v>
      </c>
      <c r="E65" s="44">
        <f t="shared" si="78"/>
        <v>11000000</v>
      </c>
      <c r="F65" s="111">
        <f t="shared" si="78"/>
        <v>0</v>
      </c>
      <c r="G65" s="121">
        <f t="shared" si="78"/>
        <v>7014749613</v>
      </c>
      <c r="H65" s="116"/>
      <c r="I65" s="49">
        <f>SUM(I66:I67)</f>
        <v>5350661938</v>
      </c>
      <c r="J65" s="49">
        <f t="shared" ref="J65:L65" si="79">SUM(J66:J67)</f>
        <v>0</v>
      </c>
      <c r="K65" s="127">
        <f t="shared" si="79"/>
        <v>0</v>
      </c>
      <c r="L65" s="133">
        <f t="shared" si="79"/>
        <v>5350661938</v>
      </c>
      <c r="N65" s="19" t="str">
        <f t="shared" si="5"/>
        <v>x</v>
      </c>
      <c r="P65" s="469">
        <f t="shared" ref="P65:R65" si="80">SUM(P66:P67)</f>
        <v>7014749613</v>
      </c>
      <c r="Q65" s="474">
        <f t="shared" si="80"/>
        <v>0</v>
      </c>
      <c r="R65" s="484">
        <f t="shared" si="80"/>
        <v>7014749613</v>
      </c>
      <c r="S65" s="479"/>
      <c r="T65" s="464">
        <f t="shared" ref="T65:V65" si="81">SUM(T66:T67)</f>
        <v>5350661938</v>
      </c>
      <c r="U65" s="465">
        <f t="shared" si="81"/>
        <v>0</v>
      </c>
      <c r="V65" s="490">
        <f t="shared" si="81"/>
        <v>5350661938</v>
      </c>
      <c r="X65" s="39" t="str">
        <f t="shared" si="32"/>
        <v>x</v>
      </c>
    </row>
    <row r="66" spans="2:24">
      <c r="B66" s="863">
        <v>241</v>
      </c>
      <c r="C66" s="864" t="s">
        <v>1899</v>
      </c>
      <c r="D66" s="879">
        <f>ROUND(SUMIFS('A0.LS'!I:I,'A0.LS'!B:B,'A1.BS'!B66),0)</f>
        <v>0</v>
      </c>
      <c r="E66" s="879">
        <f>ROUND(SUMIFS('A0.LS'!J:J,'A0.LS'!B:B,'A1.BS'!B66),0)</f>
        <v>0</v>
      </c>
      <c r="F66" s="880">
        <f>ROUND(SUMIFS('A0.LS'!K:K,'A0.LS'!B:B,'A1.BS'!B66),0)</f>
        <v>0</v>
      </c>
      <c r="G66" s="881">
        <f t="shared" ref="G66:G67" si="82">ROUND(SUM(D66:F66),0)</f>
        <v>0</v>
      </c>
      <c r="H66" s="868"/>
      <c r="I66" s="882">
        <f>ROUND(SUMIFS('A0.LS'!N:N,'A0.LS'!B:B,'A1.BS'!B66),0)</f>
        <v>0</v>
      </c>
      <c r="J66" s="882">
        <f>ROUND(SUMIFS('A0.LS'!O:O,'A0.LS'!B:B,'A1.BS'!B66),0)</f>
        <v>0</v>
      </c>
      <c r="K66" s="883">
        <f>ROUND(SUMIFS('A0.LS'!P:P,'A0.LS'!B:B,'A1.BS'!B66),0)</f>
        <v>0</v>
      </c>
      <c r="L66" s="884">
        <f t="shared" ref="L66:L67" si="83">ROUND(SUM(I66:K66),0)</f>
        <v>0</v>
      </c>
      <c r="M66" s="850"/>
      <c r="N66" s="19" t="str">
        <f t="shared" si="5"/>
        <v/>
      </c>
      <c r="O66" s="850"/>
      <c r="P66" s="885">
        <f>ROUND(SUMIFS('A0.LS'!AV:AV,'A0.LS'!B:B,'A1.BS'!B66),0)</f>
        <v>0</v>
      </c>
      <c r="Q66" s="886">
        <f>ROUND(SUMIFS('A0.LS'!AW:AW,'A0.LS'!B:B,'A1.BS'!B66),0)</f>
        <v>0</v>
      </c>
      <c r="R66" s="887">
        <f t="shared" ref="R66:R67" si="84">ROUND(SUM(P66:Q66),0)</f>
        <v>0</v>
      </c>
      <c r="S66" s="878"/>
      <c r="T66" s="888">
        <f>ROUND(SUMIFS('A0.LS'!BP:BP,'A0.LS'!B:B,'A1.BS'!B66),0)</f>
        <v>0</v>
      </c>
      <c r="U66" s="889">
        <f>ROUND(SUMIFS('A0.LS'!BQ:BQ,'A0.LS'!B:B,'A1.BS'!B66),0)</f>
        <v>0</v>
      </c>
      <c r="V66" s="890">
        <v>0</v>
      </c>
      <c r="W66" s="850"/>
      <c r="X66" s="39" t="str">
        <f t="shared" si="32"/>
        <v/>
      </c>
    </row>
    <row r="67" spans="2:24">
      <c r="B67" s="863">
        <v>242</v>
      </c>
      <c r="C67" s="864" t="s">
        <v>1900</v>
      </c>
      <c r="D67" s="879">
        <f>ROUND(SUMIFS('A0.LS'!I:I,'A0.LS'!B:B,'A1.BS'!B67),0)</f>
        <v>7003749613</v>
      </c>
      <c r="E67" s="879">
        <f>ROUND(SUMIFS('A0.LS'!J:J,'A0.LS'!B:B,'A1.BS'!B67),0)</f>
        <v>11000000</v>
      </c>
      <c r="F67" s="880">
        <f>ROUND(SUMIFS('A0.LS'!K:K,'A0.LS'!B:B,'A1.BS'!B67),0)</f>
        <v>0</v>
      </c>
      <c r="G67" s="881">
        <f t="shared" si="82"/>
        <v>7014749613</v>
      </c>
      <c r="H67" s="868"/>
      <c r="I67" s="882">
        <f>ROUND(SUMIFS('A0.LS'!N:N,'A0.LS'!B:B,'A1.BS'!B67),0)</f>
        <v>5350661938</v>
      </c>
      <c r="J67" s="882">
        <f>ROUND(SUMIFS('A0.LS'!O:O,'A0.LS'!B:B,'A1.BS'!B67),0)</f>
        <v>0</v>
      </c>
      <c r="K67" s="883">
        <f>ROUND(SUMIFS('A0.LS'!P:P,'A0.LS'!B:B,'A1.BS'!B67),0)</f>
        <v>0</v>
      </c>
      <c r="L67" s="884">
        <f t="shared" si="83"/>
        <v>5350661938</v>
      </c>
      <c r="M67" s="850"/>
      <c r="N67" s="19" t="str">
        <f t="shared" si="5"/>
        <v>x</v>
      </c>
      <c r="O67" s="850"/>
      <c r="P67" s="885">
        <f>ROUND(SUMIFS('A0.LS'!AV:AV,'A0.LS'!B:B,'A1.BS'!B67),0)</f>
        <v>7014749613</v>
      </c>
      <c r="Q67" s="886">
        <f>ROUND(SUMIFS('A0.LS'!AW:AW,'A0.LS'!B:B,'A1.BS'!B67),0)</f>
        <v>0</v>
      </c>
      <c r="R67" s="887">
        <f t="shared" si="84"/>
        <v>7014749613</v>
      </c>
      <c r="S67" s="878"/>
      <c r="T67" s="888">
        <f>ROUND(SUMIFS('A0.LS'!BP:BP,'A0.LS'!B:B,'A1.BS'!B67),0)</f>
        <v>5350661938</v>
      </c>
      <c r="U67" s="889">
        <f>ROUND(SUMIFS('A0.LS'!BQ:BQ,'A0.LS'!B:B,'A1.BS'!B67),0)</f>
        <v>0</v>
      </c>
      <c r="V67" s="890">
        <v>5350661938</v>
      </c>
      <c r="W67" s="850"/>
      <c r="X67" s="39" t="str">
        <f t="shared" si="32"/>
        <v>x</v>
      </c>
    </row>
    <row r="68" spans="2:24">
      <c r="B68" s="863"/>
      <c r="C68" s="864"/>
      <c r="D68" s="865"/>
      <c r="E68" s="865"/>
      <c r="F68" s="866"/>
      <c r="G68" s="867"/>
      <c r="H68" s="868"/>
      <c r="I68" s="869"/>
      <c r="J68" s="869"/>
      <c r="K68" s="870"/>
      <c r="L68" s="871"/>
      <c r="M68" s="850"/>
      <c r="N68" s="19" t="str">
        <f t="shared" si="5"/>
        <v>x</v>
      </c>
      <c r="O68" s="850"/>
      <c r="P68" s="872"/>
      <c r="Q68" s="873"/>
      <c r="R68" s="874"/>
      <c r="S68" s="878"/>
      <c r="T68" s="875"/>
      <c r="U68" s="876"/>
      <c r="V68" s="877"/>
      <c r="W68" s="850"/>
      <c r="X68" s="39" t="str">
        <f t="shared" si="32"/>
        <v>x</v>
      </c>
    </row>
    <row r="69" spans="2:24" s="38" customFormat="1">
      <c r="B69" s="55">
        <v>250</v>
      </c>
      <c r="C69" s="56" t="s">
        <v>1901</v>
      </c>
      <c r="D69" s="44">
        <f t="shared" ref="D69:G69" si="85">SUM(D70:D74)</f>
        <v>450052440955</v>
      </c>
      <c r="E69" s="44">
        <f t="shared" si="85"/>
        <v>0</v>
      </c>
      <c r="F69" s="111">
        <f t="shared" si="85"/>
        <v>-83429782259</v>
      </c>
      <c r="G69" s="121">
        <f t="shared" si="85"/>
        <v>366622658696</v>
      </c>
      <c r="H69" s="116"/>
      <c r="I69" s="49">
        <f>SUM(I70:I74)</f>
        <v>363676653343</v>
      </c>
      <c r="J69" s="49">
        <f t="shared" ref="J69:L69" si="86">SUM(J70:J74)</f>
        <v>0</v>
      </c>
      <c r="K69" s="127">
        <f t="shared" si="86"/>
        <v>37904112965</v>
      </c>
      <c r="L69" s="133">
        <f t="shared" si="86"/>
        <v>401580766308</v>
      </c>
      <c r="N69" s="19" t="str">
        <f t="shared" si="5"/>
        <v>x</v>
      </c>
      <c r="P69" s="469">
        <f t="shared" ref="P69:R69" si="87">SUM(P70:P74)</f>
        <v>366627658696</v>
      </c>
      <c r="Q69" s="474">
        <f t="shared" si="87"/>
        <v>-366627658696</v>
      </c>
      <c r="R69" s="484">
        <f t="shared" si="87"/>
        <v>0</v>
      </c>
      <c r="S69" s="479"/>
      <c r="T69" s="464">
        <f t="shared" ref="T69:V69" si="88">SUM(T70:T74)</f>
        <v>401584761183</v>
      </c>
      <c r="U69" s="465">
        <f t="shared" si="88"/>
        <v>-401584761183</v>
      </c>
      <c r="V69" s="490">
        <f t="shared" si="88"/>
        <v>0</v>
      </c>
      <c r="X69" s="39" t="str">
        <f t="shared" si="32"/>
        <v/>
      </c>
    </row>
    <row r="70" spans="2:24">
      <c r="B70" s="863">
        <v>251</v>
      </c>
      <c r="C70" s="864" t="s">
        <v>1902</v>
      </c>
      <c r="D70" s="879">
        <f>ROUND(SUMIFS('A0.LS'!I:I,'A0.LS'!B:B,'A1.BS'!B70),0)</f>
        <v>440010000000</v>
      </c>
      <c r="E70" s="879">
        <f>ROUND(SUMIFS('A0.LS'!J:J,'A0.LS'!B:B,'A1.BS'!B70),0)</f>
        <v>0</v>
      </c>
      <c r="F70" s="880">
        <f>ROUND(SUMIFS('A0.LS'!K:K,'A0.LS'!B:B,'A1.BS'!B70),0)</f>
        <v>0</v>
      </c>
      <c r="G70" s="881">
        <f t="shared" ref="G70:G74" si="89">ROUND(SUM(D70:F70),0)</f>
        <v>440010000000</v>
      </c>
      <c r="H70" s="868"/>
      <c r="I70" s="882">
        <f>ROUND(SUMIFS('A0.LS'!N:N,'A0.LS'!B:B,'A1.BS'!B70),0)</f>
        <v>440011000000</v>
      </c>
      <c r="J70" s="882">
        <f>ROUND(SUMIFS('A0.LS'!O:O,'A0.LS'!B:B,'A1.BS'!B70),0)</f>
        <v>0</v>
      </c>
      <c r="K70" s="883">
        <f>ROUND(SUMIFS('A0.LS'!P:P,'A0.LS'!B:B,'A1.BS'!B70),0)</f>
        <v>-1000000</v>
      </c>
      <c r="L70" s="884">
        <f t="shared" ref="L70:L74" si="90">ROUND(SUM(I70:K70),0)</f>
        <v>440010000000</v>
      </c>
      <c r="M70" s="850"/>
      <c r="N70" s="19" t="str">
        <f t="shared" si="5"/>
        <v>x</v>
      </c>
      <c r="O70" s="850"/>
      <c r="P70" s="885">
        <f>ROUND(SUMIFS('A0.LS'!AV:AV,'A0.LS'!B:B,'A1.BS'!B70),0)</f>
        <v>440010000000</v>
      </c>
      <c r="Q70" s="886">
        <f>ROUND(SUMIFS('A0.LS'!AW:AW,'A0.LS'!B:B,'A1.BS'!B70),0)</f>
        <v>-440010000000</v>
      </c>
      <c r="R70" s="887">
        <f t="shared" ref="R70:R74" si="91">ROUND(SUM(P70:Q70),0)</f>
        <v>0</v>
      </c>
      <c r="S70" s="878"/>
      <c r="T70" s="888">
        <f>ROUND(SUMIFS('A0.LS'!BP:BP,'A0.LS'!B:B,'A1.BS'!B70),0)</f>
        <v>440010000000</v>
      </c>
      <c r="U70" s="889">
        <f>ROUND(SUMIFS('A0.LS'!BQ:BQ,'A0.LS'!B:B,'A1.BS'!B70),0)</f>
        <v>-440010000000</v>
      </c>
      <c r="V70" s="890">
        <f t="shared" ref="V70:V72" si="92">ROUND(SUM(T70:U70),0)</f>
        <v>0</v>
      </c>
      <c r="W70" s="850"/>
      <c r="X70" s="39" t="str">
        <f t="shared" si="32"/>
        <v/>
      </c>
    </row>
    <row r="71" spans="2:24">
      <c r="B71" s="863">
        <v>252</v>
      </c>
      <c r="C71" s="864" t="s">
        <v>1903</v>
      </c>
      <c r="D71" s="879">
        <f>ROUND(SUMIFS('A0.LS'!I:I,'A0.LS'!B:B,'A1.BS'!B71),0)</f>
        <v>0</v>
      </c>
      <c r="E71" s="879">
        <f>ROUND(SUMIFS('A0.LS'!J:J,'A0.LS'!B:B,'A1.BS'!B71),0)</f>
        <v>0</v>
      </c>
      <c r="F71" s="880">
        <f>ROUND(SUMIFS('A0.LS'!K:K,'A0.LS'!B:B,'A1.BS'!B71),0)</f>
        <v>0</v>
      </c>
      <c r="G71" s="881">
        <f t="shared" si="89"/>
        <v>0</v>
      </c>
      <c r="H71" s="868"/>
      <c r="I71" s="882">
        <f>ROUND(SUMIFS('A0.LS'!N:N,'A0.LS'!B:B,'A1.BS'!B71),0)</f>
        <v>0</v>
      </c>
      <c r="J71" s="882">
        <f>ROUND(SUMIFS('A0.LS'!O:O,'A0.LS'!B:B,'A1.BS'!B71),0)</f>
        <v>0</v>
      </c>
      <c r="K71" s="883">
        <f>ROUND(SUMIFS('A0.LS'!P:P,'A0.LS'!B:B,'A1.BS'!B71),0)</f>
        <v>0</v>
      </c>
      <c r="L71" s="884">
        <f t="shared" si="90"/>
        <v>0</v>
      </c>
      <c r="M71" s="850"/>
      <c r="N71" s="19" t="str">
        <f t="shared" si="5"/>
        <v/>
      </c>
      <c r="O71" s="850"/>
      <c r="P71" s="885">
        <f>ROUND(SUMIFS('A0.LS'!AV:AV,'A0.LS'!B:B,'A1.BS'!B71),0)</f>
        <v>0</v>
      </c>
      <c r="Q71" s="886">
        <f>ROUND(SUMIFS('A0.LS'!AW:AW,'A0.LS'!B:B,'A1.BS'!B71),0)</f>
        <v>0</v>
      </c>
      <c r="R71" s="887">
        <f t="shared" si="91"/>
        <v>0</v>
      </c>
      <c r="S71" s="878"/>
      <c r="T71" s="888">
        <f>ROUND(SUMIFS('A0.LS'!BP:BP,'A0.LS'!B:B,'A1.BS'!B71),0)</f>
        <v>0</v>
      </c>
      <c r="U71" s="889">
        <f>ROUND(SUMIFS('A0.LS'!BQ:BQ,'A0.LS'!B:B,'A1.BS'!B71),0)</f>
        <v>0</v>
      </c>
      <c r="V71" s="890">
        <f t="shared" si="92"/>
        <v>0</v>
      </c>
      <c r="W71" s="850"/>
      <c r="X71" s="39" t="str">
        <f t="shared" si="32"/>
        <v/>
      </c>
    </row>
    <row r="72" spans="2:24">
      <c r="B72" s="863">
        <v>253</v>
      </c>
      <c r="C72" s="864" t="s">
        <v>1904</v>
      </c>
      <c r="D72" s="879">
        <f>ROUND(SUMIFS('A0.LS'!I:I,'A0.LS'!B:B,'A1.BS'!B72),0)</f>
        <v>65001000000</v>
      </c>
      <c r="E72" s="879">
        <f>ROUND(SUMIFS('A0.LS'!J:J,'A0.LS'!B:B,'A1.BS'!B72),0)</f>
        <v>0</v>
      </c>
      <c r="F72" s="880">
        <f>ROUND(SUMIFS('A0.LS'!K:K,'A0.LS'!B:B,'A1.BS'!B72),0)</f>
        <v>-65000000000</v>
      </c>
      <c r="G72" s="881">
        <f t="shared" si="89"/>
        <v>1000000</v>
      </c>
      <c r="H72" s="868"/>
      <c r="I72" s="882">
        <f>ROUND(SUMIFS('A0.LS'!N:N,'A0.LS'!B:B,'A1.BS'!B72),0)</f>
        <v>182394931507</v>
      </c>
      <c r="J72" s="882">
        <f>ROUND(SUMIFS('A0.LS'!O:O,'A0.LS'!B:B,'A1.BS'!B72),0)</f>
        <v>0</v>
      </c>
      <c r="K72" s="883">
        <f>ROUND(SUMIFS('A0.LS'!P:P,'A0.LS'!B:B,'A1.BS'!B72),0)</f>
        <v>-182393931507</v>
      </c>
      <c r="L72" s="884">
        <f t="shared" si="90"/>
        <v>1000000</v>
      </c>
      <c r="M72" s="850"/>
      <c r="N72" s="19" t="str">
        <f t="shared" ref="N72:N135" si="93">IF(OR(L72&lt;&gt;0,G72&lt;&gt;0,G72="",L72=""),"x","")</f>
        <v>x</v>
      </c>
      <c r="O72" s="850"/>
      <c r="P72" s="885">
        <f>ROUND(SUMIFS('A0.LS'!AV:AV,'A0.LS'!B:B,'A1.BS'!B72),0)</f>
        <v>6000000</v>
      </c>
      <c r="Q72" s="886">
        <f>ROUND(SUMIFS('A0.LS'!AW:AW,'A0.LS'!B:B,'A1.BS'!B72),0)</f>
        <v>-6000000</v>
      </c>
      <c r="R72" s="887">
        <f>ROUND(SUM(P72:Q72),0)</f>
        <v>0</v>
      </c>
      <c r="S72" s="878"/>
      <c r="T72" s="888">
        <f>ROUND(SUMIFS('A0.LS'!BP:BP,'A0.LS'!B:B,'A1.BS'!B72),0)</f>
        <v>6000000</v>
      </c>
      <c r="U72" s="889">
        <f>ROUND(SUMIFS('A0.LS'!BQ:BQ,'A0.LS'!B:B,'A1.BS'!B72),0)</f>
        <v>-6000000</v>
      </c>
      <c r="V72" s="890">
        <f t="shared" si="92"/>
        <v>0</v>
      </c>
      <c r="W72" s="850"/>
      <c r="X72" s="39" t="str">
        <f t="shared" si="32"/>
        <v/>
      </c>
    </row>
    <row r="73" spans="2:24">
      <c r="B73" s="863">
        <v>254</v>
      </c>
      <c r="C73" s="864" t="s">
        <v>1905</v>
      </c>
      <c r="D73" s="879">
        <f>ROUND(SUMIFS('A0.LS'!I:I,'A0.LS'!B:B,'A1.BS'!B73),0)</f>
        <v>-54958559045</v>
      </c>
      <c r="E73" s="879">
        <f>ROUND(SUMIFS('A0.LS'!J:J,'A0.LS'!B:B,'A1.BS'!B73),0)</f>
        <v>0</v>
      </c>
      <c r="F73" s="880">
        <f>ROUND(SUMIFS('A0.LS'!K:K,'A0.LS'!B:B,'A1.BS'!B73),0)</f>
        <v>-18429782259</v>
      </c>
      <c r="G73" s="881">
        <f t="shared" si="89"/>
        <v>-73388341304</v>
      </c>
      <c r="H73" s="868"/>
      <c r="I73" s="882">
        <f>ROUND(SUMIFS('A0.LS'!N:N,'A0.LS'!B:B,'A1.BS'!B73),0)</f>
        <v>-258729278164</v>
      </c>
      <c r="J73" s="882">
        <f>ROUND(SUMIFS('A0.LS'!O:O,'A0.LS'!B:B,'A1.BS'!B73),0)</f>
        <v>0</v>
      </c>
      <c r="K73" s="883">
        <f>ROUND(SUMIFS('A0.LS'!P:P,'A0.LS'!B:B,'A1.BS'!B73),0)</f>
        <v>220299044472</v>
      </c>
      <c r="L73" s="884">
        <f t="shared" si="90"/>
        <v>-38430233692</v>
      </c>
      <c r="M73" s="850"/>
      <c r="N73" s="19" t="str">
        <f t="shared" si="93"/>
        <v>x</v>
      </c>
      <c r="O73" s="850"/>
      <c r="P73" s="885">
        <f>ROUND(SUMIFS('A0.LS'!AV:AV,'A0.LS'!B:B,'A1.BS'!B73),0)</f>
        <v>-73388341304</v>
      </c>
      <c r="Q73" s="886">
        <f>ROUND(SUMIFS('A0.LS'!AW:AW,'A0.LS'!B:B,'A1.BS'!B73),0)</f>
        <v>73388341304</v>
      </c>
      <c r="R73" s="887">
        <f t="shared" si="91"/>
        <v>0</v>
      </c>
      <c r="S73" s="878"/>
      <c r="T73" s="888">
        <f>ROUND(SUMIFS('A0.LS'!BP:BP,'A0.LS'!B:B,'A1.BS'!B73),0)</f>
        <v>-38431238817</v>
      </c>
      <c r="U73" s="889">
        <f>ROUND(SUMIFS('A0.LS'!BQ:BQ,'A0.LS'!B:B,'A1.BS'!B73),0)</f>
        <v>38431238817</v>
      </c>
      <c r="V73" s="890">
        <v>0</v>
      </c>
      <c r="W73" s="850"/>
      <c r="X73" s="39" t="str">
        <f t="shared" si="32"/>
        <v/>
      </c>
    </row>
    <row r="74" spans="2:24">
      <c r="B74" s="863">
        <v>255</v>
      </c>
      <c r="C74" s="864" t="s">
        <v>1906</v>
      </c>
      <c r="D74" s="879">
        <f>ROUND(SUMIFS('A0.LS'!I:I,'A0.LS'!B:B,'A1.BS'!B74),0)</f>
        <v>0</v>
      </c>
      <c r="E74" s="879">
        <f>ROUND(SUMIFS('A0.LS'!J:J,'A0.LS'!B:B,'A1.BS'!B74),0)</f>
        <v>0</v>
      </c>
      <c r="F74" s="880">
        <f>ROUND(SUMIFS('A0.LS'!K:K,'A0.LS'!B:B,'A1.BS'!B74),0)</f>
        <v>0</v>
      </c>
      <c r="G74" s="881">
        <f t="shared" si="89"/>
        <v>0</v>
      </c>
      <c r="H74" s="868"/>
      <c r="I74" s="882">
        <f>ROUND(SUMIFS('A0.LS'!N:N,'A0.LS'!B:B,'A1.BS'!B74),0)</f>
        <v>0</v>
      </c>
      <c r="J74" s="882">
        <f>ROUND(SUMIFS('A0.LS'!O:O,'A0.LS'!B:B,'A1.BS'!B74),0)</f>
        <v>0</v>
      </c>
      <c r="K74" s="883">
        <f>ROUND(SUMIFS('A0.LS'!P:P,'A0.LS'!B:B,'A1.BS'!B74),0)</f>
        <v>0</v>
      </c>
      <c r="L74" s="884">
        <f t="shared" si="90"/>
        <v>0</v>
      </c>
      <c r="M74" s="850"/>
      <c r="N74" s="19" t="str">
        <f t="shared" si="93"/>
        <v/>
      </c>
      <c r="O74" s="850"/>
      <c r="P74" s="885">
        <f>ROUND(SUMIFS('A0.LS'!AV:AV,'A0.LS'!B:B,'A1.BS'!B74),0)</f>
        <v>0</v>
      </c>
      <c r="Q74" s="886">
        <f>ROUND(SUMIFS('A0.LS'!AW:AW,'A0.LS'!B:B,'A1.BS'!B74),0)</f>
        <v>0</v>
      </c>
      <c r="R74" s="887">
        <f t="shared" si="91"/>
        <v>0</v>
      </c>
      <c r="S74" s="878"/>
      <c r="T74" s="888">
        <f>ROUND(SUMIFS('A0.LS'!BP:BP,'A0.LS'!B:B,'A1.BS'!B74),0)</f>
        <v>0</v>
      </c>
      <c r="U74" s="889">
        <f>ROUND(SUMIFS('A0.LS'!BQ:BQ,'A0.LS'!B:B,'A1.BS'!B74),0)</f>
        <v>0</v>
      </c>
      <c r="V74" s="890">
        <v>0</v>
      </c>
      <c r="W74" s="850"/>
      <c r="X74" s="39" t="str">
        <f t="shared" si="32"/>
        <v/>
      </c>
    </row>
    <row r="75" spans="2:24">
      <c r="B75" s="863"/>
      <c r="C75" s="864"/>
      <c r="D75" s="865"/>
      <c r="E75" s="865"/>
      <c r="F75" s="866"/>
      <c r="G75" s="867"/>
      <c r="H75" s="868"/>
      <c r="I75" s="869"/>
      <c r="J75" s="869"/>
      <c r="K75" s="870"/>
      <c r="L75" s="871"/>
      <c r="M75" s="850"/>
      <c r="N75" s="19" t="str">
        <f t="shared" si="93"/>
        <v>x</v>
      </c>
      <c r="O75" s="850"/>
      <c r="P75" s="872"/>
      <c r="Q75" s="873"/>
      <c r="R75" s="874"/>
      <c r="S75" s="878"/>
      <c r="T75" s="875"/>
      <c r="U75" s="876"/>
      <c r="V75" s="877"/>
      <c r="W75" s="850"/>
      <c r="X75" s="39"/>
    </row>
    <row r="76" spans="2:24" s="38" customFormat="1">
      <c r="B76" s="55">
        <v>260</v>
      </c>
      <c r="C76" s="56" t="s">
        <v>1907</v>
      </c>
      <c r="D76" s="44">
        <f t="shared" ref="D76:G76" si="94">SUM(D77:D81)</f>
        <v>798102202</v>
      </c>
      <c r="E76" s="44">
        <f t="shared" si="94"/>
        <v>36000000</v>
      </c>
      <c r="F76" s="111">
        <f t="shared" si="94"/>
        <v>0</v>
      </c>
      <c r="G76" s="121">
        <f t="shared" si="94"/>
        <v>834102202</v>
      </c>
      <c r="H76" s="116"/>
      <c r="I76" s="49">
        <f>SUM(I77:I81)</f>
        <v>1467793232</v>
      </c>
      <c r="J76" s="49">
        <f t="shared" ref="J76:L76" si="95">SUM(J77:J81)</f>
        <v>0</v>
      </c>
      <c r="K76" s="127">
        <f t="shared" si="95"/>
        <v>334509243</v>
      </c>
      <c r="L76" s="133">
        <f t="shared" si="95"/>
        <v>1802302475</v>
      </c>
      <c r="N76" s="19" t="str">
        <f t="shared" si="93"/>
        <v>x</v>
      </c>
      <c r="P76" s="469">
        <f t="shared" ref="P76:R76" si="96">SUM(P77:P81)</f>
        <v>115528747559</v>
      </c>
      <c r="Q76" s="474">
        <f t="shared" si="96"/>
        <v>-30336000000</v>
      </c>
      <c r="R76" s="484">
        <f t="shared" si="96"/>
        <v>85192747559</v>
      </c>
      <c r="S76" s="479"/>
      <c r="T76" s="464">
        <f t="shared" ref="T76:U76" si="97">SUM(T77:T81)</f>
        <v>131161512626</v>
      </c>
      <c r="U76" s="465">
        <f t="shared" si="97"/>
        <v>-34128000000</v>
      </c>
      <c r="V76" s="490">
        <f>SUM(V77:V81)</f>
        <v>97033512626</v>
      </c>
      <c r="X76" s="39" t="str">
        <f t="shared" si="32"/>
        <v>x</v>
      </c>
    </row>
    <row r="77" spans="2:24">
      <c r="B77" s="863">
        <v>261</v>
      </c>
      <c r="C77" s="864" t="s">
        <v>1908</v>
      </c>
      <c r="D77" s="879">
        <f>ROUND(SUMIFS('A0.LS'!I:I,'A0.LS'!B:B,'A1.BS'!B77),0)</f>
        <v>798102202</v>
      </c>
      <c r="E77" s="879">
        <f>ROUND(SUMIFS('A0.LS'!J:J,'A0.LS'!B:B,'A1.BS'!B77),0)</f>
        <v>36000000</v>
      </c>
      <c r="F77" s="880">
        <f>ROUND(SUMIFS('A0.LS'!K:K,'A0.LS'!B:B,'A1.BS'!B77),0)</f>
        <v>0</v>
      </c>
      <c r="G77" s="881">
        <f>ROUND(SUM(D77:F77),0)</f>
        <v>834102202</v>
      </c>
      <c r="H77" s="868"/>
      <c r="I77" s="882">
        <f>ROUND(SUMIFS('A0.LS'!N:N,'A0.LS'!B:B,'A1.BS'!B77),0)</f>
        <v>1467793232</v>
      </c>
      <c r="J77" s="882">
        <f>ROUND(SUMIFS('A0.LS'!O:O,'A0.LS'!B:B,'A1.BS'!B77),0)</f>
        <v>0</v>
      </c>
      <c r="K77" s="883">
        <f>ROUND(SUMIFS('A0.LS'!P:P,'A0.LS'!B:B,'A1.BS'!B77),0)</f>
        <v>334509243</v>
      </c>
      <c r="L77" s="884">
        <f t="shared" ref="L77:L81" si="98">ROUND(SUM(I77:K77),0)</f>
        <v>1802302475</v>
      </c>
      <c r="M77" s="850"/>
      <c r="N77" s="19" t="str">
        <f t="shared" si="93"/>
        <v>x</v>
      </c>
      <c r="O77" s="850"/>
      <c r="P77" s="885">
        <f>ROUND(SUMIFS('A0.LS'!AV:AV,'A0.LS'!B:B,'A1.BS'!B77),0)</f>
        <v>31451235132</v>
      </c>
      <c r="Q77" s="886">
        <f>ROUND(SUMIFS('A0.LS'!AW:AW,'A0.LS'!B:B,'A1.BS'!B77),0)</f>
        <v>-30336000000</v>
      </c>
      <c r="R77" s="887">
        <f t="shared" ref="R77:R81" si="99">ROUND(SUM(P77:Q77),0)</f>
        <v>1115235132</v>
      </c>
      <c r="S77" s="878"/>
      <c r="T77" s="888">
        <f>ROUND(SUMIFS('A0.LS'!BP:BP,'A0.LS'!B:B,'A1.BS'!B77),0)</f>
        <v>36263816317</v>
      </c>
      <c r="U77" s="889">
        <f>ROUND(SUMIFS('A0.LS'!BQ:BQ,'A0.LS'!B:B,'A1.BS'!B77),0)</f>
        <v>-34128000000</v>
      </c>
      <c r="V77" s="890">
        <v>2135816317</v>
      </c>
      <c r="W77" s="850"/>
      <c r="X77" s="39" t="str">
        <f t="shared" si="32"/>
        <v>x</v>
      </c>
    </row>
    <row r="78" spans="2:24">
      <c r="B78" s="863">
        <v>262</v>
      </c>
      <c r="C78" s="864" t="s">
        <v>1909</v>
      </c>
      <c r="D78" s="879">
        <f>ROUND(SUMIFS('A0.LS'!I:I,'A0.LS'!B:B,'A1.BS'!B78),0)</f>
        <v>0</v>
      </c>
      <c r="E78" s="879">
        <f>ROUND(SUMIFS('A0.LS'!J:J,'A0.LS'!B:B,'A1.BS'!B78),0)</f>
        <v>0</v>
      </c>
      <c r="F78" s="880">
        <f>ROUND(SUMIFS('A0.LS'!K:K,'A0.LS'!B:B,'A1.BS'!B78),0)</f>
        <v>0</v>
      </c>
      <c r="G78" s="881">
        <f t="shared" ref="G78:G81" si="100">ROUND(SUM(D78:F78),0)</f>
        <v>0</v>
      </c>
      <c r="H78" s="868"/>
      <c r="I78" s="882">
        <f>ROUND(SUMIFS('A0.LS'!N:N,'A0.LS'!B:B,'A1.BS'!B78),0)</f>
        <v>0</v>
      </c>
      <c r="J78" s="882">
        <f>ROUND(SUMIFS('A0.LS'!O:O,'A0.LS'!B:B,'A1.BS'!B78),0)</f>
        <v>0</v>
      </c>
      <c r="K78" s="883">
        <f>ROUND(SUMIFS('A0.LS'!P:P,'A0.LS'!B:B,'A1.BS'!B78),0)</f>
        <v>0</v>
      </c>
      <c r="L78" s="884">
        <f t="shared" si="98"/>
        <v>0</v>
      </c>
      <c r="M78" s="850"/>
      <c r="N78" s="19" t="str">
        <f t="shared" si="93"/>
        <v/>
      </c>
      <c r="O78" s="850"/>
      <c r="P78" s="885">
        <f>ROUND(SUMIFS('A0.LS'!AV:AV,'A0.LS'!B:B,'A1.BS'!B78),0)</f>
        <v>0</v>
      </c>
      <c r="Q78" s="886">
        <f>ROUND(SUMIFS('A0.LS'!AW:AW,'A0.LS'!B:B,'A1.BS'!B78),0)</f>
        <v>0</v>
      </c>
      <c r="R78" s="887">
        <f t="shared" si="99"/>
        <v>0</v>
      </c>
      <c r="S78" s="878"/>
      <c r="T78" s="888">
        <f>ROUND(SUMIFS('A0.LS'!BP:BP,'A0.LS'!B:B,'A1.BS'!B78),0)</f>
        <v>0</v>
      </c>
      <c r="U78" s="889">
        <f>ROUND(SUMIFS('A0.LS'!BQ:BQ,'A0.LS'!B:B,'A1.BS'!B78),0)</f>
        <v>0</v>
      </c>
      <c r="V78" s="890">
        <f t="shared" ref="V78:V79" si="101">ROUND(SUM(T78:U78),0)</f>
        <v>0</v>
      </c>
      <c r="W78" s="850"/>
      <c r="X78" s="39" t="str">
        <f t="shared" si="32"/>
        <v/>
      </c>
    </row>
    <row r="79" spans="2:24">
      <c r="B79" s="863">
        <v>263</v>
      </c>
      <c r="C79" s="864" t="s">
        <v>1910</v>
      </c>
      <c r="D79" s="879">
        <f>ROUND(SUMIFS('A0.LS'!I:I,'A0.LS'!B:B,'A1.BS'!B79),0)</f>
        <v>0</v>
      </c>
      <c r="E79" s="879">
        <f>ROUND(SUMIFS('A0.LS'!J:J,'A0.LS'!B:B,'A1.BS'!B79),0)</f>
        <v>0</v>
      </c>
      <c r="F79" s="880">
        <f>ROUND(SUMIFS('A0.LS'!K:K,'A0.LS'!B:B,'A1.BS'!B79),0)</f>
        <v>0</v>
      </c>
      <c r="G79" s="881">
        <f t="shared" si="100"/>
        <v>0</v>
      </c>
      <c r="H79" s="868"/>
      <c r="I79" s="882">
        <f>ROUND(SUMIFS('A0.LS'!N:N,'A0.LS'!B:B,'A1.BS'!B79),0)</f>
        <v>0</v>
      </c>
      <c r="J79" s="882">
        <f>ROUND(SUMIFS('A0.LS'!O:O,'A0.LS'!B:B,'A1.BS'!B79),0)</f>
        <v>0</v>
      </c>
      <c r="K79" s="883">
        <f>ROUND(SUMIFS('A0.LS'!P:P,'A0.LS'!B:B,'A1.BS'!B79),0)</f>
        <v>0</v>
      </c>
      <c r="L79" s="884">
        <f t="shared" si="98"/>
        <v>0</v>
      </c>
      <c r="M79" s="850"/>
      <c r="N79" s="19" t="str">
        <f t="shared" si="93"/>
        <v/>
      </c>
      <c r="O79" s="850"/>
      <c r="P79" s="885">
        <f>ROUND(SUMIFS('A0.LS'!AV:AV,'A0.LS'!B:B,'A1.BS'!B79),0)</f>
        <v>0</v>
      </c>
      <c r="Q79" s="886">
        <f>ROUND(SUMIFS('A0.LS'!AW:AW,'A0.LS'!B:B,'A1.BS'!B79),0)</f>
        <v>0</v>
      </c>
      <c r="R79" s="887">
        <f t="shared" si="99"/>
        <v>0</v>
      </c>
      <c r="S79" s="878"/>
      <c r="T79" s="888">
        <f>ROUND(SUMIFS('A0.LS'!BP:BP,'A0.LS'!B:B,'A1.BS'!B79),0)</f>
        <v>0</v>
      </c>
      <c r="U79" s="889">
        <f>ROUND(SUMIFS('A0.LS'!BQ:BQ,'A0.LS'!B:B,'A1.BS'!B79),0)</f>
        <v>0</v>
      </c>
      <c r="V79" s="890">
        <f t="shared" si="101"/>
        <v>0</v>
      </c>
      <c r="W79" s="850"/>
      <c r="X79" s="39" t="str">
        <f t="shared" si="32"/>
        <v/>
      </c>
    </row>
    <row r="80" spans="2:24">
      <c r="B80" s="863">
        <v>268</v>
      </c>
      <c r="C80" s="864" t="s">
        <v>1911</v>
      </c>
      <c r="D80" s="879">
        <f>ROUND(SUMIFS('A0.LS'!I:I,'A0.LS'!B:B,'A1.BS'!B80),0)</f>
        <v>0</v>
      </c>
      <c r="E80" s="879">
        <f>ROUND(SUMIFS('A0.LS'!J:J,'A0.LS'!B:B,'A1.BS'!B80),0)</f>
        <v>0</v>
      </c>
      <c r="F80" s="880">
        <f>ROUND(SUMIFS('A0.LS'!K:K,'A0.LS'!B:B,'A1.BS'!B80),0)</f>
        <v>0</v>
      </c>
      <c r="G80" s="881">
        <f t="shared" si="100"/>
        <v>0</v>
      </c>
      <c r="H80" s="868"/>
      <c r="I80" s="882">
        <f>ROUND(SUMIFS('A0.LS'!N:N,'A0.LS'!B:B,'A1.BS'!B80),0)</f>
        <v>0</v>
      </c>
      <c r="J80" s="882">
        <f>ROUND(SUMIFS('A0.LS'!O:O,'A0.LS'!B:B,'A1.BS'!B80),0)</f>
        <v>0</v>
      </c>
      <c r="K80" s="883">
        <f>ROUND(SUMIFS('A0.LS'!P:P,'A0.LS'!B:B,'A1.BS'!B80),0)</f>
        <v>0</v>
      </c>
      <c r="L80" s="884">
        <f t="shared" si="98"/>
        <v>0</v>
      </c>
      <c r="M80" s="850"/>
      <c r="N80" s="19" t="str">
        <f t="shared" si="93"/>
        <v/>
      </c>
      <c r="O80" s="850"/>
      <c r="P80" s="885">
        <f>ROUND(SUMIFS('A0.LS'!AV:AV,'A0.LS'!B:B,'A1.BS'!B80),0)</f>
        <v>1416636590</v>
      </c>
      <c r="Q80" s="886">
        <f>ROUND(SUMIFS('A0.LS'!AW:AW,'A0.LS'!B:B,'A1.BS'!B80),0)</f>
        <v>0</v>
      </c>
      <c r="R80" s="887">
        <f t="shared" si="99"/>
        <v>1416636590</v>
      </c>
      <c r="S80" s="878"/>
      <c r="T80" s="888">
        <f>ROUND(SUMIFS('A0.LS'!BP:BP,'A0.LS'!B:B,'A1.BS'!B80),0)</f>
        <v>297641089</v>
      </c>
      <c r="U80" s="889">
        <f>ROUND(SUMIFS('A0.LS'!BQ:BQ,'A0.LS'!B:B,'A1.BS'!B80),0)</f>
        <v>0</v>
      </c>
      <c r="V80" s="890">
        <v>297641089</v>
      </c>
      <c r="W80" s="850"/>
      <c r="X80" s="39" t="str">
        <f t="shared" si="32"/>
        <v>x</v>
      </c>
    </row>
    <row r="81" spans="2:24">
      <c r="B81" s="863">
        <v>269</v>
      </c>
      <c r="C81" s="864" t="s">
        <v>1912</v>
      </c>
      <c r="D81" s="879">
        <f>ROUND(SUMIFS('A0.LS'!I:I,'A0.LS'!B:B,'A1.BS'!B81),0)</f>
        <v>0</v>
      </c>
      <c r="E81" s="879">
        <f>ROUND(SUMIFS('A0.LS'!J:J,'A0.LS'!B:B,'A1.BS'!B81),0)</f>
        <v>0</v>
      </c>
      <c r="F81" s="880">
        <f>ROUND(SUMIFS('A0.LS'!K:K,'A0.LS'!B:B,'A1.BS'!B81),0)</f>
        <v>0</v>
      </c>
      <c r="G81" s="881">
        <f t="shared" si="100"/>
        <v>0</v>
      </c>
      <c r="H81" s="868"/>
      <c r="I81" s="882">
        <f>ROUND(SUMIFS('A0.LS'!N:N,'A0.LS'!B:B,'A1.BS'!B81),0)</f>
        <v>0</v>
      </c>
      <c r="J81" s="882">
        <f>ROUND(SUMIFS('A0.LS'!O:O,'A0.LS'!B:B,'A1.BS'!B81),0)</f>
        <v>0</v>
      </c>
      <c r="K81" s="883">
        <f>ROUND(SUMIFS('A0.LS'!P:P,'A0.LS'!B:B,'A1.BS'!B81),0)</f>
        <v>0</v>
      </c>
      <c r="L81" s="884">
        <f t="shared" si="98"/>
        <v>0</v>
      </c>
      <c r="M81" s="850"/>
      <c r="N81" s="19" t="str">
        <f t="shared" si="93"/>
        <v/>
      </c>
      <c r="O81" s="850"/>
      <c r="P81" s="885">
        <f>ROUND(SUMIFS('A0.LS'!AV:AV,'A0.LS'!B:B,'A1.BS'!B81),0)</f>
        <v>82660875837</v>
      </c>
      <c r="Q81" s="886">
        <f>ROUND(SUMIFS('A0.LS'!AW:AW,'A0.LS'!B:B,'A1.BS'!B81),0)</f>
        <v>0</v>
      </c>
      <c r="R81" s="887">
        <f t="shared" si="99"/>
        <v>82660875837</v>
      </c>
      <c r="S81" s="878"/>
      <c r="T81" s="888">
        <f>ROUND(SUMIFS('A0.LS'!BP:BP,'A0.LS'!B:B,'A1.BS'!B81),0)</f>
        <v>94600055220</v>
      </c>
      <c r="U81" s="889">
        <f>ROUND(SUMIFS('A0.LS'!BQ:BQ,'A0.LS'!B:B,'A1.BS'!B81),0)</f>
        <v>0</v>
      </c>
      <c r="V81" s="890">
        <v>94600055220</v>
      </c>
      <c r="W81" s="850"/>
      <c r="X81" s="39" t="str">
        <f t="shared" si="32"/>
        <v>x</v>
      </c>
    </row>
    <row r="82" spans="2:24">
      <c r="B82" s="863"/>
      <c r="C82" s="864"/>
      <c r="D82" s="865"/>
      <c r="E82" s="865"/>
      <c r="F82" s="866"/>
      <c r="G82" s="867"/>
      <c r="H82" s="868"/>
      <c r="I82" s="869"/>
      <c r="J82" s="869"/>
      <c r="K82" s="870"/>
      <c r="L82" s="871"/>
      <c r="M82" s="850"/>
      <c r="N82" s="19" t="str">
        <f t="shared" si="93"/>
        <v>x</v>
      </c>
      <c r="O82" s="850"/>
      <c r="P82" s="872"/>
      <c r="Q82" s="873"/>
      <c r="R82" s="874"/>
      <c r="S82" s="878"/>
      <c r="T82" s="875"/>
      <c r="U82" s="876"/>
      <c r="V82" s="877"/>
      <c r="W82" s="850"/>
      <c r="X82" s="39" t="str">
        <f t="shared" si="32"/>
        <v>x</v>
      </c>
    </row>
    <row r="83" spans="2:24" s="1" customFormat="1">
      <c r="B83" s="53">
        <v>270</v>
      </c>
      <c r="C83" s="54" t="s">
        <v>1913</v>
      </c>
      <c r="D83" s="43">
        <f t="shared" ref="D83:G83" si="102">SUM(D39,D7)</f>
        <v>1847666338311</v>
      </c>
      <c r="E83" s="43">
        <f t="shared" si="102"/>
        <v>83545996</v>
      </c>
      <c r="F83" s="110">
        <f t="shared" si="102"/>
        <v>-24597520309</v>
      </c>
      <c r="G83" s="1281">
        <f t="shared" si="102"/>
        <v>1823152363998</v>
      </c>
      <c r="H83" s="115"/>
      <c r="I83" s="48">
        <f>SUM(I39,I7)</f>
        <v>2178059955270</v>
      </c>
      <c r="J83" s="48">
        <f t="shared" ref="J83:L83" si="103">SUM(J39,J7)</f>
        <v>-1157187016</v>
      </c>
      <c r="K83" s="126">
        <f t="shared" si="103"/>
        <v>238065485996</v>
      </c>
      <c r="L83" s="132">
        <f t="shared" si="103"/>
        <v>2414968254250</v>
      </c>
      <c r="N83" s="19" t="str">
        <f t="shared" si="93"/>
        <v>x</v>
      </c>
      <c r="P83" s="469">
        <f t="shared" ref="P83:R83" si="104">SUM(P39,P7)</f>
        <v>2252119334553</v>
      </c>
      <c r="Q83" s="474">
        <f t="shared" si="104"/>
        <v>-405434914996</v>
      </c>
      <c r="R83" s="603">
        <f t="shared" si="104"/>
        <v>1846684419557</v>
      </c>
      <c r="S83" s="479"/>
      <c r="T83" s="464">
        <f t="shared" ref="T83:U83" si="105">SUM(T39,T7)</f>
        <v>2822439739908</v>
      </c>
      <c r="U83" s="465">
        <f t="shared" si="105"/>
        <v>-438389876392</v>
      </c>
      <c r="V83" s="604">
        <f>SUM(V39,V7)</f>
        <v>2384049863512</v>
      </c>
      <c r="X83" s="39" t="str">
        <f t="shared" si="32"/>
        <v>x</v>
      </c>
    </row>
    <row r="84" spans="2:24">
      <c r="B84" s="895"/>
      <c r="C84" s="864"/>
      <c r="D84" s="865"/>
      <c r="E84" s="865"/>
      <c r="F84" s="866"/>
      <c r="G84" s="867"/>
      <c r="H84" s="868"/>
      <c r="I84" s="869"/>
      <c r="J84" s="869"/>
      <c r="K84" s="870"/>
      <c r="L84" s="871"/>
      <c r="M84" s="850"/>
      <c r="N84" s="19" t="str">
        <f t="shared" si="93"/>
        <v>x</v>
      </c>
      <c r="O84" s="850"/>
      <c r="P84" s="872"/>
      <c r="Q84" s="873"/>
      <c r="R84" s="874"/>
      <c r="S84" s="878"/>
      <c r="T84" s="875"/>
      <c r="U84" s="876"/>
      <c r="V84" s="877"/>
      <c r="W84" s="850"/>
      <c r="X84" s="39" t="str">
        <f t="shared" si="32"/>
        <v>x</v>
      </c>
    </row>
    <row r="85" spans="2:24" s="1" customFormat="1">
      <c r="B85" s="53">
        <v>300</v>
      </c>
      <c r="C85" s="54" t="s">
        <v>1914</v>
      </c>
      <c r="D85" s="43">
        <f t="shared" ref="D85:G85" si="106">SUM(D87,D103)</f>
        <v>1439790275710</v>
      </c>
      <c r="E85" s="43">
        <f t="shared" si="106"/>
        <v>53109739</v>
      </c>
      <c r="F85" s="110">
        <f t="shared" si="106"/>
        <v>-4361347237</v>
      </c>
      <c r="G85" s="120">
        <f t="shared" si="106"/>
        <v>1435482038212</v>
      </c>
      <c r="H85" s="115"/>
      <c r="I85" s="48">
        <f>SUM(I87,I103)</f>
        <v>2093942628224</v>
      </c>
      <c r="J85" s="48">
        <f t="shared" ref="J85:L85" si="107">SUM(J87,J103)</f>
        <v>-7190350</v>
      </c>
      <c r="K85" s="126">
        <f t="shared" si="107"/>
        <v>-64831207294</v>
      </c>
      <c r="L85" s="132">
        <f t="shared" si="107"/>
        <v>2029104230581</v>
      </c>
      <c r="N85" s="19" t="str">
        <f t="shared" si="93"/>
        <v>x</v>
      </c>
      <c r="P85" s="469">
        <f t="shared" ref="P85:R85" si="108">SUM(P87,P103)</f>
        <v>1497821242488</v>
      </c>
      <c r="Q85" s="474">
        <f t="shared" si="108"/>
        <v>-34855000937</v>
      </c>
      <c r="R85" s="603">
        <f t="shared" si="108"/>
        <v>1462966241551</v>
      </c>
      <c r="S85" s="479"/>
      <c r="T85" s="464">
        <f t="shared" ref="T85:V85" si="109">SUM(T87,T103)</f>
        <v>2034987960181</v>
      </c>
      <c r="U85" s="465">
        <f t="shared" si="109"/>
        <v>-36805115209</v>
      </c>
      <c r="V85" s="604">
        <f t="shared" si="109"/>
        <v>1998182844972</v>
      </c>
      <c r="X85" s="39" t="str">
        <f t="shared" si="32"/>
        <v>x</v>
      </c>
    </row>
    <row r="86" spans="2:24">
      <c r="B86" s="863"/>
      <c r="C86" s="864"/>
      <c r="D86" s="865"/>
      <c r="E86" s="865"/>
      <c r="F86" s="866"/>
      <c r="G86" s="867"/>
      <c r="H86" s="868"/>
      <c r="I86" s="869"/>
      <c r="J86" s="869"/>
      <c r="K86" s="870"/>
      <c r="L86" s="871"/>
      <c r="M86" s="850"/>
      <c r="N86" s="19" t="str">
        <f t="shared" si="93"/>
        <v>x</v>
      </c>
      <c r="O86" s="850"/>
      <c r="P86" s="872"/>
      <c r="Q86" s="873"/>
      <c r="R86" s="874"/>
      <c r="S86" s="878"/>
      <c r="T86" s="875"/>
      <c r="U86" s="876"/>
      <c r="V86" s="877"/>
      <c r="W86" s="850"/>
      <c r="X86" s="39" t="str">
        <f t="shared" si="32"/>
        <v>x</v>
      </c>
    </row>
    <row r="87" spans="2:24" s="38" customFormat="1">
      <c r="B87" s="55">
        <v>310</v>
      </c>
      <c r="C87" s="56" t="s">
        <v>1915</v>
      </c>
      <c r="D87" s="44">
        <f t="shared" ref="D87:G87" si="110">SUM(D88:D101)</f>
        <v>1439790275710</v>
      </c>
      <c r="E87" s="44">
        <f t="shared" si="110"/>
        <v>53109739</v>
      </c>
      <c r="F87" s="111">
        <f t="shared" si="110"/>
        <v>-34697347237</v>
      </c>
      <c r="G87" s="121">
        <f t="shared" si="110"/>
        <v>1405146038212</v>
      </c>
      <c r="H87" s="116"/>
      <c r="I87" s="49">
        <f>SUM(I88:I101)</f>
        <v>2093942628224</v>
      </c>
      <c r="J87" s="49">
        <f t="shared" ref="J87:L87" si="111">SUM(J88:J101)</f>
        <v>-7190350</v>
      </c>
      <c r="K87" s="127">
        <f t="shared" si="111"/>
        <v>-98959207294</v>
      </c>
      <c r="L87" s="133">
        <f t="shared" si="111"/>
        <v>1994976230581</v>
      </c>
      <c r="N87" s="19" t="str">
        <f t="shared" si="93"/>
        <v>x</v>
      </c>
      <c r="P87" s="469">
        <f t="shared" ref="P87:R87" si="112">SUM(P88:P101)</f>
        <v>1467485242488</v>
      </c>
      <c r="Q87" s="474">
        <f t="shared" si="112"/>
        <v>-4519000937</v>
      </c>
      <c r="R87" s="484">
        <f t="shared" si="112"/>
        <v>1462966241551</v>
      </c>
      <c r="S87" s="479"/>
      <c r="T87" s="464">
        <f t="shared" ref="T87:V87" si="113">SUM(T88:T101)</f>
        <v>2000859960181</v>
      </c>
      <c r="U87" s="465">
        <f t="shared" si="113"/>
        <v>-2677115209</v>
      </c>
      <c r="V87" s="490">
        <f t="shared" si="113"/>
        <v>1998182844972</v>
      </c>
      <c r="X87" s="39" t="str">
        <f t="shared" si="32"/>
        <v>x</v>
      </c>
    </row>
    <row r="88" spans="2:24">
      <c r="B88" s="863">
        <v>311</v>
      </c>
      <c r="C88" s="864" t="s">
        <v>1916</v>
      </c>
      <c r="D88" s="879">
        <f>-ROUND(SUMIFS('A0.LS'!I:I,'A0.LS'!B:B,'A1.BS'!B88),0)</f>
        <v>5047579316</v>
      </c>
      <c r="E88" s="879">
        <f>-ROUND(SUMIFS('A0.LS'!J:J,'A0.LS'!B:B,'A1.BS'!B88),0)</f>
        <v>15000000</v>
      </c>
      <c r="F88" s="880">
        <f>-ROUND(SUMIFS('A0.LS'!K:K,'A0.LS'!B:B,'A1.BS'!B88),0)</f>
        <v>0</v>
      </c>
      <c r="G88" s="881">
        <f>ROUND(SUM(D88:F88),0)</f>
        <v>5062579316</v>
      </c>
      <c r="H88" s="868"/>
      <c r="I88" s="882">
        <f>-ROUND(SUMIFS('A0.LS'!N:N,'A0.LS'!B:B,'A1.BS'!B88),0)</f>
        <v>10155088781</v>
      </c>
      <c r="J88" s="882">
        <f>-ROUND(SUMIFS('A0.LS'!O:O,'A0.LS'!B:B,'A1.BS'!B88),0)</f>
        <v>-5456350</v>
      </c>
      <c r="K88" s="883">
        <f>-ROUND(SUMIFS('A0.LS'!P:P,'A0.LS'!B:B,'A1.BS'!B88),0)</f>
        <v>0</v>
      </c>
      <c r="L88" s="884">
        <f t="shared" ref="L88" si="114">ROUND(SUM(I88:K88),0)</f>
        <v>10149632431</v>
      </c>
      <c r="M88" s="850"/>
      <c r="N88" s="19" t="str">
        <f t="shared" si="93"/>
        <v>x</v>
      </c>
      <c r="O88" s="850"/>
      <c r="P88" s="885">
        <f>-ROUND(SUMIFS('A0.LS'!AV:AV,'A0.LS'!B:B,'A1.BS'!B88),0)</f>
        <v>13162119871</v>
      </c>
      <c r="Q88" s="886">
        <f>-ROUND(SUMIFS('A0.LS'!AW:AW,'A0.LS'!B:B,'A1.BS'!B88),0)</f>
        <v>-2840754</v>
      </c>
      <c r="R88" s="887">
        <f t="shared" ref="R88:R101" si="115">ROUND(SUM(P88:Q88),0)</f>
        <v>13159279117</v>
      </c>
      <c r="S88" s="878"/>
      <c r="T88" s="888">
        <f>-ROUND(SUMIFS('A0.LS'!BP:BP,'A0.LS'!B:B,'A1.BS'!B88),0)</f>
        <v>11103053897</v>
      </c>
      <c r="U88" s="889">
        <f>-ROUND(SUMIFS('A0.LS'!BQ:BQ,'A0.LS'!B:B,'A1.BS'!B88),0)</f>
        <v>-2230092</v>
      </c>
      <c r="V88" s="890">
        <v>11100823805</v>
      </c>
      <c r="W88" s="850"/>
      <c r="X88" s="39" t="str">
        <f t="shared" si="32"/>
        <v>x</v>
      </c>
    </row>
    <row r="89" spans="2:24">
      <c r="B89" s="863">
        <v>312</v>
      </c>
      <c r="C89" s="864" t="s">
        <v>1917</v>
      </c>
      <c r="D89" s="879">
        <f>-ROUND(SUMIFS('A0.LS'!I:I,'A0.LS'!B:B,'A1.BS'!B89),0)</f>
        <v>0</v>
      </c>
      <c r="E89" s="879">
        <f>-ROUND(SUMIFS('A0.LS'!J:J,'A0.LS'!B:B,'A1.BS'!B89),0)</f>
        <v>0</v>
      </c>
      <c r="F89" s="880">
        <f>-ROUND(SUMIFS('A0.LS'!K:K,'A0.LS'!B:B,'A1.BS'!B89),0)</f>
        <v>0</v>
      </c>
      <c r="G89" s="881">
        <f t="shared" ref="G89:G101" si="116">ROUND(SUM(D89:F89),0)</f>
        <v>0</v>
      </c>
      <c r="H89" s="868"/>
      <c r="I89" s="882">
        <f>-ROUND(SUMIFS('A0.LS'!N:N,'A0.LS'!B:B,'A1.BS'!B89),0)</f>
        <v>0</v>
      </c>
      <c r="J89" s="882">
        <f>-ROUND(SUMIFS('A0.LS'!O:O,'A0.LS'!B:B,'A1.BS'!B89),0)</f>
        <v>0</v>
      </c>
      <c r="K89" s="883">
        <f>-ROUND(SUMIFS('A0.LS'!P:P,'A0.LS'!B:B,'A1.BS'!B89),0)</f>
        <v>0</v>
      </c>
      <c r="L89" s="884">
        <f t="shared" ref="L89:L101" si="117">ROUND(SUM(I89:K89),0)</f>
        <v>0</v>
      </c>
      <c r="M89" s="850"/>
      <c r="N89" s="19" t="str">
        <f t="shared" si="93"/>
        <v/>
      </c>
      <c r="O89" s="850"/>
      <c r="P89" s="885">
        <f>-ROUND(SUMIFS('A0.LS'!AV:AV,'A0.LS'!B:B,'A1.BS'!B89),0)</f>
        <v>0</v>
      </c>
      <c r="Q89" s="886">
        <f>-ROUND(SUMIFS('A0.LS'!AW:AW,'A0.LS'!B:B,'A1.BS'!B89),0)</f>
        <v>0</v>
      </c>
      <c r="R89" s="887">
        <f t="shared" si="115"/>
        <v>0</v>
      </c>
      <c r="S89" s="878"/>
      <c r="T89" s="888">
        <f>-ROUND(SUMIFS('A0.LS'!BP:BP,'A0.LS'!B:B,'A1.BS'!B89),0)</f>
        <v>0</v>
      </c>
      <c r="U89" s="889">
        <f>-ROUND(SUMIFS('A0.LS'!BQ:BQ,'A0.LS'!B:B,'A1.BS'!B89),0)</f>
        <v>0</v>
      </c>
      <c r="V89" s="890">
        <f t="shared" ref="V89:V101" si="118">ROUND(SUM(T89:U89),0)</f>
        <v>0</v>
      </c>
      <c r="W89" s="850"/>
      <c r="X89" s="39" t="str">
        <f t="shared" si="32"/>
        <v/>
      </c>
    </row>
    <row r="90" spans="2:24">
      <c r="B90" s="863">
        <v>313</v>
      </c>
      <c r="C90" s="864" t="s">
        <v>1918</v>
      </c>
      <c r="D90" s="879">
        <f>-ROUND(SUMIFS('A0.LS'!I:I,'A0.LS'!B:B,'A1.BS'!B90),0)</f>
        <v>426073020</v>
      </c>
      <c r="E90" s="879">
        <f>-ROUND(SUMIFS('A0.LS'!J:J,'A0.LS'!B:B,'A1.BS'!B90),0)</f>
        <v>5118062</v>
      </c>
      <c r="F90" s="880">
        <f>-ROUND(SUMIFS('A0.LS'!K:K,'A0.LS'!B:B,'A1.BS'!B90),0)</f>
        <v>0</v>
      </c>
      <c r="G90" s="881">
        <f t="shared" si="116"/>
        <v>431191082</v>
      </c>
      <c r="H90" s="868"/>
      <c r="I90" s="882">
        <f>-ROUND(SUMIFS('A0.LS'!N:N,'A0.LS'!B:B,'A1.BS'!B90),0)</f>
        <v>2868287682</v>
      </c>
      <c r="J90" s="882">
        <f>-ROUND(SUMIFS('A0.LS'!O:O,'A0.LS'!B:B,'A1.BS'!B90),0)</f>
        <v>0</v>
      </c>
      <c r="K90" s="883">
        <f>-ROUND(SUMIFS('A0.LS'!P:P,'A0.LS'!B:B,'A1.BS'!B90),0)</f>
        <v>-275261034</v>
      </c>
      <c r="L90" s="884">
        <f t="shared" si="117"/>
        <v>2593026648</v>
      </c>
      <c r="M90" s="850"/>
      <c r="N90" s="19" t="str">
        <f t="shared" si="93"/>
        <v>x</v>
      </c>
      <c r="O90" s="850"/>
      <c r="P90" s="885">
        <f>-ROUND(SUMIFS('A0.LS'!AV:AV,'A0.LS'!B:B,'A1.BS'!B90),0)</f>
        <v>1295803696</v>
      </c>
      <c r="Q90" s="886">
        <f>-ROUND(SUMIFS('A0.LS'!AW:AW,'A0.LS'!B:B,'A1.BS'!B90),0)</f>
        <v>0</v>
      </c>
      <c r="R90" s="887">
        <f t="shared" si="115"/>
        <v>1295803696</v>
      </c>
      <c r="S90" s="878"/>
      <c r="T90" s="888">
        <f>-ROUND(SUMIFS('A0.LS'!BP:BP,'A0.LS'!B:B,'A1.BS'!B90),0)</f>
        <v>2961139619</v>
      </c>
      <c r="U90" s="889">
        <f>-ROUND(SUMIFS('A0.LS'!BQ:BQ,'A0.LS'!B:B,'A1.BS'!B90),0)</f>
        <v>0</v>
      </c>
      <c r="V90" s="890">
        <v>2961139619</v>
      </c>
      <c r="W90" s="850"/>
      <c r="X90" s="39" t="str">
        <f t="shared" si="32"/>
        <v>x</v>
      </c>
    </row>
    <row r="91" spans="2:24">
      <c r="B91" s="863">
        <v>314</v>
      </c>
      <c r="C91" s="864" t="s">
        <v>1919</v>
      </c>
      <c r="D91" s="879">
        <f>-ROUND(SUMIFS('A0.LS'!I:I,'A0.LS'!B:B,'A1.BS'!B91),0)</f>
        <v>1454025063</v>
      </c>
      <c r="E91" s="879">
        <f>-ROUND(SUMIFS('A0.LS'!J:J,'A0.LS'!B:B,'A1.BS'!B91),0)</f>
        <v>14300000</v>
      </c>
      <c r="F91" s="880">
        <f>-ROUND(SUMIFS('A0.LS'!K:K,'A0.LS'!B:B,'A1.BS'!B91),0)</f>
        <v>0</v>
      </c>
      <c r="G91" s="881">
        <f t="shared" si="116"/>
        <v>1468325063</v>
      </c>
      <c r="H91" s="868"/>
      <c r="I91" s="882">
        <f>-ROUND(SUMIFS('A0.LS'!N:N,'A0.LS'!B:B,'A1.BS'!B91),0)</f>
        <v>4337833595</v>
      </c>
      <c r="J91" s="882">
        <f>-ROUND(SUMIFS('A0.LS'!O:O,'A0.LS'!B:B,'A1.BS'!B91),0)</f>
        <v>798000</v>
      </c>
      <c r="K91" s="883">
        <f>-ROUND(SUMIFS('A0.LS'!P:P,'A0.LS'!B:B,'A1.BS'!B91),0)</f>
        <v>0</v>
      </c>
      <c r="L91" s="884">
        <f t="shared" si="117"/>
        <v>4338631595</v>
      </c>
      <c r="M91" s="850"/>
      <c r="N91" s="19" t="str">
        <f t="shared" si="93"/>
        <v>x</v>
      </c>
      <c r="O91" s="850"/>
      <c r="P91" s="885">
        <f>-ROUND(SUMIFS('A0.LS'!AV:AV,'A0.LS'!B:B,'A1.BS'!B91),0)</f>
        <v>3331657840</v>
      </c>
      <c r="Q91" s="886">
        <f>-ROUND(SUMIFS('A0.LS'!AW:AW,'A0.LS'!B:B,'A1.BS'!B91),0)</f>
        <v>0</v>
      </c>
      <c r="R91" s="887">
        <f t="shared" si="115"/>
        <v>3331657840</v>
      </c>
      <c r="S91" s="878"/>
      <c r="T91" s="888">
        <f>-ROUND(SUMIFS('A0.LS'!BP:BP,'A0.LS'!B:B,'A1.BS'!B91),0)</f>
        <v>5675308911</v>
      </c>
      <c r="U91" s="889">
        <f>-ROUND(SUMIFS('A0.LS'!BQ:BQ,'A0.LS'!B:B,'A1.BS'!B91),0)</f>
        <v>0</v>
      </c>
      <c r="V91" s="890">
        <v>5675308911</v>
      </c>
      <c r="W91" s="850"/>
      <c r="X91" s="39" t="str">
        <f t="shared" si="32"/>
        <v>x</v>
      </c>
    </row>
    <row r="92" spans="2:24">
      <c r="B92" s="863">
        <v>315</v>
      </c>
      <c r="C92" s="864" t="s">
        <v>1920</v>
      </c>
      <c r="D92" s="879">
        <f>-ROUND(SUMIFS('A0.LS'!I:I,'A0.LS'!B:B,'A1.BS'!B92),0)</f>
        <v>1050443200</v>
      </c>
      <c r="E92" s="879">
        <f>-ROUND(SUMIFS('A0.LS'!J:J,'A0.LS'!B:B,'A1.BS'!B92),0)</f>
        <v>0</v>
      </c>
      <c r="F92" s="880">
        <f>-ROUND(SUMIFS('A0.LS'!K:K,'A0.LS'!B:B,'A1.BS'!B92),0)</f>
        <v>0</v>
      </c>
      <c r="G92" s="881">
        <f t="shared" si="116"/>
        <v>1050443200</v>
      </c>
      <c r="H92" s="868"/>
      <c r="I92" s="882">
        <f>-ROUND(SUMIFS('A0.LS'!N:N,'A0.LS'!B:B,'A1.BS'!B92),0)</f>
        <v>1132031369</v>
      </c>
      <c r="J92" s="882">
        <f>-ROUND(SUMIFS('A0.LS'!O:O,'A0.LS'!B:B,'A1.BS'!B92),0)</f>
        <v>0</v>
      </c>
      <c r="K92" s="883">
        <f>-ROUND(SUMIFS('A0.LS'!P:P,'A0.LS'!B:B,'A1.BS'!B92),0)</f>
        <v>0</v>
      </c>
      <c r="L92" s="884">
        <f t="shared" si="117"/>
        <v>1132031369</v>
      </c>
      <c r="M92" s="850"/>
      <c r="N92" s="19" t="str">
        <f t="shared" si="93"/>
        <v>x</v>
      </c>
      <c r="O92" s="850"/>
      <c r="P92" s="885">
        <f>-ROUND(SUMIFS('A0.LS'!AV:AV,'A0.LS'!B:B,'A1.BS'!B92),0)</f>
        <v>3213188287</v>
      </c>
      <c r="Q92" s="886">
        <f>-ROUND(SUMIFS('A0.LS'!AW:AW,'A0.LS'!B:B,'A1.BS'!B92),0)</f>
        <v>0</v>
      </c>
      <c r="R92" s="887">
        <f>ROUND(SUM(P92:Q92),0)</f>
        <v>3213188287</v>
      </c>
      <c r="S92" s="878"/>
      <c r="T92" s="888">
        <f>-ROUND(SUMIFS('A0.LS'!BP:BP,'A0.LS'!B:B,'A1.BS'!B92),0)</f>
        <v>1524326663</v>
      </c>
      <c r="U92" s="889">
        <f>-ROUND(SUMIFS('A0.LS'!BQ:BQ,'A0.LS'!B:B,'A1.BS'!B92),0)</f>
        <v>0</v>
      </c>
      <c r="V92" s="890">
        <v>1524326663</v>
      </c>
      <c r="W92" s="850"/>
      <c r="X92" s="39" t="str">
        <f t="shared" si="32"/>
        <v>x</v>
      </c>
    </row>
    <row r="93" spans="2:24">
      <c r="B93" s="863">
        <v>316</v>
      </c>
      <c r="C93" s="864" t="s">
        <v>1921</v>
      </c>
      <c r="D93" s="879">
        <f>-ROUND(SUMIFS('A0.LS'!I:I,'A0.LS'!B:B,'A1.BS'!B93),0)</f>
        <v>0</v>
      </c>
      <c r="E93" s="879">
        <f>-ROUND(SUMIFS('A0.LS'!J:J,'A0.LS'!B:B,'A1.BS'!B93),0)</f>
        <v>0</v>
      </c>
      <c r="F93" s="880">
        <f>-ROUND(SUMIFS('A0.LS'!K:K,'A0.LS'!B:B,'A1.BS'!B93),0)</f>
        <v>0</v>
      </c>
      <c r="G93" s="881">
        <f t="shared" si="116"/>
        <v>0</v>
      </c>
      <c r="H93" s="868"/>
      <c r="I93" s="882">
        <f>-ROUND(SUMIFS('A0.LS'!N:N,'A0.LS'!B:B,'A1.BS'!B93),0)</f>
        <v>0</v>
      </c>
      <c r="J93" s="882">
        <f>-ROUND(SUMIFS('A0.LS'!O:O,'A0.LS'!B:B,'A1.BS'!B93),0)</f>
        <v>0</v>
      </c>
      <c r="K93" s="883">
        <f>-ROUND(SUMIFS('A0.LS'!P:P,'A0.LS'!B:B,'A1.BS'!B93),0)</f>
        <v>0</v>
      </c>
      <c r="L93" s="884">
        <f t="shared" si="117"/>
        <v>0</v>
      </c>
      <c r="M93" s="850"/>
      <c r="N93" s="19" t="str">
        <f t="shared" si="93"/>
        <v/>
      </c>
      <c r="O93" s="850"/>
      <c r="P93" s="885">
        <f>-ROUND(SUMIFS('A0.LS'!AV:AV,'A0.LS'!B:B,'A1.BS'!B93),0)</f>
        <v>0</v>
      </c>
      <c r="Q93" s="886">
        <f>-ROUND(SUMIFS('A0.LS'!AW:AW,'A0.LS'!B:B,'A1.BS'!B93),0)</f>
        <v>0</v>
      </c>
      <c r="R93" s="887">
        <f t="shared" si="115"/>
        <v>0</v>
      </c>
      <c r="S93" s="878"/>
      <c r="T93" s="888">
        <f>-ROUND(SUMIFS('A0.LS'!BP:BP,'A0.LS'!B:B,'A1.BS'!B93),0)</f>
        <v>0</v>
      </c>
      <c r="U93" s="889">
        <f>-ROUND(SUMIFS('A0.LS'!BQ:BQ,'A0.LS'!B:B,'A1.BS'!B93),0)</f>
        <v>0</v>
      </c>
      <c r="V93" s="890">
        <f t="shared" si="118"/>
        <v>0</v>
      </c>
      <c r="W93" s="850"/>
      <c r="X93" s="39" t="str">
        <f t="shared" ref="X93:X143" si="119">IF(OR(V93&lt;&gt;0,R93&lt;&gt;0,R93="",V93=""),"x","")</f>
        <v/>
      </c>
    </row>
    <row r="94" spans="2:24">
      <c r="B94" s="863">
        <v>317</v>
      </c>
      <c r="C94" s="864" t="s">
        <v>1922</v>
      </c>
      <c r="D94" s="879">
        <f>-ROUND(SUMIFS('A0.LS'!I:I,'A0.LS'!B:B,'A1.BS'!B94),0)</f>
        <v>0</v>
      </c>
      <c r="E94" s="879">
        <f>-ROUND(SUMIFS('A0.LS'!J:J,'A0.LS'!B:B,'A1.BS'!B94),0)</f>
        <v>0</v>
      </c>
      <c r="F94" s="880">
        <f>-ROUND(SUMIFS('A0.LS'!K:K,'A0.LS'!B:B,'A1.BS'!B94),0)</f>
        <v>0</v>
      </c>
      <c r="G94" s="881">
        <f t="shared" si="116"/>
        <v>0</v>
      </c>
      <c r="H94" s="868"/>
      <c r="I94" s="882">
        <f>-ROUND(SUMIFS('A0.LS'!N:N,'A0.LS'!B:B,'A1.BS'!B94),0)</f>
        <v>0</v>
      </c>
      <c r="J94" s="882">
        <f>-ROUND(SUMIFS('A0.LS'!O:O,'A0.LS'!B:B,'A1.BS'!B94),0)</f>
        <v>0</v>
      </c>
      <c r="K94" s="883">
        <f>-ROUND(SUMIFS('A0.LS'!P:P,'A0.LS'!B:B,'A1.BS'!B94),0)</f>
        <v>0</v>
      </c>
      <c r="L94" s="884">
        <f t="shared" si="117"/>
        <v>0</v>
      </c>
      <c r="M94" s="850"/>
      <c r="N94" s="19" t="str">
        <f t="shared" si="93"/>
        <v/>
      </c>
      <c r="O94" s="850"/>
      <c r="P94" s="885">
        <f>-ROUND(SUMIFS('A0.LS'!AV:AV,'A0.LS'!B:B,'A1.BS'!B94),0)</f>
        <v>0</v>
      </c>
      <c r="Q94" s="886">
        <f>-ROUND(SUMIFS('A0.LS'!AW:AW,'A0.LS'!B:B,'A1.BS'!B94),0)</f>
        <v>0</v>
      </c>
      <c r="R94" s="887">
        <f t="shared" si="115"/>
        <v>0</v>
      </c>
      <c r="S94" s="878"/>
      <c r="T94" s="888">
        <f>-ROUND(SUMIFS('A0.LS'!BP:BP,'A0.LS'!B:B,'A1.BS'!B94),0)</f>
        <v>0</v>
      </c>
      <c r="U94" s="889">
        <f>-ROUND(SUMIFS('A0.LS'!BQ:BQ,'A0.LS'!B:B,'A1.BS'!B94),0)</f>
        <v>0</v>
      </c>
      <c r="V94" s="890">
        <f t="shared" si="118"/>
        <v>0</v>
      </c>
      <c r="W94" s="850"/>
      <c r="X94" s="39" t="str">
        <f t="shared" si="119"/>
        <v/>
      </c>
    </row>
    <row r="95" spans="2:24">
      <c r="B95" s="863">
        <v>318</v>
      </c>
      <c r="C95" s="864" t="s">
        <v>1923</v>
      </c>
      <c r="D95" s="879">
        <f>-ROUND(SUMIFS('A0.LS'!I:I,'A0.LS'!B:B,'A1.BS'!B95),0)</f>
        <v>30336000000</v>
      </c>
      <c r="E95" s="879">
        <f>-ROUND(SUMIFS('A0.LS'!J:J,'A0.LS'!B:B,'A1.BS'!B95),0)</f>
        <v>0</v>
      </c>
      <c r="F95" s="880">
        <f>-ROUND(SUMIFS('A0.LS'!K:K,'A0.LS'!B:B,'A1.BS'!B95),0)</f>
        <v>-30336000000</v>
      </c>
      <c r="G95" s="881">
        <f t="shared" si="116"/>
        <v>0</v>
      </c>
      <c r="H95" s="868"/>
      <c r="I95" s="882">
        <f>-ROUND(SUMIFS('A0.LS'!N:N,'A0.LS'!B:B,'A1.BS'!B95),0)</f>
        <v>34128000000</v>
      </c>
      <c r="J95" s="882">
        <f>-ROUND(SUMIFS('A0.LS'!O:O,'A0.LS'!B:B,'A1.BS'!B95),0)</f>
        <v>0</v>
      </c>
      <c r="K95" s="883">
        <f>-ROUND(SUMIFS('A0.LS'!P:P,'A0.LS'!B:B,'A1.BS'!B95),0)</f>
        <v>-34128000000</v>
      </c>
      <c r="L95" s="884">
        <f t="shared" si="117"/>
        <v>0</v>
      </c>
      <c r="M95" s="850"/>
      <c r="N95" s="19" t="str">
        <f t="shared" si="93"/>
        <v/>
      </c>
      <c r="O95" s="850"/>
      <c r="P95" s="885">
        <f>-ROUND(SUMIFS('A0.LS'!AV:AV,'A0.LS'!B:B,'A1.BS'!B95),0)</f>
        <v>0</v>
      </c>
      <c r="Q95" s="886">
        <f>-ROUND(SUMIFS('A0.LS'!AW:AW,'A0.LS'!B:B,'A1.BS'!B95),0)</f>
        <v>0</v>
      </c>
      <c r="R95" s="887">
        <f t="shared" si="115"/>
        <v>0</v>
      </c>
      <c r="S95" s="878"/>
      <c r="T95" s="888">
        <f>-ROUND(SUMIFS('A0.LS'!BP:BP,'A0.LS'!B:B,'A1.BS'!B95),0)</f>
        <v>0</v>
      </c>
      <c r="U95" s="889">
        <f>-ROUND(SUMIFS('A0.LS'!BQ:BQ,'A0.LS'!B:B,'A1.BS'!B95),0)</f>
        <v>0</v>
      </c>
      <c r="V95" s="890">
        <v>0</v>
      </c>
      <c r="W95" s="850"/>
      <c r="X95" s="39" t="str">
        <f t="shared" si="119"/>
        <v/>
      </c>
    </row>
    <row r="96" spans="2:24">
      <c r="B96" s="863">
        <v>319</v>
      </c>
      <c r="C96" s="864" t="s">
        <v>1924</v>
      </c>
      <c r="D96" s="879">
        <f>-ROUND(SUMIFS('A0.LS'!I:I,'A0.LS'!B:B,'A1.BS'!B96),0)</f>
        <v>1396976155111</v>
      </c>
      <c r="E96" s="879">
        <f>-ROUND(SUMIFS('A0.LS'!J:J,'A0.LS'!B:B,'A1.BS'!B96),0)</f>
        <v>18691677</v>
      </c>
      <c r="F96" s="880">
        <f>-ROUND(SUMIFS('A0.LS'!K:K,'A0.LS'!B:B,'A1.BS'!B96),0)</f>
        <v>-4361347237</v>
      </c>
      <c r="G96" s="881">
        <f t="shared" si="116"/>
        <v>1392633499551</v>
      </c>
      <c r="H96" s="868"/>
      <c r="I96" s="882">
        <f>-ROUND(SUMIFS('A0.LS'!N:N,'A0.LS'!B:B,'A1.BS'!B96),0)</f>
        <v>2041321386797</v>
      </c>
      <c r="J96" s="882">
        <f>-ROUND(SUMIFS('A0.LS'!O:O,'A0.LS'!B:B,'A1.BS'!B96),0)</f>
        <v>-2532000</v>
      </c>
      <c r="K96" s="883">
        <f>-ROUND(SUMIFS('A0.LS'!P:P,'A0.LS'!B:B,'A1.BS'!B96),0)</f>
        <v>-64555946260</v>
      </c>
      <c r="L96" s="1269">
        <f>ROUND(SUM(I96:K96),0)+1</f>
        <v>1976762908538</v>
      </c>
      <c r="M96" s="850"/>
      <c r="N96" s="19" t="str">
        <f t="shared" si="93"/>
        <v>x</v>
      </c>
      <c r="O96" s="850"/>
      <c r="P96" s="885">
        <f>-ROUND(SUMIFS('A0.LS'!AV:AV,'A0.LS'!B:B,'A1.BS'!B96),0)</f>
        <v>1392982472794</v>
      </c>
      <c r="Q96" s="886">
        <f>-ROUND(SUMIFS('A0.LS'!AW:AW,'A0.LS'!B:B,'A1.BS'!B96),0)</f>
        <v>-16160183</v>
      </c>
      <c r="R96" s="887">
        <f t="shared" si="115"/>
        <v>1392966312611</v>
      </c>
      <c r="S96" s="878"/>
      <c r="T96" s="888">
        <f>-ROUND(SUMIFS('A0.LS'!BP:BP,'A0.LS'!B:B,'A1.BS'!B96),0)</f>
        <v>1979596131091</v>
      </c>
      <c r="U96" s="889">
        <f>-ROUND(SUMIFS('A0.LS'!BQ:BQ,'A0.LS'!B:B,'A1.BS'!B96),0)</f>
        <v>-2674885117</v>
      </c>
      <c r="V96" s="890">
        <v>1976921245974</v>
      </c>
      <c r="W96" s="850"/>
      <c r="X96" s="39" t="str">
        <f t="shared" si="119"/>
        <v>x</v>
      </c>
    </row>
    <row r="97" spans="2:24">
      <c r="B97" s="863">
        <v>320</v>
      </c>
      <c r="C97" s="864" t="s">
        <v>1925</v>
      </c>
      <c r="D97" s="879">
        <f>-ROUND(SUMIFS('A0.LS'!I:I,'A0.LS'!B:B,'A1.BS'!B97),0)</f>
        <v>4500000000</v>
      </c>
      <c r="E97" s="879">
        <f>-ROUND(SUMIFS('A0.LS'!J:J,'A0.LS'!B:B,'A1.BS'!B97),0)</f>
        <v>0</v>
      </c>
      <c r="F97" s="880">
        <f>-ROUND(SUMIFS('A0.LS'!K:K,'A0.LS'!B:B,'A1.BS'!B97),0)</f>
        <v>0</v>
      </c>
      <c r="G97" s="881">
        <f t="shared" si="116"/>
        <v>4500000000</v>
      </c>
      <c r="H97" s="868"/>
      <c r="I97" s="882">
        <f>-ROUND(SUMIFS('A0.LS'!N:N,'A0.LS'!B:B,'A1.BS'!B97),0)</f>
        <v>0</v>
      </c>
      <c r="J97" s="882">
        <f>-ROUND(SUMIFS('A0.LS'!O:O,'A0.LS'!B:B,'A1.BS'!B97),0)</f>
        <v>0</v>
      </c>
      <c r="K97" s="883">
        <f>-ROUND(SUMIFS('A0.LS'!P:P,'A0.LS'!B:B,'A1.BS'!B97),0)</f>
        <v>0</v>
      </c>
      <c r="L97" s="884">
        <f t="shared" si="117"/>
        <v>0</v>
      </c>
      <c r="M97" s="850"/>
      <c r="N97" s="19" t="str">
        <f t="shared" si="93"/>
        <v>x</v>
      </c>
      <c r="O97" s="850"/>
      <c r="P97" s="885">
        <f>-ROUND(SUMIFS('A0.LS'!AV:AV,'A0.LS'!B:B,'A1.BS'!B97),0)</f>
        <v>53500000000</v>
      </c>
      <c r="Q97" s="886">
        <f>-ROUND(SUMIFS('A0.LS'!AW:AW,'A0.LS'!B:B,'A1.BS'!B97),0)</f>
        <v>-4500000000</v>
      </c>
      <c r="R97" s="887">
        <f t="shared" si="115"/>
        <v>49000000000</v>
      </c>
      <c r="S97" s="878"/>
      <c r="T97" s="888">
        <f>-ROUND(SUMIFS('A0.LS'!BP:BP,'A0.LS'!B:B,'A1.BS'!B97),0)</f>
        <v>0</v>
      </c>
      <c r="U97" s="889">
        <f>-ROUND(SUMIFS('A0.LS'!BQ:BQ,'A0.LS'!B:B,'A1.BS'!B97),0)</f>
        <v>0</v>
      </c>
      <c r="V97" s="890">
        <f t="shared" si="118"/>
        <v>0</v>
      </c>
      <c r="W97" s="850"/>
      <c r="X97" s="39" t="str">
        <f t="shared" si="119"/>
        <v>x</v>
      </c>
    </row>
    <row r="98" spans="2:24">
      <c r="B98" s="863">
        <v>321</v>
      </c>
      <c r="C98" s="864" t="s">
        <v>1926</v>
      </c>
      <c r="D98" s="879">
        <f>-ROUND(SUMIFS('A0.LS'!I:I,'A0.LS'!B:B,'A1.BS'!B98),0)</f>
        <v>0</v>
      </c>
      <c r="E98" s="879">
        <f>-ROUND(SUMIFS('A0.LS'!J:J,'A0.LS'!B:B,'A1.BS'!B98),0)</f>
        <v>0</v>
      </c>
      <c r="F98" s="880">
        <f>-ROUND(SUMIFS('A0.LS'!K:K,'A0.LS'!B:B,'A1.BS'!B98),0)</f>
        <v>0</v>
      </c>
      <c r="G98" s="881">
        <f t="shared" si="116"/>
        <v>0</v>
      </c>
      <c r="H98" s="868"/>
      <c r="I98" s="882">
        <f>-ROUND(SUMIFS('A0.LS'!N:N,'A0.LS'!B:B,'A1.BS'!B98),0)</f>
        <v>0</v>
      </c>
      <c r="J98" s="882">
        <f>-ROUND(SUMIFS('A0.LS'!O:O,'A0.LS'!B:B,'A1.BS'!B98),0)</f>
        <v>0</v>
      </c>
      <c r="K98" s="883">
        <f>-ROUND(SUMIFS('A0.LS'!P:P,'A0.LS'!B:B,'A1.BS'!B98),0)</f>
        <v>0</v>
      </c>
      <c r="L98" s="884">
        <f t="shared" si="117"/>
        <v>0</v>
      </c>
      <c r="M98" s="850"/>
      <c r="N98" s="19" t="str">
        <f t="shared" si="93"/>
        <v/>
      </c>
      <c r="O98" s="850"/>
      <c r="P98" s="885">
        <f>-ROUND(SUMIFS('A0.LS'!AV:AV,'A0.LS'!B:B,'A1.BS'!B98),0)</f>
        <v>0</v>
      </c>
      <c r="Q98" s="886">
        <f>-ROUND(SUMIFS('A0.LS'!AW:AW,'A0.LS'!B:B,'A1.BS'!B98),0)</f>
        <v>0</v>
      </c>
      <c r="R98" s="887">
        <f t="shared" si="115"/>
        <v>0</v>
      </c>
      <c r="S98" s="878"/>
      <c r="T98" s="888">
        <f>-ROUND(SUMIFS('A0.LS'!BP:BP,'A0.LS'!B:B,'A1.BS'!B98),0)</f>
        <v>0</v>
      </c>
      <c r="U98" s="889">
        <f>-ROUND(SUMIFS('A0.LS'!BQ:BQ,'A0.LS'!B:B,'A1.BS'!B98),0)</f>
        <v>0</v>
      </c>
      <c r="V98" s="890">
        <f t="shared" si="118"/>
        <v>0</v>
      </c>
      <c r="W98" s="850"/>
      <c r="X98" s="39" t="str">
        <f t="shared" si="119"/>
        <v/>
      </c>
    </row>
    <row r="99" spans="2:24">
      <c r="B99" s="863">
        <v>322</v>
      </c>
      <c r="C99" s="864" t="s">
        <v>1927</v>
      </c>
      <c r="D99" s="879">
        <f>-ROUND(SUMIFS('A0.LS'!I:I,'A0.LS'!B:B,'A1.BS'!B99),0)</f>
        <v>0</v>
      </c>
      <c r="E99" s="879">
        <f>-ROUND(SUMIFS('A0.LS'!J:J,'A0.LS'!B:B,'A1.BS'!B99),0)</f>
        <v>0</v>
      </c>
      <c r="F99" s="880">
        <f>-ROUND(SUMIFS('A0.LS'!K:K,'A0.LS'!B:B,'A1.BS'!B99),0)</f>
        <v>0</v>
      </c>
      <c r="G99" s="881">
        <f t="shared" si="116"/>
        <v>0</v>
      </c>
      <c r="H99" s="868"/>
      <c r="I99" s="882">
        <f>-ROUND(SUMIFS('A0.LS'!N:N,'A0.LS'!B:B,'A1.BS'!B99),0)</f>
        <v>0</v>
      </c>
      <c r="J99" s="882">
        <f>-ROUND(SUMIFS('A0.LS'!O:O,'A0.LS'!B:B,'A1.BS'!B99),0)</f>
        <v>0</v>
      </c>
      <c r="K99" s="883">
        <f>-ROUND(SUMIFS('A0.LS'!P:P,'A0.LS'!B:B,'A1.BS'!B99),0)</f>
        <v>0</v>
      </c>
      <c r="L99" s="884">
        <f t="shared" si="117"/>
        <v>0</v>
      </c>
      <c r="M99" s="850"/>
      <c r="N99" s="19" t="str">
        <f t="shared" si="93"/>
        <v/>
      </c>
      <c r="O99" s="850"/>
      <c r="P99" s="885">
        <f>-ROUND(SUMIFS('A0.LS'!AV:AV,'A0.LS'!B:B,'A1.BS'!B99),0)</f>
        <v>0</v>
      </c>
      <c r="Q99" s="886">
        <f>-ROUND(SUMIFS('A0.LS'!AW:AW,'A0.LS'!B:B,'A1.BS'!B99),0)</f>
        <v>0</v>
      </c>
      <c r="R99" s="887">
        <f t="shared" si="115"/>
        <v>0</v>
      </c>
      <c r="S99" s="878"/>
      <c r="T99" s="888">
        <f>-ROUND(SUMIFS('A0.LS'!BP:BP,'A0.LS'!B:B,'A1.BS'!B99),0)</f>
        <v>0</v>
      </c>
      <c r="U99" s="889">
        <f>-ROUND(SUMIFS('A0.LS'!BQ:BQ,'A0.LS'!B:B,'A1.BS'!B99),0)</f>
        <v>0</v>
      </c>
      <c r="V99" s="890">
        <f t="shared" si="118"/>
        <v>0</v>
      </c>
      <c r="W99" s="850"/>
      <c r="X99" s="39" t="str">
        <f t="shared" si="119"/>
        <v/>
      </c>
    </row>
    <row r="100" spans="2:24">
      <c r="B100" s="863">
        <v>323</v>
      </c>
      <c r="C100" s="864" t="s">
        <v>1928</v>
      </c>
      <c r="D100" s="879">
        <f>-ROUND(SUMIFS('A0.LS'!I:I,'A0.LS'!B:B,'A1.BS'!B100),0)</f>
        <v>0</v>
      </c>
      <c r="E100" s="879">
        <f>-ROUND(SUMIFS('A0.LS'!J:J,'A0.LS'!B:B,'A1.BS'!B100),0)</f>
        <v>0</v>
      </c>
      <c r="F100" s="880">
        <f>-ROUND(SUMIFS('A0.LS'!K:K,'A0.LS'!B:B,'A1.BS'!B100),0)</f>
        <v>0</v>
      </c>
      <c r="G100" s="881">
        <f t="shared" si="116"/>
        <v>0</v>
      </c>
      <c r="H100" s="868"/>
      <c r="I100" s="882">
        <f>-ROUND(SUMIFS('A0.LS'!N:N,'A0.LS'!B:B,'A1.BS'!B100),0)</f>
        <v>0</v>
      </c>
      <c r="J100" s="882">
        <f>-ROUND(SUMIFS('A0.LS'!O:O,'A0.LS'!B:B,'A1.BS'!B100),0)</f>
        <v>0</v>
      </c>
      <c r="K100" s="883">
        <f>-ROUND(SUMIFS('A0.LS'!P:P,'A0.LS'!B:B,'A1.BS'!B100),0)</f>
        <v>0</v>
      </c>
      <c r="L100" s="884">
        <f t="shared" si="117"/>
        <v>0</v>
      </c>
      <c r="M100" s="850"/>
      <c r="N100" s="19" t="str">
        <f t="shared" si="93"/>
        <v/>
      </c>
      <c r="O100" s="850"/>
      <c r="P100" s="885">
        <f>-ROUND(SUMIFS('A0.LS'!AV:AV,'A0.LS'!B:B,'A1.BS'!B100),0)</f>
        <v>0</v>
      </c>
      <c r="Q100" s="886">
        <f>-ROUND(SUMIFS('A0.LS'!AW:AW,'A0.LS'!B:B,'A1.BS'!B100),0)</f>
        <v>0</v>
      </c>
      <c r="R100" s="887">
        <f t="shared" si="115"/>
        <v>0</v>
      </c>
      <c r="S100" s="878"/>
      <c r="T100" s="888">
        <f>-ROUND(SUMIFS('A0.LS'!BP:BP,'A0.LS'!B:B,'A1.BS'!B100),0)</f>
        <v>0</v>
      </c>
      <c r="U100" s="889">
        <f>-ROUND(SUMIFS('A0.LS'!BQ:BQ,'A0.LS'!B:B,'A1.BS'!B100),0)</f>
        <v>0</v>
      </c>
      <c r="V100" s="890">
        <f t="shared" si="118"/>
        <v>0</v>
      </c>
      <c r="W100" s="850"/>
      <c r="X100" s="39" t="str">
        <f t="shared" si="119"/>
        <v/>
      </c>
    </row>
    <row r="101" spans="2:24">
      <c r="B101" s="863">
        <v>324</v>
      </c>
      <c r="C101" s="864" t="s">
        <v>1929</v>
      </c>
      <c r="D101" s="879">
        <f>-ROUND(SUMIFS('A0.LS'!I:I,'A0.LS'!B:B,'A1.BS'!B101),0)</f>
        <v>0</v>
      </c>
      <c r="E101" s="879">
        <f>-ROUND(SUMIFS('A0.LS'!J:J,'A0.LS'!B:B,'A1.BS'!B101),0)</f>
        <v>0</v>
      </c>
      <c r="F101" s="880">
        <f>-ROUND(SUMIFS('A0.LS'!K:K,'A0.LS'!B:B,'A1.BS'!B101),0)</f>
        <v>0</v>
      </c>
      <c r="G101" s="881">
        <f t="shared" si="116"/>
        <v>0</v>
      </c>
      <c r="H101" s="868"/>
      <c r="I101" s="882">
        <f>-ROUND(SUMIFS('A0.LS'!N:N,'A0.LS'!B:B,'A1.BS'!B101),0)</f>
        <v>0</v>
      </c>
      <c r="J101" s="882">
        <f>-ROUND(SUMIFS('A0.LS'!O:O,'A0.LS'!B:B,'A1.BS'!B101),0)</f>
        <v>0</v>
      </c>
      <c r="K101" s="883">
        <f>-ROUND(SUMIFS('A0.LS'!P:P,'A0.LS'!B:B,'A1.BS'!B101),0)</f>
        <v>0</v>
      </c>
      <c r="L101" s="884">
        <f t="shared" si="117"/>
        <v>0</v>
      </c>
      <c r="M101" s="850"/>
      <c r="N101" s="19" t="str">
        <f t="shared" si="93"/>
        <v/>
      </c>
      <c r="O101" s="850"/>
      <c r="P101" s="885">
        <f>-ROUND(SUMIFS('A0.LS'!AV:AV,'A0.LS'!B:B,'A1.BS'!B101),0)</f>
        <v>0</v>
      </c>
      <c r="Q101" s="886">
        <f>-ROUND(SUMIFS('A0.LS'!AW:AW,'A0.LS'!B:B,'A1.BS'!B101),0)</f>
        <v>0</v>
      </c>
      <c r="R101" s="887">
        <f t="shared" si="115"/>
        <v>0</v>
      </c>
      <c r="S101" s="878"/>
      <c r="T101" s="888">
        <f>-ROUND(SUMIFS('A0.LS'!BP:BP,'A0.LS'!B:B,'A1.BS'!B101),0)</f>
        <v>0</v>
      </c>
      <c r="U101" s="889">
        <f>-ROUND(SUMIFS('A0.LS'!BQ:BQ,'A0.LS'!B:B,'A1.BS'!B101),0)</f>
        <v>0</v>
      </c>
      <c r="V101" s="890">
        <f t="shared" si="118"/>
        <v>0</v>
      </c>
      <c r="W101" s="850"/>
      <c r="X101" s="39" t="str">
        <f t="shared" si="119"/>
        <v/>
      </c>
    </row>
    <row r="102" spans="2:24">
      <c r="B102" s="863"/>
      <c r="C102" s="864"/>
      <c r="D102" s="865"/>
      <c r="E102" s="865"/>
      <c r="F102" s="866"/>
      <c r="G102" s="867"/>
      <c r="H102" s="868"/>
      <c r="I102" s="869"/>
      <c r="J102" s="869"/>
      <c r="K102" s="870"/>
      <c r="L102" s="871"/>
      <c r="M102" s="850"/>
      <c r="N102" s="19" t="s">
        <v>681</v>
      </c>
      <c r="O102" s="850"/>
      <c r="P102" s="872"/>
      <c r="Q102" s="873"/>
      <c r="R102" s="874"/>
      <c r="S102" s="878"/>
      <c r="T102" s="875"/>
      <c r="U102" s="876"/>
      <c r="V102" s="877"/>
      <c r="W102" s="850"/>
      <c r="X102" s="39" t="str">
        <f t="shared" si="119"/>
        <v>x</v>
      </c>
    </row>
    <row r="103" spans="2:24" s="38" customFormat="1">
      <c r="B103" s="55">
        <v>330</v>
      </c>
      <c r="C103" s="56" t="s">
        <v>1930</v>
      </c>
      <c r="D103" s="44">
        <f>SUM(D104:D116)</f>
        <v>0</v>
      </c>
      <c r="E103" s="44">
        <f t="shared" ref="E103:G103" si="120">SUM(E104:E116)</f>
        <v>0</v>
      </c>
      <c r="F103" s="111">
        <f t="shared" si="120"/>
        <v>30336000000</v>
      </c>
      <c r="G103" s="121">
        <f t="shared" si="120"/>
        <v>30336000000</v>
      </c>
      <c r="H103" s="116"/>
      <c r="I103" s="49">
        <f t="shared" ref="I103:L103" si="121">SUM(I104:I116)</f>
        <v>0</v>
      </c>
      <c r="J103" s="49">
        <f t="shared" si="121"/>
        <v>0</v>
      </c>
      <c r="K103" s="127">
        <f t="shared" si="121"/>
        <v>34128000000</v>
      </c>
      <c r="L103" s="133">
        <f t="shared" si="121"/>
        <v>34128000000</v>
      </c>
      <c r="N103" s="19" t="str">
        <f t="shared" si="93"/>
        <v>x</v>
      </c>
      <c r="P103" s="469">
        <f t="shared" ref="P103:R103" si="122">SUM(P104:P116)</f>
        <v>30336000000</v>
      </c>
      <c r="Q103" s="474">
        <f t="shared" si="122"/>
        <v>-30336000000</v>
      </c>
      <c r="R103" s="484">
        <f t="shared" si="122"/>
        <v>0</v>
      </c>
      <c r="S103" s="479"/>
      <c r="T103" s="464">
        <f t="shared" ref="T103:V103" si="123">SUM(T104:T116)</f>
        <v>34128000000</v>
      </c>
      <c r="U103" s="465">
        <f t="shared" si="123"/>
        <v>-34128000000</v>
      </c>
      <c r="V103" s="490">
        <f t="shared" si="123"/>
        <v>0</v>
      </c>
      <c r="X103" s="39" t="str">
        <f t="shared" si="119"/>
        <v/>
      </c>
    </row>
    <row r="104" spans="2:24">
      <c r="B104" s="863">
        <v>331</v>
      </c>
      <c r="C104" s="864" t="s">
        <v>1931</v>
      </c>
      <c r="D104" s="879">
        <f>-ROUND(SUMIFS('A0.LS'!I:I,'A0.LS'!B:B,'A1.BS'!B104),0)</f>
        <v>0</v>
      </c>
      <c r="E104" s="879">
        <f>-ROUND(SUMIFS('A0.LS'!J:J,'A0.LS'!B:B,'A1.BS'!B104),0)</f>
        <v>0</v>
      </c>
      <c r="F104" s="880">
        <f>-ROUND(SUMIFS('A0.LS'!K:K,'A0.LS'!B:B,'A1.BS'!B104),0)</f>
        <v>0</v>
      </c>
      <c r="G104" s="881">
        <f t="shared" ref="G104:G116" si="124">ROUND(SUM(D104:F104),0)</f>
        <v>0</v>
      </c>
      <c r="H104" s="868"/>
      <c r="I104" s="882">
        <f>-ROUND(SUMIFS('A0.LS'!N:N,'A0.LS'!B:B,'A1.BS'!B104),0)</f>
        <v>0</v>
      </c>
      <c r="J104" s="882">
        <f>-ROUND(SUMIFS('A0.LS'!O:O,'A0.LS'!B:B,'A1.BS'!B104),0)</f>
        <v>0</v>
      </c>
      <c r="K104" s="883">
        <f>-ROUND(SUMIFS('A0.LS'!P:P,'A0.LS'!B:B,'A1.BS'!B104),0)</f>
        <v>0</v>
      </c>
      <c r="L104" s="884">
        <f t="shared" ref="L104:L116" si="125">ROUND(SUM(I104:K104),0)</f>
        <v>0</v>
      </c>
      <c r="M104" s="850"/>
      <c r="N104" s="19" t="str">
        <f t="shared" si="93"/>
        <v/>
      </c>
      <c r="O104" s="850"/>
      <c r="P104" s="885">
        <f>-ROUND(SUMIFS('A0.LS'!AV:AV,'A0.LS'!B:B,'A1.BS'!B104),0)</f>
        <v>0</v>
      </c>
      <c r="Q104" s="886">
        <f>-ROUND(SUMIFS('A0.LS'!AW:AW,'A0.LS'!B:B,'A1.BS'!B104),0)</f>
        <v>0</v>
      </c>
      <c r="R104" s="887">
        <f t="shared" ref="R104:R116" si="126">ROUND(SUM(P104:Q104),0)</f>
        <v>0</v>
      </c>
      <c r="S104" s="878"/>
      <c r="T104" s="888">
        <f>-ROUND(SUMIFS('A0.LS'!BP:BP,'A0.LS'!B:B,'A1.BS'!B104),0)</f>
        <v>0</v>
      </c>
      <c r="U104" s="889">
        <f>-ROUND(SUMIFS('A0.LS'!BQ:BQ,'A0.LS'!B:B,'A1.BS'!B104),0)</f>
        <v>0</v>
      </c>
      <c r="V104" s="890">
        <f t="shared" ref="V104:V116" si="127">ROUND(SUM(T104:U104),0)</f>
        <v>0</v>
      </c>
      <c r="W104" s="850"/>
      <c r="X104" s="39" t="str">
        <f t="shared" si="119"/>
        <v/>
      </c>
    </row>
    <row r="105" spans="2:24">
      <c r="B105" s="863">
        <v>332</v>
      </c>
      <c r="C105" s="864" t="s">
        <v>1932</v>
      </c>
      <c r="D105" s="879">
        <f>-ROUND(SUMIFS('A0.LS'!I:I,'A0.LS'!B:B,'A1.BS'!B105),0)</f>
        <v>0</v>
      </c>
      <c r="E105" s="879">
        <f>-ROUND(SUMIFS('A0.LS'!J:J,'A0.LS'!B:B,'A1.BS'!B105),0)</f>
        <v>0</v>
      </c>
      <c r="F105" s="880">
        <f>-ROUND(SUMIFS('A0.LS'!K:K,'A0.LS'!B:B,'A1.BS'!B105),0)</f>
        <v>0</v>
      </c>
      <c r="G105" s="881">
        <f t="shared" si="124"/>
        <v>0</v>
      </c>
      <c r="H105" s="868"/>
      <c r="I105" s="882">
        <f>-ROUND(SUMIFS('A0.LS'!N:N,'A0.LS'!B:B,'A1.BS'!B105),0)</f>
        <v>0</v>
      </c>
      <c r="J105" s="882">
        <f>-ROUND(SUMIFS('A0.LS'!O:O,'A0.LS'!B:B,'A1.BS'!B105),0)</f>
        <v>0</v>
      </c>
      <c r="K105" s="883">
        <f>-ROUND(SUMIFS('A0.LS'!P:P,'A0.LS'!B:B,'A1.BS'!B105),0)</f>
        <v>0</v>
      </c>
      <c r="L105" s="884">
        <f t="shared" si="125"/>
        <v>0</v>
      </c>
      <c r="M105" s="850"/>
      <c r="N105" s="19" t="str">
        <f t="shared" si="93"/>
        <v/>
      </c>
      <c r="O105" s="850"/>
      <c r="P105" s="885">
        <f>-ROUND(SUMIFS('A0.LS'!AV:AV,'A0.LS'!B:B,'A1.BS'!B105),0)</f>
        <v>0</v>
      </c>
      <c r="Q105" s="886">
        <f>-ROUND(SUMIFS('A0.LS'!AW:AW,'A0.LS'!B:B,'A1.BS'!B105),0)</f>
        <v>0</v>
      </c>
      <c r="R105" s="887">
        <f t="shared" si="126"/>
        <v>0</v>
      </c>
      <c r="S105" s="878"/>
      <c r="T105" s="888">
        <f>-ROUND(SUMIFS('A0.LS'!BP:BP,'A0.LS'!B:B,'A1.BS'!B105),0)</f>
        <v>0</v>
      </c>
      <c r="U105" s="889">
        <f>-ROUND(SUMIFS('A0.LS'!BQ:BQ,'A0.LS'!B:B,'A1.BS'!B105),0)</f>
        <v>0</v>
      </c>
      <c r="V105" s="890">
        <f t="shared" si="127"/>
        <v>0</v>
      </c>
      <c r="W105" s="850"/>
      <c r="X105" s="39" t="str">
        <f t="shared" si="119"/>
        <v/>
      </c>
    </row>
    <row r="106" spans="2:24">
      <c r="B106" s="863">
        <v>333</v>
      </c>
      <c r="C106" s="864" t="s">
        <v>1933</v>
      </c>
      <c r="D106" s="879">
        <f>-ROUND(SUMIFS('A0.LS'!I:I,'A0.LS'!B:B,'A1.BS'!B106),0)</f>
        <v>0</v>
      </c>
      <c r="E106" s="879">
        <f>-ROUND(SUMIFS('A0.LS'!J:J,'A0.LS'!B:B,'A1.BS'!B106),0)</f>
        <v>0</v>
      </c>
      <c r="F106" s="880">
        <f>-ROUND(SUMIFS('A0.LS'!K:K,'A0.LS'!B:B,'A1.BS'!B106),0)</f>
        <v>0</v>
      </c>
      <c r="G106" s="881">
        <f t="shared" si="124"/>
        <v>0</v>
      </c>
      <c r="H106" s="868"/>
      <c r="I106" s="882">
        <f>-ROUND(SUMIFS('A0.LS'!N:N,'A0.LS'!B:B,'A1.BS'!B106),0)</f>
        <v>0</v>
      </c>
      <c r="J106" s="882">
        <f>-ROUND(SUMIFS('A0.LS'!O:O,'A0.LS'!B:B,'A1.BS'!B106),0)</f>
        <v>0</v>
      </c>
      <c r="K106" s="883">
        <f>-ROUND(SUMIFS('A0.LS'!P:P,'A0.LS'!B:B,'A1.BS'!B106),0)</f>
        <v>0</v>
      </c>
      <c r="L106" s="884">
        <f t="shared" si="125"/>
        <v>0</v>
      </c>
      <c r="M106" s="850"/>
      <c r="N106" s="19" t="str">
        <f t="shared" si="93"/>
        <v/>
      </c>
      <c r="O106" s="850"/>
      <c r="P106" s="885">
        <f>-ROUND(SUMIFS('A0.LS'!AV:AV,'A0.LS'!B:B,'A1.BS'!B106),0)</f>
        <v>0</v>
      </c>
      <c r="Q106" s="886">
        <f>-ROUND(SUMIFS('A0.LS'!AW:AW,'A0.LS'!B:B,'A1.BS'!B106),0)</f>
        <v>0</v>
      </c>
      <c r="R106" s="887">
        <f t="shared" si="126"/>
        <v>0</v>
      </c>
      <c r="S106" s="878"/>
      <c r="T106" s="888">
        <f>-ROUND(SUMIFS('A0.LS'!BP:BP,'A0.LS'!B:B,'A1.BS'!B106),0)</f>
        <v>0</v>
      </c>
      <c r="U106" s="889">
        <f>-ROUND(SUMIFS('A0.LS'!BQ:BQ,'A0.LS'!B:B,'A1.BS'!B106),0)</f>
        <v>0</v>
      </c>
      <c r="V106" s="890">
        <f t="shared" si="127"/>
        <v>0</v>
      </c>
      <c r="W106" s="850"/>
      <c r="X106" s="39" t="str">
        <f t="shared" si="119"/>
        <v/>
      </c>
    </row>
    <row r="107" spans="2:24">
      <c r="B107" s="863">
        <v>334</v>
      </c>
      <c r="C107" s="864" t="s">
        <v>1934</v>
      </c>
      <c r="D107" s="879">
        <f>-ROUND(SUMIFS('A0.LS'!I:I,'A0.LS'!B:B,'A1.BS'!B107),0)</f>
        <v>0</v>
      </c>
      <c r="E107" s="879">
        <f>-ROUND(SUMIFS('A0.LS'!J:J,'A0.LS'!B:B,'A1.BS'!B107),0)</f>
        <v>0</v>
      </c>
      <c r="F107" s="880">
        <f>-ROUND(SUMIFS('A0.LS'!K:K,'A0.LS'!B:B,'A1.BS'!B107),0)</f>
        <v>0</v>
      </c>
      <c r="G107" s="881">
        <f t="shared" si="124"/>
        <v>0</v>
      </c>
      <c r="H107" s="868"/>
      <c r="I107" s="882">
        <f>-ROUND(SUMIFS('A0.LS'!N:N,'A0.LS'!B:B,'A1.BS'!B107),0)</f>
        <v>0</v>
      </c>
      <c r="J107" s="882">
        <f>-ROUND(SUMIFS('A0.LS'!O:O,'A0.LS'!B:B,'A1.BS'!B107),0)</f>
        <v>0</v>
      </c>
      <c r="K107" s="883">
        <f>-ROUND(SUMIFS('A0.LS'!P:P,'A0.LS'!B:B,'A1.BS'!B107),0)</f>
        <v>0</v>
      </c>
      <c r="L107" s="884">
        <f t="shared" si="125"/>
        <v>0</v>
      </c>
      <c r="M107" s="850"/>
      <c r="N107" s="19" t="str">
        <f t="shared" si="93"/>
        <v/>
      </c>
      <c r="O107" s="850"/>
      <c r="P107" s="885">
        <f>-ROUND(SUMIFS('A0.LS'!AV:AV,'A0.LS'!B:B,'A1.BS'!B107),0)</f>
        <v>0</v>
      </c>
      <c r="Q107" s="886">
        <f>-ROUND(SUMIFS('A0.LS'!AW:AW,'A0.LS'!B:B,'A1.BS'!B107),0)</f>
        <v>0</v>
      </c>
      <c r="R107" s="887">
        <f t="shared" si="126"/>
        <v>0</v>
      </c>
      <c r="S107" s="878"/>
      <c r="T107" s="888">
        <f>-ROUND(SUMIFS('A0.LS'!BP:BP,'A0.LS'!B:B,'A1.BS'!B107),0)</f>
        <v>0</v>
      </c>
      <c r="U107" s="889">
        <f>-ROUND(SUMIFS('A0.LS'!BQ:BQ,'A0.LS'!B:B,'A1.BS'!B107),0)</f>
        <v>0</v>
      </c>
      <c r="V107" s="890">
        <f t="shared" si="127"/>
        <v>0</v>
      </c>
      <c r="W107" s="850"/>
      <c r="X107" s="39" t="str">
        <f t="shared" si="119"/>
        <v/>
      </c>
    </row>
    <row r="108" spans="2:24">
      <c r="B108" s="863">
        <v>335</v>
      </c>
      <c r="C108" s="864" t="s">
        <v>1935</v>
      </c>
      <c r="D108" s="879">
        <f>-ROUND(SUMIFS('A0.LS'!I:I,'A0.LS'!B:B,'A1.BS'!B108),0)</f>
        <v>0</v>
      </c>
      <c r="E108" s="879">
        <f>-ROUND(SUMIFS('A0.LS'!J:J,'A0.LS'!B:B,'A1.BS'!B108),0)</f>
        <v>0</v>
      </c>
      <c r="F108" s="880">
        <f>-ROUND(SUMIFS('A0.LS'!K:K,'A0.LS'!B:B,'A1.BS'!B108),0)</f>
        <v>0</v>
      </c>
      <c r="G108" s="881">
        <f t="shared" si="124"/>
        <v>0</v>
      </c>
      <c r="H108" s="868"/>
      <c r="I108" s="882">
        <f>-ROUND(SUMIFS('A0.LS'!N:N,'A0.LS'!B:B,'A1.BS'!B108),0)</f>
        <v>0</v>
      </c>
      <c r="J108" s="882">
        <f>-ROUND(SUMIFS('A0.LS'!O:O,'A0.LS'!B:B,'A1.BS'!B108),0)</f>
        <v>0</v>
      </c>
      <c r="K108" s="883">
        <f>-ROUND(SUMIFS('A0.LS'!P:P,'A0.LS'!B:B,'A1.BS'!B108),0)</f>
        <v>0</v>
      </c>
      <c r="L108" s="884">
        <f t="shared" si="125"/>
        <v>0</v>
      </c>
      <c r="M108" s="850"/>
      <c r="N108" s="19" t="str">
        <f t="shared" si="93"/>
        <v/>
      </c>
      <c r="O108" s="850"/>
      <c r="P108" s="885">
        <f>-ROUND(SUMIFS('A0.LS'!AV:AV,'A0.LS'!B:B,'A1.BS'!B108),0)</f>
        <v>0</v>
      </c>
      <c r="Q108" s="886">
        <f>-ROUND(SUMIFS('A0.LS'!AW:AW,'A0.LS'!B:B,'A1.BS'!B108),0)</f>
        <v>0</v>
      </c>
      <c r="R108" s="887">
        <f t="shared" si="126"/>
        <v>0</v>
      </c>
      <c r="S108" s="878"/>
      <c r="T108" s="888">
        <f>-ROUND(SUMIFS('A0.LS'!BP:BP,'A0.LS'!B:B,'A1.BS'!B108),0)</f>
        <v>0</v>
      </c>
      <c r="U108" s="889">
        <f>-ROUND(SUMIFS('A0.LS'!BQ:BQ,'A0.LS'!B:B,'A1.BS'!B108),0)</f>
        <v>0</v>
      </c>
      <c r="V108" s="890">
        <f t="shared" si="127"/>
        <v>0</v>
      </c>
      <c r="W108" s="850"/>
      <c r="X108" s="39" t="str">
        <f t="shared" si="119"/>
        <v/>
      </c>
    </row>
    <row r="109" spans="2:24">
      <c r="B109" s="863">
        <v>336</v>
      </c>
      <c r="C109" s="864" t="s">
        <v>1936</v>
      </c>
      <c r="D109" s="879">
        <f>-ROUND(SUMIFS('A0.LS'!I:I,'A0.LS'!B:B,'A1.BS'!B109),0)</f>
        <v>0</v>
      </c>
      <c r="E109" s="879">
        <f>-ROUND(SUMIFS('A0.LS'!J:J,'A0.LS'!B:B,'A1.BS'!B109),0)</f>
        <v>0</v>
      </c>
      <c r="F109" s="880">
        <f>-ROUND(SUMIFS('A0.LS'!K:K,'A0.LS'!B:B,'A1.BS'!B109),0)</f>
        <v>30336000000</v>
      </c>
      <c r="G109" s="881">
        <f>ROUND(SUM(D109:F109),0)</f>
        <v>30336000000</v>
      </c>
      <c r="H109" s="868"/>
      <c r="I109" s="882">
        <f>-ROUND(SUMIFS('A0.LS'!N:N,'A0.LS'!B:B,'A1.BS'!B109),0)</f>
        <v>0</v>
      </c>
      <c r="J109" s="882">
        <f>-ROUND(SUMIFS('A0.LS'!O:O,'A0.LS'!B:B,'A1.BS'!B109),0)</f>
        <v>0</v>
      </c>
      <c r="K109" s="883">
        <f>-ROUND(SUMIFS('A0.LS'!P:P,'A0.LS'!B:B,'A1.BS'!B109),0)</f>
        <v>34128000000</v>
      </c>
      <c r="L109" s="884">
        <f t="shared" si="125"/>
        <v>34128000000</v>
      </c>
      <c r="M109" s="850"/>
      <c r="N109" s="19" t="str">
        <f t="shared" si="93"/>
        <v>x</v>
      </c>
      <c r="O109" s="850"/>
      <c r="P109" s="885">
        <f>-ROUND(SUMIFS('A0.LS'!AV:AV,'A0.LS'!B:B,'A1.BS'!B109),0)</f>
        <v>30336000000</v>
      </c>
      <c r="Q109" s="886">
        <f>-ROUND(SUMIFS('A0.LS'!AW:AW,'A0.LS'!B:B,'A1.BS'!B109),0)</f>
        <v>-30336000000</v>
      </c>
      <c r="R109" s="887">
        <f t="shared" si="126"/>
        <v>0</v>
      </c>
      <c r="S109" s="878"/>
      <c r="T109" s="888">
        <f>-ROUND(SUMIFS('A0.LS'!BP:BP,'A0.LS'!B:B,'A1.BS'!B109),0)</f>
        <v>34128000000</v>
      </c>
      <c r="U109" s="889">
        <f>-ROUND(SUMIFS('A0.LS'!BQ:BQ,'A0.LS'!B:B,'A1.BS'!B109),0)</f>
        <v>-34128000000</v>
      </c>
      <c r="V109" s="890">
        <v>0</v>
      </c>
      <c r="W109" s="850"/>
      <c r="X109" s="39" t="str">
        <f t="shared" si="119"/>
        <v/>
      </c>
    </row>
    <row r="110" spans="2:24">
      <c r="B110" s="863">
        <v>337</v>
      </c>
      <c r="C110" s="864" t="s">
        <v>1937</v>
      </c>
      <c r="D110" s="879">
        <f>-ROUND(SUMIFS('A0.LS'!I:I,'A0.LS'!B:B,'A1.BS'!B110),0)</f>
        <v>0</v>
      </c>
      <c r="E110" s="879">
        <f>-ROUND(SUMIFS('A0.LS'!J:J,'A0.LS'!B:B,'A1.BS'!B110),0)</f>
        <v>0</v>
      </c>
      <c r="F110" s="880">
        <f>-ROUND(SUMIFS('A0.LS'!K:K,'A0.LS'!B:B,'A1.BS'!B110),0)</f>
        <v>0</v>
      </c>
      <c r="G110" s="881">
        <f t="shared" si="124"/>
        <v>0</v>
      </c>
      <c r="H110" s="868"/>
      <c r="I110" s="882">
        <f>-ROUND(SUMIFS('A0.LS'!N:N,'A0.LS'!B:B,'A1.BS'!B110),0)</f>
        <v>0</v>
      </c>
      <c r="J110" s="882">
        <f>-ROUND(SUMIFS('A0.LS'!O:O,'A0.LS'!B:B,'A1.BS'!B110),0)</f>
        <v>0</v>
      </c>
      <c r="K110" s="883">
        <f>-ROUND(SUMIFS('A0.LS'!P:P,'A0.LS'!B:B,'A1.BS'!B110),0)</f>
        <v>0</v>
      </c>
      <c r="L110" s="884">
        <f t="shared" si="125"/>
        <v>0</v>
      </c>
      <c r="M110" s="850"/>
      <c r="N110" s="19" t="str">
        <f t="shared" si="93"/>
        <v/>
      </c>
      <c r="O110" s="850"/>
      <c r="P110" s="885">
        <f>-ROUND(SUMIFS('A0.LS'!AV:AV,'A0.LS'!B:B,'A1.BS'!B110),0)</f>
        <v>0</v>
      </c>
      <c r="Q110" s="886">
        <f>-ROUND(SUMIFS('A0.LS'!AW:AW,'A0.LS'!B:B,'A1.BS'!B110),0)</f>
        <v>0</v>
      </c>
      <c r="R110" s="887">
        <f t="shared" si="126"/>
        <v>0</v>
      </c>
      <c r="S110" s="878"/>
      <c r="T110" s="888">
        <f>-ROUND(SUMIFS('A0.LS'!BP:BP,'A0.LS'!B:B,'A1.BS'!B110),0)</f>
        <v>0</v>
      </c>
      <c r="U110" s="889">
        <f>-ROUND(SUMIFS('A0.LS'!BQ:BQ,'A0.LS'!B:B,'A1.BS'!B110),0)</f>
        <v>0</v>
      </c>
      <c r="V110" s="890">
        <f t="shared" si="127"/>
        <v>0</v>
      </c>
      <c r="W110" s="850"/>
      <c r="X110" s="39" t="str">
        <f t="shared" si="119"/>
        <v/>
      </c>
    </row>
    <row r="111" spans="2:24">
      <c r="B111" s="863">
        <v>338</v>
      </c>
      <c r="C111" s="864" t="s">
        <v>1938</v>
      </c>
      <c r="D111" s="879">
        <f>-ROUND(SUMIFS('A0.LS'!I:I,'A0.LS'!B:B,'A1.BS'!B111),0)</f>
        <v>0</v>
      </c>
      <c r="E111" s="879">
        <f>-ROUND(SUMIFS('A0.LS'!J:J,'A0.LS'!B:B,'A1.BS'!B111),0)</f>
        <v>0</v>
      </c>
      <c r="F111" s="880">
        <f>-ROUND(SUMIFS('A0.LS'!K:K,'A0.LS'!B:B,'A1.BS'!B111),0)</f>
        <v>0</v>
      </c>
      <c r="G111" s="881">
        <f t="shared" si="124"/>
        <v>0</v>
      </c>
      <c r="H111" s="868"/>
      <c r="I111" s="882">
        <f>-ROUND(SUMIFS('A0.LS'!N:N,'A0.LS'!B:B,'A1.BS'!B111),0)</f>
        <v>0</v>
      </c>
      <c r="J111" s="882">
        <f>-ROUND(SUMIFS('A0.LS'!O:O,'A0.LS'!B:B,'A1.BS'!B111),0)</f>
        <v>0</v>
      </c>
      <c r="K111" s="883">
        <f>-ROUND(SUMIFS('A0.LS'!P:P,'A0.LS'!B:B,'A1.BS'!B111),0)</f>
        <v>0</v>
      </c>
      <c r="L111" s="884">
        <f t="shared" si="125"/>
        <v>0</v>
      </c>
      <c r="M111" s="850"/>
      <c r="N111" s="19" t="str">
        <f t="shared" si="93"/>
        <v/>
      </c>
      <c r="O111" s="850"/>
      <c r="P111" s="885">
        <f>-ROUND(SUMIFS('A0.LS'!AV:AV,'A0.LS'!B:B,'A1.BS'!B111),0)</f>
        <v>0</v>
      </c>
      <c r="Q111" s="886">
        <f>-ROUND(SUMIFS('A0.LS'!AW:AW,'A0.LS'!B:B,'A1.BS'!B111),0)</f>
        <v>0</v>
      </c>
      <c r="R111" s="887">
        <f t="shared" si="126"/>
        <v>0</v>
      </c>
      <c r="S111" s="878"/>
      <c r="T111" s="888">
        <f>-ROUND(SUMIFS('A0.LS'!BP:BP,'A0.LS'!B:B,'A1.BS'!B111),0)</f>
        <v>0</v>
      </c>
      <c r="U111" s="889">
        <f>-ROUND(SUMIFS('A0.LS'!BQ:BQ,'A0.LS'!B:B,'A1.BS'!B111),0)</f>
        <v>0</v>
      </c>
      <c r="V111" s="890">
        <f t="shared" si="127"/>
        <v>0</v>
      </c>
      <c r="W111" s="850"/>
      <c r="X111" s="39" t="str">
        <f t="shared" si="119"/>
        <v/>
      </c>
    </row>
    <row r="112" spans="2:24">
      <c r="B112" s="863">
        <v>339</v>
      </c>
      <c r="C112" s="864" t="s">
        <v>1939</v>
      </c>
      <c r="D112" s="879">
        <f>-ROUND(SUMIFS('A0.LS'!I:I,'A0.LS'!B:B,'A1.BS'!B112),0)</f>
        <v>0</v>
      </c>
      <c r="E112" s="879">
        <f>-ROUND(SUMIFS('A0.LS'!J:J,'A0.LS'!B:B,'A1.BS'!B112),0)</f>
        <v>0</v>
      </c>
      <c r="F112" s="880">
        <f>-ROUND(SUMIFS('A0.LS'!K:K,'A0.LS'!B:B,'A1.BS'!B112),0)</f>
        <v>0</v>
      </c>
      <c r="G112" s="881">
        <f t="shared" si="124"/>
        <v>0</v>
      </c>
      <c r="H112" s="868"/>
      <c r="I112" s="882">
        <f>-ROUND(SUMIFS('A0.LS'!N:N,'A0.LS'!B:B,'A1.BS'!B112),0)</f>
        <v>0</v>
      </c>
      <c r="J112" s="882">
        <f>-ROUND(SUMIFS('A0.LS'!O:O,'A0.LS'!B:B,'A1.BS'!B112),0)</f>
        <v>0</v>
      </c>
      <c r="K112" s="883">
        <f>-ROUND(SUMIFS('A0.LS'!P:P,'A0.LS'!B:B,'A1.BS'!B112),0)</f>
        <v>0</v>
      </c>
      <c r="L112" s="884">
        <f t="shared" si="125"/>
        <v>0</v>
      </c>
      <c r="M112" s="850"/>
      <c r="N112" s="19" t="str">
        <f t="shared" si="93"/>
        <v/>
      </c>
      <c r="O112" s="850"/>
      <c r="P112" s="885">
        <f>-ROUND(SUMIFS('A0.LS'!AV:AV,'A0.LS'!B:B,'A1.BS'!B112),0)</f>
        <v>0</v>
      </c>
      <c r="Q112" s="886">
        <f>-ROUND(SUMIFS('A0.LS'!AW:AW,'A0.LS'!B:B,'A1.BS'!B112),0)</f>
        <v>0</v>
      </c>
      <c r="R112" s="887">
        <f t="shared" si="126"/>
        <v>0</v>
      </c>
      <c r="S112" s="878"/>
      <c r="T112" s="888">
        <f>-ROUND(SUMIFS('A0.LS'!BP:BP,'A0.LS'!B:B,'A1.BS'!B112),0)</f>
        <v>0</v>
      </c>
      <c r="U112" s="889">
        <f>-ROUND(SUMIFS('A0.LS'!BQ:BQ,'A0.LS'!B:B,'A1.BS'!B112),0)</f>
        <v>0</v>
      </c>
      <c r="V112" s="890">
        <f t="shared" si="127"/>
        <v>0</v>
      </c>
      <c r="W112" s="850"/>
      <c r="X112" s="39" t="str">
        <f t="shared" si="119"/>
        <v/>
      </c>
    </row>
    <row r="113" spans="2:24">
      <c r="B113" s="863">
        <v>340</v>
      </c>
      <c r="C113" s="864" t="s">
        <v>1940</v>
      </c>
      <c r="D113" s="879">
        <f>-ROUND(SUMIFS('A0.LS'!I:I,'A0.LS'!B:B,'A1.BS'!B113),0)</f>
        <v>0</v>
      </c>
      <c r="E113" s="879">
        <f>-ROUND(SUMIFS('A0.LS'!J:J,'A0.LS'!B:B,'A1.BS'!B113),0)</f>
        <v>0</v>
      </c>
      <c r="F113" s="880">
        <f>-ROUND(SUMIFS('A0.LS'!K:K,'A0.LS'!B:B,'A1.BS'!B113),0)</f>
        <v>0</v>
      </c>
      <c r="G113" s="881">
        <f t="shared" si="124"/>
        <v>0</v>
      </c>
      <c r="H113" s="868"/>
      <c r="I113" s="882">
        <f>-ROUND(SUMIFS('A0.LS'!N:N,'A0.LS'!B:B,'A1.BS'!B113),0)</f>
        <v>0</v>
      </c>
      <c r="J113" s="882">
        <f>-ROUND(SUMIFS('A0.LS'!O:O,'A0.LS'!B:B,'A1.BS'!B113),0)</f>
        <v>0</v>
      </c>
      <c r="K113" s="883">
        <f>-ROUND(SUMIFS('A0.LS'!P:P,'A0.LS'!B:B,'A1.BS'!B113),0)</f>
        <v>0</v>
      </c>
      <c r="L113" s="884">
        <f t="shared" si="125"/>
        <v>0</v>
      </c>
      <c r="M113" s="850"/>
      <c r="N113" s="19" t="str">
        <f t="shared" si="93"/>
        <v/>
      </c>
      <c r="O113" s="850"/>
      <c r="P113" s="885">
        <f>-ROUND(SUMIFS('A0.LS'!AV:AV,'A0.LS'!B:B,'A1.BS'!B113),0)</f>
        <v>0</v>
      </c>
      <c r="Q113" s="886">
        <f>-ROUND(SUMIFS('A0.LS'!AW:AW,'A0.LS'!B:B,'A1.BS'!B113),0)</f>
        <v>0</v>
      </c>
      <c r="R113" s="887">
        <f t="shared" si="126"/>
        <v>0</v>
      </c>
      <c r="S113" s="878"/>
      <c r="T113" s="888">
        <f>-ROUND(SUMIFS('A0.LS'!BP:BP,'A0.LS'!B:B,'A1.BS'!B113),0)</f>
        <v>0</v>
      </c>
      <c r="U113" s="889">
        <f>-ROUND(SUMIFS('A0.LS'!BQ:BQ,'A0.LS'!B:B,'A1.BS'!B113),0)</f>
        <v>0</v>
      </c>
      <c r="V113" s="890">
        <f t="shared" si="127"/>
        <v>0</v>
      </c>
      <c r="W113" s="850"/>
      <c r="X113" s="39" t="str">
        <f t="shared" si="119"/>
        <v/>
      </c>
    </row>
    <row r="114" spans="2:24">
      <c r="B114" s="863">
        <v>341</v>
      </c>
      <c r="C114" s="864" t="s">
        <v>1941</v>
      </c>
      <c r="D114" s="879">
        <f>-ROUND(SUMIFS('A0.LS'!I:I,'A0.LS'!B:B,'A1.BS'!B114),0)</f>
        <v>0</v>
      </c>
      <c r="E114" s="879">
        <f>-ROUND(SUMIFS('A0.LS'!J:J,'A0.LS'!B:B,'A1.BS'!B114),0)</f>
        <v>0</v>
      </c>
      <c r="F114" s="880">
        <f>-ROUND(SUMIFS('A0.LS'!K:K,'A0.LS'!B:B,'A1.BS'!B114),0)</f>
        <v>0</v>
      </c>
      <c r="G114" s="881">
        <f t="shared" si="124"/>
        <v>0</v>
      </c>
      <c r="H114" s="868"/>
      <c r="I114" s="882">
        <f>-ROUND(SUMIFS('A0.LS'!N:N,'A0.LS'!B:B,'A1.BS'!B114),0)</f>
        <v>0</v>
      </c>
      <c r="J114" s="882">
        <f>-ROUND(SUMIFS('A0.LS'!O:O,'A0.LS'!B:B,'A1.BS'!B114),0)</f>
        <v>0</v>
      </c>
      <c r="K114" s="883">
        <f>-ROUND(SUMIFS('A0.LS'!P:P,'A0.LS'!B:B,'A1.BS'!B114),0)</f>
        <v>0</v>
      </c>
      <c r="L114" s="884">
        <f t="shared" si="125"/>
        <v>0</v>
      </c>
      <c r="M114" s="850"/>
      <c r="N114" s="19" t="str">
        <f t="shared" si="93"/>
        <v/>
      </c>
      <c r="O114" s="850"/>
      <c r="P114" s="885">
        <f>-ROUND(SUMIFS('A0.LS'!AV:AV,'A0.LS'!B:B,'A1.BS'!B114),0)</f>
        <v>0</v>
      </c>
      <c r="Q114" s="886">
        <f>-ROUND(SUMIFS('A0.LS'!AW:AW,'A0.LS'!B:B,'A1.BS'!B114),0)</f>
        <v>0</v>
      </c>
      <c r="R114" s="887">
        <f t="shared" si="126"/>
        <v>0</v>
      </c>
      <c r="S114" s="878"/>
      <c r="T114" s="888">
        <f>-ROUND(SUMIFS('A0.LS'!BP:BP,'A0.LS'!B:B,'A1.BS'!B114),0)</f>
        <v>0</v>
      </c>
      <c r="U114" s="889">
        <f>-ROUND(SUMIFS('A0.LS'!BQ:BQ,'A0.LS'!B:B,'A1.BS'!B114),0)</f>
        <v>0</v>
      </c>
      <c r="V114" s="890">
        <v>0</v>
      </c>
      <c r="W114" s="850"/>
      <c r="X114" s="39" t="str">
        <f t="shared" si="119"/>
        <v/>
      </c>
    </row>
    <row r="115" spans="2:24">
      <c r="B115" s="863">
        <v>342</v>
      </c>
      <c r="C115" s="864" t="s">
        <v>1942</v>
      </c>
      <c r="D115" s="879">
        <f>-ROUND(SUMIFS('A0.LS'!I:I,'A0.LS'!B:B,'A1.BS'!B115),0)</f>
        <v>0</v>
      </c>
      <c r="E115" s="879">
        <f>-ROUND(SUMIFS('A0.LS'!J:J,'A0.LS'!B:B,'A1.BS'!B115),0)</f>
        <v>0</v>
      </c>
      <c r="F115" s="880">
        <f>-ROUND(SUMIFS('A0.LS'!K:K,'A0.LS'!B:B,'A1.BS'!B115),0)</f>
        <v>0</v>
      </c>
      <c r="G115" s="881">
        <f t="shared" si="124"/>
        <v>0</v>
      </c>
      <c r="H115" s="868"/>
      <c r="I115" s="882">
        <f>-ROUND(SUMIFS('A0.LS'!N:N,'A0.LS'!B:B,'A1.BS'!B115),0)</f>
        <v>0</v>
      </c>
      <c r="J115" s="882">
        <f>-ROUND(SUMIFS('A0.LS'!O:O,'A0.LS'!B:B,'A1.BS'!B115),0)</f>
        <v>0</v>
      </c>
      <c r="K115" s="883">
        <f>-ROUND(SUMIFS('A0.LS'!P:P,'A0.LS'!B:B,'A1.BS'!B115),0)</f>
        <v>0</v>
      </c>
      <c r="L115" s="884">
        <f t="shared" si="125"/>
        <v>0</v>
      </c>
      <c r="M115" s="850"/>
      <c r="N115" s="19" t="str">
        <f t="shared" si="93"/>
        <v/>
      </c>
      <c r="O115" s="850"/>
      <c r="P115" s="885">
        <f>-ROUND(SUMIFS('A0.LS'!AV:AV,'A0.LS'!B:B,'A1.BS'!B115),0)</f>
        <v>0</v>
      </c>
      <c r="Q115" s="886">
        <f>-ROUND(SUMIFS('A0.LS'!AW:AW,'A0.LS'!B:B,'A1.BS'!B115),0)</f>
        <v>0</v>
      </c>
      <c r="R115" s="887">
        <f t="shared" si="126"/>
        <v>0</v>
      </c>
      <c r="S115" s="878"/>
      <c r="T115" s="888">
        <f>-ROUND(SUMIFS('A0.LS'!BP:BP,'A0.LS'!B:B,'A1.BS'!B115),0)</f>
        <v>0</v>
      </c>
      <c r="U115" s="889">
        <f>-ROUND(SUMIFS('A0.LS'!BQ:BQ,'A0.LS'!B:B,'A1.BS'!B115),0)</f>
        <v>0</v>
      </c>
      <c r="V115" s="890">
        <f t="shared" si="127"/>
        <v>0</v>
      </c>
      <c r="W115" s="850"/>
      <c r="X115" s="39" t="str">
        <f t="shared" si="119"/>
        <v/>
      </c>
    </row>
    <row r="116" spans="2:24">
      <c r="B116" s="863">
        <v>343</v>
      </c>
      <c r="C116" s="864" t="s">
        <v>1943</v>
      </c>
      <c r="D116" s="879">
        <f>-ROUND(SUMIFS('A0.LS'!I:I,'A0.LS'!B:B,'A1.BS'!B116),0)</f>
        <v>0</v>
      </c>
      <c r="E116" s="879">
        <f>-ROUND(SUMIFS('A0.LS'!J:J,'A0.LS'!B:B,'A1.BS'!B116),0)</f>
        <v>0</v>
      </c>
      <c r="F116" s="880">
        <f>-ROUND(SUMIFS('A0.LS'!K:K,'A0.LS'!B:B,'A1.BS'!B116),0)</f>
        <v>0</v>
      </c>
      <c r="G116" s="881">
        <f t="shared" si="124"/>
        <v>0</v>
      </c>
      <c r="H116" s="868"/>
      <c r="I116" s="882">
        <f>-ROUND(SUMIFS('A0.LS'!N:N,'A0.LS'!B:B,'A1.BS'!B116),0)</f>
        <v>0</v>
      </c>
      <c r="J116" s="882">
        <f>-ROUND(SUMIFS('A0.LS'!O:O,'A0.LS'!B:B,'A1.BS'!B116),0)</f>
        <v>0</v>
      </c>
      <c r="K116" s="883">
        <f>-ROUND(SUMIFS('A0.LS'!P:P,'A0.LS'!B:B,'A1.BS'!B116),0)</f>
        <v>0</v>
      </c>
      <c r="L116" s="884">
        <f t="shared" si="125"/>
        <v>0</v>
      </c>
      <c r="M116" s="850"/>
      <c r="N116" s="19" t="str">
        <f t="shared" si="93"/>
        <v/>
      </c>
      <c r="O116" s="850"/>
      <c r="P116" s="885">
        <f>-ROUND(SUMIFS('A0.LS'!AV:AV,'A0.LS'!B:B,'A1.BS'!B116),0)</f>
        <v>0</v>
      </c>
      <c r="Q116" s="886">
        <f>-ROUND(SUMIFS('A0.LS'!AW:AW,'A0.LS'!B:B,'A1.BS'!B116),0)</f>
        <v>0</v>
      </c>
      <c r="R116" s="887">
        <f t="shared" si="126"/>
        <v>0</v>
      </c>
      <c r="S116" s="878"/>
      <c r="T116" s="888">
        <f>-ROUND(SUMIFS('A0.LS'!BP:BP,'A0.LS'!B:B,'A1.BS'!B116),0)</f>
        <v>0</v>
      </c>
      <c r="U116" s="889">
        <f>-ROUND(SUMIFS('A0.LS'!BQ:BQ,'A0.LS'!B:B,'A1.BS'!B116),0)</f>
        <v>0</v>
      </c>
      <c r="V116" s="890">
        <f t="shared" si="127"/>
        <v>0</v>
      </c>
      <c r="W116" s="850"/>
      <c r="X116" s="39" t="str">
        <f t="shared" si="119"/>
        <v/>
      </c>
    </row>
    <row r="117" spans="2:24">
      <c r="B117" s="863"/>
      <c r="C117" s="864"/>
      <c r="D117" s="865"/>
      <c r="E117" s="865"/>
      <c r="F117" s="866"/>
      <c r="G117" s="867"/>
      <c r="H117" s="868"/>
      <c r="I117" s="869"/>
      <c r="J117" s="869"/>
      <c r="K117" s="870"/>
      <c r="L117" s="871"/>
      <c r="M117" s="850"/>
      <c r="N117" s="19" t="str">
        <f t="shared" si="93"/>
        <v>x</v>
      </c>
      <c r="O117" s="850"/>
      <c r="P117" s="872"/>
      <c r="Q117" s="873"/>
      <c r="R117" s="874"/>
      <c r="S117" s="878"/>
      <c r="T117" s="875"/>
      <c r="U117" s="876"/>
      <c r="V117" s="877"/>
      <c r="W117" s="850"/>
      <c r="X117" s="39"/>
    </row>
    <row r="118" spans="2:24" s="175" customFormat="1">
      <c r="B118" s="53">
        <v>400</v>
      </c>
      <c r="C118" s="783" t="s">
        <v>1944</v>
      </c>
      <c r="D118" s="784">
        <f t="shared" ref="D118:F118" si="128">D120</f>
        <v>407876062601</v>
      </c>
      <c r="E118" s="784">
        <f t="shared" si="128"/>
        <v>30436257</v>
      </c>
      <c r="F118" s="785">
        <f t="shared" si="128"/>
        <v>-20236173072</v>
      </c>
      <c r="G118" s="786">
        <f>G120</f>
        <v>387670325786</v>
      </c>
      <c r="H118" s="787"/>
      <c r="I118" s="788">
        <f t="shared" ref="I118:K118" si="129">I120</f>
        <v>84117327046</v>
      </c>
      <c r="J118" s="788">
        <f t="shared" si="129"/>
        <v>-1149996666</v>
      </c>
      <c r="K118" s="789">
        <f t="shared" si="129"/>
        <v>302896693289</v>
      </c>
      <c r="L118" s="790">
        <f>L120</f>
        <v>385864023669</v>
      </c>
      <c r="N118" s="791" t="str">
        <f t="shared" si="93"/>
        <v>x</v>
      </c>
      <c r="P118" s="792">
        <f t="shared" ref="P118:R118" si="130">P120</f>
        <v>754298092065</v>
      </c>
      <c r="Q118" s="793">
        <f t="shared" si="130"/>
        <v>-370579914059</v>
      </c>
      <c r="R118" s="603">
        <f t="shared" si="130"/>
        <v>383718178006</v>
      </c>
      <c r="S118" s="479"/>
      <c r="T118" s="464">
        <f t="shared" ref="T118:V118" si="131">T120</f>
        <v>787451779727</v>
      </c>
      <c r="U118" s="465">
        <f t="shared" si="131"/>
        <v>-401584761183</v>
      </c>
      <c r="V118" s="604">
        <f t="shared" si="131"/>
        <v>385867018540</v>
      </c>
      <c r="X118" s="19" t="str">
        <f t="shared" si="119"/>
        <v>x</v>
      </c>
    </row>
    <row r="119" spans="2:24">
      <c r="B119" s="863"/>
      <c r="C119" s="864"/>
      <c r="D119" s="865"/>
      <c r="E119" s="865"/>
      <c r="F119" s="866"/>
      <c r="G119" s="867"/>
      <c r="H119" s="868"/>
      <c r="I119" s="869"/>
      <c r="J119" s="869"/>
      <c r="K119" s="870"/>
      <c r="L119" s="871"/>
      <c r="M119" s="850"/>
      <c r="N119" s="19" t="str">
        <f t="shared" si="93"/>
        <v>x</v>
      </c>
      <c r="O119" s="850"/>
      <c r="P119" s="872"/>
      <c r="Q119" s="873"/>
      <c r="R119" s="874"/>
      <c r="S119" s="878"/>
      <c r="T119" s="875"/>
      <c r="U119" s="876"/>
      <c r="V119" s="877"/>
      <c r="W119" s="850"/>
      <c r="X119" s="39" t="str">
        <f t="shared" si="119"/>
        <v>x</v>
      </c>
    </row>
    <row r="120" spans="2:24" s="462" customFormat="1">
      <c r="B120" s="55">
        <v>410</v>
      </c>
      <c r="C120" s="460" t="s">
        <v>1945</v>
      </c>
      <c r="D120" s="456">
        <f t="shared" ref="D120:G120" si="132">SUM(D122:D133,D136:D137)</f>
        <v>407876062601</v>
      </c>
      <c r="E120" s="456">
        <f t="shared" si="132"/>
        <v>30436257</v>
      </c>
      <c r="F120" s="457">
        <f t="shared" si="132"/>
        <v>-20236173072</v>
      </c>
      <c r="G120" s="461">
        <f t="shared" si="132"/>
        <v>387670325786</v>
      </c>
      <c r="H120" s="455"/>
      <c r="I120" s="458">
        <f>SUM(I122:I133,I136:I137)</f>
        <v>84117327046</v>
      </c>
      <c r="J120" s="458">
        <f t="shared" ref="J120:L120" si="133">SUM(J122:J133,J136:J137)</f>
        <v>-1149996666</v>
      </c>
      <c r="K120" s="459">
        <f t="shared" si="133"/>
        <v>302896693289</v>
      </c>
      <c r="L120" s="361">
        <f t="shared" si="133"/>
        <v>385864023669</v>
      </c>
      <c r="N120" s="463" t="str">
        <f t="shared" si="93"/>
        <v>x</v>
      </c>
      <c r="P120" s="469">
        <f t="shared" ref="P120:Q120" si="134">SUM(P122:P133,P136:P137)</f>
        <v>754298092065</v>
      </c>
      <c r="Q120" s="474">
        <f t="shared" si="134"/>
        <v>-370579914059</v>
      </c>
      <c r="R120" s="484">
        <f>SUM(R122:R133,R136:R137)</f>
        <v>383718178006</v>
      </c>
      <c r="S120" s="479"/>
      <c r="T120" s="464">
        <f t="shared" ref="T120:V120" si="135">SUM(T122:T133,T136:T137)</f>
        <v>787451779727</v>
      </c>
      <c r="U120" s="465">
        <f t="shared" si="135"/>
        <v>-401584761183</v>
      </c>
      <c r="V120" s="490">
        <f t="shared" si="135"/>
        <v>385867018540</v>
      </c>
      <c r="X120" s="39" t="str">
        <f t="shared" si="119"/>
        <v>x</v>
      </c>
    </row>
    <row r="121" spans="2:24">
      <c r="B121" s="895"/>
      <c r="C121" s="864" t="s">
        <v>1946</v>
      </c>
      <c r="D121" s="879">
        <f>SUM(D122:D123)</f>
        <v>134641110000</v>
      </c>
      <c r="E121" s="879">
        <f t="shared" ref="E121:G121" si="136">SUM(E122:E123)</f>
        <v>0</v>
      </c>
      <c r="F121" s="880">
        <f t="shared" si="136"/>
        <v>0</v>
      </c>
      <c r="G121" s="881">
        <f t="shared" si="136"/>
        <v>134641110000</v>
      </c>
      <c r="H121" s="868"/>
      <c r="I121" s="882">
        <f t="shared" ref="I121" si="137">SUM(I122:I123)</f>
        <v>134641110000</v>
      </c>
      <c r="J121" s="882">
        <f t="shared" ref="J121" si="138">SUM(J122:J123)</f>
        <v>0</v>
      </c>
      <c r="K121" s="883">
        <f t="shared" ref="K121" si="139">SUM(K122:K123)</f>
        <v>0</v>
      </c>
      <c r="L121" s="891">
        <f t="shared" ref="L121" si="140">SUM(L122:L123)</f>
        <v>134641110000</v>
      </c>
      <c r="M121" s="850"/>
      <c r="N121" s="19" t="str">
        <f t="shared" si="93"/>
        <v>x</v>
      </c>
      <c r="O121" s="850"/>
      <c r="P121" s="885">
        <f t="shared" ref="P121:R121" si="141">SUM(P122:P123)</f>
        <v>574661110000</v>
      </c>
      <c r="Q121" s="886">
        <f t="shared" si="141"/>
        <v>-440020000000</v>
      </c>
      <c r="R121" s="887">
        <f t="shared" si="141"/>
        <v>134641110000</v>
      </c>
      <c r="S121" s="878"/>
      <c r="T121" s="888">
        <f t="shared" ref="T121:V121" si="142">SUM(T122:T123)</f>
        <v>574661110000</v>
      </c>
      <c r="U121" s="889">
        <f t="shared" si="142"/>
        <v>-440020000000</v>
      </c>
      <c r="V121" s="894">
        <f t="shared" si="142"/>
        <v>134641110000</v>
      </c>
      <c r="W121" s="850"/>
      <c r="X121" s="39" t="str">
        <f t="shared" si="119"/>
        <v>x</v>
      </c>
    </row>
    <row r="122" spans="2:24" s="37" customFormat="1">
      <c r="B122" s="57">
        <v>411</v>
      </c>
      <c r="C122" s="58" t="s">
        <v>1947</v>
      </c>
      <c r="D122" s="45">
        <f>-ROUND(SUMIFS('A0.LS'!I:I,'A0.LS'!B:B,'A1.BS'!B122),0)</f>
        <v>134641110000</v>
      </c>
      <c r="E122" s="45">
        <f>-ROUND(SUMIFS('A0.LS'!J:J,'A0.LS'!B:B,'A1.BS'!B122),0)</f>
        <v>0</v>
      </c>
      <c r="F122" s="112">
        <f>-ROUND(SUMIFS('A0.LS'!K:K,'A0.LS'!B:B,'A1.BS'!B122),0)</f>
        <v>0</v>
      </c>
      <c r="G122" s="122">
        <f t="shared" ref="G122:G137" si="143">ROUND(SUM(D122:F122),0)</f>
        <v>134641110000</v>
      </c>
      <c r="H122" s="117"/>
      <c r="I122" s="50">
        <f>-ROUND(SUMIFS('A0.LS'!N:N,'A0.LS'!B:B,'A1.BS'!B122),0)</f>
        <v>134641110000</v>
      </c>
      <c r="J122" s="50">
        <f>-ROUND(SUMIFS('A0.LS'!O:O,'A0.LS'!B:B,'A1.BS'!B122),0)</f>
        <v>0</v>
      </c>
      <c r="K122" s="128">
        <f>-ROUND(SUMIFS('A0.LS'!P:P,'A0.LS'!B:B,'A1.BS'!B122),0)</f>
        <v>0</v>
      </c>
      <c r="L122" s="134">
        <f t="shared" ref="L122:L137" si="144">ROUND(SUM(I122:K122),0)</f>
        <v>134641110000</v>
      </c>
      <c r="N122" s="19"/>
      <c r="P122" s="470">
        <f>-ROUND(SUMIFS('A0.LS'!AV:AV,'A0.LS'!B:B,'A1.BS'!B122),0)</f>
        <v>574661110000</v>
      </c>
      <c r="Q122" s="475">
        <f>-ROUND(SUMIFS('A0.LS'!AW:AW,'A0.LS'!B:B,'A1.BS'!B122),0)</f>
        <v>-440020000000</v>
      </c>
      <c r="R122" s="485">
        <f>ROUND(SUM(P122:Q122),0)</f>
        <v>134641110000</v>
      </c>
      <c r="S122" s="481"/>
      <c r="T122" s="888">
        <f>-ROUND(SUMIFS('A0.LS'!BP:BP,'A0.LS'!B:B,'A1.BS'!B122),0)</f>
        <v>574661110000</v>
      </c>
      <c r="U122" s="889">
        <f>-ROUND(SUMIFS('A0.LS'!BQ:BQ,'A0.LS'!B:B,'A1.BS'!B122),0)</f>
        <v>-440020000000</v>
      </c>
      <c r="V122" s="491">
        <v>134641110000</v>
      </c>
      <c r="X122" s="39" t="str">
        <f t="shared" si="119"/>
        <v>x</v>
      </c>
    </row>
    <row r="123" spans="2:24" s="37" customFormat="1">
      <c r="B123" s="57" t="s">
        <v>1948</v>
      </c>
      <c r="C123" s="58" t="s">
        <v>1949</v>
      </c>
      <c r="D123" s="45">
        <f>-ROUND(SUMIFS('A0.LS'!I:I,'A0.LS'!B:B,'A1.BS'!B123),0)</f>
        <v>0</v>
      </c>
      <c r="E123" s="45">
        <f>-ROUND(SUMIFS('A0.LS'!J:J,'A0.LS'!B:B,'A1.BS'!B123),0)</f>
        <v>0</v>
      </c>
      <c r="F123" s="112">
        <f>-ROUND(SUMIFS('A0.LS'!K:K,'A0.LS'!B:B,'A1.BS'!B123),0)</f>
        <v>0</v>
      </c>
      <c r="G123" s="122">
        <f t="shared" si="143"/>
        <v>0</v>
      </c>
      <c r="H123" s="117"/>
      <c r="I123" s="50">
        <f>-ROUND(SUMIFS('A0.LS'!N:N,'A0.LS'!B:B,'A1.BS'!B123),0)</f>
        <v>0</v>
      </c>
      <c r="J123" s="50">
        <f>-ROUND(SUMIFS('A0.LS'!O:O,'A0.LS'!B:B,'A1.BS'!B123),0)</f>
        <v>0</v>
      </c>
      <c r="K123" s="128">
        <f>-ROUND(SUMIFS('A0.LS'!P:P,'A0.LS'!B:B,'A1.BS'!B123),0)</f>
        <v>0</v>
      </c>
      <c r="L123" s="134">
        <f t="shared" si="144"/>
        <v>0</v>
      </c>
      <c r="N123" s="19" t="str">
        <f t="shared" si="93"/>
        <v/>
      </c>
      <c r="P123" s="470">
        <f>-ROUND(SUMIFS('A0.LS'!AV:AV,'A0.LS'!B:B,'A1.BS'!B123),0)</f>
        <v>0</v>
      </c>
      <c r="Q123" s="475">
        <f>-ROUND(SUMIFS('A0.LS'!AW:AW,'A0.LS'!B:B,'A1.BS'!B123),0)</f>
        <v>0</v>
      </c>
      <c r="R123" s="485">
        <f t="shared" ref="R123:R136" si="145">ROUND(SUM(P123:Q123),0)</f>
        <v>0</v>
      </c>
      <c r="S123" s="481"/>
      <c r="T123" s="888">
        <f>-ROUND(SUMIFS('A0.LS'!BP:BP,'A0.LS'!B:B,'A1.BS'!B123),0)</f>
        <v>0</v>
      </c>
      <c r="U123" s="889">
        <f>-ROUND(SUMIFS('A0.LS'!BQ:BQ,'A0.LS'!B:B,'A1.BS'!B123),0)</f>
        <v>0</v>
      </c>
      <c r="V123" s="890">
        <f t="shared" ref="V123:V132" si="146">ROUND(SUM(T123:U123),0)</f>
        <v>0</v>
      </c>
      <c r="X123" s="39" t="str">
        <f t="shared" si="119"/>
        <v/>
      </c>
    </row>
    <row r="124" spans="2:24">
      <c r="B124" s="863">
        <v>412</v>
      </c>
      <c r="C124" s="864" t="s">
        <v>1950</v>
      </c>
      <c r="D124" s="879">
        <f>-ROUND(SUMIFS('A0.LS'!I:I,'A0.LS'!B:B,'A1.BS'!B124),0)</f>
        <v>515310808868</v>
      </c>
      <c r="E124" s="879">
        <f>-ROUND(SUMIFS('A0.LS'!J:J,'A0.LS'!B:B,'A1.BS'!B124),0)</f>
        <v>0</v>
      </c>
      <c r="F124" s="880">
        <f>-ROUND(SUMIFS('A0.LS'!K:K,'A0.LS'!B:B,'A1.BS'!B124),0)</f>
        <v>0</v>
      </c>
      <c r="G124" s="881">
        <f t="shared" si="143"/>
        <v>515310808868</v>
      </c>
      <c r="H124" s="868"/>
      <c r="I124" s="882">
        <f>-ROUND(SUMIFS('A0.LS'!N:N,'A0.LS'!B:B,'A1.BS'!B124),0)</f>
        <v>515310808868</v>
      </c>
      <c r="J124" s="882">
        <f>-ROUND(SUMIFS('A0.LS'!O:O,'A0.LS'!B:B,'A1.BS'!B124),0)</f>
        <v>0</v>
      </c>
      <c r="K124" s="883">
        <f>-ROUND(SUMIFS('A0.LS'!P:P,'A0.LS'!B:B,'A1.BS'!B124),0)</f>
        <v>0</v>
      </c>
      <c r="L124" s="884">
        <f t="shared" si="144"/>
        <v>515310808868</v>
      </c>
      <c r="M124" s="850"/>
      <c r="N124" s="19" t="str">
        <f t="shared" si="93"/>
        <v>x</v>
      </c>
      <c r="O124" s="850"/>
      <c r="P124" s="885">
        <f>-ROUND(SUMIFS('A0.LS'!AV:AV,'A0.LS'!B:B,'A1.BS'!B124),0)</f>
        <v>515310808868</v>
      </c>
      <c r="Q124" s="886">
        <f>-ROUND(SUMIFS('A0.LS'!AW:AW,'A0.LS'!B:B,'A1.BS'!B124),0)</f>
        <v>0</v>
      </c>
      <c r="R124" s="887">
        <f>ROUND(SUM(P124:Q124),0)</f>
        <v>515310808868</v>
      </c>
      <c r="S124" s="878"/>
      <c r="T124" s="888">
        <f>-ROUND(SUMIFS('A0.LS'!BP:BP,'A0.LS'!B:B,'A1.BS'!B124),0)</f>
        <v>515310808868</v>
      </c>
      <c r="U124" s="889">
        <f>-ROUND(SUMIFS('A0.LS'!BQ:BQ,'A0.LS'!B:B,'A1.BS'!B124),0)</f>
        <v>0</v>
      </c>
      <c r="V124" s="890">
        <v>515310808868</v>
      </c>
      <c r="W124" s="850"/>
      <c r="X124" s="39" t="str">
        <f t="shared" si="119"/>
        <v>x</v>
      </c>
    </row>
    <row r="125" spans="2:24">
      <c r="B125" s="863">
        <v>413</v>
      </c>
      <c r="C125" s="864" t="s">
        <v>1951</v>
      </c>
      <c r="D125" s="879">
        <f>-ROUND(SUMIFS('A0.LS'!I:I,'A0.LS'!B:B,'A1.BS'!B125),0)</f>
        <v>0</v>
      </c>
      <c r="E125" s="879">
        <f>-ROUND(SUMIFS('A0.LS'!J:J,'A0.LS'!B:B,'A1.BS'!B125),0)</f>
        <v>0</v>
      </c>
      <c r="F125" s="880">
        <f>-ROUND(SUMIFS('A0.LS'!K:K,'A0.LS'!B:B,'A1.BS'!B125),0)</f>
        <v>0</v>
      </c>
      <c r="G125" s="881">
        <f t="shared" si="143"/>
        <v>0</v>
      </c>
      <c r="H125" s="868"/>
      <c r="I125" s="882">
        <f>-ROUND(SUMIFS('A0.LS'!N:N,'A0.LS'!B:B,'A1.BS'!B125),0)</f>
        <v>0</v>
      </c>
      <c r="J125" s="882">
        <f>-ROUND(SUMIFS('A0.LS'!O:O,'A0.LS'!B:B,'A1.BS'!B125),0)</f>
        <v>0</v>
      </c>
      <c r="K125" s="883">
        <f>-ROUND(SUMIFS('A0.LS'!P:P,'A0.LS'!B:B,'A1.BS'!B125),0)</f>
        <v>0</v>
      </c>
      <c r="L125" s="884">
        <f t="shared" si="144"/>
        <v>0</v>
      </c>
      <c r="M125" s="850"/>
      <c r="N125" s="19" t="str">
        <f t="shared" si="93"/>
        <v/>
      </c>
      <c r="O125" s="850"/>
      <c r="P125" s="885">
        <f>-ROUND(SUMIFS('A0.LS'!AV:AV,'A0.LS'!B:B,'A1.BS'!B125),0)</f>
        <v>0</v>
      </c>
      <c r="Q125" s="886">
        <f>-ROUND(SUMIFS('A0.LS'!AW:AW,'A0.LS'!B:B,'A1.BS'!B125),0)</f>
        <v>0</v>
      </c>
      <c r="R125" s="887">
        <f t="shared" si="145"/>
        <v>0</v>
      </c>
      <c r="S125" s="878"/>
      <c r="T125" s="888">
        <f>-ROUND(SUMIFS('A0.LS'!BP:BP,'A0.LS'!B:B,'A1.BS'!B125),0)</f>
        <v>0</v>
      </c>
      <c r="U125" s="889">
        <f>-ROUND(SUMIFS('A0.LS'!BQ:BQ,'A0.LS'!B:B,'A1.BS'!B125),0)</f>
        <v>0</v>
      </c>
      <c r="V125" s="890">
        <f t="shared" si="146"/>
        <v>0</v>
      </c>
      <c r="W125" s="850"/>
      <c r="X125" s="39" t="str">
        <f t="shared" si="119"/>
        <v/>
      </c>
    </row>
    <row r="126" spans="2:24">
      <c r="B126" s="863">
        <v>414</v>
      </c>
      <c r="C126" s="864" t="s">
        <v>1952</v>
      </c>
      <c r="D126" s="879">
        <f>-ROUND(SUMIFS('A0.LS'!I:I,'A0.LS'!B:B,'A1.BS'!B126),0)</f>
        <v>0</v>
      </c>
      <c r="E126" s="879">
        <f>-ROUND(SUMIFS('A0.LS'!J:J,'A0.LS'!B:B,'A1.BS'!B126),0)</f>
        <v>0</v>
      </c>
      <c r="F126" s="880">
        <f>-ROUND(SUMIFS('A0.LS'!K:K,'A0.LS'!B:B,'A1.BS'!B126),0)</f>
        <v>0</v>
      </c>
      <c r="G126" s="881">
        <f t="shared" si="143"/>
        <v>0</v>
      </c>
      <c r="H126" s="868"/>
      <c r="I126" s="882">
        <f>-ROUND(SUMIFS('A0.LS'!N:N,'A0.LS'!B:B,'A1.BS'!B126),0)</f>
        <v>0</v>
      </c>
      <c r="J126" s="882">
        <f>-ROUND(SUMIFS('A0.LS'!O:O,'A0.LS'!B:B,'A1.BS'!B126),0)</f>
        <v>0</v>
      </c>
      <c r="K126" s="883">
        <f>-ROUND(SUMIFS('A0.LS'!P:P,'A0.LS'!B:B,'A1.BS'!B126),0)</f>
        <v>0</v>
      </c>
      <c r="L126" s="884">
        <f t="shared" si="144"/>
        <v>0</v>
      </c>
      <c r="M126" s="850"/>
      <c r="N126" s="19" t="str">
        <f t="shared" si="93"/>
        <v/>
      </c>
      <c r="O126" s="850"/>
      <c r="P126" s="885">
        <f>-ROUND(SUMIFS('A0.LS'!AV:AV,'A0.LS'!B:B,'A1.BS'!B126),0)</f>
        <v>0</v>
      </c>
      <c r="Q126" s="886">
        <f>-ROUND(SUMIFS('A0.LS'!AW:AW,'A0.LS'!B:B,'A1.BS'!B126),0)</f>
        <v>0</v>
      </c>
      <c r="R126" s="887">
        <f t="shared" si="145"/>
        <v>0</v>
      </c>
      <c r="S126" s="878"/>
      <c r="T126" s="888">
        <f>-ROUND(SUMIFS('A0.LS'!BP:BP,'A0.LS'!B:B,'A1.BS'!B126),0)</f>
        <v>0</v>
      </c>
      <c r="U126" s="889">
        <f>-ROUND(SUMIFS('A0.LS'!BQ:BQ,'A0.LS'!B:B,'A1.BS'!B126),0)</f>
        <v>0</v>
      </c>
      <c r="V126" s="890">
        <f t="shared" si="146"/>
        <v>0</v>
      </c>
      <c r="W126" s="850"/>
      <c r="X126" s="39" t="str">
        <f t="shared" si="119"/>
        <v/>
      </c>
    </row>
    <row r="127" spans="2:24">
      <c r="B127" s="863">
        <v>415</v>
      </c>
      <c r="C127" s="864" t="s">
        <v>1953</v>
      </c>
      <c r="D127" s="879">
        <f>-ROUND(SUMIFS('A0.LS'!I:I,'A0.LS'!B:B,'A1.BS'!B127),0)</f>
        <v>0</v>
      </c>
      <c r="E127" s="879">
        <f>-ROUND(SUMIFS('A0.LS'!J:J,'A0.LS'!B:B,'A1.BS'!B127),0)</f>
        <v>0</v>
      </c>
      <c r="F127" s="880">
        <f>-ROUND(SUMIFS('A0.LS'!K:K,'A0.LS'!B:B,'A1.BS'!B127),0)</f>
        <v>0</v>
      </c>
      <c r="G127" s="881">
        <f t="shared" si="143"/>
        <v>0</v>
      </c>
      <c r="H127" s="868"/>
      <c r="I127" s="882">
        <f>-ROUND(SUMIFS('A0.LS'!N:N,'A0.LS'!B:B,'A1.BS'!B127),0)</f>
        <v>0</v>
      </c>
      <c r="J127" s="882">
        <f>-ROUND(SUMIFS('A0.LS'!O:O,'A0.LS'!B:B,'A1.BS'!B127),0)</f>
        <v>0</v>
      </c>
      <c r="K127" s="883">
        <f>-ROUND(SUMIFS('A0.LS'!P:P,'A0.LS'!B:B,'A1.BS'!B127),0)</f>
        <v>0</v>
      </c>
      <c r="L127" s="884">
        <f t="shared" si="144"/>
        <v>0</v>
      </c>
      <c r="M127" s="850"/>
      <c r="N127" s="19" t="str">
        <f t="shared" si="93"/>
        <v/>
      </c>
      <c r="O127" s="850"/>
      <c r="P127" s="885">
        <f>-ROUND(SUMIFS('A0.LS'!AV:AV,'A0.LS'!B:B,'A1.BS'!B127),0)</f>
        <v>0</v>
      </c>
      <c r="Q127" s="886">
        <f>-ROUND(SUMIFS('A0.LS'!AW:AW,'A0.LS'!B:B,'A1.BS'!B127),0)</f>
        <v>0</v>
      </c>
      <c r="R127" s="887">
        <f t="shared" si="145"/>
        <v>0</v>
      </c>
      <c r="S127" s="878"/>
      <c r="T127" s="888">
        <f>-ROUND(SUMIFS('A0.LS'!BP:BP,'A0.LS'!B:B,'A1.BS'!B127),0)</f>
        <v>0</v>
      </c>
      <c r="U127" s="889">
        <f>-ROUND(SUMIFS('A0.LS'!BQ:BQ,'A0.LS'!B:B,'A1.BS'!B127),0)</f>
        <v>0</v>
      </c>
      <c r="V127" s="890">
        <f t="shared" si="146"/>
        <v>0</v>
      </c>
      <c r="W127" s="850"/>
      <c r="X127" s="39" t="str">
        <f t="shared" si="119"/>
        <v/>
      </c>
    </row>
    <row r="128" spans="2:24">
      <c r="B128" s="863">
        <v>416</v>
      </c>
      <c r="C128" s="864" t="s">
        <v>1954</v>
      </c>
      <c r="D128" s="879">
        <f>-ROUND(SUMIFS('A0.LS'!I:I,'A0.LS'!B:B,'A1.BS'!B128),0)</f>
        <v>0</v>
      </c>
      <c r="E128" s="879">
        <f>-ROUND(SUMIFS('A0.LS'!J:J,'A0.LS'!B:B,'A1.BS'!B128),0)</f>
        <v>0</v>
      </c>
      <c r="F128" s="880">
        <f>-ROUND(SUMIFS('A0.LS'!K:K,'A0.LS'!B:B,'A1.BS'!B128),0)</f>
        <v>0</v>
      </c>
      <c r="G128" s="881">
        <f t="shared" si="143"/>
        <v>0</v>
      </c>
      <c r="H128" s="868"/>
      <c r="I128" s="882">
        <f>-ROUND(SUMIFS('A0.LS'!N:N,'A0.LS'!B:B,'A1.BS'!B128),0)</f>
        <v>0</v>
      </c>
      <c r="J128" s="882">
        <f>-ROUND(SUMIFS('A0.LS'!O:O,'A0.LS'!B:B,'A1.BS'!B128),0)</f>
        <v>0</v>
      </c>
      <c r="K128" s="883">
        <f>-ROUND(SUMIFS('A0.LS'!P:P,'A0.LS'!B:B,'A1.BS'!B128),0)</f>
        <v>0</v>
      </c>
      <c r="L128" s="884">
        <f t="shared" si="144"/>
        <v>0</v>
      </c>
      <c r="M128" s="850"/>
      <c r="N128" s="19" t="str">
        <f t="shared" si="93"/>
        <v/>
      </c>
      <c r="O128" s="850"/>
      <c r="P128" s="885">
        <f>-ROUND(SUMIFS('A0.LS'!AV:AV,'A0.LS'!B:B,'A1.BS'!B128),0)</f>
        <v>0</v>
      </c>
      <c r="Q128" s="886">
        <f>-ROUND(SUMIFS('A0.LS'!AW:AW,'A0.LS'!B:B,'A1.BS'!B128),0)</f>
        <v>0</v>
      </c>
      <c r="R128" s="887">
        <f t="shared" si="145"/>
        <v>0</v>
      </c>
      <c r="S128" s="878"/>
      <c r="T128" s="888">
        <f>-ROUND(SUMIFS('A0.LS'!BP:BP,'A0.LS'!B:B,'A1.BS'!B128),0)</f>
        <v>0</v>
      </c>
      <c r="U128" s="889">
        <f>-ROUND(SUMIFS('A0.LS'!BQ:BQ,'A0.LS'!B:B,'A1.BS'!B128),0)</f>
        <v>0</v>
      </c>
      <c r="V128" s="890">
        <f t="shared" si="146"/>
        <v>0</v>
      </c>
      <c r="W128" s="850"/>
      <c r="X128" s="39" t="str">
        <f t="shared" si="119"/>
        <v/>
      </c>
    </row>
    <row r="129" spans="2:24">
      <c r="B129" s="863">
        <v>417</v>
      </c>
      <c r="C129" s="864" t="s">
        <v>1955</v>
      </c>
      <c r="D129" s="879">
        <f>-ROUND(SUMIFS('A0.LS'!I:I,'A0.LS'!B:B,'A1.BS'!B129),0)</f>
        <v>0</v>
      </c>
      <c r="E129" s="879">
        <f>-ROUND(SUMIFS('A0.LS'!J:J,'A0.LS'!B:B,'A1.BS'!B129),0)</f>
        <v>0</v>
      </c>
      <c r="F129" s="880">
        <f>-ROUND(SUMIFS('A0.LS'!K:K,'A0.LS'!B:B,'A1.BS'!B129),0)</f>
        <v>0</v>
      </c>
      <c r="G129" s="881">
        <f t="shared" si="143"/>
        <v>0</v>
      </c>
      <c r="H129" s="868"/>
      <c r="I129" s="882">
        <f>-ROUND(SUMIFS('A0.LS'!N:N,'A0.LS'!B:B,'A1.BS'!B129),0)</f>
        <v>0</v>
      </c>
      <c r="J129" s="882">
        <f>-ROUND(SUMIFS('A0.LS'!O:O,'A0.LS'!B:B,'A1.BS'!B129),0)</f>
        <v>0</v>
      </c>
      <c r="K129" s="883">
        <f>-ROUND(SUMIFS('A0.LS'!P:P,'A0.LS'!B:B,'A1.BS'!B129),0)</f>
        <v>0</v>
      </c>
      <c r="L129" s="884">
        <f t="shared" si="144"/>
        <v>0</v>
      </c>
      <c r="M129" s="850"/>
      <c r="N129" s="19" t="str">
        <f t="shared" si="93"/>
        <v/>
      </c>
      <c r="O129" s="850"/>
      <c r="P129" s="885">
        <f>-ROUND(SUMIFS('A0.LS'!AV:AV,'A0.LS'!B:B,'A1.BS'!B129),0)</f>
        <v>0</v>
      </c>
      <c r="Q129" s="886">
        <f>-ROUND(SUMIFS('A0.LS'!AW:AW,'A0.LS'!B:B,'A1.BS'!B129),0)</f>
        <v>0</v>
      </c>
      <c r="R129" s="887">
        <f t="shared" si="145"/>
        <v>0</v>
      </c>
      <c r="S129" s="878"/>
      <c r="T129" s="888">
        <f>-ROUND(SUMIFS('A0.LS'!BP:BP,'A0.LS'!B:B,'A1.BS'!B129),0)</f>
        <v>0</v>
      </c>
      <c r="U129" s="889">
        <f>-ROUND(SUMIFS('A0.LS'!BQ:BQ,'A0.LS'!B:B,'A1.BS'!B129),0)</f>
        <v>0</v>
      </c>
      <c r="V129" s="890">
        <f t="shared" si="146"/>
        <v>0</v>
      </c>
      <c r="W129" s="850"/>
      <c r="X129" s="39" t="str">
        <f t="shared" si="119"/>
        <v/>
      </c>
    </row>
    <row r="130" spans="2:24">
      <c r="B130" s="863">
        <v>418</v>
      </c>
      <c r="C130" s="864" t="s">
        <v>1956</v>
      </c>
      <c r="D130" s="879">
        <f>-ROUND(SUMIFS('A0.LS'!I:I,'A0.LS'!B:B,'A1.BS'!B130),0)</f>
        <v>0</v>
      </c>
      <c r="E130" s="879">
        <f>-ROUND(SUMIFS('A0.LS'!J:J,'A0.LS'!B:B,'A1.BS'!B130),0)</f>
        <v>0</v>
      </c>
      <c r="F130" s="880">
        <f>-ROUND(SUMIFS('A0.LS'!K:K,'A0.LS'!B:B,'A1.BS'!B130),0)</f>
        <v>0</v>
      </c>
      <c r="G130" s="881">
        <f t="shared" si="143"/>
        <v>0</v>
      </c>
      <c r="H130" s="868"/>
      <c r="I130" s="882">
        <f>-ROUND(SUMIFS('A0.LS'!N:N,'A0.LS'!B:B,'A1.BS'!B130),0)</f>
        <v>0</v>
      </c>
      <c r="J130" s="882">
        <f>-ROUND(SUMIFS('A0.LS'!O:O,'A0.LS'!B:B,'A1.BS'!B130),0)</f>
        <v>0</v>
      </c>
      <c r="K130" s="883">
        <f>-ROUND(SUMIFS('A0.LS'!P:P,'A0.LS'!B:B,'A1.BS'!B130),0)</f>
        <v>0</v>
      </c>
      <c r="L130" s="884">
        <f t="shared" si="144"/>
        <v>0</v>
      </c>
      <c r="M130" s="850"/>
      <c r="N130" s="19" t="str">
        <f t="shared" si="93"/>
        <v/>
      </c>
      <c r="O130" s="850"/>
      <c r="P130" s="885">
        <f>-ROUND(SUMIFS('A0.LS'!AV:AV,'A0.LS'!B:B,'A1.BS'!B130),0)</f>
        <v>0</v>
      </c>
      <c r="Q130" s="886">
        <f>-ROUND(SUMIFS('A0.LS'!AW:AW,'A0.LS'!B:B,'A1.BS'!B130),0)</f>
        <v>0</v>
      </c>
      <c r="R130" s="887">
        <f t="shared" si="145"/>
        <v>0</v>
      </c>
      <c r="S130" s="878"/>
      <c r="T130" s="888">
        <f>-ROUND(SUMIFS('A0.LS'!BP:BP,'A0.LS'!B:B,'A1.BS'!B130),0)</f>
        <v>0</v>
      </c>
      <c r="U130" s="889">
        <f>-ROUND(SUMIFS('A0.LS'!BQ:BQ,'A0.LS'!B:B,'A1.BS'!B130),0)</f>
        <v>0</v>
      </c>
      <c r="V130" s="890">
        <f t="shared" si="146"/>
        <v>0</v>
      </c>
      <c r="W130" s="850"/>
      <c r="X130" s="39" t="str">
        <f t="shared" si="119"/>
        <v/>
      </c>
    </row>
    <row r="131" spans="2:24">
      <c r="B131" s="863">
        <v>419</v>
      </c>
      <c r="C131" s="864" t="s">
        <v>1957</v>
      </c>
      <c r="D131" s="879">
        <f>-ROUND(SUMIFS('A0.LS'!I:I,'A0.LS'!B:B,'A1.BS'!B131),0)</f>
        <v>0</v>
      </c>
      <c r="E131" s="879">
        <f>-ROUND(SUMIFS('A0.LS'!J:J,'A0.LS'!B:B,'A1.BS'!B131),0)</f>
        <v>0</v>
      </c>
      <c r="F131" s="880">
        <f>-ROUND(SUMIFS('A0.LS'!K:K,'A0.LS'!B:B,'A1.BS'!B131),0)</f>
        <v>0</v>
      </c>
      <c r="G131" s="881">
        <f t="shared" si="143"/>
        <v>0</v>
      </c>
      <c r="H131" s="868"/>
      <c r="I131" s="882">
        <f>-ROUND(SUMIFS('A0.LS'!N:N,'A0.LS'!B:B,'A1.BS'!B131),0)</f>
        <v>0</v>
      </c>
      <c r="J131" s="882">
        <f>-ROUND(SUMIFS('A0.LS'!O:O,'A0.LS'!B:B,'A1.BS'!B131),0)</f>
        <v>0</v>
      </c>
      <c r="K131" s="883">
        <f>-ROUND(SUMIFS('A0.LS'!P:P,'A0.LS'!B:B,'A1.BS'!B131),0)</f>
        <v>0</v>
      </c>
      <c r="L131" s="884">
        <f t="shared" si="144"/>
        <v>0</v>
      </c>
      <c r="M131" s="850"/>
      <c r="N131" s="19" t="str">
        <f t="shared" si="93"/>
        <v/>
      </c>
      <c r="O131" s="850"/>
      <c r="P131" s="885">
        <f>-ROUND(SUMIFS('A0.LS'!AV:AV,'A0.LS'!B:B,'A1.BS'!B131),0)</f>
        <v>0</v>
      </c>
      <c r="Q131" s="886">
        <f>-ROUND(SUMIFS('A0.LS'!AW:AW,'A0.LS'!B:B,'A1.BS'!B131),0)</f>
        <v>0</v>
      </c>
      <c r="R131" s="887">
        <f t="shared" si="145"/>
        <v>0</v>
      </c>
      <c r="S131" s="878"/>
      <c r="T131" s="888">
        <f>-ROUND(SUMIFS('A0.LS'!BP:BP,'A0.LS'!B:B,'A1.BS'!B131),0)</f>
        <v>0</v>
      </c>
      <c r="U131" s="889">
        <f>-ROUND(SUMIFS('A0.LS'!BQ:BQ,'A0.LS'!B:B,'A1.BS'!B131),0)</f>
        <v>0</v>
      </c>
      <c r="V131" s="890">
        <f t="shared" si="146"/>
        <v>0</v>
      </c>
      <c r="W131" s="850"/>
      <c r="X131" s="39" t="str">
        <f t="shared" si="119"/>
        <v/>
      </c>
    </row>
    <row r="132" spans="2:24">
      <c r="B132" s="863">
        <v>420</v>
      </c>
      <c r="C132" s="864" t="s">
        <v>1958</v>
      </c>
      <c r="D132" s="879">
        <f>-ROUND(SUMIFS('A0.LS'!I:I,'A0.LS'!B:B,'A1.BS'!B132),0)</f>
        <v>0</v>
      </c>
      <c r="E132" s="879">
        <f>-ROUND(SUMIFS('A0.LS'!J:J,'A0.LS'!B:B,'A1.BS'!B132),0)</f>
        <v>0</v>
      </c>
      <c r="F132" s="880">
        <f>-ROUND(SUMIFS('A0.LS'!K:K,'A0.LS'!B:B,'A1.BS'!B132),0)</f>
        <v>0</v>
      </c>
      <c r="G132" s="881">
        <f t="shared" si="143"/>
        <v>0</v>
      </c>
      <c r="H132" s="868"/>
      <c r="I132" s="882">
        <f>-ROUND(SUMIFS('A0.LS'!N:N,'A0.LS'!B:B,'A1.BS'!B132),0)</f>
        <v>0</v>
      </c>
      <c r="J132" s="882">
        <f>-ROUND(SUMIFS('A0.LS'!O:O,'A0.LS'!B:B,'A1.BS'!B132),0)</f>
        <v>0</v>
      </c>
      <c r="K132" s="883">
        <f>-ROUND(SUMIFS('A0.LS'!P:P,'A0.LS'!B:B,'A1.BS'!B132),0)</f>
        <v>0</v>
      </c>
      <c r="L132" s="884">
        <f t="shared" si="144"/>
        <v>0</v>
      </c>
      <c r="M132" s="850"/>
      <c r="N132" s="19" t="str">
        <f t="shared" si="93"/>
        <v/>
      </c>
      <c r="O132" s="850"/>
      <c r="P132" s="885">
        <f>-ROUND(SUMIFS('A0.LS'!AV:AV,'A0.LS'!B:B,'A1.BS'!B132),0)</f>
        <v>0</v>
      </c>
      <c r="Q132" s="886">
        <f>-ROUND(SUMIFS('A0.LS'!AW:AW,'A0.LS'!B:B,'A1.BS'!B132),0)</f>
        <v>0</v>
      </c>
      <c r="R132" s="887">
        <f t="shared" si="145"/>
        <v>0</v>
      </c>
      <c r="S132" s="878"/>
      <c r="T132" s="888">
        <f>-ROUND(SUMIFS('A0.LS'!BP:BP,'A0.LS'!B:B,'A1.BS'!B132),0)</f>
        <v>0</v>
      </c>
      <c r="U132" s="889">
        <f>-ROUND(SUMIFS('A0.LS'!BQ:BQ,'A0.LS'!B:B,'A1.BS'!B132),0)</f>
        <v>0</v>
      </c>
      <c r="V132" s="890">
        <f t="shared" si="146"/>
        <v>0</v>
      </c>
      <c r="W132" s="850"/>
      <c r="X132" s="39" t="str">
        <f t="shared" si="119"/>
        <v/>
      </c>
    </row>
    <row r="133" spans="2:24">
      <c r="B133" s="863">
        <v>421</v>
      </c>
      <c r="C133" s="864" t="s">
        <v>1959</v>
      </c>
      <c r="D133" s="879">
        <f t="shared" ref="D133:G133" si="147">SUM(D134:D135)</f>
        <v>-242075856267</v>
      </c>
      <c r="E133" s="879">
        <f t="shared" si="147"/>
        <v>30436257</v>
      </c>
      <c r="F133" s="880">
        <f t="shared" si="147"/>
        <v>-20236173072</v>
      </c>
      <c r="G133" s="881">
        <f t="shared" si="147"/>
        <v>-262281593082</v>
      </c>
      <c r="H133" s="868"/>
      <c r="I133" s="882">
        <f>SUM(I134:I135)</f>
        <v>-565834591822</v>
      </c>
      <c r="J133" s="882">
        <f t="shared" ref="J133:K133" si="148">SUM(J134:J135)</f>
        <v>-1149996666</v>
      </c>
      <c r="K133" s="883">
        <f t="shared" si="148"/>
        <v>302896693289</v>
      </c>
      <c r="L133" s="884">
        <f t="shared" si="144"/>
        <v>-264087895199</v>
      </c>
      <c r="M133" s="850"/>
      <c r="N133" s="19" t="str">
        <f t="shared" si="93"/>
        <v>x</v>
      </c>
      <c r="O133" s="850"/>
      <c r="P133" s="885">
        <f t="shared" ref="P133:Q133" si="149">SUM(P134:P135)</f>
        <v>-336062427593</v>
      </c>
      <c r="Q133" s="886">
        <f t="shared" si="149"/>
        <v>69438102009</v>
      </c>
      <c r="R133" s="887">
        <f>SUM(R134:R135)</f>
        <v>-266624325584</v>
      </c>
      <c r="S133" s="878"/>
      <c r="T133" s="888">
        <f t="shared" ref="T133:U133" si="150">SUM(T134:T135)</f>
        <v>-303642408765</v>
      </c>
      <c r="U133" s="889">
        <f t="shared" si="150"/>
        <v>38432235856</v>
      </c>
      <c r="V133" s="894">
        <f>SUM(V134:V135)</f>
        <v>-265210172913</v>
      </c>
      <c r="W133" s="857"/>
      <c r="X133" s="39" t="str">
        <f t="shared" si="119"/>
        <v>x</v>
      </c>
    </row>
    <row r="134" spans="2:24" s="37" customFormat="1">
      <c r="B134" s="57" t="s">
        <v>1960</v>
      </c>
      <c r="C134" s="58" t="s">
        <v>1961</v>
      </c>
      <c r="D134" s="45">
        <f>-ROUND(SUMIFS('A0.LS'!I:I,'A0.LS'!B:B,'A1.BS'!B134),0)</f>
        <v>-264087895199</v>
      </c>
      <c r="E134" s="45">
        <f>-ROUND(SUMIFS('A0.LS'!J:J,'A0.LS'!B:B,'A1.BS'!B134),0)</f>
        <v>0</v>
      </c>
      <c r="F134" s="112">
        <f>-ROUND(SUMIFS('A0.LS'!K:K,'A0.LS'!B:B,'A1.BS'!B134),0)</f>
        <v>0</v>
      </c>
      <c r="G134" s="122">
        <f t="shared" si="143"/>
        <v>-264087895199</v>
      </c>
      <c r="H134" s="117"/>
      <c r="I134" s="50">
        <f>-ROUND(SUMIFS('A0.LS'!N:N,'A0.LS'!B:B,'A1.BS'!B134),0)</f>
        <v>-206961721096</v>
      </c>
      <c r="J134" s="50">
        <f>-ROUND(SUMIFS('A0.LS'!O:O,'A0.LS'!B:B,'A1.BS'!B134),0)</f>
        <v>0</v>
      </c>
      <c r="K134" s="128">
        <f>-ROUND(SUMIFS('A0.LS'!P:P,'A0.LS'!B:B,'A1.BS'!B134),0)</f>
        <v>0</v>
      </c>
      <c r="L134" s="134">
        <f t="shared" si="144"/>
        <v>-206961721096</v>
      </c>
      <c r="N134" s="39" t="str">
        <f t="shared" si="93"/>
        <v>x</v>
      </c>
      <c r="P134" s="470">
        <f>-ROUND(SUMIFS('A0.LS'!AV:AV,'A0.LS'!B:B,'A1.BS'!B134),0)</f>
        <v>-303641403640</v>
      </c>
      <c r="Q134" s="475">
        <f>-ROUND(SUMIFS('A0.LS'!AW:AW,'A0.LS'!B:B,'A1.BS'!B134),0)</f>
        <v>38431230732</v>
      </c>
      <c r="R134" s="485">
        <f>ROUND(SUM(P134:Q134),0)</f>
        <v>-265210172908</v>
      </c>
      <c r="S134" s="481"/>
      <c r="T134" s="466">
        <f>-ROUND(SUMIFS('A0.LS'!BP:BP,'A0.LS'!B:B,'A1.BS'!B134),0)</f>
        <v>-230069311002</v>
      </c>
      <c r="U134" s="487">
        <f>-ROUND(SUMIFS('A0.LS'!BQ:BQ,'A0.LS'!B:B,'A1.BS'!B134),0)</f>
        <v>8848393142</v>
      </c>
      <c r="V134" s="492">
        <f>-221220917865</f>
        <v>-221220917865</v>
      </c>
      <c r="X134" s="39" t="str">
        <f t="shared" si="119"/>
        <v>x</v>
      </c>
    </row>
    <row r="135" spans="2:24" s="37" customFormat="1">
      <c r="B135" s="57" t="s">
        <v>1962</v>
      </c>
      <c r="C135" s="58" t="s">
        <v>1963</v>
      </c>
      <c r="D135" s="45">
        <f>-ROUND(SUMIFS('A0.LS'!I:I,'A0.LS'!B:B,'A1.BS'!B135),0)</f>
        <v>22012038932</v>
      </c>
      <c r="E135" s="45">
        <f>-ROUND(SUMIFS('A0.LS'!J:J,'A0.LS'!B:B,'A1.BS'!B135),0)</f>
        <v>30436257</v>
      </c>
      <c r="F135" s="112">
        <f>-ROUND(SUMIFS('A0.LS'!K:K,'A0.LS'!B:B,'A1.BS'!B135),0)</f>
        <v>-20236173072</v>
      </c>
      <c r="G135" s="122">
        <f>ROUND(SUM(D135:F135),0)</f>
        <v>1806302117</v>
      </c>
      <c r="H135" s="117"/>
      <c r="I135" s="50">
        <f>-ROUND(SUMIFS('A0.LS'!N:N,'A0.LS'!B:B,'A1.BS'!B135),0)</f>
        <v>-358872870726</v>
      </c>
      <c r="J135" s="50">
        <f>-ROUND(SUMIFS('A0.LS'!O:O,'A0.LS'!B:B,'A1.BS'!B135),0)</f>
        <v>-1149996666</v>
      </c>
      <c r="K135" s="128">
        <f>-ROUND(SUMIFS('A0.LS'!P:P,'A0.LS'!B:B,'A1.BS'!B135),0)</f>
        <v>302896693289</v>
      </c>
      <c r="L135" s="134">
        <f t="shared" si="144"/>
        <v>-57126174103</v>
      </c>
      <c r="N135" s="39" t="str">
        <f t="shared" si="93"/>
        <v>x</v>
      </c>
      <c r="P135" s="470">
        <f>-ROUND(SUMIFS('A0.LS'!AV:AV,'A0.LS'!B:B,'A1.BS'!B135),0)</f>
        <v>-32421023953</v>
      </c>
      <c r="Q135" s="475">
        <f>-ROUND(SUMIFS('A0.LS'!AW:AW,'A0.LS'!B:B,'A1.BS'!B135),0)</f>
        <v>31006871277</v>
      </c>
      <c r="R135" s="485">
        <f>ROUND(SUM(P135:Q135),0)</f>
        <v>-1414152676</v>
      </c>
      <c r="S135" s="481"/>
      <c r="T135" s="466">
        <f>-ROUND(SUMIFS('A0.LS'!BP:BP,'A0.LS'!B:B,'A1.BS'!B135),0)</f>
        <v>-73573097763</v>
      </c>
      <c r="U135" s="487">
        <f>-ROUND(SUMIFS('A0.LS'!BQ:BQ,'A0.LS'!B:B,'A1.BS'!B135),0)</f>
        <v>29583842714</v>
      </c>
      <c r="V135" s="492">
        <f>-43989255048</f>
        <v>-43989255048</v>
      </c>
      <c r="X135" s="39" t="str">
        <f t="shared" si="119"/>
        <v>x</v>
      </c>
    </row>
    <row r="136" spans="2:24">
      <c r="B136" s="863">
        <v>422</v>
      </c>
      <c r="C136" s="864" t="s">
        <v>1964</v>
      </c>
      <c r="D136" s="879">
        <f>-ROUND(SUMIFS('A0.LS'!I:I,'A0.LS'!B:B,'A1.BS'!B136),0)</f>
        <v>0</v>
      </c>
      <c r="E136" s="879">
        <f>-ROUND(SUMIFS('A0.LS'!J:J,'A0.LS'!B:B,'A1.BS'!B136),0)</f>
        <v>0</v>
      </c>
      <c r="F136" s="880">
        <f>-ROUND(SUMIFS('A0.LS'!K:K,'A0.LS'!B:B,'A1.BS'!B136),0)</f>
        <v>0</v>
      </c>
      <c r="G136" s="881">
        <f t="shared" si="143"/>
        <v>0</v>
      </c>
      <c r="H136" s="868"/>
      <c r="I136" s="882">
        <f>-ROUND(SUMIFS('A0.LS'!N:N,'A0.LS'!B:B,'A1.BS'!B136),0)</f>
        <v>0</v>
      </c>
      <c r="J136" s="882">
        <f>-ROUND(SUMIFS('A0.LS'!O:O,'A0.LS'!B:B,'A1.BS'!B136),0)</f>
        <v>0</v>
      </c>
      <c r="K136" s="883">
        <f>-ROUND(SUMIFS('A0.LS'!P:P,'A0.LS'!B:B,'A1.BS'!B136),0)</f>
        <v>0</v>
      </c>
      <c r="L136" s="884">
        <f t="shared" si="144"/>
        <v>0</v>
      </c>
      <c r="M136" s="850"/>
      <c r="N136" s="19" t="str">
        <f t="shared" ref="N136:N143" si="151">IF(OR(L136&lt;&gt;0,G136&lt;&gt;0,G136="",L136=""),"x","")</f>
        <v/>
      </c>
      <c r="O136" s="850"/>
      <c r="P136" s="885">
        <f>-ROUND(SUMIFS('A0.LS'!AV:AV,'A0.LS'!B:B,'A1.BS'!B136),0)</f>
        <v>0</v>
      </c>
      <c r="Q136" s="886">
        <f>-ROUND(SUMIFS('A0.LS'!AW:AW,'A0.LS'!B:B,'A1.BS'!B136),0)</f>
        <v>0</v>
      </c>
      <c r="R136" s="887">
        <f t="shared" si="145"/>
        <v>0</v>
      </c>
      <c r="S136" s="878"/>
      <c r="T136" s="888">
        <f>-ROUND(SUMIFS('A0.LS'!BP:BP,'A0.LS'!B:B,'A1.BS'!B136),0)</f>
        <v>0</v>
      </c>
      <c r="U136" s="889">
        <f>-ROUND(SUMIFS('A0.LS'!BQ:BQ,'A0.LS'!B:B,'A1.BS'!B136),0)</f>
        <v>0</v>
      </c>
      <c r="V136" s="890">
        <f t="shared" ref="V136" si="152">ROUND(SUM(T136:U136),0)</f>
        <v>0</v>
      </c>
      <c r="W136" s="850"/>
      <c r="X136" s="39" t="str">
        <f t="shared" si="119"/>
        <v/>
      </c>
    </row>
    <row r="137" spans="2:24">
      <c r="B137" s="863">
        <v>429</v>
      </c>
      <c r="C137" s="864" t="s">
        <v>1965</v>
      </c>
      <c r="D137" s="879">
        <f>-ROUND(SUMIFS('A0.LS'!I:I,'A0.LS'!B:B,'A1.BS'!B137),0)</f>
        <v>0</v>
      </c>
      <c r="E137" s="879">
        <f>-ROUND(SUMIFS('A0.LS'!J:J,'A0.LS'!B:B,'A1.BS'!B137),0)</f>
        <v>0</v>
      </c>
      <c r="F137" s="880">
        <f>-ROUND(SUMIFS('A0.LS'!K:K,'A0.LS'!B:B,'A1.BS'!B137),0)</f>
        <v>0</v>
      </c>
      <c r="G137" s="881">
        <f t="shared" si="143"/>
        <v>0</v>
      </c>
      <c r="H137" s="868"/>
      <c r="I137" s="882">
        <f>-ROUND(SUMIFS('A0.LS'!N:N,'A0.LS'!B:B,'A1.BS'!B137),0)</f>
        <v>0</v>
      </c>
      <c r="J137" s="882">
        <f>-ROUND(SUMIFS('A0.LS'!O:O,'A0.LS'!B:B,'A1.BS'!B137),0)</f>
        <v>0</v>
      </c>
      <c r="K137" s="883">
        <f>-ROUND(SUMIFS('A0.LS'!P:P,'A0.LS'!B:B,'A1.BS'!B137),0)</f>
        <v>0</v>
      </c>
      <c r="L137" s="884">
        <f t="shared" si="144"/>
        <v>0</v>
      </c>
      <c r="M137" s="850"/>
      <c r="N137" s="19" t="str">
        <f t="shared" si="151"/>
        <v/>
      </c>
      <c r="O137" s="850"/>
      <c r="P137" s="885">
        <f>-ROUND(SUMIFS('A0.LS'!AV:AV,'A0.LS'!B:B,'A1.BS'!B137),0)</f>
        <v>388600790</v>
      </c>
      <c r="Q137" s="886">
        <f>-ROUND(SUMIFS('A0.LS'!AW:AW,'A0.LS'!B:B,'A1.BS'!B137),0)</f>
        <v>1983932</v>
      </c>
      <c r="R137" s="887">
        <f>ROUND(SUM(P137:Q137),0)</f>
        <v>390584722</v>
      </c>
      <c r="S137" s="878"/>
      <c r="T137" s="888">
        <f>-ROUND(SUMIFS('A0.LS'!BP:BP,'A0.LS'!B:B,'A1.BS'!B137),0)</f>
        <v>1122269624</v>
      </c>
      <c r="U137" s="889">
        <f>-ROUND(SUMIFS('A0.LS'!BQ:BQ,'A0.LS'!B:B,'A1.BS'!B137),0)</f>
        <v>3002961</v>
      </c>
      <c r="V137" s="493">
        <v>1125272585</v>
      </c>
      <c r="W137" s="850"/>
      <c r="X137" s="39" t="str">
        <f t="shared" si="119"/>
        <v>x</v>
      </c>
    </row>
    <row r="138" spans="2:24">
      <c r="B138" s="863"/>
      <c r="C138" s="864"/>
      <c r="D138" s="865"/>
      <c r="E138" s="865"/>
      <c r="F138" s="866"/>
      <c r="G138" s="867"/>
      <c r="H138" s="868"/>
      <c r="I138" s="869"/>
      <c r="J138" s="869"/>
      <c r="K138" s="870"/>
      <c r="L138" s="871"/>
      <c r="M138" s="850"/>
      <c r="N138" s="19"/>
      <c r="O138" s="850"/>
      <c r="P138" s="872"/>
      <c r="Q138" s="873"/>
      <c r="R138" s="874"/>
      <c r="S138" s="878"/>
      <c r="T138" s="875"/>
      <c r="U138" s="876"/>
      <c r="V138" s="877"/>
      <c r="W138" s="850"/>
      <c r="X138" s="39"/>
    </row>
    <row r="139" spans="2:24" s="38" customFormat="1">
      <c r="B139" s="55">
        <v>430</v>
      </c>
      <c r="C139" s="56" t="s">
        <v>1966</v>
      </c>
      <c r="D139" s="46"/>
      <c r="E139" s="46"/>
      <c r="F139" s="113"/>
      <c r="G139" s="123"/>
      <c r="H139" s="116"/>
      <c r="I139" s="51"/>
      <c r="J139" s="51"/>
      <c r="K139" s="129"/>
      <c r="L139" s="135"/>
      <c r="N139" s="19"/>
      <c r="P139" s="872"/>
      <c r="Q139" s="873"/>
      <c r="R139" s="874"/>
      <c r="S139" s="478"/>
      <c r="T139" s="875"/>
      <c r="U139" s="876"/>
      <c r="V139" s="877"/>
      <c r="X139" s="39"/>
    </row>
    <row r="140" spans="2:24">
      <c r="B140" s="863">
        <v>431</v>
      </c>
      <c r="C140" s="864" t="s">
        <v>1967</v>
      </c>
      <c r="D140" s="879">
        <f>-ROUND(SUMIFS('A0.LS'!I:I,'A0.LS'!B:B,'A1.BS'!B140),0)</f>
        <v>0</v>
      </c>
      <c r="E140" s="879">
        <f>-ROUND(SUMIFS('A0.LS'!J:J,'A0.LS'!B:B,'A1.BS'!B140),0)</f>
        <v>0</v>
      </c>
      <c r="F140" s="880">
        <f>-ROUND(SUMIFS('A0.LS'!K:K,'A0.LS'!B:B,'A1.BS'!B140),0)</f>
        <v>0</v>
      </c>
      <c r="G140" s="881">
        <f t="shared" ref="G140:G141" si="153">ROUND(SUM(D140:F140),0)</f>
        <v>0</v>
      </c>
      <c r="H140" s="868"/>
      <c r="I140" s="882">
        <f>-ROUND(SUMIFS('A0.LS'!N:N,'A0.LS'!B:B,'A1.BS'!B140),0)</f>
        <v>0</v>
      </c>
      <c r="J140" s="882">
        <f>-ROUND(SUMIFS('A0.LS'!O:O,'A0.LS'!B:B,'A1.BS'!B140),0)</f>
        <v>0</v>
      </c>
      <c r="K140" s="883">
        <f>-ROUND(SUMIFS('A0.LS'!P:P,'A0.LS'!B:B,'A1.BS'!B140),0)</f>
        <v>0</v>
      </c>
      <c r="L140" s="884">
        <f t="shared" ref="L140:L141" si="154">ROUND(SUM(I140:K140),0)</f>
        <v>0</v>
      </c>
      <c r="M140" s="850"/>
      <c r="N140" s="19" t="str">
        <f t="shared" si="151"/>
        <v/>
      </c>
      <c r="O140" s="850"/>
      <c r="P140" s="885">
        <f>-ROUND(SUMIFS('A0.LS'!AV:AV,'A0.LS'!B:B,'A1.BS'!B140),0)</f>
        <v>0</v>
      </c>
      <c r="Q140" s="886">
        <f>-ROUND(SUMIFS('A0.LS'!AW:AW,'A0.LS'!B:B,'A1.BS'!B140),0)</f>
        <v>0</v>
      </c>
      <c r="R140" s="887">
        <f t="shared" ref="R140:R141" si="155">ROUND(SUM(P140:Q140),0)</f>
        <v>0</v>
      </c>
      <c r="S140" s="878"/>
      <c r="T140" s="888">
        <f>-ROUND(SUMIFS('A0.LS'!BP:BP,'A0.LS'!B:B,'A1.BS'!B140),0)</f>
        <v>0</v>
      </c>
      <c r="U140" s="889">
        <f>-ROUND(SUMIFS('A0.LS'!BQ:BQ,'A0.LS'!B:B,'A1.BS'!B140),0)</f>
        <v>0</v>
      </c>
      <c r="V140" s="890">
        <f t="shared" ref="V140:V141" si="156">ROUND(SUM(T140:U140),0)</f>
        <v>0</v>
      </c>
      <c r="W140" s="850"/>
      <c r="X140" s="39" t="str">
        <f t="shared" si="119"/>
        <v/>
      </c>
    </row>
    <row r="141" spans="2:24">
      <c r="B141" s="863">
        <v>432</v>
      </c>
      <c r="C141" s="864" t="s">
        <v>1968</v>
      </c>
      <c r="D141" s="879">
        <f>-ROUND(SUMIFS('A0.LS'!I:I,'A0.LS'!B:B,'A1.BS'!B141),0)</f>
        <v>0</v>
      </c>
      <c r="E141" s="879">
        <f>-ROUND(SUMIFS('A0.LS'!J:J,'A0.LS'!B:B,'A1.BS'!B141),0)</f>
        <v>0</v>
      </c>
      <c r="F141" s="880">
        <f>-ROUND(SUMIFS('A0.LS'!K:K,'A0.LS'!B:B,'A1.BS'!B141),0)</f>
        <v>0</v>
      </c>
      <c r="G141" s="881">
        <f t="shared" si="153"/>
        <v>0</v>
      </c>
      <c r="H141" s="868"/>
      <c r="I141" s="882">
        <f>-ROUND(SUMIFS('A0.LS'!N:N,'A0.LS'!B:B,'A1.BS'!B141),0)</f>
        <v>0</v>
      </c>
      <c r="J141" s="882">
        <f>-ROUND(SUMIFS('A0.LS'!O:O,'A0.LS'!B:B,'A1.BS'!B141),0)</f>
        <v>0</v>
      </c>
      <c r="K141" s="883">
        <f>-ROUND(SUMIFS('A0.LS'!P:P,'A0.LS'!B:B,'A1.BS'!B141),0)</f>
        <v>0</v>
      </c>
      <c r="L141" s="884">
        <f t="shared" si="154"/>
        <v>0</v>
      </c>
      <c r="M141" s="850"/>
      <c r="N141" s="19" t="str">
        <f t="shared" si="151"/>
        <v/>
      </c>
      <c r="O141" s="850"/>
      <c r="P141" s="885">
        <f>-ROUND(SUMIFS('A0.LS'!AV:AV,'A0.LS'!B:B,'A1.BS'!B141),0)</f>
        <v>0</v>
      </c>
      <c r="Q141" s="886">
        <f>-ROUND(SUMIFS('A0.LS'!AW:AW,'A0.LS'!B:B,'A1.BS'!B141),0)</f>
        <v>0</v>
      </c>
      <c r="R141" s="887">
        <f t="shared" si="155"/>
        <v>0</v>
      </c>
      <c r="S141" s="878"/>
      <c r="T141" s="888">
        <f>-ROUND(SUMIFS('A0.LS'!BP:BP,'A0.LS'!B:B,'A1.BS'!B141),0)</f>
        <v>0</v>
      </c>
      <c r="U141" s="889">
        <f>-ROUND(SUMIFS('A0.LS'!BQ:BQ,'A0.LS'!B:B,'A1.BS'!B141),0)</f>
        <v>0</v>
      </c>
      <c r="V141" s="890">
        <f t="shared" si="156"/>
        <v>0</v>
      </c>
      <c r="W141" s="850"/>
      <c r="X141" s="39" t="str">
        <f t="shared" si="119"/>
        <v/>
      </c>
    </row>
    <row r="142" spans="2:24">
      <c r="B142" s="863"/>
      <c r="C142" s="864"/>
      <c r="D142" s="865"/>
      <c r="E142" s="865"/>
      <c r="F142" s="866"/>
      <c r="G142" s="867"/>
      <c r="H142" s="868"/>
      <c r="I142" s="869"/>
      <c r="J142" s="869"/>
      <c r="K142" s="870"/>
      <c r="L142" s="871"/>
      <c r="M142" s="850"/>
      <c r="N142" s="19" t="str">
        <f t="shared" si="151"/>
        <v>x</v>
      </c>
      <c r="O142" s="850"/>
      <c r="P142" s="872"/>
      <c r="Q142" s="873"/>
      <c r="R142" s="874"/>
      <c r="S142" s="878"/>
      <c r="T142" s="875"/>
      <c r="U142" s="876"/>
      <c r="V142" s="877"/>
      <c r="W142" s="850"/>
      <c r="X142" s="39" t="str">
        <f t="shared" si="119"/>
        <v>x</v>
      </c>
    </row>
    <row r="143" spans="2:24" s="1" customFormat="1" ht="13.5" thickBot="1">
      <c r="B143" s="59">
        <v>440</v>
      </c>
      <c r="C143" s="60" t="s">
        <v>1969</v>
      </c>
      <c r="D143" s="47">
        <f t="shared" ref="D143:G143" si="157">D120+D85</f>
        <v>1847666338311</v>
      </c>
      <c r="E143" s="47">
        <f t="shared" si="157"/>
        <v>83545996</v>
      </c>
      <c r="F143" s="114">
        <f t="shared" si="157"/>
        <v>-24597520309</v>
      </c>
      <c r="G143" s="124">
        <f t="shared" si="157"/>
        <v>1823152363998</v>
      </c>
      <c r="H143" s="118"/>
      <c r="I143" s="52">
        <f>I120+I85</f>
        <v>2178059955270</v>
      </c>
      <c r="J143" s="52">
        <f t="shared" ref="J143:L143" si="158">J120+J85</f>
        <v>-1157187016</v>
      </c>
      <c r="K143" s="130">
        <f t="shared" si="158"/>
        <v>238065485995</v>
      </c>
      <c r="L143" s="136">
        <f t="shared" si="158"/>
        <v>2414968254250</v>
      </c>
      <c r="N143" s="19" t="str">
        <f t="shared" si="151"/>
        <v>x</v>
      </c>
      <c r="P143" s="471">
        <f t="shared" ref="P143:R143" si="159">P120+P85</f>
        <v>2252119334553</v>
      </c>
      <c r="Q143" s="476">
        <f t="shared" si="159"/>
        <v>-405434914996</v>
      </c>
      <c r="R143" s="605">
        <f t="shared" si="159"/>
        <v>1846684419557</v>
      </c>
      <c r="S143" s="482"/>
      <c r="T143" s="472">
        <f t="shared" ref="T143:V143" si="160">T120+T85</f>
        <v>2822439739908</v>
      </c>
      <c r="U143" s="488">
        <f t="shared" si="160"/>
        <v>-438389876392</v>
      </c>
      <c r="V143" s="606">
        <f t="shared" si="160"/>
        <v>2384049863512</v>
      </c>
      <c r="X143" s="39" t="str">
        <f t="shared" si="119"/>
        <v>x</v>
      </c>
    </row>
    <row r="145" spans="3:22">
      <c r="C145" s="1" t="s">
        <v>1970</v>
      </c>
      <c r="D145" s="234">
        <f>D143-D83</f>
        <v>0</v>
      </c>
      <c r="E145" s="234">
        <f>E143-E83</f>
        <v>0</v>
      </c>
      <c r="F145" s="234">
        <f t="shared" ref="F145" si="161">F143-F83</f>
        <v>0</v>
      </c>
      <c r="G145" s="234">
        <f>G143-G83</f>
        <v>0</v>
      </c>
      <c r="H145" s="1"/>
      <c r="I145" s="234">
        <f t="shared" ref="I145:L145" si="162">I143-I83</f>
        <v>0</v>
      </c>
      <c r="J145" s="234">
        <f t="shared" si="162"/>
        <v>0</v>
      </c>
      <c r="K145" s="234">
        <f t="shared" si="162"/>
        <v>-1</v>
      </c>
      <c r="L145" s="234">
        <f t="shared" si="162"/>
        <v>0</v>
      </c>
      <c r="M145" s="850"/>
      <c r="N145" s="850"/>
      <c r="O145" s="850"/>
      <c r="P145" s="234">
        <f>P143-P83</f>
        <v>0</v>
      </c>
      <c r="Q145" s="234">
        <f t="shared" ref="Q145" si="163">Q143-Q83</f>
        <v>0</v>
      </c>
      <c r="R145" s="234">
        <f>R143-R83</f>
        <v>0</v>
      </c>
      <c r="S145" s="1"/>
      <c r="T145" s="234">
        <f t="shared" ref="T145:U145" si="164">T143-T83</f>
        <v>0</v>
      </c>
      <c r="U145" s="234">
        <f t="shared" si="164"/>
        <v>0</v>
      </c>
      <c r="V145" s="234">
        <f>V143-V83</f>
        <v>0</v>
      </c>
    </row>
    <row r="147" spans="3:22">
      <c r="C147" s="850"/>
      <c r="D147" s="850"/>
      <c r="E147" s="850"/>
      <c r="F147" s="850"/>
      <c r="G147" s="857"/>
      <c r="H147" s="850"/>
      <c r="I147" s="850"/>
      <c r="J147" s="850"/>
      <c r="K147" s="850"/>
      <c r="L147" s="850"/>
      <c r="M147" s="850"/>
      <c r="N147" s="850"/>
      <c r="O147" s="850"/>
      <c r="P147" s="850"/>
      <c r="Q147" s="850"/>
      <c r="R147" s="850"/>
      <c r="S147" s="850"/>
      <c r="T147" s="850"/>
      <c r="U147" s="850"/>
      <c r="V147" s="850"/>
    </row>
  </sheetData>
  <autoFilter ref="B5:X143" xr:uid="{BF703C65-E81D-4067-A0A1-BAE0328F3CF0}"/>
  <conditionalFormatting sqref="D145:L145">
    <cfRule type="cellIs" dxfId="176" priority="9" operator="lessThan">
      <formula>0</formula>
    </cfRule>
    <cfRule type="cellIs" dxfId="175" priority="10" operator="greaterThan">
      <formula>0</formula>
    </cfRule>
  </conditionalFormatting>
  <conditionalFormatting sqref="P145:V145">
    <cfRule type="cellIs" dxfId="174" priority="1" operator="lessThan">
      <formula>0</formula>
    </cfRule>
    <cfRule type="cellIs" dxfId="173" priority="2" operator="greaterThan">
      <formula>0</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0422A-9CDE-4630-B8AB-EC781E9DB653}">
  <sheetPr codeName="Sheet7">
    <tabColor rgb="FF002060"/>
  </sheetPr>
  <dimension ref="A1:Z43"/>
  <sheetViews>
    <sheetView topLeftCell="H6" zoomScale="75" zoomScaleNormal="60" workbookViewId="0">
      <selection activeCell="R32" sqref="R32"/>
    </sheetView>
  </sheetViews>
  <sheetFormatPr defaultColWidth="9.140625" defaultRowHeight="12.75"/>
  <cols>
    <col min="1" max="1" width="9.140625" style="2"/>
    <col min="2" max="2" width="11.42578125" style="2" bestFit="1" customWidth="1"/>
    <col min="3" max="3" width="53.85546875" style="2" bestFit="1" customWidth="1"/>
    <col min="4" max="4" width="18.5703125" style="2" customWidth="1"/>
    <col min="5" max="5" width="13.85546875" style="2" customWidth="1"/>
    <col min="6" max="6" width="18.5703125" style="2" customWidth="1"/>
    <col min="7" max="7" width="23" style="2" customWidth="1"/>
    <col min="8" max="8" width="1.42578125" style="2" customWidth="1"/>
    <col min="9" max="9" width="19.85546875" style="2" customWidth="1"/>
    <col min="10" max="10" width="15.140625" style="2" customWidth="1"/>
    <col min="11" max="11" width="21" style="2" customWidth="1"/>
    <col min="12" max="12" width="23" style="2" customWidth="1"/>
    <col min="13" max="13" width="21" style="2" customWidth="1"/>
    <col min="14" max="14" width="12.85546875" style="2" bestFit="1" customWidth="1"/>
    <col min="15" max="15" width="9.140625" style="2" customWidth="1"/>
    <col min="16" max="16" width="16.85546875" style="2" bestFit="1" customWidth="1"/>
    <col min="17" max="17" width="15.140625" style="2" bestFit="1" customWidth="1"/>
    <col min="18" max="18" width="19.140625" style="2" bestFit="1" customWidth="1"/>
    <col min="19" max="19" width="2" style="2" hidden="1" customWidth="1"/>
    <col min="20" max="20" width="16.42578125" style="2" hidden="1" customWidth="1"/>
    <col min="21" max="21" width="15.85546875" style="2" hidden="1" customWidth="1"/>
    <col min="22" max="22" width="22" style="2" bestFit="1" customWidth="1"/>
    <col min="23" max="23" width="9.140625" style="2"/>
    <col min="24" max="24" width="11.42578125" style="2" customWidth="1"/>
    <col min="25" max="25" width="9.140625" style="2"/>
    <col min="26" max="26" width="12.85546875" style="2" bestFit="1" customWidth="1"/>
    <col min="27" max="16384" width="9.140625" style="2"/>
  </cols>
  <sheetData>
    <row r="1" spans="1:25">
      <c r="A1" s="1" t="s">
        <v>0</v>
      </c>
      <c r="B1" s="850" t="s">
        <v>1</v>
      </c>
      <c r="C1" s="850"/>
      <c r="D1" s="850"/>
      <c r="E1" s="850"/>
      <c r="F1" s="850"/>
      <c r="G1" s="850"/>
      <c r="H1" s="850"/>
      <c r="I1" s="850"/>
      <c r="J1" s="850"/>
      <c r="K1" s="850"/>
      <c r="L1" s="850"/>
      <c r="M1" s="850"/>
      <c r="N1" s="850"/>
      <c r="O1" s="850"/>
      <c r="P1" s="850"/>
      <c r="Q1" s="850"/>
      <c r="R1" s="850"/>
      <c r="S1" s="850"/>
      <c r="T1" s="850"/>
      <c r="U1" s="850"/>
      <c r="V1" s="850"/>
      <c r="W1" s="850"/>
      <c r="X1" s="850"/>
      <c r="Y1" s="850"/>
    </row>
    <row r="2" spans="1:25">
      <c r="A2" s="1" t="s">
        <v>2</v>
      </c>
      <c r="B2" s="852">
        <v>45657</v>
      </c>
      <c r="C2" s="850"/>
      <c r="D2" s="850"/>
      <c r="E2" s="850"/>
      <c r="F2" s="850"/>
      <c r="G2" s="19" t="s">
        <v>1836</v>
      </c>
      <c r="H2" s="850"/>
      <c r="I2" s="857"/>
      <c r="J2" s="850"/>
      <c r="K2" s="850"/>
      <c r="L2" s="19" t="s">
        <v>1836</v>
      </c>
      <c r="M2" s="850"/>
      <c r="N2" s="850"/>
      <c r="O2" s="850"/>
      <c r="P2" s="850"/>
      <c r="Q2" s="850"/>
      <c r="R2" s="19" t="s">
        <v>1837</v>
      </c>
      <c r="S2" s="850"/>
      <c r="T2" s="850"/>
      <c r="U2" s="850"/>
      <c r="V2" s="19" t="s">
        <v>1837</v>
      </c>
      <c r="W2" s="850"/>
      <c r="X2" s="850"/>
      <c r="Y2" s="850"/>
    </row>
    <row r="3" spans="1:25" ht="20.25">
      <c r="A3" s="3" t="s">
        <v>1971</v>
      </c>
      <c r="B3" s="850"/>
      <c r="C3" s="850"/>
      <c r="D3" s="850"/>
      <c r="E3" s="850"/>
      <c r="F3" s="850"/>
      <c r="G3" s="36" t="s">
        <v>1839</v>
      </c>
      <c r="H3" s="850"/>
      <c r="I3" s="850"/>
      <c r="J3" s="850"/>
      <c r="K3" s="850"/>
      <c r="L3" s="36" t="s">
        <v>1839</v>
      </c>
      <c r="M3" s="850"/>
      <c r="N3" s="850"/>
      <c r="O3" s="850"/>
      <c r="P3" s="850"/>
      <c r="Q3" s="850"/>
      <c r="R3" s="36" t="s">
        <v>1839</v>
      </c>
      <c r="S3" s="850"/>
      <c r="T3" s="850"/>
      <c r="U3" s="850"/>
      <c r="V3" s="36" t="s">
        <v>1839</v>
      </c>
      <c r="W3" s="850"/>
      <c r="X3" s="850"/>
      <c r="Y3" s="850"/>
    </row>
    <row r="4" spans="1:25" ht="13.5" thickBot="1">
      <c r="A4" s="850"/>
      <c r="B4" s="850"/>
      <c r="C4" s="850"/>
      <c r="D4" s="850"/>
      <c r="E4" s="850"/>
      <c r="F4" s="850"/>
      <c r="G4" s="850"/>
      <c r="H4" s="850"/>
      <c r="I4" s="850"/>
      <c r="J4" s="850"/>
      <c r="K4" s="850"/>
      <c r="L4" s="850"/>
      <c r="M4" s="850"/>
      <c r="N4" s="850"/>
      <c r="O4" s="850"/>
      <c r="P4" s="850"/>
      <c r="Q4" s="850"/>
      <c r="R4" s="850"/>
      <c r="S4" s="850"/>
      <c r="T4" s="850"/>
      <c r="U4" s="850"/>
      <c r="V4" s="850"/>
      <c r="W4" s="850"/>
      <c r="X4" s="850"/>
      <c r="Y4" s="850"/>
    </row>
    <row r="5" spans="1:25" ht="38.25">
      <c r="A5" s="850"/>
      <c r="B5" s="495" t="s">
        <v>1840</v>
      </c>
      <c r="C5" s="495" t="s">
        <v>1841</v>
      </c>
      <c r="D5" s="496" t="s">
        <v>1842</v>
      </c>
      <c r="E5" s="496" t="s">
        <v>1843</v>
      </c>
      <c r="F5" s="496" t="s">
        <v>1844</v>
      </c>
      <c r="G5" s="523" t="s">
        <v>1845</v>
      </c>
      <c r="H5" s="896"/>
      <c r="I5" s="497" t="s">
        <v>1846</v>
      </c>
      <c r="J5" s="498" t="s">
        <v>1847</v>
      </c>
      <c r="K5" s="497" t="s">
        <v>1848</v>
      </c>
      <c r="L5" s="530" t="s">
        <v>1849</v>
      </c>
      <c r="M5" s="860"/>
      <c r="N5" s="35" t="s">
        <v>1850</v>
      </c>
      <c r="O5" s="850"/>
      <c r="P5" s="508" t="s">
        <v>1842</v>
      </c>
      <c r="Q5" s="473" t="s">
        <v>1851</v>
      </c>
      <c r="R5" s="483" t="s">
        <v>1845</v>
      </c>
      <c r="S5" s="862"/>
      <c r="T5" s="468" t="s">
        <v>1852</v>
      </c>
      <c r="U5" s="486" t="s">
        <v>1851</v>
      </c>
      <c r="V5" s="489" t="s">
        <v>1849</v>
      </c>
      <c r="W5" s="850"/>
      <c r="X5" s="522" t="s">
        <v>1853</v>
      </c>
      <c r="Y5" s="850"/>
    </row>
    <row r="6" spans="1:25" s="1" customFormat="1">
      <c r="B6" s="321">
        <v>1</v>
      </c>
      <c r="C6" s="304" t="s">
        <v>1972</v>
      </c>
      <c r="D6" s="499">
        <f>-ROUND(SUMIFS('A0.LS'!I:I,'A0.LS'!B:B,'A2.PL'!B6),0)</f>
        <v>9450962213</v>
      </c>
      <c r="E6" s="499">
        <f>-ROUND(SUMIFS('A0.LS'!J:J,'A0.LS'!B:B,'A2.PL'!B6),0)</f>
        <v>51180627</v>
      </c>
      <c r="F6" s="499">
        <f>-ROUND(SUMIFS('A0.LS'!K:K,'A0.LS'!B:B,'A2.PL'!B6),0)</f>
        <v>0</v>
      </c>
      <c r="G6" s="806">
        <f>ROUND(SUM(D6:F6),0)</f>
        <v>9502142840</v>
      </c>
      <c r="H6" s="298"/>
      <c r="I6" s="501">
        <f>-ROUND(SUMIFS('A0.LS'!N:N,'A0.LS'!B:B,'A2.PL'!B6),0)</f>
        <v>7675439424</v>
      </c>
      <c r="J6" s="501">
        <f>-ROUND(SUMIFS('A0.LS'!O:O,'A0.LS'!B:B,'A2.PL'!B6),0)</f>
        <v>0</v>
      </c>
      <c r="K6" s="501">
        <f>-ROUND(SUMIFS('A0.LS'!P:P,'A0.LS'!B:B,'A2.PL'!B6),0)</f>
        <v>0</v>
      </c>
      <c r="L6" s="531">
        <f>ROUND(SUM(I6:K6),0)</f>
        <v>7675439424</v>
      </c>
      <c r="N6" s="19" t="s">
        <v>681</v>
      </c>
      <c r="P6" s="510">
        <f>-ROUND(SUMIFS('A0.LS'!AV:AV,'A0.LS'!B:B,'A2.PL'!B6),0)</f>
        <v>68375095376</v>
      </c>
      <c r="Q6" s="510">
        <f>-ROUND(SUMIFS('A0.LS'!AW:AW,'A0.LS'!B:B,'A2.PL'!B6),0)</f>
        <v>-4366393847</v>
      </c>
      <c r="R6" s="515">
        <f>ROUND(SUM(P6:Q6),0)</f>
        <v>64008701529</v>
      </c>
      <c r="S6" s="298"/>
      <c r="T6" s="443">
        <f>-ROUND(SUMIFS('A0.LS'!BP:BP,'A0.LS'!B:B,'A2.PL'!B6),0)</f>
        <v>52713921512</v>
      </c>
      <c r="U6" s="443">
        <f>-ROUND(SUMIFS('A0.LS'!BQ:BQ,'A0.LS'!B:B,'A2.PL'!B6),0)</f>
        <v>-1051644416</v>
      </c>
      <c r="V6" s="518">
        <v>51662277096</v>
      </c>
      <c r="X6" s="19" t="s">
        <v>681</v>
      </c>
    </row>
    <row r="7" spans="1:25" s="1" customFormat="1">
      <c r="B7" s="321">
        <v>2</v>
      </c>
      <c r="C7" s="304" t="s">
        <v>1973</v>
      </c>
      <c r="D7" s="499">
        <f>-ROUND(SUMIFS('A0.LS'!I:I,'A0.LS'!B:B,'A2.PL'!B7),0)</f>
        <v>0</v>
      </c>
      <c r="E7" s="499">
        <f>-ROUND(SUMIFS('A0.LS'!J:J,'A0.LS'!B:B,'A2.PL'!B7),0)</f>
        <v>0</v>
      </c>
      <c r="F7" s="499">
        <f>-ROUND(SUMIFS('A0.LS'!K:K,'A0.LS'!B:B,'A2.PL'!B7),0)</f>
        <v>0</v>
      </c>
      <c r="G7" s="524">
        <f>ROUND(SUM(D7:F7),0)</f>
        <v>0</v>
      </c>
      <c r="H7" s="298"/>
      <c r="I7" s="501">
        <f>-ROUND(SUMIFS('A0.LS'!N:N,'A0.LS'!B:B,'A2.PL'!B7),0)</f>
        <v>0</v>
      </c>
      <c r="J7" s="501">
        <f>-ROUND(SUMIFS('A0.LS'!O:O,'A0.LS'!B:B,'A2.PL'!B7),0)</f>
        <v>0</v>
      </c>
      <c r="K7" s="501">
        <f>-ROUND(SUMIFS('A0.LS'!P:P,'A0.LS'!B:B,'A2.PL'!B7),0)</f>
        <v>0</v>
      </c>
      <c r="L7" s="531">
        <f>ROUND(SUM(I7:K7),0)</f>
        <v>0</v>
      </c>
      <c r="N7" s="19" t="s">
        <v>681</v>
      </c>
      <c r="P7" s="510">
        <f>-ROUND(SUMIFS('A0.LS'!AV:AV,'A0.LS'!B:B,'A2.PL'!B7),0)</f>
        <v>0</v>
      </c>
      <c r="Q7" s="510">
        <f>-ROUND(SUMIFS('A0.LS'!AW:AW,'A0.LS'!B:B,'A2.PL'!B7),0)</f>
        <v>0</v>
      </c>
      <c r="R7" s="515">
        <f>ROUND(SUM(P7:Q7),0)</f>
        <v>0</v>
      </c>
      <c r="S7" s="298"/>
      <c r="T7" s="443">
        <f>-ROUND(SUMIFS('A0.LS'!BP:BP,'A0.LS'!B:B,'A2.PL'!B7),0)</f>
        <v>0</v>
      </c>
      <c r="U7" s="443">
        <f>-ROUND(SUMIFS('A0.LS'!BQ:BQ,'A0.LS'!B:B,'A2.PL'!B7),0)</f>
        <v>0</v>
      </c>
      <c r="V7" s="518">
        <f>ROUND(SUM(T7:U7),0)</f>
        <v>0</v>
      </c>
      <c r="X7" s="19" t="s">
        <v>681</v>
      </c>
    </row>
    <row r="8" spans="1:25" s="1" customFormat="1">
      <c r="B8" s="502">
        <v>10</v>
      </c>
      <c r="C8" s="503" t="s">
        <v>1974</v>
      </c>
      <c r="D8" s="504">
        <f>SUM(D6:D7)</f>
        <v>9450962213</v>
      </c>
      <c r="E8" s="504">
        <f t="shared" ref="E8:G8" si="0">SUM(E6:E7)</f>
        <v>51180627</v>
      </c>
      <c r="F8" s="504">
        <f t="shared" si="0"/>
        <v>0</v>
      </c>
      <c r="G8" s="525">
        <f t="shared" si="0"/>
        <v>9502142840</v>
      </c>
      <c r="H8" s="298"/>
      <c r="I8" s="505">
        <f t="shared" ref="I8:L8" si="1">SUM(I6:I7)</f>
        <v>7675439424</v>
      </c>
      <c r="J8" s="505">
        <f t="shared" si="1"/>
        <v>0</v>
      </c>
      <c r="K8" s="505">
        <f t="shared" si="1"/>
        <v>0</v>
      </c>
      <c r="L8" s="532">
        <f t="shared" si="1"/>
        <v>7675439424</v>
      </c>
      <c r="N8" s="19" t="s">
        <v>681</v>
      </c>
      <c r="P8" s="511">
        <f t="shared" ref="P8:R8" si="2">SUM(P6:P7)</f>
        <v>68375095376</v>
      </c>
      <c r="Q8" s="511">
        <f t="shared" si="2"/>
        <v>-4366393847</v>
      </c>
      <c r="R8" s="516">
        <f t="shared" si="2"/>
        <v>64008701529</v>
      </c>
      <c r="S8" s="298"/>
      <c r="T8" s="514">
        <f t="shared" ref="T8:U8" si="3">SUM(T6:T7)</f>
        <v>52713921512</v>
      </c>
      <c r="U8" s="514">
        <f t="shared" si="3"/>
        <v>-1051644416</v>
      </c>
      <c r="V8" s="519">
        <f>V6+V7</f>
        <v>51662277096</v>
      </c>
      <c r="X8" s="19" t="s">
        <v>681</v>
      </c>
    </row>
    <row r="9" spans="1:25" s="1" customFormat="1">
      <c r="B9" s="321">
        <v>11</v>
      </c>
      <c r="C9" s="304" t="s">
        <v>1975</v>
      </c>
      <c r="D9" s="499">
        <f>-ROUND(SUMIFS('A0.LS'!I:I,'A0.LS'!B:B,'A2.PL'!B9),0)</f>
        <v>-13380800114</v>
      </c>
      <c r="E9" s="499">
        <f>-ROUND(SUMIFS('A0.LS'!J:J,'A0.LS'!B:B,'A2.PL'!B9),0)</f>
        <v>-417227</v>
      </c>
      <c r="F9" s="499">
        <f>-ROUND(SUMIFS('A0.LS'!K:K,'A0.LS'!B:B,'A2.PL'!B9),0)</f>
        <v>0</v>
      </c>
      <c r="G9" s="524">
        <f>ROUND(SUM(D9:F9),0)</f>
        <v>-13381217341</v>
      </c>
      <c r="H9" s="298"/>
      <c r="I9" s="501">
        <f>-ROUND(SUMIFS('A0.LS'!N:N,'A0.LS'!B:B,'A2.PL'!B9),0)</f>
        <v>-15178017047</v>
      </c>
      <c r="J9" s="501">
        <f>-ROUND(SUMIFS('A0.LS'!O:O,'A0.LS'!B:B,'A2.PL'!B9),0)</f>
        <v>-173965310</v>
      </c>
      <c r="K9" s="501">
        <f>-ROUND(SUMIFS('A0.LS'!P:P,'A0.LS'!B:B,'A2.PL'!B9),0)</f>
        <v>0</v>
      </c>
      <c r="L9" s="531">
        <f>ROUND(SUM(I9:K9),0)</f>
        <v>-15351982357</v>
      </c>
      <c r="N9" s="19" t="s">
        <v>681</v>
      </c>
      <c r="P9" s="510">
        <f>-ROUND(SUMIFS('A0.LS'!AV:AV,'A0.LS'!B:B,'A2.PL'!B9),0)</f>
        <v>-89442746965</v>
      </c>
      <c r="Q9" s="510">
        <f>-ROUND(SUMIFS('A0.LS'!AW:AW,'A0.LS'!B:B,'A2.PL'!B9),0)</f>
        <v>6953898879</v>
      </c>
      <c r="R9" s="515">
        <f>ROUND(SUM(P9:Q9),0)</f>
        <v>-82488848086</v>
      </c>
      <c r="S9" s="298"/>
      <c r="T9" s="443">
        <f>-ROUND(SUMIFS('A0.LS'!BP:BP,'A0.LS'!B:B,'A2.PL'!B9),0)</f>
        <v>-67345449328</v>
      </c>
      <c r="U9" s="443">
        <f>-ROUND(SUMIFS('A0.LS'!BQ:BQ,'A0.LS'!B:B,'A2.PL'!B9),0)</f>
        <v>1754901717</v>
      </c>
      <c r="V9" s="518">
        <f>-65590547611</f>
        <v>-65590547611</v>
      </c>
      <c r="X9" s="19" t="s">
        <v>681</v>
      </c>
    </row>
    <row r="10" spans="1:25" s="1" customFormat="1">
      <c r="B10" s="502">
        <v>20</v>
      </c>
      <c r="C10" s="503" t="s">
        <v>1976</v>
      </c>
      <c r="D10" s="504">
        <f>SUM(D8:D9)</f>
        <v>-3929837901</v>
      </c>
      <c r="E10" s="504">
        <f>SUM(E8:E9)</f>
        <v>50763400</v>
      </c>
      <c r="F10" s="504">
        <f>SUM(F8:F9)</f>
        <v>0</v>
      </c>
      <c r="G10" s="525">
        <f>SUM(G8:G9)</f>
        <v>-3879074501</v>
      </c>
      <c r="H10" s="298"/>
      <c r="I10" s="505">
        <f>SUM(I8:I9)</f>
        <v>-7502577623</v>
      </c>
      <c r="J10" s="505">
        <f>SUM(J8:J9)</f>
        <v>-173965310</v>
      </c>
      <c r="K10" s="505">
        <f>SUM(K8:K9)</f>
        <v>0</v>
      </c>
      <c r="L10" s="532">
        <f>SUM(L8:L9)</f>
        <v>-7676542933</v>
      </c>
      <c r="N10" s="19" t="s">
        <v>681</v>
      </c>
      <c r="P10" s="511">
        <f t="shared" ref="P10:R10" si="4">SUM(P8:P9)</f>
        <v>-21067651589</v>
      </c>
      <c r="Q10" s="511">
        <f t="shared" si="4"/>
        <v>2587505032</v>
      </c>
      <c r="R10" s="516">
        <f t="shared" si="4"/>
        <v>-18480146557</v>
      </c>
      <c r="S10" s="298"/>
      <c r="T10" s="514">
        <f t="shared" ref="T10:U10" si="5">SUM(T8:T9)</f>
        <v>-14631527816</v>
      </c>
      <c r="U10" s="514">
        <f t="shared" si="5"/>
        <v>703257301</v>
      </c>
      <c r="V10" s="519">
        <f>SUM(V8:V9)</f>
        <v>-13928270515</v>
      </c>
      <c r="X10" s="19" t="s">
        <v>681</v>
      </c>
    </row>
    <row r="11" spans="1:25" s="1" customFormat="1">
      <c r="B11" s="321"/>
      <c r="C11" s="304"/>
      <c r="D11" s="500"/>
      <c r="E11" s="500"/>
      <c r="F11" s="500"/>
      <c r="G11" s="524"/>
      <c r="H11" s="298"/>
      <c r="I11" s="203"/>
      <c r="J11" s="203"/>
      <c r="K11" s="203"/>
      <c r="L11" s="531"/>
      <c r="N11" s="19"/>
      <c r="P11" s="510"/>
      <c r="Q11" s="510"/>
      <c r="R11" s="515"/>
      <c r="S11" s="298"/>
      <c r="T11" s="443"/>
      <c r="U11" s="443"/>
      <c r="V11" s="520"/>
    </row>
    <row r="12" spans="1:25" s="1" customFormat="1">
      <c r="B12" s="321">
        <v>21</v>
      </c>
      <c r="C12" s="304" t="s">
        <v>1977</v>
      </c>
      <c r="D12" s="499">
        <f>-ROUND(SUMIFS('A0.LS'!I:I,'A0.LS'!B:B,'A2.PL'!B12),0)</f>
        <v>186151632183</v>
      </c>
      <c r="E12" s="499">
        <f>-ROUND(SUMIFS('A0.LS'!J:J,'A0.LS'!B:B,'A2.PL'!B12),0)</f>
        <v>0</v>
      </c>
      <c r="F12" s="499">
        <f>-ROUND(SUMIFS('A0.LS'!K:K,'A0.LS'!B:B,'A2.PL'!B12),0)</f>
        <v>0</v>
      </c>
      <c r="G12" s="524">
        <f>ROUND(SUM(D12:F12),0)</f>
        <v>186151632183</v>
      </c>
      <c r="H12" s="298"/>
      <c r="I12" s="501">
        <f>-ROUND(SUMIFS('A0.LS'!N:N,'A0.LS'!B:B,'A2.PL'!B12),0)</f>
        <v>192855825748</v>
      </c>
      <c r="J12" s="501">
        <f>-ROUND(SUMIFS('A0.LS'!O:O,'A0.LS'!B:B,'A2.PL'!B12),0)</f>
        <v>209859289</v>
      </c>
      <c r="K12" s="501">
        <f>-ROUND(SUMIFS('A0.LS'!P:P,'A0.LS'!B:B,'A2.PL'!B12),0)</f>
        <v>-87812270</v>
      </c>
      <c r="L12" s="531">
        <f>ROUND(SUM(I12:K12),0)</f>
        <v>192977872767</v>
      </c>
      <c r="N12" s="19" t="s">
        <v>681</v>
      </c>
      <c r="P12" s="510">
        <f>-ROUND(SUMIFS('A0.LS'!AV:AV,'A0.LS'!B:B,'A2.PL'!B12),0)</f>
        <v>217754853978</v>
      </c>
      <c r="Q12" s="510">
        <f>-ROUND(SUMIFS('A0.LS'!AW:AW,'A0.LS'!B:B,'A2.PL'!B12),0)</f>
        <v>-4222580227</v>
      </c>
      <c r="R12" s="515">
        <f t="shared" ref="R12:R13" si="6">ROUND(SUM(P12:Q12),0)</f>
        <v>213532273751</v>
      </c>
      <c r="S12" s="298"/>
      <c r="T12" s="443">
        <f>-ROUND(SUMIFS('A0.LS'!BP:BP,'A0.LS'!B:B,'A2.PL'!B12),0)</f>
        <v>212166236461</v>
      </c>
      <c r="U12" s="443">
        <f>-ROUND(SUMIFS('A0.LS'!BQ:BQ,'A0.LS'!B:B,'A2.PL'!B12),0)</f>
        <v>-92926026</v>
      </c>
      <c r="V12" s="518">
        <v>212073310435</v>
      </c>
      <c r="X12" s="19" t="s">
        <v>681</v>
      </c>
    </row>
    <row r="13" spans="1:25" s="1" customFormat="1">
      <c r="B13" s="321">
        <v>22</v>
      </c>
      <c r="C13" s="304" t="s">
        <v>1978</v>
      </c>
      <c r="D13" s="499">
        <f>-ROUND(SUMIFS('A0.LS'!I:I,'A0.LS'!B:B,'A2.PL'!B13),0)</f>
        <v>-114045932270</v>
      </c>
      <c r="E13" s="499">
        <f>-ROUND(SUMIFS('A0.LS'!J:J,'A0.LS'!B:B,'A2.PL'!B13),0)</f>
        <v>0</v>
      </c>
      <c r="F13" s="499">
        <f>-ROUND(SUMIFS('A0.LS'!K:K,'A0.LS'!B:B,'A2.PL'!B13),0)</f>
        <v>-18429727374</v>
      </c>
      <c r="G13" s="524">
        <f>ROUND(SUM(D13:F13),0)</f>
        <v>-132475659644</v>
      </c>
      <c r="H13" s="298"/>
      <c r="I13" s="501">
        <f>-ROUND(SUMIFS('A0.LS'!N:N,'A0.LS'!B:B,'A2.PL'!B13),0)</f>
        <v>-413557116103</v>
      </c>
      <c r="J13" s="501">
        <f>-ROUND(SUMIFS('A0.LS'!O:O,'A0.LS'!B:B,'A2.PL'!B13),0)</f>
        <v>0</v>
      </c>
      <c r="K13" s="501">
        <f>-ROUND(SUMIFS('A0.LS'!P:P,'A0.LS'!B:B,'A2.PL'!B13),0)</f>
        <v>219745808158</v>
      </c>
      <c r="L13" s="531">
        <f>ROUND(SUM(I13:K13),0)</f>
        <v>-193811307945</v>
      </c>
      <c r="N13" s="19" t="s">
        <v>681</v>
      </c>
      <c r="P13" s="510">
        <f>-ROUND(SUMIFS('A0.LS'!AV:AV,'A0.LS'!B:B,'A2.PL'!B13),0)</f>
        <v>-134762044638</v>
      </c>
      <c r="Q13" s="510">
        <f>-ROUND(SUMIFS('A0.LS'!AW:AW,'A0.LS'!B:B,'A2.PL'!B13),0)</f>
        <v>35228432476</v>
      </c>
      <c r="R13" s="515">
        <f t="shared" si="6"/>
        <v>-99533612162</v>
      </c>
      <c r="S13" s="298"/>
      <c r="T13" s="443">
        <f>-ROUND(SUMIFS('A0.LS'!BP:BP,'A0.LS'!B:B,'A2.PL'!B13),0)</f>
        <v>-193995239577</v>
      </c>
      <c r="U13" s="443">
        <f>-ROUND(SUMIFS('A0.LS'!BQ:BQ,'A0.LS'!B:B,'A2.PL'!B13),0)</f>
        <v>29675811022</v>
      </c>
      <c r="V13" s="518">
        <f>-164319428555</f>
        <v>-164319428555</v>
      </c>
      <c r="X13" s="19" t="s">
        <v>681</v>
      </c>
    </row>
    <row r="14" spans="1:25" s="37" customFormat="1">
      <c r="B14" s="794">
        <v>23</v>
      </c>
      <c r="C14" s="795" t="s">
        <v>1979</v>
      </c>
      <c r="D14" s="796">
        <f>-'A4.N2FS Singles'!F567</f>
        <v>-101149864</v>
      </c>
      <c r="E14" s="897">
        <f>-ROUND(SUMIFS('A0.LS'!J:J,'A0.LS'!B:B,'A2.PL'!B14),0)</f>
        <v>0</v>
      </c>
      <c r="F14" s="897">
        <f>-ROUND(SUMIFS('A0.LS'!K:K,'A0.LS'!B:B,'A2.PL'!B14),0)</f>
        <v>0</v>
      </c>
      <c r="G14" s="797">
        <f>ROUND(SUM(D14:F14),0)</f>
        <v>-101149864</v>
      </c>
      <c r="H14" s="798"/>
      <c r="I14" s="799">
        <f>-'A0.LS'!N261</f>
        <v>0</v>
      </c>
      <c r="J14" s="799">
        <f>-'A0.LS'!O261</f>
        <v>0</v>
      </c>
      <c r="K14" s="799">
        <f>-'A0.LS'!P261</f>
        <v>0</v>
      </c>
      <c r="L14" s="800">
        <f>ROUND(SUM(I14:K14),0)</f>
        <v>0</v>
      </c>
      <c r="N14" s="801" t="s">
        <v>681</v>
      </c>
      <c r="P14" s="802">
        <f>-SUMIFS('A0.LS'!AV:AV,'A0.LS'!C:C,"24.1")</f>
        <v>-1819684105</v>
      </c>
      <c r="Q14" s="802">
        <f>-SUMIFS('A0.LS'!AW:AW,'A0.LS'!C:C,"24.1")</f>
        <v>101149864</v>
      </c>
      <c r="R14" s="610">
        <f>ROUND(SUM(P14:Q14),0)</f>
        <v>-1718534241</v>
      </c>
      <c r="S14" s="898"/>
      <c r="T14" s="555">
        <f>-ROUND(SUMIFS('A0.LS'!BP:BP,'A0.LS'!C:C,"24.1"),0)</f>
        <v>-92794519</v>
      </c>
      <c r="U14" s="555">
        <f>-ROUND(SUMIFS('A0.LS'!BQ:BQ,'A0.LS'!C:C,"24.1"),0)</f>
        <v>92794519</v>
      </c>
      <c r="V14" s="611">
        <f>-531143325</f>
        <v>-531143325</v>
      </c>
      <c r="X14" s="899" t="s">
        <v>681</v>
      </c>
    </row>
    <row r="15" spans="1:25" s="1" customFormat="1">
      <c r="B15" s="321">
        <v>25</v>
      </c>
      <c r="C15" s="304" t="s">
        <v>1980</v>
      </c>
      <c r="D15" s="499">
        <f>-ROUND(SUMIFS('A0.LS'!I:I,'A0.LS'!B:B,'A2.PL'!B15),0)</f>
        <v>-11536647246</v>
      </c>
      <c r="E15" s="499">
        <f>-ROUND(SUMIFS('A0.LS'!J:J,'A0.LS'!B:B,'A2.PL'!B15),0)</f>
        <v>-303592</v>
      </c>
      <c r="F15" s="499">
        <f>-ROUND(SUMIFS('A0.LS'!K:K,'A0.LS'!B:B,'A2.PL'!B15),0)</f>
        <v>0</v>
      </c>
      <c r="G15" s="524">
        <f>ROUND(SUM(D15:F15),0)</f>
        <v>-11536950838</v>
      </c>
      <c r="H15" s="298"/>
      <c r="I15" s="501">
        <f>-ROUND(SUMIFS('A0.LS'!N:N,'A0.LS'!B:B,'A2.PL'!B15),0)</f>
        <v>-17220589977</v>
      </c>
      <c r="J15" s="501">
        <f>-ROUND(SUMIFS('A0.LS'!O:O,'A0.LS'!B:B,'A2.PL'!B15),0)</f>
        <v>-481722039</v>
      </c>
      <c r="K15" s="501">
        <f>-ROUND(SUMIFS('A0.LS'!P:P,'A0.LS'!B:B,'A2.PL'!B15),0)</f>
        <v>0</v>
      </c>
      <c r="L15" s="531">
        <f>ROUND(SUM(I15:K15),0)</f>
        <v>-17702312016</v>
      </c>
      <c r="N15" s="19" t="s">
        <v>681</v>
      </c>
      <c r="P15" s="510">
        <f>-ROUND(SUMIFS('A0.LS'!AV:AV,'A0.LS'!B:B,'A2.PL'!B15),0)</f>
        <v>-11571655838</v>
      </c>
      <c r="Q15" s="510">
        <f>-ROUND(SUMIFS('A0.LS'!AW:AW,'A0.LS'!B:B,'A2.PL'!B15),0)</f>
        <v>0</v>
      </c>
      <c r="R15" s="515">
        <f t="shared" ref="R15:R16" si="7">ROUND(SUM(P15:Q15),0)</f>
        <v>-11571655838</v>
      </c>
      <c r="S15" s="298"/>
      <c r="T15" s="443">
        <f>-ROUND(SUMIFS('A0.LS'!BP:BP,'A0.LS'!B:B,'A2.PL'!B15),0)</f>
        <v>-17907080434</v>
      </c>
      <c r="U15" s="443">
        <f>-ROUND(SUMIFS('A0.LS'!BQ:BQ,'A0.LS'!B:B,'A2.PL'!B15),0)</f>
        <v>0</v>
      </c>
      <c r="V15" s="518">
        <f>-17907080434</f>
        <v>-17907080434</v>
      </c>
      <c r="X15" s="19" t="s">
        <v>681</v>
      </c>
    </row>
    <row r="16" spans="1:25" s="1" customFormat="1">
      <c r="B16" s="321">
        <v>26</v>
      </c>
      <c r="C16" s="304" t="s">
        <v>1981</v>
      </c>
      <c r="D16" s="499">
        <f>-ROUND(SUMIFS('A0.LS'!I:I,'A0.LS'!B:B,'A2.PL'!B16),0)</f>
        <v>-10165281401</v>
      </c>
      <c r="E16" s="499">
        <f>-ROUND(SUMIFS('A0.LS'!J:J,'A0.LS'!B:B,'A2.PL'!B16),0)</f>
        <v>-20023551</v>
      </c>
      <c r="F16" s="499">
        <f>-ROUND(SUMIFS('A0.LS'!K:K,'A0.LS'!B:B,'A2.PL'!B16),0)</f>
        <v>0</v>
      </c>
      <c r="G16" s="524">
        <f>ROUND(SUM(D16:F16),0)</f>
        <v>-10185304952</v>
      </c>
      <c r="H16" s="298"/>
      <c r="I16" s="501">
        <f>-ROUND(SUMIFS('A0.LS'!N:N,'A0.LS'!B:B,'A2.PL'!B16),0)</f>
        <v>-28230844491</v>
      </c>
      <c r="J16" s="501">
        <f>-ROUND(SUMIFS('A0.LS'!O:O,'A0.LS'!B:B,'A2.PL'!B16),0)</f>
        <v>-704168606</v>
      </c>
      <c r="K16" s="501">
        <f>-ROUND(SUMIFS('A0.LS'!P:P,'A0.LS'!B:B,'A2.PL'!B16),0)</f>
        <v>0</v>
      </c>
      <c r="L16" s="531">
        <f>ROUND(SUM(I16:K16),0)</f>
        <v>-28935013097</v>
      </c>
      <c r="N16" s="19" t="s">
        <v>681</v>
      </c>
      <c r="P16" s="510">
        <f>-ROUND(SUMIFS('A0.LS'!AV:AV,'A0.LS'!B:B,'A2.PL'!B16),0)</f>
        <v>-55223936422</v>
      </c>
      <c r="Q16" s="510">
        <f>-ROUND(SUMIFS('A0.LS'!AW:AW,'A0.LS'!B:B,'A2.PL'!B16),0)</f>
        <v>-2587505032</v>
      </c>
      <c r="R16" s="515">
        <f t="shared" si="7"/>
        <v>-57811441454</v>
      </c>
      <c r="S16" s="298"/>
      <c r="T16" s="443">
        <f>-ROUND(SUMIFS('A0.LS'!BP:BP,'A0.LS'!B:B,'A2.PL'!B16),0)</f>
        <v>-55269601330</v>
      </c>
      <c r="U16" s="443">
        <f>-ROUND(SUMIFS('A0.LS'!BQ:BQ,'A0.LS'!B:B,'A2.PL'!B16),0)</f>
        <v>0</v>
      </c>
      <c r="V16" s="518">
        <f>-55972858631</f>
        <v>-55972858631</v>
      </c>
      <c r="X16" s="19" t="s">
        <v>681</v>
      </c>
    </row>
    <row r="17" spans="2:26" s="1" customFormat="1">
      <c r="B17" s="502">
        <v>30</v>
      </c>
      <c r="C17" s="503" t="s">
        <v>1982</v>
      </c>
      <c r="D17" s="504">
        <f>SUM(D10:D13,D15:D16)</f>
        <v>46473933365</v>
      </c>
      <c r="E17" s="504">
        <f t="shared" ref="E17:F17" si="8">SUM(E10:E13,E15:E16)</f>
        <v>30436257</v>
      </c>
      <c r="F17" s="504">
        <f t="shared" si="8"/>
        <v>-18429727374</v>
      </c>
      <c r="G17" s="525">
        <f>SUM(G10:G13,G15:G16)</f>
        <v>28074642248</v>
      </c>
      <c r="H17" s="298"/>
      <c r="I17" s="505">
        <f t="shared" ref="I17:K17" si="9">SUM(I10:I13,I15:I16)</f>
        <v>-273655302446</v>
      </c>
      <c r="J17" s="505">
        <f t="shared" si="9"/>
        <v>-1149996666</v>
      </c>
      <c r="K17" s="505">
        <f t="shared" si="9"/>
        <v>219657995888</v>
      </c>
      <c r="L17" s="532">
        <f>SUM(L10:L13,L15:L16)</f>
        <v>-55147303224</v>
      </c>
      <c r="N17" s="19" t="s">
        <v>681</v>
      </c>
      <c r="P17" s="511">
        <f t="shared" ref="P17:Q17" si="10">SUM(P10:P13,P15:P16)</f>
        <v>-4870434509</v>
      </c>
      <c r="Q17" s="511">
        <f t="shared" si="10"/>
        <v>31005852249</v>
      </c>
      <c r="R17" s="516">
        <f>SUM(R10:R13,R15:R16)</f>
        <v>26135417740</v>
      </c>
      <c r="S17" s="298"/>
      <c r="T17" s="514">
        <f t="shared" ref="T17:U17" si="11">SUM(T10:T13,T15:T16)</f>
        <v>-69637212696</v>
      </c>
      <c r="U17" s="514">
        <f t="shared" si="11"/>
        <v>30286142297</v>
      </c>
      <c r="V17" s="519">
        <f>SUM(V10:V13,V15:V16)</f>
        <v>-40054327700</v>
      </c>
      <c r="X17" s="19" t="s">
        <v>681</v>
      </c>
    </row>
    <row r="18" spans="2:26" s="1" customFormat="1">
      <c r="B18" s="321"/>
      <c r="C18" s="304"/>
      <c r="D18" s="500"/>
      <c r="E18" s="500"/>
      <c r="F18" s="500"/>
      <c r="G18" s="524"/>
      <c r="H18" s="298"/>
      <c r="I18" s="203"/>
      <c r="J18" s="203"/>
      <c r="K18" s="203"/>
      <c r="L18" s="531"/>
      <c r="N18" s="19"/>
      <c r="P18" s="510"/>
      <c r="Q18" s="510"/>
      <c r="R18" s="515"/>
      <c r="S18" s="298"/>
      <c r="T18" s="443"/>
      <c r="U18" s="443"/>
      <c r="V18" s="520"/>
    </row>
    <row r="19" spans="2:26" s="1" customFormat="1">
      <c r="B19" s="321">
        <v>31</v>
      </c>
      <c r="C19" s="304" t="s">
        <v>1983</v>
      </c>
      <c r="D19" s="499">
        <f>-ROUND(SUMIFS('A0.LS'!I:I,'A0.LS'!B:B,'A2.PL'!B19),0)</f>
        <v>33867552</v>
      </c>
      <c r="E19" s="499">
        <f>-ROUND(SUMIFS('A0.LS'!J:J,'A0.LS'!B:B,'A2.PL'!B19),0)</f>
        <v>0</v>
      </c>
      <c r="F19" s="499">
        <f>-ROUND(SUMIFS('A0.LS'!K:K,'A0.LS'!B:B,'A2.PL'!B19),0)</f>
        <v>0</v>
      </c>
      <c r="G19" s="524">
        <f>ROUND(SUM(D19:F19),0)</f>
        <v>33867552</v>
      </c>
      <c r="H19" s="298"/>
      <c r="I19" s="501">
        <f>-ROUND(SUMIFS('A0.LS'!N:N,'A0.LS'!B:B,'A2.PL'!B19),0)</f>
        <v>-8918917249</v>
      </c>
      <c r="J19" s="501">
        <f>-ROUND(SUMIFS('A0.LS'!O:O,'A0.LS'!B:B,'A2.PL'!B19),0)</f>
        <v>0</v>
      </c>
      <c r="K19" s="501">
        <f>-ROUND(SUMIFS('A0.LS'!P:P,'A0.LS'!B:B,'A2.PL'!B19),0)</f>
        <v>8933895969</v>
      </c>
      <c r="L19" s="531">
        <f>ROUND(SUM(I19:K19),0)</f>
        <v>14978720</v>
      </c>
      <c r="N19" s="19" t="s">
        <v>681</v>
      </c>
      <c r="P19" s="510">
        <f>-ROUND(SUMIFS('A0.LS'!AV:AV,'A0.LS'!B:B,'A2.PL'!B19),0)</f>
        <v>36573944</v>
      </c>
      <c r="Q19" s="510">
        <f>-ROUND(SUMIFS('A0.LS'!AW:AW,'A0.LS'!B:B,'A2.PL'!B19),0)</f>
        <v>0</v>
      </c>
      <c r="R19" s="515">
        <f>ROUND(SUM(P19:Q19),0)</f>
        <v>36573944</v>
      </c>
      <c r="S19" s="298"/>
      <c r="T19" s="443">
        <f>-ROUND(SUMIFS('A0.LS'!BP:BP,'A0.LS'!B:B,'A2.PL'!B19),0)</f>
        <v>14988968</v>
      </c>
      <c r="U19" s="443">
        <f>-ROUND(SUMIFS('A0.LS'!BQ:BQ,'A0.LS'!B:B,'A2.PL'!B19),0)</f>
        <v>0</v>
      </c>
      <c r="V19" s="518">
        <v>14988968</v>
      </c>
      <c r="X19" s="19" t="s">
        <v>681</v>
      </c>
    </row>
    <row r="20" spans="2:26" s="1" customFormat="1">
      <c r="B20" s="321">
        <v>32</v>
      </c>
      <c r="C20" s="304" t="s">
        <v>1984</v>
      </c>
      <c r="D20" s="499">
        <f>-ROUND(SUMIFS('A0.LS'!I:I,'A0.LS'!B:B,'A2.PL'!B20),0)</f>
        <v>-24495761985</v>
      </c>
      <c r="E20" s="499">
        <f>-ROUND(SUMIFS('A0.LS'!J:J,'A0.LS'!B:B,'A2.PL'!B20),0)</f>
        <v>0</v>
      </c>
      <c r="F20" s="499">
        <f>-ROUND(SUMIFS('A0.LS'!K:K,'A0.LS'!B:B,'A2.PL'!B20),0)</f>
        <v>-1806445698</v>
      </c>
      <c r="G20" s="524">
        <f>ROUND(SUM(D20:F20),0)</f>
        <v>-26302207683</v>
      </c>
      <c r="H20" s="298"/>
      <c r="I20" s="501">
        <f>-ROUND(SUMIFS('A0.LS'!N:N,'A0.LS'!B:B,'A2.PL'!B20),0)</f>
        <v>-76298651031</v>
      </c>
      <c r="J20" s="501">
        <f>-ROUND(SUMIFS('A0.LS'!O:O,'A0.LS'!B:B,'A2.PL'!B20),0)</f>
        <v>0</v>
      </c>
      <c r="K20" s="501">
        <f>-ROUND(SUMIFS('A0.LS'!P:P,'A0.LS'!B:B,'A2.PL'!B20),0)</f>
        <v>74304801432</v>
      </c>
      <c r="L20" s="531">
        <f>ROUND(SUM(I20:K20),0)</f>
        <v>-1993849599</v>
      </c>
      <c r="N20" s="19" t="s">
        <v>681</v>
      </c>
      <c r="P20" s="510">
        <f>-ROUND(SUMIFS('A0.LS'!AV:AV,'A0.LS'!B:B,'A2.PL'!B20),0)</f>
        <v>-26319606208</v>
      </c>
      <c r="Q20" s="510">
        <f>-ROUND(SUMIFS('A0.LS'!AW:AW,'A0.LS'!B:B,'A2.PL'!B20),0)</f>
        <v>0</v>
      </c>
      <c r="R20" s="515">
        <f t="shared" ref="R20" si="12">ROUND(SUM(P20:Q20),0)</f>
        <v>-26319606208</v>
      </c>
      <c r="S20" s="298"/>
      <c r="T20" s="443">
        <f>-ROUND(SUMIFS('A0.LS'!BP:BP,'A0.LS'!B:B,'A2.PL'!B20),0)</f>
        <v>-1993849599</v>
      </c>
      <c r="U20" s="443">
        <f>-ROUND(SUMIFS('A0.LS'!BQ:BQ,'A0.LS'!B:B,'A2.PL'!B20),0)</f>
        <v>4</v>
      </c>
      <c r="V20" s="518">
        <f>-1993849599</f>
        <v>-1993849599</v>
      </c>
      <c r="X20" s="19" t="s">
        <v>681</v>
      </c>
    </row>
    <row r="21" spans="2:26" s="1" customFormat="1">
      <c r="B21" s="502">
        <v>40</v>
      </c>
      <c r="C21" s="503" t="s">
        <v>1985</v>
      </c>
      <c r="D21" s="506">
        <f>SUM(D19:D20)</f>
        <v>-24461894433</v>
      </c>
      <c r="E21" s="506">
        <f t="shared" ref="E21" si="13">SUM(E19:E20)</f>
        <v>0</v>
      </c>
      <c r="F21" s="506">
        <f>SUM(F19:F20)</f>
        <v>-1806445698</v>
      </c>
      <c r="G21" s="526">
        <f>SUM(G19:G20)</f>
        <v>-26268340131</v>
      </c>
      <c r="H21" s="298"/>
      <c r="I21" s="507">
        <f t="shared" ref="I21:L21" si="14">SUM(I19:I20)</f>
        <v>-85217568280</v>
      </c>
      <c r="J21" s="507">
        <f t="shared" si="14"/>
        <v>0</v>
      </c>
      <c r="K21" s="507">
        <f t="shared" si="14"/>
        <v>83238697401</v>
      </c>
      <c r="L21" s="533">
        <f t="shared" si="14"/>
        <v>-1978870879</v>
      </c>
      <c r="N21" s="19" t="s">
        <v>681</v>
      </c>
      <c r="P21" s="511">
        <f t="shared" ref="P21:Q21" si="15">SUM(P19:P20)</f>
        <v>-26283032264</v>
      </c>
      <c r="Q21" s="511">
        <f t="shared" si="15"/>
        <v>0</v>
      </c>
      <c r="R21" s="516">
        <f>SUM(R19:R20)</f>
        <v>-26283032264</v>
      </c>
      <c r="S21" s="298"/>
      <c r="T21" s="514">
        <f t="shared" ref="T21:U21" si="16">SUM(T19:T20)</f>
        <v>-1978860631</v>
      </c>
      <c r="U21" s="514">
        <f t="shared" si="16"/>
        <v>4</v>
      </c>
      <c r="V21" s="519">
        <f>SUM(V19:V20)</f>
        <v>-1978860631</v>
      </c>
      <c r="X21" s="19" t="s">
        <v>681</v>
      </c>
    </row>
    <row r="22" spans="2:26" s="1" customFormat="1">
      <c r="B22" s="321"/>
      <c r="C22" s="304"/>
      <c r="D22" s="499"/>
      <c r="E22" s="499"/>
      <c r="F22" s="499"/>
      <c r="G22" s="527"/>
      <c r="H22" s="298"/>
      <c r="I22" s="501"/>
      <c r="J22" s="501"/>
      <c r="K22" s="501"/>
      <c r="L22" s="534"/>
      <c r="N22" s="19"/>
      <c r="P22" s="510"/>
      <c r="Q22" s="510"/>
      <c r="R22" s="515"/>
      <c r="S22" s="298"/>
      <c r="T22" s="443"/>
      <c r="U22" s="443"/>
      <c r="V22" s="520"/>
    </row>
    <row r="23" spans="2:26" s="1" customFormat="1">
      <c r="B23" s="502">
        <v>50</v>
      </c>
      <c r="C23" s="503" t="s">
        <v>1986</v>
      </c>
      <c r="D23" s="504">
        <f t="shared" ref="D23:E23" si="17">SUM(D17,D21)</f>
        <v>22012038932</v>
      </c>
      <c r="E23" s="504">
        <f t="shared" si="17"/>
        <v>30436257</v>
      </c>
      <c r="F23" s="504">
        <f>SUM(F17,F21)</f>
        <v>-20236173072</v>
      </c>
      <c r="G23" s="525">
        <f>SUM(G17,G21)</f>
        <v>1806302117</v>
      </c>
      <c r="H23" s="298"/>
      <c r="I23" s="505">
        <f>SUM(I17,I21)</f>
        <v>-358872870726</v>
      </c>
      <c r="J23" s="505">
        <f t="shared" ref="J23:K23" si="18">SUM(J17,J21)</f>
        <v>-1149996666</v>
      </c>
      <c r="K23" s="505">
        <f t="shared" si="18"/>
        <v>302896693289</v>
      </c>
      <c r="L23" s="532">
        <f>SUM(L17,L21)</f>
        <v>-57126174103</v>
      </c>
      <c r="N23" s="19" t="s">
        <v>681</v>
      </c>
      <c r="P23" s="511">
        <f t="shared" ref="P23:Q23" si="19">SUM(P17,P21)</f>
        <v>-31153466773</v>
      </c>
      <c r="Q23" s="511">
        <f t="shared" si="19"/>
        <v>31005852249</v>
      </c>
      <c r="R23" s="516">
        <f>SUM(R17,R21)</f>
        <v>-147614524</v>
      </c>
      <c r="S23" s="298"/>
      <c r="T23" s="514">
        <f t="shared" ref="T23:V23" si="20">SUM(T17,T21)</f>
        <v>-71616073327</v>
      </c>
      <c r="U23" s="514">
        <f t="shared" si="20"/>
        <v>30286142301</v>
      </c>
      <c r="V23" s="519">
        <f t="shared" si="20"/>
        <v>-42033188331</v>
      </c>
      <c r="X23" s="19" t="s">
        <v>681</v>
      </c>
    </row>
    <row r="24" spans="2:26" s="1" customFormat="1">
      <c r="B24" s="321"/>
      <c r="C24" s="304"/>
      <c r="D24" s="512"/>
      <c r="E24" s="512"/>
      <c r="F24" s="512"/>
      <c r="G24" s="528"/>
      <c r="H24" s="298"/>
      <c r="I24" s="513"/>
      <c r="J24" s="513"/>
      <c r="K24" s="513"/>
      <c r="L24" s="535"/>
      <c r="N24" s="19"/>
      <c r="P24" s="510"/>
      <c r="Q24" s="510"/>
      <c r="R24" s="515"/>
      <c r="S24" s="298"/>
      <c r="T24" s="443"/>
      <c r="U24" s="443"/>
      <c r="V24" s="520"/>
    </row>
    <row r="25" spans="2:26" s="1" customFormat="1">
      <c r="B25" s="321">
        <v>51</v>
      </c>
      <c r="C25" s="304" t="s">
        <v>1987</v>
      </c>
      <c r="D25" s="499">
        <f>-ROUND(SUMIFS('A0.LS'!I:I,'A0.LS'!B:B,'A2.PL'!B25),0)</f>
        <v>0</v>
      </c>
      <c r="E25" s="499">
        <f>-ROUND(SUMIFS('A0.LS'!J:J,'A0.LS'!B:B,'A2.PL'!B25),0)</f>
        <v>0</v>
      </c>
      <c r="F25" s="499">
        <f>-ROUND(SUMIFS('A0.LS'!K:K,'A0.LS'!B:B,'A2.PL'!B25),0)</f>
        <v>0</v>
      </c>
      <c r="G25" s="524">
        <f t="shared" ref="G25:G26" si="21">ROUND(SUM(D25:F25),0)</f>
        <v>0</v>
      </c>
      <c r="H25" s="298"/>
      <c r="I25" s="501">
        <f>-ROUND(SUMIFS('A0.LS'!N:N,'A0.LS'!B:B,'A2.PL'!B25),0)</f>
        <v>0</v>
      </c>
      <c r="J25" s="501">
        <f>-ROUND(SUMIFS('A0.LS'!O:O,'A0.LS'!B:B,'A2.PL'!B25),0)</f>
        <v>0</v>
      </c>
      <c r="K25" s="501">
        <f>-ROUND(SUMIFS('A0.LS'!P:P,'A0.LS'!B:B,'A2.PL'!B25),0)</f>
        <v>0</v>
      </c>
      <c r="L25" s="531">
        <f t="shared" ref="L25:L26" si="22">ROUND(SUM(I25:K25),0)</f>
        <v>0</v>
      </c>
      <c r="N25" s="19" t="s">
        <v>681</v>
      </c>
      <c r="P25" s="510">
        <f>-ROUND(SUMIFS('A0.LS'!AV:AV,'A0.LS'!B:B,'A2.PL'!B25),0)</f>
        <v>0</v>
      </c>
      <c r="Q25" s="510">
        <f>-ROUND(SUMIFS('A0.LS'!AW:AW,'A0.LS'!B:B,'A2.PL'!B25),0)</f>
        <v>0</v>
      </c>
      <c r="R25" s="515">
        <f t="shared" ref="R25:R26" si="23">ROUND(SUM(P25:Q25),0)</f>
        <v>0</v>
      </c>
      <c r="S25" s="298"/>
      <c r="T25" s="443">
        <f>-ROUND(SUMIFS('A0.LS'!BP:BP,'A0.LS'!B:B,'A2.PL'!B25),0)</f>
        <v>0</v>
      </c>
      <c r="U25" s="443">
        <f>-ROUND(SUMIFS('A0.LS'!BQ:BQ,'A0.LS'!B:B,'A2.PL'!B25),0)</f>
        <v>0</v>
      </c>
      <c r="V25" s="518">
        <f t="shared" ref="V25" si="24">ROUND(SUM(T25:U25),0)</f>
        <v>0</v>
      </c>
      <c r="X25" s="19" t="s">
        <v>681</v>
      </c>
    </row>
    <row r="26" spans="2:26" s="1" customFormat="1">
      <c r="B26" s="321">
        <v>52</v>
      </c>
      <c r="C26" s="304" t="s">
        <v>1988</v>
      </c>
      <c r="D26" s="499">
        <f>-ROUND(SUMIFS('A0.LS'!I:I,'A0.LS'!B:B,'A2.PL'!B26),0)</f>
        <v>0</v>
      </c>
      <c r="E26" s="499">
        <f>-ROUND(SUMIFS('A1.BS'!E:E,'A1.BS'!B:B,'A2.PL'!B26),0)</f>
        <v>0</v>
      </c>
      <c r="F26" s="499">
        <f>-ROUND(SUMIFS('A1.BS'!F:F,'A1.BS'!B:B,'A2.PL'!B26),0)</f>
        <v>0</v>
      </c>
      <c r="G26" s="524">
        <f t="shared" si="21"/>
        <v>0</v>
      </c>
      <c r="H26" s="298"/>
      <c r="I26" s="501">
        <f>-ROUND(SUMIFS('A0.LS'!N:N,'A0.LS'!B:B,'A2.PL'!B26),0)</f>
        <v>0</v>
      </c>
      <c r="J26" s="501">
        <f>-ROUND(SUMIFS('A0.LS'!O:O,'A0.LS'!B:B,'A2.PL'!B26),0)</f>
        <v>0</v>
      </c>
      <c r="K26" s="501">
        <f>-ROUND(SUMIFS('A0.LS'!P:P,'A0.LS'!B:B,'A2.PL'!B26),0)</f>
        <v>0</v>
      </c>
      <c r="L26" s="531">
        <f t="shared" si="22"/>
        <v>0</v>
      </c>
      <c r="N26" s="19"/>
      <c r="P26" s="510">
        <f>-ROUND(SUMIFS('A0.LS'!AV:AV,'A0.LS'!B:B,'A2.PL'!B26),0)</f>
        <v>56773985</v>
      </c>
      <c r="Q26" s="510">
        <f>-ROUND(SUMIFS('A0.LS'!AW:AW,'A0.LS'!B:B,'A2.PL'!B26),0)</f>
        <v>0</v>
      </c>
      <c r="R26" s="515">
        <f t="shared" si="23"/>
        <v>56773985</v>
      </c>
      <c r="S26" s="298"/>
      <c r="T26" s="443">
        <f>-ROUND(SUMIFS('A0.LS'!BP:BP,'A0.LS'!B:B,'A2.PL'!B26),0)</f>
        <v>0</v>
      </c>
      <c r="U26" s="443">
        <f>-ROUND(SUMIFS('A0.LS'!BQ:BQ,'A0.LS'!B:B,'A2.PL'!B26),0)</f>
        <v>0</v>
      </c>
      <c r="V26" s="518">
        <v>0</v>
      </c>
    </row>
    <row r="27" spans="2:26" s="1" customFormat="1">
      <c r="B27" s="321"/>
      <c r="C27" s="304"/>
      <c r="D27" s="512"/>
      <c r="E27" s="512"/>
      <c r="F27" s="512"/>
      <c r="G27" s="528"/>
      <c r="H27" s="298"/>
      <c r="I27" s="513"/>
      <c r="J27" s="513"/>
      <c r="K27" s="513"/>
      <c r="L27" s="535"/>
      <c r="N27" s="19"/>
      <c r="P27" s="510"/>
      <c r="Q27" s="510"/>
      <c r="R27" s="515"/>
      <c r="S27" s="298"/>
      <c r="T27" s="443"/>
      <c r="U27" s="443"/>
      <c r="V27" s="520"/>
    </row>
    <row r="28" spans="2:26" s="1" customFormat="1">
      <c r="B28" s="502">
        <v>60</v>
      </c>
      <c r="C28" s="503" t="s">
        <v>1989</v>
      </c>
      <c r="D28" s="504">
        <f t="shared" ref="D28:G28" si="25">SUM(D23:D26)</f>
        <v>22012038932</v>
      </c>
      <c r="E28" s="504">
        <f t="shared" si="25"/>
        <v>30436257</v>
      </c>
      <c r="F28" s="504">
        <f t="shared" si="25"/>
        <v>-20236173072</v>
      </c>
      <c r="G28" s="525">
        <f t="shared" si="25"/>
        <v>1806302117</v>
      </c>
      <c r="H28" s="298"/>
      <c r="I28" s="505">
        <f>SUM(I23:I26)</f>
        <v>-358872870726</v>
      </c>
      <c r="J28" s="505">
        <f t="shared" ref="J28:L28" si="26">SUM(J23:J26)</f>
        <v>-1149996666</v>
      </c>
      <c r="K28" s="505">
        <f t="shared" si="26"/>
        <v>302896693289</v>
      </c>
      <c r="L28" s="532">
        <f t="shared" si="26"/>
        <v>-57126174103</v>
      </c>
      <c r="N28" s="19" t="s">
        <v>681</v>
      </c>
      <c r="P28" s="511">
        <f t="shared" ref="P28:R28" si="27">SUM(P23:P26)</f>
        <v>-31096692788</v>
      </c>
      <c r="Q28" s="511">
        <f t="shared" si="27"/>
        <v>31005852249</v>
      </c>
      <c r="R28" s="516">
        <f t="shared" si="27"/>
        <v>-90840539</v>
      </c>
      <c r="S28" s="298"/>
      <c r="T28" s="514">
        <f t="shared" ref="T28:V28" si="28">SUM(T23:T26)</f>
        <v>-71616073327</v>
      </c>
      <c r="U28" s="514">
        <f t="shared" si="28"/>
        <v>30286142301</v>
      </c>
      <c r="V28" s="519">
        <f t="shared" si="28"/>
        <v>-42033188331</v>
      </c>
      <c r="X28" s="19" t="s">
        <v>681</v>
      </c>
    </row>
    <row r="29" spans="2:26" s="1" customFormat="1">
      <c r="B29" s="321"/>
      <c r="C29" s="304"/>
      <c r="D29" s="512"/>
      <c r="E29" s="512"/>
      <c r="F29" s="512"/>
      <c r="G29" s="528"/>
      <c r="H29" s="298"/>
      <c r="I29" s="513"/>
      <c r="J29" s="513"/>
      <c r="K29" s="513"/>
      <c r="L29" s="535"/>
      <c r="N29" s="19"/>
      <c r="P29" s="510"/>
      <c r="Q29" s="510"/>
      <c r="R29" s="515"/>
      <c r="S29" s="298"/>
      <c r="T29" s="442"/>
      <c r="U29" s="442"/>
      <c r="V29" s="521"/>
    </row>
    <row r="30" spans="2:26" s="1" customFormat="1">
      <c r="B30" s="321">
        <v>61</v>
      </c>
      <c r="C30" s="304" t="s">
        <v>1990</v>
      </c>
      <c r="D30" s="499">
        <f>-ROUND(SUMIFS('A0.LS'!I:I,'A0.LS'!B:B,'A2.PL'!B30),0)</f>
        <v>0</v>
      </c>
      <c r="E30" s="499">
        <f>-ROUND(SUMIFS('A1.BS'!E:E,'A1.BS'!B:B,'A2.PL'!B30),0)</f>
        <v>0</v>
      </c>
      <c r="F30" s="499">
        <f>-ROUND(SUMIFS('A1.BS'!F:F,'A1.BS'!B:B,'A2.PL'!B30),0)</f>
        <v>0</v>
      </c>
      <c r="G30" s="524">
        <f>ROUND(SUM(D30:F30),0)</f>
        <v>0</v>
      </c>
      <c r="H30" s="298"/>
      <c r="I30" s="501">
        <f>-ROUND(SUMIFS('A0.LS'!N:N,'A0.LS'!B:B,'A2.PL'!B30),0)</f>
        <v>0</v>
      </c>
      <c r="J30" s="501">
        <f>-ROUND(SUMIFS('A0.LS'!O:O,'A0.LS'!B:B,'A2.PL'!B30),0)</f>
        <v>0</v>
      </c>
      <c r="K30" s="501">
        <f>-ROUND(SUMIFS('A0.LS'!P:P,'A0.LS'!B:B,'A2.PL'!B30),0)</f>
        <v>0</v>
      </c>
      <c r="L30" s="531">
        <f t="shared" ref="L30" si="29">ROUND(SUM(I30:K30),0)</f>
        <v>0</v>
      </c>
      <c r="P30" s="510">
        <f>P28-P32</f>
        <v>-31042536489</v>
      </c>
      <c r="Q30" s="510">
        <f>Q28-Q32</f>
        <v>31006871277</v>
      </c>
      <c r="R30" s="515">
        <f>ROUND(SUM(P30:Q30),0)</f>
        <v>-35665212</v>
      </c>
      <c r="S30" s="298"/>
      <c r="T30" s="443">
        <f t="shared" ref="T30:U30" si="30">T28-T32</f>
        <v>-71616073327</v>
      </c>
      <c r="U30" s="443">
        <f t="shared" si="30"/>
        <v>30286142301</v>
      </c>
      <c r="V30" s="518">
        <f>V28-V32</f>
        <v>-42054697835</v>
      </c>
      <c r="X30" s="19" t="s">
        <v>681</v>
      </c>
      <c r="Z30" s="234"/>
    </row>
    <row r="31" spans="2:26" s="1" customFormat="1">
      <c r="B31" s="321"/>
      <c r="C31" s="304"/>
      <c r="D31" s="512"/>
      <c r="E31" s="512"/>
      <c r="F31" s="512"/>
      <c r="G31" s="528"/>
      <c r="H31" s="298"/>
      <c r="I31" s="513"/>
      <c r="J31" s="513"/>
      <c r="K31" s="513"/>
      <c r="L31" s="535"/>
      <c r="P31" s="510"/>
      <c r="Q31" s="510"/>
      <c r="R31" s="515"/>
      <c r="S31" s="298"/>
      <c r="T31" s="442"/>
      <c r="U31" s="442"/>
      <c r="V31" s="521"/>
    </row>
    <row r="32" spans="2:26" s="1" customFormat="1">
      <c r="B32" s="321">
        <v>62</v>
      </c>
      <c r="C32" s="304" t="s">
        <v>1991</v>
      </c>
      <c r="D32" s="499">
        <f>-ROUND(SUMIFS('A0.LS'!I:I,'A0.LS'!B:B,'A2.PL'!B32),0)</f>
        <v>0</v>
      </c>
      <c r="E32" s="499">
        <f>-ROUND(SUMIFS('A1.BS'!E:E,'A1.BS'!B:B,'A2.PL'!B32),0)</f>
        <v>0</v>
      </c>
      <c r="F32" s="499">
        <f>-ROUND(SUMIFS('A1.BS'!F:F,'A1.BS'!B:B,'A2.PL'!B32),0)</f>
        <v>0</v>
      </c>
      <c r="G32" s="524">
        <f t="shared" ref="G32" si="31">ROUND(SUM(D32:F32),0)</f>
        <v>0</v>
      </c>
      <c r="H32" s="298"/>
      <c r="I32" s="501">
        <f>-ROUND(SUMIFS('A0.LS'!N:N,'A0.LS'!B:B,'A2.PL'!B32),0)</f>
        <v>0</v>
      </c>
      <c r="J32" s="501">
        <f>-ROUND(SUMIFS('A0.LS'!O:O,'A0.LS'!B:B,'A2.PL'!B32),0)</f>
        <v>0</v>
      </c>
      <c r="K32" s="501">
        <f>-ROUND(SUMIFS('A0.LS'!P:P,'A0.LS'!B:B,'A2.PL'!B32),0)</f>
        <v>0</v>
      </c>
      <c r="L32" s="531">
        <f t="shared" ref="L32" si="32">ROUND(SUM(I32:K32),0)</f>
        <v>0</v>
      </c>
      <c r="P32" s="510">
        <f>ROUND(SUMIFS('A0.LS'!AV:AV,'A0.LS'!B:B,'A2.PL'!B32),0)</f>
        <v>-54156299</v>
      </c>
      <c r="Q32" s="510">
        <f>ROUND(SUMIFS('A0.LS'!AW:AW,'A0.LS'!B:B,'A2.PL'!B32),0)</f>
        <v>-1019028</v>
      </c>
      <c r="R32" s="515">
        <f>ROUND(SUM(P32:Q32),0)</f>
        <v>-55175327</v>
      </c>
      <c r="S32" s="298"/>
      <c r="T32" s="443">
        <f>ROUND(SUMIFS('A0.LS'!BP:BP,'A0.LS'!B:B,'A2.PL'!B32),0)</f>
        <v>0</v>
      </c>
      <c r="U32" s="443">
        <f>ROUND(SUMIFS('A0.LS'!BQ:BQ,'A0.LS'!B:B,'A2.PL'!B32),0)</f>
        <v>0</v>
      </c>
      <c r="V32" s="518">
        <v>21509504</v>
      </c>
      <c r="X32" s="19" t="s">
        <v>681</v>
      </c>
    </row>
    <row r="33" spans="2:24" s="1" customFormat="1">
      <c r="B33" s="321"/>
      <c r="C33" s="304"/>
      <c r="D33" s="512"/>
      <c r="E33" s="512"/>
      <c r="F33" s="512"/>
      <c r="G33" s="528"/>
      <c r="H33" s="298"/>
      <c r="I33" s="513"/>
      <c r="J33" s="513"/>
      <c r="K33" s="513"/>
      <c r="L33" s="535"/>
      <c r="P33" s="510"/>
      <c r="Q33" s="510"/>
      <c r="R33" s="515"/>
      <c r="S33" s="298"/>
      <c r="T33" s="442"/>
      <c r="U33" s="442"/>
      <c r="V33" s="521"/>
    </row>
    <row r="34" spans="2:24" s="1" customFormat="1" ht="13.5" thickBot="1">
      <c r="B34" s="502">
        <v>70</v>
      </c>
      <c r="C34" s="503" t="s">
        <v>1992</v>
      </c>
      <c r="D34" s="504"/>
      <c r="E34" s="504"/>
      <c r="F34" s="504"/>
      <c r="G34" s="529">
        <v>0</v>
      </c>
      <c r="H34" s="298"/>
      <c r="I34" s="505"/>
      <c r="J34" s="505"/>
      <c r="K34" s="505"/>
      <c r="L34" s="536">
        <v>0</v>
      </c>
      <c r="P34" s="511"/>
      <c r="Q34" s="511"/>
      <c r="R34" s="517">
        <f>'A4.N2FS Consol'!F787</f>
        <v>-3</v>
      </c>
      <c r="S34" s="298"/>
      <c r="T34" s="509"/>
      <c r="U34" s="509"/>
      <c r="V34" s="600">
        <f>-3126</f>
        <v>-3126</v>
      </c>
      <c r="X34" s="19" t="s">
        <v>681</v>
      </c>
    </row>
    <row r="36" spans="2:24">
      <c r="B36" s="850"/>
      <c r="C36" s="1" t="s">
        <v>1970</v>
      </c>
      <c r="D36" s="857">
        <f>D28+'A0.LS'!I358</f>
        <v>0</v>
      </c>
      <c r="E36" s="857">
        <f>E28+'A0.LS'!J358</f>
        <v>0</v>
      </c>
      <c r="F36" s="857">
        <f>F28+'A0.LS'!K358</f>
        <v>0</v>
      </c>
      <c r="G36" s="857">
        <f>G28+'A0.LS'!L358</f>
        <v>0</v>
      </c>
      <c r="H36" s="850"/>
      <c r="I36" s="857">
        <f>I28+'A0.LS'!N358</f>
        <v>0</v>
      </c>
      <c r="J36" s="857">
        <f>J28+'A0.LS'!O358</f>
        <v>0</v>
      </c>
      <c r="K36" s="857">
        <f>K28+'A0.LS'!P358</f>
        <v>0</v>
      </c>
      <c r="L36" s="857">
        <f>L28+'A0.LS'!Q358</f>
        <v>0</v>
      </c>
      <c r="M36" s="850"/>
      <c r="N36" s="850"/>
      <c r="O36" s="850"/>
      <c r="P36" s="857">
        <f>P28+'A0.LS'!AV358-P32</f>
        <v>0</v>
      </c>
      <c r="Q36" s="857">
        <f>Q28+'A0.LS'!AW358-Q32</f>
        <v>0</v>
      </c>
      <c r="R36" s="857">
        <f>R28+'A0.LS'!AX358-R32</f>
        <v>0</v>
      </c>
      <c r="S36" s="850"/>
      <c r="T36" s="857">
        <f>T30+'A0.LS'!BP358</f>
        <v>0</v>
      </c>
      <c r="U36" s="857">
        <f>U30+'A0.LS'!BQ358</f>
        <v>0</v>
      </c>
      <c r="V36" s="857"/>
      <c r="W36" s="850"/>
      <c r="X36" s="850"/>
    </row>
    <row r="37" spans="2:24">
      <c r="B37" s="850"/>
      <c r="C37" s="850"/>
      <c r="D37" s="850"/>
      <c r="E37" s="850"/>
      <c r="F37" s="850"/>
      <c r="G37" s="857"/>
      <c r="H37" s="850"/>
      <c r="I37" s="850"/>
      <c r="J37" s="850"/>
      <c r="K37" s="850"/>
      <c r="L37" s="850"/>
      <c r="M37" s="850"/>
      <c r="N37" s="850"/>
      <c r="O37" s="850"/>
      <c r="P37" s="850"/>
      <c r="Q37" s="850"/>
      <c r="R37" s="850"/>
      <c r="S37" s="850"/>
      <c r="T37" s="850"/>
      <c r="U37" s="850"/>
      <c r="V37" s="850"/>
      <c r="W37" s="850"/>
      <c r="X37" s="850"/>
    </row>
    <row r="38" spans="2:24">
      <c r="B38" s="850"/>
      <c r="C38" s="850"/>
      <c r="D38" s="850"/>
      <c r="E38" s="850"/>
      <c r="F38" s="850"/>
      <c r="G38" s="857"/>
      <c r="H38" s="850"/>
      <c r="I38" s="850"/>
      <c r="J38" s="850"/>
      <c r="K38" s="850"/>
      <c r="L38" s="850"/>
      <c r="M38" s="850"/>
      <c r="N38" s="850"/>
      <c r="O38" s="850"/>
      <c r="P38" s="850"/>
      <c r="Q38" s="850"/>
      <c r="R38" s="857"/>
      <c r="S38" s="850"/>
      <c r="T38" s="850"/>
      <c r="U38" s="850"/>
      <c r="V38" s="850"/>
      <c r="W38" s="850"/>
      <c r="X38" s="850"/>
    </row>
    <row r="39" spans="2:24">
      <c r="B39" s="850"/>
      <c r="C39" s="850" t="s">
        <v>1993</v>
      </c>
      <c r="D39" s="850"/>
      <c r="E39" s="850"/>
      <c r="F39" s="850"/>
      <c r="G39" s="857"/>
      <c r="H39" s="850"/>
      <c r="I39" s="850"/>
      <c r="J39" s="850"/>
      <c r="K39" s="850"/>
      <c r="L39" s="850"/>
      <c r="M39" s="850"/>
      <c r="N39" s="850"/>
      <c r="O39" s="850"/>
      <c r="P39" s="850"/>
      <c r="Q39" s="850"/>
      <c r="R39" s="850"/>
      <c r="S39" s="850"/>
      <c r="T39" s="850"/>
      <c r="U39" s="850"/>
      <c r="V39" s="850"/>
      <c r="W39" s="850"/>
      <c r="X39" s="850"/>
    </row>
    <row r="40" spans="2:24">
      <c r="B40" s="850"/>
      <c r="C40" s="850" t="s">
        <v>1994</v>
      </c>
      <c r="D40" s="857">
        <f>D28+D25+D14</f>
        <v>21910889068</v>
      </c>
      <c r="E40" s="850"/>
      <c r="F40" s="850"/>
      <c r="G40" s="857"/>
      <c r="H40" s="850"/>
      <c r="I40" s="850"/>
      <c r="J40" s="850"/>
      <c r="K40" s="850"/>
      <c r="L40" s="850"/>
      <c r="M40" s="850"/>
      <c r="N40" s="850"/>
      <c r="O40" s="850"/>
      <c r="P40" s="850"/>
      <c r="Q40" s="850"/>
      <c r="R40" s="850"/>
      <c r="S40" s="850"/>
      <c r="T40" s="850"/>
      <c r="U40" s="850"/>
      <c r="V40" s="850"/>
      <c r="W40" s="850"/>
      <c r="X40" s="850"/>
    </row>
    <row r="41" spans="2:24">
      <c r="B41" s="850"/>
      <c r="C41" s="850" t="s">
        <v>1995</v>
      </c>
      <c r="D41" s="857">
        <f>D40+'A4.N2FS Singles'!F604</f>
        <v>25893463744</v>
      </c>
      <c r="E41" s="850"/>
      <c r="F41" s="850"/>
      <c r="G41" s="857"/>
      <c r="H41" s="850"/>
      <c r="I41" s="850"/>
      <c r="J41" s="850"/>
      <c r="K41" s="850"/>
      <c r="L41" s="850"/>
      <c r="M41" s="850"/>
      <c r="N41" s="850"/>
      <c r="O41" s="850"/>
      <c r="P41" s="850"/>
      <c r="Q41" s="850"/>
      <c r="R41" s="850"/>
      <c r="S41" s="850"/>
      <c r="T41" s="850"/>
      <c r="U41" s="850"/>
      <c r="V41" s="850"/>
      <c r="W41" s="850"/>
      <c r="X41" s="850"/>
    </row>
    <row r="43" spans="2:24">
      <c r="B43" s="850"/>
      <c r="C43" s="850" t="s">
        <v>1996</v>
      </c>
      <c r="D43" s="857">
        <f>SUM(D6,D12)</f>
        <v>195602594396</v>
      </c>
      <c r="E43" s="850"/>
      <c r="F43" s="850"/>
      <c r="G43" s="850"/>
      <c r="H43" s="850"/>
      <c r="I43" s="850"/>
      <c r="J43" s="850"/>
      <c r="K43" s="850"/>
      <c r="L43" s="850"/>
      <c r="M43" s="850"/>
      <c r="N43" s="850"/>
      <c r="O43" s="850"/>
      <c r="P43" s="850"/>
      <c r="Q43" s="850"/>
      <c r="R43" s="850"/>
      <c r="S43" s="850"/>
      <c r="T43" s="850"/>
      <c r="U43" s="850"/>
      <c r="V43" s="850"/>
      <c r="W43" s="850"/>
      <c r="X43" s="850"/>
    </row>
  </sheetData>
  <autoFilter ref="B5:X34" xr:uid="{9610422A-9CDE-4630-B8AB-EC781E9DB653}"/>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F3829-033A-4598-908D-39EA51F8B0CC}">
  <sheetPr codeName="Sheet15">
    <tabColor rgb="FF7030A0"/>
  </sheetPr>
  <dimension ref="A1:BH87"/>
  <sheetViews>
    <sheetView tabSelected="1" zoomScale="85" zoomScaleNormal="85" workbookViewId="0">
      <pane xSplit="6" ySplit="7" topLeftCell="AB8" activePane="bottomRight" state="frozen"/>
      <selection pane="topRight" activeCell="G1" sqref="G1"/>
      <selection pane="bottomLeft" activeCell="A9" sqref="A9"/>
      <selection pane="bottomRight" activeCell="AB6" sqref="AB6"/>
    </sheetView>
  </sheetViews>
  <sheetFormatPr defaultColWidth="9.140625" defaultRowHeight="12.75"/>
  <cols>
    <col min="1" max="1" width="9.140625" style="2"/>
    <col min="2" max="2" width="11.42578125" style="2" bestFit="1" customWidth="1"/>
    <col min="3" max="3" width="9.140625" style="2"/>
    <col min="4" max="4" width="53.140625" style="2" customWidth="1"/>
    <col min="5" max="5" width="34.5703125" style="2" customWidth="1"/>
    <col min="6" max="6" width="13.5703125" style="2" customWidth="1"/>
    <col min="7" max="36" width="23.85546875" style="2" customWidth="1"/>
    <col min="37" max="16384" width="9.140625" style="2"/>
  </cols>
  <sheetData>
    <row r="1" spans="1:60">
      <c r="A1" s="1" t="s">
        <v>0</v>
      </c>
      <c r="B1" s="850" t="s">
        <v>1</v>
      </c>
      <c r="C1" s="850"/>
      <c r="D1" s="850"/>
      <c r="E1" s="850"/>
      <c r="F1" s="170" t="s">
        <v>1997</v>
      </c>
      <c r="G1" s="541">
        <v>111</v>
      </c>
      <c r="H1" s="541">
        <v>112</v>
      </c>
      <c r="I1" s="541">
        <v>121</v>
      </c>
      <c r="J1" s="541">
        <v>122</v>
      </c>
      <c r="K1" s="541">
        <v>123</v>
      </c>
      <c r="L1" s="541">
        <v>131</v>
      </c>
      <c r="M1" s="541">
        <v>132</v>
      </c>
      <c r="N1" s="541">
        <v>136</v>
      </c>
      <c r="O1" s="541">
        <v>141</v>
      </c>
      <c r="P1" s="541">
        <v>151</v>
      </c>
      <c r="Q1" s="541">
        <v>152</v>
      </c>
      <c r="R1" s="541">
        <v>222</v>
      </c>
      <c r="S1" s="541">
        <v>223</v>
      </c>
      <c r="T1" s="541">
        <v>228</v>
      </c>
      <c r="U1" s="541">
        <v>229</v>
      </c>
      <c r="V1" s="541">
        <v>242</v>
      </c>
      <c r="W1" s="541">
        <v>261</v>
      </c>
      <c r="X1" s="541">
        <v>268</v>
      </c>
      <c r="Y1" s="541">
        <v>269</v>
      </c>
      <c r="Z1" s="541">
        <v>311</v>
      </c>
      <c r="AA1" s="541">
        <v>313</v>
      </c>
      <c r="AB1" s="541">
        <v>314</v>
      </c>
      <c r="AC1" s="541">
        <v>315</v>
      </c>
      <c r="AD1" s="541">
        <v>319</v>
      </c>
      <c r="AE1" s="541">
        <v>320</v>
      </c>
      <c r="AF1" s="541">
        <v>411</v>
      </c>
      <c r="AG1" s="541">
        <v>412</v>
      </c>
      <c r="AH1" s="542" t="s">
        <v>1960</v>
      </c>
      <c r="AI1" s="542" t="s">
        <v>1962</v>
      </c>
      <c r="AJ1" s="541">
        <v>429</v>
      </c>
      <c r="AK1" s="1176" t="s">
        <v>681</v>
      </c>
      <c r="AL1" s="909"/>
      <c r="AM1" s="909"/>
      <c r="AN1" s="909"/>
      <c r="AO1" s="909"/>
      <c r="AP1" s="909"/>
      <c r="AQ1" s="909"/>
      <c r="AR1" s="909"/>
      <c r="AS1" s="909"/>
      <c r="AT1" s="909"/>
      <c r="AU1" s="909"/>
      <c r="AV1" s="909"/>
      <c r="AW1" s="909"/>
      <c r="AX1" s="909"/>
      <c r="AY1" s="909"/>
      <c r="AZ1" s="909"/>
      <c r="BA1" s="909"/>
      <c r="BB1" s="909"/>
      <c r="BC1" s="909"/>
      <c r="BD1" s="909"/>
      <c r="BE1" s="909"/>
      <c r="BF1" s="909"/>
      <c r="BG1" s="909"/>
      <c r="BH1" s="909"/>
    </row>
    <row r="2" spans="1:60" ht="51">
      <c r="A2" s="1" t="s">
        <v>2</v>
      </c>
      <c r="B2" s="852">
        <v>45657</v>
      </c>
      <c r="C2" s="850"/>
      <c r="D2" s="850"/>
      <c r="E2" s="850"/>
      <c r="F2" s="170" t="s">
        <v>775</v>
      </c>
      <c r="G2" s="543" t="str">
        <f>_xlfn.XLOOKUP(G$1,'A1.BS'!$B:$B,'A1.BS'!$C:$C)</f>
        <v>1. Tiền</v>
      </c>
      <c r="H2" s="543" t="str">
        <f>_xlfn.XLOOKUP(H$1,'A1.BS'!$B:$B,'A1.BS'!$C:$C)</f>
        <v>2. Các khoản tương đương tiền</v>
      </c>
      <c r="I2" s="543" t="str">
        <f>_xlfn.XLOOKUP(I$1,'A1.BS'!$B:$B,'A1.BS'!$C:$C)</f>
        <v>1. Chứng khoán kinh doanh</v>
      </c>
      <c r="J2" s="543" t="str">
        <f>_xlfn.XLOOKUP(J$1,'A1.BS'!$B:$B,'A1.BS'!$C:$C)</f>
        <v>2. Dự phòng giảm giá chứng khoán kinh doanh</v>
      </c>
      <c r="K2" s="543" t="str">
        <f>_xlfn.XLOOKUP(K$1,'A1.BS'!$B:$B,'A1.BS'!$C:$C)</f>
        <v>3. Đầu tư nắm giữ đến ngày đáo hạn</v>
      </c>
      <c r="L2" s="543" t="str">
        <f>_xlfn.XLOOKUP(L$1,'A1.BS'!$B:$B,'A1.BS'!$C:$C)</f>
        <v>1. Phải thu ngắn hạn của khách hàng</v>
      </c>
      <c r="M2" s="543" t="str">
        <f>_xlfn.XLOOKUP(M$1,'A1.BS'!$B:$B,'A1.BS'!$C:$C)</f>
        <v>2. Trả trước cho người bán ngắn hạn</v>
      </c>
      <c r="N2" s="543" t="str">
        <f>_xlfn.XLOOKUP(N$1,'A1.BS'!$B:$B,'A1.BS'!$C:$C)</f>
        <v>6. Phải thu ngắn hạn khác</v>
      </c>
      <c r="O2" s="543" t="str">
        <f>_xlfn.XLOOKUP(O$1,'A1.BS'!$B:$B,'A1.BS'!$C:$C)</f>
        <v>1. Hàng tồn kho</v>
      </c>
      <c r="P2" s="543" t="str">
        <f>_xlfn.XLOOKUP(P$1,'A1.BS'!$B:$B,'A1.BS'!$C:$C)</f>
        <v>1. Chi phí trả trước ngắn hạn</v>
      </c>
      <c r="Q2" s="543" t="str">
        <f>_xlfn.XLOOKUP(Q$1,'A1.BS'!$B:$B,'A1.BS'!$C:$C)</f>
        <v>2. Thuế GTGT được khấu trừ</v>
      </c>
      <c r="R2" s="543" t="str">
        <f>_xlfn.XLOOKUP(R$1,'A1.BS'!$B:$B,'A1.BS'!$C:$C)</f>
        <v>Nguyên giá</v>
      </c>
      <c r="S2" s="543" t="str">
        <f>_xlfn.XLOOKUP(S$1,'A1.BS'!$B:$B,'A1.BS'!$C:$C)</f>
        <v>Giá trị hao mòn lũy kế (*)</v>
      </c>
      <c r="T2" s="543" t="str">
        <f>_xlfn.XLOOKUP(T$1,'A1.BS'!$B:$B,'A1.BS'!$C:$C)</f>
        <v>Nguyên giá</v>
      </c>
      <c r="U2" s="543" t="str">
        <f>_xlfn.XLOOKUP(U$1,'A1.BS'!$B:$B,'A1.BS'!$C:$C)</f>
        <v>Giá trị hao mòn lũy kế (*)</v>
      </c>
      <c r="V2" s="543" t="str">
        <f>_xlfn.XLOOKUP(V$1,'A1.BS'!$B:$B,'A1.BS'!$C:$C)</f>
        <v>2. Chi phí xây dựng cơ bản dở dang</v>
      </c>
      <c r="W2" s="543" t="str">
        <f>_xlfn.XLOOKUP(W$1,'A1.BS'!$B:$B,'A1.BS'!$C:$C)</f>
        <v>1. Chi phí trả trước dài hạn</v>
      </c>
      <c r="X2" s="543" t="str">
        <f>_xlfn.XLOOKUP(X$1,'A1.BS'!$B:$B,'A1.BS'!$C:$C)</f>
        <v>4. Tài sản dài hạn khác</v>
      </c>
      <c r="Y2" s="543" t="str">
        <f>_xlfn.XLOOKUP(Y$1,'A1.BS'!$B:$B,'A1.BS'!$C:$C)</f>
        <v>5. Lợi thế thương mại</v>
      </c>
      <c r="Z2" s="543" t="str">
        <f>_xlfn.XLOOKUP(Z$1,'A1.BS'!$B:$B,'A1.BS'!$C:$C)</f>
        <v>1. Phải trả người bán ngắn hạn</v>
      </c>
      <c r="AA2" s="543" t="str">
        <f>_xlfn.XLOOKUP(AA$1,'A1.BS'!$B:$B,'A1.BS'!$C:$C)</f>
        <v>3. Thuế và các khoản phải nộp Nhà nước</v>
      </c>
      <c r="AB2" s="543" t="str">
        <f>_xlfn.XLOOKUP(AB$1,'A1.BS'!$B:$B,'A1.BS'!$C:$C)</f>
        <v>4. Phải trả người lao động</v>
      </c>
      <c r="AC2" s="543" t="str">
        <f>_xlfn.XLOOKUP(AC$1,'A1.BS'!$B:$B,'A1.BS'!$C:$C)</f>
        <v>5. Chi phí phải trả ngắn hạn</v>
      </c>
      <c r="AD2" s="543" t="str">
        <f>_xlfn.XLOOKUP(AD$1,'A1.BS'!$B:$B,'A1.BS'!$C:$C)</f>
        <v>9. Phải trả ngắn hạn khác</v>
      </c>
      <c r="AE2" s="543" t="str">
        <f>_xlfn.XLOOKUP(AE$1,'A1.BS'!$B:$B,'A1.BS'!$C:$C)</f>
        <v>10. Vay và nợ thuê tài chính ngắn hạn</v>
      </c>
      <c r="AF2" s="543" t="str">
        <f>_xlfn.XLOOKUP(AF$1,'A1.BS'!$B:$B,'A1.BS'!$C:$C)</f>
        <v>- Cổ phiếu cổ đông có quyền biểu quyết</v>
      </c>
      <c r="AG2" s="543" t="str">
        <f>_xlfn.XLOOKUP(AG$1,'A1.BS'!$B:$B,'A1.BS'!$C:$C)</f>
        <v>2. Thặng dư vốn cổ phần</v>
      </c>
      <c r="AH2" s="543" t="str">
        <f>_xlfn.XLOOKUP(AH$1,'A1.BS'!$B:$B,'A1.BS'!$C:$C)</f>
        <v>- Lợi nhuận sau thuế chưa phân phối lũy kế/ lỗ lũy kế đến cuối kỳ trước</v>
      </c>
      <c r="AI2" s="543" t="str">
        <f>_xlfn.XLOOKUP(AI$1,'A1.BS'!$B:$B,'A1.BS'!$C:$C)</f>
        <v>- Lợi nhuận sau thuế chưa phân phối/ lỗ kỳ này</v>
      </c>
      <c r="AJ2" s="543" t="str">
        <f>_xlfn.XLOOKUP(AJ$1,'A1.BS'!$B:$B,'A1.BS'!$C:$C)</f>
        <v>13.  Lợi ích cổ đông không kiểm soát</v>
      </c>
      <c r="AK2" s="1176" t="s">
        <v>681</v>
      </c>
      <c r="AL2" s="909"/>
      <c r="AM2" s="909"/>
      <c r="AN2" s="909"/>
      <c r="AO2" s="909"/>
      <c r="AP2" s="909"/>
      <c r="AQ2" s="909"/>
      <c r="AR2" s="909"/>
      <c r="AS2" s="909"/>
      <c r="AT2" s="909"/>
      <c r="AU2" s="909"/>
      <c r="AV2" s="909"/>
      <c r="AW2" s="909"/>
      <c r="AX2" s="909"/>
      <c r="AY2" s="909"/>
      <c r="AZ2" s="909"/>
      <c r="BA2" s="909"/>
      <c r="BB2" s="909"/>
      <c r="BC2" s="909"/>
      <c r="BD2" s="909"/>
      <c r="BE2" s="909"/>
      <c r="BF2" s="909"/>
      <c r="BG2" s="909"/>
      <c r="BH2" s="909"/>
    </row>
    <row r="3" spans="1:60">
      <c r="A3" s="3" t="s">
        <v>1998</v>
      </c>
      <c r="B3" s="850"/>
      <c r="C3" s="850"/>
      <c r="D3" s="850"/>
      <c r="E3" s="850"/>
      <c r="F3" s="170" t="s">
        <v>1999</v>
      </c>
      <c r="G3" s="1044">
        <f>SUMIFS('A1.BS'!$V:$V,'A1.BS'!$B:$B,'CF.W.C'!G$1)</f>
        <v>69041490532</v>
      </c>
      <c r="H3" s="1044">
        <f>SUMIFS('A1.BS'!$V:$V,'A1.BS'!$B:$B,'CF.W.C'!H$1)</f>
        <v>17332654488</v>
      </c>
      <c r="I3" s="1044">
        <f>SUMIFS('A1.BS'!$V:$V,'A1.BS'!$B:$B,'CF.W.C'!I$1)</f>
        <v>1435638077347</v>
      </c>
      <c r="J3" s="1044">
        <f>SUMIFS('A1.BS'!$V:$V,'A1.BS'!$B:$B,'CF.W.C'!J$1)</f>
        <v>-184373354</v>
      </c>
      <c r="K3" s="1044">
        <f>SUMIFS('A1.BS'!$V:$V,'A1.BS'!$B:$B,'CF.W.C'!K$1)</f>
        <v>637365158762</v>
      </c>
      <c r="L3" s="1044">
        <f>SUMIFS('A1.BS'!$V:$V,'A1.BS'!$B:$B,'CF.W.C'!L$1)</f>
        <v>999420431</v>
      </c>
      <c r="M3" s="1044">
        <f>SUMIFS('A1.BS'!$V:$V,'A1.BS'!$B:$B,'CF.W.C'!M$1)</f>
        <v>28829765</v>
      </c>
      <c r="N3" s="1044">
        <f>SUMIFS('A1.BS'!$V:$V,'A1.BS'!$B:$B,'CF.W.C'!N$1)</f>
        <v>52427281811</v>
      </c>
      <c r="O3" s="1044">
        <f>SUMIFS('A1.BS'!$V:$V,'A1.BS'!$B:$B,'CF.W.C'!O$1)</f>
        <v>7790138369</v>
      </c>
      <c r="P3" s="1044">
        <f>SUMIFS('A1.BS'!$V:$V,'A1.BS'!$B:$B,'CF.W.C'!P$1)</f>
        <v>2528332878</v>
      </c>
      <c r="Q3" s="1044">
        <f>SUMIFS('A1.BS'!$V:$V,'A1.BS'!$B:$B,'CF.W.C'!Q$1)</f>
        <v>3890741978</v>
      </c>
      <c r="R3" s="1044">
        <f>SUMIFS('A1.BS'!$V:$V,'A1.BS'!$B:$B,'CF.W.C'!R$1)</f>
        <v>13072860149</v>
      </c>
      <c r="S3" s="1044">
        <f>SUMIFS('A1.BS'!$V:$V,'A1.BS'!$B:$B,'CF.W.C'!S$1)</f>
        <v>-3308803634</v>
      </c>
      <c r="T3" s="1044">
        <f>SUMIFS('A1.BS'!$V:$V,'A1.BS'!$B:$B,'CF.W.C'!T$1)</f>
        <v>49739892011</v>
      </c>
      <c r="U3" s="1044">
        <f>SUMIFS('A1.BS'!$V:$V,'A1.BS'!$B:$B,'CF.W.C'!U$1)</f>
        <v>-4696012585</v>
      </c>
      <c r="V3" s="1044">
        <f>SUMIFS('A1.BS'!$V:$V,'A1.BS'!$B:$B,'CF.W.C'!V$1)</f>
        <v>5350661938</v>
      </c>
      <c r="W3" s="1044">
        <f>SUMIFS('A1.BS'!$V:$V,'A1.BS'!$B:$B,'CF.W.C'!W$1)</f>
        <v>2135816317</v>
      </c>
      <c r="X3" s="1044">
        <f>SUMIFS('A1.BS'!$V:$V,'A1.BS'!$B:$B,'CF.W.C'!X$1)</f>
        <v>297641089</v>
      </c>
      <c r="Y3" s="1044">
        <f>SUMIFS('A1.BS'!$V:$V,'A1.BS'!$B:$B,'CF.W.C'!Y$1)</f>
        <v>94600055220</v>
      </c>
      <c r="Z3" s="1044">
        <f>SUMIFS('A1.BS'!$V:$V,'A1.BS'!$B:$B,'CF.W.C'!Z$1)</f>
        <v>11100823805</v>
      </c>
      <c r="AA3" s="1044">
        <f>SUMIFS('A1.BS'!$V:$V,'A1.BS'!$B:$B,'CF.W.C'!AA$1)</f>
        <v>2961139619</v>
      </c>
      <c r="AB3" s="1044">
        <f>SUMIFS('A1.BS'!$V:$V,'A1.BS'!$B:$B,'CF.W.C'!AB$1)</f>
        <v>5675308911</v>
      </c>
      <c r="AC3" s="1044">
        <f>SUMIFS('A1.BS'!$V:$V,'A1.BS'!$B:$B,'CF.W.C'!AC$1)</f>
        <v>1524326663</v>
      </c>
      <c r="AD3" s="1044">
        <f>SUMIFS('A1.BS'!$V:$V,'A1.BS'!$B:$B,'CF.W.C'!AD$1)</f>
        <v>1976921245974</v>
      </c>
      <c r="AE3" s="1044">
        <f>SUMIFS('A1.BS'!$V:$V,'A1.BS'!$B:$B,'CF.W.C'!AE$1)</f>
        <v>0</v>
      </c>
      <c r="AF3" s="1044">
        <f>SUMIFS('A1.BS'!$V:$V,'A1.BS'!$B:$B,'CF.W.C'!AF$1)</f>
        <v>134641110000</v>
      </c>
      <c r="AG3" s="1044">
        <f>SUMIFS('A1.BS'!$V:$V,'A1.BS'!$B:$B,'CF.W.C'!AG$1)</f>
        <v>515310808868</v>
      </c>
      <c r="AH3" s="1044">
        <f>SUMIFS('A1.BS'!$V:$V,'A1.BS'!$B:$B,'CF.W.C'!AH$1)</f>
        <v>-221220917865</v>
      </c>
      <c r="AI3" s="1044">
        <f>SUMIFS('A1.BS'!$V:$V,'A1.BS'!$B:$B,'CF.W.C'!AI$1)</f>
        <v>-43989255048</v>
      </c>
      <c r="AJ3" s="1044">
        <f>SUMIFS('A1.BS'!$V:$V,'A1.BS'!$B:$B,'CF.W.C'!AJ$1)</f>
        <v>1125272585</v>
      </c>
      <c r="AK3" s="1176" t="s">
        <v>681</v>
      </c>
      <c r="AL3" s="909"/>
      <c r="AM3" s="909"/>
      <c r="AN3" s="909"/>
      <c r="AO3" s="909"/>
      <c r="AP3" s="909"/>
      <c r="AQ3" s="909"/>
      <c r="AR3" s="909"/>
      <c r="AS3" s="909"/>
      <c r="AT3" s="909"/>
      <c r="AU3" s="909"/>
      <c r="AV3" s="909"/>
      <c r="AW3" s="909"/>
      <c r="AX3" s="909"/>
      <c r="AY3" s="909"/>
      <c r="AZ3" s="909"/>
      <c r="BA3" s="909"/>
      <c r="BB3" s="909"/>
      <c r="BC3" s="909"/>
      <c r="BD3" s="909"/>
      <c r="BE3" s="909"/>
      <c r="BF3" s="909"/>
      <c r="BG3" s="909"/>
      <c r="BH3" s="909"/>
    </row>
    <row r="4" spans="1:60">
      <c r="A4" s="850"/>
      <c r="B4" s="850"/>
      <c r="C4" s="850"/>
      <c r="D4" s="850"/>
      <c r="E4" s="850"/>
      <c r="F4" s="170" t="s">
        <v>2000</v>
      </c>
      <c r="G4" s="1044">
        <f>SUMIFS('A1.BS'!$R:$R,'A1.BS'!$B:$B,'CF.W.C'!G$1)</f>
        <v>61961257585</v>
      </c>
      <c r="H4" s="1044">
        <f>SUMIFS('A1.BS'!$R:$R,'A1.BS'!$B:$B,'CF.W.C'!H$1)</f>
        <v>38757506032</v>
      </c>
      <c r="I4" s="1044">
        <f>SUMIFS('A1.BS'!$R:$R,'A1.BS'!$B:$B,'CF.W.C'!I$1)</f>
        <v>1321419596508</v>
      </c>
      <c r="J4" s="1044">
        <f>SUMIFS('A1.BS'!$R:$R,'A1.BS'!$B:$B,'CF.W.C'!J$1)</f>
        <v>-127484513</v>
      </c>
      <c r="K4" s="1044">
        <f>SUMIFS('A1.BS'!$R:$R,'A1.BS'!$B:$B,'CF.W.C'!K$1)</f>
        <v>221217010373</v>
      </c>
      <c r="L4" s="1044">
        <f>SUMIFS('A1.BS'!$R:$R,'A1.BS'!$B:$B,'CF.W.C'!L$1)</f>
        <v>2085847664</v>
      </c>
      <c r="M4" s="1044">
        <f>SUMIFS('A1.BS'!$R:$R,'A1.BS'!$B:$B,'CF.W.C'!M$1)</f>
        <v>96677660</v>
      </c>
      <c r="N4" s="1044">
        <f>SUMIFS('A1.BS'!$R:$R,'A1.BS'!$B:$B,'CF.W.C'!N$1)</f>
        <v>44481405433</v>
      </c>
      <c r="O4" s="1044">
        <f>SUMIFS('A1.BS'!$R:$R,'A1.BS'!$B:$B,'CF.W.C'!O$1)</f>
        <v>0</v>
      </c>
      <c r="P4" s="1044">
        <f>SUMIFS('A1.BS'!$R:$R,'A1.BS'!$B:$B,'CF.W.C'!P$1)</f>
        <v>3830316040</v>
      </c>
      <c r="Q4" s="1044">
        <f>SUMIFS('A1.BS'!$R:$R,'A1.BS'!$B:$B,'CF.W.C'!Q$1)</f>
        <v>3915789589</v>
      </c>
      <c r="R4" s="1044">
        <f>SUMIFS('A1.BS'!$R:$R,'A1.BS'!$B:$B,'CF.W.C'!R$1)</f>
        <v>13266657240</v>
      </c>
      <c r="S4" s="1044">
        <f>SUMIFS('A1.BS'!$R:$R,'A1.BS'!$B:$B,'CF.W.C'!S$1)</f>
        <v>-5680197179</v>
      </c>
      <c r="T4" s="1044">
        <f>SUMIFS('A1.BS'!$R:$R,'A1.BS'!$B:$B,'CF.W.C'!T$1)</f>
        <v>58070669528</v>
      </c>
      <c r="U4" s="1044">
        <f>SUMIFS('A1.BS'!$R:$R,'A1.BS'!$B:$B,'CF.W.C'!U$1)</f>
        <v>-8818129575</v>
      </c>
      <c r="V4" s="1044">
        <f>SUMIFS('A1.BS'!$R:$R,'A1.BS'!$B:$B,'CF.W.C'!V$1)</f>
        <v>7014749613</v>
      </c>
      <c r="W4" s="1044">
        <f>SUMIFS('A1.BS'!$R:$R,'A1.BS'!$B:$B,'CF.W.C'!W$1)</f>
        <v>1115235132</v>
      </c>
      <c r="X4" s="1044">
        <f>SUMIFS('A1.BS'!$R:$R,'A1.BS'!$B:$B,'CF.W.C'!X$1)</f>
        <v>1416636590</v>
      </c>
      <c r="Y4" s="1044">
        <f>SUMIFS('A1.BS'!$R:$R,'A1.BS'!$B:$B,'CF.W.C'!Y$1)</f>
        <v>82660875837</v>
      </c>
      <c r="Z4" s="1044">
        <f>SUMIFS('A1.BS'!$R:$R,'A1.BS'!$B:$B,'CF.W.C'!Z$1)</f>
        <v>13159279117</v>
      </c>
      <c r="AA4" s="1044">
        <f>SUMIFS('A1.BS'!$R:$R,'A1.BS'!$B:$B,'CF.W.C'!AA$1)</f>
        <v>1295803696</v>
      </c>
      <c r="AB4" s="1044">
        <f>SUMIFS('A1.BS'!$R:$R,'A1.BS'!$B:$B,'CF.W.C'!AB$1)</f>
        <v>3331657840</v>
      </c>
      <c r="AC4" s="1044">
        <f>SUMIFS('A1.BS'!$R:$R,'A1.BS'!$B:$B,'CF.W.C'!AC$1)</f>
        <v>3213188287</v>
      </c>
      <c r="AD4" s="1044">
        <f>SUMIFS('A1.BS'!$R:$R,'A1.BS'!$B:$B,'CF.W.C'!AD$1)</f>
        <v>1392966312611</v>
      </c>
      <c r="AE4" s="1044">
        <f>SUMIFS('A1.BS'!$R:$R,'A1.BS'!$B:$B,'CF.W.C'!AE$1)</f>
        <v>49000000000</v>
      </c>
      <c r="AF4" s="1044">
        <f>SUMIFS('A1.BS'!$R:$R,'A1.BS'!$B:$B,'CF.W.C'!AF$1)</f>
        <v>134641110000</v>
      </c>
      <c r="AG4" s="1044">
        <f>SUMIFS('A1.BS'!$R:$R,'A1.BS'!$B:$B,'CF.W.C'!AG$1)</f>
        <v>515310808868</v>
      </c>
      <c r="AH4" s="1044">
        <f>SUMIFS('A1.BS'!$R:$R,'A1.BS'!$B:$B,'CF.W.C'!AH$1)</f>
        <v>-265210172908</v>
      </c>
      <c r="AI4" s="1044">
        <f>SUMIFS('A1.BS'!$R:$R,'A1.BS'!$B:$B,'CF.W.C'!AI$1)</f>
        <v>-1414152676</v>
      </c>
      <c r="AJ4" s="1044">
        <f>SUMIFS('A1.BS'!$R:$R,'A1.BS'!$B:$B,'CF.W.C'!AJ$1)</f>
        <v>390584722</v>
      </c>
      <c r="AK4" s="1176" t="s">
        <v>681</v>
      </c>
      <c r="AL4" s="909"/>
      <c r="AM4" s="909"/>
      <c r="AN4" s="909"/>
      <c r="AO4" s="909"/>
      <c r="AP4" s="909"/>
      <c r="AQ4" s="909"/>
      <c r="AR4" s="909"/>
      <c r="AS4" s="909"/>
      <c r="AT4" s="909"/>
      <c r="AU4" s="909"/>
      <c r="AV4" s="909"/>
      <c r="AW4" s="909"/>
      <c r="AX4" s="909"/>
      <c r="AY4" s="909"/>
      <c r="AZ4" s="909"/>
      <c r="BA4" s="909"/>
      <c r="BB4" s="909"/>
      <c r="BC4" s="909"/>
      <c r="BD4" s="909"/>
      <c r="BE4" s="909"/>
      <c r="BF4" s="909"/>
      <c r="BG4" s="909"/>
      <c r="BH4" s="909"/>
    </row>
    <row r="5" spans="1:60">
      <c r="A5" s="850"/>
      <c r="B5" s="850"/>
      <c r="C5" s="850"/>
      <c r="D5" s="1" t="s">
        <v>1970</v>
      </c>
      <c r="E5" s="234">
        <f>-SUM(G5:H5)-SUM(I5:AJ5)</f>
        <v>0</v>
      </c>
      <c r="F5" s="170" t="s">
        <v>2001</v>
      </c>
      <c r="G5" s="951">
        <f>G4-G3</f>
        <v>-7080232947</v>
      </c>
      <c r="H5" s="951">
        <f>H4-H3</f>
        <v>21424851544</v>
      </c>
      <c r="I5" s="951">
        <f t="shared" ref="I5:R5" si="0">I4-I3</f>
        <v>-114218480839</v>
      </c>
      <c r="J5" s="951">
        <f t="shared" si="0"/>
        <v>56888841</v>
      </c>
      <c r="K5" s="951">
        <f t="shared" si="0"/>
        <v>-416148148389</v>
      </c>
      <c r="L5" s="951">
        <f t="shared" si="0"/>
        <v>1086427233</v>
      </c>
      <c r="M5" s="951">
        <f t="shared" si="0"/>
        <v>67847895</v>
      </c>
      <c r="N5" s="951">
        <f t="shared" si="0"/>
        <v>-7945876378</v>
      </c>
      <c r="O5" s="951">
        <f t="shared" si="0"/>
        <v>-7790138369</v>
      </c>
      <c r="P5" s="951">
        <f t="shared" si="0"/>
        <v>1301983162</v>
      </c>
      <c r="Q5" s="951">
        <f t="shared" si="0"/>
        <v>25047611</v>
      </c>
      <c r="R5" s="951">
        <f t="shared" si="0"/>
        <v>193797091</v>
      </c>
      <c r="S5" s="951">
        <f t="shared" ref="S5:Y5" si="1">S4-S3</f>
        <v>-2371393545</v>
      </c>
      <c r="T5" s="951">
        <f t="shared" si="1"/>
        <v>8330777517</v>
      </c>
      <c r="U5" s="951">
        <f t="shared" si="1"/>
        <v>-4122116990</v>
      </c>
      <c r="V5" s="951">
        <f t="shared" si="1"/>
        <v>1664087675</v>
      </c>
      <c r="W5" s="951">
        <f t="shared" si="1"/>
        <v>-1020581185</v>
      </c>
      <c r="X5" s="951">
        <f t="shared" si="1"/>
        <v>1118995501</v>
      </c>
      <c r="Y5" s="951">
        <f t="shared" si="1"/>
        <v>-11939179383</v>
      </c>
      <c r="Z5" s="951">
        <f>Z3-Z4</f>
        <v>-2058455312</v>
      </c>
      <c r="AA5" s="951">
        <f t="shared" ref="AA5:AI5" si="2">AA3-AA4</f>
        <v>1665335923</v>
      </c>
      <c r="AB5" s="951">
        <f t="shared" si="2"/>
        <v>2343651071</v>
      </c>
      <c r="AC5" s="951">
        <f t="shared" si="2"/>
        <v>-1688861624</v>
      </c>
      <c r="AD5" s="951">
        <f t="shared" si="2"/>
        <v>583954933363</v>
      </c>
      <c r="AE5" s="951">
        <f>AE3-AE4</f>
        <v>-49000000000</v>
      </c>
      <c r="AF5" s="951">
        <f t="shared" si="2"/>
        <v>0</v>
      </c>
      <c r="AG5" s="951">
        <f t="shared" si="2"/>
        <v>0</v>
      </c>
      <c r="AH5" s="951">
        <f t="shared" si="2"/>
        <v>43989255043</v>
      </c>
      <c r="AI5" s="951">
        <f t="shared" si="2"/>
        <v>-42575102372</v>
      </c>
      <c r="AJ5" s="951">
        <f>AJ3-AJ4</f>
        <v>734687863</v>
      </c>
      <c r="AK5" s="1176" t="s">
        <v>681</v>
      </c>
      <c r="AL5" s="909"/>
      <c r="AM5" s="909"/>
      <c r="AN5" s="909"/>
      <c r="AO5" s="909"/>
      <c r="AP5" s="909"/>
      <c r="AQ5" s="909"/>
      <c r="AR5" s="909"/>
      <c r="AS5" s="909"/>
      <c r="AT5" s="909"/>
      <c r="AU5" s="909"/>
      <c r="AV5" s="909"/>
      <c r="AW5" s="909"/>
      <c r="AX5" s="909"/>
      <c r="AY5" s="909"/>
      <c r="AZ5" s="909"/>
      <c r="BA5" s="909"/>
      <c r="BB5" s="909"/>
      <c r="BC5" s="909"/>
      <c r="BD5" s="909"/>
      <c r="BE5" s="909"/>
      <c r="BF5" s="909"/>
      <c r="BG5" s="909"/>
      <c r="BH5" s="909"/>
    </row>
    <row r="6" spans="1:60" ht="13.5" thickBot="1">
      <c r="A6" s="850"/>
      <c r="B6" s="850"/>
      <c r="C6" s="857"/>
      <c r="D6" s="857"/>
      <c r="E6" s="857">
        <f>E9-'A2.PL'!R23</f>
        <v>0</v>
      </c>
      <c r="F6" s="170" t="s">
        <v>2002</v>
      </c>
      <c r="G6" s="951">
        <f>G5+SUM(G8:G54)</f>
        <v>123922515170</v>
      </c>
      <c r="H6" s="951">
        <f>H5+SUM(H8:H54)</f>
        <v>77515012064</v>
      </c>
      <c r="I6" s="951">
        <f t="shared" ref="I6:W6" si="3">I5+SUM(I8:I54)</f>
        <v>0</v>
      </c>
      <c r="J6" s="951">
        <f t="shared" si="3"/>
        <v>0</v>
      </c>
      <c r="K6" s="951">
        <f>K5+SUM(K8:K54)</f>
        <v>0</v>
      </c>
      <c r="L6" s="951">
        <f t="shared" si="3"/>
        <v>0</v>
      </c>
      <c r="M6" s="951">
        <f t="shared" si="3"/>
        <v>0</v>
      </c>
      <c r="N6" s="951">
        <f t="shared" si="3"/>
        <v>0</v>
      </c>
      <c r="O6" s="951">
        <f t="shared" si="3"/>
        <v>0</v>
      </c>
      <c r="P6" s="951">
        <f t="shared" si="3"/>
        <v>0</v>
      </c>
      <c r="Q6" s="951">
        <f t="shared" si="3"/>
        <v>0</v>
      </c>
      <c r="R6" s="951">
        <f t="shared" si="3"/>
        <v>0</v>
      </c>
      <c r="S6" s="951">
        <f t="shared" si="3"/>
        <v>0</v>
      </c>
      <c r="T6" s="951">
        <f t="shared" si="3"/>
        <v>0</v>
      </c>
      <c r="U6" s="951">
        <f t="shared" si="3"/>
        <v>0</v>
      </c>
      <c r="V6" s="951">
        <f t="shared" si="3"/>
        <v>0</v>
      </c>
      <c r="W6" s="951">
        <f t="shared" si="3"/>
        <v>0</v>
      </c>
      <c r="X6" s="951">
        <f t="shared" ref="X6:AI6" si="4">X5+SUM(X8:X54)</f>
        <v>0</v>
      </c>
      <c r="Y6" s="951">
        <f t="shared" si="4"/>
        <v>0</v>
      </c>
      <c r="Z6" s="951">
        <f t="shared" si="4"/>
        <v>0</v>
      </c>
      <c r="AA6" s="951">
        <f t="shared" si="4"/>
        <v>0</v>
      </c>
      <c r="AB6" s="951">
        <f t="shared" si="4"/>
        <v>0</v>
      </c>
      <c r="AC6" s="951">
        <f t="shared" si="4"/>
        <v>0</v>
      </c>
      <c r="AD6" s="951">
        <f t="shared" si="4"/>
        <v>0</v>
      </c>
      <c r="AE6" s="951">
        <f>AE5+SUM(AE8:AE54)</f>
        <v>0</v>
      </c>
      <c r="AF6" s="951">
        <f t="shared" si="4"/>
        <v>0</v>
      </c>
      <c r="AG6" s="951">
        <f t="shared" si="4"/>
        <v>0</v>
      </c>
      <c r="AH6" s="951">
        <f t="shared" si="4"/>
        <v>0</v>
      </c>
      <c r="AI6" s="951">
        <f t="shared" si="4"/>
        <v>0</v>
      </c>
      <c r="AJ6" s="951">
        <f>AJ5+SUM(AJ8:AJ54)</f>
        <v>0</v>
      </c>
      <c r="AK6" s="1176" t="s">
        <v>681</v>
      </c>
      <c r="AL6" s="909"/>
      <c r="AM6" s="909"/>
      <c r="AN6" s="909"/>
      <c r="AO6" s="909"/>
      <c r="AP6" s="909"/>
      <c r="AQ6" s="909"/>
      <c r="AR6" s="909"/>
      <c r="AS6" s="909"/>
      <c r="AT6" s="909"/>
      <c r="AU6" s="909"/>
      <c r="AV6" s="909"/>
      <c r="AW6" s="909"/>
      <c r="AX6" s="909"/>
      <c r="AY6" s="909"/>
      <c r="AZ6" s="909"/>
      <c r="BA6" s="909"/>
      <c r="BB6" s="909"/>
      <c r="BC6" s="909"/>
      <c r="BD6" s="909"/>
      <c r="BE6" s="909"/>
      <c r="BF6" s="909"/>
      <c r="BG6" s="909"/>
      <c r="BH6" s="909"/>
    </row>
    <row r="7" spans="1:60" ht="38.25">
      <c r="A7" s="850"/>
      <c r="B7" s="141" t="s">
        <v>2003</v>
      </c>
      <c r="C7" s="142" t="s">
        <v>2004</v>
      </c>
      <c r="D7" s="148" t="s">
        <v>2005</v>
      </c>
      <c r="E7" s="538" t="s">
        <v>2006</v>
      </c>
      <c r="F7" s="539" t="s">
        <v>2007</v>
      </c>
      <c r="G7" s="850"/>
      <c r="H7" s="850"/>
      <c r="I7" s="850"/>
      <c r="J7" s="850"/>
      <c r="K7" s="850"/>
      <c r="L7" s="850"/>
      <c r="M7" s="850"/>
      <c r="N7" s="850"/>
      <c r="O7" s="850"/>
      <c r="P7" s="850"/>
      <c r="Q7" s="850"/>
      <c r="R7" s="850"/>
      <c r="S7" s="850"/>
      <c r="T7" s="850"/>
      <c r="U7" s="850"/>
      <c r="V7" s="850"/>
      <c r="W7" s="850"/>
      <c r="X7" s="850"/>
      <c r="Y7" s="850"/>
      <c r="Z7" s="850"/>
      <c r="AA7" s="850"/>
      <c r="AB7" s="850"/>
      <c r="AC7" s="850"/>
      <c r="AD7" s="850"/>
      <c r="AE7" s="850"/>
      <c r="AF7" s="850"/>
      <c r="AG7" s="850"/>
      <c r="AH7" s="850"/>
      <c r="AI7" s="850"/>
      <c r="AJ7" s="850"/>
      <c r="AK7" s="1014" t="s">
        <v>681</v>
      </c>
      <c r="AL7" s="850"/>
      <c r="AM7" s="850"/>
      <c r="AN7" s="850"/>
      <c r="AO7" s="850"/>
      <c r="AP7" s="850"/>
      <c r="AQ7" s="850"/>
      <c r="AR7" s="850"/>
      <c r="AS7" s="850"/>
      <c r="AT7" s="850"/>
      <c r="AU7" s="850"/>
      <c r="AV7" s="850"/>
      <c r="AW7" s="850"/>
      <c r="AX7" s="850"/>
      <c r="AY7" s="850"/>
      <c r="AZ7" s="850"/>
      <c r="BA7" s="850"/>
      <c r="BB7" s="850"/>
      <c r="BC7" s="850"/>
      <c r="BD7" s="850"/>
      <c r="BE7" s="850"/>
      <c r="BF7" s="850"/>
      <c r="BG7" s="850"/>
      <c r="BH7" s="850"/>
    </row>
    <row r="8" spans="1:60">
      <c r="A8" s="850"/>
      <c r="B8" s="902"/>
      <c r="C8" s="903"/>
      <c r="D8" s="149" t="s">
        <v>2008</v>
      </c>
      <c r="E8" s="909"/>
      <c r="F8" s="1177"/>
      <c r="G8" s="850"/>
      <c r="H8" s="850"/>
      <c r="I8" s="850"/>
      <c r="J8" s="850"/>
      <c r="K8" s="850"/>
      <c r="L8" s="850"/>
      <c r="M8" s="850"/>
      <c r="N8" s="850"/>
      <c r="O8" s="850"/>
      <c r="P8" s="850"/>
      <c r="Q8" s="850"/>
      <c r="R8" s="850"/>
      <c r="S8" s="850"/>
      <c r="T8" s="850"/>
      <c r="U8" s="850"/>
      <c r="V8" s="850"/>
      <c r="W8" s="850"/>
      <c r="X8" s="850"/>
      <c r="Y8" s="850"/>
      <c r="Z8" s="850"/>
      <c r="AA8" s="850"/>
      <c r="AB8" s="850"/>
      <c r="AC8" s="850"/>
      <c r="AD8" s="850"/>
      <c r="AE8" s="850"/>
      <c r="AF8" s="850"/>
      <c r="AG8" s="850"/>
      <c r="AH8" s="850"/>
      <c r="AI8" s="850"/>
      <c r="AJ8" s="850"/>
      <c r="AK8" s="1014" t="s">
        <v>681</v>
      </c>
      <c r="AL8" s="850"/>
      <c r="AM8" s="850"/>
      <c r="AN8" s="850"/>
      <c r="AO8" s="850"/>
      <c r="AP8" s="850"/>
      <c r="AQ8" s="850"/>
      <c r="AR8" s="850"/>
      <c r="AS8" s="850"/>
      <c r="AT8" s="850"/>
      <c r="AU8" s="850"/>
      <c r="AV8" s="850"/>
      <c r="AW8" s="850"/>
      <c r="AX8" s="850"/>
      <c r="AY8" s="850"/>
      <c r="AZ8" s="850"/>
      <c r="BA8" s="850"/>
      <c r="BB8" s="850"/>
      <c r="BC8" s="850"/>
      <c r="BD8" s="850"/>
      <c r="BE8" s="850"/>
      <c r="BF8" s="850"/>
      <c r="BG8" s="850"/>
      <c r="BH8" s="850"/>
    </row>
    <row r="9" spans="1:60">
      <c r="A9" s="850"/>
      <c r="B9" s="902" t="s">
        <v>2009</v>
      </c>
      <c r="C9" s="915" t="s">
        <v>2010</v>
      </c>
      <c r="D9" s="149" t="s">
        <v>2011</v>
      </c>
      <c r="E9" s="1044">
        <f>SUM(F9:AJ9)</f>
        <v>-147614524</v>
      </c>
      <c r="F9" s="1177"/>
      <c r="G9" s="850"/>
      <c r="H9" s="850"/>
      <c r="I9" s="850"/>
      <c r="J9" s="850"/>
      <c r="K9" s="850"/>
      <c r="L9" s="850"/>
      <c r="M9" s="850"/>
      <c r="N9" s="850"/>
      <c r="O9" s="850"/>
      <c r="P9" s="850"/>
      <c r="Q9" s="850"/>
      <c r="R9" s="850"/>
      <c r="S9" s="850"/>
      <c r="T9" s="850"/>
      <c r="U9" s="850"/>
      <c r="V9" s="850"/>
      <c r="W9" s="848">
        <f>'A0.LS'!AX354-5</f>
        <v>-56773990</v>
      </c>
      <c r="X9" s="850"/>
      <c r="Y9" s="850"/>
      <c r="Z9" s="850"/>
      <c r="AA9" s="850"/>
      <c r="AB9" s="850"/>
      <c r="AC9" s="850"/>
      <c r="AD9" s="850"/>
      <c r="AE9" s="850"/>
      <c r="AF9" s="850"/>
      <c r="AG9" s="850"/>
      <c r="AH9" s="857">
        <f>-AH5+AL9-AH14</f>
        <v>-43989255043</v>
      </c>
      <c r="AI9" s="857">
        <f>-AI5-AI16</f>
        <v>44633102372</v>
      </c>
      <c r="AJ9" s="857">
        <f>-AJ5</f>
        <v>-734687863</v>
      </c>
      <c r="AK9" s="1014" t="s">
        <v>681</v>
      </c>
      <c r="AL9" s="850"/>
      <c r="AM9" s="850"/>
      <c r="AN9" s="850"/>
      <c r="AO9" s="850"/>
      <c r="AP9" s="850"/>
      <c r="AQ9" s="850"/>
      <c r="AR9" s="850"/>
      <c r="AS9" s="850"/>
      <c r="AT9" s="850"/>
      <c r="AU9" s="850"/>
      <c r="AV9" s="850"/>
      <c r="AW9" s="850"/>
      <c r="AX9" s="850"/>
      <c r="AY9" s="850"/>
      <c r="AZ9" s="850"/>
      <c r="BA9" s="850"/>
      <c r="BB9" s="850"/>
      <c r="BC9" s="850"/>
      <c r="BD9" s="850"/>
      <c r="BE9" s="850"/>
      <c r="BF9" s="850"/>
      <c r="BG9" s="850"/>
      <c r="BH9" s="850"/>
    </row>
    <row r="10" spans="1:60">
      <c r="A10" s="850"/>
      <c r="B10" s="902"/>
      <c r="C10" s="903"/>
      <c r="D10" s="149" t="s">
        <v>2012</v>
      </c>
      <c r="E10" s="1044"/>
      <c r="F10" s="1177"/>
      <c r="G10" s="850"/>
      <c r="H10" s="850"/>
      <c r="I10" s="850"/>
      <c r="J10" s="850"/>
      <c r="K10" s="850"/>
      <c r="L10" s="850"/>
      <c r="M10" s="850"/>
      <c r="N10" s="850"/>
      <c r="O10" s="850"/>
      <c r="P10" s="850"/>
      <c r="Q10" s="850"/>
      <c r="R10" s="850"/>
      <c r="S10" s="850"/>
      <c r="T10" s="850"/>
      <c r="U10" s="850"/>
      <c r="V10" s="850"/>
      <c r="W10" s="850"/>
      <c r="X10" s="850"/>
      <c r="Y10" s="850"/>
      <c r="Z10" s="850"/>
      <c r="AA10" s="850"/>
      <c r="AB10" s="850"/>
      <c r="AC10" s="850"/>
      <c r="AD10" s="850"/>
      <c r="AE10" s="850"/>
      <c r="AF10" s="850"/>
      <c r="AG10" s="850"/>
      <c r="AH10" s="850"/>
      <c r="AI10" s="850"/>
      <c r="AJ10" s="850"/>
      <c r="AK10" s="1014" t="s">
        <v>681</v>
      </c>
      <c r="AL10" s="850"/>
      <c r="AM10" s="850"/>
      <c r="AN10" s="850"/>
      <c r="AO10" s="850"/>
      <c r="AP10" s="850"/>
      <c r="AQ10" s="850"/>
      <c r="AR10" s="850"/>
      <c r="AS10" s="850"/>
      <c r="AT10" s="850"/>
      <c r="AU10" s="850"/>
      <c r="AV10" s="850"/>
      <c r="AW10" s="850"/>
      <c r="AX10" s="850"/>
      <c r="AY10" s="850"/>
      <c r="AZ10" s="850"/>
      <c r="BA10" s="850"/>
      <c r="BB10" s="850"/>
      <c r="BC10" s="850"/>
      <c r="BD10" s="850"/>
      <c r="BE10" s="850"/>
      <c r="BF10" s="850"/>
      <c r="BG10" s="850"/>
      <c r="BH10" s="850"/>
    </row>
    <row r="11" spans="1:60">
      <c r="A11" s="850"/>
      <c r="B11" s="902" t="s">
        <v>2013</v>
      </c>
      <c r="C11" s="915" t="s">
        <v>2014</v>
      </c>
      <c r="D11" s="916" t="s">
        <v>2015</v>
      </c>
      <c r="E11" s="1044">
        <f t="shared" ref="E11:E15" si="5">SUM(F11:AJ11)</f>
        <v>18432689918</v>
      </c>
      <c r="F11" s="1177"/>
      <c r="G11" s="850"/>
      <c r="H11" s="850"/>
      <c r="I11" s="850"/>
      <c r="J11" s="850"/>
      <c r="K11" s="850"/>
      <c r="L11" s="850"/>
      <c r="M11" s="850"/>
      <c r="N11" s="850"/>
      <c r="O11" s="850"/>
      <c r="P11" s="850"/>
      <c r="Q11" s="850"/>
      <c r="R11" s="850"/>
      <c r="S11" s="857">
        <f>-S5</f>
        <v>2371393545</v>
      </c>
      <c r="T11" s="850"/>
      <c r="U11" s="857">
        <f>-U5</f>
        <v>4122116990</v>
      </c>
      <c r="V11" s="850"/>
      <c r="W11" s="850"/>
      <c r="X11" s="850"/>
      <c r="Y11" s="857">
        <f>-Y5</f>
        <v>11939179383</v>
      </c>
      <c r="Z11" s="850"/>
      <c r="AA11" s="850"/>
      <c r="AB11" s="850"/>
      <c r="AC11" s="850"/>
      <c r="AD11" s="850"/>
      <c r="AE11" s="850"/>
      <c r="AF11" s="850"/>
      <c r="AG11" s="850"/>
      <c r="AH11" s="850"/>
      <c r="AI11" s="850"/>
      <c r="AJ11" s="850"/>
      <c r="AK11" s="1014" t="s">
        <v>681</v>
      </c>
      <c r="AL11" s="850"/>
      <c r="AM11" s="850"/>
      <c r="AN11" s="850"/>
      <c r="AO11" s="850"/>
      <c r="AP11" s="850"/>
      <c r="AQ11" s="850"/>
      <c r="AR11" s="850"/>
      <c r="AS11" s="850"/>
      <c r="AT11" s="850"/>
      <c r="AU11" s="850"/>
      <c r="AV11" s="850"/>
      <c r="AW11" s="850"/>
      <c r="AX11" s="850"/>
      <c r="AY11" s="850"/>
      <c r="AZ11" s="850"/>
      <c r="BA11" s="850"/>
      <c r="BB11" s="850"/>
      <c r="BC11" s="850"/>
      <c r="BD11" s="850"/>
      <c r="BE11" s="850"/>
      <c r="BF11" s="850"/>
      <c r="BG11" s="850"/>
      <c r="BH11" s="850"/>
    </row>
    <row r="12" spans="1:60">
      <c r="A12" s="850"/>
      <c r="B12" s="902" t="s">
        <v>2016</v>
      </c>
      <c r="C12" s="915" t="s">
        <v>2017</v>
      </c>
      <c r="D12" s="916" t="s">
        <v>2018</v>
      </c>
      <c r="E12" s="1044">
        <f t="shared" si="5"/>
        <v>-56888841</v>
      </c>
      <c r="F12" s="1177"/>
      <c r="G12" s="850"/>
      <c r="H12" s="850"/>
      <c r="I12" s="850"/>
      <c r="J12" s="857">
        <f>-J5</f>
        <v>-56888841</v>
      </c>
      <c r="K12" s="850"/>
      <c r="L12" s="850"/>
      <c r="M12" s="850"/>
      <c r="N12" s="850"/>
      <c r="O12" s="850"/>
      <c r="P12" s="850"/>
      <c r="Q12" s="850"/>
      <c r="R12" s="850"/>
      <c r="S12" s="850"/>
      <c r="T12" s="850"/>
      <c r="U12" s="850"/>
      <c r="V12" s="850"/>
      <c r="W12" s="850"/>
      <c r="X12" s="850"/>
      <c r="Y12" s="850"/>
      <c r="Z12" s="850"/>
      <c r="AA12" s="850"/>
      <c r="AB12" s="850"/>
      <c r="AC12" s="850"/>
      <c r="AD12" s="850"/>
      <c r="AE12" s="850"/>
      <c r="AF12" s="850"/>
      <c r="AG12" s="850"/>
      <c r="AH12" s="848"/>
      <c r="AI12" s="850"/>
      <c r="AJ12" s="850"/>
      <c r="AK12" s="1014" t="s">
        <v>681</v>
      </c>
      <c r="AL12" s="850"/>
      <c r="AM12" s="850"/>
      <c r="AN12" s="850"/>
      <c r="AO12" s="850"/>
      <c r="AP12" s="850"/>
      <c r="AQ12" s="850"/>
      <c r="AR12" s="850"/>
      <c r="AS12" s="850"/>
      <c r="AT12" s="850"/>
      <c r="AU12" s="850"/>
      <c r="AV12" s="850"/>
      <c r="AW12" s="850"/>
      <c r="AX12" s="850"/>
      <c r="AY12" s="850"/>
      <c r="AZ12" s="850"/>
      <c r="BA12" s="850"/>
      <c r="BB12" s="850"/>
      <c r="BC12" s="850"/>
      <c r="BD12" s="850"/>
      <c r="BE12" s="850"/>
      <c r="BF12" s="850"/>
      <c r="BG12" s="850"/>
      <c r="BH12" s="850"/>
    </row>
    <row r="13" spans="1:60" ht="25.5">
      <c r="A13" s="850"/>
      <c r="B13" s="902" t="s">
        <v>2019</v>
      </c>
      <c r="C13" s="915" t="s">
        <v>2020</v>
      </c>
      <c r="D13" s="917" t="s">
        <v>2021</v>
      </c>
      <c r="E13" s="1044">
        <f t="shared" si="5"/>
        <v>0</v>
      </c>
      <c r="F13" s="1177"/>
      <c r="G13" s="850"/>
      <c r="H13" s="850"/>
      <c r="I13" s="850"/>
      <c r="J13" s="850"/>
      <c r="K13" s="850"/>
      <c r="L13" s="850"/>
      <c r="M13" s="850"/>
      <c r="N13" s="850"/>
      <c r="O13" s="850"/>
      <c r="P13" s="850"/>
      <c r="Q13" s="850"/>
      <c r="R13" s="850"/>
      <c r="S13" s="850"/>
      <c r="T13" s="850"/>
      <c r="U13" s="850"/>
      <c r="V13" s="850"/>
      <c r="W13" s="850"/>
      <c r="X13" s="850"/>
      <c r="Y13" s="850"/>
      <c r="Z13" s="850"/>
      <c r="AA13" s="850"/>
      <c r="AB13" s="850"/>
      <c r="AC13" s="850"/>
      <c r="AD13" s="850"/>
      <c r="AE13" s="850"/>
      <c r="AF13" s="850"/>
      <c r="AG13" s="850"/>
      <c r="AH13" s="850"/>
      <c r="AI13" s="850"/>
      <c r="AJ13" s="850"/>
      <c r="AK13" s="1014" t="s">
        <v>681</v>
      </c>
      <c r="AL13" s="850"/>
      <c r="AM13" s="850"/>
      <c r="AN13" s="850"/>
      <c r="AO13" s="850"/>
      <c r="AP13" s="850"/>
      <c r="AQ13" s="850"/>
      <c r="AR13" s="850"/>
      <c r="AS13" s="850"/>
      <c r="AT13" s="850"/>
      <c r="AU13" s="850"/>
      <c r="AV13" s="850"/>
      <c r="AW13" s="850"/>
      <c r="AX13" s="850"/>
      <c r="AY13" s="850"/>
      <c r="AZ13" s="850"/>
      <c r="BA13" s="850"/>
      <c r="BB13" s="850"/>
      <c r="BC13" s="850"/>
      <c r="BD13" s="850"/>
      <c r="BE13" s="850"/>
      <c r="BF13" s="850"/>
      <c r="BG13" s="850"/>
      <c r="BH13" s="850"/>
    </row>
    <row r="14" spans="1:60">
      <c r="A14" s="850"/>
      <c r="B14" s="902" t="s">
        <v>2022</v>
      </c>
      <c r="C14" s="915" t="s">
        <v>2023</v>
      </c>
      <c r="D14" s="916" t="s">
        <v>2024</v>
      </c>
      <c r="E14" s="1044">
        <f>SUM(F14:AJ14)</f>
        <v>-82938699656</v>
      </c>
      <c r="F14" s="1177"/>
      <c r="G14" s="850"/>
      <c r="H14" s="850"/>
      <c r="I14" s="850"/>
      <c r="J14" s="850"/>
      <c r="K14" s="857">
        <f>-(E79+E80)</f>
        <v>-10278108024</v>
      </c>
      <c r="L14" s="850"/>
      <c r="M14" s="850"/>
      <c r="N14" s="1178">
        <f>-'A4.N2FS Consol'!F489</f>
        <v>-72660591632</v>
      </c>
      <c r="O14" s="850"/>
      <c r="P14" s="850"/>
      <c r="Q14" s="850"/>
      <c r="R14" s="850"/>
      <c r="S14" s="850"/>
      <c r="T14" s="850"/>
      <c r="U14" s="850"/>
      <c r="V14" s="850"/>
      <c r="W14" s="850"/>
      <c r="X14" s="850"/>
      <c r="Y14" s="850"/>
      <c r="Z14" s="850"/>
      <c r="AA14" s="850"/>
      <c r="AB14" s="850"/>
      <c r="AC14" s="850"/>
      <c r="AD14" s="850"/>
      <c r="AE14" s="850"/>
      <c r="AF14" s="850"/>
      <c r="AG14" s="850"/>
      <c r="AH14" s="848"/>
      <c r="AI14" s="850"/>
      <c r="AJ14" s="850"/>
      <c r="AK14" s="1014" t="s">
        <v>681</v>
      </c>
      <c r="AL14" s="850"/>
      <c r="AM14" s="850"/>
      <c r="AN14" s="850"/>
      <c r="AO14" s="850"/>
      <c r="AP14" s="850"/>
      <c r="AQ14" s="850"/>
      <c r="AR14" s="850"/>
      <c r="AS14" s="850"/>
      <c r="AT14" s="850"/>
      <c r="AU14" s="850"/>
      <c r="AV14" s="850"/>
      <c r="AW14" s="850"/>
      <c r="AX14" s="850"/>
      <c r="AY14" s="850"/>
      <c r="AZ14" s="850"/>
      <c r="BA14" s="850"/>
      <c r="BB14" s="850"/>
      <c r="BC14" s="850"/>
      <c r="BD14" s="850"/>
      <c r="BE14" s="850"/>
      <c r="BF14" s="850"/>
      <c r="BG14" s="850"/>
      <c r="BH14" s="850"/>
    </row>
    <row r="15" spans="1:60">
      <c r="A15" s="850"/>
      <c r="B15" s="902" t="s">
        <v>2025</v>
      </c>
      <c r="C15" s="915" t="s">
        <v>2026</v>
      </c>
      <c r="D15" s="916" t="s">
        <v>2027</v>
      </c>
      <c r="E15" s="1044">
        <f t="shared" si="5"/>
        <v>1718534241</v>
      </c>
      <c r="F15" s="1177"/>
      <c r="G15" s="850"/>
      <c r="H15" s="850"/>
      <c r="I15" s="850"/>
      <c r="J15" s="850"/>
      <c r="K15" s="850"/>
      <c r="L15" s="850"/>
      <c r="M15" s="850"/>
      <c r="N15" s="850"/>
      <c r="O15" s="850"/>
      <c r="P15" s="850"/>
      <c r="Q15" s="850"/>
      <c r="R15" s="850"/>
      <c r="S15" s="850"/>
      <c r="T15" s="850"/>
      <c r="U15" s="850"/>
      <c r="V15" s="850"/>
      <c r="W15" s="850"/>
      <c r="X15" s="850"/>
      <c r="Y15" s="850"/>
      <c r="Z15" s="850"/>
      <c r="AA15" s="850"/>
      <c r="AB15" s="850"/>
      <c r="AC15" s="850"/>
      <c r="AD15" s="848">
        <f>'A4.N2FS Consol'!F575</f>
        <v>1718534241</v>
      </c>
      <c r="AE15" s="848"/>
      <c r="AF15" s="850"/>
      <c r="AG15" s="850"/>
      <c r="AH15" s="850"/>
      <c r="AI15" s="850"/>
      <c r="AJ15" s="850"/>
      <c r="AK15" s="1014" t="s">
        <v>681</v>
      </c>
      <c r="AL15" s="850"/>
      <c r="AM15" s="850"/>
      <c r="AN15" s="850"/>
      <c r="AO15" s="850"/>
      <c r="AP15" s="850"/>
      <c r="AQ15" s="850"/>
      <c r="AR15" s="850"/>
      <c r="AS15" s="850"/>
      <c r="AT15" s="850"/>
      <c r="AU15" s="850"/>
      <c r="AV15" s="850"/>
      <c r="AW15" s="850"/>
      <c r="AX15" s="850"/>
      <c r="AY15" s="850"/>
      <c r="AZ15" s="850"/>
      <c r="BA15" s="850"/>
      <c r="BB15" s="850"/>
      <c r="BC15" s="850"/>
      <c r="BD15" s="850"/>
      <c r="BE15" s="850"/>
      <c r="BF15" s="850"/>
      <c r="BG15" s="850"/>
      <c r="BH15" s="850"/>
    </row>
    <row r="16" spans="1:60">
      <c r="A16" s="850"/>
      <c r="B16" s="902" t="s">
        <v>2028</v>
      </c>
      <c r="C16" s="915" t="s">
        <v>2029</v>
      </c>
      <c r="D16" s="916" t="s">
        <v>2030</v>
      </c>
      <c r="E16" s="1044">
        <f>SUM(F16:AJ16)</f>
        <v>-2001226010</v>
      </c>
      <c r="F16" s="1177"/>
      <c r="G16" s="850"/>
      <c r="H16" s="850"/>
      <c r="I16" s="850"/>
      <c r="J16" s="850"/>
      <c r="K16" s="850"/>
      <c r="L16" s="850"/>
      <c r="M16" s="850"/>
      <c r="N16" s="850"/>
      <c r="O16" s="850"/>
      <c r="P16" s="850"/>
      <c r="Q16" s="850"/>
      <c r="R16" s="850"/>
      <c r="S16" s="850"/>
      <c r="T16" s="850"/>
      <c r="U16" s="850"/>
      <c r="V16" s="850"/>
      <c r="W16" s="857">
        <f>-W9</f>
        <v>56773990</v>
      </c>
      <c r="X16" s="850"/>
      <c r="Y16" s="850"/>
      <c r="Z16" s="850"/>
      <c r="AA16" s="850"/>
      <c r="AB16" s="850"/>
      <c r="AC16" s="850"/>
      <c r="AD16" s="850"/>
      <c r="AE16" s="850"/>
      <c r="AF16" s="850"/>
      <c r="AG16" s="850"/>
      <c r="AH16" s="850"/>
      <c r="AI16" s="848">
        <f>'A4.N2FS Consol'!H416+'A4.N2FS Consol'!I416</f>
        <v>-2058000000</v>
      </c>
      <c r="AJ16" s="848"/>
      <c r="AK16" s="1014" t="s">
        <v>681</v>
      </c>
      <c r="AL16" s="850"/>
      <c r="AM16" s="850"/>
      <c r="AN16" s="850"/>
      <c r="AO16" s="850"/>
      <c r="AP16" s="850"/>
      <c r="AQ16" s="850"/>
      <c r="AR16" s="850"/>
      <c r="AS16" s="850"/>
      <c r="AT16" s="850"/>
      <c r="AU16" s="850"/>
      <c r="AV16" s="850"/>
      <c r="AW16" s="850"/>
      <c r="AX16" s="850"/>
      <c r="AY16" s="850"/>
      <c r="AZ16" s="850"/>
      <c r="BA16" s="850"/>
      <c r="BB16" s="850"/>
      <c r="BC16" s="850"/>
      <c r="BD16" s="850"/>
      <c r="BE16" s="850"/>
      <c r="BF16" s="850"/>
      <c r="BG16" s="850"/>
      <c r="BH16" s="850"/>
    </row>
    <row r="17" spans="2:37">
      <c r="B17" s="902"/>
      <c r="C17" s="903"/>
      <c r="D17" s="918"/>
      <c r="E17" s="909"/>
      <c r="F17" s="1177"/>
      <c r="G17" s="850"/>
      <c r="H17" s="850"/>
      <c r="I17" s="850"/>
      <c r="J17" s="850"/>
      <c r="K17" s="850"/>
      <c r="L17" s="850"/>
      <c r="M17" s="850"/>
      <c r="N17" s="850"/>
      <c r="O17" s="850"/>
      <c r="P17" s="850"/>
      <c r="Q17" s="850"/>
      <c r="R17" s="850"/>
      <c r="S17" s="850"/>
      <c r="T17" s="850"/>
      <c r="U17" s="850"/>
      <c r="V17" s="850"/>
      <c r="W17" s="850"/>
      <c r="X17" s="850"/>
      <c r="Y17" s="850"/>
      <c r="Z17" s="850"/>
      <c r="AA17" s="850"/>
      <c r="AB17" s="850"/>
      <c r="AC17" s="850"/>
      <c r="AD17" s="850"/>
      <c r="AE17" s="850"/>
      <c r="AF17" s="850"/>
      <c r="AG17" s="850"/>
      <c r="AH17" s="850"/>
      <c r="AI17" s="850"/>
      <c r="AJ17" s="850"/>
      <c r="AK17" s="1014" t="s">
        <v>681</v>
      </c>
    </row>
    <row r="18" spans="2:37" ht="25.5">
      <c r="B18" s="902"/>
      <c r="C18" s="915" t="s">
        <v>2031</v>
      </c>
      <c r="D18" s="150" t="s">
        <v>2032</v>
      </c>
      <c r="E18" s="510">
        <f>SUM(E9:E16)</f>
        <v>-64993204872</v>
      </c>
      <c r="F18" s="1177"/>
      <c r="G18" s="850"/>
      <c r="H18" s="850"/>
      <c r="I18" s="850"/>
      <c r="J18" s="850"/>
      <c r="K18" s="850"/>
      <c r="L18" s="850"/>
      <c r="M18" s="850"/>
      <c r="N18" s="850"/>
      <c r="O18" s="850"/>
      <c r="P18" s="850"/>
      <c r="Q18" s="850"/>
      <c r="R18" s="850"/>
      <c r="S18" s="850"/>
      <c r="T18" s="850"/>
      <c r="U18" s="850"/>
      <c r="V18" s="850"/>
      <c r="W18" s="850"/>
      <c r="X18" s="850"/>
      <c r="Y18" s="850"/>
      <c r="Z18" s="850"/>
      <c r="AA18" s="850"/>
      <c r="AB18" s="850"/>
      <c r="AC18" s="850"/>
      <c r="AD18" s="850"/>
      <c r="AE18" s="850"/>
      <c r="AF18" s="850"/>
      <c r="AG18" s="850"/>
      <c r="AH18" s="850"/>
      <c r="AI18" s="850"/>
      <c r="AJ18" s="850"/>
      <c r="AK18" s="1014" t="s">
        <v>681</v>
      </c>
    </row>
    <row r="19" spans="2:37">
      <c r="B19" s="902" t="s">
        <v>2033</v>
      </c>
      <c r="C19" s="915" t="s">
        <v>2034</v>
      </c>
      <c r="D19" s="916" t="s">
        <v>2035</v>
      </c>
      <c r="E19" s="1044">
        <f t="shared" ref="E19:E27" si="6">SUM(F19:AJ19)</f>
        <v>19122558854</v>
      </c>
      <c r="F19" s="1177"/>
      <c r="G19" s="850"/>
      <c r="H19" s="850"/>
      <c r="I19" s="850"/>
      <c r="J19" s="850"/>
      <c r="K19" s="850"/>
      <c r="L19" s="857">
        <f>-L5</f>
        <v>-1086427233</v>
      </c>
      <c r="M19" s="857">
        <f>-M5</f>
        <v>-67847895</v>
      </c>
      <c r="N19" s="857">
        <f>ROUND(-N5-N14-N37,0)</f>
        <v>21420877094</v>
      </c>
      <c r="O19" s="850"/>
      <c r="P19" s="850"/>
      <c r="Q19" s="857">
        <f>-Q5</f>
        <v>-25047611</v>
      </c>
      <c r="R19" s="850"/>
      <c r="S19" s="850"/>
      <c r="T19" s="850"/>
      <c r="U19" s="850"/>
      <c r="V19" s="850"/>
      <c r="W19" s="850"/>
      <c r="X19" s="857">
        <f>-X5</f>
        <v>-1118995501</v>
      </c>
      <c r="Y19" s="850"/>
      <c r="Z19" s="850"/>
      <c r="AA19" s="850"/>
      <c r="AB19" s="850"/>
      <c r="AC19" s="850"/>
      <c r="AD19" s="850"/>
      <c r="AE19" s="850"/>
      <c r="AF19" s="850"/>
      <c r="AG19" s="850"/>
      <c r="AH19" s="850"/>
      <c r="AI19" s="850"/>
      <c r="AJ19" s="857">
        <f>ROUND(-AJ5-AJ9,0)</f>
        <v>0</v>
      </c>
      <c r="AK19" s="1014" t="s">
        <v>681</v>
      </c>
    </row>
    <row r="20" spans="2:37">
      <c r="B20" s="902" t="s">
        <v>2036</v>
      </c>
      <c r="C20" s="915" t="s">
        <v>2037</v>
      </c>
      <c r="D20" s="916" t="s">
        <v>2038</v>
      </c>
      <c r="E20" s="1044">
        <f t="shared" si="6"/>
        <v>7790138369</v>
      </c>
      <c r="F20" s="1177"/>
      <c r="G20" s="850"/>
      <c r="H20" s="850"/>
      <c r="I20" s="850"/>
      <c r="J20" s="850"/>
      <c r="K20" s="850"/>
      <c r="L20" s="850"/>
      <c r="M20" s="850"/>
      <c r="N20" s="850"/>
      <c r="O20" s="857">
        <f>-O5</f>
        <v>7790138369</v>
      </c>
      <c r="P20" s="850"/>
      <c r="Q20" s="850"/>
      <c r="R20" s="850"/>
      <c r="S20" s="850"/>
      <c r="T20" s="850"/>
      <c r="U20" s="850"/>
      <c r="V20" s="850"/>
      <c r="W20" s="850"/>
      <c r="X20" s="850"/>
      <c r="Y20" s="850"/>
      <c r="Z20" s="850"/>
      <c r="AA20" s="850"/>
      <c r="AB20" s="850"/>
      <c r="AC20" s="850"/>
      <c r="AD20" s="850"/>
      <c r="AE20" s="850"/>
      <c r="AF20" s="850"/>
      <c r="AG20" s="850"/>
      <c r="AH20" s="850"/>
      <c r="AI20" s="850"/>
      <c r="AJ20" s="850"/>
      <c r="AK20" s="1014" t="s">
        <v>681</v>
      </c>
    </row>
    <row r="21" spans="2:37" ht="25.5">
      <c r="B21" s="902" t="s">
        <v>2039</v>
      </c>
      <c r="C21" s="915" t="s">
        <v>2040</v>
      </c>
      <c r="D21" s="917" t="s">
        <v>2041</v>
      </c>
      <c r="E21" s="1044">
        <f t="shared" si="6"/>
        <v>-584216603421</v>
      </c>
      <c r="F21" s="1177"/>
      <c r="G21" s="850"/>
      <c r="H21" s="850"/>
      <c r="I21" s="850"/>
      <c r="J21" s="850"/>
      <c r="K21" s="850"/>
      <c r="L21" s="850"/>
      <c r="M21" s="850"/>
      <c r="N21" s="850"/>
      <c r="O21" s="850"/>
      <c r="P21" s="850"/>
      <c r="Q21" s="850"/>
      <c r="R21" s="850"/>
      <c r="S21" s="850"/>
      <c r="T21" s="850"/>
      <c r="U21" s="850"/>
      <c r="V21" s="850"/>
      <c r="W21" s="850"/>
      <c r="X21" s="850"/>
      <c r="Y21" s="850"/>
      <c r="Z21" s="857">
        <f>-Z5</f>
        <v>2058455312</v>
      </c>
      <c r="AA21" s="857">
        <f>-AA5</f>
        <v>-1665335923</v>
      </c>
      <c r="AB21" s="857">
        <f>-AB5</f>
        <v>-2343651071</v>
      </c>
      <c r="AC21" s="857">
        <f>-AC5</f>
        <v>1688861624</v>
      </c>
      <c r="AD21" s="857">
        <f>SUM(-AD5-AD15-AD24)</f>
        <v>-583954933363</v>
      </c>
      <c r="AE21" s="857"/>
      <c r="AF21" s="850"/>
      <c r="AG21" s="850"/>
      <c r="AH21" s="850"/>
      <c r="AI21" s="850"/>
      <c r="AJ21" s="850"/>
      <c r="AK21" s="1014" t="s">
        <v>681</v>
      </c>
    </row>
    <row r="22" spans="2:37">
      <c r="B22" s="902" t="s">
        <v>2042</v>
      </c>
      <c r="C22" s="915" t="s">
        <v>2043</v>
      </c>
      <c r="D22" s="916" t="s">
        <v>2044</v>
      </c>
      <c r="E22" s="1044">
        <f t="shared" si="6"/>
        <v>-281401977</v>
      </c>
      <c r="F22" s="1177"/>
      <c r="G22" s="850"/>
      <c r="H22" s="850"/>
      <c r="I22" s="850"/>
      <c r="J22" s="850"/>
      <c r="K22" s="850"/>
      <c r="L22" s="850"/>
      <c r="M22" s="850"/>
      <c r="N22" s="850"/>
      <c r="O22" s="850"/>
      <c r="P22" s="857">
        <f>-P5</f>
        <v>-1301983162</v>
      </c>
      <c r="Q22" s="850"/>
      <c r="R22" s="850"/>
      <c r="S22" s="850"/>
      <c r="T22" s="850"/>
      <c r="U22" s="850"/>
      <c r="V22" s="850"/>
      <c r="W22" s="857">
        <f>-W5</f>
        <v>1020581185</v>
      </c>
      <c r="X22" s="850"/>
      <c r="Y22" s="850"/>
      <c r="Z22" s="850"/>
      <c r="AA22" s="850"/>
      <c r="AB22" s="850"/>
      <c r="AC22" s="850"/>
      <c r="AD22" s="850"/>
      <c r="AE22" s="850"/>
      <c r="AF22" s="850"/>
      <c r="AG22" s="850"/>
      <c r="AH22" s="850"/>
      <c r="AI22" s="850"/>
      <c r="AJ22" s="850"/>
      <c r="AK22" s="1014" t="s">
        <v>681</v>
      </c>
    </row>
    <row r="23" spans="2:37">
      <c r="B23" s="902" t="s">
        <v>2045</v>
      </c>
      <c r="C23" s="915" t="s">
        <v>2046</v>
      </c>
      <c r="D23" s="916" t="s">
        <v>2047</v>
      </c>
      <c r="E23" s="1044">
        <f t="shared" si="6"/>
        <v>114218480839</v>
      </c>
      <c r="F23" s="1177"/>
      <c r="G23" s="850"/>
      <c r="H23" s="850"/>
      <c r="I23" s="857">
        <f>-I5</f>
        <v>114218480839</v>
      </c>
      <c r="J23" s="850"/>
      <c r="K23" s="850"/>
      <c r="L23" s="850"/>
      <c r="M23" s="850"/>
      <c r="N23" s="850"/>
      <c r="O23" s="850"/>
      <c r="P23" s="850"/>
      <c r="Q23" s="850"/>
      <c r="R23" s="850"/>
      <c r="S23" s="850"/>
      <c r="T23" s="850"/>
      <c r="U23" s="850"/>
      <c r="V23" s="850"/>
      <c r="W23" s="850"/>
      <c r="X23" s="850"/>
      <c r="Y23" s="850"/>
      <c r="Z23" s="850"/>
      <c r="AA23" s="850"/>
      <c r="AB23" s="850"/>
      <c r="AC23" s="850"/>
      <c r="AD23" s="850"/>
      <c r="AE23" s="850"/>
      <c r="AF23" s="850"/>
      <c r="AG23" s="850"/>
      <c r="AH23" s="850"/>
      <c r="AI23" s="850"/>
      <c r="AJ23" s="850"/>
      <c r="AK23" s="1014" t="s">
        <v>681</v>
      </c>
    </row>
    <row r="24" spans="2:37">
      <c r="B24" s="902" t="s">
        <v>2048</v>
      </c>
      <c r="C24" s="915" t="s">
        <v>2049</v>
      </c>
      <c r="D24" s="916" t="s">
        <v>2050</v>
      </c>
      <c r="E24" s="1044">
        <f t="shared" si="6"/>
        <v>-1718534241</v>
      </c>
      <c r="F24" s="1177"/>
      <c r="G24" s="850"/>
      <c r="H24" s="850"/>
      <c r="I24" s="850"/>
      <c r="J24" s="850"/>
      <c r="K24" s="850"/>
      <c r="L24" s="850"/>
      <c r="M24" s="850"/>
      <c r="N24" s="850"/>
      <c r="O24" s="850"/>
      <c r="P24" s="850"/>
      <c r="Q24" s="850"/>
      <c r="R24" s="850"/>
      <c r="S24" s="850"/>
      <c r="T24" s="850"/>
      <c r="U24" s="850"/>
      <c r="V24" s="850"/>
      <c r="W24" s="850"/>
      <c r="X24" s="850"/>
      <c r="Y24" s="850"/>
      <c r="Z24" s="850"/>
      <c r="AA24" s="850"/>
      <c r="AB24" s="850"/>
      <c r="AC24" s="850"/>
      <c r="AD24" s="857">
        <f>-AD15</f>
        <v>-1718534241</v>
      </c>
      <c r="AE24" s="857"/>
      <c r="AF24" s="850"/>
      <c r="AG24" s="850"/>
      <c r="AH24" s="850"/>
      <c r="AI24" s="850"/>
      <c r="AJ24" s="850"/>
      <c r="AK24" s="1014" t="s">
        <v>681</v>
      </c>
    </row>
    <row r="25" spans="2:37">
      <c r="B25" s="902" t="s">
        <v>2051</v>
      </c>
      <c r="C25" s="915" t="s">
        <v>2052</v>
      </c>
      <c r="D25" s="916" t="s">
        <v>2053</v>
      </c>
      <c r="E25" s="1044">
        <f t="shared" si="6"/>
        <v>0</v>
      </c>
      <c r="F25" s="1177"/>
      <c r="G25" s="850"/>
      <c r="H25" s="850"/>
      <c r="I25" s="850"/>
      <c r="J25" s="850"/>
      <c r="K25" s="850"/>
      <c r="L25" s="850"/>
      <c r="M25" s="850"/>
      <c r="N25" s="850"/>
      <c r="O25" s="850"/>
      <c r="P25" s="850"/>
      <c r="Q25" s="850"/>
      <c r="R25" s="850"/>
      <c r="S25" s="850"/>
      <c r="T25" s="850"/>
      <c r="U25" s="850"/>
      <c r="V25" s="850"/>
      <c r="W25" s="850"/>
      <c r="X25" s="850"/>
      <c r="Y25" s="850"/>
      <c r="Z25" s="850"/>
      <c r="AA25" s="850"/>
      <c r="AB25" s="850"/>
      <c r="AC25" s="850"/>
      <c r="AD25" s="850"/>
      <c r="AE25" s="850"/>
      <c r="AF25" s="850"/>
      <c r="AG25" s="850"/>
      <c r="AH25" s="850"/>
      <c r="AI25" s="850"/>
      <c r="AJ25" s="850"/>
      <c r="AK25" s="1014" t="s">
        <v>681</v>
      </c>
    </row>
    <row r="26" spans="2:37">
      <c r="B26" s="902" t="s">
        <v>2054</v>
      </c>
      <c r="C26" s="915" t="s">
        <v>2055</v>
      </c>
      <c r="D26" s="916" t="s">
        <v>2056</v>
      </c>
      <c r="E26" s="1044">
        <f t="shared" si="6"/>
        <v>0</v>
      </c>
      <c r="F26" s="1177"/>
      <c r="G26" s="850"/>
      <c r="H26" s="850"/>
      <c r="I26" s="850"/>
      <c r="J26" s="850"/>
      <c r="K26" s="850"/>
      <c r="L26" s="850"/>
      <c r="M26" s="850"/>
      <c r="N26" s="850"/>
      <c r="O26" s="850"/>
      <c r="P26" s="850"/>
      <c r="Q26" s="850"/>
      <c r="R26" s="850"/>
      <c r="S26" s="850"/>
      <c r="T26" s="850"/>
      <c r="U26" s="850"/>
      <c r="V26" s="850"/>
      <c r="W26" s="850"/>
      <c r="X26" s="850"/>
      <c r="Y26" s="850"/>
      <c r="Z26" s="850"/>
      <c r="AA26" s="850"/>
      <c r="AB26" s="850"/>
      <c r="AC26" s="850"/>
      <c r="AD26" s="850"/>
      <c r="AE26" s="850"/>
      <c r="AF26" s="850"/>
      <c r="AG26" s="850"/>
      <c r="AH26" s="850"/>
      <c r="AI26" s="850"/>
      <c r="AJ26" s="850"/>
      <c r="AK26" s="1014" t="s">
        <v>681</v>
      </c>
    </row>
    <row r="27" spans="2:37">
      <c r="B27" s="902" t="s">
        <v>2057</v>
      </c>
      <c r="C27" s="915" t="s">
        <v>2058</v>
      </c>
      <c r="D27" s="916" t="s">
        <v>2059</v>
      </c>
      <c r="E27" s="1044">
        <f t="shared" si="6"/>
        <v>0</v>
      </c>
      <c r="F27" s="1177"/>
      <c r="G27" s="850"/>
      <c r="H27" s="850"/>
      <c r="I27" s="850"/>
      <c r="J27" s="850"/>
      <c r="K27" s="850"/>
      <c r="L27" s="850"/>
      <c r="M27" s="850"/>
      <c r="N27" s="850"/>
      <c r="O27" s="850"/>
      <c r="P27" s="850"/>
      <c r="Q27" s="850"/>
      <c r="R27" s="850"/>
      <c r="S27" s="850"/>
      <c r="T27" s="850"/>
      <c r="U27" s="850"/>
      <c r="V27" s="850"/>
      <c r="W27" s="850"/>
      <c r="X27" s="850"/>
      <c r="Y27" s="850"/>
      <c r="Z27" s="850"/>
      <c r="AA27" s="850"/>
      <c r="AB27" s="850"/>
      <c r="AC27" s="850"/>
      <c r="AD27" s="850"/>
      <c r="AE27" s="850"/>
      <c r="AF27" s="850"/>
      <c r="AG27" s="850"/>
      <c r="AH27" s="850"/>
      <c r="AI27" s="850"/>
      <c r="AJ27" s="850"/>
      <c r="AK27" s="1014" t="s">
        <v>681</v>
      </c>
    </row>
    <row r="28" spans="2:37">
      <c r="B28" s="902"/>
      <c r="C28" s="140" t="s">
        <v>2060</v>
      </c>
      <c r="D28" s="149" t="s">
        <v>2061</v>
      </c>
      <c r="E28" s="510">
        <f>SUM(E18:E27)</f>
        <v>-510078566449</v>
      </c>
      <c r="F28" s="1177"/>
      <c r="G28" s="850"/>
      <c r="H28" s="850"/>
      <c r="I28" s="850"/>
      <c r="J28" s="850"/>
      <c r="K28" s="850"/>
      <c r="L28" s="850"/>
      <c r="M28" s="850"/>
      <c r="N28" s="850"/>
      <c r="O28" s="850"/>
      <c r="P28" s="850"/>
      <c r="Q28" s="850"/>
      <c r="R28" s="850"/>
      <c r="S28" s="850"/>
      <c r="T28" s="850"/>
      <c r="U28" s="850"/>
      <c r="V28" s="850"/>
      <c r="W28" s="850"/>
      <c r="X28" s="850"/>
      <c r="Y28" s="850"/>
      <c r="Z28" s="850"/>
      <c r="AA28" s="850"/>
      <c r="AB28" s="850"/>
      <c r="AC28" s="850"/>
      <c r="AD28" s="850"/>
      <c r="AE28" s="850"/>
      <c r="AF28" s="850"/>
      <c r="AG28" s="850"/>
      <c r="AH28" s="850"/>
      <c r="AI28" s="850"/>
      <c r="AJ28" s="850"/>
      <c r="AK28" s="1014" t="s">
        <v>681</v>
      </c>
    </row>
    <row r="29" spans="2:37">
      <c r="B29" s="902"/>
      <c r="C29" s="903"/>
      <c r="D29" s="918"/>
      <c r="E29" s="909"/>
      <c r="F29" s="1177"/>
      <c r="G29" s="850"/>
      <c r="H29" s="850"/>
      <c r="I29" s="850"/>
      <c r="J29" s="850"/>
      <c r="K29" s="850"/>
      <c r="L29" s="850"/>
      <c r="M29" s="850"/>
      <c r="N29" s="850"/>
      <c r="O29" s="850"/>
      <c r="P29" s="850"/>
      <c r="Q29" s="850"/>
      <c r="R29" s="850"/>
      <c r="S29" s="850"/>
      <c r="T29" s="850"/>
      <c r="U29" s="850"/>
      <c r="V29" s="850"/>
      <c r="W29" s="850"/>
      <c r="X29" s="850"/>
      <c r="Y29" s="850"/>
      <c r="Z29" s="850"/>
      <c r="AA29" s="850"/>
      <c r="AB29" s="850"/>
      <c r="AC29" s="850"/>
      <c r="AD29" s="850"/>
      <c r="AE29" s="850"/>
      <c r="AF29" s="850"/>
      <c r="AG29" s="850"/>
      <c r="AH29" s="850"/>
      <c r="AI29" s="850"/>
      <c r="AJ29" s="850"/>
      <c r="AK29" s="1014" t="s">
        <v>681</v>
      </c>
    </row>
    <row r="30" spans="2:37">
      <c r="B30" s="902"/>
      <c r="C30" s="903"/>
      <c r="D30" s="149" t="s">
        <v>2062</v>
      </c>
      <c r="E30" s="909"/>
      <c r="F30" s="1177"/>
      <c r="G30" s="850"/>
      <c r="H30" s="850"/>
      <c r="I30" s="850"/>
      <c r="J30" s="850"/>
      <c r="K30" s="850"/>
      <c r="L30" s="850"/>
      <c r="M30" s="850"/>
      <c r="N30" s="850"/>
      <c r="O30" s="850"/>
      <c r="P30" s="850"/>
      <c r="Q30" s="850"/>
      <c r="R30" s="850"/>
      <c r="S30" s="850"/>
      <c r="T30" s="850"/>
      <c r="U30" s="850"/>
      <c r="V30" s="850"/>
      <c r="W30" s="850"/>
      <c r="X30" s="850"/>
      <c r="Y30" s="850"/>
      <c r="Z30" s="850"/>
      <c r="AA30" s="850"/>
      <c r="AB30" s="850"/>
      <c r="AC30" s="850"/>
      <c r="AD30" s="850"/>
      <c r="AE30" s="850"/>
      <c r="AF30" s="850"/>
      <c r="AG30" s="850"/>
      <c r="AH30" s="850"/>
      <c r="AI30" s="850"/>
      <c r="AJ30" s="850"/>
      <c r="AK30" s="1014" t="s">
        <v>681</v>
      </c>
    </row>
    <row r="31" spans="2:37" ht="25.5">
      <c r="B31" s="902" t="s">
        <v>2063</v>
      </c>
      <c r="C31" s="915" t="s">
        <v>2064</v>
      </c>
      <c r="D31" s="919" t="s">
        <v>2065</v>
      </c>
      <c r="E31" s="1044">
        <f t="shared" ref="E31:E37" si="7">SUM(F31:AJ31)</f>
        <v>-10188662283</v>
      </c>
      <c r="F31" s="1177"/>
      <c r="G31" s="850"/>
      <c r="H31" s="850"/>
      <c r="I31" s="850"/>
      <c r="J31" s="850"/>
      <c r="K31" s="850"/>
      <c r="L31" s="850"/>
      <c r="M31" s="850"/>
      <c r="N31" s="850"/>
      <c r="O31" s="850"/>
      <c r="P31" s="850"/>
      <c r="Q31" s="850"/>
      <c r="R31" s="857">
        <f>-R5</f>
        <v>-193797091</v>
      </c>
      <c r="S31" s="850"/>
      <c r="T31" s="857">
        <f>-T5</f>
        <v>-8330777517</v>
      </c>
      <c r="U31" s="850"/>
      <c r="V31" s="857">
        <f>-V5</f>
        <v>-1664087675</v>
      </c>
      <c r="W31" s="850"/>
      <c r="X31" s="850"/>
      <c r="Y31" s="850"/>
      <c r="Z31" s="850"/>
      <c r="AA31" s="850"/>
      <c r="AB31" s="850"/>
      <c r="AC31" s="850"/>
      <c r="AD31" s="850"/>
      <c r="AE31" s="850"/>
      <c r="AF31" s="850"/>
      <c r="AG31" s="850"/>
      <c r="AH31" s="850"/>
      <c r="AI31" s="850"/>
      <c r="AJ31" s="850"/>
      <c r="AK31" s="1014" t="s">
        <v>681</v>
      </c>
    </row>
    <row r="32" spans="2:37" ht="25.5">
      <c r="B32" s="902" t="s">
        <v>2066</v>
      </c>
      <c r="C32" s="915" t="s">
        <v>2067</v>
      </c>
      <c r="D32" s="919" t="s">
        <v>2068</v>
      </c>
      <c r="E32" s="1044">
        <f t="shared" si="7"/>
        <v>0</v>
      </c>
      <c r="F32" s="1177"/>
      <c r="G32" s="850"/>
      <c r="H32" s="850"/>
      <c r="I32" s="850"/>
      <c r="J32" s="850"/>
      <c r="K32" s="850"/>
      <c r="L32" s="850"/>
      <c r="M32" s="850"/>
      <c r="N32" s="850"/>
      <c r="O32" s="850"/>
      <c r="P32" s="850"/>
      <c r="Q32" s="850"/>
      <c r="R32" s="850"/>
      <c r="S32" s="850"/>
      <c r="T32" s="850"/>
      <c r="U32" s="850"/>
      <c r="V32" s="850"/>
      <c r="W32" s="850"/>
      <c r="X32" s="850"/>
      <c r="Y32" s="850"/>
      <c r="Z32" s="850"/>
      <c r="AA32" s="850"/>
      <c r="AB32" s="850"/>
      <c r="AC32" s="850"/>
      <c r="AD32" s="850"/>
      <c r="AE32" s="850"/>
      <c r="AF32" s="850"/>
      <c r="AG32" s="850"/>
      <c r="AH32" s="850"/>
      <c r="AI32" s="850"/>
      <c r="AJ32" s="850"/>
      <c r="AK32" s="1014" t="s">
        <v>681</v>
      </c>
    </row>
    <row r="33" spans="2:37">
      <c r="B33" s="902" t="s">
        <v>2069</v>
      </c>
      <c r="C33" s="915" t="s">
        <v>2070</v>
      </c>
      <c r="D33" s="919" t="s">
        <v>2071</v>
      </c>
      <c r="E33" s="1044">
        <f t="shared" si="7"/>
        <v>-42942002298</v>
      </c>
      <c r="F33" s="1177"/>
      <c r="G33" s="850"/>
      <c r="H33" s="850"/>
      <c r="I33" s="850"/>
      <c r="J33" s="850"/>
      <c r="K33" s="857">
        <f>-E86</f>
        <v>-42942002298</v>
      </c>
      <c r="L33" s="850"/>
      <c r="M33" s="850"/>
      <c r="N33" s="850"/>
      <c r="O33" s="850"/>
      <c r="P33" s="850"/>
      <c r="Q33" s="850"/>
      <c r="R33" s="850"/>
      <c r="S33" s="850"/>
      <c r="T33" s="850"/>
      <c r="U33" s="850"/>
      <c r="V33" s="850"/>
      <c r="W33" s="850"/>
      <c r="X33" s="850"/>
      <c r="Y33" s="850"/>
      <c r="Z33" s="850"/>
      <c r="AA33" s="850"/>
      <c r="AB33" s="850"/>
      <c r="AC33" s="850"/>
      <c r="AD33" s="850"/>
      <c r="AE33" s="850"/>
      <c r="AF33" s="850"/>
      <c r="AG33" s="850"/>
      <c r="AH33" s="850"/>
      <c r="AI33" s="850"/>
      <c r="AJ33" s="850"/>
      <c r="AK33" s="1014" t="s">
        <v>681</v>
      </c>
    </row>
    <row r="34" spans="2:37" ht="25.5">
      <c r="B34" s="902" t="s">
        <v>2072</v>
      </c>
      <c r="C34" s="915" t="s">
        <v>2073</v>
      </c>
      <c r="D34" s="919" t="s">
        <v>2074</v>
      </c>
      <c r="E34" s="1044">
        <f t="shared" si="7"/>
        <v>469368258711</v>
      </c>
      <c r="F34" s="1177"/>
      <c r="G34" s="850"/>
      <c r="H34" s="850"/>
      <c r="I34" s="850"/>
      <c r="J34" s="850"/>
      <c r="K34" s="857">
        <f>-E78</f>
        <v>469368258711</v>
      </c>
      <c r="L34" s="850"/>
      <c r="M34" s="850"/>
      <c r="N34" s="850"/>
      <c r="O34" s="850"/>
      <c r="P34" s="850"/>
      <c r="Q34" s="850"/>
      <c r="R34" s="850"/>
      <c r="S34" s="850"/>
      <c r="T34" s="850"/>
      <c r="U34" s="850"/>
      <c r="V34" s="850"/>
      <c r="W34" s="850"/>
      <c r="X34" s="850"/>
      <c r="Y34" s="850"/>
      <c r="Z34" s="850"/>
      <c r="AA34" s="850"/>
      <c r="AB34" s="850"/>
      <c r="AC34" s="850"/>
      <c r="AD34" s="850"/>
      <c r="AE34" s="850"/>
      <c r="AF34" s="850"/>
      <c r="AG34" s="850"/>
      <c r="AH34" s="850"/>
      <c r="AI34" s="850"/>
      <c r="AJ34" s="850"/>
      <c r="AK34" s="1014" t="s">
        <v>681</v>
      </c>
    </row>
    <row r="35" spans="2:37">
      <c r="B35" s="902" t="s">
        <v>2075</v>
      </c>
      <c r="C35" s="915" t="s">
        <v>2076</v>
      </c>
      <c r="D35" s="918" t="s">
        <v>2077</v>
      </c>
      <c r="E35" s="1044">
        <f t="shared" si="7"/>
        <v>0</v>
      </c>
      <c r="F35" s="1177"/>
      <c r="G35" s="850"/>
      <c r="H35" s="850"/>
      <c r="I35" s="850"/>
      <c r="J35" s="850"/>
      <c r="K35" s="850"/>
      <c r="L35" s="850"/>
      <c r="M35" s="850"/>
      <c r="N35" s="850"/>
      <c r="O35" s="850"/>
      <c r="P35" s="850"/>
      <c r="Q35" s="850"/>
      <c r="R35" s="850"/>
      <c r="S35" s="850"/>
      <c r="T35" s="850"/>
      <c r="U35" s="850"/>
      <c r="V35" s="850"/>
      <c r="W35" s="850"/>
      <c r="X35" s="850"/>
      <c r="Y35" s="850"/>
      <c r="Z35" s="850"/>
      <c r="AA35" s="850"/>
      <c r="AB35" s="850"/>
      <c r="AC35" s="850"/>
      <c r="AD35" s="850"/>
      <c r="AE35" s="850"/>
      <c r="AF35" s="850"/>
      <c r="AG35" s="850"/>
      <c r="AH35" s="850"/>
      <c r="AI35" s="850"/>
      <c r="AJ35" s="850"/>
      <c r="AK35" s="1014" t="s">
        <v>681</v>
      </c>
    </row>
    <row r="36" spans="2:37">
      <c r="B36" s="902" t="s">
        <v>2078</v>
      </c>
      <c r="C36" s="915" t="s">
        <v>2079</v>
      </c>
      <c r="D36" s="918" t="s">
        <v>2080</v>
      </c>
      <c r="E36" s="1044">
        <f t="shared" si="7"/>
        <v>0</v>
      </c>
      <c r="F36" s="1177"/>
      <c r="G36" s="850"/>
      <c r="H36" s="850"/>
      <c r="I36" s="850"/>
      <c r="J36" s="850"/>
      <c r="K36" s="850"/>
      <c r="L36" s="850"/>
      <c r="M36" s="850"/>
      <c r="N36" s="850"/>
      <c r="O36" s="850"/>
      <c r="P36" s="850"/>
      <c r="Q36" s="850"/>
      <c r="R36" s="850"/>
      <c r="S36" s="850"/>
      <c r="T36" s="850"/>
      <c r="U36" s="850"/>
      <c r="V36" s="850"/>
      <c r="W36" s="850"/>
      <c r="X36" s="850"/>
      <c r="Y36" s="850"/>
      <c r="Z36" s="850"/>
      <c r="AA36" s="850"/>
      <c r="AB36" s="850"/>
      <c r="AC36" s="850"/>
      <c r="AD36" s="850"/>
      <c r="AE36" s="850"/>
      <c r="AF36" s="850"/>
      <c r="AG36" s="850"/>
      <c r="AH36" s="850"/>
      <c r="AI36" s="850"/>
      <c r="AJ36" s="850"/>
      <c r="AK36" s="1014" t="s">
        <v>681</v>
      </c>
    </row>
    <row r="37" spans="2:37">
      <c r="B37" s="902" t="s">
        <v>2081</v>
      </c>
      <c r="C37" s="915" t="s">
        <v>2082</v>
      </c>
      <c r="D37" s="918" t="s">
        <v>2083</v>
      </c>
      <c r="E37" s="1044">
        <f t="shared" si="7"/>
        <v>59185590916</v>
      </c>
      <c r="F37" s="1177"/>
      <c r="G37" s="850"/>
      <c r="H37" s="850"/>
      <c r="I37" s="850"/>
      <c r="J37" s="850"/>
      <c r="K37" s="850"/>
      <c r="L37" s="850"/>
      <c r="M37" s="850"/>
      <c r="N37" s="857">
        <f>D66</f>
        <v>59185590916</v>
      </c>
      <c r="O37" s="850"/>
      <c r="P37" s="850"/>
      <c r="Q37" s="850"/>
      <c r="R37" s="850"/>
      <c r="S37" s="850"/>
      <c r="T37" s="850"/>
      <c r="U37" s="850"/>
      <c r="V37" s="850"/>
      <c r="W37" s="850"/>
      <c r="X37" s="850"/>
      <c r="Y37" s="850"/>
      <c r="Z37" s="850"/>
      <c r="AA37" s="850"/>
      <c r="AB37" s="850"/>
      <c r="AC37" s="850"/>
      <c r="AD37" s="850"/>
      <c r="AE37" s="850"/>
      <c r="AF37" s="850"/>
      <c r="AG37" s="850"/>
      <c r="AH37" s="850"/>
      <c r="AI37" s="850"/>
      <c r="AJ37" s="850"/>
      <c r="AK37" s="1014" t="s">
        <v>681</v>
      </c>
    </row>
    <row r="38" spans="2:37">
      <c r="B38" s="902"/>
      <c r="C38" s="140" t="s">
        <v>2084</v>
      </c>
      <c r="D38" s="149" t="s">
        <v>2085</v>
      </c>
      <c r="E38" s="537">
        <f>SUM(E31:E37)</f>
        <v>475423185046</v>
      </c>
      <c r="F38" s="1177"/>
      <c r="G38" s="850"/>
      <c r="H38" s="850"/>
      <c r="I38" s="850"/>
      <c r="J38" s="850"/>
      <c r="K38" s="850"/>
      <c r="L38" s="850"/>
      <c r="M38" s="850"/>
      <c r="N38" s="850"/>
      <c r="O38" s="850"/>
      <c r="P38" s="850"/>
      <c r="Q38" s="850"/>
      <c r="R38" s="850"/>
      <c r="S38" s="850"/>
      <c r="T38" s="850"/>
      <c r="U38" s="850"/>
      <c r="V38" s="850"/>
      <c r="W38" s="850"/>
      <c r="X38" s="850"/>
      <c r="Y38" s="850"/>
      <c r="Z38" s="850"/>
      <c r="AA38" s="850"/>
      <c r="AB38" s="850"/>
      <c r="AC38" s="850"/>
      <c r="AD38" s="850"/>
      <c r="AE38" s="850"/>
      <c r="AF38" s="850"/>
      <c r="AG38" s="850"/>
      <c r="AH38" s="850"/>
      <c r="AI38" s="850"/>
      <c r="AJ38" s="850"/>
      <c r="AK38" s="1014" t="s">
        <v>681</v>
      </c>
    </row>
    <row r="39" spans="2:37">
      <c r="B39" s="902"/>
      <c r="C39" s="903"/>
      <c r="D39" s="918"/>
      <c r="E39" s="909"/>
      <c r="F39" s="1177"/>
      <c r="G39" s="850"/>
      <c r="H39" s="850"/>
      <c r="I39" s="850"/>
      <c r="J39" s="850"/>
      <c r="K39" s="850"/>
      <c r="L39" s="850"/>
      <c r="M39" s="850"/>
      <c r="N39" s="850"/>
      <c r="O39" s="850"/>
      <c r="P39" s="850"/>
      <c r="Q39" s="850"/>
      <c r="R39" s="850"/>
      <c r="S39" s="850"/>
      <c r="T39" s="850"/>
      <c r="U39" s="850"/>
      <c r="V39" s="850"/>
      <c r="W39" s="850"/>
      <c r="X39" s="850"/>
      <c r="Y39" s="850"/>
      <c r="Z39" s="850"/>
      <c r="AA39" s="850"/>
      <c r="AB39" s="850"/>
      <c r="AC39" s="850"/>
      <c r="AD39" s="850"/>
      <c r="AE39" s="850"/>
      <c r="AF39" s="850"/>
      <c r="AG39" s="850"/>
      <c r="AH39" s="850"/>
      <c r="AI39" s="850"/>
      <c r="AJ39" s="850"/>
      <c r="AK39" s="1014" t="s">
        <v>681</v>
      </c>
    </row>
    <row r="40" spans="2:37">
      <c r="B40" s="902"/>
      <c r="C40" s="903"/>
      <c r="D40" s="149" t="s">
        <v>2086</v>
      </c>
      <c r="E40" s="909"/>
      <c r="F40" s="1177"/>
      <c r="G40" s="850"/>
      <c r="H40" s="850"/>
      <c r="I40" s="850"/>
      <c r="J40" s="850"/>
      <c r="K40" s="850"/>
      <c r="L40" s="850"/>
      <c r="M40" s="850"/>
      <c r="N40" s="850"/>
      <c r="O40" s="850"/>
      <c r="P40" s="850"/>
      <c r="Q40" s="850"/>
      <c r="R40" s="850"/>
      <c r="S40" s="850"/>
      <c r="T40" s="850"/>
      <c r="U40" s="850"/>
      <c r="V40" s="850"/>
      <c r="W40" s="850"/>
      <c r="X40" s="850"/>
      <c r="Y40" s="850"/>
      <c r="Z40" s="850"/>
      <c r="AA40" s="850"/>
      <c r="AB40" s="850"/>
      <c r="AC40" s="850"/>
      <c r="AD40" s="850"/>
      <c r="AE40" s="850"/>
      <c r="AF40" s="850"/>
      <c r="AG40" s="850"/>
      <c r="AH40" s="850"/>
      <c r="AI40" s="850"/>
      <c r="AJ40" s="850"/>
      <c r="AK40" s="1014" t="s">
        <v>681</v>
      </c>
    </row>
    <row r="41" spans="2:37" ht="25.5">
      <c r="B41" s="902" t="s">
        <v>2087</v>
      </c>
      <c r="C41" s="915" t="s">
        <v>2088</v>
      </c>
      <c r="D41" s="919" t="s">
        <v>2089</v>
      </c>
      <c r="E41" s="1044">
        <f t="shared" ref="E41:E46" si="8">SUM(F41:AJ41)</f>
        <v>0</v>
      </c>
      <c r="F41" s="1177"/>
      <c r="G41" s="850"/>
      <c r="H41" s="850"/>
      <c r="I41" s="850"/>
      <c r="J41" s="850"/>
      <c r="K41" s="850"/>
      <c r="L41" s="850"/>
      <c r="M41" s="850"/>
      <c r="N41" s="850"/>
      <c r="O41" s="850"/>
      <c r="P41" s="850"/>
      <c r="Q41" s="850"/>
      <c r="R41" s="850"/>
      <c r="S41" s="850"/>
      <c r="T41" s="850"/>
      <c r="U41" s="850"/>
      <c r="V41" s="850"/>
      <c r="W41" s="850"/>
      <c r="X41" s="850"/>
      <c r="Y41" s="850"/>
      <c r="Z41" s="850"/>
      <c r="AA41" s="850"/>
      <c r="AB41" s="850"/>
      <c r="AC41" s="850"/>
      <c r="AD41" s="850"/>
      <c r="AE41" s="850"/>
      <c r="AF41" s="857">
        <f>-AF5</f>
        <v>0</v>
      </c>
      <c r="AG41" s="850"/>
      <c r="AH41" s="850"/>
      <c r="AI41" s="850"/>
      <c r="AJ41" s="850"/>
      <c r="AK41" s="1014" t="s">
        <v>681</v>
      </c>
    </row>
    <row r="42" spans="2:37" ht="25.5">
      <c r="B42" s="902" t="s">
        <v>2090</v>
      </c>
      <c r="C42" s="915" t="s">
        <v>2091</v>
      </c>
      <c r="D42" s="919" t="s">
        <v>2092</v>
      </c>
      <c r="E42" s="1044">
        <f t="shared" si="8"/>
        <v>0</v>
      </c>
      <c r="F42" s="1177"/>
      <c r="G42" s="850"/>
      <c r="H42" s="850"/>
      <c r="I42" s="850"/>
      <c r="J42" s="850"/>
      <c r="K42" s="850"/>
      <c r="L42" s="850"/>
      <c r="M42" s="850"/>
      <c r="N42" s="850"/>
      <c r="O42" s="850"/>
      <c r="P42" s="850"/>
      <c r="Q42" s="850"/>
      <c r="R42" s="850"/>
      <c r="S42" s="850"/>
      <c r="T42" s="850"/>
      <c r="U42" s="850"/>
      <c r="V42" s="850"/>
      <c r="W42" s="850"/>
      <c r="X42" s="850"/>
      <c r="Y42" s="850"/>
      <c r="Z42" s="850"/>
      <c r="AA42" s="850"/>
      <c r="AB42" s="850"/>
      <c r="AC42" s="850"/>
      <c r="AD42" s="850"/>
      <c r="AE42" s="850"/>
      <c r="AF42" s="850"/>
      <c r="AG42" s="850"/>
      <c r="AH42" s="850"/>
      <c r="AI42" s="850"/>
      <c r="AJ42" s="850"/>
      <c r="AK42" s="1014" t="s">
        <v>681</v>
      </c>
    </row>
    <row r="43" spans="2:37">
      <c r="B43" s="902" t="s">
        <v>2093</v>
      </c>
      <c r="C43" s="915" t="s">
        <v>2094</v>
      </c>
      <c r="D43" s="918" t="s">
        <v>2095</v>
      </c>
      <c r="E43" s="1044">
        <f t="shared" si="8"/>
        <v>267594500000</v>
      </c>
      <c r="F43" s="1177"/>
      <c r="G43" s="850"/>
      <c r="H43" s="850"/>
      <c r="I43" s="850"/>
      <c r="J43" s="850"/>
      <c r="K43" s="850"/>
      <c r="L43" s="850"/>
      <c r="M43" s="850"/>
      <c r="N43" s="850"/>
      <c r="O43" s="850"/>
      <c r="P43" s="850"/>
      <c r="Q43" s="850"/>
      <c r="R43" s="850"/>
      <c r="S43" s="850"/>
      <c r="T43" s="850"/>
      <c r="U43" s="850"/>
      <c r="V43" s="850"/>
      <c r="W43" s="850"/>
      <c r="X43" s="850"/>
      <c r="Y43" s="850"/>
      <c r="Z43" s="850"/>
      <c r="AA43" s="850"/>
      <c r="AB43" s="850"/>
      <c r="AC43" s="850"/>
      <c r="AD43" s="850"/>
      <c r="AE43" s="857">
        <f>'A4.N2FS Consol'!H396</f>
        <v>267594500000</v>
      </c>
      <c r="AF43" s="850"/>
      <c r="AG43" s="850"/>
      <c r="AH43" s="850"/>
      <c r="AI43" s="850"/>
      <c r="AJ43" s="850"/>
      <c r="AK43" s="1014" t="s">
        <v>681</v>
      </c>
    </row>
    <row r="44" spans="2:37">
      <c r="B44" s="902" t="s">
        <v>2096</v>
      </c>
      <c r="C44" s="915" t="s">
        <v>2097</v>
      </c>
      <c r="D44" s="918" t="s">
        <v>2098</v>
      </c>
      <c r="E44" s="1044">
        <f t="shared" si="8"/>
        <v>-218594500000</v>
      </c>
      <c r="F44" s="1177"/>
      <c r="G44" s="850"/>
      <c r="H44" s="850"/>
      <c r="I44" s="850"/>
      <c r="J44" s="850"/>
      <c r="K44" s="850"/>
      <c r="L44" s="850"/>
      <c r="M44" s="850"/>
      <c r="N44" s="850"/>
      <c r="O44" s="850"/>
      <c r="P44" s="850"/>
      <c r="Q44" s="850"/>
      <c r="R44" s="850"/>
      <c r="S44" s="850"/>
      <c r="T44" s="850"/>
      <c r="U44" s="850"/>
      <c r="V44" s="850"/>
      <c r="W44" s="850"/>
      <c r="X44" s="850"/>
      <c r="Y44" s="850"/>
      <c r="Z44" s="850"/>
      <c r="AA44" s="850"/>
      <c r="AB44" s="850"/>
      <c r="AC44" s="850"/>
      <c r="AD44" s="850"/>
      <c r="AE44" s="848">
        <f>'A4.N2FS Consol'!I396</f>
        <v>-218594500000</v>
      </c>
      <c r="AF44" s="850"/>
      <c r="AG44" s="850"/>
      <c r="AH44" s="850"/>
      <c r="AI44" s="850"/>
      <c r="AJ44" s="850"/>
      <c r="AK44" s="1014" t="s">
        <v>681</v>
      </c>
    </row>
    <row r="45" spans="2:37">
      <c r="B45" s="902" t="s">
        <v>2099</v>
      </c>
      <c r="C45" s="915" t="s">
        <v>2100</v>
      </c>
      <c r="D45" s="918" t="s">
        <v>2101</v>
      </c>
      <c r="E45" s="1044">
        <f t="shared" si="8"/>
        <v>0</v>
      </c>
      <c r="F45" s="1177"/>
      <c r="G45" s="850"/>
      <c r="H45" s="850"/>
      <c r="I45" s="850"/>
      <c r="J45" s="850"/>
      <c r="K45" s="850"/>
      <c r="L45" s="850"/>
      <c r="M45" s="850"/>
      <c r="N45" s="850"/>
      <c r="O45" s="850"/>
      <c r="P45" s="850"/>
      <c r="Q45" s="850"/>
      <c r="R45" s="850"/>
      <c r="S45" s="850"/>
      <c r="T45" s="850"/>
      <c r="U45" s="850"/>
      <c r="V45" s="850"/>
      <c r="W45" s="850"/>
      <c r="X45" s="850"/>
      <c r="Y45" s="850"/>
      <c r="Z45" s="850"/>
      <c r="AA45" s="850"/>
      <c r="AB45" s="850"/>
      <c r="AC45" s="850"/>
      <c r="AD45" s="850"/>
      <c r="AE45" s="850"/>
      <c r="AF45" s="850"/>
      <c r="AG45" s="850"/>
      <c r="AH45" s="850"/>
      <c r="AI45" s="850"/>
      <c r="AJ45" s="850"/>
      <c r="AK45" s="1014" t="s">
        <v>681</v>
      </c>
    </row>
    <row r="46" spans="2:37">
      <c r="B46" s="902" t="s">
        <v>2102</v>
      </c>
      <c r="C46" s="915" t="s">
        <v>2103</v>
      </c>
      <c r="D46" s="918" t="s">
        <v>2104</v>
      </c>
      <c r="E46" s="1044">
        <f t="shared" si="8"/>
        <v>0</v>
      </c>
      <c r="F46" s="1177"/>
      <c r="G46" s="850"/>
      <c r="H46" s="850"/>
      <c r="I46" s="850"/>
      <c r="J46" s="850"/>
      <c r="K46" s="850"/>
      <c r="L46" s="850"/>
      <c r="M46" s="850"/>
      <c r="N46" s="850"/>
      <c r="O46" s="850"/>
      <c r="P46" s="850"/>
      <c r="Q46" s="850"/>
      <c r="R46" s="850"/>
      <c r="S46" s="850"/>
      <c r="T46" s="850"/>
      <c r="U46" s="850"/>
      <c r="V46" s="850"/>
      <c r="W46" s="850"/>
      <c r="X46" s="850"/>
      <c r="Y46" s="850"/>
      <c r="Z46" s="850"/>
      <c r="AA46" s="850"/>
      <c r="AB46" s="850"/>
      <c r="AC46" s="850"/>
      <c r="AD46" s="850"/>
      <c r="AE46" s="850"/>
      <c r="AF46" s="850"/>
      <c r="AG46" s="850"/>
      <c r="AH46" s="850"/>
      <c r="AI46" s="850"/>
      <c r="AJ46" s="850"/>
      <c r="AK46" s="1014" t="s">
        <v>681</v>
      </c>
    </row>
    <row r="47" spans="2:37">
      <c r="B47" s="902"/>
      <c r="C47" s="140" t="s">
        <v>2105</v>
      </c>
      <c r="D47" s="149" t="s">
        <v>2106</v>
      </c>
      <c r="E47" s="537">
        <f>SUM(E41:E46)</f>
        <v>49000000000</v>
      </c>
      <c r="F47" s="1177"/>
      <c r="G47" s="850"/>
      <c r="H47" s="850"/>
      <c r="I47" s="850"/>
      <c r="J47" s="850"/>
      <c r="K47" s="850"/>
      <c r="L47" s="850"/>
      <c r="M47" s="850"/>
      <c r="N47" s="850"/>
      <c r="O47" s="850"/>
      <c r="P47" s="850"/>
      <c r="Q47" s="850"/>
      <c r="R47" s="850"/>
      <c r="S47" s="850"/>
      <c r="T47" s="850"/>
      <c r="U47" s="850"/>
      <c r="V47" s="850"/>
      <c r="W47" s="850"/>
      <c r="X47" s="850"/>
      <c r="Y47" s="850"/>
      <c r="Z47" s="850"/>
      <c r="AA47" s="850"/>
      <c r="AB47" s="850"/>
      <c r="AC47" s="850"/>
      <c r="AD47" s="850"/>
      <c r="AE47" s="850"/>
      <c r="AF47" s="850"/>
      <c r="AG47" s="850"/>
      <c r="AH47" s="850"/>
      <c r="AI47" s="850"/>
      <c r="AJ47" s="850"/>
      <c r="AK47" s="1014" t="s">
        <v>681</v>
      </c>
    </row>
    <row r="48" spans="2:37">
      <c r="B48" s="902"/>
      <c r="C48" s="903"/>
      <c r="D48" s="918"/>
      <c r="E48" s="909"/>
      <c r="F48" s="1177"/>
      <c r="G48" s="850"/>
      <c r="H48" s="850"/>
      <c r="I48" s="850"/>
      <c r="J48" s="850"/>
      <c r="K48" s="850"/>
      <c r="L48" s="850"/>
      <c r="M48" s="850"/>
      <c r="N48" s="850"/>
      <c r="O48" s="850"/>
      <c r="P48" s="850"/>
      <c r="Q48" s="850"/>
      <c r="R48" s="850"/>
      <c r="S48" s="850"/>
      <c r="T48" s="850"/>
      <c r="U48" s="850"/>
      <c r="V48" s="850"/>
      <c r="W48" s="850"/>
      <c r="X48" s="850"/>
      <c r="Y48" s="850"/>
      <c r="Z48" s="850"/>
      <c r="AA48" s="850"/>
      <c r="AB48" s="850"/>
      <c r="AC48" s="850"/>
      <c r="AD48" s="850"/>
      <c r="AE48" s="850"/>
      <c r="AF48" s="850"/>
      <c r="AG48" s="850"/>
      <c r="AH48" s="850"/>
      <c r="AI48" s="850"/>
      <c r="AJ48" s="850"/>
      <c r="AK48" s="1014" t="s">
        <v>681</v>
      </c>
    </row>
    <row r="49" spans="1:37">
      <c r="A49" s="850"/>
      <c r="B49" s="902"/>
      <c r="C49" s="140" t="s">
        <v>2107</v>
      </c>
      <c r="D49" s="149" t="s">
        <v>2108</v>
      </c>
      <c r="E49" s="537">
        <f>SUM(E28,E38,E47)</f>
        <v>14344618597</v>
      </c>
      <c r="F49" s="1177"/>
      <c r="G49" s="850"/>
      <c r="H49" s="850"/>
      <c r="I49" s="850"/>
      <c r="J49" s="850"/>
      <c r="K49" s="850"/>
      <c r="L49" s="850"/>
      <c r="M49" s="850"/>
      <c r="N49" s="850"/>
      <c r="O49" s="850"/>
      <c r="P49" s="850"/>
      <c r="Q49" s="850"/>
      <c r="R49" s="850"/>
      <c r="S49" s="850"/>
      <c r="T49" s="850"/>
      <c r="U49" s="850"/>
      <c r="V49" s="850"/>
      <c r="W49" s="850"/>
      <c r="X49" s="850"/>
      <c r="Y49" s="850"/>
      <c r="Z49" s="850"/>
      <c r="AA49" s="850"/>
      <c r="AB49" s="850"/>
      <c r="AC49" s="850"/>
      <c r="AD49" s="850"/>
      <c r="AE49" s="850"/>
      <c r="AF49" s="850"/>
      <c r="AG49" s="850"/>
      <c r="AH49" s="850"/>
      <c r="AI49" s="850"/>
      <c r="AJ49" s="850"/>
      <c r="AK49" s="1014" t="s">
        <v>681</v>
      </c>
    </row>
    <row r="50" spans="1:37">
      <c r="A50" s="850"/>
      <c r="B50" s="902"/>
      <c r="C50" s="903"/>
      <c r="D50" s="918"/>
      <c r="E50" s="909"/>
      <c r="F50" s="1177"/>
      <c r="G50" s="850"/>
      <c r="H50" s="850"/>
      <c r="I50" s="850"/>
      <c r="J50" s="850"/>
      <c r="K50" s="850"/>
      <c r="L50" s="850"/>
      <c r="M50" s="850"/>
      <c r="N50" s="850"/>
      <c r="O50" s="850"/>
      <c r="P50" s="850"/>
      <c r="Q50" s="850"/>
      <c r="R50" s="850"/>
      <c r="S50" s="850"/>
      <c r="T50" s="850"/>
      <c r="U50" s="850"/>
      <c r="V50" s="850"/>
      <c r="W50" s="850"/>
      <c r="X50" s="850"/>
      <c r="Y50" s="850"/>
      <c r="Z50" s="850"/>
      <c r="AA50" s="850"/>
      <c r="AB50" s="850"/>
      <c r="AC50" s="850"/>
      <c r="AD50" s="850"/>
      <c r="AE50" s="850"/>
      <c r="AF50" s="850"/>
      <c r="AG50" s="850"/>
      <c r="AH50" s="850"/>
      <c r="AI50" s="850"/>
      <c r="AJ50" s="850"/>
      <c r="AK50" s="1014" t="s">
        <v>681</v>
      </c>
    </row>
    <row r="51" spans="1:37">
      <c r="A51" s="850"/>
      <c r="B51" s="143" t="s">
        <v>2109</v>
      </c>
      <c r="C51" s="140" t="s">
        <v>2110</v>
      </c>
      <c r="D51" s="149" t="s">
        <v>2111</v>
      </c>
      <c r="E51" s="537">
        <f>SUM(G51:AJ51)</f>
        <v>86374145020</v>
      </c>
      <c r="F51" s="1177"/>
      <c r="G51" s="857">
        <f>G3</f>
        <v>69041490532</v>
      </c>
      <c r="H51" s="857">
        <f>H3</f>
        <v>17332654488</v>
      </c>
      <c r="I51" s="850"/>
      <c r="J51" s="850"/>
      <c r="K51" s="850"/>
      <c r="L51" s="850"/>
      <c r="M51" s="850"/>
      <c r="N51" s="850"/>
      <c r="O51" s="850"/>
      <c r="P51" s="850"/>
      <c r="Q51" s="850"/>
      <c r="R51" s="850"/>
      <c r="S51" s="850"/>
      <c r="T51" s="850"/>
      <c r="U51" s="850"/>
      <c r="V51" s="850"/>
      <c r="W51" s="850"/>
      <c r="X51" s="850"/>
      <c r="Y51" s="850"/>
      <c r="Z51" s="850"/>
      <c r="AA51" s="850"/>
      <c r="AB51" s="850"/>
      <c r="AC51" s="850"/>
      <c r="AD51" s="850"/>
      <c r="AE51" s="850"/>
      <c r="AF51" s="850"/>
      <c r="AG51" s="850"/>
      <c r="AH51" s="850"/>
      <c r="AI51" s="850"/>
      <c r="AJ51" s="850"/>
      <c r="AK51" s="1014" t="s">
        <v>681</v>
      </c>
    </row>
    <row r="52" spans="1:37">
      <c r="A52" s="850"/>
      <c r="B52" s="902" t="s">
        <v>2112</v>
      </c>
      <c r="C52" s="915" t="s">
        <v>2113</v>
      </c>
      <c r="D52" s="919" t="s">
        <v>2114</v>
      </c>
      <c r="E52" s="537">
        <v>0</v>
      </c>
      <c r="F52" s="1177"/>
      <c r="G52" s="850"/>
      <c r="H52" s="850"/>
      <c r="I52" s="850"/>
      <c r="J52" s="850"/>
      <c r="K52" s="850"/>
      <c r="L52" s="850"/>
      <c r="M52" s="850"/>
      <c r="N52" s="850"/>
      <c r="O52" s="850"/>
      <c r="P52" s="850"/>
      <c r="Q52" s="850"/>
      <c r="R52" s="850"/>
      <c r="S52" s="850"/>
      <c r="T52" s="850"/>
      <c r="U52" s="850"/>
      <c r="V52" s="850"/>
      <c r="W52" s="850"/>
      <c r="X52" s="850"/>
      <c r="Y52" s="850"/>
      <c r="Z52" s="850"/>
      <c r="AA52" s="850"/>
      <c r="AB52" s="850"/>
      <c r="AC52" s="850"/>
      <c r="AD52" s="850"/>
      <c r="AE52" s="850"/>
      <c r="AF52" s="850"/>
      <c r="AG52" s="850"/>
      <c r="AH52" s="850"/>
      <c r="AI52" s="850"/>
      <c r="AJ52" s="850"/>
      <c r="AK52" s="1014" t="s">
        <v>681</v>
      </c>
    </row>
    <row r="53" spans="1:37">
      <c r="A53" s="850"/>
      <c r="B53" s="902"/>
      <c r="C53" s="903"/>
      <c r="D53" s="918"/>
      <c r="E53" s="909"/>
      <c r="F53" s="1177"/>
      <c r="G53" s="850"/>
      <c r="H53" s="850"/>
      <c r="I53" s="850"/>
      <c r="J53" s="850"/>
      <c r="K53" s="850"/>
      <c r="L53" s="850"/>
      <c r="M53" s="850"/>
      <c r="N53" s="850"/>
      <c r="O53" s="850"/>
      <c r="P53" s="850"/>
      <c r="Q53" s="850"/>
      <c r="R53" s="850"/>
      <c r="S53" s="850"/>
      <c r="T53" s="850"/>
      <c r="U53" s="850"/>
      <c r="V53" s="850"/>
      <c r="W53" s="850"/>
      <c r="X53" s="850"/>
      <c r="Y53" s="850"/>
      <c r="Z53" s="850"/>
      <c r="AA53" s="850"/>
      <c r="AB53" s="850"/>
      <c r="AC53" s="850"/>
      <c r="AD53" s="850"/>
      <c r="AE53" s="850"/>
      <c r="AF53" s="850"/>
      <c r="AG53" s="850"/>
      <c r="AH53" s="850"/>
      <c r="AI53" s="850"/>
      <c r="AJ53" s="850"/>
      <c r="AK53" s="1014" t="s">
        <v>681</v>
      </c>
    </row>
    <row r="54" spans="1:37" ht="13.5" thickBot="1">
      <c r="A54" s="850"/>
      <c r="B54" s="144" t="s">
        <v>2115</v>
      </c>
      <c r="C54" s="145" t="s">
        <v>2116</v>
      </c>
      <c r="D54" s="151" t="s">
        <v>2117</v>
      </c>
      <c r="E54" s="540">
        <f>SUM(G54:AJ54)</f>
        <v>100718763617</v>
      </c>
      <c r="F54" s="1179"/>
      <c r="G54" s="857">
        <f>G4</f>
        <v>61961257585</v>
      </c>
      <c r="H54" s="857">
        <f>H4</f>
        <v>38757506032</v>
      </c>
      <c r="I54" s="850"/>
      <c r="J54" s="850"/>
      <c r="K54" s="850"/>
      <c r="L54" s="850"/>
      <c r="M54" s="850"/>
      <c r="N54" s="850"/>
      <c r="O54" s="850"/>
      <c r="P54" s="850"/>
      <c r="Q54" s="850"/>
      <c r="R54" s="850"/>
      <c r="S54" s="850"/>
      <c r="T54" s="850"/>
      <c r="U54" s="850"/>
      <c r="V54" s="850"/>
      <c r="W54" s="850"/>
      <c r="X54" s="850"/>
      <c r="Y54" s="850"/>
      <c r="Z54" s="850"/>
      <c r="AA54" s="850"/>
      <c r="AB54" s="850"/>
      <c r="AC54" s="850"/>
      <c r="AD54" s="850"/>
      <c r="AE54" s="850"/>
      <c r="AF54" s="850"/>
      <c r="AG54" s="850"/>
      <c r="AH54" s="850"/>
      <c r="AI54" s="850"/>
      <c r="AJ54" s="850"/>
      <c r="AK54" s="1014" t="s">
        <v>681</v>
      </c>
    </row>
    <row r="55" spans="1:37">
      <c r="A55" s="850"/>
      <c r="B55" s="850"/>
      <c r="C55" s="850"/>
      <c r="D55" s="850"/>
      <c r="E55" s="850"/>
      <c r="F55" s="850"/>
      <c r="G55" s="850"/>
      <c r="H55" s="850"/>
      <c r="I55" s="850"/>
      <c r="J55" s="850"/>
      <c r="K55" s="850"/>
      <c r="L55" s="850"/>
      <c r="M55" s="850"/>
      <c r="N55" s="850"/>
      <c r="O55" s="850"/>
      <c r="P55" s="850"/>
      <c r="Q55" s="850"/>
      <c r="R55" s="850"/>
      <c r="S55" s="850"/>
      <c r="T55" s="850"/>
      <c r="U55" s="850"/>
      <c r="V55" s="850"/>
      <c r="W55" s="850"/>
      <c r="X55" s="850"/>
      <c r="Y55" s="850"/>
      <c r="Z55" s="850"/>
      <c r="AA55" s="850"/>
      <c r="AB55" s="850"/>
      <c r="AC55" s="850"/>
      <c r="AD55" s="850"/>
      <c r="AE55" s="850"/>
      <c r="AF55" s="850"/>
      <c r="AG55" s="850"/>
      <c r="AH55" s="850"/>
      <c r="AI55" s="850"/>
      <c r="AJ55" s="850"/>
      <c r="AK55" s="1014" t="s">
        <v>681</v>
      </c>
    </row>
    <row r="56" spans="1:37">
      <c r="A56" s="899" t="s">
        <v>681</v>
      </c>
      <c r="B56" s="899" t="s">
        <v>681</v>
      </c>
      <c r="C56" s="899" t="s">
        <v>681</v>
      </c>
      <c r="D56" s="899" t="s">
        <v>681</v>
      </c>
      <c r="E56" s="899" t="s">
        <v>681</v>
      </c>
      <c r="F56" s="899" t="s">
        <v>681</v>
      </c>
      <c r="G56" s="899" t="s">
        <v>681</v>
      </c>
      <c r="H56" s="899" t="s">
        <v>681</v>
      </c>
      <c r="I56" s="899" t="s">
        <v>681</v>
      </c>
      <c r="J56" s="899" t="s">
        <v>681</v>
      </c>
      <c r="K56" s="899" t="s">
        <v>681</v>
      </c>
      <c r="L56" s="899" t="s">
        <v>681</v>
      </c>
      <c r="M56" s="899" t="s">
        <v>681</v>
      </c>
      <c r="N56" s="899" t="s">
        <v>681</v>
      </c>
      <c r="O56" s="899" t="s">
        <v>681</v>
      </c>
      <c r="P56" s="899" t="s">
        <v>681</v>
      </c>
      <c r="Q56" s="899" t="s">
        <v>681</v>
      </c>
      <c r="R56" s="899" t="s">
        <v>681</v>
      </c>
      <c r="S56" s="899" t="s">
        <v>681</v>
      </c>
      <c r="T56" s="899" t="s">
        <v>681</v>
      </c>
      <c r="U56" s="899" t="s">
        <v>681</v>
      </c>
      <c r="V56" s="899" t="s">
        <v>681</v>
      </c>
      <c r="W56" s="899" t="s">
        <v>681</v>
      </c>
      <c r="X56" s="899"/>
      <c r="Y56" s="899"/>
      <c r="Z56" s="899" t="s">
        <v>681</v>
      </c>
      <c r="AA56" s="899" t="s">
        <v>681</v>
      </c>
      <c r="AB56" s="899" t="s">
        <v>681</v>
      </c>
      <c r="AC56" s="899" t="s">
        <v>681</v>
      </c>
      <c r="AD56" s="899" t="s">
        <v>681</v>
      </c>
      <c r="AE56" s="899"/>
      <c r="AF56" s="899" t="s">
        <v>681</v>
      </c>
      <c r="AG56" s="899" t="s">
        <v>681</v>
      </c>
      <c r="AH56" s="899" t="s">
        <v>681</v>
      </c>
      <c r="AI56" s="899" t="s">
        <v>681</v>
      </c>
      <c r="AJ56" s="899" t="s">
        <v>681</v>
      </c>
      <c r="AK56" s="899" t="s">
        <v>681</v>
      </c>
    </row>
    <row r="57" spans="1:37">
      <c r="A57" s="850"/>
      <c r="B57" s="850"/>
      <c r="C57" s="850"/>
      <c r="D57" s="1" t="s">
        <v>1970</v>
      </c>
      <c r="E57" s="357">
        <f>E54-E51-E49</f>
        <v>0</v>
      </c>
      <c r="F57" s="850"/>
      <c r="G57" s="850"/>
      <c r="H57" s="850"/>
      <c r="I57" s="850"/>
      <c r="J57" s="850"/>
      <c r="K57" s="850"/>
      <c r="L57" s="850"/>
      <c r="M57" s="850"/>
      <c r="N57" s="850"/>
      <c r="O57" s="850"/>
      <c r="P57" s="850"/>
      <c r="Q57" s="850"/>
      <c r="R57" s="850"/>
      <c r="S57" s="850"/>
      <c r="T57" s="850"/>
      <c r="U57" s="850"/>
      <c r="V57" s="850"/>
      <c r="W57" s="850"/>
      <c r="X57" s="850"/>
      <c r="Y57" s="850"/>
      <c r="Z57" s="850"/>
      <c r="AA57" s="850"/>
      <c r="AB57" s="850"/>
      <c r="AC57" s="850"/>
      <c r="AD57" s="850"/>
      <c r="AE57" s="850"/>
      <c r="AF57" s="850"/>
      <c r="AG57" s="850"/>
      <c r="AH57" s="850"/>
      <c r="AI57" s="850"/>
      <c r="AJ57" s="850"/>
      <c r="AK57" s="850"/>
    </row>
    <row r="59" spans="1:37">
      <c r="A59" s="850"/>
      <c r="B59" s="850" t="s">
        <v>2118</v>
      </c>
      <c r="C59" s="850"/>
      <c r="D59" s="850"/>
      <c r="E59" s="850"/>
      <c r="F59" s="850"/>
      <c r="G59" s="850"/>
      <c r="H59" s="850"/>
      <c r="I59" s="850"/>
      <c r="J59" s="850"/>
      <c r="K59" s="850"/>
      <c r="L59" s="850"/>
      <c r="M59" s="850"/>
      <c r="N59" s="850"/>
      <c r="O59" s="850"/>
      <c r="P59" s="850"/>
      <c r="Q59" s="850"/>
      <c r="R59" s="850"/>
      <c r="S59" s="850"/>
      <c r="T59" s="850"/>
      <c r="U59" s="850"/>
      <c r="V59" s="850"/>
      <c r="W59" s="850"/>
      <c r="X59" s="850"/>
      <c r="Y59" s="850"/>
      <c r="Z59" s="850"/>
      <c r="AA59" s="850"/>
      <c r="AB59" s="850"/>
      <c r="AC59" s="850"/>
      <c r="AD59" s="850"/>
      <c r="AE59" s="850"/>
      <c r="AF59" s="850"/>
      <c r="AG59" s="850"/>
      <c r="AH59" s="850"/>
      <c r="AI59" s="850"/>
      <c r="AJ59" s="850"/>
      <c r="AK59" s="850"/>
    </row>
    <row r="60" spans="1:37">
      <c r="A60" s="850"/>
      <c r="B60" s="850" t="s">
        <v>2119</v>
      </c>
      <c r="C60" s="850"/>
      <c r="D60" s="848">
        <f>'CF.W.S'!E61</f>
        <v>59080639923</v>
      </c>
      <c r="E60" s="850"/>
      <c r="F60" s="850"/>
      <c r="G60" s="850"/>
      <c r="H60" s="850"/>
      <c r="I60" s="850"/>
      <c r="J60" s="850"/>
      <c r="K60" s="850"/>
      <c r="L60" s="850"/>
      <c r="M60" s="850"/>
      <c r="N60" s="850"/>
      <c r="O60" s="850"/>
      <c r="P60" s="850"/>
      <c r="Q60" s="850"/>
      <c r="R60" s="850"/>
      <c r="S60" s="850"/>
      <c r="T60" s="850"/>
      <c r="U60" s="850"/>
      <c r="V60" s="850"/>
      <c r="W60" s="850"/>
      <c r="X60" s="850"/>
      <c r="Y60" s="850"/>
      <c r="Z60" s="850"/>
      <c r="AA60" s="850"/>
      <c r="AB60" s="850"/>
      <c r="AC60" s="850"/>
      <c r="AD60" s="850"/>
      <c r="AE60" s="850"/>
      <c r="AF60" s="850"/>
      <c r="AG60" s="850"/>
      <c r="AH60" s="850"/>
      <c r="AI60" s="850"/>
      <c r="AJ60" s="850"/>
      <c r="AK60" s="850"/>
    </row>
    <row r="61" spans="1:37">
      <c r="A61" s="850"/>
      <c r="B61" s="850" t="s">
        <v>2120</v>
      </c>
      <c r="C61" s="850"/>
      <c r="D61" s="848">
        <v>36103638</v>
      </c>
      <c r="E61" s="850" t="s">
        <v>2121</v>
      </c>
      <c r="F61" s="850"/>
      <c r="G61" s="850"/>
      <c r="H61" s="850"/>
      <c r="I61" s="850"/>
      <c r="J61" s="850"/>
      <c r="K61" s="850"/>
      <c r="L61" s="850"/>
      <c r="M61" s="850"/>
      <c r="N61" s="850"/>
      <c r="O61" s="850"/>
      <c r="P61" s="850"/>
      <c r="Q61" s="850"/>
      <c r="R61" s="850"/>
      <c r="S61" s="850"/>
      <c r="T61" s="850"/>
      <c r="U61" s="850"/>
      <c r="V61" s="850"/>
      <c r="W61" s="850"/>
      <c r="X61" s="850"/>
      <c r="Y61" s="850"/>
      <c r="Z61" s="850"/>
      <c r="AA61" s="850"/>
      <c r="AB61" s="850"/>
      <c r="AC61" s="850"/>
      <c r="AD61" s="850"/>
      <c r="AE61" s="850"/>
      <c r="AF61" s="850"/>
      <c r="AG61" s="850"/>
      <c r="AH61" s="850"/>
      <c r="AI61" s="850"/>
      <c r="AJ61" s="850"/>
      <c r="AK61" s="850"/>
    </row>
    <row r="62" spans="1:37">
      <c r="A62" s="850"/>
      <c r="B62" s="850" t="s">
        <v>530</v>
      </c>
      <c r="C62" s="850"/>
      <c r="D62" s="848">
        <v>60310859</v>
      </c>
      <c r="E62" s="850" t="s">
        <v>2122</v>
      </c>
      <c r="F62" s="850"/>
      <c r="G62" s="850"/>
      <c r="H62" s="850"/>
      <c r="I62" s="850"/>
      <c r="J62" s="850"/>
      <c r="K62" s="850"/>
      <c r="L62" s="850"/>
      <c r="M62" s="850"/>
      <c r="N62" s="850"/>
      <c r="O62" s="850"/>
      <c r="P62" s="850"/>
      <c r="Q62" s="850"/>
      <c r="R62" s="850"/>
      <c r="S62" s="850"/>
      <c r="T62" s="850"/>
      <c r="U62" s="850"/>
      <c r="V62" s="850"/>
      <c r="W62" s="850"/>
      <c r="X62" s="850"/>
      <c r="Y62" s="850"/>
      <c r="Z62" s="850"/>
      <c r="AA62" s="850"/>
      <c r="AB62" s="850"/>
      <c r="AC62" s="850"/>
      <c r="AD62" s="850"/>
      <c r="AE62" s="850"/>
      <c r="AF62" s="850"/>
      <c r="AG62" s="850"/>
      <c r="AH62" s="850"/>
      <c r="AI62" s="850"/>
      <c r="AJ62" s="850"/>
      <c r="AK62" s="850"/>
    </row>
    <row r="63" spans="1:37">
      <c r="A63" s="850"/>
      <c r="B63" s="850" t="s">
        <v>530</v>
      </c>
      <c r="C63" s="850"/>
      <c r="D63" s="848">
        <v>980037</v>
      </c>
      <c r="E63" s="850" t="s">
        <v>2123</v>
      </c>
      <c r="F63" s="850"/>
      <c r="G63" s="850"/>
      <c r="H63" s="850"/>
      <c r="I63" s="850"/>
      <c r="J63" s="850"/>
      <c r="K63" s="850"/>
      <c r="L63" s="850"/>
      <c r="M63" s="850"/>
      <c r="N63" s="850"/>
      <c r="O63" s="850"/>
      <c r="P63" s="850"/>
      <c r="Q63" s="850"/>
      <c r="R63" s="850"/>
      <c r="S63" s="850"/>
      <c r="T63" s="850"/>
      <c r="U63" s="850"/>
      <c r="V63" s="850"/>
      <c r="W63" s="850"/>
      <c r="X63" s="850"/>
      <c r="Y63" s="850"/>
      <c r="Z63" s="850"/>
      <c r="AA63" s="850"/>
      <c r="AB63" s="850"/>
      <c r="AC63" s="850"/>
      <c r="AD63" s="850"/>
      <c r="AE63" s="850"/>
      <c r="AF63" s="850"/>
      <c r="AG63" s="850"/>
      <c r="AH63" s="850"/>
      <c r="AI63" s="850"/>
      <c r="AJ63" s="850"/>
      <c r="AK63" s="850"/>
    </row>
    <row r="64" spans="1:37">
      <c r="A64" s="850"/>
      <c r="B64" s="850" t="s">
        <v>555</v>
      </c>
      <c r="C64" s="850"/>
      <c r="D64" s="848">
        <v>7514513</v>
      </c>
      <c r="E64" s="850" t="s">
        <v>2124</v>
      </c>
      <c r="F64" s="850"/>
      <c r="G64" s="850"/>
      <c r="H64" s="850"/>
      <c r="I64" s="850"/>
      <c r="J64" s="850"/>
      <c r="K64" s="857"/>
      <c r="L64" s="850"/>
      <c r="M64" s="850"/>
      <c r="N64" s="850"/>
      <c r="O64" s="850"/>
      <c r="P64" s="850"/>
      <c r="Q64" s="850"/>
      <c r="R64" s="850"/>
      <c r="S64" s="850"/>
      <c r="T64" s="850"/>
      <c r="U64" s="850"/>
      <c r="V64" s="850"/>
      <c r="W64" s="850"/>
      <c r="X64" s="850"/>
      <c r="Y64" s="850"/>
      <c r="Z64" s="850"/>
      <c r="AA64" s="850"/>
      <c r="AB64" s="850"/>
      <c r="AC64" s="850"/>
      <c r="AD64" s="850"/>
      <c r="AE64" s="850"/>
      <c r="AF64" s="850"/>
      <c r="AG64" s="850"/>
      <c r="AH64" s="850"/>
      <c r="AI64" s="850"/>
      <c r="AJ64" s="850"/>
      <c r="AK64" s="850"/>
    </row>
    <row r="65" spans="2:11">
      <c r="B65" s="850" t="s">
        <v>494</v>
      </c>
      <c r="C65" s="850"/>
      <c r="D65" s="848">
        <v>41946</v>
      </c>
      <c r="E65" s="850" t="s">
        <v>2124</v>
      </c>
      <c r="F65" s="850"/>
      <c r="G65" s="850"/>
      <c r="H65" s="850"/>
      <c r="I65" s="850"/>
      <c r="J65" s="850"/>
      <c r="K65" s="850"/>
    </row>
    <row r="66" spans="2:11">
      <c r="B66" s="850"/>
      <c r="C66" s="850"/>
      <c r="D66" s="234">
        <f>SUM(D60:D65)</f>
        <v>59185590916</v>
      </c>
      <c r="E66" s="850"/>
      <c r="F66" s="850"/>
      <c r="G66" s="850"/>
      <c r="H66" s="850"/>
      <c r="I66" s="850"/>
      <c r="J66" s="850"/>
      <c r="K66" s="850"/>
    </row>
    <row r="69" spans="2:11">
      <c r="B69" s="850" t="s">
        <v>2125</v>
      </c>
      <c r="C69" s="850"/>
      <c r="D69" s="850"/>
      <c r="E69" s="850"/>
      <c r="F69" s="850"/>
      <c r="G69" s="850"/>
      <c r="H69" s="850"/>
      <c r="I69" s="850"/>
      <c r="J69" s="850"/>
      <c r="K69" s="850"/>
    </row>
    <row r="71" spans="2:11">
      <c r="B71" s="850" t="s">
        <v>2126</v>
      </c>
      <c r="C71" s="850"/>
      <c r="D71" s="850"/>
      <c r="E71" s="850"/>
      <c r="F71" s="850"/>
      <c r="G71" s="850"/>
      <c r="H71" s="850"/>
      <c r="I71" s="850"/>
      <c r="J71" s="850"/>
      <c r="K71" s="850"/>
    </row>
    <row r="72" spans="2:11" ht="15">
      <c r="B72" s="850" t="s">
        <v>2127</v>
      </c>
      <c r="C72" s="850"/>
      <c r="D72" s="850"/>
      <c r="E72" s="857"/>
      <c r="F72" s="850"/>
      <c r="G72" s="850"/>
      <c r="H72" s="850" t="s">
        <v>456</v>
      </c>
      <c r="I72" t="s">
        <v>2128</v>
      </c>
      <c r="J72" s="292"/>
      <c r="K72"/>
    </row>
    <row r="73" spans="2:11" ht="15">
      <c r="B73" s="850"/>
      <c r="C73" s="850"/>
      <c r="D73" s="850"/>
      <c r="E73" s="850"/>
      <c r="F73" s="850"/>
      <c r="G73" s="850"/>
      <c r="H73" s="850"/>
      <c r="I73"/>
      <c r="J73"/>
      <c r="K73"/>
    </row>
    <row r="74" spans="2:11" ht="15">
      <c r="B74" s="850"/>
      <c r="C74" s="850" t="s">
        <v>2129</v>
      </c>
      <c r="D74" s="848">
        <f>'A0.LS'!Q32</f>
        <v>574472342467</v>
      </c>
      <c r="E74" s="850"/>
      <c r="F74" s="850"/>
      <c r="G74" s="850"/>
      <c r="H74" s="850" t="s">
        <v>469</v>
      </c>
      <c r="I74" t="s">
        <v>470</v>
      </c>
      <c r="J74" t="s">
        <v>471</v>
      </c>
      <c r="K74"/>
    </row>
    <row r="75" spans="2:11" ht="15">
      <c r="B75" s="850"/>
      <c r="C75" s="850" t="s">
        <v>2130</v>
      </c>
      <c r="D75" s="848">
        <f>'A0.LS'!L32</f>
        <v>115382191780</v>
      </c>
      <c r="E75" s="850"/>
      <c r="F75" s="850"/>
      <c r="G75" s="850"/>
      <c r="H75" s="850" t="s">
        <v>19</v>
      </c>
      <c r="I75" s="1274">
        <f>176860119245</f>
        <v>176860119245</v>
      </c>
      <c r="J75" s="255">
        <f>298045377955+300000000000+45428417593+2754582408</f>
        <v>646228377956</v>
      </c>
      <c r="K75" s="258"/>
    </row>
    <row r="76" spans="2:11" ht="15">
      <c r="B76" s="850"/>
      <c r="C76" s="850" t="s">
        <v>2001</v>
      </c>
      <c r="D76" s="857">
        <f>D75-D74</f>
        <v>-459090150687</v>
      </c>
      <c r="E76" s="850"/>
      <c r="F76" s="850"/>
      <c r="G76" s="850"/>
      <c r="H76" s="850" t="s">
        <v>257</v>
      </c>
      <c r="I76" s="1274">
        <v>10278108024</v>
      </c>
      <c r="J76" s="255">
        <v>0</v>
      </c>
      <c r="K76" s="258"/>
    </row>
    <row r="77" spans="2:11" ht="15">
      <c r="B77" s="850" t="s">
        <v>2131</v>
      </c>
      <c r="C77" s="850"/>
      <c r="D77" s="850"/>
      <c r="E77" s="850"/>
      <c r="F77" s="850"/>
      <c r="G77" s="850"/>
      <c r="H77" s="850" t="s">
        <v>481</v>
      </c>
      <c r="I77" s="1274">
        <v>187138227269</v>
      </c>
      <c r="J77" s="255">
        <v>298045377955</v>
      </c>
      <c r="K77" s="258"/>
    </row>
    <row r="78" spans="2:11" ht="15">
      <c r="B78" s="850"/>
      <c r="C78" s="850" t="s">
        <v>2132</v>
      </c>
      <c r="D78" s="850"/>
      <c r="E78" s="234">
        <f>-(J75-I75)</f>
        <v>-469368258711</v>
      </c>
      <c r="F78" s="850"/>
      <c r="G78" s="850"/>
      <c r="H78" s="850"/>
      <c r="I78" s="257"/>
      <c r="J78" s="258"/>
      <c r="K78" s="258"/>
    </row>
    <row r="79" spans="2:11" ht="15">
      <c r="B79" s="850"/>
      <c r="C79" s="850" t="s">
        <v>2133</v>
      </c>
      <c r="D79" s="850"/>
      <c r="E79" s="234">
        <f>I76</f>
        <v>10278108024</v>
      </c>
      <c r="F79" s="850"/>
      <c r="G79" s="850"/>
      <c r="H79" s="850"/>
      <c r="I79" s="257"/>
      <c r="J79" s="258"/>
      <c r="K79" s="258"/>
    </row>
    <row r="80" spans="2:11">
      <c r="B80" s="850"/>
      <c r="C80" s="850" t="s">
        <v>2134</v>
      </c>
      <c r="D80" s="850"/>
      <c r="E80" s="175">
        <f>-'A5.FY24'!I21</f>
        <v>0</v>
      </c>
      <c r="F80" s="850"/>
      <c r="G80" s="850"/>
      <c r="H80" s="850"/>
      <c r="I80" s="850"/>
      <c r="J80" s="850"/>
      <c r="K80" s="857"/>
    </row>
    <row r="81" spans="2:11" ht="13.5" thickBot="1">
      <c r="B81" s="850"/>
      <c r="C81" s="850"/>
      <c r="D81" s="850"/>
      <c r="E81" s="1542">
        <f>SUM(E78:E80)</f>
        <v>-459090150687</v>
      </c>
      <c r="F81" s="850"/>
      <c r="G81" s="850"/>
      <c r="H81" s="850"/>
      <c r="I81" s="850"/>
      <c r="J81" s="850"/>
      <c r="K81" s="857"/>
    </row>
    <row r="82" spans="2:11" ht="13.5" thickTop="1">
      <c r="B82" s="850" t="s">
        <v>2135</v>
      </c>
      <c r="C82" s="850"/>
      <c r="D82" s="850"/>
      <c r="E82" s="850"/>
      <c r="F82" s="850"/>
      <c r="G82" s="850"/>
      <c r="H82" s="850"/>
      <c r="I82" s="850"/>
      <c r="J82" s="850"/>
      <c r="K82" s="850"/>
    </row>
    <row r="84" spans="2:11">
      <c r="B84" s="850"/>
      <c r="C84" s="850" t="s">
        <v>2129</v>
      </c>
      <c r="D84" s="850"/>
      <c r="E84" s="848">
        <f>'A0.LS'!BR35</f>
        <v>62892816295</v>
      </c>
      <c r="F84" s="850"/>
      <c r="G84" s="850"/>
      <c r="H84" s="850"/>
      <c r="I84" s="850"/>
      <c r="J84" s="850"/>
      <c r="K84" s="850"/>
    </row>
    <row r="85" spans="2:11">
      <c r="B85" s="850"/>
      <c r="C85" s="850" t="s">
        <v>2136</v>
      </c>
      <c r="D85" s="850"/>
      <c r="E85" s="848">
        <f>'A0.LS'!AX35</f>
        <v>105834818593</v>
      </c>
      <c r="F85" s="850"/>
      <c r="G85" s="850"/>
      <c r="H85" s="850"/>
      <c r="I85" s="850"/>
      <c r="J85" s="850"/>
      <c r="K85" s="850"/>
    </row>
    <row r="86" spans="2:11" ht="13.5" thickBot="1">
      <c r="B86" s="850"/>
      <c r="C86" s="850" t="s">
        <v>2137</v>
      </c>
      <c r="D86" s="850"/>
      <c r="E86" s="1529">
        <f>E85-E84</f>
        <v>42942002298</v>
      </c>
      <c r="F86" s="850"/>
      <c r="G86" s="850"/>
      <c r="H86" s="850"/>
      <c r="I86" s="850"/>
      <c r="J86" s="850"/>
      <c r="K86" s="850"/>
    </row>
    <row r="87" spans="2:11" ht="13.5" thickTop="1">
      <c r="B87" s="850"/>
      <c r="C87" s="850"/>
      <c r="D87" s="850"/>
      <c r="E87" s="850"/>
      <c r="F87" s="850"/>
      <c r="G87" s="850"/>
      <c r="H87" s="850"/>
      <c r="I87" s="850"/>
      <c r="J87" s="850"/>
      <c r="K87" s="850"/>
    </row>
  </sheetData>
  <conditionalFormatting sqref="E5">
    <cfRule type="cellIs" dxfId="172" priority="1" operator="lessThan">
      <formula>0</formula>
    </cfRule>
    <cfRule type="cellIs" dxfId="171" priority="2" operator="greaterThan">
      <formula>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3">
    <tabColor theme="5" tint="-0.499984740745262"/>
    <outlinePr summaryBelow="0" summaryRight="0"/>
  </sheetPr>
  <dimension ref="A1:BT396"/>
  <sheetViews>
    <sheetView zoomScale="70" zoomScaleNormal="70" workbookViewId="0">
      <pane xSplit="8" ySplit="6" topLeftCell="AT14" activePane="bottomRight" state="frozen"/>
      <selection pane="topRight" activeCell="I1" sqref="I1"/>
      <selection pane="bottomLeft" activeCell="A7" sqref="A7"/>
      <selection pane="bottomRight" activeCell="BO38" sqref="BO38"/>
    </sheetView>
  </sheetViews>
  <sheetFormatPr defaultColWidth="9.140625" defaultRowHeight="15" outlineLevelCol="1"/>
  <cols>
    <col min="1" max="2" width="12" style="2" bestFit="1" customWidth="1"/>
    <col min="3" max="3" width="11.42578125" style="2" customWidth="1"/>
    <col min="4" max="4" width="10.85546875" style="4" bestFit="1" customWidth="1"/>
    <col min="5" max="5" width="14.42578125" style="2" customWidth="1"/>
    <col min="6" max="6" width="36.85546875" style="2" customWidth="1"/>
    <col min="7" max="7" width="9.140625" style="2" customWidth="1"/>
    <col min="8" max="8" width="15.42578125" style="4" customWidth="1"/>
    <col min="9" max="9" width="25.85546875" style="2" customWidth="1" outlineLevel="1"/>
    <col min="10" max="10" width="21.42578125" style="2" customWidth="1" outlineLevel="1"/>
    <col min="11" max="11" width="22.5703125" style="2" customWidth="1" outlineLevel="1"/>
    <col min="12" max="12" width="24.5703125" style="2" customWidth="1" outlineLevel="1"/>
    <col min="13" max="13" width="2" style="2" customWidth="1" outlineLevel="1"/>
    <col min="14" max="14" width="25.140625" style="2" customWidth="1" outlineLevel="1"/>
    <col min="15" max="15" width="19.140625" style="2" customWidth="1" outlineLevel="1"/>
    <col min="16" max="16" width="21" style="2" customWidth="1" outlineLevel="1"/>
    <col min="17" max="17" width="25.5703125" style="2" customWidth="1" outlineLevel="1"/>
    <col min="18" max="18" width="1.140625" style="2" customWidth="1" outlineLevel="1"/>
    <col min="19" max="19" width="20.5703125" style="2" customWidth="1" outlineLevel="1"/>
    <col min="20" max="20" width="8.85546875" style="2" customWidth="1" outlineLevel="1"/>
    <col min="21" max="21" width="64.140625" style="2" customWidth="1" outlineLevel="1"/>
    <col min="22" max="25" width="9.140625" style="2" customWidth="1" outlineLevel="1"/>
    <col min="26" max="26" width="19.85546875" style="2" customWidth="1" outlineLevel="1"/>
    <col min="27" max="27" width="13.140625" style="2" customWidth="1" outlineLevel="1"/>
    <col min="28" max="28" width="19.140625" style="2" customWidth="1" outlineLevel="1"/>
    <col min="29" max="29" width="19.85546875" style="2" customWidth="1" outlineLevel="1"/>
    <col min="30" max="30" width="2" style="2" customWidth="1" outlineLevel="1"/>
    <col min="31" max="31" width="21.85546875" style="2" customWidth="1" outlineLevel="1"/>
    <col min="32" max="32" width="14" style="2" customWidth="1" outlineLevel="1"/>
    <col min="33" max="33" width="19.140625" style="2" customWidth="1" outlineLevel="1"/>
    <col min="34" max="34" width="23.140625" style="2" customWidth="1" outlineLevel="1"/>
    <col min="35" max="35" width="2" style="2" customWidth="1" outlineLevel="1"/>
    <col min="36" max="36" width="15.140625" customWidth="1" outlineLevel="1"/>
    <col min="37" max="37" width="9.140625" customWidth="1" outlineLevel="1"/>
    <col min="38" max="38" width="15.140625" customWidth="1" outlineLevel="1"/>
    <col min="39" max="39" width="2" style="2" customWidth="1" outlineLevel="1"/>
    <col min="40" max="40" width="20.85546875" style="2" customWidth="1" outlineLevel="1"/>
    <col min="41" max="41" width="22.140625" style="2" customWidth="1" outlineLevel="1"/>
    <col min="42" max="42" width="21" style="2" customWidth="1" outlineLevel="1"/>
    <col min="43" max="43" width="2" style="2" customWidth="1" outlineLevel="1"/>
    <col min="44" max="44" width="19.42578125" style="2" customWidth="1" outlineLevel="1"/>
    <col min="45" max="45" width="15.140625" style="2" customWidth="1" outlineLevel="1"/>
    <col min="46" max="46" width="19.42578125" style="2" customWidth="1" outlineLevel="1"/>
    <col min="47" max="47" width="2" style="2" customWidth="1"/>
    <col min="48" max="48" width="23.5703125" style="2" bestFit="1" customWidth="1"/>
    <col min="49" max="49" width="21" style="2" bestFit="1" customWidth="1"/>
    <col min="50" max="50" width="22.85546875" style="2" bestFit="1" customWidth="1"/>
    <col min="51" max="51" width="19" style="613" customWidth="1"/>
    <col min="52" max="52" width="21.5703125" style="2" hidden="1" customWidth="1"/>
    <col min="53" max="53" width="18.140625" style="2" hidden="1" customWidth="1"/>
    <col min="54" max="54" width="19.85546875" style="2" hidden="1" customWidth="1"/>
    <col min="55" max="55" width="2" style="2" hidden="1" customWidth="1"/>
    <col min="56" max="57" width="20.140625" style="2" hidden="1" customWidth="1"/>
    <col min="58" max="58" width="19.140625" style="2" hidden="1" customWidth="1"/>
    <col min="59" max="59" width="2" style="2" hidden="1" customWidth="1"/>
    <col min="60" max="62" width="19.140625" style="2" hidden="1" customWidth="1"/>
    <col min="63" max="63" width="2" style="2" hidden="1" customWidth="1"/>
    <col min="64" max="66" width="19.140625" style="2" hidden="1" customWidth="1"/>
    <col min="67" max="67" width="2" style="2" customWidth="1"/>
    <col min="68" max="68" width="22.140625" style="2" customWidth="1"/>
    <col min="69" max="69" width="20.140625" style="2" bestFit="1" customWidth="1"/>
    <col min="70" max="70" width="24.42578125" style="2" bestFit="1" customWidth="1"/>
    <col min="71" max="71" width="9.140625" style="2"/>
    <col min="72" max="72" width="13.85546875" style="2" bestFit="1" customWidth="1"/>
    <col min="73" max="16384" width="9.140625" style="2"/>
  </cols>
  <sheetData>
    <row r="1" spans="1:72">
      <c r="A1" s="1" t="s">
        <v>0</v>
      </c>
      <c r="B1" s="850" t="s">
        <v>1</v>
      </c>
      <c r="C1" s="850"/>
      <c r="D1" s="899"/>
      <c r="E1" s="850"/>
      <c r="F1" s="850"/>
      <c r="G1" s="850"/>
      <c r="H1" s="899"/>
      <c r="I1" s="850"/>
      <c r="J1" s="857"/>
      <c r="K1" s="850"/>
      <c r="L1" s="857"/>
      <c r="M1" s="850"/>
      <c r="N1" s="850"/>
      <c r="O1" s="850"/>
      <c r="P1" s="850"/>
      <c r="Q1" s="850"/>
      <c r="R1" s="850"/>
      <c r="S1" s="850"/>
      <c r="T1" s="848"/>
      <c r="U1" s="850"/>
      <c r="V1" s="850"/>
      <c r="W1" s="850"/>
      <c r="X1" s="850"/>
      <c r="Y1" s="850"/>
      <c r="Z1" s="850"/>
      <c r="AA1" s="850"/>
      <c r="AB1" s="850"/>
      <c r="AC1" s="850"/>
      <c r="AD1" s="850"/>
      <c r="AE1" s="850"/>
      <c r="AF1" s="850"/>
      <c r="AG1" s="850"/>
      <c r="AH1" s="850"/>
      <c r="AI1" s="850"/>
      <c r="AM1" s="850"/>
      <c r="AN1" s="850"/>
      <c r="AO1" s="850"/>
      <c r="AP1" s="850"/>
      <c r="AQ1" s="850"/>
      <c r="AR1" s="850"/>
      <c r="AS1" s="850"/>
      <c r="AT1" s="850"/>
      <c r="AU1" s="850"/>
      <c r="AV1" s="850"/>
      <c r="AW1" s="850"/>
      <c r="AX1" s="850"/>
      <c r="AY1" s="920"/>
      <c r="AZ1" s="850"/>
      <c r="BA1" s="850"/>
      <c r="BB1" s="850"/>
      <c r="BC1" s="850"/>
      <c r="BD1" s="850"/>
      <c r="BE1" s="850"/>
      <c r="BF1" s="850"/>
      <c r="BG1" s="850"/>
      <c r="BH1" s="850"/>
      <c r="BI1" s="850"/>
      <c r="BJ1" s="850"/>
      <c r="BK1" s="850"/>
      <c r="BL1" s="850"/>
      <c r="BM1" s="850"/>
      <c r="BN1" s="850"/>
      <c r="BO1" s="850"/>
      <c r="BP1" s="850"/>
      <c r="BQ1" s="850"/>
      <c r="BR1" s="850"/>
      <c r="BS1" s="850"/>
      <c r="BT1" s="850"/>
    </row>
    <row r="2" spans="1:72">
      <c r="A2" s="1" t="s">
        <v>2</v>
      </c>
      <c r="B2" s="852">
        <v>45657</v>
      </c>
      <c r="C2" s="852"/>
      <c r="D2" s="899"/>
      <c r="E2" s="850"/>
      <c r="F2" s="850"/>
      <c r="G2" s="850"/>
      <c r="H2" s="899"/>
      <c r="I2" s="850"/>
      <c r="J2" s="848"/>
      <c r="K2" s="850"/>
      <c r="L2" s="850"/>
      <c r="M2" s="850"/>
      <c r="N2" s="850"/>
      <c r="O2" s="850"/>
      <c r="P2" s="850"/>
      <c r="Q2" s="850"/>
      <c r="R2" s="850"/>
      <c r="S2" s="850"/>
      <c r="T2" s="848"/>
      <c r="U2" s="857"/>
      <c r="V2" s="850"/>
      <c r="W2" s="850"/>
      <c r="X2" s="850"/>
      <c r="Y2" s="850"/>
      <c r="Z2" s="850"/>
      <c r="AA2" s="850"/>
      <c r="AB2" s="850"/>
      <c r="AC2" s="850"/>
      <c r="AD2" s="850"/>
      <c r="AE2" s="850"/>
      <c r="AF2" s="850"/>
      <c r="AG2" s="850"/>
      <c r="AH2" s="850"/>
      <c r="AI2" s="850"/>
      <c r="AM2" s="850"/>
      <c r="AN2" s="850"/>
      <c r="AO2" s="850"/>
      <c r="AP2" s="850"/>
      <c r="AQ2" s="850"/>
      <c r="AR2" s="850"/>
      <c r="AS2" s="850"/>
      <c r="AT2" s="850"/>
      <c r="AU2" s="850"/>
      <c r="AV2" s="850"/>
      <c r="AW2" s="850"/>
      <c r="AX2" s="857"/>
      <c r="AY2" s="920"/>
      <c r="AZ2" s="850"/>
      <c r="BA2" s="850"/>
      <c r="BB2" s="850"/>
      <c r="BC2" s="850"/>
      <c r="BD2" s="850"/>
      <c r="BE2" s="850"/>
      <c r="BF2" s="850"/>
      <c r="BG2" s="850"/>
      <c r="BH2" s="850"/>
      <c r="BI2" s="850"/>
      <c r="BJ2" s="850"/>
      <c r="BK2" s="850"/>
      <c r="BL2" s="850"/>
      <c r="BM2" s="850"/>
      <c r="BN2" s="850"/>
      <c r="BO2" s="850"/>
      <c r="BP2" s="850"/>
      <c r="BQ2" s="850"/>
      <c r="BR2" s="850"/>
      <c r="BS2" s="850"/>
      <c r="BT2" s="850"/>
    </row>
    <row r="3" spans="1:72">
      <c r="A3" s="3" t="s">
        <v>2138</v>
      </c>
      <c r="B3" s="850"/>
      <c r="C3" s="850"/>
      <c r="D3" s="899"/>
      <c r="E3" s="850"/>
      <c r="F3" s="850"/>
      <c r="G3" s="850"/>
      <c r="H3" s="921"/>
      <c r="I3" s="857"/>
      <c r="J3" s="857"/>
      <c r="K3" s="850"/>
      <c r="L3" s="850"/>
      <c r="M3" s="850"/>
      <c r="N3" s="850"/>
      <c r="O3" s="850"/>
      <c r="P3" s="850"/>
      <c r="Q3" s="857"/>
      <c r="R3" s="850"/>
      <c r="S3" s="850"/>
      <c r="T3" s="857"/>
      <c r="U3" s="850"/>
      <c r="V3" s="850"/>
      <c r="W3" s="850"/>
      <c r="X3" s="850"/>
      <c r="Y3" s="850"/>
      <c r="Z3" s="850"/>
      <c r="AA3" s="850"/>
      <c r="AB3" s="850"/>
      <c r="AC3" s="850"/>
      <c r="AD3" s="850"/>
      <c r="AE3" s="850"/>
      <c r="AF3" s="850"/>
      <c r="AG3" s="850"/>
      <c r="AH3" s="850"/>
      <c r="AI3" s="850"/>
      <c r="AM3" s="850"/>
      <c r="AN3" s="850"/>
      <c r="AO3" s="850"/>
      <c r="AP3" s="857"/>
      <c r="AQ3" s="850"/>
      <c r="AR3" s="850"/>
      <c r="AS3" s="850"/>
      <c r="AT3" s="850"/>
      <c r="AU3" s="850"/>
      <c r="AV3" s="850"/>
      <c r="AW3" s="850"/>
      <c r="AX3" s="848"/>
      <c r="AY3" s="920"/>
      <c r="AZ3" s="850"/>
      <c r="BA3" s="850"/>
      <c r="BB3" s="850"/>
      <c r="BC3" s="850"/>
      <c r="BD3" s="850"/>
      <c r="BE3" s="850"/>
      <c r="BF3" s="850"/>
      <c r="BG3" s="850"/>
      <c r="BH3" s="850"/>
      <c r="BI3" s="850"/>
      <c r="BJ3" s="850"/>
      <c r="BK3" s="850"/>
      <c r="BL3" s="850"/>
      <c r="BM3" s="850"/>
      <c r="BN3" s="850"/>
      <c r="BO3" s="850"/>
      <c r="BP3" s="850"/>
      <c r="BQ3" s="850"/>
      <c r="BR3" s="850"/>
      <c r="BS3" s="850"/>
      <c r="BT3" s="850"/>
    </row>
    <row r="4" spans="1:72">
      <c r="A4" s="850"/>
      <c r="B4" s="850"/>
      <c r="C4" s="850"/>
      <c r="D4" s="899"/>
      <c r="E4" s="850"/>
      <c r="F4" s="850"/>
      <c r="G4" s="850"/>
      <c r="H4" s="899"/>
      <c r="I4" s="850"/>
      <c r="J4" s="850" t="s">
        <v>2139</v>
      </c>
      <c r="K4" s="850" t="s">
        <v>2139</v>
      </c>
      <c r="L4" s="850"/>
      <c r="M4" s="850"/>
      <c r="N4" s="850"/>
      <c r="O4" s="850"/>
      <c r="P4" s="850"/>
      <c r="Q4" s="850"/>
      <c r="R4" s="850"/>
      <c r="S4" s="850"/>
      <c r="T4" s="850"/>
      <c r="U4" s="850"/>
      <c r="V4" s="850"/>
      <c r="W4" s="850"/>
      <c r="X4" s="850"/>
      <c r="Y4" s="850"/>
      <c r="Z4" s="857">
        <f>Z175-[14]LS!$Z$174-[14]LS!$Z$175</f>
        <v>-1322060667</v>
      </c>
      <c r="AA4" s="850" t="s">
        <v>2140</v>
      </c>
      <c r="AB4" s="850" t="s">
        <v>2141</v>
      </c>
      <c r="AC4" s="857">
        <f>AC175-[14]LS!$AC$174-[14]LS!$AC$175</f>
        <v>0</v>
      </c>
      <c r="AD4" s="850"/>
      <c r="AE4" s="857">
        <v>21581214825</v>
      </c>
      <c r="AF4" s="850" t="s">
        <v>2141</v>
      </c>
      <c r="AG4" s="850" t="s">
        <v>2141</v>
      </c>
      <c r="AH4" s="850"/>
      <c r="AI4" s="850"/>
      <c r="AK4" s="850" t="s">
        <v>2141</v>
      </c>
      <c r="AM4" s="850"/>
      <c r="AN4" s="850"/>
      <c r="AO4" s="850" t="s">
        <v>2142</v>
      </c>
      <c r="AP4" s="857">
        <f>AP175-[14]LS!$AP$174-[14]LS!$AP$175</f>
        <v>-1005125</v>
      </c>
      <c r="AQ4" s="850"/>
      <c r="AR4" s="850"/>
      <c r="AS4" s="850" t="s">
        <v>2141</v>
      </c>
      <c r="AT4" s="850"/>
      <c r="AU4" s="850"/>
      <c r="AV4" s="850"/>
      <c r="AW4" s="850" t="s">
        <v>2142</v>
      </c>
      <c r="AX4" s="857"/>
      <c r="AY4" s="920"/>
      <c r="AZ4" s="850"/>
      <c r="BA4" s="850"/>
      <c r="BB4" s="850"/>
      <c r="BC4" s="850"/>
      <c r="BD4" s="850"/>
      <c r="BE4" s="850"/>
      <c r="BF4" s="850"/>
      <c r="BG4" s="850"/>
      <c r="BH4" s="850"/>
      <c r="BI4" s="850"/>
      <c r="BJ4" s="850"/>
      <c r="BK4" s="850"/>
      <c r="BL4" s="850"/>
      <c r="BM4" s="850"/>
      <c r="BN4" s="850"/>
      <c r="BO4" s="850"/>
      <c r="BP4" s="850"/>
      <c r="BQ4" s="850" t="s">
        <v>2143</v>
      </c>
      <c r="BR4" s="850"/>
      <c r="BS4" s="850"/>
      <c r="BT4" s="850"/>
    </row>
    <row r="5" spans="1:72" ht="15.75" thickBot="1">
      <c r="A5" s="850"/>
      <c r="B5" s="850"/>
      <c r="C5" s="850"/>
      <c r="D5" s="899"/>
      <c r="E5" s="850"/>
      <c r="F5" s="850"/>
      <c r="G5" s="850"/>
      <c r="H5" s="899"/>
      <c r="I5" s="899" t="s">
        <v>678</v>
      </c>
      <c r="J5" s="899" t="s">
        <v>678</v>
      </c>
      <c r="K5" s="899" t="s">
        <v>678</v>
      </c>
      <c r="L5" s="899" t="s">
        <v>678</v>
      </c>
      <c r="M5" s="899"/>
      <c r="N5" s="899" t="s">
        <v>678</v>
      </c>
      <c r="O5" s="899" t="s">
        <v>678</v>
      </c>
      <c r="P5" s="899" t="s">
        <v>678</v>
      </c>
      <c r="Q5" s="899" t="s">
        <v>678</v>
      </c>
      <c r="R5" s="850"/>
      <c r="S5" s="850"/>
      <c r="T5" s="850"/>
      <c r="U5" s="850"/>
      <c r="V5" s="850"/>
      <c r="W5" s="850"/>
      <c r="X5" s="850"/>
      <c r="Y5" s="850"/>
      <c r="Z5" s="850"/>
      <c r="AA5" s="850" t="s">
        <v>2120</v>
      </c>
      <c r="AB5" s="850" t="s">
        <v>2120</v>
      </c>
      <c r="AC5" s="850"/>
      <c r="AD5" s="899"/>
      <c r="AE5" s="850"/>
      <c r="AF5" s="850" t="s">
        <v>530</v>
      </c>
      <c r="AG5" s="850"/>
      <c r="AH5" s="850"/>
      <c r="AI5" s="899"/>
      <c r="AK5" t="s">
        <v>494</v>
      </c>
      <c r="AM5" s="899"/>
      <c r="AN5" s="850"/>
      <c r="AO5" s="850" t="s">
        <v>1195</v>
      </c>
      <c r="AP5" s="850"/>
      <c r="AQ5" s="899"/>
      <c r="AR5" s="850"/>
      <c r="AS5" s="850" t="s">
        <v>555</v>
      </c>
      <c r="AT5" s="850"/>
      <c r="AU5" s="899"/>
      <c r="AV5" s="850"/>
      <c r="AW5" s="899" t="s">
        <v>1169</v>
      </c>
      <c r="AX5" s="857"/>
      <c r="AY5" s="920"/>
      <c r="AZ5" s="850"/>
      <c r="BA5" s="922" t="s">
        <v>656</v>
      </c>
      <c r="BB5" s="850"/>
      <c r="BC5" s="899"/>
      <c r="BD5" s="850"/>
      <c r="BE5" s="899" t="s">
        <v>530</v>
      </c>
      <c r="BF5" s="850"/>
      <c r="BG5" s="899"/>
      <c r="BH5" s="850"/>
      <c r="BI5" s="922" t="s">
        <v>555</v>
      </c>
      <c r="BJ5" s="850"/>
      <c r="BK5" s="899"/>
      <c r="BL5" s="850"/>
      <c r="BM5" s="922" t="s">
        <v>2144</v>
      </c>
      <c r="BN5" s="850"/>
      <c r="BO5" s="899"/>
      <c r="BP5" s="850"/>
      <c r="BQ5" s="922" t="s">
        <v>1169</v>
      </c>
      <c r="BR5" s="850"/>
      <c r="BS5" s="850"/>
      <c r="BT5" s="857"/>
    </row>
    <row r="6" spans="1:72" ht="51">
      <c r="A6" s="850"/>
      <c r="B6" s="62" t="s">
        <v>2145</v>
      </c>
      <c r="C6" s="260" t="s">
        <v>2146</v>
      </c>
      <c r="D6" s="259" t="s">
        <v>2147</v>
      </c>
      <c r="E6" s="843" t="s">
        <v>2148</v>
      </c>
      <c r="F6" s="63" t="s">
        <v>775</v>
      </c>
      <c r="G6" s="63" t="s">
        <v>2149</v>
      </c>
      <c r="H6" s="63" t="s">
        <v>2150</v>
      </c>
      <c r="I6" s="64" t="s">
        <v>2151</v>
      </c>
      <c r="J6" s="209" t="s">
        <v>1843</v>
      </c>
      <c r="K6" s="65" t="s">
        <v>1844</v>
      </c>
      <c r="L6" s="64" t="s">
        <v>2152</v>
      </c>
      <c r="M6" s="923"/>
      <c r="N6" s="66" t="s">
        <v>2153</v>
      </c>
      <c r="O6" s="210" t="s">
        <v>1843</v>
      </c>
      <c r="P6" s="67" t="s">
        <v>1844</v>
      </c>
      <c r="Q6" s="66" t="s">
        <v>2154</v>
      </c>
      <c r="R6" s="898"/>
      <c r="S6" s="137" t="s">
        <v>2155</v>
      </c>
      <c r="T6" s="137" t="s">
        <v>2156</v>
      </c>
      <c r="U6" s="138" t="s">
        <v>777</v>
      </c>
      <c r="V6" s="35" t="s">
        <v>2157</v>
      </c>
      <c r="W6" s="850"/>
      <c r="X6" s="303" t="s">
        <v>2158</v>
      </c>
      <c r="Y6" s="303" t="s">
        <v>2149</v>
      </c>
      <c r="Z6" s="214" t="s">
        <v>2159</v>
      </c>
      <c r="AA6" s="213" t="s">
        <v>1847</v>
      </c>
      <c r="AB6" s="213" t="s">
        <v>1848</v>
      </c>
      <c r="AC6" s="214" t="s">
        <v>2160</v>
      </c>
      <c r="AD6" s="924"/>
      <c r="AE6" s="214" t="s">
        <v>2161</v>
      </c>
      <c r="AF6" s="290" t="s">
        <v>1847</v>
      </c>
      <c r="AG6" s="290" t="s">
        <v>1848</v>
      </c>
      <c r="AH6" s="214" t="s">
        <v>2162</v>
      </c>
      <c r="AI6" s="924"/>
      <c r="AJ6" s="214" t="s">
        <v>2163</v>
      </c>
      <c r="AK6" s="214" t="s">
        <v>1848</v>
      </c>
      <c r="AL6" s="214" t="s">
        <v>2164</v>
      </c>
      <c r="AM6" s="924"/>
      <c r="AN6" s="215" t="s">
        <v>2165</v>
      </c>
      <c r="AO6" s="215" t="s">
        <v>2166</v>
      </c>
      <c r="AP6" s="215" t="s">
        <v>2167</v>
      </c>
      <c r="AQ6" s="924"/>
      <c r="AR6" s="214" t="s">
        <v>2168</v>
      </c>
      <c r="AS6" s="214" t="s">
        <v>1848</v>
      </c>
      <c r="AT6" s="214" t="s">
        <v>2169</v>
      </c>
      <c r="AU6" s="924"/>
      <c r="AV6" s="264" t="s">
        <v>2170</v>
      </c>
      <c r="AW6" s="264" t="s">
        <v>1851</v>
      </c>
      <c r="AX6" s="264" t="s">
        <v>2171</v>
      </c>
      <c r="AY6" s="920"/>
      <c r="AZ6" s="214" t="s">
        <v>2172</v>
      </c>
      <c r="BA6" s="214" t="s">
        <v>2173</v>
      </c>
      <c r="BB6" s="214" t="s">
        <v>2174</v>
      </c>
      <c r="BC6" s="924"/>
      <c r="BD6" s="214" t="s">
        <v>2175</v>
      </c>
      <c r="BE6" s="214" t="s">
        <v>1848</v>
      </c>
      <c r="BF6" s="214" t="s">
        <v>2176</v>
      </c>
      <c r="BG6" s="924"/>
      <c r="BH6" s="214" t="s">
        <v>2177</v>
      </c>
      <c r="BI6" s="214" t="s">
        <v>1848</v>
      </c>
      <c r="BJ6" s="214" t="s">
        <v>2178</v>
      </c>
      <c r="BK6" s="924"/>
      <c r="BL6" s="214" t="s">
        <v>2179</v>
      </c>
      <c r="BM6" s="214" t="s">
        <v>1848</v>
      </c>
      <c r="BN6" s="214" t="s">
        <v>2180</v>
      </c>
      <c r="BO6" s="924"/>
      <c r="BP6" s="441" t="s">
        <v>2181</v>
      </c>
      <c r="BQ6" s="441" t="s">
        <v>1851</v>
      </c>
      <c r="BR6" s="441" t="s">
        <v>2182</v>
      </c>
      <c r="BS6" s="850"/>
      <c r="BT6" s="850"/>
    </row>
    <row r="7" spans="1:72" ht="13.35" customHeight="1">
      <c r="A7" s="850"/>
      <c r="B7" s="925"/>
      <c r="C7" s="926"/>
      <c r="D7" s="927"/>
      <c r="E7" s="75" t="s">
        <v>2183</v>
      </c>
      <c r="F7" s="75"/>
      <c r="G7" s="928"/>
      <c r="H7" s="927"/>
      <c r="I7" s="929"/>
      <c r="J7" s="929"/>
      <c r="K7" s="929"/>
      <c r="L7" s="929"/>
      <c r="M7" s="930"/>
      <c r="N7" s="931"/>
      <c r="O7" s="931"/>
      <c r="P7" s="931"/>
      <c r="Q7" s="932"/>
      <c r="R7" s="898"/>
      <c r="S7" s="850"/>
      <c r="T7" s="850"/>
      <c r="U7" s="850"/>
      <c r="V7" s="850"/>
      <c r="W7" s="850"/>
      <c r="X7" s="933"/>
      <c r="Y7" s="933"/>
      <c r="Z7" s="934"/>
      <c r="AA7" s="934"/>
      <c r="AB7" s="934"/>
      <c r="AC7" s="934"/>
      <c r="AD7" s="930"/>
      <c r="AE7" s="934"/>
      <c r="AF7" s="934"/>
      <c r="AG7" s="934"/>
      <c r="AH7" s="934"/>
      <c r="AI7" s="930"/>
      <c r="AJ7" s="934"/>
      <c r="AK7" s="934"/>
      <c r="AL7" s="934"/>
      <c r="AM7" s="930"/>
      <c r="AN7" s="935"/>
      <c r="AO7" s="935"/>
      <c r="AP7" s="935"/>
      <c r="AQ7" s="930"/>
      <c r="AR7" s="934"/>
      <c r="AS7" s="934"/>
      <c r="AT7" s="934"/>
      <c r="AU7" s="930"/>
      <c r="AV7" s="909"/>
      <c r="AW7" s="909"/>
      <c r="AX7" s="909"/>
      <c r="AY7" s="920"/>
      <c r="AZ7" s="936"/>
      <c r="BA7" s="936"/>
      <c r="BB7" s="936"/>
      <c r="BC7" s="937"/>
      <c r="BD7" s="936"/>
      <c r="BE7" s="936"/>
      <c r="BF7" s="936"/>
      <c r="BG7" s="937"/>
      <c r="BH7" s="936"/>
      <c r="BI7" s="936"/>
      <c r="BJ7" s="936"/>
      <c r="BK7" s="937"/>
      <c r="BL7" s="936"/>
      <c r="BM7" s="936"/>
      <c r="BN7" s="936"/>
      <c r="BO7" s="937"/>
      <c r="BP7" s="938"/>
      <c r="BQ7" s="938"/>
      <c r="BR7" s="938"/>
      <c r="BS7" s="850"/>
      <c r="BT7" s="850"/>
    </row>
    <row r="8" spans="1:72" ht="12.75">
      <c r="A8" s="850"/>
      <c r="B8" s="925"/>
      <c r="C8" s="926"/>
      <c r="D8" s="927"/>
      <c r="E8" s="928"/>
      <c r="F8" s="928"/>
      <c r="G8" s="928"/>
      <c r="H8" s="927"/>
      <c r="I8" s="929"/>
      <c r="J8" s="929"/>
      <c r="K8" s="929"/>
      <c r="L8" s="929"/>
      <c r="M8" s="930"/>
      <c r="N8" s="931"/>
      <c r="O8" s="931"/>
      <c r="P8" s="931"/>
      <c r="Q8" s="932"/>
      <c r="R8" s="898"/>
      <c r="S8" s="850"/>
      <c r="T8" s="850"/>
      <c r="U8" s="850"/>
      <c r="V8" s="850"/>
      <c r="W8" s="850"/>
      <c r="X8" s="933"/>
      <c r="Y8" s="933"/>
      <c r="Z8" s="934"/>
      <c r="AA8" s="934"/>
      <c r="AB8" s="934"/>
      <c r="AC8" s="934"/>
      <c r="AD8" s="930"/>
      <c r="AE8" s="934"/>
      <c r="AF8" s="934"/>
      <c r="AG8" s="934"/>
      <c r="AH8" s="934"/>
      <c r="AI8" s="930"/>
      <c r="AJ8" s="934"/>
      <c r="AK8" s="934"/>
      <c r="AL8" s="934"/>
      <c r="AM8" s="930"/>
      <c r="AN8" s="935"/>
      <c r="AO8" s="935"/>
      <c r="AP8" s="935"/>
      <c r="AQ8" s="930"/>
      <c r="AR8" s="934"/>
      <c r="AS8" s="934"/>
      <c r="AT8" s="934"/>
      <c r="AU8" s="930"/>
      <c r="AV8" s="909"/>
      <c r="AW8" s="909"/>
      <c r="AX8" s="909"/>
      <c r="AY8" s="920"/>
      <c r="AZ8" s="936"/>
      <c r="BA8" s="936"/>
      <c r="BB8" s="936"/>
      <c r="BC8" s="937"/>
      <c r="BD8" s="936"/>
      <c r="BE8" s="936"/>
      <c r="BF8" s="936"/>
      <c r="BG8" s="937"/>
      <c r="BH8" s="936"/>
      <c r="BI8" s="936"/>
      <c r="BJ8" s="936"/>
      <c r="BK8" s="937"/>
      <c r="BL8" s="936"/>
      <c r="BM8" s="936"/>
      <c r="BN8" s="936"/>
      <c r="BO8" s="937"/>
      <c r="BP8" s="938"/>
      <c r="BQ8" s="938"/>
      <c r="BR8" s="938"/>
      <c r="BS8" s="850"/>
      <c r="BT8" s="850"/>
    </row>
    <row r="9" spans="1:72" s="1" customFormat="1" ht="12.75">
      <c r="B9" s="293"/>
      <c r="C9" s="294"/>
      <c r="D9" s="295"/>
      <c r="E9" s="75"/>
      <c r="F9" s="75" t="s">
        <v>2184</v>
      </c>
      <c r="G9" s="75"/>
      <c r="H9" s="295"/>
      <c r="I9" s="68">
        <f>SUM(I10,I17,I21,I30,I37,I41,I45,I63,I67)</f>
        <v>1343148071069</v>
      </c>
      <c r="J9" s="68">
        <f>SUM(J10,J17,J21,J30,J37,J41,J45,J63,J67)</f>
        <v>36545996</v>
      </c>
      <c r="K9" s="68">
        <f>SUM(K10,K17,K21,K30,K37,K41,K45,K63,K67)</f>
        <v>58832261950</v>
      </c>
      <c r="L9" s="68">
        <f>SUM(L10,L17,L21,L30,L37,L41,L45,L63,L67)</f>
        <v>1402016879015</v>
      </c>
      <c r="M9" s="296"/>
      <c r="N9" s="69">
        <f>SUM(N10,N17,N21,N30,N37,N41,N45,N63,N67)</f>
        <v>1765334875984</v>
      </c>
      <c r="O9" s="69">
        <f>SUM(O10,O17,O21,O30,O37,O41,O45,O63,O67)</f>
        <v>-1162078783</v>
      </c>
      <c r="P9" s="69">
        <f>SUM(P10,P17,P21,P30,P37,P41,P45,P63,P67)</f>
        <v>199826863788</v>
      </c>
      <c r="Q9" s="70">
        <f>SUM(Q10,Q17,Q21,Q30,Q37,Q41,Q45,Q63,Q67)</f>
        <v>1963999660989</v>
      </c>
      <c r="R9" s="298"/>
      <c r="S9" s="175">
        <f t="shared" ref="S9:S15" si="0">L9-Q9</f>
        <v>-561982781974</v>
      </c>
      <c r="T9" s="176">
        <f t="shared" ref="T9:T15" si="1">IFERROR(S9/Q9,"To check")</f>
        <v>-0.28614199540696744</v>
      </c>
      <c r="X9" s="304"/>
      <c r="Y9" s="304"/>
      <c r="Z9" s="235">
        <f>SUM(Z10,Z17,Z21,Z30,Z37,Z41,Z45,Z63,Z67)</f>
        <v>4908666550</v>
      </c>
      <c r="AA9" s="235">
        <f>SUM(AA10,AA17,AA21,AA30,AA37,AA41,AA45,AA63,AA67)</f>
        <v>-100000</v>
      </c>
      <c r="AB9" s="235">
        <f>SUM(AB10,AB17,AB21,AB30,AB37,AB41,AB45,AB63,AB67)</f>
        <v>0</v>
      </c>
      <c r="AC9" s="235">
        <f>SUM(AC10,AC17,AC21,AC30,AC37,AC41,AC45,AC63,AC67)</f>
        <v>4908566550</v>
      </c>
      <c r="AD9" s="236"/>
      <c r="AE9" s="235">
        <f>SUM(AE10,AE17,AE21,AE30,AE37,AE41,AE45,AE63,AE67)</f>
        <v>296032925290</v>
      </c>
      <c r="AF9" s="235">
        <f>SUM(AF10,AF17,AF21,AF30,AF37,AF41,AF45,AF63,AF67)</f>
        <v>0</v>
      </c>
      <c r="AG9" s="235">
        <f>SUM(AG10,AG17,AG21,AG30,AG37,AG41,AG45,AG63,AG67)</f>
        <v>1544547946</v>
      </c>
      <c r="AH9" s="235">
        <f>SUM(AH10,AH17,AH21,AH30,AH37,AH41,AH45,AH63,AH67)</f>
        <v>297577473236</v>
      </c>
      <c r="AI9" s="236"/>
      <c r="AJ9" s="235">
        <f>SUM(AJ10,AJ17,AJ21,AJ30,AJ37,AJ41,AJ45,AJ63,AJ67)</f>
        <v>11903389</v>
      </c>
      <c r="AK9" s="235">
        <f>SUM(AK10,AK17,AK21,AK30,AK37,AK41,AK45,AK63,AK67)</f>
        <v>0</v>
      </c>
      <c r="AL9" s="235">
        <f>SUM(AL10,AL17,AL21,AL30,AL37,AL41,AL45,AL63,AL67)</f>
        <v>11903389</v>
      </c>
      <c r="AM9" s="236"/>
      <c r="AN9" s="237">
        <f>SUM(AN10,AN17,AN21,AN30,AN37,AN41,AN45,AN63,AN67)</f>
        <v>305828280541</v>
      </c>
      <c r="AO9" s="237">
        <f>SUM(AO10,AO17,AO21,AO30,AO37,AO41,AO45,AO63,AO67)</f>
        <v>-1747884274</v>
      </c>
      <c r="AP9" s="237">
        <f>SUM(AP10,AP17,AP21,AP30,AP37,AP41,AP45,AP63,AP67)</f>
        <v>304080396267</v>
      </c>
      <c r="AQ9" s="236"/>
      <c r="AR9" s="235">
        <f>SUM(AR10,AR17,AR21,AR30,AR37,AR41,AR45,AR63,AR67)</f>
        <v>3342240755</v>
      </c>
      <c r="AS9" s="235">
        <f>SUM(AS10,AS17,AS21,AS30,AS37,AS41,AS45,AS63,AS67)</f>
        <v>0</v>
      </c>
      <c r="AT9" s="235">
        <f>SUM(AT10,AT17,AT21,AT30,AT37,AT41,AT45,AT63,AT67)</f>
        <v>3342240755</v>
      </c>
      <c r="AU9" s="236"/>
      <c r="AV9" s="238">
        <f>SUM(AV10,AV17,AV21,AV30,AV37,AV41,AV45,AV63,AV67)</f>
        <v>1706109178671</v>
      </c>
      <c r="AW9" s="238">
        <f>SUM(AW10,AW17,AW21,AW30,AW37,AW41,AW45,AW63,AW67)</f>
        <v>-8471256300</v>
      </c>
      <c r="AX9" s="238">
        <f>SUM(AX10,AX17,AX21,AX30,AX37,AX41,AX45,AX63,AX67)</f>
        <v>1697637922371</v>
      </c>
      <c r="AY9" s="614"/>
      <c r="AZ9" s="235">
        <f>SUM(AZ10,AZ17,AZ21,AZ30,AZ37,AZ41,AZ45,AZ63,AZ67)</f>
        <v>17081847539</v>
      </c>
      <c r="BA9" s="235">
        <f>SUM(BA10,BA17,BA21,BA30,BA37,BA41,BA45,BA63,BA67)</f>
        <v>-9145280659</v>
      </c>
      <c r="BB9" s="235">
        <f>SUM(BB10,BB17,BB21,BB30,BB37,BB41,BB45,BB63,BB67)</f>
        <v>7936566880</v>
      </c>
      <c r="BC9" s="236"/>
      <c r="BD9" s="235">
        <f>SUM(BD10,BD17,BD21,BD30,BD37,BD41,BD45,BD63,BD67)</f>
        <v>289110587999</v>
      </c>
      <c r="BE9" s="235">
        <f>SUM(BE10,BE17,BE21,BE30,BE37,BE41,BE45,BE63,BE67)</f>
        <v>582000</v>
      </c>
      <c r="BF9" s="235">
        <f>SUM(BF10,BF17,BF21,BF30,BF37,BF41,BF45,BF63,BF67)</f>
        <v>289111169999</v>
      </c>
      <c r="BG9" s="236"/>
      <c r="BH9" s="235">
        <f>SUM(BH10,BH17,BH21,BH30,BH37,BH41,BH45,BH63,BH67)</f>
        <v>54700203</v>
      </c>
      <c r="BI9" s="235">
        <f>SUM(BI10,BI17,BI21,BI30,BI37,BI41,BI45,BI63,BI67)</f>
        <v>0</v>
      </c>
      <c r="BJ9" s="235">
        <f>SUM(BJ10,BJ17,BJ21,BJ30,BJ37,BJ41,BJ45,BJ63,BJ67)</f>
        <v>54700203</v>
      </c>
      <c r="BK9" s="236"/>
      <c r="BL9" s="235">
        <f>SUM(BL10,BL17,BL21,BL30,BL37,BL41,BL45,BL63,BL67)</f>
        <v>18026800</v>
      </c>
      <c r="BM9" s="235">
        <f>SUM(BM10,BM17,BM21,BM30,BM37,BM41,BM45,BM63,BM67)</f>
        <v>0</v>
      </c>
      <c r="BN9" s="235">
        <f>SUM(BN10,BN17,BN21,BN30,BN37,BN41,BN45,BN63,BN67)</f>
        <v>18026800</v>
      </c>
      <c r="BO9" s="236"/>
      <c r="BP9" s="443">
        <f>SUM(BP10,BP17,BP21,BP30,BP37,BP41,BP45,BP63,BP67)</f>
        <v>2229534868220</v>
      </c>
      <c r="BQ9" s="443">
        <f>SUM(BQ10,BQ17,BQ21,BQ30,BQ37,BQ41,BQ45,BQ63,BQ67)</f>
        <v>-2677115209</v>
      </c>
      <c r="BR9" s="443">
        <f>SUM(BR10,BR17,BR21,BR30,BR37,BR41,BR45,BR63,BR67)</f>
        <v>2226857753011</v>
      </c>
    </row>
    <row r="10" spans="1:72" s="1" customFormat="1" ht="12.75">
      <c r="B10" s="293"/>
      <c r="C10" s="294"/>
      <c r="D10" s="295"/>
      <c r="E10" s="75"/>
      <c r="F10" s="75" t="s">
        <v>2185</v>
      </c>
      <c r="G10" s="75"/>
      <c r="H10" s="295"/>
      <c r="I10" s="68">
        <f>SUM(I11:I15)</f>
        <v>44116321681</v>
      </c>
      <c r="J10" s="68">
        <f>SUM(J11:J15)</f>
        <v>0</v>
      </c>
      <c r="K10" s="68">
        <f>SUM(K11:K15)</f>
        <v>-2329343846</v>
      </c>
      <c r="L10" s="68">
        <f>SUM(L11:L15)</f>
        <v>41786977835</v>
      </c>
      <c r="M10" s="296"/>
      <c r="N10" s="69">
        <f>SUM(N11:N15)</f>
        <v>59110724999</v>
      </c>
      <c r="O10" s="69">
        <f>SUM(O11:O15)</f>
        <v>-7</v>
      </c>
      <c r="P10" s="69">
        <f>SUM(P11:P15)</f>
        <v>-3163952678</v>
      </c>
      <c r="Q10" s="70">
        <f>SUM(Q11:Q15)</f>
        <v>55946772314</v>
      </c>
      <c r="R10" s="298"/>
      <c r="S10" s="175">
        <f t="shared" si="0"/>
        <v>-14159794479</v>
      </c>
      <c r="T10" s="176">
        <f t="shared" si="1"/>
        <v>-0.25309403730260743</v>
      </c>
      <c r="X10" s="304"/>
      <c r="Y10" s="304"/>
      <c r="Z10" s="235">
        <f>SUM(Z11:Z15)</f>
        <v>288739979</v>
      </c>
      <c r="AA10" s="235">
        <f>SUM(AA11:AA15)</f>
        <v>-100000</v>
      </c>
      <c r="AB10" s="235">
        <f>SUM(AB11:AB15)</f>
        <v>0</v>
      </c>
      <c r="AC10" s="235">
        <f>SUM(AC11:AC15)</f>
        <v>288639979</v>
      </c>
      <c r="AD10" s="236"/>
      <c r="AE10" s="235">
        <f>SUM(AE11:AE15)</f>
        <v>19310235795</v>
      </c>
      <c r="AF10" s="235">
        <f>SUM(AF11:AF15)</f>
        <v>0</v>
      </c>
      <c r="AG10" s="235">
        <f>SUM(AG11:AG15)</f>
        <v>0</v>
      </c>
      <c r="AH10" s="235">
        <f>SUM(AH11:AH15)</f>
        <v>19310235795</v>
      </c>
      <c r="AI10" s="236"/>
      <c r="AJ10" s="235">
        <f>SUM(AJ11:AJ15)</f>
        <v>11705289</v>
      </c>
      <c r="AK10" s="235">
        <f>SUM(AK11:AK15)</f>
        <v>0</v>
      </c>
      <c r="AL10" s="235">
        <f>SUM(AL11:AL15)</f>
        <v>11705289</v>
      </c>
      <c r="AM10" s="236"/>
      <c r="AN10" s="237">
        <f>SUM(AN11:AN15)</f>
        <v>20162574461</v>
      </c>
      <c r="AO10" s="237">
        <f>SUM(AO11:AO15)</f>
        <v>0</v>
      </c>
      <c r="AP10" s="237">
        <f>SUM(AP11:AP15)</f>
        <v>20162574461</v>
      </c>
      <c r="AQ10" s="236"/>
      <c r="AR10" s="235">
        <f>SUM(AR11:AR15)</f>
        <v>563698687</v>
      </c>
      <c r="AS10" s="235">
        <f>SUM(AS11:AS15)</f>
        <v>0</v>
      </c>
      <c r="AT10" s="235">
        <f>SUM(AT11:AT15)</f>
        <v>563698687</v>
      </c>
      <c r="AU10" s="236"/>
      <c r="AV10" s="238">
        <f>SUM(AV11:AV15)</f>
        <v>61961257585</v>
      </c>
      <c r="AW10" s="238">
        <f>SUM(AW11:AW15)</f>
        <v>0</v>
      </c>
      <c r="AX10" s="238">
        <f>SUM(AX11:AX15)</f>
        <v>61961257585</v>
      </c>
      <c r="AY10" s="614"/>
      <c r="AZ10" s="235">
        <f>SUM(AZ11:AZ15)</f>
        <v>5206138809</v>
      </c>
      <c r="BA10" s="235">
        <f>SUM(BA11:BA15)</f>
        <v>0</v>
      </c>
      <c r="BB10" s="235">
        <f>SUM(BB11:BB15)</f>
        <v>5206138809</v>
      </c>
      <c r="BC10" s="236"/>
      <c r="BD10" s="235">
        <f>SUM(BD11:BD15)</f>
        <v>4221311787</v>
      </c>
      <c r="BE10" s="235">
        <f>SUM(BE11:BE15)</f>
        <v>0</v>
      </c>
      <c r="BF10" s="235">
        <f>SUM(BF11:BF15)</f>
        <v>4221311787</v>
      </c>
      <c r="BG10" s="236"/>
      <c r="BH10" s="235">
        <f>SUM(BH11:BH15)</f>
        <v>38265883</v>
      </c>
      <c r="BI10" s="235">
        <f>SUM(BI11:BI15)</f>
        <v>0</v>
      </c>
      <c r="BJ10" s="235">
        <f>SUM(BJ11:BJ15)</f>
        <v>38265883</v>
      </c>
      <c r="BK10" s="236"/>
      <c r="BL10" s="235">
        <f>SUM(BL11:BL15)</f>
        <v>17828700</v>
      </c>
      <c r="BM10" s="235">
        <f>SUM(BM11:BM15)</f>
        <v>0</v>
      </c>
      <c r="BN10" s="235">
        <f>SUM(BN11:BN15)</f>
        <v>17828700</v>
      </c>
      <c r="BO10" s="236"/>
      <c r="BP10" s="443">
        <f>SUM(BP11:BP15)</f>
        <v>69041490532</v>
      </c>
      <c r="BQ10" s="443">
        <f>SUM(BQ11:BQ15)</f>
        <v>0</v>
      </c>
      <c r="BR10" s="443">
        <f>SUM(BR11:BR15)</f>
        <v>69041490532</v>
      </c>
    </row>
    <row r="11" spans="1:72" ht="12.75">
      <c r="A11" s="850"/>
      <c r="B11" s="939">
        <v>111</v>
      </c>
      <c r="C11" s="940" t="s">
        <v>2186</v>
      </c>
      <c r="D11" s="941" t="s">
        <v>2186</v>
      </c>
      <c r="E11" s="928" t="s">
        <v>15</v>
      </c>
      <c r="F11" s="928" t="s">
        <v>16</v>
      </c>
      <c r="G11" s="927" t="s">
        <v>2187</v>
      </c>
      <c r="H11" s="927" t="s">
        <v>2188</v>
      </c>
      <c r="I11" s="942">
        <f>SUMIFS('TB.CTy Me.FY2024'!I:I,'TB.CTy Me.FY2024'!A:A,'A0.LS'!E11)</f>
        <v>0</v>
      </c>
      <c r="J11" s="942">
        <f>ROUND(SUMIFS('A5.FY24'!K:K,'A5.FY24'!E:E,'A0.LS'!E11,'A5.FY24'!L:L,"Finhay",'A5.FY24'!M:M,"Posted"),0)</f>
        <v>0</v>
      </c>
      <c r="K11" s="942">
        <f>ROUND(SUMIFS('A5.FY24'!K:K,'A5.FY24'!E:E,'A0.LS'!E11,'A5.FY24'!L:L,"EY",'A5.FY24'!M:M,"Posted"),0)</f>
        <v>0</v>
      </c>
      <c r="L11" s="943">
        <f>ROUND(SUM(I11:K11),0)</f>
        <v>0</v>
      </c>
      <c r="M11" s="930"/>
      <c r="N11" s="944">
        <f>SUMIFS('TB.CTM.YE23'!I:I,'TB.CTM.YE23'!A:A,'A0.LS'!E11)</f>
        <v>5000000</v>
      </c>
      <c r="O11" s="944">
        <v>0</v>
      </c>
      <c r="P11" s="944">
        <v>0</v>
      </c>
      <c r="Q11" s="945">
        <f>ROUND(SUM(N11:P11),0)</f>
        <v>5000000</v>
      </c>
      <c r="R11" s="898"/>
      <c r="S11" s="848">
        <f t="shared" si="0"/>
        <v>-5000000</v>
      </c>
      <c r="T11" s="946">
        <f t="shared" si="1"/>
        <v>-1</v>
      </c>
      <c r="U11" s="850"/>
      <c r="V11" s="850" t="s">
        <v>2189</v>
      </c>
      <c r="W11" s="850"/>
      <c r="X11" s="947" t="s">
        <v>2190</v>
      </c>
      <c r="Y11" s="947" t="s">
        <v>2187</v>
      </c>
      <c r="Z11" s="936">
        <f>ROUND(SUMIFS('TB.Cty Con.FY24'!I:I,'TB.Cty Con.FY24'!A:A,'A0.LS'!E11),0)</f>
        <v>0</v>
      </c>
      <c r="AA11" s="936">
        <f>ROUND(SUMIFS('A5.CTC FY24'!K:K,'A5.CTC FY24'!E:E,'A0.LS'!E11,'A5.CTC FY24'!A:A,'A0.LS'!$AA$5,'A5.CTC FY24'!L:L,"Finhay",'A5.CTC FY24'!M:M,"Posted"),0)</f>
        <v>0</v>
      </c>
      <c r="AB11" s="936">
        <f>ROUND(SUMIFS('A5.CTC FY24'!K:K,'A5.CTC FY24'!E:E,'A0.LS'!E11,'A5.CTC FY24'!A:A,'A0.LS'!$AB$5,'A5.CTC FY24'!L:L,"EY",'A5.CTC FY24'!M:M,"Posted"),0)</f>
        <v>0</v>
      </c>
      <c r="AC11" s="948">
        <f>ROUND(SUM(Z11:AB11),0)</f>
        <v>0</v>
      </c>
      <c r="AD11" s="930"/>
      <c r="AE11" s="936">
        <f>ROUND(SUMIFS('TB VNSC FY24'!M:M,'TB VNSC FY24'!N:N,'A0.LS'!E11),0)</f>
        <v>0</v>
      </c>
      <c r="AF11" s="936">
        <f>SUMIFS('A5.CTC FY24'!K:K,'A5.CTC FY24'!E:E,'A0.LS'!E11,'A5.CTC FY24'!A:A,"VNSC",'A5.CTC FY24'!L:L,"VNSC",'A5.CTC FY24'!M:M,"Posted")</f>
        <v>0</v>
      </c>
      <c r="AG11" s="936">
        <f>ROUND(SUMIFS('A5.CTC FY24'!K:K,'A5.CTC FY24'!E:E,'A0.LS'!E11,'A5.CTC FY24'!A:A,"VNSC",'A5.CTC FY24'!L:L,"EY",'A5.CTC FY24'!M:M,"Posted"),0)</f>
        <v>0</v>
      </c>
      <c r="AH11" s="936">
        <f>ROUND(SUM(AE11:AG11),0)</f>
        <v>0</v>
      </c>
      <c r="AI11" s="930"/>
      <c r="AJ11" s="936">
        <f>SUMIFS('TB.KCG.FY24'!I:I,'TB.KCG.FY24'!A:A,'A0.LS'!E11)</f>
        <v>0</v>
      </c>
      <c r="AK11" s="936">
        <f>ROUND(SUMIFS('A5.CTC FY24'!K:K,'A5.CTC FY24'!E:E,'A0.LS'!E11,'A5.CTC FY24'!A:A,'A0.LS'!$AK$5,'A5.CTC FY24'!L:L,"EY",'A5.CTC FY24'!M:M,"Posted"),0)</f>
        <v>0</v>
      </c>
      <c r="AL11" s="948">
        <f>ROUND(SUM(AJ11:AK11),0)</f>
        <v>0</v>
      </c>
      <c r="AM11" s="930"/>
      <c r="AN11" s="949">
        <f>ROUND(SUM(AT11,AH11,AC11),0)</f>
        <v>104794</v>
      </c>
      <c r="AO11" s="950">
        <f>ROUND(SUMIFS('A5.Consol FY24'!L:L,'A5.Consol FY24'!M:M,"EY",'A5.Consol FY24'!N:N,"Posted",'A5.Consol FY24'!B:B,'A0.LS'!$AO$5,'A5.Consol FY24'!F:F,'A0.LS'!E11),0)</f>
        <v>0</v>
      </c>
      <c r="AP11" s="949">
        <f>ROUND(SUM(AN11:AO11),0)</f>
        <v>104794</v>
      </c>
      <c r="AQ11" s="930"/>
      <c r="AR11" s="936">
        <f>ROUND(SUMIFS('TB.XH.FY24'!I:I,'TB.XH.FY24'!J:J,'A0.LS'!E11),0)</f>
        <v>104794</v>
      </c>
      <c r="AS11" s="936">
        <f>ROUND(SUMIFS('A5.CTC FY24'!K:K,'A5.CTC FY24'!E:E,'A0.LS'!E11,'A5.CTC FY24'!A:A,'A0.LS'!$AS$5,'A5.CTC FY24'!L:L,"EY",'A5.CTC FY24'!M:M,"Posted"),0)</f>
        <v>0</v>
      </c>
      <c r="AT11" s="948">
        <f>ROUND(SUM(AR11:AS11),0)</f>
        <v>104794</v>
      </c>
      <c r="AU11" s="930"/>
      <c r="AV11" s="951">
        <f>ROUND(SUM(AP11,AL11,L11),0)</f>
        <v>104794</v>
      </c>
      <c r="AW11" s="952">
        <f>SUMIFS('A5.Consol FY24'!L:L,'A5.Consol FY24'!B:B,'A0.LS'!$AW$5,'A5.Consol FY24'!M:M,"EY",'A5.Consol FY24'!N:N,"Posted",'A5.Consol FY24'!F:F,'A0.LS'!E11)</f>
        <v>0</v>
      </c>
      <c r="AX11" s="951">
        <f>ROUND(SUM(AV11:AW11),0)</f>
        <v>104794</v>
      </c>
      <c r="AY11" s="920"/>
      <c r="AZ11" s="936">
        <f>SUMIFS('TB.CTC.YE22'!Q:Q,'TB.CTC.YE22'!A:A,'A0.LS'!E11)</f>
        <v>0</v>
      </c>
      <c r="BA11" s="936">
        <f>ROUND(SUMIFS('A5.YE22'!J:J,'A5.YE22'!K:K,'A0.LS'!$BA$5,'A5.YE22'!L:L,"Posted",'A5.YE22'!D:D,'A0.LS'!E11),0)</f>
        <v>0</v>
      </c>
      <c r="BB11" s="936">
        <f>ROUND(SUM(AZ11:BA11),0)</f>
        <v>0</v>
      </c>
      <c r="BC11" s="937"/>
      <c r="BD11" s="936">
        <f>ROUND(SUMIFS('TB.VNSC.YE22'!L:L,'TB.VNSC.YE22'!A:A,'A0.LS'!E11),0)</f>
        <v>0</v>
      </c>
      <c r="BE11" s="936">
        <f>ROUND(SUMIFS('A5.YE22'!J:J,'A5.YE22'!K:K,'A0.LS'!$BE$5,'A5.YE22'!L:L,"Posted",'A5.YE22'!D:D,'A0.LS'!E11),0)</f>
        <v>0</v>
      </c>
      <c r="BF11" s="936">
        <f>ROUND(SUM(BD11:BE11),0)</f>
        <v>0</v>
      </c>
      <c r="BG11" s="937"/>
      <c r="BH11" s="936">
        <f>ROUND(SUMIFS('TB.XH.YE22'!P:P,'TB.XH.YE22'!A:A,'A0.LS'!E11),0)</f>
        <v>0</v>
      </c>
      <c r="BI11" s="936">
        <f>ROUND(SUMIFS('A5.YE22'!J:J,'A5.YE22'!K:K,"XH",'A5.YE22'!L:L,"Posted",'A5.YE22'!D:D,'A0.LS'!E11),0)</f>
        <v>0</v>
      </c>
      <c r="BJ11" s="936">
        <f>ROUND(SUM(BH11:BI11),0)</f>
        <v>0</v>
      </c>
      <c r="BK11" s="937"/>
      <c r="BL11" s="936">
        <f>ROUND(SUMIFS('TB.KCG.YE22'!P:P,'TB.KCG.YE22'!A:A,'A0.LS'!E11),0)</f>
        <v>0</v>
      </c>
      <c r="BM11" s="936">
        <f>ROUND(SUMIFS('A5.YE22'!J:J,'A5.YE22'!K:K,'A0.LS'!$BM$5,'A5.YE22'!L:L,"Posted",'A5.YE22'!D:D,'A0.LS'!E11),0)</f>
        <v>0</v>
      </c>
      <c r="BN11" s="936">
        <f>ROUND(SUM(BL11:BM11),0)</f>
        <v>0</v>
      </c>
      <c r="BO11" s="937"/>
      <c r="BP11" s="938">
        <v>5045205</v>
      </c>
      <c r="BQ11" s="938">
        <f>ROUND(SUMIFS('A5.YE22'!J:J,'A5.YE22'!K:K,'A0.LS'!$BQ$5,'A5.YE22'!L:L,"Posted",'A5.YE22'!D:D,'A0.LS'!E11),0)</f>
        <v>0</v>
      </c>
      <c r="BR11" s="938">
        <f>ROUND(SUM(BP11:BQ11),0)</f>
        <v>5045205</v>
      </c>
      <c r="BS11" s="850"/>
      <c r="BT11" s="850"/>
    </row>
    <row r="12" spans="1:72" ht="12.75">
      <c r="A12" s="850"/>
      <c r="B12" s="939">
        <v>111</v>
      </c>
      <c r="C12" s="940" t="s">
        <v>2191</v>
      </c>
      <c r="D12" s="941" t="s">
        <v>2191</v>
      </c>
      <c r="E12" s="928" t="s">
        <v>19</v>
      </c>
      <c r="F12" s="928" t="s">
        <v>2192</v>
      </c>
      <c r="G12" s="927" t="s">
        <v>2187</v>
      </c>
      <c r="H12" s="927" t="s">
        <v>2188</v>
      </c>
      <c r="I12" s="942">
        <f>SUMIFS('TB.CTy Me.FY2024'!I:I,'TB.CTy Me.FY2024'!A:A,'A0.LS'!E12)</f>
        <v>41786977835</v>
      </c>
      <c r="J12" s="942">
        <f>ROUND(SUMIFS('A5.FY24'!K:K,'A5.FY24'!E:E,'A0.LS'!E12,'A5.FY24'!L:L,"Finhay",'A5.FY24'!M:M,"Posted"),0)</f>
        <v>0</v>
      </c>
      <c r="K12" s="942">
        <f>ROUND(SUMIFS('A5.FY24'!K:K,'A5.FY24'!E:E,'A0.LS'!E12,'A5.FY24'!L:L,"EY",'A5.FY24'!M:M,"Posted"),0)</f>
        <v>0</v>
      </c>
      <c r="L12" s="943">
        <f>ROUND(SUM(I12:K12),0)</f>
        <v>41786977835</v>
      </c>
      <c r="M12" s="930"/>
      <c r="N12" s="944">
        <f>SUMIFS('TB.CTM.YE23'!I:I,'TB.CTM.YE23'!A:A,'A0.LS'!E12)</f>
        <v>55941772321</v>
      </c>
      <c r="O12" s="944">
        <v>-7</v>
      </c>
      <c r="P12" s="944">
        <v>0</v>
      </c>
      <c r="Q12" s="945">
        <f>ROUND(SUM(N12:P12),0)</f>
        <v>55941772314</v>
      </c>
      <c r="R12" s="898"/>
      <c r="S12" s="848">
        <f t="shared" si="0"/>
        <v>-14154794479</v>
      </c>
      <c r="T12" s="946">
        <f t="shared" si="1"/>
        <v>-0.25302727985715995</v>
      </c>
      <c r="U12" s="850"/>
      <c r="V12" s="850" t="s">
        <v>2193</v>
      </c>
      <c r="W12" s="850"/>
      <c r="X12" s="947" t="s">
        <v>2190</v>
      </c>
      <c r="Y12" s="947" t="s">
        <v>2187</v>
      </c>
      <c r="Z12" s="936">
        <f>ROUND(SUMIFS('TB.Cty Con.FY24'!I:I,'TB.Cty Con.FY24'!A:A,'A0.LS'!E12),0)</f>
        <v>288739979</v>
      </c>
      <c r="AA12" s="936">
        <f>ROUND(SUMIFS('A5.CTC FY24'!K:K,'A5.CTC FY24'!E:E,'A0.LS'!E12,'A5.CTC FY24'!A:A,'A0.LS'!$AA$5,'A5.CTC FY24'!L:L,"Finhay",'A5.CTC FY24'!M:M,"Posted"),0)</f>
        <v>-100000</v>
      </c>
      <c r="AB12" s="936">
        <f>ROUND(SUMIFS('A5.CTC FY24'!K:K,'A5.CTC FY24'!E:E,'A0.LS'!E12,'A5.CTC FY24'!A:A,'A0.LS'!$AB$5,'A5.CTC FY24'!L:L,"EY",'A5.CTC FY24'!M:M,"Posted"),0)</f>
        <v>0</v>
      </c>
      <c r="AC12" s="948">
        <f>ROUND(SUM(Z12:AB12),0)</f>
        <v>288639979</v>
      </c>
      <c r="AD12" s="930"/>
      <c r="AE12" s="936">
        <f>ROUND(SUMIFS('TB VNSC FY24'!M:M,'TB VNSC FY24'!N:N,'A0.LS'!E12),0)</f>
        <v>19310235795</v>
      </c>
      <c r="AF12" s="936">
        <f>SUMIFS('A5.CTC FY24'!K:K,'A5.CTC FY24'!E:E,'A0.LS'!E12,'A5.CTC FY24'!A:A,"VNSC",'A5.CTC FY24'!L:L,"VNSC",'A5.CTC FY24'!M:M,"Posted")</f>
        <v>0</v>
      </c>
      <c r="AG12" s="936">
        <f>ROUND(SUMIFS('A5.CTC FY24'!K:K,'A5.CTC FY24'!E:E,'A0.LS'!E12,'A5.CTC FY24'!A:A,"VNSC",'A5.CTC FY24'!L:L,"EY",'A5.CTC FY24'!M:M,"Posted"),0)</f>
        <v>0</v>
      </c>
      <c r="AH12" s="936">
        <f>ROUND(SUM(AE12:AG12),0)</f>
        <v>19310235795</v>
      </c>
      <c r="AI12" s="930"/>
      <c r="AJ12" s="936">
        <f>SUMIFS('TB.KCG.FY24'!I:I,'TB.KCG.FY24'!A:A,'A0.LS'!E12)</f>
        <v>11705289</v>
      </c>
      <c r="AK12" s="936">
        <f>ROUND(SUMIFS('A5.CTC FY24'!K:K,'A5.CTC FY24'!E:E,'A0.LS'!E12,'A5.CTC FY24'!A:A,'A0.LS'!$AK$5,'A5.CTC FY24'!L:L,"EY",'A5.CTC FY24'!M:M,"Posted"),0)</f>
        <v>0</v>
      </c>
      <c r="AL12" s="948">
        <f>ROUND(SUM(AJ12:AK12),0)</f>
        <v>11705289</v>
      </c>
      <c r="AM12" s="930"/>
      <c r="AN12" s="949">
        <f>ROUND(SUM(AT12,AH12,AC12),0)</f>
        <v>20162469667</v>
      </c>
      <c r="AO12" s="950">
        <f>ROUND(SUMIFS('A5.Consol FY24'!L:L,'A5.Consol FY24'!M:M,"EY",'A5.Consol FY24'!N:N,"Posted",'A5.Consol FY24'!B:B,'A0.LS'!$AO$5,'A5.Consol FY24'!F:F,'A0.LS'!E12),0)</f>
        <v>0</v>
      </c>
      <c r="AP12" s="949">
        <f>ROUND(SUM(AN12:AO12),0)</f>
        <v>20162469667</v>
      </c>
      <c r="AQ12" s="930"/>
      <c r="AR12" s="936">
        <f>ROUND(SUMIFS('TB.XH.FY24'!I:I,'TB.XH.FY24'!J:J,'A0.LS'!E12),0)</f>
        <v>563593893</v>
      </c>
      <c r="AS12" s="936">
        <f>ROUND(SUMIFS('A5.CTC FY24'!K:K,'A5.CTC FY24'!E:E,'A0.LS'!E12,'A5.CTC FY24'!A:A,'A0.LS'!$AS$5,'A5.CTC FY24'!L:L,"EY",'A5.CTC FY24'!M:M,"Posted"),0)</f>
        <v>0</v>
      </c>
      <c r="AT12" s="948">
        <f>ROUND(SUM(AR12:AS12),0)</f>
        <v>563593893</v>
      </c>
      <c r="AU12" s="930"/>
      <c r="AV12" s="951">
        <f>ROUND(SUM(AP12,AL12,L12),0)</f>
        <v>61961152791</v>
      </c>
      <c r="AW12" s="952">
        <f>SUMIFS('A5.Consol FY24'!L:L,'A5.Consol FY24'!B:B,'A0.LS'!$AW$5,'A5.Consol FY24'!M:M,"EY",'A5.Consol FY24'!N:N,"Posted",'A5.Consol FY24'!F:F,'A0.LS'!E12)</f>
        <v>0</v>
      </c>
      <c r="AX12" s="951">
        <f>ROUND(SUM(AV12:AW12),0)</f>
        <v>61961152791</v>
      </c>
      <c r="AY12" s="920"/>
      <c r="AZ12" s="936">
        <v>5206138809</v>
      </c>
      <c r="BA12" s="936">
        <f>ROUND(SUMIFS('A5.YE22'!J:J,'A5.YE22'!K:K,'A0.LS'!$BA$5,'A5.YE22'!L:L,"Posted",'A5.YE22'!D:D,'A0.LS'!E12),0)</f>
        <v>0</v>
      </c>
      <c r="BB12" s="936">
        <f>ROUND(SUM(AZ12:BA12),0)</f>
        <v>5206138809</v>
      </c>
      <c r="BC12" s="937"/>
      <c r="BD12" s="936">
        <f>ROUND(SUMIFS('TB.VNSC.YE22'!L:L,'TB.VNSC.YE22'!A:A,'A0.LS'!E12),0)</f>
        <v>4221311787</v>
      </c>
      <c r="BE12" s="936">
        <f>ROUND(SUMIFS('A5.YE22'!J:J,'A5.YE22'!K:K,'A0.LS'!$BE$5,'A5.YE22'!L:L,"Posted",'A5.YE22'!D:D,'A0.LS'!E12),0)</f>
        <v>0</v>
      </c>
      <c r="BF12" s="936">
        <f>ROUND(SUM(BD12:BE12),0)</f>
        <v>4221311787</v>
      </c>
      <c r="BG12" s="937"/>
      <c r="BH12" s="936">
        <f>ROUND(SUMIFS('TB.XH.YE22'!P:P,'TB.XH.YE22'!A:A,'A0.LS'!E12),0)</f>
        <v>38265883</v>
      </c>
      <c r="BI12" s="936">
        <f>ROUND(SUMIFS('A5.YE22'!J:J,'A5.YE22'!K:K,"XH",'A5.YE22'!L:L,"Posted",'A5.YE22'!D:D,'A0.LS'!E12),0)</f>
        <v>0</v>
      </c>
      <c r="BJ12" s="936">
        <f>ROUND(SUM(BH12:BI12),0)</f>
        <v>38265883</v>
      </c>
      <c r="BK12" s="937"/>
      <c r="BL12" s="936">
        <f>ROUND(SUMIFS('TB.KCG.YE22'!P:P,'TB.KCG.YE22'!A:A,'A0.LS'!E12),0)</f>
        <v>17828700</v>
      </c>
      <c r="BM12" s="936">
        <f>ROUND(SUMIFS('A5.YE22'!J:J,'A5.YE22'!K:K,'A0.LS'!$BM$5,'A5.YE22'!L:L,"Posted",'A5.YE22'!D:D,'A0.LS'!E12),0)</f>
        <v>0</v>
      </c>
      <c r="BN12" s="936">
        <f>ROUND(SUM(BL12:BM12),0)</f>
        <v>17828700</v>
      </c>
      <c r="BO12" s="937"/>
      <c r="BP12" s="938">
        <v>69036445327</v>
      </c>
      <c r="BQ12" s="938">
        <f>ROUND(SUMIFS('A5.YE22'!J:J,'A5.YE22'!K:K,'A0.LS'!$BQ$5,'A5.YE22'!L:L,"Posted",'A5.YE22'!D:D,'A0.LS'!E12),0)</f>
        <v>0</v>
      </c>
      <c r="BR12" s="938">
        <f>ROUND(SUM(BP12:BQ12),0)</f>
        <v>69036445327</v>
      </c>
      <c r="BS12" s="850"/>
      <c r="BT12" s="850"/>
    </row>
    <row r="13" spans="1:72" ht="12.75">
      <c r="A13" s="850"/>
      <c r="B13" s="939">
        <v>111</v>
      </c>
      <c r="C13" s="940" t="s">
        <v>2191</v>
      </c>
      <c r="D13" s="941" t="s">
        <v>2191</v>
      </c>
      <c r="E13" s="928" t="s">
        <v>2194</v>
      </c>
      <c r="F13" s="928" t="s">
        <v>2195</v>
      </c>
      <c r="G13" s="927" t="s">
        <v>2187</v>
      </c>
      <c r="H13" s="927" t="s">
        <v>2188</v>
      </c>
      <c r="I13" s="942">
        <f>SUMIFS('TB.CTy Me.FY2024'!I:I,'TB.CTy Me.FY2024'!A:A,'A0.LS'!E13)</f>
        <v>0</v>
      </c>
      <c r="J13" s="942">
        <f>ROUND(SUMIFS('A5.FY24'!K:K,'A5.FY24'!E:E,'A0.LS'!E13,'A5.FY24'!L:L,"Finhay",'A5.FY24'!M:M,"Posted"),0)</f>
        <v>0</v>
      </c>
      <c r="K13" s="942">
        <f>ROUND(SUMIFS('A5.FY24'!K:K,'A5.FY24'!E:E,'A0.LS'!E13,'A5.FY24'!L:L,"EY",'A5.FY24'!M:M,"Posted"),0)</f>
        <v>0</v>
      </c>
      <c r="L13" s="943">
        <f>ROUND(SUM(I13:K13),0)</f>
        <v>0</v>
      </c>
      <c r="M13" s="930"/>
      <c r="N13" s="944">
        <f>SUMIFS('TB.CTM.YE23'!I:I,'TB.CTM.YE23'!A:A,'A0.LS'!E13)</f>
        <v>0</v>
      </c>
      <c r="O13" s="944">
        <v>0</v>
      </c>
      <c r="P13" s="944">
        <v>0</v>
      </c>
      <c r="Q13" s="945">
        <f>ROUND(SUM(N13:P13),0)</f>
        <v>0</v>
      </c>
      <c r="R13" s="898"/>
      <c r="S13" s="848">
        <f t="shared" si="0"/>
        <v>0</v>
      </c>
      <c r="T13" s="946" t="str">
        <f t="shared" si="1"/>
        <v>To check</v>
      </c>
      <c r="U13" s="850"/>
      <c r="V13" s="850" t="s">
        <v>2193</v>
      </c>
      <c r="W13" s="850"/>
      <c r="X13" s="947" t="s">
        <v>2190</v>
      </c>
      <c r="Y13" s="947" t="s">
        <v>2187</v>
      </c>
      <c r="Z13" s="936">
        <f>ROUND(SUMIFS('TB.Cty Con.FY24'!I:I,'TB.Cty Con.FY24'!A:A,'A0.LS'!E13),0)</f>
        <v>0</v>
      </c>
      <c r="AA13" s="936">
        <f>ROUND(SUMIFS('A5.CTC FY24'!K:K,'A5.CTC FY24'!E:E,'A0.LS'!E13,'A5.CTC FY24'!A:A,'A0.LS'!$AA$5,'A5.CTC FY24'!L:L,"Finhay",'A5.CTC FY24'!M:M,"Posted"),0)</f>
        <v>0</v>
      </c>
      <c r="AB13" s="936">
        <f>ROUND(SUMIFS('A5.CTC FY24'!K:K,'A5.CTC FY24'!E:E,'A0.LS'!E13,'A5.CTC FY24'!A:A,'A0.LS'!$AB$5,'A5.CTC FY24'!L:L,"EY",'A5.CTC FY24'!M:M,"Posted"),0)</f>
        <v>0</v>
      </c>
      <c r="AC13" s="948">
        <f>ROUND(SUM(Z13:AB13),0)</f>
        <v>0</v>
      </c>
      <c r="AD13" s="930"/>
      <c r="AE13" s="936">
        <f>ROUND(SUMIFS('TB VNSC FY24'!M:M,'TB VNSC FY24'!N:N,'A0.LS'!E13),0)</f>
        <v>0</v>
      </c>
      <c r="AF13" s="936">
        <f>SUMIFS('A5.CTC FY24'!K:K,'A5.CTC FY24'!E:E,'A0.LS'!E13,'A5.CTC FY24'!A:A,"VNSC",'A5.CTC FY24'!L:L,"VNSC",'A5.CTC FY24'!M:M,"Posted")</f>
        <v>0</v>
      </c>
      <c r="AG13" s="936">
        <f>ROUND(SUMIFS('A5.CTC FY24'!K:K,'A5.CTC FY24'!E:E,'A0.LS'!E13,'A5.CTC FY24'!A:A,"VNSC",'A5.CTC FY24'!L:L,"EY",'A5.CTC FY24'!M:M,"Posted"),0)</f>
        <v>0</v>
      </c>
      <c r="AH13" s="936">
        <f>ROUND(SUM(AE13:AG13),0)</f>
        <v>0</v>
      </c>
      <c r="AI13" s="930"/>
      <c r="AJ13" s="936">
        <f>SUMIFS('TB.KCG.FY24'!I:I,'TB.KCG.FY24'!A:A,'A0.LS'!E13)</f>
        <v>0</v>
      </c>
      <c r="AK13" s="936">
        <f>ROUND(SUMIFS('A5.CTC FY24'!K:K,'A5.CTC FY24'!E:E,'A0.LS'!E13,'A5.CTC FY24'!A:A,'A0.LS'!$AK$5,'A5.CTC FY24'!L:L,"EY",'A5.CTC FY24'!M:M,"Posted"),0)</f>
        <v>0</v>
      </c>
      <c r="AL13" s="948">
        <f>ROUND(SUM(AJ13:AK13),0)</f>
        <v>0</v>
      </c>
      <c r="AM13" s="930"/>
      <c r="AN13" s="949">
        <f>ROUND(SUM(AT13,AH13,AC13),0)</f>
        <v>0</v>
      </c>
      <c r="AO13" s="950">
        <f>ROUND(SUMIFS('A5.Consol FY24'!L:L,'A5.Consol FY24'!M:M,"EY",'A5.Consol FY24'!N:N,"Posted",'A5.Consol FY24'!B:B,'A0.LS'!$AO$5,'A5.Consol FY24'!F:F,'A0.LS'!E13),0)</f>
        <v>0</v>
      </c>
      <c r="AP13" s="949">
        <f>ROUND(SUM(AN13:AO13),0)</f>
        <v>0</v>
      </c>
      <c r="AQ13" s="930"/>
      <c r="AR13" s="936">
        <f>ROUND(SUMIFS('TB.XH.FY24'!I:I,'TB.XH.FY24'!J:J,'A0.LS'!E13),0)</f>
        <v>0</v>
      </c>
      <c r="AS13" s="936">
        <f>ROUND(SUMIFS('A5.CTC FY24'!K:K,'A5.CTC FY24'!E:E,'A0.LS'!E13,'A5.CTC FY24'!A:A,'A0.LS'!$AS$5,'A5.CTC FY24'!L:L,"EY",'A5.CTC FY24'!M:M,"Posted"),0)</f>
        <v>0</v>
      </c>
      <c r="AT13" s="948">
        <f>ROUND(SUM(AR13:AS13),0)</f>
        <v>0</v>
      </c>
      <c r="AU13" s="930"/>
      <c r="AV13" s="951">
        <f>ROUND(SUM(AP13,AL13,L13),0)</f>
        <v>0</v>
      </c>
      <c r="AW13" s="952">
        <f>SUMIFS('A5.Consol FY24'!L:L,'A5.Consol FY24'!B:B,'A0.LS'!$AW$5,'A5.Consol FY24'!M:M,"EY",'A5.Consol FY24'!N:N,"Posted",'A5.Consol FY24'!F:F,'A0.LS'!E13)</f>
        <v>0</v>
      </c>
      <c r="AX13" s="951">
        <f>ROUND(SUM(AV13:AW13),0)</f>
        <v>0</v>
      </c>
      <c r="AY13" s="920"/>
      <c r="AZ13" s="936">
        <f>SUMIFS('TB.CTC.YE22'!Q:Q,'TB.CTC.YE22'!A:A,'A0.LS'!E13)</f>
        <v>0</v>
      </c>
      <c r="BA13" s="936">
        <f>ROUND(SUMIFS('A5.YE22'!J:J,'A5.YE22'!K:K,'A0.LS'!$BA$5,'A5.YE22'!L:L,"Posted",'A5.YE22'!D:D,'A0.LS'!E13),0)</f>
        <v>0</v>
      </c>
      <c r="BB13" s="936">
        <f>ROUND(SUM(AZ13:BA13),0)</f>
        <v>0</v>
      </c>
      <c r="BC13" s="937"/>
      <c r="BD13" s="936">
        <f>ROUND(SUMIFS('TB.VNSC.YE22'!L:L,'TB.VNSC.YE22'!A:A,'A0.LS'!E13),0)</f>
        <v>0</v>
      </c>
      <c r="BE13" s="936">
        <f>ROUND(SUMIFS('A5.YE22'!J:J,'A5.YE22'!K:K,'A0.LS'!$BE$5,'A5.YE22'!L:L,"Posted",'A5.YE22'!D:D,'A0.LS'!E13),0)</f>
        <v>0</v>
      </c>
      <c r="BF13" s="936">
        <f>ROUND(SUM(BD13:BE13),0)</f>
        <v>0</v>
      </c>
      <c r="BG13" s="937"/>
      <c r="BH13" s="936">
        <f>ROUND(SUMIFS('TB.XH.YE22'!P:P,'TB.XH.YE22'!A:A,'A0.LS'!E13),0)</f>
        <v>0</v>
      </c>
      <c r="BI13" s="936">
        <f>ROUND(SUMIFS('A5.YE22'!J:J,'A5.YE22'!K:K,"XH",'A5.YE22'!L:L,"Posted",'A5.YE22'!D:D,'A0.LS'!E13),0)</f>
        <v>0</v>
      </c>
      <c r="BJ13" s="936">
        <f>ROUND(SUM(BH13:BI13),0)</f>
        <v>0</v>
      </c>
      <c r="BK13" s="937"/>
      <c r="BL13" s="936">
        <f>ROUND(SUMIFS('TB.KCG.YE22'!P:P,'TB.KCG.YE22'!A:A,'A0.LS'!E13),0)</f>
        <v>0</v>
      </c>
      <c r="BM13" s="936">
        <f>ROUND(SUMIFS('A5.YE22'!J:J,'A5.YE22'!K:K,'A0.LS'!$BM$5,'A5.YE22'!L:L,"Posted",'A5.YE22'!D:D,'A0.LS'!E13),0)</f>
        <v>0</v>
      </c>
      <c r="BN13" s="936">
        <f>ROUND(SUM(BL13:BM13),0)</f>
        <v>0</v>
      </c>
      <c r="BO13" s="937"/>
      <c r="BP13" s="938">
        <f>ROUND(SUM(Q13,BB13,BF13,BJ13,BN13),0)</f>
        <v>0</v>
      </c>
      <c r="BQ13" s="938">
        <f>ROUND(SUMIFS('A5.YE22'!J:J,'A5.YE22'!K:K,'A0.LS'!$BQ$5,'A5.YE22'!L:L,"Posted",'A5.YE22'!D:D,'A0.LS'!E13),0)</f>
        <v>0</v>
      </c>
      <c r="BR13" s="938">
        <f>ROUND(SUM(BP13:BQ13),0)</f>
        <v>0</v>
      </c>
      <c r="BS13" s="850"/>
      <c r="BT13" s="850"/>
    </row>
    <row r="14" spans="1:72" ht="12.75">
      <c r="A14" s="850"/>
      <c r="B14" s="939">
        <v>111</v>
      </c>
      <c r="C14" s="940" t="s">
        <v>2196</v>
      </c>
      <c r="D14" s="941" t="s">
        <v>2196</v>
      </c>
      <c r="E14" s="928" t="s">
        <v>2197</v>
      </c>
      <c r="F14" s="928" t="s">
        <v>2198</v>
      </c>
      <c r="G14" s="927" t="s">
        <v>2187</v>
      </c>
      <c r="H14" s="927" t="s">
        <v>2188</v>
      </c>
      <c r="I14" s="942">
        <f>SUMIFS('TB.CTy Me.FY2024'!I:I,'TB.CTy Me.FY2024'!A:A,'A0.LS'!E14)</f>
        <v>0</v>
      </c>
      <c r="J14" s="942">
        <f>ROUND(SUMIFS('A5.FY24'!K:K,'A5.FY24'!E:E,'A0.LS'!E14,'A5.FY24'!L:L,"Finhay",'A5.FY24'!M:M,"Posted"),0)</f>
        <v>0</v>
      </c>
      <c r="K14" s="942">
        <f>ROUND(SUMIFS('A5.FY24'!K:K,'A5.FY24'!E:E,'A0.LS'!E14,'A5.FY24'!L:L,"EY",'A5.FY24'!M:M,"Posted"),0)</f>
        <v>0</v>
      </c>
      <c r="L14" s="943">
        <f>ROUND(SUM(I14:K14),0)</f>
        <v>0</v>
      </c>
      <c r="M14" s="930"/>
      <c r="N14" s="944">
        <f>SUMIFS('TB.CTM.YE23'!I:I,'TB.CTM.YE23'!A:A,'A0.LS'!E14)</f>
        <v>0</v>
      </c>
      <c r="O14" s="944">
        <v>0</v>
      </c>
      <c r="P14" s="944">
        <v>0</v>
      </c>
      <c r="Q14" s="945">
        <f>ROUND(SUM(N14:P14),0)</f>
        <v>0</v>
      </c>
      <c r="R14" s="898"/>
      <c r="S14" s="848">
        <f t="shared" si="0"/>
        <v>0</v>
      </c>
      <c r="T14" s="946" t="str">
        <f t="shared" si="1"/>
        <v>To check</v>
      </c>
      <c r="U14" s="850"/>
      <c r="V14" s="850" t="s">
        <v>2193</v>
      </c>
      <c r="W14" s="850"/>
      <c r="X14" s="947" t="s">
        <v>2190</v>
      </c>
      <c r="Y14" s="947" t="s">
        <v>2187</v>
      </c>
      <c r="Z14" s="936">
        <f>ROUND(SUMIFS('TB.Cty Con.FY24'!I:I,'TB.Cty Con.FY24'!A:A,'A0.LS'!E14),0)</f>
        <v>0</v>
      </c>
      <c r="AA14" s="936">
        <f>ROUND(SUMIFS('A5.CTC FY24'!K:K,'A5.CTC FY24'!E:E,'A0.LS'!E14,'A5.CTC FY24'!A:A,'A0.LS'!$AA$5,'A5.CTC FY24'!L:L,"Finhay",'A5.CTC FY24'!M:M,"Posted"),0)</f>
        <v>0</v>
      </c>
      <c r="AB14" s="936">
        <f>ROUND(SUMIFS('A5.CTC FY24'!K:K,'A5.CTC FY24'!E:E,'A0.LS'!E14,'A5.CTC FY24'!A:A,'A0.LS'!$AB$5,'A5.CTC FY24'!L:L,"EY",'A5.CTC FY24'!M:M,"Posted"),0)</f>
        <v>0</v>
      </c>
      <c r="AC14" s="948">
        <f>ROUND(SUM(Z14:AB14),0)</f>
        <v>0</v>
      </c>
      <c r="AD14" s="930"/>
      <c r="AE14" s="936">
        <f>ROUND(SUMIFS('TB VNSC FY24'!M:M,'TB VNSC FY24'!N:N,'A0.LS'!E14),0)</f>
        <v>0</v>
      </c>
      <c r="AF14" s="936">
        <f>SUMIFS('A5.CTC FY24'!K:K,'A5.CTC FY24'!E:E,'A0.LS'!E14,'A5.CTC FY24'!A:A,"VNSC",'A5.CTC FY24'!L:L,"VNSC",'A5.CTC FY24'!M:M,"Posted")</f>
        <v>0</v>
      </c>
      <c r="AG14" s="936">
        <f>ROUND(SUMIFS('A5.CTC FY24'!K:K,'A5.CTC FY24'!E:E,'A0.LS'!E14,'A5.CTC FY24'!A:A,"VNSC",'A5.CTC FY24'!L:L,"EY",'A5.CTC FY24'!M:M,"Posted"),0)</f>
        <v>0</v>
      </c>
      <c r="AH14" s="936">
        <f>ROUND(SUM(AE14:AG14),0)</f>
        <v>0</v>
      </c>
      <c r="AI14" s="930"/>
      <c r="AJ14" s="936">
        <f>SUMIFS('TB.KCG.FY24'!I:I,'TB.KCG.FY24'!A:A,'A0.LS'!E14)</f>
        <v>0</v>
      </c>
      <c r="AK14" s="936">
        <f>ROUND(SUMIFS('A5.CTC FY24'!K:K,'A5.CTC FY24'!E:E,'A0.LS'!E14,'A5.CTC FY24'!A:A,'A0.LS'!$AK$5,'A5.CTC FY24'!L:L,"EY",'A5.CTC FY24'!M:M,"Posted"),0)</f>
        <v>0</v>
      </c>
      <c r="AL14" s="948">
        <f>ROUND(SUM(AJ14:AK14),0)</f>
        <v>0</v>
      </c>
      <c r="AM14" s="930"/>
      <c r="AN14" s="949">
        <f>ROUND(SUM(AT14,AH14,AC14),0)</f>
        <v>0</v>
      </c>
      <c r="AO14" s="950">
        <f>ROUND(SUMIFS('A5.Consol FY24'!L:L,'A5.Consol FY24'!M:M,"EY",'A5.Consol FY24'!N:N,"Posted",'A5.Consol FY24'!B:B,'A0.LS'!$AO$5,'A5.Consol FY24'!F:F,'A0.LS'!E14),0)</f>
        <v>0</v>
      </c>
      <c r="AP14" s="949">
        <f>ROUND(SUM(AN14:AO14),0)</f>
        <v>0</v>
      </c>
      <c r="AQ14" s="930"/>
      <c r="AR14" s="936">
        <f>ROUND(SUMIFS('TB.XH.FY24'!I:I,'TB.XH.FY24'!J:J,'A0.LS'!E14),0)</f>
        <v>0</v>
      </c>
      <c r="AS14" s="936">
        <f>ROUND(SUMIFS('A5.CTC FY24'!K:K,'A5.CTC FY24'!E:E,'A0.LS'!E14,'A5.CTC FY24'!A:A,'A0.LS'!$AS$5,'A5.CTC FY24'!L:L,"EY",'A5.CTC FY24'!M:M,"Posted"),0)</f>
        <v>0</v>
      </c>
      <c r="AT14" s="948">
        <f>ROUND(SUM(AR14:AS14),0)</f>
        <v>0</v>
      </c>
      <c r="AU14" s="930"/>
      <c r="AV14" s="951">
        <f>ROUND(SUM(AP14,AL14,L14),0)</f>
        <v>0</v>
      </c>
      <c r="AW14" s="952">
        <f>SUMIFS('A5.Consol FY24'!L:L,'A5.Consol FY24'!B:B,'A0.LS'!$AW$5,'A5.Consol FY24'!M:M,"EY",'A5.Consol FY24'!N:N,"Posted",'A5.Consol FY24'!F:F,'A0.LS'!E14)</f>
        <v>0</v>
      </c>
      <c r="AX14" s="951">
        <f>ROUND(SUM(AV14:AW14),0)</f>
        <v>0</v>
      </c>
      <c r="AY14" s="920"/>
      <c r="AZ14" s="936">
        <f>SUMIFS('TB.CTC.YE22'!Q:Q,'TB.CTC.YE22'!A:A,'A0.LS'!E14)</f>
        <v>0</v>
      </c>
      <c r="BA14" s="936">
        <f>ROUND(SUMIFS('A5.YE22'!J:J,'A5.YE22'!K:K,'A0.LS'!$BA$5,'A5.YE22'!L:L,"Posted",'A5.YE22'!D:D,'A0.LS'!E14),0)</f>
        <v>0</v>
      </c>
      <c r="BB14" s="936">
        <f>ROUND(SUM(AZ14:BA14),0)</f>
        <v>0</v>
      </c>
      <c r="BC14" s="937"/>
      <c r="BD14" s="936">
        <f>ROUND(SUMIFS('TB.VNSC.YE22'!L:L,'TB.VNSC.YE22'!A:A,'A0.LS'!E14),0)</f>
        <v>0</v>
      </c>
      <c r="BE14" s="936">
        <f>ROUND(SUMIFS('A5.YE22'!J:J,'A5.YE22'!K:K,'A0.LS'!$BE$5,'A5.YE22'!L:L,"Posted",'A5.YE22'!D:D,'A0.LS'!E14),0)</f>
        <v>0</v>
      </c>
      <c r="BF14" s="936">
        <f>ROUND(SUM(BD14:BE14),0)</f>
        <v>0</v>
      </c>
      <c r="BG14" s="937"/>
      <c r="BH14" s="936">
        <f>ROUND(SUMIFS('TB.XH.YE22'!P:P,'TB.XH.YE22'!A:A,'A0.LS'!E14),0)</f>
        <v>0</v>
      </c>
      <c r="BI14" s="936">
        <f>ROUND(SUMIFS('A5.YE22'!J:J,'A5.YE22'!K:K,"XH",'A5.YE22'!L:L,"Posted",'A5.YE22'!D:D,'A0.LS'!E14),0)</f>
        <v>0</v>
      </c>
      <c r="BJ14" s="936">
        <f>ROUND(SUM(BH14:BI14),0)</f>
        <v>0</v>
      </c>
      <c r="BK14" s="937"/>
      <c r="BL14" s="936">
        <f>ROUND(SUMIFS('TB.KCG.YE22'!P:P,'TB.KCG.YE22'!A:A,'A0.LS'!E14),0)</f>
        <v>0</v>
      </c>
      <c r="BM14" s="936">
        <f>ROUND(SUMIFS('A5.YE22'!J:J,'A5.YE22'!K:K,'A0.LS'!$BM$5,'A5.YE22'!L:L,"Posted",'A5.YE22'!D:D,'A0.LS'!E14),0)</f>
        <v>0</v>
      </c>
      <c r="BN14" s="936">
        <f>ROUND(SUM(BL14:BM14),0)</f>
        <v>0</v>
      </c>
      <c r="BO14" s="937"/>
      <c r="BP14" s="938">
        <f>ROUND(SUM(Q14,BB14,BF14,BJ14,BN14),0)</f>
        <v>0</v>
      </c>
      <c r="BQ14" s="938">
        <f>ROUND(SUMIFS('A5.YE22'!J:J,'A5.YE22'!K:K,'A0.LS'!$BQ$5,'A5.YE22'!L:L,"Posted",'A5.YE22'!D:D,'A0.LS'!E14),0)</f>
        <v>0</v>
      </c>
      <c r="BR14" s="938">
        <f>ROUND(SUM(BP14:BQ14),0)</f>
        <v>0</v>
      </c>
      <c r="BS14" s="850"/>
      <c r="BT14" s="850"/>
    </row>
    <row r="15" spans="1:72" ht="12.75">
      <c r="A15" s="850"/>
      <c r="B15" s="939">
        <v>111</v>
      </c>
      <c r="C15" s="940" t="s">
        <v>2196</v>
      </c>
      <c r="D15" s="941" t="s">
        <v>2196</v>
      </c>
      <c r="E15" s="928" t="s">
        <v>23</v>
      </c>
      <c r="F15" s="928" t="s">
        <v>24</v>
      </c>
      <c r="G15" s="927" t="s">
        <v>2187</v>
      </c>
      <c r="H15" s="927" t="s">
        <v>2188</v>
      </c>
      <c r="I15" s="942">
        <f>SUMIFS('TB.CTy Me.FY2024'!I:I,'TB.CTy Me.FY2024'!A:A,'A0.LS'!E15)</f>
        <v>2329343846</v>
      </c>
      <c r="J15" s="942">
        <f>ROUND(SUMIFS('A5.FY24'!K:K,'A5.FY24'!E:E,'A0.LS'!E15,'A5.FY24'!L:L,"Finhay",'A5.FY24'!M:M,"Posted"),0)</f>
        <v>0</v>
      </c>
      <c r="K15" s="942">
        <f>ROUND(SUMIFS('A5.FY24'!K:K,'A5.FY24'!E:E,'A0.LS'!E15,'A5.FY24'!L:L,"EY",'A5.FY24'!M:M,"Posted"),0)</f>
        <v>-2329343846</v>
      </c>
      <c r="L15" s="943">
        <f>ROUND(SUM(I15:K15),0)</f>
        <v>0</v>
      </c>
      <c r="M15" s="930"/>
      <c r="N15" s="944">
        <f>SUMIFS('TB.CTM.YE23'!I:I,'TB.CTM.YE23'!A:A,'A0.LS'!E15)</f>
        <v>3163952678</v>
      </c>
      <c r="O15" s="944">
        <v>0</v>
      </c>
      <c r="P15" s="944">
        <v>-3163952678</v>
      </c>
      <c r="Q15" s="945">
        <f>ROUND(SUM(N15:P15),0)</f>
        <v>0</v>
      </c>
      <c r="R15" s="898"/>
      <c r="S15" s="848">
        <f t="shared" si="0"/>
        <v>0</v>
      </c>
      <c r="T15" s="946" t="str">
        <f t="shared" si="1"/>
        <v>To check</v>
      </c>
      <c r="U15" s="850"/>
      <c r="V15" s="850" t="s">
        <v>2193</v>
      </c>
      <c r="W15" s="850"/>
      <c r="X15" s="947" t="s">
        <v>2190</v>
      </c>
      <c r="Y15" s="947" t="s">
        <v>2187</v>
      </c>
      <c r="Z15" s="936">
        <f>ROUND(SUMIFS('TB.Cty Con.FY24'!I:I,'TB.Cty Con.FY24'!A:A,'A0.LS'!E15),0)</f>
        <v>0</v>
      </c>
      <c r="AA15" s="936">
        <f>ROUND(SUMIFS('A5.CTC FY24'!K:K,'A5.CTC FY24'!E:E,'A0.LS'!E15,'A5.CTC FY24'!A:A,'A0.LS'!$AA$5,'A5.CTC FY24'!L:L,"Finhay",'A5.CTC FY24'!M:M,"Posted"),0)</f>
        <v>0</v>
      </c>
      <c r="AB15" s="936">
        <f>ROUND(SUMIFS('A5.CTC FY24'!K:K,'A5.CTC FY24'!E:E,'A0.LS'!E15,'A5.CTC FY24'!A:A,'A0.LS'!$AB$5,'A5.CTC FY24'!L:L,"EY",'A5.CTC FY24'!M:M,"Posted"),0)</f>
        <v>0</v>
      </c>
      <c r="AC15" s="948">
        <f>ROUND(SUM(Z15:AB15),0)</f>
        <v>0</v>
      </c>
      <c r="AD15" s="930"/>
      <c r="AE15" s="936">
        <f>ROUND(SUMIFS('TB VNSC FY24'!M:M,'TB VNSC FY24'!N:N,'A0.LS'!E15),0)</f>
        <v>0</v>
      </c>
      <c r="AF15" s="936">
        <f>SUMIFS('A5.CTC FY24'!K:K,'A5.CTC FY24'!E:E,'A0.LS'!E15,'A5.CTC FY24'!A:A,"VNSC",'A5.CTC FY24'!L:L,"VNSC",'A5.CTC FY24'!M:M,"Posted")</f>
        <v>0</v>
      </c>
      <c r="AG15" s="936">
        <f>ROUND(SUMIFS('A5.CTC FY24'!K:K,'A5.CTC FY24'!E:E,'A0.LS'!E15,'A5.CTC FY24'!A:A,"VNSC",'A5.CTC FY24'!L:L,"EY",'A5.CTC FY24'!M:M,"Posted"),0)</f>
        <v>0</v>
      </c>
      <c r="AH15" s="936">
        <f>ROUND(SUM(AE15:AG15),0)</f>
        <v>0</v>
      </c>
      <c r="AI15" s="930"/>
      <c r="AJ15" s="936">
        <f>SUMIFS('TB.KCG.FY24'!I:I,'TB.KCG.FY24'!A:A,'A0.LS'!E15)</f>
        <v>0</v>
      </c>
      <c r="AK15" s="936">
        <f>ROUND(SUMIFS('A5.CTC FY24'!K:K,'A5.CTC FY24'!E:E,'A0.LS'!E15,'A5.CTC FY24'!A:A,'A0.LS'!$AK$5,'A5.CTC FY24'!L:L,"EY",'A5.CTC FY24'!M:M,"Posted"),0)</f>
        <v>0</v>
      </c>
      <c r="AL15" s="948">
        <f>ROUND(SUM(AJ15:AK15),0)</f>
        <v>0</v>
      </c>
      <c r="AM15" s="930"/>
      <c r="AN15" s="949">
        <f>ROUND(SUM(AT15,AH15,AC15),0)</f>
        <v>0</v>
      </c>
      <c r="AO15" s="950">
        <f>ROUND(SUMIFS('A5.Consol FY24'!L:L,'A5.Consol FY24'!M:M,"EY",'A5.Consol FY24'!N:N,"Posted",'A5.Consol FY24'!B:B,'A0.LS'!$AO$5,'A5.Consol FY24'!F:F,'A0.LS'!E15),0)</f>
        <v>0</v>
      </c>
      <c r="AP15" s="949">
        <f>ROUND(SUM(AN15:AO15),0)</f>
        <v>0</v>
      </c>
      <c r="AQ15" s="930"/>
      <c r="AR15" s="936">
        <f>ROUND(SUMIFS('TB.XH.FY24'!I:I,'TB.XH.FY24'!J:J,'A0.LS'!E15),0)</f>
        <v>0</v>
      </c>
      <c r="AS15" s="936">
        <f>ROUND(SUMIFS('A5.CTC FY24'!K:K,'A5.CTC FY24'!E:E,'A0.LS'!E15,'A5.CTC FY24'!A:A,'A0.LS'!$AS$5,'A5.CTC FY24'!L:L,"EY",'A5.CTC FY24'!M:M,"Posted"),0)</f>
        <v>0</v>
      </c>
      <c r="AT15" s="948">
        <f>ROUND(SUM(AR15:AS15),0)</f>
        <v>0</v>
      </c>
      <c r="AU15" s="930"/>
      <c r="AV15" s="951">
        <f>ROUND(SUM(AP15,AL15,L15),0)</f>
        <v>0</v>
      </c>
      <c r="AW15" s="952">
        <f>SUMIFS('A5.Consol FY24'!L:L,'A5.Consol FY24'!B:B,'A0.LS'!$AW$5,'A5.Consol FY24'!M:M,"EY",'A5.Consol FY24'!N:N,"Posted",'A5.Consol FY24'!F:F,'A0.LS'!E15)</f>
        <v>0</v>
      </c>
      <c r="AX15" s="951">
        <f>ROUND(SUM(AV15:AW15),0)</f>
        <v>0</v>
      </c>
      <c r="AY15" s="920"/>
      <c r="AZ15" s="936">
        <f>SUMIFS('TB.CTC.YE22'!Q:Q,'TB.CTC.YE22'!A:A,'A0.LS'!E15)</f>
        <v>0</v>
      </c>
      <c r="BA15" s="936">
        <f>ROUND(SUMIFS('A5.YE22'!J:J,'A5.YE22'!K:K,'A0.LS'!$BA$5,'A5.YE22'!L:L,"Posted",'A5.YE22'!D:D,'A0.LS'!E15),0)</f>
        <v>0</v>
      </c>
      <c r="BB15" s="936">
        <f>ROUND(SUM(AZ15:BA15),0)</f>
        <v>0</v>
      </c>
      <c r="BC15" s="937"/>
      <c r="BD15" s="936">
        <f>ROUND(SUMIFS('TB.VNSC.YE22'!L:L,'TB.VNSC.YE22'!A:A,'A0.LS'!E15),0)</f>
        <v>0</v>
      </c>
      <c r="BE15" s="936">
        <f>ROUND(SUMIFS('A5.YE22'!J:J,'A5.YE22'!K:K,'A0.LS'!$BE$5,'A5.YE22'!L:L,"Posted",'A5.YE22'!D:D,'A0.LS'!E15),0)</f>
        <v>0</v>
      </c>
      <c r="BF15" s="936">
        <f>ROUND(SUM(BD15:BE15),0)</f>
        <v>0</v>
      </c>
      <c r="BG15" s="937"/>
      <c r="BH15" s="936">
        <f>ROUND(SUMIFS('TB.XH.YE22'!P:P,'TB.XH.YE22'!A:A,'A0.LS'!E15),0)</f>
        <v>0</v>
      </c>
      <c r="BI15" s="936">
        <f>ROUND(SUMIFS('A5.YE22'!J:J,'A5.YE22'!K:K,"XH",'A5.YE22'!L:L,"Posted",'A5.YE22'!D:D,'A0.LS'!E15),0)</f>
        <v>0</v>
      </c>
      <c r="BJ15" s="936">
        <f>ROUND(SUM(BH15:BI15),0)</f>
        <v>0</v>
      </c>
      <c r="BK15" s="937"/>
      <c r="BL15" s="936">
        <f>ROUND(SUMIFS('TB.KCG.YE22'!P:P,'TB.KCG.YE22'!A:A,'A0.LS'!E15),0)</f>
        <v>0</v>
      </c>
      <c r="BM15" s="936">
        <f>ROUND(SUMIFS('A5.YE22'!J:J,'A5.YE22'!K:K,'A0.LS'!$BM$5,'A5.YE22'!L:L,"Posted",'A5.YE22'!D:D,'A0.LS'!E15),0)</f>
        <v>0</v>
      </c>
      <c r="BN15" s="936">
        <f>ROUND(SUM(BL15:BM15),0)</f>
        <v>0</v>
      </c>
      <c r="BO15" s="937"/>
      <c r="BP15" s="938">
        <f>ROUND(SUM(Q15,BB15,BF15,BJ15,BN15),0)</f>
        <v>0</v>
      </c>
      <c r="BQ15" s="938">
        <f>ROUND(SUMIFS('A5.YE22'!J:J,'A5.YE22'!K:K,'A0.LS'!$BQ$5,'A5.YE22'!L:L,"Posted",'A5.YE22'!D:D,'A0.LS'!E15),0)</f>
        <v>0</v>
      </c>
      <c r="BR15" s="938">
        <f>ROUND(SUM(BP15:BQ15),0)</f>
        <v>0</v>
      </c>
      <c r="BS15" s="850"/>
      <c r="BT15" s="850"/>
    </row>
    <row r="16" spans="1:72" ht="12.75">
      <c r="A16" s="850"/>
      <c r="B16" s="925"/>
      <c r="C16" s="926"/>
      <c r="D16" s="927"/>
      <c r="E16" s="928"/>
      <c r="F16" s="928"/>
      <c r="G16" s="928"/>
      <c r="H16" s="927"/>
      <c r="I16" s="929"/>
      <c r="J16" s="929"/>
      <c r="K16" s="929"/>
      <c r="L16" s="929"/>
      <c r="M16" s="930"/>
      <c r="N16" s="931"/>
      <c r="O16" s="931"/>
      <c r="P16" s="931"/>
      <c r="Q16" s="932"/>
      <c r="R16" s="898"/>
      <c r="S16" s="850"/>
      <c r="T16" s="850"/>
      <c r="U16" s="850"/>
      <c r="V16" s="850"/>
      <c r="W16" s="850"/>
      <c r="X16" s="933"/>
      <c r="Y16" s="933"/>
      <c r="Z16" s="934"/>
      <c r="AA16" s="934"/>
      <c r="AB16" s="934"/>
      <c r="AC16" s="934"/>
      <c r="AD16" s="930"/>
      <c r="AE16" s="934"/>
      <c r="AF16" s="934"/>
      <c r="AG16" s="934"/>
      <c r="AH16" s="934"/>
      <c r="AI16" s="930"/>
      <c r="AJ16" s="934"/>
      <c r="AK16" s="934"/>
      <c r="AL16" s="934"/>
      <c r="AM16" s="930"/>
      <c r="AN16" s="935"/>
      <c r="AO16" s="935"/>
      <c r="AP16" s="935"/>
      <c r="AQ16" s="930"/>
      <c r="AR16" s="934"/>
      <c r="AS16" s="934"/>
      <c r="AT16" s="934"/>
      <c r="AU16" s="930"/>
      <c r="AV16" s="909"/>
      <c r="AW16" s="909"/>
      <c r="AX16" s="909"/>
      <c r="AY16" s="920"/>
      <c r="AZ16" s="936"/>
      <c r="BA16" s="936"/>
      <c r="BB16" s="936"/>
      <c r="BC16" s="937"/>
      <c r="BD16" s="936"/>
      <c r="BE16" s="936"/>
      <c r="BF16" s="936"/>
      <c r="BG16" s="937"/>
      <c r="BH16" s="936"/>
      <c r="BI16" s="936"/>
      <c r="BJ16" s="936"/>
      <c r="BK16" s="937"/>
      <c r="BL16" s="936"/>
      <c r="BM16" s="936"/>
      <c r="BN16" s="936"/>
      <c r="BO16" s="937"/>
      <c r="BP16" s="938"/>
      <c r="BQ16" s="938"/>
      <c r="BR16" s="938"/>
      <c r="BS16" s="850"/>
      <c r="BT16" s="850"/>
    </row>
    <row r="17" spans="1:70" s="1" customFormat="1" ht="12.75">
      <c r="B17" s="293"/>
      <c r="C17" s="294"/>
      <c r="D17" s="295"/>
      <c r="E17" s="75"/>
      <c r="F17" s="75" t="s">
        <v>2199</v>
      </c>
      <c r="G17" s="75"/>
      <c r="H17" s="295"/>
      <c r="I17" s="68">
        <f>I18</f>
        <v>0</v>
      </c>
      <c r="J17" s="68">
        <f>J18</f>
        <v>0</v>
      </c>
      <c r="K17" s="68">
        <f>K18</f>
        <v>30000000000</v>
      </c>
      <c r="L17" s="68">
        <f>L18</f>
        <v>30000000000</v>
      </c>
      <c r="M17" s="296"/>
      <c r="N17" s="69">
        <f>N18</f>
        <v>0</v>
      </c>
      <c r="O17" s="69">
        <f>O18</f>
        <v>0</v>
      </c>
      <c r="P17" s="69">
        <f>P18</f>
        <v>15010000000</v>
      </c>
      <c r="Q17" s="70">
        <f>Q18</f>
        <v>15010000000</v>
      </c>
      <c r="R17" s="298"/>
      <c r="S17" s="175">
        <f>L17-Q17</f>
        <v>14990000000</v>
      </c>
      <c r="T17" s="176">
        <f>IFERROR(S17/Q17,"To check")</f>
        <v>0.9986675549633578</v>
      </c>
      <c r="X17" s="321"/>
      <c r="Y17" s="321"/>
      <c r="Z17" s="235">
        <f>Z18</f>
        <v>0</v>
      </c>
      <c r="AA17" s="235">
        <f>AA18</f>
        <v>0</v>
      </c>
      <c r="AB17" s="235">
        <f>AB18</f>
        <v>0</v>
      </c>
      <c r="AC17" s="235">
        <f>AC18</f>
        <v>0</v>
      </c>
      <c r="AD17" s="236"/>
      <c r="AE17" s="235">
        <f>AE18</f>
        <v>6000000000</v>
      </c>
      <c r="AF17" s="235">
        <f>AF18</f>
        <v>0</v>
      </c>
      <c r="AG17" s="235">
        <f>AG18</f>
        <v>0</v>
      </c>
      <c r="AH17" s="235">
        <f>AH18</f>
        <v>6000000000</v>
      </c>
      <c r="AI17" s="236"/>
      <c r="AJ17" s="235">
        <f>AJ18</f>
        <v>0</v>
      </c>
      <c r="AK17" s="235">
        <f>AK18</f>
        <v>0</v>
      </c>
      <c r="AL17" s="235">
        <f>AL18</f>
        <v>0</v>
      </c>
      <c r="AM17" s="236"/>
      <c r="AN17" s="237">
        <f>AN18</f>
        <v>6002923624</v>
      </c>
      <c r="AO17" s="237">
        <f>AO18</f>
        <v>2754582408</v>
      </c>
      <c r="AP17" s="237">
        <f>AP18</f>
        <v>8757506032</v>
      </c>
      <c r="AQ17" s="236"/>
      <c r="AR17" s="235">
        <f>AR18</f>
        <v>2923624</v>
      </c>
      <c r="AS17" s="235">
        <f>AS18</f>
        <v>0</v>
      </c>
      <c r="AT17" s="235">
        <f>AT18</f>
        <v>2923624</v>
      </c>
      <c r="AU17" s="236"/>
      <c r="AV17" s="238">
        <f>AV18</f>
        <v>38757506032</v>
      </c>
      <c r="AW17" s="238">
        <f>AW18</f>
        <v>0</v>
      </c>
      <c r="AX17" s="238">
        <f>AX18</f>
        <v>38757506032</v>
      </c>
      <c r="AY17" s="614"/>
      <c r="AZ17" s="235">
        <f>AZ18</f>
        <v>0</v>
      </c>
      <c r="BA17" s="235">
        <f>BA18</f>
        <v>0</v>
      </c>
      <c r="BB17" s="235">
        <f>BB18</f>
        <v>0</v>
      </c>
      <c r="BC17" s="236"/>
      <c r="BD17" s="235">
        <f>BD18</f>
        <v>116000000000</v>
      </c>
      <c r="BE17" s="235">
        <f>BE18</f>
        <v>0</v>
      </c>
      <c r="BF17" s="235">
        <f>BF18</f>
        <v>116000000000</v>
      </c>
      <c r="BG17" s="236"/>
      <c r="BH17" s="235">
        <f>BH18</f>
        <v>0</v>
      </c>
      <c r="BI17" s="235">
        <f>BI18</f>
        <v>0</v>
      </c>
      <c r="BJ17" s="235">
        <f>BJ18</f>
        <v>0</v>
      </c>
      <c r="BK17" s="236"/>
      <c r="BL17" s="235">
        <f>BL18</f>
        <v>0</v>
      </c>
      <c r="BM17" s="235">
        <f>BM18</f>
        <v>0</v>
      </c>
      <c r="BN17" s="235">
        <f>BN18</f>
        <v>0</v>
      </c>
      <c r="BO17" s="236"/>
      <c r="BP17" s="443">
        <f>BP18</f>
        <v>17332654488</v>
      </c>
      <c r="BQ17" s="443">
        <f>BQ18</f>
        <v>0</v>
      </c>
      <c r="BR17" s="443">
        <f>BR18</f>
        <v>17332654488</v>
      </c>
    </row>
    <row r="18" spans="1:70" ht="12.75">
      <c r="A18" s="850"/>
      <c r="B18" s="939">
        <v>112</v>
      </c>
      <c r="C18" s="940" t="s">
        <v>2200</v>
      </c>
      <c r="D18" s="941" t="s">
        <v>2200</v>
      </c>
      <c r="E18" s="953" t="s">
        <v>521</v>
      </c>
      <c r="F18" s="928" t="s">
        <v>2201</v>
      </c>
      <c r="G18" s="927" t="s">
        <v>2187</v>
      </c>
      <c r="H18" s="927" t="s">
        <v>2188</v>
      </c>
      <c r="I18" s="942">
        <f>SUMIFS('TB.CTy Me.FY2024'!I:I,'TB.CTy Me.FY2024'!A:A,'A0.LS'!E18)</f>
        <v>0</v>
      </c>
      <c r="J18" s="942">
        <f>ROUND(SUMIFS('A5.FY24'!K:K,'A5.FY24'!E:E,'A0.LS'!E18,'A5.FY24'!L:L,"Finhay",'A5.FY24'!M:M,"Posted"),0)</f>
        <v>0</v>
      </c>
      <c r="K18" s="942">
        <f>ROUND(SUMIFS('A5.FY24'!K:K,'A5.FY24'!E:E,'A0.LS'!E18,'A5.FY24'!L:L,"EY",'A5.FY24'!M:M,"Posted"),0)</f>
        <v>30000000000</v>
      </c>
      <c r="L18" s="943">
        <f>ROUND(SUM(I18:K18),0)</f>
        <v>30000000000</v>
      </c>
      <c r="M18" s="930"/>
      <c r="N18" s="944">
        <f>SUMIFS('TB.CTM.YE23'!I:I,'TB.CTM.YE23'!A:A,'A0.LS'!E18)</f>
        <v>0</v>
      </c>
      <c r="O18" s="944">
        <v>0</v>
      </c>
      <c r="P18" s="944">
        <v>15010000000</v>
      </c>
      <c r="Q18" s="1275">
        <f>ROUND(SUM(N18:P18),0)</f>
        <v>15010000000</v>
      </c>
      <c r="R18" s="898"/>
      <c r="S18" s="848">
        <f>L18-Q18</f>
        <v>14990000000</v>
      </c>
      <c r="T18" s="946">
        <f>IFERROR(S18/Q18,"To check")</f>
        <v>0.9986675549633578</v>
      </c>
      <c r="U18" s="850" t="s">
        <v>2202</v>
      </c>
      <c r="V18" s="850" t="e">
        <v>#N/A</v>
      </c>
      <c r="W18" s="850"/>
      <c r="X18" s="947" t="s">
        <v>2190</v>
      </c>
      <c r="Y18" s="947" t="s">
        <v>2187</v>
      </c>
      <c r="Z18" s="936">
        <f>ROUND(SUMIFS('TB.Cty Con.FY24'!I:I,'TB.Cty Con.FY24'!A:A,'A0.LS'!E18),0)</f>
        <v>0</v>
      </c>
      <c r="AA18" s="936">
        <f>ROUND(SUMIFS('A5.CTC FY24'!K:K,'A5.CTC FY24'!E:E,'A0.LS'!E18,'A5.CTC FY24'!A:A,'A0.LS'!$AA$5,'A5.CTC FY24'!L:L,"Finhay",'A5.CTC FY24'!M:M,"Posted"),0)</f>
        <v>0</v>
      </c>
      <c r="AB18" s="936">
        <f>ROUND(SUMIFS('A5.CTC FY24'!K:K,'A5.CTC FY24'!E:E,'A0.LS'!E18,'A5.CTC FY24'!A:A,'A0.LS'!$AB$5,'A5.CTC FY24'!L:L,"EY",'A5.CTC FY24'!M:M,"Posted"),0)</f>
        <v>0</v>
      </c>
      <c r="AC18" s="948">
        <f>ROUND(SUM(Z18:AB18),0)</f>
        <v>0</v>
      </c>
      <c r="AD18" s="930"/>
      <c r="AE18" s="936">
        <f>ROUND(SUMIFS('TB VNSC FY24'!M:M,'TB VNSC FY24'!N:N,'A0.LS'!E18),0)</f>
        <v>6000000000</v>
      </c>
      <c r="AF18" s="936">
        <f>SUMIFS('A5.CTC FY24'!K:K,'A5.CTC FY24'!E:E,'A0.LS'!E18,'A5.CTC FY24'!A:A,"VNSC",'A5.CTC FY24'!L:L,"VNSC",'A5.CTC FY24'!M:M,"Posted")</f>
        <v>0</v>
      </c>
      <c r="AG18" s="936">
        <f>ROUND(SUMIFS('A5.CTC FY24'!K:K,'A5.CTC FY24'!E:E,'A0.LS'!E18,'A5.CTC FY24'!A:A,"VNSC",'A5.CTC FY24'!L:L,"EY",'A5.CTC FY24'!M:M,"Posted"),0)</f>
        <v>0</v>
      </c>
      <c r="AH18" s="936">
        <f>ROUND(SUM(AE18:AG18),0)</f>
        <v>6000000000</v>
      </c>
      <c r="AI18" s="930"/>
      <c r="AJ18" s="936">
        <f>SUMIFS('TB.KCG.FY24'!I:I,'TB.KCG.FY24'!A:A,'A0.LS'!E18)</f>
        <v>0</v>
      </c>
      <c r="AK18" s="936">
        <f>ROUND(SUMIFS('A5.CTC FY24'!K:K,'A5.CTC FY24'!E:E,'A0.LS'!E18,'A5.CTC FY24'!A:A,'A0.LS'!$AK$5,'A5.CTC FY24'!L:L,"EY",'A5.CTC FY24'!M:M,"Posted"),0)</f>
        <v>0</v>
      </c>
      <c r="AL18" s="948">
        <f>ROUND(SUM(AJ18:AK18),0)</f>
        <v>0</v>
      </c>
      <c r="AM18" s="930"/>
      <c r="AN18" s="949">
        <f>ROUND(SUM(AT18,AH18,AC18),0)</f>
        <v>6002923624</v>
      </c>
      <c r="AO18" s="950">
        <f>ROUND(SUMIFS('A5.Consol FY24'!L:L,'A5.Consol FY24'!M:M,"EY",'A5.Consol FY24'!N:N,"Posted",'A5.Consol FY24'!B:B,'A0.LS'!$AO$5,'A5.Consol FY24'!F:F,'A0.LS'!E18),0)</f>
        <v>2754582408</v>
      </c>
      <c r="AP18" s="949">
        <f>ROUND(SUM(AN18:AO18),0)</f>
        <v>8757506032</v>
      </c>
      <c r="AQ18" s="930"/>
      <c r="AR18" s="936">
        <f>ROUND(SUMIFS('TB.XH.FY24'!I:I,'TB.XH.FY24'!J:J,'A0.LS'!E18),0)</f>
        <v>2923624</v>
      </c>
      <c r="AS18" s="936">
        <f>ROUND(SUMIFS('A5.CTC FY24'!K:K,'A5.CTC FY24'!E:E,'A0.LS'!E18,'A5.CTC FY24'!A:A,'A0.LS'!$AS$5,'A5.CTC FY24'!L:L,"EY",'A5.CTC FY24'!M:M,"Posted"),0)</f>
        <v>0</v>
      </c>
      <c r="AT18" s="948">
        <f>ROUND(SUM(AR18:AS18),0)</f>
        <v>2923624</v>
      </c>
      <c r="AU18" s="930"/>
      <c r="AV18" s="951">
        <f>ROUND(SUM(AP18,AL18,L18),0)</f>
        <v>38757506032</v>
      </c>
      <c r="AW18" s="952">
        <f>SUMIFS('A5.Consol FY24'!L:L,'A5.Consol FY24'!B:B,'A0.LS'!$AW$5,'A5.Consol FY24'!M:M,"EY",'A5.Consol FY24'!N:N,"Posted",'A5.Consol FY24'!F:F,'A0.LS'!E18)</f>
        <v>0</v>
      </c>
      <c r="AX18" s="951">
        <f>ROUND(SUM(AV18:AW18),0)</f>
        <v>38757506032</v>
      </c>
      <c r="AY18" s="920"/>
      <c r="AZ18" s="936">
        <f>SUMIFS('TB.CTC.YE22'!Q:Q,'TB.CTC.YE22'!A:A,'A0.LS'!E18)</f>
        <v>0</v>
      </c>
      <c r="BA18" s="936">
        <v>0</v>
      </c>
      <c r="BB18" s="936">
        <f>ROUND(SUM(AZ18:BA18),0)</f>
        <v>0</v>
      </c>
      <c r="BC18" s="937"/>
      <c r="BD18" s="936">
        <f>ROUND(SUMIFS('TB.VNSC.YE22'!L:L,'TB.VNSC.YE22'!A:A,'A0.LS'!E18),0)</f>
        <v>116000000000</v>
      </c>
      <c r="BE18" s="936">
        <f>ROUND(SUMIFS('A5.YE22'!J:J,'A5.YE22'!K:K,'A0.LS'!$BE$5,'A5.YE22'!L:L,"Posted",'A5.YE22'!D:D,'A0.LS'!E18),0)</f>
        <v>0</v>
      </c>
      <c r="BF18" s="936">
        <f>ROUND(SUM(BD18:BE18),0)</f>
        <v>116000000000</v>
      </c>
      <c r="BG18" s="937"/>
      <c r="BH18" s="936">
        <f>ROUND(SUMIFS('TB.XH.YE22'!P:P,'TB.XH.YE22'!A:A,'A0.LS'!E18),0)</f>
        <v>0</v>
      </c>
      <c r="BI18" s="936">
        <f>ROUND(SUMIFS('A5.YE22'!J:J,'A5.YE22'!K:K,"XH",'A5.YE22'!L:L,"Posted",'A5.YE22'!D:D,'A0.LS'!E18),0)</f>
        <v>0</v>
      </c>
      <c r="BJ18" s="936">
        <f>ROUND(SUM(BH18:BI18),0)</f>
        <v>0</v>
      </c>
      <c r="BK18" s="937"/>
      <c r="BL18" s="936">
        <f>ROUND(SUMIFS('TB.KCG.YE22'!P:P,'TB.KCG.YE22'!A:A,'A0.LS'!E18),0)</f>
        <v>0</v>
      </c>
      <c r="BM18" s="936">
        <f>ROUND(SUMIFS('A5.YE22'!J:J,'A5.YE22'!K:K,'A0.LS'!$BM$5,'A5.YE22'!L:L,"Posted",'A5.YE22'!D:D,'A0.LS'!E18),0)</f>
        <v>0</v>
      </c>
      <c r="BN18" s="936">
        <f>ROUND(SUM(BL18:BM18),0)</f>
        <v>0</v>
      </c>
      <c r="BO18" s="937"/>
      <c r="BP18" s="938">
        <v>17332654488</v>
      </c>
      <c r="BQ18" s="938">
        <f>ROUND(SUMIFS('A5.YE22'!J:J,'A5.YE22'!K:K,'A0.LS'!$BQ$5,'A5.YE22'!L:L,"Posted",'A5.YE22'!D:D,'A0.LS'!E18),0)</f>
        <v>0</v>
      </c>
      <c r="BR18" s="938">
        <f>ROUND(SUM(BP18:BQ18),0)</f>
        <v>17332654488</v>
      </c>
    </row>
    <row r="19" spans="1:70" ht="12.75">
      <c r="A19" s="850"/>
      <c r="B19" s="925"/>
      <c r="C19" s="926"/>
      <c r="D19" s="927"/>
      <c r="E19" s="928"/>
      <c r="F19" s="928"/>
      <c r="G19" s="928"/>
      <c r="H19" s="927"/>
      <c r="I19" s="929"/>
      <c r="J19" s="929"/>
      <c r="K19" s="929"/>
      <c r="L19" s="929"/>
      <c r="M19" s="930"/>
      <c r="N19" s="931"/>
      <c r="O19" s="931"/>
      <c r="P19" s="931"/>
      <c r="Q19" s="932"/>
      <c r="R19" s="898"/>
      <c r="S19" s="850"/>
      <c r="T19" s="850"/>
      <c r="U19" s="850"/>
      <c r="V19" s="850"/>
      <c r="W19" s="850"/>
      <c r="X19" s="933"/>
      <c r="Y19" s="933"/>
      <c r="Z19" s="934"/>
      <c r="AA19" s="934"/>
      <c r="AB19" s="934"/>
      <c r="AC19" s="934"/>
      <c r="AD19" s="930"/>
      <c r="AE19" s="934"/>
      <c r="AF19" s="934"/>
      <c r="AG19" s="934"/>
      <c r="AH19" s="934"/>
      <c r="AI19" s="930"/>
      <c r="AJ19" s="934"/>
      <c r="AK19" s="934"/>
      <c r="AL19" s="934"/>
      <c r="AM19" s="930"/>
      <c r="AN19" s="935"/>
      <c r="AO19" s="935"/>
      <c r="AP19" s="935"/>
      <c r="AQ19" s="930"/>
      <c r="AR19" s="934"/>
      <c r="AS19" s="934"/>
      <c r="AT19" s="934"/>
      <c r="AU19" s="930"/>
      <c r="AV19" s="909"/>
      <c r="AW19" s="909"/>
      <c r="AX19" s="909"/>
      <c r="AY19" s="920"/>
      <c r="AZ19" s="936"/>
      <c r="BA19" s="936"/>
      <c r="BB19" s="936"/>
      <c r="BC19" s="937"/>
      <c r="BD19" s="936"/>
      <c r="BE19" s="936"/>
      <c r="BF19" s="936"/>
      <c r="BG19" s="937"/>
      <c r="BH19" s="936"/>
      <c r="BI19" s="936"/>
      <c r="BJ19" s="936"/>
      <c r="BK19" s="937"/>
      <c r="BL19" s="936"/>
      <c r="BM19" s="936"/>
      <c r="BN19" s="936"/>
      <c r="BO19" s="937"/>
      <c r="BP19" s="938"/>
      <c r="BQ19" s="938"/>
      <c r="BR19" s="938"/>
    </row>
    <row r="20" spans="1:70" ht="13.35" customHeight="1">
      <c r="A20" s="850"/>
      <c r="B20" s="925"/>
      <c r="C20" s="926"/>
      <c r="D20" s="927"/>
      <c r="E20" s="928"/>
      <c r="F20" s="75" t="s">
        <v>2203</v>
      </c>
      <c r="G20" s="928"/>
      <c r="H20" s="927"/>
      <c r="I20" s="68">
        <f>SUM(I21,I30)</f>
        <v>1258146293460</v>
      </c>
      <c r="J20" s="68">
        <f>SUM(J21,J30)</f>
        <v>0</v>
      </c>
      <c r="K20" s="68">
        <f>SUM(K21,K30)</f>
        <v>33683374538</v>
      </c>
      <c r="L20" s="68">
        <f>SUM(L21,L30)</f>
        <v>1291829667998</v>
      </c>
      <c r="M20" s="930"/>
      <c r="N20" s="69">
        <f>SUM(N21,N30)</f>
        <v>1658284726267</v>
      </c>
      <c r="O20" s="69">
        <f>SUM(O21,O30)</f>
        <v>252763435</v>
      </c>
      <c r="P20" s="69">
        <f>SUM(P21,P30)</f>
        <v>173117915663</v>
      </c>
      <c r="Q20" s="70">
        <f>SUM(Q21,Q30)</f>
        <v>1831655405365</v>
      </c>
      <c r="R20" s="898"/>
      <c r="S20" s="175">
        <f t="shared" ref="S20:S28" si="2">L20-Q20</f>
        <v>-539825737367</v>
      </c>
      <c r="T20" s="176">
        <f t="shared" ref="T20:T28" si="3">IFERROR(S20/Q20,"To check")</f>
        <v>-0.29472013992688062</v>
      </c>
      <c r="U20" s="850"/>
      <c r="V20" s="850"/>
      <c r="W20" s="850"/>
      <c r="X20" s="933"/>
      <c r="Y20" s="933"/>
      <c r="Z20" s="934"/>
      <c r="AA20" s="934"/>
      <c r="AB20" s="934"/>
      <c r="AC20" s="934"/>
      <c r="AD20" s="930"/>
      <c r="AE20" s="934"/>
      <c r="AF20" s="934"/>
      <c r="AG20" s="934"/>
      <c r="AH20" s="934"/>
      <c r="AI20" s="930"/>
      <c r="AJ20" s="934"/>
      <c r="AK20" s="934"/>
      <c r="AL20" s="934"/>
      <c r="AM20" s="930"/>
      <c r="AN20" s="935"/>
      <c r="AO20" s="935"/>
      <c r="AP20" s="935"/>
      <c r="AQ20" s="930"/>
      <c r="AR20" s="934"/>
      <c r="AS20" s="934"/>
      <c r="AT20" s="934"/>
      <c r="AU20" s="930"/>
      <c r="AV20" s="909"/>
      <c r="AW20" s="909"/>
      <c r="AX20" s="909"/>
      <c r="AY20" s="920"/>
      <c r="AZ20" s="936"/>
      <c r="BA20" s="936"/>
      <c r="BB20" s="936"/>
      <c r="BC20" s="937"/>
      <c r="BD20" s="936"/>
      <c r="BE20" s="936"/>
      <c r="BF20" s="936"/>
      <c r="BG20" s="937"/>
      <c r="BH20" s="936"/>
      <c r="BI20" s="936"/>
      <c r="BJ20" s="936"/>
      <c r="BK20" s="937"/>
      <c r="BL20" s="936"/>
      <c r="BM20" s="936"/>
      <c r="BN20" s="936"/>
      <c r="BO20" s="937"/>
      <c r="BP20" s="938"/>
      <c r="BQ20" s="938"/>
      <c r="BR20" s="938"/>
    </row>
    <row r="21" spans="1:70" s="1" customFormat="1" ht="12.75">
      <c r="B21" s="293"/>
      <c r="C21" s="294"/>
      <c r="D21" s="295"/>
      <c r="E21" s="75"/>
      <c r="F21" s="75" t="s">
        <v>2204</v>
      </c>
      <c r="G21" s="75"/>
      <c r="H21" s="295"/>
      <c r="I21" s="68">
        <f>SUM(I22:I28)</f>
        <v>1177764101680</v>
      </c>
      <c r="J21" s="68">
        <f>SUM(J22:J28)</f>
        <v>0</v>
      </c>
      <c r="K21" s="68">
        <f>SUM(K22:K28)</f>
        <v>-1316625462</v>
      </c>
      <c r="L21" s="68">
        <f>SUM(L22:L28)</f>
        <v>1176447476218</v>
      </c>
      <c r="M21" s="296"/>
      <c r="N21" s="69">
        <f>SUM(N22:N28)</f>
        <v>1251218953307</v>
      </c>
      <c r="O21" s="69">
        <f>SUM(O22:O28)</f>
        <v>231125435</v>
      </c>
      <c r="P21" s="69">
        <f>SUM(P22:P28)</f>
        <v>5732984156</v>
      </c>
      <c r="Q21" s="70">
        <f>SUM(Q22:Q28)</f>
        <v>1257183062898</v>
      </c>
      <c r="R21" s="298"/>
      <c r="S21" s="175">
        <f t="shared" si="2"/>
        <v>-80735586680</v>
      </c>
      <c r="T21" s="176">
        <f t="shared" si="3"/>
        <v>-6.421943554814688E-2</v>
      </c>
      <c r="X21" s="321"/>
      <c r="Y21" s="321"/>
      <c r="Z21" s="235">
        <f>SUM(Z22:Z28)</f>
        <v>0</v>
      </c>
      <c r="AA21" s="235">
        <f>SUM(AA22:AA28)</f>
        <v>0</v>
      </c>
      <c r="AB21" s="235">
        <f>SUM(AB22:AB28)</f>
        <v>0</v>
      </c>
      <c r="AC21" s="235">
        <f>SUM(AC22:AC28)</f>
        <v>0</v>
      </c>
      <c r="AD21" s="236"/>
      <c r="AE21" s="235">
        <f>SUM(AE22:AE28)</f>
        <v>148813446125</v>
      </c>
      <c r="AF21" s="235">
        <f>SUM(AF22:AF28)</f>
        <v>0</v>
      </c>
      <c r="AG21" s="235">
        <f>SUM(AG22:AG28)</f>
        <v>-300424909</v>
      </c>
      <c r="AH21" s="235">
        <f>SUM(AH22:AH28)</f>
        <v>148513021216</v>
      </c>
      <c r="AI21" s="236"/>
      <c r="AJ21" s="235">
        <f>SUM(AJ22:AJ28)</f>
        <v>0</v>
      </c>
      <c r="AK21" s="235">
        <f>SUM(AK22:AK28)</f>
        <v>0</v>
      </c>
      <c r="AL21" s="235">
        <f>SUM(AL22:AL28)</f>
        <v>0</v>
      </c>
      <c r="AM21" s="236"/>
      <c r="AN21" s="237">
        <f>SUM(AN22:AN28)</f>
        <v>148513021216</v>
      </c>
      <c r="AO21" s="237">
        <f>SUM(AO22:AO28)</f>
        <v>283869924</v>
      </c>
      <c r="AP21" s="237">
        <f>SUM(AP22:AP28)</f>
        <v>148796891140</v>
      </c>
      <c r="AQ21" s="236"/>
      <c r="AR21" s="235">
        <f>SUM(AR22:AR28)</f>
        <v>0</v>
      </c>
      <c r="AS21" s="235">
        <f>SUM(AS22:AS28)</f>
        <v>0</v>
      </c>
      <c r="AT21" s="235">
        <f>SUM(AT22:AT28)</f>
        <v>0</v>
      </c>
      <c r="AU21" s="236"/>
      <c r="AV21" s="238">
        <f>SUM(AV22:AV28)</f>
        <v>1325244367358</v>
      </c>
      <c r="AW21" s="238">
        <f>SUM(AW22:AW28)</f>
        <v>-3952255363</v>
      </c>
      <c r="AX21" s="238">
        <f>SUM(AX22:AX28)</f>
        <v>1321292111995</v>
      </c>
      <c r="AY21" s="615"/>
      <c r="AZ21" s="235">
        <f>SUM(AZ22:AZ28)</f>
        <v>0</v>
      </c>
      <c r="BA21" s="235">
        <f>SUM(BA22:BA28)</f>
        <v>0</v>
      </c>
      <c r="BB21" s="235">
        <f>SUM(BB22:BB28)</f>
        <v>0</v>
      </c>
      <c r="BC21" s="236"/>
      <c r="BD21" s="235">
        <f>SUM(BD22:BD28)</f>
        <v>159488032888</v>
      </c>
      <c r="BE21" s="235">
        <f>SUM(BE22:BE28)</f>
        <v>0</v>
      </c>
      <c r="BF21" s="235">
        <f>SUM(BF22:BF28)</f>
        <v>159488032888</v>
      </c>
      <c r="BG21" s="236"/>
      <c r="BH21" s="235">
        <f>SUM(BH22:BH28)</f>
        <v>0</v>
      </c>
      <c r="BI21" s="235">
        <f>SUM(BI22:BI28)</f>
        <v>0</v>
      </c>
      <c r="BJ21" s="235">
        <f>SUM(BJ22:BJ28)</f>
        <v>0</v>
      </c>
      <c r="BK21" s="236"/>
      <c r="BL21" s="235">
        <f>SUM(BL22:BL28)</f>
        <v>0</v>
      </c>
      <c r="BM21" s="235">
        <f>SUM(BM22:BM28)</f>
        <v>0</v>
      </c>
      <c r="BN21" s="235">
        <f>SUM(BN22:BN28)</f>
        <v>0</v>
      </c>
      <c r="BO21" s="236"/>
      <c r="BP21" s="443">
        <f>SUM(BP22:BP28)</f>
        <v>1435453703993</v>
      </c>
      <c r="BQ21" s="443">
        <f>SUM(BQ22:BQ28)</f>
        <v>0</v>
      </c>
      <c r="BR21" s="443">
        <f>SUM(BR22:BR28)</f>
        <v>1435453703993</v>
      </c>
    </row>
    <row r="22" spans="1:70" ht="12.75">
      <c r="A22" s="850" t="s">
        <v>681</v>
      </c>
      <c r="B22" s="939">
        <v>121</v>
      </c>
      <c r="C22" s="940" t="s">
        <v>2205</v>
      </c>
      <c r="D22" s="941" t="s">
        <v>2205</v>
      </c>
      <c r="E22" s="928" t="s">
        <v>27</v>
      </c>
      <c r="F22" s="928" t="s">
        <v>28</v>
      </c>
      <c r="G22" s="927" t="s">
        <v>2206</v>
      </c>
      <c r="H22" s="927" t="s">
        <v>675</v>
      </c>
      <c r="I22" s="942">
        <f>SUMIFS('TB.CTy Me.FY2024'!I:I,'TB.CTy Me.FY2024'!A:A,'A0.LS'!E22)</f>
        <v>41523831221</v>
      </c>
      <c r="J22" s="942">
        <f>ROUND(SUMIFS('A5.FY24'!K:K,'A5.FY24'!E:E,'A0.LS'!E22,'A5.FY24'!L:L,"Finhay",'A5.FY24'!M:M,"Posted"),0)</f>
        <v>0</v>
      </c>
      <c r="K22" s="942">
        <f>ROUND(SUMIFS('A5.FY24'!K:K,'A5.FY24'!E:E,'A0.LS'!E22,'A5.FY24'!L:L,"EY",'A5.FY24'!M:M,"Posted"),0)</f>
        <v>0</v>
      </c>
      <c r="L22" s="943">
        <f t="shared" ref="L22:L28" si="4">ROUND(SUM(I22:K22),0)</f>
        <v>41523831221</v>
      </c>
      <c r="M22" s="930"/>
      <c r="N22" s="944">
        <f>SUMIFS('TB.CTM.YE23'!I:I,'TB.CTM.YE23'!A:A,'A0.LS'!E22)</f>
        <v>67211923040</v>
      </c>
      <c r="O22" s="944">
        <v>252763435</v>
      </c>
      <c r="P22" s="944">
        <v>0</v>
      </c>
      <c r="Q22" s="945">
        <f t="shared" ref="Q22:Q28" si="5">ROUND(SUM(N22:P22),0)</f>
        <v>67464686475</v>
      </c>
      <c r="R22" s="898"/>
      <c r="S22" s="848">
        <f t="shared" si="2"/>
        <v>-25940855254</v>
      </c>
      <c r="T22" s="946">
        <f t="shared" si="3"/>
        <v>-0.38451012832636156</v>
      </c>
      <c r="U22" s="850"/>
      <c r="V22" s="850" t="s">
        <v>2207</v>
      </c>
      <c r="W22" s="850"/>
      <c r="X22" s="947" t="s">
        <v>676</v>
      </c>
      <c r="Y22" s="947" t="s">
        <v>2206</v>
      </c>
      <c r="Z22" s="936">
        <f>ROUND(SUMIFS('TB.Cty Con.FY24'!I:I,'TB.Cty Con.FY24'!A:A,'A0.LS'!E22),0)</f>
        <v>0</v>
      </c>
      <c r="AA22" s="936">
        <f>ROUND(SUMIFS('A5.CTC FY24'!K:K,'A5.CTC FY24'!E:E,'A0.LS'!E22,'A5.CTC FY24'!A:A,'A0.LS'!$AA$5,'A5.CTC FY24'!L:L,"Finhay",'A5.CTC FY24'!M:M,"Posted"),0)</f>
        <v>0</v>
      </c>
      <c r="AB22" s="936">
        <f>ROUND(SUMIFS('A5.CTC FY24'!K:K,'A5.CTC FY24'!E:E,'A0.LS'!E22,'A5.CTC FY24'!A:A,'A0.LS'!$AB$5,'A5.CTC FY24'!L:L,"EY",'A5.CTC FY24'!M:M,"Posted"),0)</f>
        <v>0</v>
      </c>
      <c r="AC22" s="948">
        <f t="shared" ref="AC22:AC28" si="6">ROUND(SUM(Z22:AB22),0)</f>
        <v>0</v>
      </c>
      <c r="AD22" s="930"/>
      <c r="AE22" s="936">
        <f>ROUND(SUMIFS('TB VNSC FY24'!M:M,'TB VNSC FY24'!N:N,'A0.LS'!E22),0)</f>
        <v>1245222000</v>
      </c>
      <c r="AF22" s="936">
        <f>SUMIFS('A5.CTC FY24'!K:K,'A5.CTC FY24'!E:E,'A0.LS'!E22,'A5.CTC FY24'!A:A,"VNSC",'A5.CTC FY24'!L:L,"VNSC",'A5.CTC FY24'!M:M,"Posted")</f>
        <v>0</v>
      </c>
      <c r="AG22" s="936">
        <f>ROUND(SUMIFS('A5.CTC FY24'!K:K,'A5.CTC FY24'!E:E,'A0.LS'!E22,'A5.CTC FY24'!A:A,"VNSC",'A5.CTC FY24'!L:L,"EY",'A5.CTC FY24'!M:M,"Posted"),0)</f>
        <v>0</v>
      </c>
      <c r="AH22" s="936">
        <f t="shared" ref="AH22:AH28" si="7">ROUND(SUM(AE22:AG22),0)</f>
        <v>1245222000</v>
      </c>
      <c r="AI22" s="930"/>
      <c r="AJ22" s="936">
        <f>SUMIFS('TB.KCG.FY24'!I:I,'TB.KCG.FY24'!A:A,'A0.LS'!E22)</f>
        <v>0</v>
      </c>
      <c r="AK22" s="936">
        <f>ROUND(SUMIFS('A5.CTC FY24'!K:K,'A5.CTC FY24'!E:E,'A0.LS'!E22,'A5.CTC FY24'!A:A,'A0.LS'!$AK$5,'A5.CTC FY24'!L:L,"EY",'A5.CTC FY24'!M:M,"Posted"),0)</f>
        <v>0</v>
      </c>
      <c r="AL22" s="948">
        <f t="shared" ref="AL22:AL28" si="8">ROUND(SUM(AJ22:AK22),0)</f>
        <v>0</v>
      </c>
      <c r="AM22" s="930"/>
      <c r="AN22" s="949">
        <f t="shared" ref="AN22:AN28" si="9">ROUND(SUM(AT22,AH22,AC22),0)</f>
        <v>1245222000</v>
      </c>
      <c r="AO22" s="950">
        <f>ROUND(SUMIFS('A5.Consol FY24'!L:L,'A5.Consol FY24'!M:M,"EY",'A5.Consol FY24'!N:N,"Posted",'A5.Consol FY24'!B:B,'A0.LS'!$AO$5,'A5.Consol FY24'!F:F,'A0.LS'!E22),0)</f>
        <v>-1245222000</v>
      </c>
      <c r="AP22" s="949">
        <f t="shared" ref="AP22:AP28" si="10">ROUND(SUM(AN22:AO22),0)</f>
        <v>0</v>
      </c>
      <c r="AQ22" s="930"/>
      <c r="AR22" s="936">
        <f>ROUND(SUMIFS('TB.XH.FY24'!I:I,'TB.XH.FY24'!J:J,'A0.LS'!E22),0)</f>
        <v>0</v>
      </c>
      <c r="AS22" s="936">
        <f>ROUND(SUMIFS('A5.CTC FY24'!K:K,'A5.CTC FY24'!E:E,'A0.LS'!E22,'A5.CTC FY24'!A:A,'A0.LS'!$AS$5,'A5.CTC FY24'!L:L,"EY",'A5.CTC FY24'!M:M,"Posted"),0)</f>
        <v>0</v>
      </c>
      <c r="AT22" s="948">
        <f t="shared" ref="AT22:AT28" si="11">ROUND(SUM(AR22:AS22),0)</f>
        <v>0</v>
      </c>
      <c r="AU22" s="930"/>
      <c r="AV22" s="951">
        <f t="shared" ref="AV22:AV28" si="12">ROUND(SUM(AP22,AL22,L22),0)</f>
        <v>41523831221</v>
      </c>
      <c r="AW22" s="952">
        <f>SUMIFS('A5.Consol FY24'!L:L,'A5.Consol FY24'!B:B,'A0.LS'!$AW$5,'A5.Consol FY24'!M:M,"EY",'A5.Consol FY24'!N:N,"Posted",'A5.Consol FY24'!F:F,'A0.LS'!E22)</f>
        <v>0</v>
      </c>
      <c r="AX22" s="951">
        <f>ROUND(SUM(AV22:AW22),0)</f>
        <v>41523831221</v>
      </c>
      <c r="AY22" s="920"/>
      <c r="AZ22" s="936">
        <f>SUMIFS('TB.CTC.YE22'!Q:Q,'TB.CTC.YE22'!A:A,'A0.LS'!E22)</f>
        <v>0</v>
      </c>
      <c r="BA22" s="936">
        <f>ROUND(SUMIFS('A5.YE22'!J:J,'A5.YE22'!K:K,'A0.LS'!$BA$5,'A5.YE22'!L:L,"Posted",'A5.YE22'!D:D,'A0.LS'!E22),0)</f>
        <v>0</v>
      </c>
      <c r="BB22" s="936">
        <f t="shared" ref="BB22:BB27" si="13">ROUND(SUM(AZ22:BA22),0)</f>
        <v>0</v>
      </c>
      <c r="BC22" s="937"/>
      <c r="BD22" s="936">
        <f>ROUND(SUMIFS('TB.VNSC.YE22'!L:L,'TB.VNSC.YE22'!A:A,'A0.LS'!E22),0)</f>
        <v>0</v>
      </c>
      <c r="BE22" s="936">
        <f>ROUND(SUMIFS('A5.YE22'!J:J,'A5.YE22'!K:K,'A0.LS'!$BE$5,'A5.YE22'!L:L,"Posted",'A5.YE22'!D:D,'A0.LS'!E22),0)</f>
        <v>0</v>
      </c>
      <c r="BF22" s="936">
        <f t="shared" ref="BF22:BF28" si="14">ROUND(SUM(BD22:BE22),0)</f>
        <v>0</v>
      </c>
      <c r="BG22" s="937"/>
      <c r="BH22" s="936">
        <f>ROUND(SUMIFS('TB.XH.YE22'!P:P,'TB.XH.YE22'!A:A,'A0.LS'!E22),0)</f>
        <v>0</v>
      </c>
      <c r="BI22" s="936">
        <f>ROUND(SUMIFS('A5.YE22'!J:J,'A5.YE22'!K:K,"XH",'A5.YE22'!L:L,"Posted",'A5.YE22'!D:D,'A0.LS'!E22),0)</f>
        <v>0</v>
      </c>
      <c r="BJ22" s="936">
        <f t="shared" ref="BJ22:BJ28" si="15">ROUND(SUM(BH22:BI22),0)</f>
        <v>0</v>
      </c>
      <c r="BK22" s="937"/>
      <c r="BL22" s="936">
        <f>ROUND(SUMIFS('TB.XH.YE22'!T:T,'TB.XH.YE22'!E:E,'A0.LS'!I22),0)</f>
        <v>0</v>
      </c>
      <c r="BM22" s="936">
        <f>ROUND(SUMIFS('A5.YE22'!N:N,'A5.YE22'!O:O,"XH",'A5.YE22'!P:P,"Posted",'A5.YE22'!H:H,'A0.LS'!I22),0)</f>
        <v>0</v>
      </c>
      <c r="BN22" s="936">
        <f t="shared" ref="BN22:BN28" si="16">ROUND(SUM(BL22:BM22),0)</f>
        <v>0</v>
      </c>
      <c r="BO22" s="937"/>
      <c r="BP22" s="938">
        <v>67464686475</v>
      </c>
      <c r="BQ22" s="938">
        <f>ROUND(SUMIFS('A5.YE22'!J:J,'A5.YE22'!K:K,'A0.LS'!$BQ$5,'A5.YE22'!L:L,"Posted",'A5.YE22'!D:D,'A0.LS'!E22),0)</f>
        <v>0</v>
      </c>
      <c r="BR22" s="938">
        <f t="shared" ref="BR22:BR28" si="17">ROUND(SUM(BP22:BQ22),0)</f>
        <v>67464686475</v>
      </c>
    </row>
    <row r="23" spans="1:70" ht="12.75">
      <c r="A23" s="850"/>
      <c r="B23" s="939">
        <v>121</v>
      </c>
      <c r="C23" s="940" t="s">
        <v>2208</v>
      </c>
      <c r="D23" s="941" t="s">
        <v>2208</v>
      </c>
      <c r="E23" s="928" t="s">
        <v>29</v>
      </c>
      <c r="F23" s="928" t="s">
        <v>30</v>
      </c>
      <c r="G23" s="927" t="s">
        <v>2206</v>
      </c>
      <c r="H23" s="927" t="s">
        <v>675</v>
      </c>
      <c r="I23" s="942">
        <f>SUMIFS('TB.CTy Me.FY2024'!I:I,'TB.CTy Me.FY2024'!A:A,'A0.LS'!E23)</f>
        <v>720766853337</v>
      </c>
      <c r="J23" s="942">
        <f>ROUND(SUMIFS('A5.FY24'!K:K,'A5.FY24'!E:E,'A0.LS'!E23,'A5.FY24'!L:L,"Finhay",'A5.FY24'!M:M,"Posted"),0)</f>
        <v>0</v>
      </c>
      <c r="K23" s="942">
        <f>ROUND(SUMIFS('A5.FY24'!K:K,'A5.FY24'!E:E,'A0.LS'!E23,'A5.FY24'!L:L,"EY",'A5.FY24'!M:M,"Posted"),0)</f>
        <v>0</v>
      </c>
      <c r="L23" s="943">
        <f t="shared" si="4"/>
        <v>720766853337</v>
      </c>
      <c r="M23" s="930"/>
      <c r="N23" s="944">
        <f>SUMIFS('TB.CTM.YE23'!I:I,'TB.CTM.YE23'!A:A,'A0.LS'!E23)</f>
        <v>365340182862</v>
      </c>
      <c r="O23" s="944">
        <v>0</v>
      </c>
      <c r="P23" s="944">
        <v>5899600000</v>
      </c>
      <c r="Q23" s="945">
        <f t="shared" si="5"/>
        <v>371239782862</v>
      </c>
      <c r="R23" s="898"/>
      <c r="S23" s="848">
        <f t="shared" si="2"/>
        <v>349527070475</v>
      </c>
      <c r="T23" s="946">
        <f t="shared" si="3"/>
        <v>0.94151296981263666</v>
      </c>
      <c r="U23" s="850"/>
      <c r="V23" s="850" t="s">
        <v>2209</v>
      </c>
      <c r="W23" s="850"/>
      <c r="X23" s="947" t="s">
        <v>676</v>
      </c>
      <c r="Y23" s="947" t="s">
        <v>2206</v>
      </c>
      <c r="Z23" s="936">
        <f>ROUND(SUMIFS('TB.Cty Con.FY24'!I:I,'TB.Cty Con.FY24'!A:A,'A0.LS'!E23),0)</f>
        <v>0</v>
      </c>
      <c r="AA23" s="936">
        <f>ROUND(SUMIFS('A5.CTC FY24'!K:K,'A5.CTC FY24'!E:E,'A0.LS'!E23,'A5.CTC FY24'!A:A,'A0.LS'!$AA$5,'A5.CTC FY24'!L:L,"Finhay",'A5.CTC FY24'!M:M,"Posted"),0)</f>
        <v>0</v>
      </c>
      <c r="AB23" s="936">
        <f>ROUND(SUMIFS('A5.CTC FY24'!K:K,'A5.CTC FY24'!E:E,'A0.LS'!E23,'A5.CTC FY24'!A:A,'A0.LS'!$AB$5,'A5.CTC FY24'!L:L,"EY",'A5.CTC FY24'!M:M,"Posted"),0)</f>
        <v>0</v>
      </c>
      <c r="AC23" s="948">
        <f t="shared" si="6"/>
        <v>0</v>
      </c>
      <c r="AD23" s="930"/>
      <c r="AE23" s="936">
        <f>ROUND(SUMIFS('TB VNSC FY24'!M:M,'TB VNSC FY24'!N:N,'A0.LS'!E23),0)</f>
        <v>141497148615</v>
      </c>
      <c r="AF23" s="936">
        <f>SUMIFS('A5.CTC FY24'!K:K,'A5.CTC FY24'!E:E,'A0.LS'!E23,'A5.CTC FY24'!A:A,"VNSC",'A5.CTC FY24'!L:L,"VNSC",'A5.CTC FY24'!M:M,"Posted")</f>
        <v>0</v>
      </c>
      <c r="AG23" s="936">
        <f>ROUND(SUMIFS('A5.CTC FY24'!K:K,'A5.CTC FY24'!E:E,'A0.LS'!E23,'A5.CTC FY24'!A:A,"VNSC",'A5.CTC FY24'!L:L,"EY",'A5.CTC FY24'!M:M,"Posted"),0)</f>
        <v>0</v>
      </c>
      <c r="AH23" s="936">
        <f t="shared" si="7"/>
        <v>141497148615</v>
      </c>
      <c r="AI23" s="930"/>
      <c r="AJ23" s="936">
        <f>SUMIFS('TB.KCG.FY24'!I:I,'TB.KCG.FY24'!A:A,'A0.LS'!E23)</f>
        <v>0</v>
      </c>
      <c r="AK23" s="936">
        <f>ROUND(SUMIFS('A5.CTC FY24'!K:K,'A5.CTC FY24'!E:E,'A0.LS'!E23,'A5.CTC FY24'!A:A,'A0.LS'!$AK$5,'A5.CTC FY24'!L:L,"EY",'A5.CTC FY24'!M:M,"Posted"),0)</f>
        <v>0</v>
      </c>
      <c r="AL23" s="948">
        <f t="shared" si="8"/>
        <v>0</v>
      </c>
      <c r="AM23" s="930"/>
      <c r="AN23" s="949">
        <f>ROUND(SUM(AT23,AH23,AC23),0)</f>
        <v>141497148615</v>
      </c>
      <c r="AO23" s="950">
        <f>ROUND(SUMIFS('A5.Consol FY24'!L:L,'A5.Consol FY24'!M:M,"EY",'A5.Consol FY24'!N:N,"Posted",'A5.Consol FY24'!B:B,'A0.LS'!$AO$5,'A5.Consol FY24'!F:F,'A0.LS'!E23),0)</f>
        <v>0</v>
      </c>
      <c r="AP23" s="949">
        <f t="shared" si="10"/>
        <v>141497148615</v>
      </c>
      <c r="AQ23" s="930"/>
      <c r="AR23" s="936">
        <f>ROUND(SUMIFS('TB.XH.FY24'!I:I,'TB.XH.FY24'!J:J,'A0.LS'!E23),0)</f>
        <v>0</v>
      </c>
      <c r="AS23" s="936">
        <f>ROUND(SUMIFS('A5.CTC FY24'!K:K,'A5.CTC FY24'!E:E,'A0.LS'!E23,'A5.CTC FY24'!A:A,'A0.LS'!$AS$5,'A5.CTC FY24'!L:L,"EY",'A5.CTC FY24'!M:M,"Posted"),0)</f>
        <v>0</v>
      </c>
      <c r="AT23" s="948">
        <f t="shared" si="11"/>
        <v>0</v>
      </c>
      <c r="AU23" s="930"/>
      <c r="AV23" s="951">
        <f t="shared" si="12"/>
        <v>862264001952</v>
      </c>
      <c r="AW23" s="952">
        <f>SUMIFS('A5.Consol FY24'!L:L,'A5.Consol FY24'!B:B,'A0.LS'!$AW$5,'A5.Consol FY24'!M:M,"EY",'A5.Consol FY24'!N:N,"Posted",'A5.Consol FY24'!F:F,'A0.LS'!E23)</f>
        <v>-2894721123</v>
      </c>
      <c r="AX23" s="951">
        <f t="shared" ref="AX23:AX28" si="18">ROUND(SUM(AV23:AW23),0)</f>
        <v>859369280829</v>
      </c>
      <c r="AY23" s="920"/>
      <c r="AZ23" s="936">
        <f>SUMIFS('TB.CTC.YE22'!Q:Q,'TB.CTC.YE22'!A:A,'A0.LS'!E23)</f>
        <v>0</v>
      </c>
      <c r="BA23" s="936">
        <f>ROUND(SUMIFS('A5.YE22'!J:J,'A5.YE22'!K:K,'A0.LS'!$BA$5,'A5.YE22'!L:L,"Posted",'A5.YE22'!D:D,'A0.LS'!E23),0)</f>
        <v>0</v>
      </c>
      <c r="BB23" s="936">
        <f t="shared" si="13"/>
        <v>0</v>
      </c>
      <c r="BC23" s="937"/>
      <c r="BD23" s="936">
        <f>ROUND(SUMIFS('TB.VNSC.YE22'!L:L,'TB.VNSC.YE22'!A:A,'A0.LS'!E23),0)</f>
        <v>0</v>
      </c>
      <c r="BE23" s="936">
        <f>ROUND(SUMIFS('A5.YE22'!J:J,'A5.YE22'!K:K,'A0.LS'!$BE$5,'A5.YE22'!L:L,"Posted",'A5.YE22'!D:D,'A0.LS'!E23),0)</f>
        <v>0</v>
      </c>
      <c r="BF23" s="936">
        <f t="shared" si="14"/>
        <v>0</v>
      </c>
      <c r="BG23" s="937"/>
      <c r="BH23" s="936">
        <f>ROUND(SUMIFS('TB.XH.YE22'!P:P,'TB.XH.YE22'!A:A,'A0.LS'!E23),0)</f>
        <v>0</v>
      </c>
      <c r="BI23" s="936">
        <f>ROUND(SUMIFS('A5.YE22'!J:J,'A5.YE22'!K:K,"XH",'A5.YE22'!L:L,"Posted",'A5.YE22'!D:D,'A0.LS'!E23),0)</f>
        <v>0</v>
      </c>
      <c r="BJ23" s="936">
        <f t="shared" si="15"/>
        <v>0</v>
      </c>
      <c r="BK23" s="937"/>
      <c r="BL23" s="936">
        <f>ROUND(SUMIFS('TB.KCG.YE22'!P:P,'TB.KCG.YE22'!A:A,'A0.LS'!E23),0)</f>
        <v>0</v>
      </c>
      <c r="BM23" s="936">
        <f>ROUND(SUMIFS('A5.YE22'!J:J,'A5.YE22'!K:K,'A0.LS'!$BM$5,'A5.YE22'!L:L,"Posted",'A5.YE22'!D:D,'A0.LS'!E23),0)</f>
        <v>0</v>
      </c>
      <c r="BN23" s="936">
        <f t="shared" si="16"/>
        <v>0</v>
      </c>
      <c r="BO23" s="937"/>
      <c r="BP23" s="938">
        <v>478649382862</v>
      </c>
      <c r="BQ23" s="938">
        <f>ROUND(SUMIFS('A5.YE22'!J:J,'A5.YE22'!K:K,'A0.LS'!$BQ$5,'A5.YE22'!L:L,"Posted",'A5.YE22'!D:D,'A0.LS'!E23),0)</f>
        <v>0</v>
      </c>
      <c r="BR23" s="938">
        <f t="shared" si="17"/>
        <v>478649382862</v>
      </c>
    </row>
    <row r="24" spans="1:70" ht="12.75">
      <c r="A24" s="850" t="s">
        <v>681</v>
      </c>
      <c r="B24" s="939">
        <v>121</v>
      </c>
      <c r="C24" s="940" t="s">
        <v>2210</v>
      </c>
      <c r="D24" s="941" t="s">
        <v>2210</v>
      </c>
      <c r="E24" s="928" t="s">
        <v>31</v>
      </c>
      <c r="F24" s="928" t="s">
        <v>2211</v>
      </c>
      <c r="G24" s="927" t="s">
        <v>2206</v>
      </c>
      <c r="H24" s="927" t="s">
        <v>675</v>
      </c>
      <c r="I24" s="942">
        <f>SUMIFS('TB.CTy Me.FY2024'!I:I,'TB.CTy Me.FY2024'!A:A,'A0.LS'!E24)</f>
        <v>415600901635</v>
      </c>
      <c r="J24" s="942">
        <f>ROUND(SUMIFS('A5.FY24'!K:K,'A5.FY24'!E:E,'A0.LS'!E24,'A5.FY24'!L:L,"Finhay",'A5.FY24'!M:M,"Posted"),0)</f>
        <v>0</v>
      </c>
      <c r="K24" s="942">
        <f>ROUND(SUMIFS('A5.FY24'!K:K,'A5.FY24'!E:E,'A0.LS'!E24,'A5.FY24'!L:L,"EY",'A5.FY24'!M:M,"Posted"),0)</f>
        <v>-1316625462</v>
      </c>
      <c r="L24" s="943">
        <f t="shared" si="4"/>
        <v>414284276173</v>
      </c>
      <c r="M24" s="930"/>
      <c r="N24" s="944">
        <f>SUMIFS('TB.CTM.YE23'!I:I,'TB.CTM.YE23'!A:A,'A0.LS'!E24)</f>
        <v>819093960871</v>
      </c>
      <c r="O24" s="944">
        <v>-21638000</v>
      </c>
      <c r="P24" s="944">
        <v>-409355956</v>
      </c>
      <c r="Q24" s="945">
        <f t="shared" si="5"/>
        <v>818662966915</v>
      </c>
      <c r="R24" s="898"/>
      <c r="S24" s="848">
        <f t="shared" si="2"/>
        <v>-404378690742</v>
      </c>
      <c r="T24" s="946">
        <f t="shared" si="3"/>
        <v>-0.49395014442370122</v>
      </c>
      <c r="U24" s="850"/>
      <c r="V24" s="850" t="s">
        <v>2212</v>
      </c>
      <c r="W24" s="850"/>
      <c r="X24" s="947"/>
      <c r="Y24" s="947" t="s">
        <v>2206</v>
      </c>
      <c r="Z24" s="936">
        <f>ROUND(SUMIFS('TB.Cty Con.FY24'!I:I,'TB.Cty Con.FY24'!A:A,'A0.LS'!E24),0)</f>
        <v>0</v>
      </c>
      <c r="AA24" s="936">
        <f>ROUND(SUMIFS('A5.CTC FY24'!K:K,'A5.CTC FY24'!E:E,'A0.LS'!E24,'A5.CTC FY24'!A:A,'A0.LS'!$AA$5,'A5.CTC FY24'!L:L,"Finhay",'A5.CTC FY24'!M:M,"Posted"),0)</f>
        <v>0</v>
      </c>
      <c r="AB24" s="936">
        <f>ROUND(SUMIFS('A5.CTC FY24'!K:K,'A5.CTC FY24'!E:E,'A0.LS'!E24,'A5.CTC FY24'!A:A,'A0.LS'!$AB$5,'A5.CTC FY24'!L:L,"EY",'A5.CTC FY24'!M:M,"Posted"),0)</f>
        <v>0</v>
      </c>
      <c r="AC24" s="948">
        <f t="shared" si="6"/>
        <v>0</v>
      </c>
      <c r="AD24" s="930"/>
      <c r="AE24" s="936">
        <f>ROUND(SUMIFS('TB VNSC FY24'!M:M,'TB VNSC FY24'!N:N,'A0.LS'!E24),0)</f>
        <v>6054520525</v>
      </c>
      <c r="AF24" s="936">
        <f>SUMIFS('A5.CTC FY24'!K:K,'A5.CTC FY24'!E:E,'A0.LS'!E24,'A5.CTC FY24'!A:A,"VNSC",'A5.CTC FY24'!L:L,"VNSC",'A5.CTC FY24'!M:M,"Posted")</f>
        <v>0</v>
      </c>
      <c r="AG24" s="936">
        <f>ROUND(SUMIFS('A5.CTC FY24'!K:K,'A5.CTC FY24'!E:E,'A0.LS'!E24,'A5.CTC FY24'!A:A,"VNSC",'A5.CTC FY24'!L:L,"EY",'A5.CTC FY24'!M:M,"Posted"),0)</f>
        <v>0</v>
      </c>
      <c r="AH24" s="936">
        <f t="shared" si="7"/>
        <v>6054520525</v>
      </c>
      <c r="AI24" s="930"/>
      <c r="AJ24" s="936">
        <f>SUMIFS('TB.KCG.FY24'!I:I,'TB.KCG.FY24'!A:A,'A0.LS'!E24)</f>
        <v>0</v>
      </c>
      <c r="AK24" s="936">
        <f>ROUND(SUMIFS('A5.CTC FY24'!K:K,'A5.CTC FY24'!E:E,'A0.LS'!E24,'A5.CTC FY24'!A:A,'A0.LS'!$AK$5,'A5.CTC FY24'!L:L,"EY",'A5.CTC FY24'!M:M,"Posted"),0)</f>
        <v>0</v>
      </c>
      <c r="AL24" s="948">
        <f t="shared" si="8"/>
        <v>0</v>
      </c>
      <c r="AM24" s="930"/>
      <c r="AN24" s="949">
        <f>ROUND(SUM(AT24,AH24,AC24),0)</f>
        <v>6054520525</v>
      </c>
      <c r="AO24" s="950">
        <f>ROUND(SUMIFS('A5.Consol FY24'!L:L,'A5.Consol FY24'!M:M,"EY",'A5.Consol FY24'!N:N,"Posted",'A5.Consol FY24'!B:B,'A0.LS'!$AO$5,'A5.Consol FY24'!F:F,'A0.LS'!E24),0)</f>
        <v>1245222000</v>
      </c>
      <c r="AP24" s="949">
        <f t="shared" si="10"/>
        <v>7299742525</v>
      </c>
      <c r="AQ24" s="930"/>
      <c r="AR24" s="936">
        <f>ROUND(SUMIFS('TB.XH.FY24'!I:I,'TB.XH.FY24'!J:J,'A0.LS'!E24),0)</f>
        <v>0</v>
      </c>
      <c r="AS24" s="936">
        <f>ROUND(SUMIFS('A5.CTC FY24'!K:K,'A5.CTC FY24'!E:E,'A0.LS'!E24,'A5.CTC FY24'!A:A,'A0.LS'!$AS$5,'A5.CTC FY24'!L:L,"EY",'A5.CTC FY24'!M:M,"Posted"),0)</f>
        <v>0</v>
      </c>
      <c r="AT24" s="948">
        <f t="shared" si="11"/>
        <v>0</v>
      </c>
      <c r="AU24" s="930"/>
      <c r="AV24" s="951">
        <f t="shared" si="12"/>
        <v>421584018698</v>
      </c>
      <c r="AW24" s="952">
        <f>SUMIFS('A5.Consol FY24'!L:L,'A5.Consol FY24'!B:B,'A0.LS'!$AW$5,'A5.Consol FY24'!M:M,"EY",'A5.Consol FY24'!N:N,"Posted",'A5.Consol FY24'!F:F,'A0.LS'!E24)</f>
        <v>-1057534240</v>
      </c>
      <c r="AX24" s="951">
        <f t="shared" si="18"/>
        <v>420526484458</v>
      </c>
      <c r="AY24" s="920"/>
      <c r="AZ24" s="936">
        <f>SUMIFS('TB.CTC.YE22'!Q:Q,'TB.CTC.YE22'!A:A,'A0.LS'!E24)</f>
        <v>0</v>
      </c>
      <c r="BA24" s="936">
        <f>ROUND(SUMIFS('A5.YE22'!J:J,'A5.YE22'!K:K,'A0.LS'!$BA$5,'A5.YE22'!L:L,"Posted",'A5.YE22'!D:D,'A0.LS'!E24),0)</f>
        <v>0</v>
      </c>
      <c r="BB24" s="936">
        <f t="shared" si="13"/>
        <v>0</v>
      </c>
      <c r="BC24" s="937"/>
      <c r="BD24" s="936">
        <f>ROUND(SUMIFS('TB.VNSC.YE22'!L:L,'TB.VNSC.YE22'!A:A,'A0.LS'!E24),0)</f>
        <v>159488032888</v>
      </c>
      <c r="BE24" s="936">
        <f>ROUND(SUMIFS('A5.YE22'!J:J,'A5.YE22'!K:K,'A0.LS'!$BE$5,'A5.YE22'!L:L,"Posted",'A5.YE22'!D:D,'A0.LS'!E24),0)</f>
        <v>0</v>
      </c>
      <c r="BF24" s="936">
        <f t="shared" si="14"/>
        <v>159488032888</v>
      </c>
      <c r="BG24" s="937"/>
      <c r="BH24" s="936">
        <f>ROUND(SUMIFS('TB.XH.YE22'!P:P,'TB.XH.YE22'!A:A,'A0.LS'!E24),0)</f>
        <v>0</v>
      </c>
      <c r="BI24" s="936">
        <f>ROUND(SUMIFS('A5.YE22'!J:J,'A5.YE22'!K:K,"XH",'A5.YE22'!L:L,"Posted",'A5.YE22'!D:D,'A0.LS'!E24),0)</f>
        <v>0</v>
      </c>
      <c r="BJ24" s="936">
        <f t="shared" si="15"/>
        <v>0</v>
      </c>
      <c r="BK24" s="937"/>
      <c r="BL24" s="936">
        <f>ROUND(SUMIFS('TB.KCG.YE22'!P:P,'TB.KCG.YE22'!A:A,'A0.LS'!E24),0)</f>
        <v>0</v>
      </c>
      <c r="BM24" s="936">
        <f>ROUND(SUMIFS('A5.YE22'!J:J,'A5.YE22'!K:K,'A0.LS'!$BM$5,'A5.YE22'!L:L,"Posted",'A5.YE22'!D:D,'A0.LS'!E24),0)</f>
        <v>0</v>
      </c>
      <c r="BN24" s="936">
        <f t="shared" si="16"/>
        <v>0</v>
      </c>
      <c r="BO24" s="937"/>
      <c r="BP24" s="938">
        <v>889524008010</v>
      </c>
      <c r="BQ24" s="938">
        <f>ROUND(SUMIFS('A5.YE22'!J:J,'A5.YE22'!K:K,'A0.LS'!$BQ$5,'A5.YE22'!L:L,"Posted",'A5.YE22'!D:D,'A0.LS'!E24),0)</f>
        <v>0</v>
      </c>
      <c r="BR24" s="938">
        <f t="shared" si="17"/>
        <v>889524008010</v>
      </c>
    </row>
    <row r="25" spans="1:70" ht="12.75">
      <c r="A25" s="850"/>
      <c r="B25" s="939">
        <v>122</v>
      </c>
      <c r="C25" s="940"/>
      <c r="D25" s="927"/>
      <c r="E25" s="928" t="s">
        <v>102</v>
      </c>
      <c r="F25" s="928" t="s">
        <v>2213</v>
      </c>
      <c r="G25" s="927" t="s">
        <v>2206</v>
      </c>
      <c r="H25" s="927" t="s">
        <v>675</v>
      </c>
      <c r="I25" s="942">
        <f>SUMIFS('TB.CTy Me.FY2024'!I:I,'TB.CTy Me.FY2024'!A:A,'A0.LS'!E25)</f>
        <v>-127484513</v>
      </c>
      <c r="J25" s="942">
        <f>ROUND(SUMIFS('A5.FY24'!K:K,'A5.FY24'!E:E,'A0.LS'!E25,'A5.FY24'!L:L,"Finhay",'A5.FY24'!M:M,"Posted"),0)</f>
        <v>0</v>
      </c>
      <c r="K25" s="942">
        <f>ROUND(SUMIFS('A5.FY24'!K:K,'A5.FY24'!E:E,'A0.LS'!E25,'A5.FY24'!L:L,"EY",'A5.FY24'!M:M,"Posted"),0)</f>
        <v>0</v>
      </c>
      <c r="L25" s="943">
        <f t="shared" si="4"/>
        <v>-127484513</v>
      </c>
      <c r="M25" s="930"/>
      <c r="N25" s="944">
        <f>SUMIFS('TB.CTM.YE23'!I:I,'TB.CTM.YE23'!A:A,'A0.LS'!E25)</f>
        <v>-427113466</v>
      </c>
      <c r="O25" s="944">
        <v>0</v>
      </c>
      <c r="P25" s="944">
        <v>242740112</v>
      </c>
      <c r="Q25" s="945">
        <f t="shared" si="5"/>
        <v>-184373354</v>
      </c>
      <c r="R25" s="898"/>
      <c r="S25" s="848">
        <f t="shared" si="2"/>
        <v>56888841</v>
      </c>
      <c r="T25" s="946">
        <f t="shared" si="3"/>
        <v>-0.30855240069017781</v>
      </c>
      <c r="U25" s="850"/>
      <c r="V25" s="850" t="e">
        <v>#N/A</v>
      </c>
      <c r="W25" s="850"/>
      <c r="X25" s="947" t="s">
        <v>676</v>
      </c>
      <c r="Y25" s="947" t="s">
        <v>2206</v>
      </c>
      <c r="Z25" s="936">
        <f>ROUND(SUMIFS('TB.Cty Con.FY24'!I:I,'TB.Cty Con.FY24'!A:A,'A0.LS'!E25),0)</f>
        <v>0</v>
      </c>
      <c r="AA25" s="936">
        <f>ROUND(SUMIFS('A5.CTC FY24'!K:K,'A5.CTC FY24'!E:E,'A0.LS'!E25,'A5.CTC FY24'!A:A,'A0.LS'!$AA$5,'A5.CTC FY24'!L:L,"Finhay",'A5.CTC FY24'!M:M,"Posted"),0)</f>
        <v>0</v>
      </c>
      <c r="AB25" s="936">
        <f>ROUND(SUMIFS('A5.CTC FY24'!K:K,'A5.CTC FY24'!E:E,'A0.LS'!E25,'A5.CTC FY24'!A:A,'A0.LS'!$AB$5,'A5.CTC FY24'!L:L,"EY",'A5.CTC FY24'!M:M,"Posted"),0)</f>
        <v>0</v>
      </c>
      <c r="AC25" s="948">
        <f t="shared" si="6"/>
        <v>0</v>
      </c>
      <c r="AD25" s="930"/>
      <c r="AE25" s="936">
        <f>ROUND(SUMIFS('TB VNSC FY24'!M:M,'TB VNSC FY24'!N:N,'A0.LS'!E25),0)</f>
        <v>0</v>
      </c>
      <c r="AF25" s="936">
        <f>SUMIFS('A5.CTC FY24'!K:K,'A5.CTC FY24'!E:E,'A0.LS'!E25,'A5.CTC FY24'!A:A,"VNSC",'A5.CTC FY24'!L:L,"VNSC",'A5.CTC FY24'!M:M,"Posted")</f>
        <v>0</v>
      </c>
      <c r="AG25" s="936">
        <f>ROUND(SUMIFS('A5.CTC FY24'!K:K,'A5.CTC FY24'!E:E,'A0.LS'!E25,'A5.CTC FY24'!A:A,"VNSC",'A5.CTC FY24'!L:L,"EY",'A5.CTC FY24'!M:M,"Posted"),0)</f>
        <v>0</v>
      </c>
      <c r="AH25" s="936">
        <f t="shared" si="7"/>
        <v>0</v>
      </c>
      <c r="AI25" s="930"/>
      <c r="AJ25" s="936">
        <f>SUMIFS('TB.KCG.FY24'!I:I,'TB.KCG.FY24'!A:A,'A0.LS'!E25)</f>
        <v>0</v>
      </c>
      <c r="AK25" s="936">
        <f>ROUND(SUMIFS('A5.CTC FY24'!K:K,'A5.CTC FY24'!E:E,'A0.LS'!E25,'A5.CTC FY24'!A:A,'A0.LS'!$AK$5,'A5.CTC FY24'!L:L,"EY",'A5.CTC FY24'!M:M,"Posted"),0)</f>
        <v>0</v>
      </c>
      <c r="AL25" s="948">
        <f t="shared" si="8"/>
        <v>0</v>
      </c>
      <c r="AM25" s="930"/>
      <c r="AN25" s="949">
        <f>ROUND(SUM(AT25,AH25,AC25),0)</f>
        <v>0</v>
      </c>
      <c r="AO25" s="950">
        <f>ROUND(SUMIFS('A5.Consol FY24'!L:L,'A5.Consol FY24'!M:M,"EY",'A5.Consol FY24'!N:N,"Posted",'A5.Consol FY24'!B:B,'A0.LS'!$AO$5,'A5.Consol FY24'!F:F,'A0.LS'!E25),0)</f>
        <v>0</v>
      </c>
      <c r="AP25" s="949">
        <f t="shared" si="10"/>
        <v>0</v>
      </c>
      <c r="AQ25" s="930"/>
      <c r="AR25" s="936">
        <f>ROUND(SUMIFS('TB.XH.FY24'!I:I,'TB.XH.FY24'!J:J,'A0.LS'!E25),0)</f>
        <v>0</v>
      </c>
      <c r="AS25" s="936">
        <f>ROUND(SUMIFS('A5.CTC FY24'!K:K,'A5.CTC FY24'!E:E,'A0.LS'!E25,'A5.CTC FY24'!A:A,'A0.LS'!$AS$5,'A5.CTC FY24'!L:L,"EY",'A5.CTC FY24'!M:M,"Posted"),0)</f>
        <v>0</v>
      </c>
      <c r="AT25" s="948">
        <f t="shared" si="11"/>
        <v>0</v>
      </c>
      <c r="AU25" s="930"/>
      <c r="AV25" s="951">
        <f t="shared" si="12"/>
        <v>-127484513</v>
      </c>
      <c r="AW25" s="952">
        <f>SUMIFS('A5.Consol FY24'!L:L,'A5.Consol FY24'!B:B,'A0.LS'!$AW$5,'A5.Consol FY24'!M:M,"EY",'A5.Consol FY24'!N:N,"Posted",'A5.Consol FY24'!F:F,'A0.LS'!E25)</f>
        <v>0</v>
      </c>
      <c r="AX25" s="951">
        <f t="shared" si="18"/>
        <v>-127484513</v>
      </c>
      <c r="AY25" s="920"/>
      <c r="AZ25" s="936">
        <f>SUMIFS('TB.CTC.YE22'!Q:Q,'TB.CTC.YE22'!A:A,'A0.LS'!E25)</f>
        <v>0</v>
      </c>
      <c r="BA25" s="936">
        <f>ROUND(SUMIFS('A5.YE22'!J:J,'A5.YE22'!K:K,'A0.LS'!$BA$5,'A5.YE22'!L:L,"Posted",'A5.YE22'!D:D,'A0.LS'!E25),0)</f>
        <v>0</v>
      </c>
      <c r="BB25" s="936">
        <f t="shared" si="13"/>
        <v>0</v>
      </c>
      <c r="BC25" s="937"/>
      <c r="BD25" s="936">
        <f>ROUND(SUMIFS('TB.VNSC.YE22'!L:L,'TB.VNSC.YE22'!A:A,'A0.LS'!E25),0)</f>
        <v>0</v>
      </c>
      <c r="BE25" s="936">
        <f>ROUND(SUMIFS('A5.YE22'!J:J,'A5.YE22'!K:K,'A0.LS'!$BE$5,'A5.YE22'!L:L,"Posted",'A5.YE22'!D:D,'A0.LS'!E25),0)</f>
        <v>0</v>
      </c>
      <c r="BF25" s="936">
        <f t="shared" si="14"/>
        <v>0</v>
      </c>
      <c r="BG25" s="937"/>
      <c r="BH25" s="936">
        <f>ROUND(SUMIFS('TB.XH.YE22'!P:P,'TB.XH.YE22'!A:A,'A0.LS'!E25),0)</f>
        <v>0</v>
      </c>
      <c r="BI25" s="936">
        <f>ROUND(SUMIFS('A5.YE22'!J:J,'A5.YE22'!K:K,"XH",'A5.YE22'!L:L,"Posted",'A5.YE22'!D:D,'A0.LS'!E25),0)</f>
        <v>0</v>
      </c>
      <c r="BJ25" s="936">
        <f t="shared" si="15"/>
        <v>0</v>
      </c>
      <c r="BK25" s="937"/>
      <c r="BL25" s="936">
        <f>ROUND(SUMIFS('TB.KCG.YE22'!P:P,'TB.KCG.YE22'!A:A,'A0.LS'!E25),0)</f>
        <v>0</v>
      </c>
      <c r="BM25" s="936">
        <f>ROUND(SUMIFS('A5.YE22'!J:J,'A5.YE22'!K:K,'A0.LS'!$BM$5,'A5.YE22'!L:L,"Posted",'A5.YE22'!D:D,'A0.LS'!E25),0)</f>
        <v>0</v>
      </c>
      <c r="BN25" s="936">
        <f t="shared" si="16"/>
        <v>0</v>
      </c>
      <c r="BO25" s="937"/>
      <c r="BP25" s="938">
        <v>-184373354</v>
      </c>
      <c r="BQ25" s="938">
        <f>ROUND(SUMIFS('A5.YE22'!J:J,'A5.YE22'!K:K,'A0.LS'!$BQ$5,'A5.YE22'!L:L,"Posted",'A5.YE22'!D:D,'A0.LS'!E25),0)</f>
        <v>0</v>
      </c>
      <c r="BR25" s="938">
        <f t="shared" si="17"/>
        <v>-184373354</v>
      </c>
    </row>
    <row r="26" spans="1:70" ht="12.75">
      <c r="A26" s="850"/>
      <c r="B26" s="939">
        <v>121</v>
      </c>
      <c r="C26" s="940"/>
      <c r="D26" s="927"/>
      <c r="E26" s="954" t="s">
        <v>1230</v>
      </c>
      <c r="F26" s="928" t="s">
        <v>2214</v>
      </c>
      <c r="G26" s="927" t="s">
        <v>2206</v>
      </c>
      <c r="H26" s="927" t="s">
        <v>675</v>
      </c>
      <c r="I26" s="942">
        <f>SUMIFS('TB.CTy Me.FY2024'!I:I,'TB.CTy Me.FY2024'!A:A,'A0.LS'!E26)</f>
        <v>0</v>
      </c>
      <c r="J26" s="942">
        <f>ROUND(SUMIFS('A5.FY24'!K:K,'A5.FY24'!E:E,'A0.LS'!E26,'A5.FY24'!L:L,"Finhay",'A5.FY24'!M:M,"Posted"),0)</f>
        <v>0</v>
      </c>
      <c r="K26" s="942">
        <f>ROUND(SUMIFS('A5.FY24'!K:K,'A5.FY24'!E:E,'A0.LS'!E26,'A5.FY24'!L:L,"EY",'A5.FY24'!M:M,"Posted"),0)</f>
        <v>0</v>
      </c>
      <c r="L26" s="943">
        <f t="shared" si="4"/>
        <v>0</v>
      </c>
      <c r="M26" s="930"/>
      <c r="N26" s="944">
        <f>SUMIFS('TB.CTM.YE23'!I:I,'TB.CTM.YE23'!A:A,'A0.LS'!E26)</f>
        <v>0</v>
      </c>
      <c r="O26" s="944">
        <v>0</v>
      </c>
      <c r="P26" s="944">
        <v>0</v>
      </c>
      <c r="Q26" s="945">
        <f t="shared" si="5"/>
        <v>0</v>
      </c>
      <c r="R26" s="898"/>
      <c r="S26" s="848">
        <f t="shared" si="2"/>
        <v>0</v>
      </c>
      <c r="T26" s="946" t="str">
        <f t="shared" si="3"/>
        <v>To check</v>
      </c>
      <c r="U26" s="850"/>
      <c r="V26" s="850"/>
      <c r="W26" s="850"/>
      <c r="X26" s="947" t="s">
        <v>676</v>
      </c>
      <c r="Y26" s="947" t="s">
        <v>2206</v>
      </c>
      <c r="Z26" s="936">
        <f>ROUND(SUMIFS('TB.Cty Con.FY24'!I:I,'TB.Cty Con.FY24'!A:A,'A0.LS'!E26),0)</f>
        <v>0</v>
      </c>
      <c r="AA26" s="936">
        <f>ROUND(SUMIFS('A5.CTC FY24'!K:K,'A5.CTC FY24'!E:E,'A0.LS'!E26,'A5.CTC FY24'!A:A,'A0.LS'!$AA$5,'A5.CTC FY24'!L:L,"Finhay",'A5.CTC FY24'!M:M,"Posted"),0)</f>
        <v>0</v>
      </c>
      <c r="AB26" s="936">
        <f>ROUND(SUMIFS('A5.CTC FY24'!K:K,'A5.CTC FY24'!E:E,'A0.LS'!E26,'A5.CTC FY24'!A:A,'A0.LS'!$AB$5,'A5.CTC FY24'!L:L,"EY",'A5.CTC FY24'!M:M,"Posted"),0)</f>
        <v>0</v>
      </c>
      <c r="AC26" s="948">
        <f t="shared" si="6"/>
        <v>0</v>
      </c>
      <c r="AD26" s="930"/>
      <c r="AE26" s="936">
        <f>ROUND(SUMIFS('TB VNSC FY24'!M:M,'TB VNSC FY24'!N:N,'A0.LS'!E26),0)</f>
        <v>55744000</v>
      </c>
      <c r="AF26" s="936">
        <f>SUMIFS('A5.CTC FY24'!K:K,'A5.CTC FY24'!E:E,'A0.LS'!E26,'A5.CTC FY24'!A:A,"VNSC",'A5.CTC FY24'!L:L,"VNSC",'A5.CTC FY24'!M:M,"Posted")</f>
        <v>0</v>
      </c>
      <c r="AG26" s="936">
        <f>ROUND(SUMIFS('A5.CTC FY24'!K:K,'A5.CTC FY24'!E:E,'A0.LS'!E26,'A5.CTC FY24'!A:A,"VNSC",'A5.CTC FY24'!L:L,"EY",'A5.CTC FY24'!M:M,"Posted"),0)</f>
        <v>0</v>
      </c>
      <c r="AH26" s="936">
        <f t="shared" si="7"/>
        <v>55744000</v>
      </c>
      <c r="AI26" s="930"/>
      <c r="AJ26" s="936">
        <f>SUMIFS('TB.KCG.FY24'!I:I,'TB.KCG.FY24'!A:A,'A0.LS'!E26)</f>
        <v>0</v>
      </c>
      <c r="AK26" s="936">
        <f>ROUND(SUMIFS('A5.CTC FY24'!K:K,'A5.CTC FY24'!E:E,'A0.LS'!E26,'A5.CTC FY24'!A:A,'A0.LS'!$AK$5,'A5.CTC FY24'!L:L,"EY",'A5.CTC FY24'!M:M,"Posted"),0)</f>
        <v>0</v>
      </c>
      <c r="AL26" s="948">
        <f t="shared" si="8"/>
        <v>0</v>
      </c>
      <c r="AM26" s="930"/>
      <c r="AN26" s="949">
        <f>ROUND(SUM(AT26,AH26,AC26),0)</f>
        <v>55744000</v>
      </c>
      <c r="AO26" s="950">
        <f>ROUND(SUMIFS('A5.Consol FY24'!L:L,'A5.Consol FY24'!M:M,"EY",'A5.Consol FY24'!N:N,"Posted",'A5.Consol FY24'!B:B,'A0.LS'!$AO$5,'A5.Consol FY24'!F:F,'A0.LS'!E26),0)</f>
        <v>-55744000</v>
      </c>
      <c r="AP26" s="949">
        <f t="shared" si="10"/>
        <v>0</v>
      </c>
      <c r="AQ26" s="930"/>
      <c r="AR26" s="936">
        <f>ROUND(SUMIFS('TB.XH.FY24'!I:I,'TB.XH.FY24'!J:J,'A0.LS'!E26),0)</f>
        <v>0</v>
      </c>
      <c r="AS26" s="936">
        <f>ROUND(SUMIFS('A5.CTC FY24'!K:K,'A5.CTC FY24'!E:E,'A0.LS'!E26,'A5.CTC FY24'!A:A,'A0.LS'!$AS$5,'A5.CTC FY24'!L:L,"EY",'A5.CTC FY24'!M:M,"Posted"),0)</f>
        <v>0</v>
      </c>
      <c r="AT26" s="948">
        <f t="shared" si="11"/>
        <v>0</v>
      </c>
      <c r="AU26" s="930"/>
      <c r="AV26" s="951">
        <f t="shared" si="12"/>
        <v>0</v>
      </c>
      <c r="AW26" s="952">
        <f>SUMIFS('A5.Consol FY24'!L:L,'A5.Consol FY24'!B:B,'A0.LS'!$AW$5,'A5.Consol FY24'!M:M,"EY",'A5.Consol FY24'!N:N,"Posted",'A5.Consol FY24'!F:F,'A0.LS'!E26)</f>
        <v>0</v>
      </c>
      <c r="AX26" s="951">
        <f t="shared" si="18"/>
        <v>0</v>
      </c>
      <c r="AY26" s="920"/>
      <c r="AZ26" s="936">
        <f>SUMIFS('TB.CTC.YE22'!Q:Q,'TB.CTC.YE22'!A:A,'A0.LS'!E26)</f>
        <v>0</v>
      </c>
      <c r="BA26" s="936">
        <f>ROUND(SUMIFS('A5.YE22'!J:J,'A5.YE22'!K:K,'A0.LS'!$BA$5,'A5.YE22'!L:L,"Posted",'A5.YE22'!D:D,'A0.LS'!E26),0)</f>
        <v>0</v>
      </c>
      <c r="BB26" s="936">
        <f t="shared" si="13"/>
        <v>0</v>
      </c>
      <c r="BC26" s="937"/>
      <c r="BD26" s="936">
        <f>ROUND(SUMIFS('TB.VNSC.YE22'!L:L,'TB.VNSC.YE22'!A:A,'A0.LS'!E26),0)</f>
        <v>0</v>
      </c>
      <c r="BE26" s="936">
        <f>ROUND(SUMIFS('A5.YE22'!J:J,'A5.YE22'!K:K,'A0.LS'!$BE$5,'A5.YE22'!L:L,"Posted",'A5.YE22'!D:D,'A0.LS'!E26),0)</f>
        <v>0</v>
      </c>
      <c r="BF26" s="936">
        <f t="shared" si="14"/>
        <v>0</v>
      </c>
      <c r="BG26" s="937"/>
      <c r="BH26" s="936">
        <f>ROUND(SUMIFS('TB.XH.YE22'!P:P,'TB.XH.YE22'!A:A,'A0.LS'!E26),0)</f>
        <v>0</v>
      </c>
      <c r="BI26" s="936">
        <f>ROUND(SUMIFS('A5.YE22'!J:J,'A5.YE22'!K:K,"XH",'A5.YE22'!L:L,"Posted",'A5.YE22'!D:D,'A0.LS'!E26),0)</f>
        <v>0</v>
      </c>
      <c r="BJ26" s="936">
        <f t="shared" si="15"/>
        <v>0</v>
      </c>
      <c r="BK26" s="937"/>
      <c r="BL26" s="936">
        <f>ROUND(SUMIFS('TB.KCG.YE22'!P:P,'TB.KCG.YE22'!A:A,'A0.LS'!E26),0)</f>
        <v>0</v>
      </c>
      <c r="BM26" s="936">
        <f>ROUND(SUMIFS('A5.YE22'!J:J,'A5.YE22'!K:K,'A0.LS'!$BM$5,'A5.YE22'!L:L,"Posted",'A5.YE22'!D:D,'A0.LS'!E26),0)</f>
        <v>0</v>
      </c>
      <c r="BN26" s="936">
        <f t="shared" si="16"/>
        <v>0</v>
      </c>
      <c r="BO26" s="937"/>
      <c r="BP26" s="938">
        <f t="shared" ref="BP26:BP28" si="19">ROUND(SUM(Q26,BB26,BF26,BJ26,BN26),0)</f>
        <v>0</v>
      </c>
      <c r="BQ26" s="938">
        <f>ROUND(SUMIFS('A5.YE22'!J:J,'A5.YE22'!K:K,'A0.LS'!$BQ$5,'A5.YE22'!L:L,"Posted",'A5.YE22'!D:D,'A0.LS'!E26),0)</f>
        <v>0</v>
      </c>
      <c r="BR26" s="938">
        <f t="shared" si="17"/>
        <v>0</v>
      </c>
    </row>
    <row r="27" spans="1:70" ht="12.75">
      <c r="A27" s="850"/>
      <c r="B27" s="939">
        <v>121</v>
      </c>
      <c r="C27" s="940"/>
      <c r="D27" s="927"/>
      <c r="E27" s="954" t="s">
        <v>1219</v>
      </c>
      <c r="F27" s="928" t="s">
        <v>2215</v>
      </c>
      <c r="G27" s="927" t="s">
        <v>2206</v>
      </c>
      <c r="H27" s="927" t="s">
        <v>675</v>
      </c>
      <c r="I27" s="942">
        <f>SUMIFS('TB.CTy Me.FY2024'!I:I,'TB.CTy Me.FY2024'!A:A,'A0.LS'!E27)</f>
        <v>0</v>
      </c>
      <c r="J27" s="942">
        <f>ROUND(SUMIFS('A5.FY24'!K:K,'A5.FY24'!E:E,'A0.LS'!E27,'A5.FY24'!L:L,"Finhay",'A5.FY24'!M:M,"Posted"),0)</f>
        <v>0</v>
      </c>
      <c r="K27" s="942">
        <f>ROUND(SUMIFS('A5.FY24'!K:K,'A5.FY24'!E:E,'A0.LS'!E27,'A5.FY24'!L:L,"EY",'A5.FY24'!M:M,"Posted"),0)</f>
        <v>0</v>
      </c>
      <c r="L27" s="943">
        <f t="shared" si="4"/>
        <v>0</v>
      </c>
      <c r="M27" s="930"/>
      <c r="N27" s="944">
        <f>SUMIFS('TB.CTM.YE23'!I:I,'TB.CTM.YE23'!A:A,'A0.LS'!E27)</f>
        <v>0</v>
      </c>
      <c r="O27" s="944">
        <v>0</v>
      </c>
      <c r="P27" s="944">
        <v>0</v>
      </c>
      <c r="Q27" s="945">
        <f t="shared" si="5"/>
        <v>0</v>
      </c>
      <c r="R27" s="898"/>
      <c r="S27" s="848">
        <f t="shared" si="2"/>
        <v>0</v>
      </c>
      <c r="T27" s="946" t="str">
        <f t="shared" si="3"/>
        <v>To check</v>
      </c>
      <c r="U27" s="850"/>
      <c r="V27" s="850"/>
      <c r="W27" s="850"/>
      <c r="X27" s="947" t="s">
        <v>676</v>
      </c>
      <c r="Y27" s="947" t="s">
        <v>2206</v>
      </c>
      <c r="Z27" s="936">
        <f>ROUND(SUMIFS('TB.Cty Con.FY24'!I:I,'TB.Cty Con.FY24'!A:A,'A0.LS'!E27),0)</f>
        <v>0</v>
      </c>
      <c r="AA27" s="936">
        <f>ROUND(SUMIFS('A5.CTC FY24'!K:K,'A5.CTC FY24'!E:E,'A0.LS'!E27,'A5.CTC FY24'!A:A,'A0.LS'!$AA$5,'A5.CTC FY24'!L:L,"Finhay",'A5.CTC FY24'!M:M,"Posted"),0)</f>
        <v>0</v>
      </c>
      <c r="AB27" s="936">
        <f>ROUND(SUMIFS('A5.CTC FY24'!K:K,'A5.CTC FY24'!E:E,'A0.LS'!E27,'A5.CTC FY24'!A:A,'A0.LS'!$AB$5,'A5.CTC FY24'!L:L,"EY",'A5.CTC FY24'!M:M,"Posted"),0)</f>
        <v>0</v>
      </c>
      <c r="AC27" s="948">
        <f t="shared" si="6"/>
        <v>0</v>
      </c>
      <c r="AD27" s="930"/>
      <c r="AE27" s="936">
        <f>ROUND(SUMIFS('TB VNSC FY24'!M:M,'TB VNSC FY24'!N:N,'A0.LS'!E27),0)</f>
        <v>-39189015</v>
      </c>
      <c r="AF27" s="936">
        <f>SUMIFS('A5.CTC FY24'!K:K,'A5.CTC FY24'!E:E,'A0.LS'!E27,'A5.CTC FY24'!A:A,"VNSC",'A5.CTC FY24'!L:L,"VNSC",'A5.CTC FY24'!M:M,"Posted")</f>
        <v>0</v>
      </c>
      <c r="AG27" s="936">
        <f>ROUND(SUMIFS('A5.CTC FY24'!K:K,'A5.CTC FY24'!E:E,'A0.LS'!E27,'A5.CTC FY24'!A:A,"VNSC",'A5.CTC FY24'!L:L,"EY",'A5.CTC FY24'!M:M,"Posted"),0)</f>
        <v>-300424909</v>
      </c>
      <c r="AH27" s="936">
        <f t="shared" si="7"/>
        <v>-339613924</v>
      </c>
      <c r="AI27" s="930"/>
      <c r="AJ27" s="936">
        <f>SUMIFS('TB.KCG.FY24'!I:I,'TB.KCG.FY24'!A:A,'A0.LS'!E27)</f>
        <v>0</v>
      </c>
      <c r="AK27" s="936">
        <f>ROUND(SUMIFS('A5.CTC FY24'!K:K,'A5.CTC FY24'!E:E,'A0.LS'!E27,'A5.CTC FY24'!A:A,'A0.LS'!$AK$5,'A5.CTC FY24'!L:L,"EY",'A5.CTC FY24'!M:M,"Posted"),0)</f>
        <v>0</v>
      </c>
      <c r="AL27" s="948">
        <f t="shared" si="8"/>
        <v>0</v>
      </c>
      <c r="AM27" s="930"/>
      <c r="AN27" s="949">
        <f>ROUND(SUM(AT27,AH27,AC27),0)</f>
        <v>-339613924</v>
      </c>
      <c r="AO27" s="950">
        <f>ROUND(SUMIFS('A5.Consol FY24'!L:L,'A5.Consol FY24'!M:M,"EY",'A5.Consol FY24'!N:N,"Posted",'A5.Consol FY24'!B:B,'A0.LS'!$AO$5,'A5.Consol FY24'!F:F,'A0.LS'!E27),0)</f>
        <v>339613924</v>
      </c>
      <c r="AP27" s="949">
        <f t="shared" si="10"/>
        <v>0</v>
      </c>
      <c r="AQ27" s="930"/>
      <c r="AR27" s="936">
        <f>ROUND(SUMIFS('TB.XH.FY24'!I:I,'TB.XH.FY24'!J:J,'A0.LS'!E27),0)</f>
        <v>0</v>
      </c>
      <c r="AS27" s="936">
        <f>ROUND(SUMIFS('A5.CTC FY24'!K:K,'A5.CTC FY24'!E:E,'A0.LS'!E27,'A5.CTC FY24'!A:A,'A0.LS'!$AS$5,'A5.CTC FY24'!L:L,"EY",'A5.CTC FY24'!M:M,"Posted"),0)</f>
        <v>0</v>
      </c>
      <c r="AT27" s="948">
        <f t="shared" si="11"/>
        <v>0</v>
      </c>
      <c r="AU27" s="930"/>
      <c r="AV27" s="951">
        <f t="shared" si="12"/>
        <v>0</v>
      </c>
      <c r="AW27" s="952">
        <f>SUMIFS('A5.Consol FY24'!L:L,'A5.Consol FY24'!B:B,'A0.LS'!$AW$5,'A5.Consol FY24'!M:M,"EY",'A5.Consol FY24'!N:N,"Posted",'A5.Consol FY24'!F:F,'A0.LS'!E27)</f>
        <v>0</v>
      </c>
      <c r="AX27" s="951">
        <f t="shared" si="18"/>
        <v>0</v>
      </c>
      <c r="AY27" s="920"/>
      <c r="AZ27" s="936">
        <f>SUMIFS('TB.CTC.YE22'!Q:Q,'TB.CTC.YE22'!A:A,'A0.LS'!E27)</f>
        <v>0</v>
      </c>
      <c r="BA27" s="936">
        <f>ROUND(SUMIFS('A5.YE22'!J:J,'A5.YE22'!K:K,'A0.LS'!$BA$5,'A5.YE22'!L:L,"Posted",'A5.YE22'!D:D,'A0.LS'!E27),0)</f>
        <v>0</v>
      </c>
      <c r="BB27" s="936">
        <f t="shared" si="13"/>
        <v>0</v>
      </c>
      <c r="BC27" s="937"/>
      <c r="BD27" s="936">
        <f>ROUND(SUMIFS('TB.VNSC.YE22'!L:L,'TB.VNSC.YE22'!A:A,'A0.LS'!E27),0)</f>
        <v>0</v>
      </c>
      <c r="BE27" s="936">
        <f>ROUND(SUMIFS('A5.YE22'!J:J,'A5.YE22'!K:K,'A0.LS'!$BE$5,'A5.YE22'!L:L,"Posted",'A5.YE22'!D:D,'A0.LS'!E27),0)</f>
        <v>0</v>
      </c>
      <c r="BF27" s="936">
        <f t="shared" si="14"/>
        <v>0</v>
      </c>
      <c r="BG27" s="937"/>
      <c r="BH27" s="936">
        <f>ROUND(SUMIFS('TB.XH.YE22'!P:P,'TB.XH.YE22'!A:A,'A0.LS'!E27),0)</f>
        <v>0</v>
      </c>
      <c r="BI27" s="936">
        <f>ROUND(SUMIFS('A5.YE22'!J:J,'A5.YE22'!K:K,"XH",'A5.YE22'!L:L,"Posted",'A5.YE22'!D:D,'A0.LS'!E27),0)</f>
        <v>0</v>
      </c>
      <c r="BJ27" s="936">
        <f t="shared" si="15"/>
        <v>0</v>
      </c>
      <c r="BK27" s="937"/>
      <c r="BL27" s="936">
        <f>ROUND(SUMIFS('TB.KCG.YE22'!P:P,'TB.KCG.YE22'!A:A,'A0.LS'!E27),0)</f>
        <v>0</v>
      </c>
      <c r="BM27" s="936">
        <f>ROUND(SUMIFS('A5.YE22'!J:J,'A5.YE22'!K:K,'A0.LS'!$BM$5,'A5.YE22'!L:L,"Posted",'A5.YE22'!D:D,'A0.LS'!E27),0)</f>
        <v>0</v>
      </c>
      <c r="BN27" s="936">
        <f t="shared" si="16"/>
        <v>0</v>
      </c>
      <c r="BO27" s="937"/>
      <c r="BP27" s="938">
        <f t="shared" si="19"/>
        <v>0</v>
      </c>
      <c r="BQ27" s="938">
        <f>ROUND(SUMIFS('A5.YE22'!J:J,'A5.YE22'!K:K,'A0.LS'!$BQ$5,'A5.YE22'!L:L,"Posted",'A5.YE22'!D:D,'A0.LS'!E27),0)</f>
        <v>0</v>
      </c>
      <c r="BR27" s="938">
        <f t="shared" si="17"/>
        <v>0</v>
      </c>
    </row>
    <row r="28" spans="1:70" ht="12.75">
      <c r="A28" s="850"/>
      <c r="B28" s="939">
        <v>121</v>
      </c>
      <c r="C28" s="940"/>
      <c r="D28" s="927"/>
      <c r="E28" s="954" t="s">
        <v>2216</v>
      </c>
      <c r="F28" s="928" t="s">
        <v>2217</v>
      </c>
      <c r="G28" s="927" t="s">
        <v>2206</v>
      </c>
      <c r="H28" s="927" t="s">
        <v>675</v>
      </c>
      <c r="I28" s="942">
        <f>SUMIFS('TB.CTy Me.FY2024'!I:I,'TB.CTy Me.FY2024'!A:A,'A0.LS'!E28)</f>
        <v>0</v>
      </c>
      <c r="J28" s="942">
        <f>ROUND(SUMIFS('A5.FY24'!K:K,'A5.FY24'!E:E,'A0.LS'!E28,'A5.FY24'!L:L,"Finhay",'A5.FY24'!M:M,"Posted"),0)</f>
        <v>0</v>
      </c>
      <c r="K28" s="942">
        <f>ROUND(SUMIFS('A5.FY24'!K:K,'A5.FY24'!E:E,'A0.LS'!E28,'A5.FY24'!L:L,"EY",'A5.FY24'!M:M,"Posted"),0)</f>
        <v>0</v>
      </c>
      <c r="L28" s="943">
        <f t="shared" si="4"/>
        <v>0</v>
      </c>
      <c r="M28" s="930"/>
      <c r="N28" s="944">
        <f>SUMIFS('TB.CTM.YE23'!I:I,'TB.CTM.YE23'!A:A,'A0.LS'!E28)</f>
        <v>0</v>
      </c>
      <c r="O28" s="944">
        <v>0</v>
      </c>
      <c r="P28" s="944">
        <v>0</v>
      </c>
      <c r="Q28" s="945">
        <f t="shared" si="5"/>
        <v>0</v>
      </c>
      <c r="R28" s="898"/>
      <c r="S28" s="848">
        <f t="shared" si="2"/>
        <v>0</v>
      </c>
      <c r="T28" s="946" t="str">
        <f t="shared" si="3"/>
        <v>To check</v>
      </c>
      <c r="U28" s="850"/>
      <c r="V28" s="850"/>
      <c r="W28" s="850"/>
      <c r="X28" s="947" t="s">
        <v>676</v>
      </c>
      <c r="Y28" s="947" t="s">
        <v>2206</v>
      </c>
      <c r="Z28" s="936">
        <f>ROUND(SUMIFS('TB.Cty Con.FY24'!I:I,'TB.Cty Con.FY24'!A:A,'A0.LS'!E28),0)</f>
        <v>0</v>
      </c>
      <c r="AA28" s="936">
        <f>ROUND(SUMIFS('A5.CTC FY24'!K:K,'A5.CTC FY24'!E:E,'A0.LS'!E28,'A5.CTC FY24'!A:A,'A0.LS'!$AA$5,'A5.CTC FY24'!L:L,"Finhay",'A5.CTC FY24'!M:M,"Posted"),0)</f>
        <v>0</v>
      </c>
      <c r="AB28" s="936">
        <f>ROUND(SUMIFS('A5.CTC FY24'!K:K,'A5.CTC FY24'!E:E,'A0.LS'!E28,'A5.CTC FY24'!A:A,'A0.LS'!$AB$5,'A5.CTC FY24'!L:L,"EY",'A5.CTC FY24'!M:M,"Posted"),0)</f>
        <v>0</v>
      </c>
      <c r="AC28" s="948">
        <f t="shared" si="6"/>
        <v>0</v>
      </c>
      <c r="AD28" s="930"/>
      <c r="AE28" s="936">
        <f>ROUND(SUMIFS('TB VNSC FY24'!M:M,'TB VNSC FY24'!N:N,'A0.LS'!E28),0)</f>
        <v>0</v>
      </c>
      <c r="AF28" s="936">
        <f>SUMIFS('A5.CTC FY24'!K:K,'A5.CTC FY24'!E:E,'A0.LS'!E28,'A5.CTC FY24'!A:A,"VNSC",'A5.CTC FY24'!L:L,"VNSC",'A5.CTC FY24'!M:M,"Posted")</f>
        <v>0</v>
      </c>
      <c r="AG28" s="936">
        <f>ROUND(SUMIFS('A5.CTC FY24'!K:K,'A5.CTC FY24'!E:E,'A0.LS'!E28,'A5.CTC FY24'!A:A,"VNSC",'A5.CTC FY24'!L:L,"EY",'A5.CTC FY24'!M:M,"Posted"),0)</f>
        <v>0</v>
      </c>
      <c r="AH28" s="936">
        <f t="shared" si="7"/>
        <v>0</v>
      </c>
      <c r="AI28" s="930"/>
      <c r="AJ28" s="936">
        <f>SUMIFS('TB.KCG.FY24'!I:I,'TB.KCG.FY24'!A:A,'A0.LS'!E28)</f>
        <v>0</v>
      </c>
      <c r="AK28" s="936">
        <f>ROUND(SUMIFS('A5.CTC FY24'!K:K,'A5.CTC FY24'!E:E,'A0.LS'!E28,'A5.CTC FY24'!A:A,'A0.LS'!$AK$5,'A5.CTC FY24'!L:L,"EY",'A5.CTC FY24'!M:M,"Posted"),0)</f>
        <v>0</v>
      </c>
      <c r="AL28" s="948">
        <f t="shared" si="8"/>
        <v>0</v>
      </c>
      <c r="AM28" s="930"/>
      <c r="AN28" s="949">
        <f t="shared" si="9"/>
        <v>0</v>
      </c>
      <c r="AO28" s="950">
        <f>ROUND(SUMIFS('A5.Consol FY24'!L:L,'A5.Consol FY24'!M:M,"EY",'A5.Consol FY24'!N:N,"Posted",'A5.Consol FY24'!B:B,'A0.LS'!$AO$5,'A5.Consol FY24'!F:F,'A0.LS'!E28),0)</f>
        <v>0</v>
      </c>
      <c r="AP28" s="949">
        <f t="shared" si="10"/>
        <v>0</v>
      </c>
      <c r="AQ28" s="930"/>
      <c r="AR28" s="936">
        <f>ROUND(SUMIFS('TB.XH.FY24'!I:I,'TB.XH.FY24'!J:J,'A0.LS'!E28),0)</f>
        <v>0</v>
      </c>
      <c r="AS28" s="936">
        <f>ROUND(SUMIFS('A5.CTC FY24'!K:K,'A5.CTC FY24'!E:E,'A0.LS'!E28,'A5.CTC FY24'!A:A,'A0.LS'!$AS$5,'A5.CTC FY24'!L:L,"EY",'A5.CTC FY24'!M:M,"Posted"),0)</f>
        <v>0</v>
      </c>
      <c r="AT28" s="948">
        <f t="shared" si="11"/>
        <v>0</v>
      </c>
      <c r="AU28" s="930"/>
      <c r="AV28" s="951">
        <f t="shared" si="12"/>
        <v>0</v>
      </c>
      <c r="AW28" s="952">
        <f>SUMIFS('A5.Consol FY24'!L:L,'A5.Consol FY24'!B:B,'A0.LS'!$AW$5,'A5.Consol FY24'!M:M,"EY",'A5.Consol FY24'!N:N,"Posted",'A5.Consol FY24'!F:F,'A0.LS'!E28)</f>
        <v>0</v>
      </c>
      <c r="AX28" s="951">
        <f t="shared" si="18"/>
        <v>0</v>
      </c>
      <c r="AY28" s="920"/>
      <c r="AZ28" s="936">
        <f>SUMIFS('TB.CTC.YE22'!Q:Q,'TB.CTC.YE22'!A:A,'A0.LS'!E28)</f>
        <v>0</v>
      </c>
      <c r="BA28" s="936">
        <f>ROUND(SUMIFS('A5.YE22'!J:J,'A5.YE22'!K:K,'A0.LS'!$BA$5,'A5.YE22'!L:L,"Posted",'A5.YE22'!D:D,'A0.LS'!E28),0)</f>
        <v>0</v>
      </c>
      <c r="BB28" s="936">
        <f>ROUND(SUM(AZ28:BA28),0)</f>
        <v>0</v>
      </c>
      <c r="BC28" s="937"/>
      <c r="BD28" s="936">
        <f>ROUND(SUMIFS('TB.VNSC.YE22'!L:L,'TB.VNSC.YE22'!A:A,'A0.LS'!E28),0)</f>
        <v>0</v>
      </c>
      <c r="BE28" s="936">
        <f>ROUND(SUMIFS('A5.YE22'!J:J,'A5.YE22'!K:K,'A0.LS'!$BE$5,'A5.YE22'!L:L,"Posted",'A5.YE22'!D:D,'A0.LS'!E28),0)</f>
        <v>0</v>
      </c>
      <c r="BF28" s="936">
        <f t="shared" si="14"/>
        <v>0</v>
      </c>
      <c r="BG28" s="937"/>
      <c r="BH28" s="936">
        <f>ROUND(SUMIFS('TB.XH.YE22'!P:P,'TB.XH.YE22'!A:A,'A0.LS'!E28),0)</f>
        <v>0</v>
      </c>
      <c r="BI28" s="936">
        <f>ROUND(SUMIFS('A5.YE22'!J:J,'A5.YE22'!K:K,"XH",'A5.YE22'!L:L,"Posted",'A5.YE22'!D:D,'A0.LS'!E28),0)</f>
        <v>0</v>
      </c>
      <c r="BJ28" s="936">
        <f t="shared" si="15"/>
        <v>0</v>
      </c>
      <c r="BK28" s="937"/>
      <c r="BL28" s="936">
        <f>ROUND(SUMIFS('TB.KCG.YE22'!P:P,'TB.KCG.YE22'!A:A,'A0.LS'!E28),0)</f>
        <v>0</v>
      </c>
      <c r="BM28" s="936">
        <f>ROUND(SUMIFS('A5.YE22'!J:J,'A5.YE22'!K:K,'A0.LS'!$BM$5,'A5.YE22'!L:L,"Posted",'A5.YE22'!D:D,'A0.LS'!E28),0)</f>
        <v>0</v>
      </c>
      <c r="BN28" s="936">
        <f t="shared" si="16"/>
        <v>0</v>
      </c>
      <c r="BO28" s="937"/>
      <c r="BP28" s="938">
        <f t="shared" si="19"/>
        <v>0</v>
      </c>
      <c r="BQ28" s="938">
        <f>ROUND(SUMIFS('A5.YE22'!J:J,'A5.YE22'!K:K,'A0.LS'!$BQ$5,'A5.YE22'!L:L,"Posted",'A5.YE22'!D:D,'A0.LS'!E28),0)</f>
        <v>0</v>
      </c>
      <c r="BR28" s="938">
        <f t="shared" si="17"/>
        <v>0</v>
      </c>
    </row>
    <row r="29" spans="1:70" ht="12.75">
      <c r="A29" s="850"/>
      <c r="B29" s="925"/>
      <c r="C29" s="926"/>
      <c r="D29" s="927"/>
      <c r="E29" s="928"/>
      <c r="F29" s="928"/>
      <c r="G29" s="928"/>
      <c r="H29" s="927"/>
      <c r="I29" s="929"/>
      <c r="J29" s="929"/>
      <c r="K29" s="929"/>
      <c r="L29" s="929"/>
      <c r="M29" s="930"/>
      <c r="N29" s="931"/>
      <c r="O29" s="931"/>
      <c r="P29" s="931"/>
      <c r="Q29" s="932"/>
      <c r="R29" s="898"/>
      <c r="S29" s="850"/>
      <c r="T29" s="850"/>
      <c r="U29" s="850"/>
      <c r="V29" s="850"/>
      <c r="W29" s="850"/>
      <c r="X29" s="947" t="s">
        <v>676</v>
      </c>
      <c r="Y29" s="933"/>
      <c r="Z29" s="934"/>
      <c r="AA29" s="934"/>
      <c r="AB29" s="934"/>
      <c r="AC29" s="934"/>
      <c r="AD29" s="930"/>
      <c r="AE29" s="936"/>
      <c r="AF29" s="934"/>
      <c r="AG29" s="934"/>
      <c r="AH29" s="934"/>
      <c r="AI29" s="930"/>
      <c r="AJ29" s="934"/>
      <c r="AK29" s="934"/>
      <c r="AL29" s="934"/>
      <c r="AM29" s="930"/>
      <c r="AN29" s="935"/>
      <c r="AO29" s="935"/>
      <c r="AP29" s="935"/>
      <c r="AQ29" s="930"/>
      <c r="AR29" s="934"/>
      <c r="AS29" s="934"/>
      <c r="AT29" s="934"/>
      <c r="AU29" s="930"/>
      <c r="AV29" s="909"/>
      <c r="AW29" s="909"/>
      <c r="AX29" s="909"/>
      <c r="AY29" s="920"/>
      <c r="AZ29" s="936"/>
      <c r="BA29" s="936"/>
      <c r="BB29" s="936"/>
      <c r="BC29" s="937"/>
      <c r="BD29" s="936"/>
      <c r="BE29" s="936"/>
      <c r="BF29" s="936"/>
      <c r="BG29" s="937"/>
      <c r="BH29" s="936"/>
      <c r="BI29" s="936"/>
      <c r="BJ29" s="936"/>
      <c r="BK29" s="937"/>
      <c r="BL29" s="936"/>
      <c r="BM29" s="936"/>
      <c r="BN29" s="936"/>
      <c r="BO29" s="937"/>
      <c r="BP29" s="938"/>
      <c r="BQ29" s="938"/>
      <c r="BR29" s="938"/>
    </row>
    <row r="30" spans="1:70" s="1" customFormat="1" ht="12.75">
      <c r="B30" s="293"/>
      <c r="C30" s="294"/>
      <c r="D30" s="295"/>
      <c r="E30" s="75"/>
      <c r="F30" s="75" t="s">
        <v>2218</v>
      </c>
      <c r="G30" s="75"/>
      <c r="H30" s="295"/>
      <c r="I30" s="68">
        <f>SUM(I31:I35)</f>
        <v>80382191780</v>
      </c>
      <c r="J30" s="68">
        <f>SUM(J31:J35)</f>
        <v>0</v>
      </c>
      <c r="K30" s="68">
        <f>SUM(K31:K35)</f>
        <v>35000000000</v>
      </c>
      <c r="L30" s="68">
        <f>SUM(L31:L35)</f>
        <v>115382191780</v>
      </c>
      <c r="M30" s="296"/>
      <c r="N30" s="69">
        <f>SUM(N31:N35)</f>
        <v>407065772960</v>
      </c>
      <c r="O30" s="69">
        <f>SUM(O31:O35)</f>
        <v>21638000</v>
      </c>
      <c r="P30" s="69">
        <f>SUM(P31:P35)</f>
        <v>167384931507</v>
      </c>
      <c r="Q30" s="70">
        <f>SUM(Q31:Q35)</f>
        <v>574472342467</v>
      </c>
      <c r="R30" s="298"/>
      <c r="S30" s="175">
        <f>L30-Q30</f>
        <v>-459090150687</v>
      </c>
      <c r="T30" s="176">
        <f>IFERROR(S30/Q30,"To check")</f>
        <v>-0.79915100649666526</v>
      </c>
      <c r="X30" s="933"/>
      <c r="Y30" s="321"/>
      <c r="Z30" s="235">
        <f>SUM(Z31:Z35)</f>
        <v>4500000000</v>
      </c>
      <c r="AA30" s="235">
        <f>SUM(AA31:AA35)</f>
        <v>0</v>
      </c>
      <c r="AB30" s="235">
        <f>SUM(AB31:AB35)</f>
        <v>0</v>
      </c>
      <c r="AC30" s="235">
        <f>SUM(AC31:AC35)</f>
        <v>4500000000</v>
      </c>
      <c r="AD30" s="236"/>
      <c r="AE30" s="235">
        <f>SUM(AE31:AE35)</f>
        <v>105834818593</v>
      </c>
      <c r="AF30" s="235">
        <f>SUM(AF31:AF35)</f>
        <v>0</v>
      </c>
      <c r="AG30" s="235">
        <f>SUM(AG31:AG35)</f>
        <v>0</v>
      </c>
      <c r="AH30" s="235">
        <f>SUM(AH31:AH35)</f>
        <v>105834818593</v>
      </c>
      <c r="AI30" s="236"/>
      <c r="AJ30" s="235">
        <f>SUM(AJ31:AJ35)</f>
        <v>0</v>
      </c>
      <c r="AK30" s="235">
        <f>SUM(AK31:AK35)</f>
        <v>0</v>
      </c>
      <c r="AL30" s="235">
        <f>SUM(AL31:AL35)</f>
        <v>0</v>
      </c>
      <c r="AM30" s="236"/>
      <c r="AN30" s="237">
        <f>SUM(AN31:AN35)</f>
        <v>113089401001</v>
      </c>
      <c r="AO30" s="237">
        <f>SUM(AO31:AO35)</f>
        <v>-2754582408</v>
      </c>
      <c r="AP30" s="237">
        <f>SUM(AP31:AP35)</f>
        <v>110334818593</v>
      </c>
      <c r="AQ30" s="236"/>
      <c r="AR30" s="235">
        <f>SUM(AR31:AR35)</f>
        <v>2754582408</v>
      </c>
      <c r="AS30" s="235">
        <f>SUM(AS31:AS35)</f>
        <v>0</v>
      </c>
      <c r="AT30" s="235">
        <f>SUM(AT31:AT35)</f>
        <v>2754582408</v>
      </c>
      <c r="AU30" s="236"/>
      <c r="AV30" s="238">
        <f>SUM(AV31:AV35)</f>
        <v>225717010373</v>
      </c>
      <c r="AW30" s="238">
        <f>SUM(AW31:AW35)</f>
        <v>-4500000000</v>
      </c>
      <c r="AX30" s="238">
        <f>SUM(AX31:AX35)</f>
        <v>221217010373</v>
      </c>
      <c r="AY30" s="614"/>
      <c r="AZ30" s="235">
        <f>SUM(AZ31:AZ35)</f>
        <v>9145280659</v>
      </c>
      <c r="BA30" s="235">
        <f>SUM(BA31:BA35)</f>
        <v>-9145280659</v>
      </c>
      <c r="BB30" s="235">
        <f>SUM(BB31:BB35)</f>
        <v>0</v>
      </c>
      <c r="BC30" s="236"/>
      <c r="BD30" s="235">
        <f>SUM(BD31:BD35)</f>
        <v>0</v>
      </c>
      <c r="BE30" s="235">
        <f>SUM(BE31:BE35)</f>
        <v>0</v>
      </c>
      <c r="BF30" s="235">
        <f>SUM(BF31:BF35)</f>
        <v>0</v>
      </c>
      <c r="BG30" s="236"/>
      <c r="BH30" s="235">
        <f>SUM(BH31:BH35)</f>
        <v>0</v>
      </c>
      <c r="BI30" s="235">
        <f>SUM(BI31:BI35)</f>
        <v>0</v>
      </c>
      <c r="BJ30" s="235">
        <f>SUM(BJ31:BJ35)</f>
        <v>0</v>
      </c>
      <c r="BK30" s="236"/>
      <c r="BL30" s="235">
        <f>SUM(BL31:BL35)</f>
        <v>0</v>
      </c>
      <c r="BM30" s="235">
        <f>SUM(BM31:BM35)</f>
        <v>0</v>
      </c>
      <c r="BN30" s="235">
        <f>SUM(BN31:BN35)</f>
        <v>0</v>
      </c>
      <c r="BO30" s="236"/>
      <c r="BP30" s="443">
        <f>SUM(BP31:BP35)</f>
        <v>637365158762</v>
      </c>
      <c r="BQ30" s="443">
        <f>SUM(BQ31:BQ35)</f>
        <v>0</v>
      </c>
      <c r="BR30" s="443">
        <f>SUM(BR31:BR35)</f>
        <v>637365158762</v>
      </c>
    </row>
    <row r="31" spans="1:70" ht="12.75">
      <c r="A31" s="850"/>
      <c r="B31" s="939">
        <v>123</v>
      </c>
      <c r="C31" s="940" t="s">
        <v>2219</v>
      </c>
      <c r="D31" s="927" t="s">
        <v>2219</v>
      </c>
      <c r="E31" s="928" t="s">
        <v>37</v>
      </c>
      <c r="F31" s="928" t="s">
        <v>38</v>
      </c>
      <c r="G31" s="927" t="s">
        <v>2206</v>
      </c>
      <c r="H31" s="927" t="s">
        <v>675</v>
      </c>
      <c r="I31" s="942">
        <f>SUMIFS('TB.CTy Me.FY2024'!I:I,'TB.CTy Me.FY2024'!A:A,'A0.LS'!E31)</f>
        <v>0</v>
      </c>
      <c r="J31" s="942">
        <f>ROUND(SUMIFS('A5.FY24'!K:K,'A5.FY24'!E:E,'A0.LS'!E31,'A5.FY24'!L:L,"Finhay",'A5.FY24'!M:M,"Posted"),0)</f>
        <v>0</v>
      </c>
      <c r="K31" s="942">
        <f>ROUND(SUMIFS('A5.FY24'!K:K,'A5.FY24'!E:E,'A0.LS'!E31,'A5.FY24'!L:L,"EY",'A5.FY24'!M:M,"Posted"),0)</f>
        <v>0</v>
      </c>
      <c r="L31" s="943">
        <f>ROUND(SUM(I31:K31),0)</f>
        <v>0</v>
      </c>
      <c r="M31" s="930"/>
      <c r="N31" s="944">
        <f>SUMIFS('TB.CTM.YE23'!I:I,'TB.CTM.YE23'!A:A,'A0.LS'!E31)</f>
        <v>0</v>
      </c>
      <c r="O31" s="944">
        <v>0</v>
      </c>
      <c r="P31" s="944">
        <v>0</v>
      </c>
      <c r="Q31" s="945">
        <f>ROUND(SUM(N31:P31),0)</f>
        <v>0</v>
      </c>
      <c r="R31" s="898"/>
      <c r="S31" s="848">
        <f>L31-Q31</f>
        <v>0</v>
      </c>
      <c r="T31" s="946" t="str">
        <f>IFERROR(S31/Q31,"To check")</f>
        <v>To check</v>
      </c>
      <c r="U31" s="850"/>
      <c r="V31" s="850" t="e">
        <v>#N/A</v>
      </c>
      <c r="W31" s="850"/>
      <c r="X31" s="321"/>
      <c r="Y31" s="947" t="s">
        <v>2206</v>
      </c>
      <c r="Z31" s="936">
        <f>ROUND(SUMIFS('TB.Cty Con.FY24'!I:I,'TB.Cty Con.FY24'!A:A,'A0.LS'!E31),0)</f>
        <v>0</v>
      </c>
      <c r="AA31" s="936">
        <f>ROUND(SUMIFS('A5.CTC FY24'!K:K,'A5.CTC FY24'!E:E,'A0.LS'!E31,'A5.CTC FY24'!A:A,'A0.LS'!$AA$5,'A5.CTC FY24'!L:L,"Finhay",'A5.CTC FY24'!M:M,"Posted"),0)</f>
        <v>0</v>
      </c>
      <c r="AB31" s="936">
        <f>ROUND(SUMIFS('A5.CTC FY24'!K:K,'A5.CTC FY24'!E:E,'A0.LS'!E31,'A5.CTC FY24'!A:A,'A0.LS'!$AB$5,'A5.CTC FY24'!L:L,"EY",'A5.CTC FY24'!M:M,"Posted"),0)</f>
        <v>0</v>
      </c>
      <c r="AC31" s="948">
        <f>ROUND(SUM(Z31:AB31),0)</f>
        <v>0</v>
      </c>
      <c r="AD31" s="930"/>
      <c r="AE31" s="936">
        <f>ROUND(SUMIFS('TB VNSC FY24'!M:M,'TB VNSC FY24'!N:N,'A0.LS'!E31),0)</f>
        <v>0</v>
      </c>
      <c r="AF31" s="936">
        <f>SUMIFS('A5.CTC FY24'!K:K,'A5.CTC FY24'!E:E,'A0.LS'!E31,'A5.CTC FY24'!A:A,"VNSC",'A5.CTC FY24'!L:L,"VNSC",'A5.CTC FY24'!M:M,"Posted")</f>
        <v>0</v>
      </c>
      <c r="AG31" s="936">
        <f>ROUND(SUMIFS('A5.CTC FY24'!K:K,'A5.CTC FY24'!E:E,'A0.LS'!E31,'A5.CTC FY24'!A:A,"VNSC",'A5.CTC FY24'!L:L,"EY",'A5.CTC FY24'!M:M,"Posted"),0)</f>
        <v>0</v>
      </c>
      <c r="AH31" s="936">
        <f>ROUND(SUM(AE31:AG31),0)</f>
        <v>0</v>
      </c>
      <c r="AI31" s="930"/>
      <c r="AJ31" s="936">
        <f>SUMIFS('TB.KCG.FY24'!I:I,'TB.KCG.FY24'!A:A,'A0.LS'!E31)</f>
        <v>0</v>
      </c>
      <c r="AK31" s="936">
        <f>ROUND(SUMIFS('A5.CTC FY24'!K:K,'A5.CTC FY24'!E:E,'A0.LS'!E31,'A5.CTC FY24'!A:A,'A0.LS'!$AK$5,'A5.CTC FY24'!L:L,"EY",'A5.CTC FY24'!M:M,"Posted"),0)</f>
        <v>0</v>
      </c>
      <c r="AL31" s="948">
        <f>ROUND(SUM(AJ31:AK31),0)</f>
        <v>0</v>
      </c>
      <c r="AM31" s="930"/>
      <c r="AN31" s="949">
        <f>ROUND(SUM(AT31,AH31,AC31),0)</f>
        <v>2754582408</v>
      </c>
      <c r="AO31" s="950">
        <f>ROUND(SUMIFS('A5.Consol FY24'!L:L,'A5.Consol FY24'!M:M,"EY",'A5.Consol FY24'!N:N,"Posted",'A5.Consol FY24'!B:B,'A0.LS'!$AO$5,'A5.Consol FY24'!F:F,'A0.LS'!E31),0)</f>
        <v>-2754582408</v>
      </c>
      <c r="AP31" s="949">
        <f>ROUND(SUM(AN31:AO31),0)</f>
        <v>0</v>
      </c>
      <c r="AQ31" s="930"/>
      <c r="AR31" s="936">
        <f>ROUND(SUMIFS('TB.XH.FY24'!I:I,'TB.XH.FY24'!J:J,'A0.LS'!E31),0)</f>
        <v>2754582408</v>
      </c>
      <c r="AS31" s="936">
        <f>ROUND(SUMIFS('A5.CTC FY24'!K:K,'A5.CTC FY24'!E:E,'A0.LS'!E31,'A5.CTC FY24'!A:A,'A0.LS'!$AS$5,'A5.CTC FY24'!L:L,"EY",'A5.CTC FY24'!M:M,"Posted"),0)</f>
        <v>0</v>
      </c>
      <c r="AT31" s="948">
        <f>ROUND(SUM(AR31:AS31),0)</f>
        <v>2754582408</v>
      </c>
      <c r="AU31" s="930"/>
      <c r="AV31" s="951">
        <f>ROUND(SUM(AP31,AL31,L31),0)</f>
        <v>0</v>
      </c>
      <c r="AW31" s="952">
        <f>SUMIFS('A5.Consol FY24'!L:L,'A5.Consol FY24'!B:B,'A0.LS'!$AW$5,'A5.Consol FY24'!M:M,"EY",'A5.Consol FY24'!N:N,"Posted",'A5.Consol FY24'!F:F,'A0.LS'!E31)</f>
        <v>0</v>
      </c>
      <c r="AX31" s="951">
        <f>ROUND(SUM(AV31:AW31),0)</f>
        <v>0</v>
      </c>
      <c r="AY31" s="920"/>
      <c r="AZ31" s="936">
        <f>SUMIFS('TB.CTC.YE22'!Q:Q,'TB.CTC.YE22'!A:A,'A0.LS'!E31)</f>
        <v>9145280659</v>
      </c>
      <c r="BA31" s="936">
        <f>ROUND(SUMIFS('A5.YE22'!J:J,'A5.YE22'!K:K,'A0.LS'!$BA$5,'A5.YE22'!L:L,"Posted",'A5.YE22'!D:D,'A0.LS'!E31),0)</f>
        <v>-9145280659</v>
      </c>
      <c r="BB31" s="936">
        <f>ROUND(SUM(AZ31:BA31),0)</f>
        <v>0</v>
      </c>
      <c r="BC31" s="937"/>
      <c r="BD31" s="936">
        <f>ROUND(SUMIFS('TB.VNSC.YE22'!L:L,'TB.VNSC.YE22'!A:A,'A0.LS'!E31),0)</f>
        <v>0</v>
      </c>
      <c r="BE31" s="936">
        <f>ROUND(SUMIFS('A5.YE22'!J:J,'A5.YE22'!K:K,'A0.LS'!$BE$5,'A5.YE22'!L:L,"Posted",'A5.YE22'!D:D,'A0.LS'!E31),0)</f>
        <v>0</v>
      </c>
      <c r="BF31" s="936">
        <f>ROUND(SUM(BD31:BE31),0)</f>
        <v>0</v>
      </c>
      <c r="BG31" s="937"/>
      <c r="BH31" s="936">
        <f>ROUND(SUMIFS('TB.XH.YE22'!P:P,'TB.XH.YE22'!A:A,'A0.LS'!E31),0)</f>
        <v>0</v>
      </c>
      <c r="BI31" s="936">
        <f>ROUND(SUMIFS('A5.YE22'!J:J,'A5.YE22'!K:K,"XH",'A5.YE22'!L:L,"Posted",'A5.YE22'!D:D,'A0.LS'!E31),0)</f>
        <v>0</v>
      </c>
      <c r="BJ31" s="936">
        <f>ROUND(SUM(BH31:BI31),0)</f>
        <v>0</v>
      </c>
      <c r="BK31" s="937"/>
      <c r="BL31" s="936">
        <f>ROUND(SUMIFS('TB.KCG.YE22'!P:P,'TB.KCG.YE22'!A:A,'A0.LS'!E31),0)</f>
        <v>0</v>
      </c>
      <c r="BM31" s="936">
        <f>ROUND(SUMIFS('A5.YE22'!J:J,'A5.YE22'!K:K,'A0.LS'!$BM$5,'A5.YE22'!L:L,"Posted",'A5.YE22'!D:D,'A0.LS'!E31),0)</f>
        <v>0</v>
      </c>
      <c r="BN31" s="936">
        <f>ROUND(SUM(BL31:BM31),0)</f>
        <v>0</v>
      </c>
      <c r="BO31" s="937"/>
      <c r="BP31" s="938">
        <f>ROUND(SUM(Q31,BB31,BF31,BJ31,BN31),0)</f>
        <v>0</v>
      </c>
      <c r="BQ31" s="938">
        <f>ROUND(SUMIFS('A5.YE22'!J:J,'A5.YE22'!K:K,'A0.LS'!$BQ$5,'A5.YE22'!L:L,"Posted",'A5.YE22'!D:D,'A0.LS'!E31),0)</f>
        <v>0</v>
      </c>
      <c r="BR31" s="938">
        <f>ROUND(SUM(BP31:BQ31),0)</f>
        <v>0</v>
      </c>
    </row>
    <row r="32" spans="1:70" ht="12.75">
      <c r="A32" s="850"/>
      <c r="B32" s="939">
        <v>123</v>
      </c>
      <c r="C32" s="940" t="s">
        <v>2219</v>
      </c>
      <c r="D32" s="927" t="s">
        <v>2219</v>
      </c>
      <c r="E32" s="928" t="s">
        <v>39</v>
      </c>
      <c r="F32" s="928" t="s">
        <v>40</v>
      </c>
      <c r="G32" s="927" t="s">
        <v>2206</v>
      </c>
      <c r="H32" s="927" t="s">
        <v>675</v>
      </c>
      <c r="I32" s="942">
        <f>SUMIFS('TB.CTy Me.FY2024'!I:I,'TB.CTy Me.FY2024'!A:A,'A0.LS'!E32)</f>
        <v>50382191780</v>
      </c>
      <c r="J32" s="942">
        <f>ROUND(SUMIFS('A5.FY24'!K:K,'A5.FY24'!E:E,'A0.LS'!E32,'A5.FY24'!L:L,"Finhay",'A5.FY24'!M:M,"Posted"),0)</f>
        <v>0</v>
      </c>
      <c r="K32" s="942">
        <f>ROUND(SUMIFS('A5.FY24'!K:K,'A5.FY24'!E:E,'A0.LS'!E32,'A5.FY24'!L:L,"EY",'A5.FY24'!M:M,"Posted"),0)</f>
        <v>65000000000</v>
      </c>
      <c r="L32" s="943">
        <f>ROUND(SUM(I32:K32),0)</f>
        <v>115382191780</v>
      </c>
      <c r="M32" s="930"/>
      <c r="N32" s="944">
        <f>SUMIFS('TB.CTM.YE23'!I:I,'TB.CTM.YE23'!A:A,'A0.LS'!E32)</f>
        <v>392055772960</v>
      </c>
      <c r="O32" s="944">
        <v>21638000</v>
      </c>
      <c r="P32" s="944">
        <v>182394931507</v>
      </c>
      <c r="Q32" s="945">
        <f>ROUND(SUM(N32:P32),0)</f>
        <v>574472342467</v>
      </c>
      <c r="R32" s="898"/>
      <c r="S32" s="848">
        <f>L32-Q32</f>
        <v>-459090150687</v>
      </c>
      <c r="T32" s="946">
        <f>IFERROR(S32/Q32,"To check")</f>
        <v>-0.79915100649666526</v>
      </c>
      <c r="U32" s="850"/>
      <c r="V32" s="850" t="e">
        <v>#N/A</v>
      </c>
      <c r="W32" s="850"/>
      <c r="X32" s="947" t="s">
        <v>676</v>
      </c>
      <c r="Y32" s="947" t="s">
        <v>2206</v>
      </c>
      <c r="Z32" s="936">
        <f>ROUND(SUMIFS('TB.Cty Con.FY24'!I:I,'TB.Cty Con.FY24'!A:A,'A0.LS'!E32),0)</f>
        <v>0</v>
      </c>
      <c r="AA32" s="936">
        <f>ROUND(SUMIFS('A5.CTC FY24'!K:K,'A5.CTC FY24'!E:E,'A0.LS'!E32,'A5.CTC FY24'!A:A,'A0.LS'!$AA$5,'A5.CTC FY24'!L:L,"Finhay",'A5.CTC FY24'!M:M,"Posted"),0)</f>
        <v>0</v>
      </c>
      <c r="AB32" s="936">
        <f>ROUND(SUMIFS('A5.CTC FY24'!K:K,'A5.CTC FY24'!E:E,'A0.LS'!E32,'A5.CTC FY24'!A:A,'A0.LS'!$AB$5,'A5.CTC FY24'!L:L,"EY",'A5.CTC FY24'!M:M,"Posted"),0)</f>
        <v>0</v>
      </c>
      <c r="AC32" s="948">
        <f>ROUND(SUM(Z32:AB32),0)</f>
        <v>0</v>
      </c>
      <c r="AD32" s="930"/>
      <c r="AE32" s="936">
        <f>ROUND(SUMIFS('TB VNSC FY24'!M:M,'TB VNSC FY24'!N:N,'A0.LS'!E32),0)</f>
        <v>0</v>
      </c>
      <c r="AF32" s="936">
        <f>SUMIFS('A5.CTC FY24'!K:K,'A5.CTC FY24'!E:E,'A0.LS'!E32,'A5.CTC FY24'!A:A,"VNSC",'A5.CTC FY24'!L:L,"VNSC",'A5.CTC FY24'!M:M,"Posted")</f>
        <v>0</v>
      </c>
      <c r="AG32" s="936">
        <f>ROUND(SUMIFS('A5.CTC FY24'!K:K,'A5.CTC FY24'!E:E,'A0.LS'!E32,'A5.CTC FY24'!A:A,"VNSC",'A5.CTC FY24'!L:L,"EY",'A5.CTC FY24'!M:M,"Posted"),0)</f>
        <v>0</v>
      </c>
      <c r="AH32" s="936">
        <f>ROUND(SUM(AE32:AG32),0)</f>
        <v>0</v>
      </c>
      <c r="AI32" s="930"/>
      <c r="AJ32" s="936">
        <f>SUMIFS('TB.KCG.FY24'!I:I,'TB.KCG.FY24'!A:A,'A0.LS'!E32)</f>
        <v>0</v>
      </c>
      <c r="AK32" s="936">
        <f>ROUND(SUMIFS('A5.CTC FY24'!K:K,'A5.CTC FY24'!E:E,'A0.LS'!E32,'A5.CTC FY24'!A:A,'A0.LS'!$AK$5,'A5.CTC FY24'!L:L,"EY",'A5.CTC FY24'!M:M,"Posted"),0)</f>
        <v>0</v>
      </c>
      <c r="AL32" s="948">
        <f>ROUND(SUM(AJ32:AK32),0)</f>
        <v>0</v>
      </c>
      <c r="AM32" s="930"/>
      <c r="AN32" s="949">
        <f>ROUND(SUM(AT32,AH32,AC32),0)</f>
        <v>0</v>
      </c>
      <c r="AO32" s="950">
        <f>ROUND(SUMIFS('A5.Consol FY24'!L:L,'A5.Consol FY24'!M:M,"EY",'A5.Consol FY24'!N:N,"Posted",'A5.Consol FY24'!B:B,'A0.LS'!$AO$5,'A5.Consol FY24'!F:F,'A0.LS'!E32),0)</f>
        <v>0</v>
      </c>
      <c r="AP32" s="949">
        <f>ROUND(SUM(AN32:AO32),0)</f>
        <v>0</v>
      </c>
      <c r="AQ32" s="930"/>
      <c r="AR32" s="936">
        <f>ROUND(SUMIFS('TB.XH.FY24'!I:I,'TB.XH.FY24'!J:J,'A0.LS'!E32),0)</f>
        <v>0</v>
      </c>
      <c r="AS32" s="936">
        <f>ROUND(SUMIFS('A5.CTC FY24'!K:K,'A5.CTC FY24'!E:E,'A0.LS'!E32,'A5.CTC FY24'!A:A,'A0.LS'!$AS$5,'A5.CTC FY24'!L:L,"EY",'A5.CTC FY24'!M:M,"Posted"),0)</f>
        <v>0</v>
      </c>
      <c r="AT32" s="948">
        <f>ROUND(SUM(AR32:AS32),0)</f>
        <v>0</v>
      </c>
      <c r="AU32" s="930"/>
      <c r="AV32" s="951">
        <f>ROUND(SUM(AP32,AL32,L32),0)</f>
        <v>115382191780</v>
      </c>
      <c r="AW32" s="952">
        <f>SUMIFS('A5.Consol FY24'!L:L,'A5.Consol FY24'!B:B,'A0.LS'!$AW$5,'A5.Consol FY24'!M:M,"EY",'A5.Consol FY24'!N:N,"Posted",'A5.Consol FY24'!F:F,'A0.LS'!E32)</f>
        <v>0</v>
      </c>
      <c r="AX32" s="951">
        <f>ROUND(SUM(AV32:AW32),0)</f>
        <v>115382191780</v>
      </c>
      <c r="AY32" s="920"/>
      <c r="AZ32" s="936">
        <f>SUMIFS('TB.CTC.YE22'!Q:Q,'TB.CTC.YE22'!A:A,'A0.LS'!E32)</f>
        <v>0</v>
      </c>
      <c r="BA32" s="936">
        <f>ROUND(SUMIFS('A5.YE22'!J:J,'A5.YE22'!K:K,'A0.LS'!$BA$5,'A5.YE22'!L:L,"Posted",'A5.YE22'!D:D,'A0.LS'!E32),0)</f>
        <v>0</v>
      </c>
      <c r="BB32" s="936">
        <f>ROUND(SUM(AZ32:BA32),0)</f>
        <v>0</v>
      </c>
      <c r="BC32" s="937"/>
      <c r="BD32" s="936">
        <f>ROUND(SUMIFS('TB.VNSC.YE22'!L:L,'TB.VNSC.YE22'!A:A,'A0.LS'!E32),0)</f>
        <v>0</v>
      </c>
      <c r="BE32" s="936">
        <f>ROUND(SUMIFS('A5.YE22'!J:J,'A5.YE22'!K:K,'A0.LS'!$BE$5,'A5.YE22'!L:L,"Posted",'A5.YE22'!D:D,'A0.LS'!E32),0)</f>
        <v>0</v>
      </c>
      <c r="BF32" s="936">
        <f>ROUND(SUM(BD32:BE32),0)</f>
        <v>0</v>
      </c>
      <c r="BG32" s="937"/>
      <c r="BH32" s="936">
        <f>ROUND(SUMIFS('TB.XH.YE22'!P:P,'TB.XH.YE22'!A:A,'A0.LS'!E32),0)</f>
        <v>0</v>
      </c>
      <c r="BI32" s="936">
        <f>ROUND(SUMIFS('A5.YE22'!J:J,'A5.YE22'!K:K,"XH",'A5.YE22'!L:L,"Posted",'A5.YE22'!D:D,'A0.LS'!E32),0)</f>
        <v>0</v>
      </c>
      <c r="BJ32" s="936">
        <f>ROUND(SUM(BH32:BI32),0)</f>
        <v>0</v>
      </c>
      <c r="BK32" s="937"/>
      <c r="BL32" s="936">
        <f>ROUND(SUMIFS('TB.KCG.YE22'!P:P,'TB.KCG.YE22'!A:A,'A0.LS'!E32),0)</f>
        <v>0</v>
      </c>
      <c r="BM32" s="936">
        <f>ROUND(SUMIFS('A5.YE22'!J:J,'A5.YE22'!K:K,'A0.LS'!$BM$5,'A5.YE22'!L:L,"Posted",'A5.YE22'!D:D,'A0.LS'!E32),0)</f>
        <v>0</v>
      </c>
      <c r="BN32" s="936">
        <f>ROUND(SUM(BL32:BM32),0)</f>
        <v>0</v>
      </c>
      <c r="BO32" s="937"/>
      <c r="BP32" s="938">
        <f>ROUND(SUM(Q32,BB32,BF32,BJ32,BN32),0)</f>
        <v>574472342467</v>
      </c>
      <c r="BQ32" s="938">
        <f>ROUND(SUMIFS('A5.YE22'!J:J,'A5.YE22'!K:K,'A0.LS'!$BQ$5,'A5.YE22'!L:L,"Posted",'A5.YE22'!D:D,'A0.LS'!E32),0)</f>
        <v>0</v>
      </c>
      <c r="BR32" s="938">
        <f>ROUND(SUM(BP32:BQ32),0)</f>
        <v>574472342467</v>
      </c>
    </row>
    <row r="33" spans="1:71" ht="12.75">
      <c r="A33" s="850"/>
      <c r="B33" s="939">
        <v>123</v>
      </c>
      <c r="C33" s="940" t="s">
        <v>2219</v>
      </c>
      <c r="D33" s="927" t="s">
        <v>2219</v>
      </c>
      <c r="E33" s="928" t="s">
        <v>41</v>
      </c>
      <c r="F33" s="928" t="s">
        <v>42</v>
      </c>
      <c r="G33" s="927" t="s">
        <v>2206</v>
      </c>
      <c r="H33" s="927" t="s">
        <v>675</v>
      </c>
      <c r="I33" s="942">
        <f>SUMIFS('TB.CTy Me.FY2024'!I:I,'TB.CTy Me.FY2024'!A:A,'A0.LS'!E33)</f>
        <v>0</v>
      </c>
      <c r="J33" s="942">
        <f>ROUND(SUMIFS('A5.FY24'!K:K,'A5.FY24'!E:E,'A0.LS'!E33,'A5.FY24'!L:L,"Finhay",'A5.FY24'!M:M,"Posted"),0)</f>
        <v>0</v>
      </c>
      <c r="K33" s="942">
        <f>ROUND(SUMIFS('A5.FY24'!K:K,'A5.FY24'!E:E,'A0.LS'!E33,'A5.FY24'!L:L,"EY",'A5.FY24'!M:M,"Posted"),0)</f>
        <v>0</v>
      </c>
      <c r="L33" s="943">
        <f>ROUND(SUM(I33:K33),0)</f>
        <v>0</v>
      </c>
      <c r="M33" s="930"/>
      <c r="N33" s="944">
        <f>SUMIFS('TB.CTM.YE23'!I:I,'TB.CTM.YE23'!A:A,'A0.LS'!E33)</f>
        <v>0</v>
      </c>
      <c r="O33" s="944">
        <v>0</v>
      </c>
      <c r="P33" s="944">
        <v>0</v>
      </c>
      <c r="Q33" s="945">
        <f>ROUND(SUM(N33:P33),0)</f>
        <v>0</v>
      </c>
      <c r="R33" s="898"/>
      <c r="S33" s="848">
        <f>L33-Q33</f>
        <v>0</v>
      </c>
      <c r="T33" s="946" t="str">
        <f>IFERROR(S33/Q33,"To check")</f>
        <v>To check</v>
      </c>
      <c r="U33" s="850"/>
      <c r="V33" s="850" t="e">
        <v>#N/A</v>
      </c>
      <c r="W33" s="850"/>
      <c r="X33" s="947" t="s">
        <v>676</v>
      </c>
      <c r="Y33" s="947" t="s">
        <v>2206</v>
      </c>
      <c r="Z33" s="936">
        <f>ROUND(SUMIFS('TB.Cty Con.FY24'!I:I,'TB.Cty Con.FY24'!A:A,'A0.LS'!E33),0)</f>
        <v>0</v>
      </c>
      <c r="AA33" s="936">
        <f>ROUND(SUMIFS('A5.CTC FY24'!K:K,'A5.CTC FY24'!E:E,'A0.LS'!E33,'A5.CTC FY24'!A:A,'A0.LS'!$AA$5,'A5.CTC FY24'!L:L,"Finhay",'A5.CTC FY24'!M:M,"Posted"),0)</f>
        <v>0</v>
      </c>
      <c r="AB33" s="936">
        <f>ROUND(SUMIFS('A5.CTC FY24'!K:K,'A5.CTC FY24'!E:E,'A0.LS'!E33,'A5.CTC FY24'!A:A,'A0.LS'!$AB$5,'A5.CTC FY24'!L:L,"EY",'A5.CTC FY24'!M:M,"Posted"),0)</f>
        <v>0</v>
      </c>
      <c r="AC33" s="948">
        <f>ROUND(SUM(Z33:AB33),0)</f>
        <v>0</v>
      </c>
      <c r="AD33" s="930"/>
      <c r="AE33" s="936">
        <f>ROUND(SUMIFS('TB VNSC FY24'!M:M,'TB VNSC FY24'!N:N,'A0.LS'!E33),0)</f>
        <v>0</v>
      </c>
      <c r="AF33" s="936">
        <f>SUMIFS('A5.CTC FY24'!K:K,'A5.CTC FY24'!E:E,'A0.LS'!E33,'A5.CTC FY24'!A:A,"VNSC",'A5.CTC FY24'!L:L,"VNSC",'A5.CTC FY24'!M:M,"Posted")</f>
        <v>0</v>
      </c>
      <c r="AG33" s="936">
        <f>ROUND(SUMIFS('A5.CTC FY24'!K:K,'A5.CTC FY24'!E:E,'A0.LS'!E33,'A5.CTC FY24'!A:A,"VNSC",'A5.CTC FY24'!L:L,"EY",'A5.CTC FY24'!M:M,"Posted"),0)</f>
        <v>0</v>
      </c>
      <c r="AH33" s="936">
        <f>ROUND(SUM(AE33:AG33),0)</f>
        <v>0</v>
      </c>
      <c r="AI33" s="930"/>
      <c r="AJ33" s="936">
        <f>SUMIFS('TB.KCG.FY24'!I:I,'TB.KCG.FY24'!A:A,'A0.LS'!E33)</f>
        <v>0</v>
      </c>
      <c r="AK33" s="936">
        <f>ROUND(SUMIFS('A5.CTC FY24'!K:K,'A5.CTC FY24'!E:E,'A0.LS'!E33,'A5.CTC FY24'!A:A,'A0.LS'!$AK$5,'A5.CTC FY24'!L:L,"EY",'A5.CTC FY24'!M:M,"Posted"),0)</f>
        <v>0</v>
      </c>
      <c r="AL33" s="948">
        <f>ROUND(SUM(AJ33:AK33),0)</f>
        <v>0</v>
      </c>
      <c r="AM33" s="930"/>
      <c r="AN33" s="949">
        <f>ROUND(SUM(AT33,AH33,AC33),0)</f>
        <v>0</v>
      </c>
      <c r="AO33" s="950">
        <f>ROUND(SUMIFS('A5.Consol FY24'!L:L,'A5.Consol FY24'!M:M,"EY",'A5.Consol FY24'!N:N,"Posted",'A5.Consol FY24'!B:B,'A0.LS'!$AO$5,'A5.Consol FY24'!F:F,'A0.LS'!E33),0)</f>
        <v>0</v>
      </c>
      <c r="AP33" s="949">
        <f>ROUND(SUM(AN33:AO33),0)</f>
        <v>0</v>
      </c>
      <c r="AQ33" s="930"/>
      <c r="AR33" s="936">
        <f>ROUND(SUMIFS('TB.XH.FY24'!I:I,'TB.XH.FY24'!J:J,'A0.LS'!E33),0)</f>
        <v>0</v>
      </c>
      <c r="AS33" s="936">
        <f>ROUND(SUMIFS('A5.CTC FY24'!K:K,'A5.CTC FY24'!E:E,'A0.LS'!E33,'A5.CTC FY24'!A:A,'A0.LS'!$AS$5,'A5.CTC FY24'!L:L,"EY",'A5.CTC FY24'!M:M,"Posted"),0)</f>
        <v>0</v>
      </c>
      <c r="AT33" s="948">
        <f>ROUND(SUM(AR33:AS33),0)</f>
        <v>0</v>
      </c>
      <c r="AU33" s="930"/>
      <c r="AV33" s="951">
        <f>ROUND(SUM(AP33,AL33,L33),0)</f>
        <v>0</v>
      </c>
      <c r="AW33" s="952">
        <f>SUMIFS('A5.Consol FY24'!L:L,'A5.Consol FY24'!B:B,'A0.LS'!$AW$5,'A5.Consol FY24'!M:M,"EY",'A5.Consol FY24'!N:N,"Posted",'A5.Consol FY24'!F:F,'A0.LS'!E33)</f>
        <v>0</v>
      </c>
      <c r="AX33" s="951">
        <f>ROUND(SUM(AV33:AW33),0)</f>
        <v>0</v>
      </c>
      <c r="AY33" s="920"/>
      <c r="AZ33" s="936">
        <f>SUMIFS('TB.CTC.YE22'!Q:Q,'TB.CTC.YE22'!A:A,'A0.LS'!E33)</f>
        <v>0</v>
      </c>
      <c r="BA33" s="936">
        <f>ROUND(SUMIFS('A5.YE22'!J:J,'A5.YE22'!K:K,'A0.LS'!$BA$5,'A5.YE22'!L:L,"Posted",'A5.YE22'!D:D,'A0.LS'!E33),0)</f>
        <v>0</v>
      </c>
      <c r="BB33" s="936">
        <f>ROUND(SUM(AZ33:BA33),0)</f>
        <v>0</v>
      </c>
      <c r="BC33" s="937"/>
      <c r="BD33" s="936">
        <f>ROUND(SUMIFS('TB.VNSC.YE22'!L:L,'TB.VNSC.YE22'!A:A,'A0.LS'!E33),0)</f>
        <v>0</v>
      </c>
      <c r="BE33" s="936">
        <f>ROUND(SUMIFS('A5.YE22'!J:J,'A5.YE22'!K:K,'A0.LS'!$BE$5,'A5.YE22'!L:L,"Posted",'A5.YE22'!D:D,'A0.LS'!E33),0)</f>
        <v>0</v>
      </c>
      <c r="BF33" s="936">
        <f>ROUND(SUM(BD33:BE33),0)</f>
        <v>0</v>
      </c>
      <c r="BG33" s="937"/>
      <c r="BH33" s="936">
        <f>ROUND(SUMIFS('TB.XH.YE22'!P:P,'TB.XH.YE22'!A:A,'A0.LS'!E33),0)</f>
        <v>0</v>
      </c>
      <c r="BI33" s="936">
        <f>ROUND(SUMIFS('A5.YE22'!J:J,'A5.YE22'!K:K,"XH",'A5.YE22'!L:L,"Posted",'A5.YE22'!D:D,'A0.LS'!E33),0)</f>
        <v>0</v>
      </c>
      <c r="BJ33" s="936">
        <f>ROUND(SUM(BH33:BI33),0)</f>
        <v>0</v>
      </c>
      <c r="BK33" s="937"/>
      <c r="BL33" s="936">
        <f>ROUND(SUMIFS('TB.KCG.YE22'!P:P,'TB.KCG.YE22'!A:A,'A0.LS'!E33),0)</f>
        <v>0</v>
      </c>
      <c r="BM33" s="936">
        <f>ROUND(SUMIFS('A5.YE22'!J:J,'A5.YE22'!K:K,'A0.LS'!$BM$5,'A5.YE22'!L:L,"Posted",'A5.YE22'!D:D,'A0.LS'!E33),0)</f>
        <v>0</v>
      </c>
      <c r="BN33" s="936">
        <f>ROUND(SUM(BL33:BM33),0)</f>
        <v>0</v>
      </c>
      <c r="BO33" s="937"/>
      <c r="BP33" s="938">
        <f>ROUND(SUM(Q33,BB33,BF33,BJ33,BN33),0)</f>
        <v>0</v>
      </c>
      <c r="BQ33" s="938">
        <f>ROUND(SUMIFS('A5.YE22'!J:J,'A5.YE22'!K:K,'A0.LS'!$BQ$5,'A5.YE22'!L:L,"Posted",'A5.YE22'!D:D,'A0.LS'!E33),0)</f>
        <v>0</v>
      </c>
      <c r="BR33" s="938">
        <f>ROUND(SUM(BP33:BQ33),0)</f>
        <v>0</v>
      </c>
      <c r="BS33" s="850"/>
    </row>
    <row r="34" spans="1:71" ht="12.75">
      <c r="A34" s="850"/>
      <c r="B34" s="939">
        <v>123</v>
      </c>
      <c r="C34" s="940" t="s">
        <v>2219</v>
      </c>
      <c r="D34" s="927" t="s">
        <v>2219</v>
      </c>
      <c r="E34" s="928" t="s">
        <v>43</v>
      </c>
      <c r="F34" s="928" t="s">
        <v>44</v>
      </c>
      <c r="G34" s="927" t="s">
        <v>2206</v>
      </c>
      <c r="H34" s="927" t="s">
        <v>675</v>
      </c>
      <c r="I34" s="942">
        <f>SUMIFS('TB.CTy Me.FY2024'!I:I,'TB.CTy Me.FY2024'!A:A,'A0.LS'!E34)</f>
        <v>30000000000</v>
      </c>
      <c r="J34" s="942">
        <f>ROUND(SUMIFS('A5.FY24'!K:K,'A5.FY24'!E:E,'A0.LS'!E34,'A5.FY24'!L:L,"Finhay",'A5.FY24'!M:M,"Posted"),0)</f>
        <v>0</v>
      </c>
      <c r="K34" s="942">
        <f>ROUND(SUMIFS('A5.FY24'!K:K,'A5.FY24'!E:E,'A0.LS'!E34,'A5.FY24'!L:L,"EY",'A5.FY24'!M:M,"Posted"),0)</f>
        <v>-30000000000</v>
      </c>
      <c r="L34" s="943">
        <f>ROUND(SUM(I34:K34),0)</f>
        <v>0</v>
      </c>
      <c r="M34" s="930"/>
      <c r="N34" s="944">
        <f>SUMIFS('TB.CTM.YE23'!I:I,'TB.CTM.YE23'!A:A,'A0.LS'!E34)</f>
        <v>15010000000</v>
      </c>
      <c r="O34" s="944">
        <v>0</v>
      </c>
      <c r="P34" s="944">
        <v>-15010000000</v>
      </c>
      <c r="Q34" s="945">
        <f>ROUND(SUM(N34:P34),0)</f>
        <v>0</v>
      </c>
      <c r="R34" s="898"/>
      <c r="S34" s="848">
        <f>L34-Q34</f>
        <v>0</v>
      </c>
      <c r="T34" s="946" t="str">
        <f>IFERROR(S34/Q34,"To check")</f>
        <v>To check</v>
      </c>
      <c r="U34" s="850"/>
      <c r="V34" s="850" t="e">
        <v>#N/A</v>
      </c>
      <c r="W34" s="850"/>
      <c r="X34" s="947" t="s">
        <v>676</v>
      </c>
      <c r="Y34" s="947" t="s">
        <v>2206</v>
      </c>
      <c r="Z34" s="936">
        <f>ROUND(SUMIFS('TB.Cty Con.FY24'!I:I,'TB.Cty Con.FY24'!A:A,'A0.LS'!E34),0)</f>
        <v>0</v>
      </c>
      <c r="AA34" s="936">
        <f>ROUND(SUMIFS('A5.CTC FY24'!K:K,'A5.CTC FY24'!E:E,'A0.LS'!E34,'A5.CTC FY24'!A:A,'A0.LS'!$AA$5,'A5.CTC FY24'!L:L,"Finhay",'A5.CTC FY24'!M:M,"Posted"),0)</f>
        <v>0</v>
      </c>
      <c r="AB34" s="936">
        <f>ROUND(SUMIFS('A5.CTC FY24'!K:K,'A5.CTC FY24'!E:E,'A0.LS'!E34,'A5.CTC FY24'!A:A,'A0.LS'!$AB$5,'A5.CTC FY24'!L:L,"EY",'A5.CTC FY24'!M:M,"Posted"),0)</f>
        <v>0</v>
      </c>
      <c r="AC34" s="948">
        <f>ROUND(SUM(Z34:AB34),0)</f>
        <v>0</v>
      </c>
      <c r="AD34" s="930"/>
      <c r="AE34" s="936">
        <f>ROUND(SUMIFS('TB VNSC FY24'!M:M,'TB VNSC FY24'!N:N,'A0.LS'!E34),0)</f>
        <v>0</v>
      </c>
      <c r="AF34" s="936">
        <f>SUMIFS('A5.CTC FY24'!K:K,'A5.CTC FY24'!E:E,'A0.LS'!E34,'A5.CTC FY24'!A:A,"VNSC",'A5.CTC FY24'!L:L,"VNSC",'A5.CTC FY24'!M:M,"Posted")</f>
        <v>0</v>
      </c>
      <c r="AG34" s="936">
        <f>ROUND(SUMIFS('A5.CTC FY24'!K:K,'A5.CTC FY24'!E:E,'A0.LS'!E34,'A5.CTC FY24'!A:A,"VNSC",'A5.CTC FY24'!L:L,"EY",'A5.CTC FY24'!M:M,"Posted"),0)</f>
        <v>0</v>
      </c>
      <c r="AH34" s="936">
        <f>ROUND(SUM(AE34:AG34),0)</f>
        <v>0</v>
      </c>
      <c r="AI34" s="930"/>
      <c r="AJ34" s="936">
        <f>SUMIFS('TB.KCG.FY24'!I:I,'TB.KCG.FY24'!A:A,'A0.LS'!E34)</f>
        <v>0</v>
      </c>
      <c r="AK34" s="936">
        <f>ROUND(SUMIFS('A5.CTC FY24'!K:K,'A5.CTC FY24'!E:E,'A0.LS'!E34,'A5.CTC FY24'!A:A,'A0.LS'!$AK$5,'A5.CTC FY24'!L:L,"EY",'A5.CTC FY24'!M:M,"Posted"),0)</f>
        <v>0</v>
      </c>
      <c r="AL34" s="948">
        <f>ROUND(SUM(AJ34:AK34),0)</f>
        <v>0</v>
      </c>
      <c r="AM34" s="930"/>
      <c r="AN34" s="949">
        <f>ROUND(SUM(AT34,AH34,AC34),0)</f>
        <v>0</v>
      </c>
      <c r="AO34" s="950">
        <f>ROUND(SUMIFS('A5.Consol FY24'!L:L,'A5.Consol FY24'!M:M,"EY",'A5.Consol FY24'!N:N,"Posted",'A5.Consol FY24'!B:B,'A0.LS'!$AO$5,'A5.Consol FY24'!F:F,'A0.LS'!E34),0)</f>
        <v>0</v>
      </c>
      <c r="AP34" s="949">
        <f>ROUND(SUM(AN34:AO34),0)</f>
        <v>0</v>
      </c>
      <c r="AQ34" s="930"/>
      <c r="AR34" s="936">
        <f>ROUND(SUMIFS('TB.XH.FY24'!I:I,'TB.XH.FY24'!J:J,'A0.LS'!E34),0)</f>
        <v>0</v>
      </c>
      <c r="AS34" s="936">
        <f>ROUND(SUMIFS('A5.CTC FY24'!K:K,'A5.CTC FY24'!E:E,'A0.LS'!E34,'A5.CTC FY24'!A:A,'A0.LS'!$AS$5,'A5.CTC FY24'!L:L,"EY",'A5.CTC FY24'!M:M,"Posted"),0)</f>
        <v>0</v>
      </c>
      <c r="AT34" s="948">
        <f>ROUND(SUM(AR34:AS34),0)</f>
        <v>0</v>
      </c>
      <c r="AU34" s="930"/>
      <c r="AV34" s="951">
        <f>ROUND(SUM(AP34,AL34,L34),0)</f>
        <v>0</v>
      </c>
      <c r="AW34" s="952">
        <f>SUMIFS('A5.Consol FY24'!L:L,'A5.Consol FY24'!B:B,'A0.LS'!$AW$5,'A5.Consol FY24'!M:M,"EY",'A5.Consol FY24'!N:N,"Posted",'A5.Consol FY24'!F:F,'A0.LS'!E34)</f>
        <v>0</v>
      </c>
      <c r="AX34" s="951">
        <f>ROUND(SUM(AV34:AW34),0)</f>
        <v>0</v>
      </c>
      <c r="AY34" s="920"/>
      <c r="AZ34" s="936">
        <f>SUMIFS('TB.CTC.YE22'!Q:Q,'TB.CTC.YE22'!A:A,'A0.LS'!E34)</f>
        <v>0</v>
      </c>
      <c r="BA34" s="936">
        <f>ROUND(SUMIFS('A5.YE22'!J:J,'A5.YE22'!K:K,'A0.LS'!$BA$5,'A5.YE22'!L:L,"Posted",'A5.YE22'!D:D,'A0.LS'!E34),0)</f>
        <v>0</v>
      </c>
      <c r="BB34" s="936">
        <f>ROUND(SUM(AZ34:BA34),0)</f>
        <v>0</v>
      </c>
      <c r="BC34" s="937"/>
      <c r="BD34" s="936">
        <f>ROUND(SUMIFS('TB.VNSC.YE22'!L:L,'TB.VNSC.YE22'!A:A,'A0.LS'!E34),0)</f>
        <v>0</v>
      </c>
      <c r="BE34" s="936">
        <f>ROUND(SUMIFS('A5.YE22'!J:J,'A5.YE22'!K:K,'A0.LS'!$BE$5,'A5.YE22'!L:L,"Posted",'A5.YE22'!D:D,'A0.LS'!E34),0)</f>
        <v>0</v>
      </c>
      <c r="BF34" s="936">
        <f>ROUND(SUM(BD34:BE34),0)</f>
        <v>0</v>
      </c>
      <c r="BG34" s="937"/>
      <c r="BH34" s="936">
        <f>ROUND(SUMIFS('TB.XH.YE22'!P:P,'TB.XH.YE22'!A:A,'A0.LS'!E34),0)</f>
        <v>0</v>
      </c>
      <c r="BI34" s="936">
        <f>ROUND(SUMIFS('A5.YE22'!J:J,'A5.YE22'!K:K,"XH",'A5.YE22'!L:L,"Posted",'A5.YE22'!D:D,'A0.LS'!E34),0)</f>
        <v>0</v>
      </c>
      <c r="BJ34" s="936">
        <f>ROUND(SUM(BH34:BI34),0)</f>
        <v>0</v>
      </c>
      <c r="BK34" s="937"/>
      <c r="BL34" s="936">
        <f>ROUND(SUMIFS('TB.KCG.YE22'!P:P,'TB.KCG.YE22'!A:A,'A0.LS'!E34),0)</f>
        <v>0</v>
      </c>
      <c r="BM34" s="936">
        <f>ROUND(SUMIFS('A5.YE22'!J:J,'A5.YE22'!K:K,'A0.LS'!$BM$5,'A5.YE22'!L:L,"Posted",'A5.YE22'!D:D,'A0.LS'!E34),0)</f>
        <v>0</v>
      </c>
      <c r="BN34" s="936">
        <f>ROUND(SUM(BL34:BM34),0)</f>
        <v>0</v>
      </c>
      <c r="BO34" s="937"/>
      <c r="BP34" s="938">
        <f>ROUND(SUM(Q34,BB34,BF34,BJ34,BN34),0)</f>
        <v>0</v>
      </c>
      <c r="BQ34" s="938">
        <f>ROUND(SUMIFS('A5.YE22'!J:J,'A5.YE22'!K:K,'A0.LS'!$BQ$5,'A5.YE22'!L:L,"Posted",'A5.YE22'!D:D,'A0.LS'!E34),0)</f>
        <v>0</v>
      </c>
      <c r="BR34" s="938">
        <f>ROUND(SUM(BP34:BQ34),0)</f>
        <v>0</v>
      </c>
      <c r="BS34" s="850"/>
    </row>
    <row r="35" spans="1:71" ht="12.75">
      <c r="A35" s="850"/>
      <c r="B35" s="939">
        <v>123</v>
      </c>
      <c r="C35" s="940" t="s">
        <v>2220</v>
      </c>
      <c r="D35" s="927" t="s">
        <v>2220</v>
      </c>
      <c r="E35" s="954" t="s">
        <v>45</v>
      </c>
      <c r="F35" s="928" t="s">
        <v>46</v>
      </c>
      <c r="G35" s="927" t="s">
        <v>2221</v>
      </c>
      <c r="H35" s="927" t="s">
        <v>2222</v>
      </c>
      <c r="I35" s="942">
        <f>SUMIFS('TB.CTy Me.FY2024'!I:I,'TB.CTy Me.FY2024'!A:A,'A0.LS'!E35)</f>
        <v>0</v>
      </c>
      <c r="J35" s="942">
        <f>ROUND(SUMIFS('A5.FY24'!K:K,'A5.FY24'!E:E,'A0.LS'!E35,'A5.FY24'!L:L,"Finhay",'A5.FY24'!M:M,"Posted"),0)</f>
        <v>0</v>
      </c>
      <c r="K35" s="942">
        <f>ROUND(SUMIFS('A5.FY24'!K:K,'A5.FY24'!E:E,'A0.LS'!E35,'A5.FY24'!L:L,"EY",'A5.FY24'!M:M,"Posted"),0)</f>
        <v>0</v>
      </c>
      <c r="L35" s="943">
        <f>ROUND(SUM(I35:K35),0)</f>
        <v>0</v>
      </c>
      <c r="M35" s="930"/>
      <c r="N35" s="944">
        <f>SUMIFS('TB.CTM.YE23'!I:I,'TB.CTM.YE23'!A:A,'A0.LS'!E35)</f>
        <v>0</v>
      </c>
      <c r="O35" s="944">
        <v>0</v>
      </c>
      <c r="P35" s="944">
        <v>0</v>
      </c>
      <c r="Q35" s="945">
        <f>ROUND(SUM(N35:P35),0)</f>
        <v>0</v>
      </c>
      <c r="R35" s="898"/>
      <c r="S35" s="848"/>
      <c r="T35" s="946"/>
      <c r="U35" s="850"/>
      <c r="V35" s="850" t="s">
        <v>2223</v>
      </c>
      <c r="W35" s="850"/>
      <c r="X35" s="947" t="s">
        <v>676</v>
      </c>
      <c r="Y35" s="947" t="s">
        <v>2206</v>
      </c>
      <c r="Z35" s="936">
        <f>ROUND(SUMIFS('TB.Cty Con.FY24'!I:I,'TB.Cty Con.FY24'!A:A,'A0.LS'!E35),0)</f>
        <v>4500000000</v>
      </c>
      <c r="AA35" s="936">
        <f>ROUND(SUMIFS('A5.CTC FY24'!K:K,'A5.CTC FY24'!E:E,'A0.LS'!E35,'A5.CTC FY24'!A:A,'A0.LS'!$AA$5,'A5.CTC FY24'!L:L,"Finhay",'A5.CTC FY24'!M:M,"Posted"),0)</f>
        <v>0</v>
      </c>
      <c r="AB35" s="936">
        <f>ROUND(SUMIFS('A5.CTC FY24'!K:K,'A5.CTC FY24'!E:E,'A0.LS'!E35,'A5.CTC FY24'!A:A,'A0.LS'!$AB$5,'A5.CTC FY24'!L:L,"EY",'A5.CTC FY24'!M:M,"Posted"),0)</f>
        <v>0</v>
      </c>
      <c r="AC35" s="948">
        <f>ROUND(SUM(Z35:AB35),0)</f>
        <v>4500000000</v>
      </c>
      <c r="AD35" s="930"/>
      <c r="AE35" s="936">
        <f>ROUND(SUMIFS('TB VNSC FY24'!M:M,'TB VNSC FY24'!N:N,'A0.LS'!E35),0)</f>
        <v>105834818593</v>
      </c>
      <c r="AF35" s="936">
        <f>SUMIFS('A5.CTC FY24'!K:K,'A5.CTC FY24'!E:E,'A0.LS'!E35,'A5.CTC FY24'!A:A,"VNSC",'A5.CTC FY24'!L:L,"VNSC",'A5.CTC FY24'!M:M,"Posted")</f>
        <v>0</v>
      </c>
      <c r="AG35" s="936">
        <f>ROUND(SUMIFS('A5.CTC FY24'!K:K,'A5.CTC FY24'!E:E,'A0.LS'!E35,'A5.CTC FY24'!A:A,"VNSC",'A5.CTC FY24'!L:L,"EY",'A5.CTC FY24'!M:M,"Posted"),0)</f>
        <v>0</v>
      </c>
      <c r="AH35" s="936">
        <f>ROUND(SUM(AE35:AG35),0)</f>
        <v>105834818593</v>
      </c>
      <c r="AI35" s="930"/>
      <c r="AJ35" s="936">
        <f>SUMIFS('TB.KCG.FY24'!I:I,'TB.KCG.FY24'!A:A,'A0.LS'!E35)</f>
        <v>0</v>
      </c>
      <c r="AK35" s="936">
        <f>ROUND(SUMIFS('A5.CTC FY24'!K:K,'A5.CTC FY24'!E:E,'A0.LS'!E35,'A5.CTC FY24'!A:A,'A0.LS'!$AK$5,'A5.CTC FY24'!L:L,"EY",'A5.CTC FY24'!M:M,"Posted"),0)</f>
        <v>0</v>
      </c>
      <c r="AL35" s="948">
        <f>ROUND(SUM(AJ35:AK35),0)</f>
        <v>0</v>
      </c>
      <c r="AM35" s="930"/>
      <c r="AN35" s="949">
        <f>ROUND(SUM(AT35,AH35,AC35),0)</f>
        <v>110334818593</v>
      </c>
      <c r="AO35" s="950">
        <f>ROUND(SUMIFS('A5.Consol FY24'!L:L,'A5.Consol FY24'!M:M,"EY",'A5.Consol FY24'!N:N,"Posted",'A5.Consol FY24'!B:B,'A0.LS'!$AO$5,'A5.Consol FY24'!F:F,'A0.LS'!E35),0)</f>
        <v>0</v>
      </c>
      <c r="AP35" s="949">
        <f>ROUND(SUM(AN35:AO35),0)</f>
        <v>110334818593</v>
      </c>
      <c r="AQ35" s="930" t="s">
        <v>1247</v>
      </c>
      <c r="AR35" s="936">
        <f>ROUND(SUMIFS('TB.XH.FY24'!I:I,'TB.XH.FY24'!J:J,'A0.LS'!E35),0)</f>
        <v>0</v>
      </c>
      <c r="AS35" s="936">
        <f>ROUND(SUMIFS('A5.CTC FY24'!K:K,'A5.CTC FY24'!E:E,'A0.LS'!E35,'A5.CTC FY24'!A:A,'A0.LS'!$AS$5,'A5.CTC FY24'!L:L,"EY",'A5.CTC FY24'!M:M,"Posted"),0)</f>
        <v>0</v>
      </c>
      <c r="AT35" s="948">
        <f>ROUND(SUM(AR35:AS35),0)</f>
        <v>0</v>
      </c>
      <c r="AU35" s="930"/>
      <c r="AV35" s="951">
        <f>ROUND(SUM(AP35,AL35,L35),0)</f>
        <v>110334818593</v>
      </c>
      <c r="AW35" s="952">
        <f>SUMIFS('A5.Consol FY24'!L:L,'A5.Consol FY24'!B:B,'A0.LS'!$AW$5,'A5.Consol FY24'!M:M,"EY",'A5.Consol FY24'!N:N,"Posted",'A5.Consol FY24'!F:F,'A0.LS'!E35)</f>
        <v>-4500000000</v>
      </c>
      <c r="AX35" s="951">
        <f>ROUND(SUM(AV35:AW35),0)</f>
        <v>105834818593</v>
      </c>
      <c r="AY35" s="920"/>
      <c r="AZ35" s="936">
        <f>SUMIFS('TB.CTC.YE22'!Q:Q,'TB.CTC.YE22'!A:A,'A0.LS'!E35)</f>
        <v>0</v>
      </c>
      <c r="BA35" s="936">
        <f>ROUND(SUMIFS('A5.YE22'!J:J,'A5.YE22'!K:K,'A0.LS'!$BA$5,'A5.YE22'!L:L,"Posted",'A5.YE22'!D:D,'A0.LS'!E35),0)</f>
        <v>0</v>
      </c>
      <c r="BB35" s="936">
        <f>ROUND(SUM(AZ35:BA35),0)</f>
        <v>0</v>
      </c>
      <c r="BC35" s="937"/>
      <c r="BD35" s="936">
        <f>ROUND(SUMIFS('TB.VNSC.YE22'!L:L,'TB.VNSC.YE22'!A:A,'A0.LS'!E35),0)</f>
        <v>0</v>
      </c>
      <c r="BE35" s="936">
        <f>ROUND(SUMIFS('A5.YE22'!J:J,'A5.YE22'!K:K,'A0.LS'!$BE$5,'A5.YE22'!L:L,"Posted",'A5.YE22'!D:D,'A0.LS'!E35),0)</f>
        <v>0</v>
      </c>
      <c r="BF35" s="936">
        <f>ROUND(SUM(BD35:BE35),0)</f>
        <v>0</v>
      </c>
      <c r="BG35" s="937"/>
      <c r="BH35" s="936">
        <f>ROUND(SUMIFS('TB.XH.YE22'!P:P,'TB.XH.YE22'!A:A,'A0.LS'!E35),0)</f>
        <v>0</v>
      </c>
      <c r="BI35" s="936">
        <f>ROUND(SUMIFS('A5.YE22'!J:J,'A5.YE22'!K:K,"XH",'A5.YE22'!L:L,"Posted",'A5.YE22'!D:D,'A0.LS'!E35),0)</f>
        <v>0</v>
      </c>
      <c r="BJ35" s="936">
        <f>ROUND(SUM(BH35:BI35),0)</f>
        <v>0</v>
      </c>
      <c r="BK35" s="937"/>
      <c r="BL35" s="936">
        <f>ROUND(SUMIFS('TB.KCG.YE22'!P:P,'TB.KCG.YE22'!A:A,'A0.LS'!E35),0)</f>
        <v>0</v>
      </c>
      <c r="BM35" s="936">
        <f>ROUND(SUMIFS('A5.YE22'!J:J,'A5.YE22'!K:K,'A0.LS'!$BM$5,'A5.YE22'!L:L,"Posted",'A5.YE22'!D:D,'A0.LS'!E35),0)</f>
        <v>0</v>
      </c>
      <c r="BN35" s="936">
        <f>ROUND(SUM(BL35:BM35),0)</f>
        <v>0</v>
      </c>
      <c r="BO35" s="937"/>
      <c r="BP35" s="938">
        <v>62892816295</v>
      </c>
      <c r="BQ35" s="938">
        <f>ROUND(SUMIFS('A5.YE22'!J:J,'A5.YE22'!K:K,'A0.LS'!$BQ$5,'A5.YE22'!L:L,"Posted",'A5.YE22'!D:D,'A0.LS'!E35),0)</f>
        <v>0</v>
      </c>
      <c r="BR35" s="938">
        <f>ROUND(SUM(BP35:BQ35),0)</f>
        <v>62892816295</v>
      </c>
      <c r="BS35" s="850"/>
    </row>
    <row r="36" spans="1:71" ht="12.75">
      <c r="A36" s="850"/>
      <c r="B36" s="939"/>
      <c r="C36" s="940"/>
      <c r="D36" s="927"/>
      <c r="E36" s="928"/>
      <c r="F36" s="928"/>
      <c r="G36" s="927"/>
      <c r="H36" s="927"/>
      <c r="I36" s="942"/>
      <c r="J36" s="942"/>
      <c r="K36" s="942"/>
      <c r="L36" s="943"/>
      <c r="M36" s="930"/>
      <c r="N36" s="944"/>
      <c r="O36" s="944"/>
      <c r="P36" s="944"/>
      <c r="Q36" s="945"/>
      <c r="R36" s="898"/>
      <c r="S36" s="850"/>
      <c r="T36" s="850"/>
      <c r="U36" s="850"/>
      <c r="V36" s="850"/>
      <c r="W36" s="850"/>
      <c r="X36" s="947" t="s">
        <v>676</v>
      </c>
      <c r="Y36" s="933"/>
      <c r="Z36" s="934"/>
      <c r="AA36" s="934"/>
      <c r="AB36" s="934"/>
      <c r="AC36" s="934"/>
      <c r="AD36" s="930"/>
      <c r="AE36" s="934"/>
      <c r="AF36" s="934"/>
      <c r="AG36" s="934"/>
      <c r="AH36" s="934"/>
      <c r="AI36" s="930"/>
      <c r="AJ36" s="934"/>
      <c r="AK36" s="934"/>
      <c r="AL36" s="934"/>
      <c r="AM36" s="930"/>
      <c r="AN36" s="935"/>
      <c r="AO36" s="935"/>
      <c r="AP36" s="935"/>
      <c r="AQ36" s="930"/>
      <c r="AR36" s="934"/>
      <c r="AS36" s="934"/>
      <c r="AT36" s="934"/>
      <c r="AU36" s="930"/>
      <c r="AV36" s="909"/>
      <c r="AW36" s="909"/>
      <c r="AX36" s="909"/>
      <c r="AY36" s="920"/>
      <c r="AZ36" s="936"/>
      <c r="BA36" s="936"/>
      <c r="BB36" s="936"/>
      <c r="BC36" s="937"/>
      <c r="BD36" s="936"/>
      <c r="BE36" s="936"/>
      <c r="BF36" s="936"/>
      <c r="BG36" s="937"/>
      <c r="BH36" s="936"/>
      <c r="BI36" s="936"/>
      <c r="BJ36" s="936"/>
      <c r="BK36" s="937"/>
      <c r="BL36" s="936"/>
      <c r="BM36" s="936"/>
      <c r="BN36" s="936"/>
      <c r="BO36" s="937"/>
      <c r="BP36" s="938"/>
      <c r="BQ36" s="938"/>
      <c r="BR36" s="938"/>
      <c r="BS36" s="850"/>
    </row>
    <row r="37" spans="1:71" s="1" customFormat="1" ht="12.75">
      <c r="B37" s="293"/>
      <c r="C37" s="294"/>
      <c r="D37" s="295"/>
      <c r="E37" s="75"/>
      <c r="F37" s="75" t="s">
        <v>2224</v>
      </c>
      <c r="G37" s="75"/>
      <c r="H37" s="295"/>
      <c r="I37" s="68">
        <f>SUM(I38:I39)</f>
        <v>201848975</v>
      </c>
      <c r="J37" s="68">
        <f>SUM(J38:J39)</f>
        <v>55998689</v>
      </c>
      <c r="K37" s="68">
        <f>SUM(K38:K39)</f>
        <v>0</v>
      </c>
      <c r="L37" s="68">
        <f>SUM(L38:L39)</f>
        <v>257847664</v>
      </c>
      <c r="M37" s="296"/>
      <c r="N37" s="69">
        <f>SUM(N38:N39)</f>
        <v>56978048</v>
      </c>
      <c r="O37" s="69">
        <f>SUM(O38:O39)</f>
        <v>0</v>
      </c>
      <c r="P37" s="69">
        <f>SUM(P38:P39)</f>
        <v>0</v>
      </c>
      <c r="Q37" s="70">
        <f>SUM(Q38:Q39)</f>
        <v>56978048</v>
      </c>
      <c r="R37" s="298"/>
      <c r="S37" s="175">
        <f>L37-Q37</f>
        <v>200869616</v>
      </c>
      <c r="T37" s="176">
        <f>IFERROR(S37/Q37,"To check")</f>
        <v>3.5253860574514593</v>
      </c>
      <c r="V37" s="1">
        <v>0</v>
      </c>
      <c r="X37" s="933"/>
      <c r="Y37" s="304"/>
      <c r="Z37" s="235">
        <f>SUM(Z38:Z39)</f>
        <v>0</v>
      </c>
      <c r="AA37" s="235">
        <f>SUM(AA38:AA39)</f>
        <v>0</v>
      </c>
      <c r="AB37" s="235">
        <f>SUM(AB38:AB39)</f>
        <v>0</v>
      </c>
      <c r="AC37" s="235">
        <f>SUM(AC38:AC39)</f>
        <v>0</v>
      </c>
      <c r="AD37" s="236"/>
      <c r="AE37" s="235">
        <f>SUM(AE38:AE39)</f>
        <v>0</v>
      </c>
      <c r="AF37" s="235">
        <f>SUM(AF38:AF39)</f>
        <v>0</v>
      </c>
      <c r="AG37" s="235">
        <f>SUM(AG38:AG39)</f>
        <v>1828000000</v>
      </c>
      <c r="AH37" s="235">
        <f>SUM(AH38:AH39)</f>
        <v>1828000000</v>
      </c>
      <c r="AI37" s="236"/>
      <c r="AJ37" s="235">
        <f>SUM(AJ38:AJ39)</f>
        <v>0</v>
      </c>
      <c r="AK37" s="235">
        <f>SUM(AK38:AK39)</f>
        <v>0</v>
      </c>
      <c r="AL37" s="235">
        <f>SUM(AL38:AL39)</f>
        <v>0</v>
      </c>
      <c r="AM37" s="236"/>
      <c r="AN37" s="237">
        <f>SUM(AN38:AN39)</f>
        <v>1828000000</v>
      </c>
      <c r="AO37" s="237">
        <f>SUM(AO38:AO39)</f>
        <v>0</v>
      </c>
      <c r="AP37" s="237">
        <f>SUM(AP38:AP39)</f>
        <v>1828000000</v>
      </c>
      <c r="AQ37" s="236"/>
      <c r="AR37" s="235">
        <f>SUM(AR38:AR39)</f>
        <v>0</v>
      </c>
      <c r="AS37" s="235">
        <f>SUM(AS38:AS39)</f>
        <v>0</v>
      </c>
      <c r="AT37" s="235">
        <f>SUM(AT38:AT39)</f>
        <v>0</v>
      </c>
      <c r="AU37" s="236"/>
      <c r="AV37" s="238">
        <f>SUM(AV38:AV39)</f>
        <v>2085847664</v>
      </c>
      <c r="AW37" s="238">
        <f>SUM(AW38:AW39)</f>
        <v>0</v>
      </c>
      <c r="AX37" s="238">
        <f>SUM(AX38:AX39)</f>
        <v>2085847664</v>
      </c>
      <c r="AY37" s="614"/>
      <c r="AZ37" s="235">
        <f>SUM(AZ38:AZ39)</f>
        <v>0</v>
      </c>
      <c r="BA37" s="235">
        <f>SUM(BA38:BA39)</f>
        <v>0</v>
      </c>
      <c r="BB37" s="235">
        <f>SUM(BB38:BB39)</f>
        <v>0</v>
      </c>
      <c r="BC37" s="236"/>
      <c r="BD37" s="235">
        <f>SUM(BD38:BD39)</f>
        <v>0</v>
      </c>
      <c r="BE37" s="235">
        <f>SUM(BE38:BE39)</f>
        <v>0</v>
      </c>
      <c r="BF37" s="235">
        <f>SUM(BF38:BF39)</f>
        <v>0</v>
      </c>
      <c r="BG37" s="236"/>
      <c r="BH37" s="235">
        <f>SUM(BH38:BH39)</f>
        <v>0</v>
      </c>
      <c r="BI37" s="235">
        <f>SUM(BI38:BI39)</f>
        <v>0</v>
      </c>
      <c r="BJ37" s="235">
        <f>SUM(BJ38:BJ39)</f>
        <v>0</v>
      </c>
      <c r="BK37" s="236"/>
      <c r="BL37" s="235">
        <f>SUM(BL38:BL39)</f>
        <v>0</v>
      </c>
      <c r="BM37" s="235">
        <f>SUM(BM38:BM39)</f>
        <v>0</v>
      </c>
      <c r="BN37" s="235">
        <f>SUM(BN38:BN39)</f>
        <v>0</v>
      </c>
      <c r="BO37" s="236"/>
      <c r="BP37" s="443">
        <f>SUM(BP38:BP39)</f>
        <v>999420431</v>
      </c>
      <c r="BQ37" s="443">
        <f>SUM(BQ38:BQ39)</f>
        <v>0</v>
      </c>
      <c r="BR37" s="443">
        <f>SUM(BR38:BR39)</f>
        <v>999420431</v>
      </c>
    </row>
    <row r="38" spans="1:71" ht="12.75">
      <c r="A38" s="850"/>
      <c r="B38" s="939">
        <v>131</v>
      </c>
      <c r="C38" s="940"/>
      <c r="D38" s="927"/>
      <c r="E38" s="928" t="s">
        <v>47</v>
      </c>
      <c r="F38" s="928" t="s">
        <v>48</v>
      </c>
      <c r="G38" s="927" t="s">
        <v>2221</v>
      </c>
      <c r="H38" s="927" t="s">
        <v>2222</v>
      </c>
      <c r="I38" s="942">
        <f>SUMIFS('TB.CTy Me.FY2024'!I:I,'TB.CTy Me.FY2024'!A:A,'A0.LS'!E38)</f>
        <v>201848975</v>
      </c>
      <c r="J38" s="942">
        <f>ROUND(SUMIFS('A5.FY24'!K:K,'A5.FY24'!E:E,'A0.LS'!E38,'A5.FY24'!L:L,"Finhay",'A5.FY24'!M:M,"Posted"),0)</f>
        <v>55998689</v>
      </c>
      <c r="K38" s="942">
        <f>ROUND(SUMIFS('A5.FY24'!K:K,'A5.FY24'!E:E,'A0.LS'!E38,'A5.FY24'!L:L,"EY",'A5.FY24'!M:M,"Posted"),0)</f>
        <v>0</v>
      </c>
      <c r="L38" s="943">
        <f>ROUND(SUM(I38:K38),0)</f>
        <v>257847664</v>
      </c>
      <c r="M38" s="930"/>
      <c r="N38" s="944">
        <f>SUMIFS('TB.CTM.YE23'!I:I,'TB.CTM.YE23'!A:A,'A0.LS'!E38)</f>
        <v>56978048</v>
      </c>
      <c r="O38" s="944">
        <v>0</v>
      </c>
      <c r="P38" s="944">
        <v>0</v>
      </c>
      <c r="Q38" s="945">
        <f>ROUND(SUM(N38:P38),0)</f>
        <v>56978048</v>
      </c>
      <c r="R38" s="898"/>
      <c r="S38" s="848">
        <f>L38-Q38</f>
        <v>200869616</v>
      </c>
      <c r="T38" s="946">
        <f>IFERROR(S38/Q38,"To check")</f>
        <v>3.5253860574514593</v>
      </c>
      <c r="U38" s="850"/>
      <c r="V38" s="850" t="s">
        <v>2225</v>
      </c>
      <c r="W38" s="850"/>
      <c r="X38" s="933"/>
      <c r="Y38" s="947" t="s">
        <v>2221</v>
      </c>
      <c r="Z38" s="936">
        <f>ROUND(SUMIFS('TB.Cty Con.FY24'!I:I,'TB.Cty Con.FY24'!A:A,'A0.LS'!E38),0)</f>
        <v>0</v>
      </c>
      <c r="AA38" s="936">
        <f>ROUND(SUMIFS('A5.CTC FY24'!K:K,'A5.CTC FY24'!E:E,'A0.LS'!E38,'A5.CTC FY24'!A:A,'A0.LS'!$AA$5,'A5.CTC FY24'!L:L,"Finhay",'A5.CTC FY24'!M:M,"Posted"),0)</f>
        <v>0</v>
      </c>
      <c r="AB38" s="936">
        <f>ROUND(SUMIFS('A5.CTC FY24'!K:K,'A5.CTC FY24'!E:E,'A0.LS'!E38,'A5.CTC FY24'!A:A,'A0.LS'!$AB$5,'A5.CTC FY24'!L:L,"EY",'A5.CTC FY24'!M:M,"Posted"),0)</f>
        <v>0</v>
      </c>
      <c r="AC38" s="948">
        <f>ROUND(SUM(Z38:AB38),0)</f>
        <v>0</v>
      </c>
      <c r="AD38" s="930"/>
      <c r="AE38" s="936">
        <f>ROUND(SUMIFS('TB VNSC FY24'!M:M,'TB VNSC FY24'!N:N,'A0.LS'!E38),0)</f>
        <v>0</v>
      </c>
      <c r="AF38" s="936">
        <f>SUMIFS('A5.CTC FY24'!K:K,'A5.CTC FY24'!E:E,'A0.LS'!E38,'A5.CTC FY24'!A:A,"VNSC",'A5.CTC FY24'!L:L,"VNSC",'A5.CTC FY24'!M:M,"Posted")</f>
        <v>0</v>
      </c>
      <c r="AG38" s="936">
        <f>ROUND(SUMIFS('A5.CTC FY24'!K:K,'A5.CTC FY24'!E:E,'A0.LS'!E38,'A5.CTC FY24'!A:A,"VNSC",'A5.CTC FY24'!L:L,"EY",'A5.CTC FY24'!M:M,"Posted"),0)</f>
        <v>1828000000</v>
      </c>
      <c r="AH38" s="936">
        <f>ROUND(SUM(AE38:AG38),0)</f>
        <v>1828000000</v>
      </c>
      <c r="AI38" s="930"/>
      <c r="AJ38" s="936">
        <f>SUMIFS('TB.KCG.FY24'!I:I,'TB.KCG.FY24'!A:A,'A0.LS'!E38)</f>
        <v>0</v>
      </c>
      <c r="AK38" s="936">
        <f>ROUND(SUMIFS('A5.CTC FY24'!K:K,'A5.CTC FY24'!E:E,'A0.LS'!E38,'A5.CTC FY24'!A:A,'A0.LS'!$AK$5,'A5.CTC FY24'!L:L,"EY",'A5.CTC FY24'!M:M,"Posted"),0)</f>
        <v>0</v>
      </c>
      <c r="AL38" s="948">
        <f>ROUND(SUM(AJ38:AK38),0)</f>
        <v>0</v>
      </c>
      <c r="AM38" s="930"/>
      <c r="AN38" s="949">
        <f>ROUND(SUM(AT38,AH38,AC38),0)</f>
        <v>1828000000</v>
      </c>
      <c r="AO38" s="950">
        <f>ROUND(SUMIFS('A5.Consol FY24'!L:L,'A5.Consol FY24'!M:M,"EY",'A5.Consol FY24'!N:N,"Posted",'A5.Consol FY24'!B:B,'A0.LS'!$AO$5,'A5.Consol FY24'!F:F,'A0.LS'!E38),0)</f>
        <v>0</v>
      </c>
      <c r="AP38" s="949">
        <f>ROUND(SUM(AN38:AO38),0)</f>
        <v>1828000000</v>
      </c>
      <c r="AQ38" s="930"/>
      <c r="AR38" s="936">
        <f>ROUND(SUMIFS('TB.XH.FY24'!I:I,'TB.XH.FY24'!J:J,'A0.LS'!E38),0)</f>
        <v>0</v>
      </c>
      <c r="AS38" s="936">
        <f>ROUND(SUMIFS('A5.CTC FY24'!K:K,'A5.CTC FY24'!E:E,'A0.LS'!E38,'A5.CTC FY24'!A:A,'A0.LS'!$AS$5,'A5.CTC FY24'!L:L,"EY",'A5.CTC FY24'!M:M,"Posted"),0)</f>
        <v>0</v>
      </c>
      <c r="AT38" s="948">
        <f>ROUND(SUM(AR38:AS38),0)</f>
        <v>0</v>
      </c>
      <c r="AU38" s="930"/>
      <c r="AV38" s="951">
        <f>ROUND(SUM(AP38,AL38,L38),0)</f>
        <v>2085847664</v>
      </c>
      <c r="AW38" s="952">
        <f>SUMIFS('A5.Consol FY24'!L:L,'A5.Consol FY24'!B:B,'A0.LS'!$AW$5,'A5.Consol FY24'!M:M,"EY",'A5.Consol FY24'!N:N,"Posted",'A5.Consol FY24'!F:F,'A0.LS'!E38)</f>
        <v>0</v>
      </c>
      <c r="AX38" s="951">
        <f>ROUND(SUM(AV38:AW38),0)</f>
        <v>2085847664</v>
      </c>
      <c r="AY38" s="920"/>
      <c r="AZ38" s="936">
        <f>SUMIFS('TB.CTC.YE22'!Q:Q,'TB.CTC.YE22'!A:A,'A0.LS'!E38)</f>
        <v>0</v>
      </c>
      <c r="BA38" s="936">
        <f>ROUND(SUMIFS('A5.YE22'!J:J,'A5.YE22'!K:K,'A0.LS'!$BA$5,'A5.YE22'!L:L,"Posted",'A5.YE22'!D:D,'A0.LS'!E38),0)</f>
        <v>0</v>
      </c>
      <c r="BB38" s="936">
        <f>ROUND(SUM(AZ38:BA38),0)</f>
        <v>0</v>
      </c>
      <c r="BC38" s="937"/>
      <c r="BD38" s="936">
        <f>ROUND(SUMIFS('TB.VNSC.YE22'!L:L,'TB.VNSC.YE22'!A:A,'A0.LS'!E38),0)</f>
        <v>0</v>
      </c>
      <c r="BE38" s="936">
        <f>ROUND(SUMIFS('A5.YE22'!J:J,'A5.YE22'!K:K,'A0.LS'!$BE$5,'A5.YE22'!L:L,"Posted",'A5.YE22'!D:D,'A0.LS'!E38),0)</f>
        <v>0</v>
      </c>
      <c r="BF38" s="936">
        <f>ROUND(SUM(BD38:BE38),0)</f>
        <v>0</v>
      </c>
      <c r="BG38" s="937"/>
      <c r="BH38" s="936">
        <f>ROUND(SUMIFS('TB.XH.YE22'!P:P,'TB.XH.YE22'!A:A,'A0.LS'!E38),0)</f>
        <v>0</v>
      </c>
      <c r="BI38" s="936">
        <f>ROUND(SUMIFS('A5.YE22'!J:J,'A5.YE22'!K:K,"XH",'A5.YE22'!L:L,"Posted",'A5.YE22'!D:D,'A0.LS'!E38),0)</f>
        <v>0</v>
      </c>
      <c r="BJ38" s="936">
        <f>ROUND(SUM(BH38:BI38),0)</f>
        <v>0</v>
      </c>
      <c r="BK38" s="937"/>
      <c r="BL38" s="936">
        <f>ROUND(SUMIFS('TB.KCG.YE22'!P:P,'TB.KCG.YE22'!A:A,'A0.LS'!E38),0)</f>
        <v>0</v>
      </c>
      <c r="BM38" s="936">
        <f>ROUND(SUMIFS('A5.YE22'!J:J,'A5.YE22'!K:K,'A0.LS'!$BM$5,'A5.YE22'!L:L,"Posted",'A5.YE22'!D:D,'A0.LS'!E38),0)</f>
        <v>0</v>
      </c>
      <c r="BN38" s="936">
        <f>ROUND(SUM(BL38:BM38),0)</f>
        <v>0</v>
      </c>
      <c r="BO38" s="937"/>
      <c r="BP38" s="938">
        <v>999420431</v>
      </c>
      <c r="BQ38" s="938">
        <v>0</v>
      </c>
      <c r="BR38" s="938">
        <f>ROUND(SUM(BP38:BQ38),0)</f>
        <v>999420431</v>
      </c>
      <c r="BS38" s="850"/>
    </row>
    <row r="39" spans="1:71" ht="12.75">
      <c r="A39" s="850"/>
      <c r="B39" s="939">
        <v>131</v>
      </c>
      <c r="C39" s="940"/>
      <c r="D39" s="927"/>
      <c r="E39" s="928" t="s">
        <v>2226</v>
      </c>
      <c r="F39" s="928" t="s">
        <v>48</v>
      </c>
      <c r="G39" s="927" t="s">
        <v>2221</v>
      </c>
      <c r="H39" s="927" t="s">
        <v>2222</v>
      </c>
      <c r="I39" s="942">
        <f>SUMIFS('TB.CTy Me.FY2024'!I:I,'TB.CTy Me.FY2024'!A:A,'A0.LS'!E39)</f>
        <v>0</v>
      </c>
      <c r="J39" s="942">
        <f>ROUND(SUMIFS('A5.FY24'!K:K,'A5.FY24'!E:E,'A0.LS'!E39,'A5.FY24'!L:L,"Finhay",'A5.FY24'!M:M,"Posted"),0)</f>
        <v>0</v>
      </c>
      <c r="K39" s="942">
        <f>ROUND(SUMIFS('A5.FY24'!K:K,'A5.FY24'!E:E,'A0.LS'!E39,'A5.FY24'!L:L,"EY",'A5.FY24'!M:M,"Posted"),0)</f>
        <v>0</v>
      </c>
      <c r="L39" s="943">
        <f>ROUND(SUM(I39:K39),0)</f>
        <v>0</v>
      </c>
      <c r="M39" s="930"/>
      <c r="N39" s="944">
        <f>SUMIFS('TB.CTM.YE23'!I:I,'TB.CTM.YE23'!A:A,'A0.LS'!E39)</f>
        <v>0</v>
      </c>
      <c r="O39" s="944">
        <v>0</v>
      </c>
      <c r="P39" s="944">
        <v>0</v>
      </c>
      <c r="Q39" s="945">
        <f>ROUND(SUM(N39:P39),0)</f>
        <v>0</v>
      </c>
      <c r="R39" s="898"/>
      <c r="S39" s="848">
        <f>L39-Q39</f>
        <v>0</v>
      </c>
      <c r="T39" s="946" t="str">
        <f>IFERROR(S39/Q39,"To check")</f>
        <v>To check</v>
      </c>
      <c r="U39" s="850"/>
      <c r="V39" s="850"/>
      <c r="W39" s="850"/>
      <c r="X39" s="304"/>
      <c r="Y39" s="947" t="s">
        <v>2221</v>
      </c>
      <c r="Z39" s="936">
        <f>ROUND(SUMIFS('TB.Cty Con.FY24'!I:I,'TB.Cty Con.FY24'!A:A,'A0.LS'!E39),0)</f>
        <v>0</v>
      </c>
      <c r="AA39" s="936">
        <f>ROUND(SUMIFS('A5.CTC FY24'!K:K,'A5.CTC FY24'!E:E,'A0.LS'!E39,'A5.CTC FY24'!A:A,'A0.LS'!$AA$5,'A5.CTC FY24'!L:L,"Finhay",'A5.CTC FY24'!M:M,"Posted"),0)</f>
        <v>0</v>
      </c>
      <c r="AB39" s="936">
        <f>ROUND(SUMIFS('A5.CTC FY24'!K:K,'A5.CTC FY24'!E:E,'A0.LS'!E39,'A5.CTC FY24'!A:A,'A0.LS'!$AB$5,'A5.CTC FY24'!L:L,"EY",'A5.CTC FY24'!M:M,"Posted"),0)</f>
        <v>0</v>
      </c>
      <c r="AC39" s="948">
        <f>ROUND(SUM(Z39:AB39),0)</f>
        <v>0</v>
      </c>
      <c r="AD39" s="930"/>
      <c r="AE39" s="936">
        <f>ROUND(SUMIFS('TB VNSC FY24'!M:M,'TB VNSC FY24'!N:N,'A0.LS'!E39),0)</f>
        <v>0</v>
      </c>
      <c r="AF39" s="936">
        <f>SUMIFS('A5.CTC FY24'!K:K,'A5.CTC FY24'!E:E,'A0.LS'!E39,'A5.CTC FY24'!A:A,"VNSC",'A5.CTC FY24'!L:L,"VNSC",'A5.CTC FY24'!M:M,"Posted")</f>
        <v>0</v>
      </c>
      <c r="AG39" s="936">
        <f>ROUND(SUMIFS('A5.CTC FY24'!K:K,'A5.CTC FY24'!E:E,'A0.LS'!E39,'A5.CTC FY24'!A:A,"VNSC",'A5.CTC FY24'!L:L,"EY",'A5.CTC FY24'!M:M,"Posted"),0)</f>
        <v>0</v>
      </c>
      <c r="AH39" s="936">
        <f>ROUND(SUM(AE39:AG39),0)</f>
        <v>0</v>
      </c>
      <c r="AI39" s="930"/>
      <c r="AJ39" s="936">
        <f>SUMIFS('TB.KCG.FY24'!I:I,'TB.KCG.FY24'!A:A,'A0.LS'!E39)</f>
        <v>0</v>
      </c>
      <c r="AK39" s="936">
        <f>ROUND(SUMIFS('A5.CTC FY24'!K:K,'A5.CTC FY24'!E:E,'A0.LS'!E39,'A5.CTC FY24'!A:A,'A0.LS'!$AK$5,'A5.CTC FY24'!L:L,"EY",'A5.CTC FY24'!M:M,"Posted"),0)</f>
        <v>0</v>
      </c>
      <c r="AL39" s="948">
        <f>ROUND(SUM(AJ39:AK39),0)</f>
        <v>0</v>
      </c>
      <c r="AM39" s="930"/>
      <c r="AN39" s="949">
        <f>ROUND(SUM(AT39,AH39,AC39),0)</f>
        <v>0</v>
      </c>
      <c r="AO39" s="950">
        <f>ROUND(SUMIFS('A5.Consol FY24'!L:L,'A5.Consol FY24'!M:M,"EY",'A5.Consol FY24'!N:N,"Posted",'A5.Consol FY24'!B:B,'A0.LS'!$AO$5,'A5.Consol FY24'!F:F,'A0.LS'!E39),0)</f>
        <v>0</v>
      </c>
      <c r="AP39" s="949">
        <f>ROUND(SUM(AN39:AO39),0)</f>
        <v>0</v>
      </c>
      <c r="AQ39" s="930"/>
      <c r="AR39" s="936">
        <f>ROUND(SUMIFS('TB.XH.FY24'!I:I,'TB.XH.FY24'!J:J,'A0.LS'!E39),0)</f>
        <v>0</v>
      </c>
      <c r="AS39" s="936">
        <f>ROUND(SUMIFS('A5.CTC FY24'!K:K,'A5.CTC FY24'!E:E,'A0.LS'!E39,'A5.CTC FY24'!A:A,'A0.LS'!$AS$5,'A5.CTC FY24'!L:L,"EY",'A5.CTC FY24'!M:M,"Posted"),0)</f>
        <v>0</v>
      </c>
      <c r="AT39" s="948">
        <f>ROUND(SUM(AR39:AS39),0)</f>
        <v>0</v>
      </c>
      <c r="AU39" s="930"/>
      <c r="AV39" s="951">
        <f>ROUND(SUM(AP39,AL39,L39),0)</f>
        <v>0</v>
      </c>
      <c r="AW39" s="952">
        <f>SUMIFS('A5.Consol FY24'!L:L,'A5.Consol FY24'!B:B,'A0.LS'!$AW$5,'A5.Consol FY24'!M:M,"EY",'A5.Consol FY24'!N:N,"Posted",'A5.Consol FY24'!F:F,'A0.LS'!E39)</f>
        <v>0</v>
      </c>
      <c r="AX39" s="951">
        <f>ROUND(SUM(AV39:AW39),0)</f>
        <v>0</v>
      </c>
      <c r="AY39" s="920"/>
      <c r="AZ39" s="936">
        <f>SUMIFS('TB.CTC.YE22'!Q:Q,'TB.CTC.YE22'!A:A,'A0.LS'!E39)</f>
        <v>0</v>
      </c>
      <c r="BA39" s="936">
        <f>ROUND(SUMIFS('A5.YE22'!J:J,'A5.YE22'!K:K,'A0.LS'!$BA$5,'A5.YE22'!L:L,"Posted",'A5.YE22'!D:D,'A0.LS'!E39),0)</f>
        <v>0</v>
      </c>
      <c r="BB39" s="936">
        <f>ROUND(SUM(AZ39:BA39),0)</f>
        <v>0</v>
      </c>
      <c r="BC39" s="937"/>
      <c r="BD39" s="936">
        <f>ROUND(SUMIFS('TB.VNSC.YE22'!L:L,'TB.VNSC.YE22'!A:A,'A0.LS'!E39),0)</f>
        <v>0</v>
      </c>
      <c r="BE39" s="936">
        <f>ROUND(SUMIFS('A5.YE22'!J:J,'A5.YE22'!K:K,'A0.LS'!$BE$5,'A5.YE22'!L:L,"Posted",'A5.YE22'!D:D,'A0.LS'!E39),0)</f>
        <v>0</v>
      </c>
      <c r="BF39" s="936">
        <f>ROUND(SUM(BD39:BE39),0)</f>
        <v>0</v>
      </c>
      <c r="BG39" s="937"/>
      <c r="BH39" s="936">
        <f>ROUND(SUMIFS('TB.XH.YE22'!P:P,'TB.XH.YE22'!A:A,'A0.LS'!E39),0)</f>
        <v>0</v>
      </c>
      <c r="BI39" s="936">
        <f>ROUND(SUMIFS('A5.YE22'!J:J,'A5.YE22'!K:K,"XH",'A5.YE22'!L:L,"Posted",'A5.YE22'!D:D,'A0.LS'!E39),0)</f>
        <v>0</v>
      </c>
      <c r="BJ39" s="936">
        <f>ROUND(SUM(BH39:BI39),0)</f>
        <v>0</v>
      </c>
      <c r="BK39" s="937"/>
      <c r="BL39" s="936">
        <f>ROUND(SUMIFS('TB.KCG.YE22'!P:P,'TB.KCG.YE22'!A:A,'A0.LS'!E39),0)</f>
        <v>0</v>
      </c>
      <c r="BM39" s="936">
        <f>ROUND(SUMIFS('A5.YE22'!J:J,'A5.YE22'!K:K,'A0.LS'!$BM$5,'A5.YE22'!L:L,"Posted",'A5.YE22'!D:D,'A0.LS'!E39),0)</f>
        <v>0</v>
      </c>
      <c r="BN39" s="936">
        <f>ROUND(SUM(BL39:BM39),0)</f>
        <v>0</v>
      </c>
      <c r="BO39" s="937"/>
      <c r="BP39" s="938">
        <f>ROUND(SUM(Q39,BB39,BF39,BJ39,BN39),0)</f>
        <v>0</v>
      </c>
      <c r="BQ39" s="938">
        <f>ROUND(SUMIFS('A5.YE22'!J:J,'A5.YE22'!K:K,'A0.LS'!$BQ$5,'A5.YE22'!L:L,"Posted",'A5.YE22'!D:D,'A0.LS'!E39),0)</f>
        <v>0</v>
      </c>
      <c r="BR39" s="938">
        <f>ROUND(SUM(BP39:BQ39),0)</f>
        <v>0</v>
      </c>
      <c r="BS39" s="850"/>
    </row>
    <row r="40" spans="1:71" ht="12.75">
      <c r="A40" s="850"/>
      <c r="B40" s="925"/>
      <c r="C40" s="926"/>
      <c r="D40" s="927"/>
      <c r="E40" s="928"/>
      <c r="F40" s="928"/>
      <c r="G40" s="928"/>
      <c r="H40" s="927"/>
      <c r="I40" s="929"/>
      <c r="J40" s="929"/>
      <c r="K40" s="929"/>
      <c r="L40" s="929"/>
      <c r="M40" s="930"/>
      <c r="N40" s="931"/>
      <c r="O40" s="931"/>
      <c r="P40" s="931"/>
      <c r="Q40" s="932"/>
      <c r="R40" s="898"/>
      <c r="S40" s="850"/>
      <c r="T40" s="850"/>
      <c r="U40" s="850"/>
      <c r="V40" s="850"/>
      <c r="W40" s="850"/>
      <c r="X40" s="947" t="s">
        <v>2227</v>
      </c>
      <c r="Y40" s="933"/>
      <c r="Z40" s="934"/>
      <c r="AA40" s="934"/>
      <c r="AB40" s="934"/>
      <c r="AC40" s="934"/>
      <c r="AD40" s="930"/>
      <c r="AE40" s="934"/>
      <c r="AF40" s="934"/>
      <c r="AG40" s="934"/>
      <c r="AH40" s="934"/>
      <c r="AI40" s="930"/>
      <c r="AJ40" s="934"/>
      <c r="AK40" s="934"/>
      <c r="AL40" s="934"/>
      <c r="AM40" s="930"/>
      <c r="AN40" s="935"/>
      <c r="AO40" s="935"/>
      <c r="AP40" s="935"/>
      <c r="AQ40" s="930"/>
      <c r="AR40" s="934"/>
      <c r="AS40" s="934"/>
      <c r="AT40" s="934"/>
      <c r="AU40" s="930"/>
      <c r="AV40" s="909"/>
      <c r="AW40" s="909"/>
      <c r="AX40" s="909"/>
      <c r="AY40" s="920"/>
      <c r="AZ40" s="936"/>
      <c r="BA40" s="936"/>
      <c r="BB40" s="936"/>
      <c r="BC40" s="937"/>
      <c r="BD40" s="936"/>
      <c r="BE40" s="936"/>
      <c r="BF40" s="936"/>
      <c r="BG40" s="937"/>
      <c r="BH40" s="936"/>
      <c r="BI40" s="936"/>
      <c r="BJ40" s="936"/>
      <c r="BK40" s="937"/>
      <c r="BL40" s="936"/>
      <c r="BM40" s="936"/>
      <c r="BN40" s="936"/>
      <c r="BO40" s="937"/>
      <c r="BP40" s="938"/>
      <c r="BQ40" s="938"/>
      <c r="BR40" s="938"/>
      <c r="BS40" s="850"/>
    </row>
    <row r="41" spans="1:71" s="1" customFormat="1" ht="12.75">
      <c r="B41" s="293"/>
      <c r="C41" s="294"/>
      <c r="D41" s="295"/>
      <c r="E41" s="75"/>
      <c r="F41" s="75" t="s">
        <v>2228</v>
      </c>
      <c r="G41" s="75"/>
      <c r="H41" s="295"/>
      <c r="I41" s="68">
        <f>SUM(I42:I43)</f>
        <v>96677660</v>
      </c>
      <c r="J41" s="68">
        <f>SUM(J42:J43)</f>
        <v>0</v>
      </c>
      <c r="K41" s="68">
        <f>SUM(K42:K43)</f>
        <v>0</v>
      </c>
      <c r="L41" s="68">
        <f>SUM(L42:L43)</f>
        <v>96677660</v>
      </c>
      <c r="M41" s="296"/>
      <c r="N41" s="69">
        <f>SUM(N42:N43)</f>
        <v>27179765</v>
      </c>
      <c r="O41" s="69">
        <f>SUM(O42:O43)</f>
        <v>0</v>
      </c>
      <c r="P41" s="69">
        <f>SUM(P42:P43)</f>
        <v>0</v>
      </c>
      <c r="Q41" s="70">
        <f>SUM(Q42:Q43)</f>
        <v>27179765</v>
      </c>
      <c r="R41" s="298"/>
      <c r="S41" s="175">
        <f>L41-Q41</f>
        <v>69497895</v>
      </c>
      <c r="T41" s="176">
        <f>IFERROR(S41/Q41,"To check")</f>
        <v>2.5569718869901927</v>
      </c>
      <c r="X41" s="947" t="s">
        <v>2227</v>
      </c>
      <c r="Y41" s="304"/>
      <c r="Z41" s="235">
        <f>SUM(Z42:Z43)</f>
        <v>0</v>
      </c>
      <c r="AA41" s="235">
        <f>SUM(AA42:AA43)</f>
        <v>0</v>
      </c>
      <c r="AB41" s="235">
        <f>SUM(AB42:AB43)</f>
        <v>0</v>
      </c>
      <c r="AC41" s="235">
        <f>SUM(AC42:AC43)</f>
        <v>0</v>
      </c>
      <c r="AD41" s="236"/>
      <c r="AE41" s="235">
        <f>SUM(AE42:AE43)</f>
        <v>0</v>
      </c>
      <c r="AF41" s="235">
        <f>SUM(AF42:AF43)</f>
        <v>0</v>
      </c>
      <c r="AG41" s="235">
        <f>SUM(AG42:AG43)</f>
        <v>0</v>
      </c>
      <c r="AH41" s="235">
        <f>SUM(AH42:AH43)</f>
        <v>0</v>
      </c>
      <c r="AI41" s="236"/>
      <c r="AJ41" s="235">
        <f>SUM(AJ42:AJ43)</f>
        <v>0</v>
      </c>
      <c r="AK41" s="235">
        <f>SUM(AK42:AK43)</f>
        <v>0</v>
      </c>
      <c r="AL41" s="235">
        <f>SUM(AL42:AL43)</f>
        <v>0</v>
      </c>
      <c r="AM41" s="236"/>
      <c r="AN41" s="237">
        <f>SUM(AN42:AN43)</f>
        <v>0</v>
      </c>
      <c r="AO41" s="237">
        <f>SUM(AO42:AO43)</f>
        <v>0</v>
      </c>
      <c r="AP41" s="237">
        <f>SUM(AP42:AP43)</f>
        <v>0</v>
      </c>
      <c r="AQ41" s="236"/>
      <c r="AR41" s="235">
        <f>SUM(AR42:AR43)</f>
        <v>0</v>
      </c>
      <c r="AS41" s="235">
        <f>SUM(AS42:AS43)</f>
        <v>0</v>
      </c>
      <c r="AT41" s="235">
        <f>SUM(AT42:AT43)</f>
        <v>0</v>
      </c>
      <c r="AU41" s="236"/>
      <c r="AV41" s="238">
        <f>SUM(AV42:AV43)</f>
        <v>96677660</v>
      </c>
      <c r="AW41" s="238">
        <f>SUM(AW42:AW43)</f>
        <v>0</v>
      </c>
      <c r="AX41" s="238">
        <f>SUM(AX42:AX43)</f>
        <v>96677660</v>
      </c>
      <c r="AY41" s="614"/>
      <c r="AZ41" s="235">
        <f>SUM(AZ42:AZ43)</f>
        <v>0</v>
      </c>
      <c r="BA41" s="235">
        <f>SUM(BA42:BA43)</f>
        <v>0</v>
      </c>
      <c r="BB41" s="235">
        <f>SUM(BB42:BB43)</f>
        <v>0</v>
      </c>
      <c r="BC41" s="236"/>
      <c r="BD41" s="235">
        <f>SUM(BD42:BD43)</f>
        <v>2456844200</v>
      </c>
      <c r="BE41" s="235">
        <f>SUM(BE42:BE43)</f>
        <v>0</v>
      </c>
      <c r="BF41" s="235">
        <f>SUM(BF42:BF43)</f>
        <v>2456844200</v>
      </c>
      <c r="BG41" s="236"/>
      <c r="BH41" s="235">
        <f>SUM(BH42:BH43)</f>
        <v>0</v>
      </c>
      <c r="BI41" s="235">
        <f>SUM(BI42:BI43)</f>
        <v>0</v>
      </c>
      <c r="BJ41" s="235">
        <f>SUM(BJ42:BJ43)</f>
        <v>0</v>
      </c>
      <c r="BK41" s="236"/>
      <c r="BL41" s="235">
        <f>SUM(BL42:BL43)</f>
        <v>0</v>
      </c>
      <c r="BM41" s="235">
        <f>SUM(BM42:BM43)</f>
        <v>0</v>
      </c>
      <c r="BN41" s="235">
        <f>SUM(BN42:BN43)</f>
        <v>0</v>
      </c>
      <c r="BO41" s="236"/>
      <c r="BP41" s="443">
        <f>SUM(BP42:BP43)</f>
        <v>28829765</v>
      </c>
      <c r="BQ41" s="443">
        <f>SUM(BQ42:BQ43)</f>
        <v>0</v>
      </c>
      <c r="BR41" s="443">
        <f>SUM(BR42:BR43)</f>
        <v>28829765</v>
      </c>
    </row>
    <row r="42" spans="1:71" ht="12.75">
      <c r="A42" s="850"/>
      <c r="B42" s="939">
        <v>132</v>
      </c>
      <c r="C42" s="940"/>
      <c r="D42" s="927"/>
      <c r="E42" s="928" t="s">
        <v>2229</v>
      </c>
      <c r="F42" s="928" t="s">
        <v>2230</v>
      </c>
      <c r="G42" s="927" t="s">
        <v>2221</v>
      </c>
      <c r="H42" s="927" t="s">
        <v>2222</v>
      </c>
      <c r="I42" s="942">
        <f>SUMIFS('TB.CTy Me.FY2024'!I:I,'TB.CTy Me.FY2024'!A:A,'A0.LS'!E42)</f>
        <v>0</v>
      </c>
      <c r="J42" s="942">
        <f>ROUND(SUMIFS('A5.FY24'!K:K,'A5.FY24'!E:E,'A0.LS'!E42,'A5.FY24'!L:L,"Finhay",'A5.FY24'!M:M,"Posted"),0)</f>
        <v>0</v>
      </c>
      <c r="K42" s="942">
        <f>ROUND(SUMIFS('A5.FY24'!K:K,'A5.FY24'!E:E,'A0.LS'!E42,'A5.FY24'!L:L,"EY",'A5.FY24'!M:M,"Posted"),0)</f>
        <v>0</v>
      </c>
      <c r="L42" s="943">
        <f>ROUND(SUM(I42:K42),0)</f>
        <v>0</v>
      </c>
      <c r="M42" s="930"/>
      <c r="N42" s="944">
        <f>SUMIFS('TB.CTM.YE23'!I:I,'TB.CTM.YE23'!A:A,'A0.LS'!E42)</f>
        <v>0</v>
      </c>
      <c r="O42" s="944">
        <v>0</v>
      </c>
      <c r="P42" s="944">
        <v>0</v>
      </c>
      <c r="Q42" s="945">
        <f>ROUND(SUM(N42:P42),0)</f>
        <v>0</v>
      </c>
      <c r="R42" s="898"/>
      <c r="S42" s="848">
        <f>L42-Q42</f>
        <v>0</v>
      </c>
      <c r="T42" s="946" t="str">
        <f>IFERROR(S42/Q42,"To check")</f>
        <v>To check</v>
      </c>
      <c r="U42" s="850"/>
      <c r="V42" s="850">
        <v>0</v>
      </c>
      <c r="W42" s="850"/>
      <c r="X42" s="933"/>
      <c r="Y42" s="947" t="s">
        <v>2221</v>
      </c>
      <c r="Z42" s="936">
        <f>ROUND(SUMIFS('TB.Cty Con.FY24'!I:I,'TB.Cty Con.FY24'!A:A,'A0.LS'!E42),0)</f>
        <v>0</v>
      </c>
      <c r="AA42" s="936">
        <f>ROUND(SUMIFS('A5.CTC FY24'!K:K,'A5.CTC FY24'!E:E,'A0.LS'!E42,'A5.CTC FY24'!A:A,'A0.LS'!$AA$5,'A5.CTC FY24'!L:L,"Finhay",'A5.CTC FY24'!M:M,"Posted"),0)</f>
        <v>0</v>
      </c>
      <c r="AB42" s="936">
        <f>ROUND(SUMIFS('A5.CTC FY24'!K:K,'A5.CTC FY24'!E:E,'A0.LS'!E42,'A5.CTC FY24'!A:A,'A0.LS'!$AB$5,'A5.CTC FY24'!L:L,"EY",'A5.CTC FY24'!M:M,"Posted"),0)</f>
        <v>0</v>
      </c>
      <c r="AC42" s="948">
        <f>ROUND(SUM(Z42:AB42),0)</f>
        <v>0</v>
      </c>
      <c r="AD42" s="930"/>
      <c r="AE42" s="936">
        <f>ROUND(SUMIFS('TB VNSC FY24'!M:M,'TB VNSC FY24'!N:N,'A0.LS'!E42),0)</f>
        <v>0</v>
      </c>
      <c r="AF42" s="936">
        <f>SUMIFS('A5.CTC FY24'!K:K,'A5.CTC FY24'!E:E,'A0.LS'!E42,'A5.CTC FY24'!A:A,"VNSC",'A5.CTC FY24'!L:L,"VNSC",'A5.CTC FY24'!M:M,"Posted")</f>
        <v>0</v>
      </c>
      <c r="AG42" s="936">
        <f>ROUND(SUMIFS('A5.CTC FY24'!K:K,'A5.CTC FY24'!E:E,'A0.LS'!E42,'A5.CTC FY24'!A:A,"VNSC",'A5.CTC FY24'!L:L,"EY",'A5.CTC FY24'!M:M,"Posted"),0)</f>
        <v>0</v>
      </c>
      <c r="AH42" s="936">
        <f>ROUND(SUM(AE42:AG42),0)</f>
        <v>0</v>
      </c>
      <c r="AI42" s="930"/>
      <c r="AJ42" s="936">
        <f>SUMIFS('TB.KCG.FY24'!I:I,'TB.KCG.FY24'!A:A,'A0.LS'!E42)</f>
        <v>0</v>
      </c>
      <c r="AK42" s="936">
        <f>ROUND(SUMIFS('A5.CTC FY24'!K:K,'A5.CTC FY24'!E:E,'A0.LS'!E42,'A5.CTC FY24'!A:A,'A0.LS'!$AK$5,'A5.CTC FY24'!L:L,"EY",'A5.CTC FY24'!M:M,"Posted"),0)</f>
        <v>0</v>
      </c>
      <c r="AL42" s="948">
        <f>ROUND(SUM(AJ42:AK42),0)</f>
        <v>0</v>
      </c>
      <c r="AM42" s="930"/>
      <c r="AN42" s="949">
        <f>ROUND(SUM(AT42,AH42,AC42),0)</f>
        <v>0</v>
      </c>
      <c r="AO42" s="950">
        <f>ROUND(SUMIFS('A5.Consol FY24'!L:L,'A5.Consol FY24'!M:M,"EY",'A5.Consol FY24'!N:N,"Posted",'A5.Consol FY24'!B:B,'A0.LS'!$AO$5,'A5.Consol FY24'!F:F,'A0.LS'!E42),0)</f>
        <v>0</v>
      </c>
      <c r="AP42" s="949">
        <f>ROUND(SUM(AN42:AO42),0)</f>
        <v>0</v>
      </c>
      <c r="AQ42" s="930"/>
      <c r="AR42" s="936">
        <f>ROUND(SUMIFS('TB.XH.FY24'!I:I,'TB.XH.FY24'!J:J,'A0.LS'!E42),0)</f>
        <v>0</v>
      </c>
      <c r="AS42" s="936">
        <f>ROUND(SUMIFS('A5.CTC FY24'!K:K,'A5.CTC FY24'!E:E,'A0.LS'!E42,'A5.CTC FY24'!A:A,'A0.LS'!$AS$5,'A5.CTC FY24'!L:L,"EY",'A5.CTC FY24'!M:M,"Posted"),0)</f>
        <v>0</v>
      </c>
      <c r="AT42" s="948">
        <f>ROUND(SUM(AR42:AS42),0)</f>
        <v>0</v>
      </c>
      <c r="AU42" s="930"/>
      <c r="AV42" s="951">
        <f>ROUND(SUM(AP42,AL42,L42),0)</f>
        <v>0</v>
      </c>
      <c r="AW42" s="952">
        <f>SUMIFS('A5.Consol FY24'!L:L,'A5.Consol FY24'!B:B,'A0.LS'!$AW$5,'A5.Consol FY24'!M:M,"EY",'A5.Consol FY24'!N:N,"Posted",'A5.Consol FY24'!F:F,'A0.LS'!E42)</f>
        <v>0</v>
      </c>
      <c r="AX42" s="951">
        <f>ROUND(SUM(AV42:AW42),0)</f>
        <v>0</v>
      </c>
      <c r="AY42" s="920"/>
      <c r="AZ42" s="936">
        <f>SUMIFS('TB.CTC.YE22'!Q:Q,'TB.CTC.YE22'!A:A,'A0.LS'!E42)</f>
        <v>0</v>
      </c>
      <c r="BA42" s="936">
        <f>ROUND(SUMIFS('A5.YE22'!J:J,'A5.YE22'!K:K,'A0.LS'!$BA$5,'A5.YE22'!L:L,"Posted",'A5.YE22'!D:D,'A0.LS'!E42),0)</f>
        <v>0</v>
      </c>
      <c r="BB42" s="936">
        <f>ROUND(SUM(AZ42:BA42),0)</f>
        <v>0</v>
      </c>
      <c r="BC42" s="937"/>
      <c r="BD42" s="936">
        <f>ROUND(SUMIFS('TB.VNSC.YE22'!L:L,'TB.VNSC.YE22'!A:A,'A0.LS'!E42),0)</f>
        <v>0</v>
      </c>
      <c r="BE42" s="936">
        <f>ROUND(SUMIFS('A5.YE22'!J:J,'A5.YE22'!K:K,'A0.LS'!$BE$5,'A5.YE22'!L:L,"Posted",'A5.YE22'!D:D,'A0.LS'!E42),0)</f>
        <v>0</v>
      </c>
      <c r="BF42" s="936">
        <f>ROUND(SUM(BD42:BE42),0)</f>
        <v>0</v>
      </c>
      <c r="BG42" s="937"/>
      <c r="BH42" s="936">
        <f>ROUND(SUMIFS('TB.XH.YE22'!P:P,'TB.XH.YE22'!A:A,'A0.LS'!E42),0)</f>
        <v>0</v>
      </c>
      <c r="BI42" s="936">
        <f>ROUND(SUMIFS('A5.YE22'!J:J,'A5.YE22'!K:K,"XH",'A5.YE22'!L:L,"Posted",'A5.YE22'!D:D,'A0.LS'!E42),0)</f>
        <v>0</v>
      </c>
      <c r="BJ42" s="936">
        <f>ROUND(SUM(BH42:BI42),0)</f>
        <v>0</v>
      </c>
      <c r="BK42" s="937"/>
      <c r="BL42" s="936">
        <f>ROUND(SUMIFS('TB.KCG.YE22'!P:P,'TB.KCG.YE22'!A:A,'A0.LS'!E42),0)</f>
        <v>0</v>
      </c>
      <c r="BM42" s="936">
        <f>ROUND(SUMIFS('A5.YE22'!J:J,'A5.YE22'!K:K,'A0.LS'!$BM$5,'A5.YE22'!L:L,"Posted",'A5.YE22'!D:D,'A0.LS'!E42),0)</f>
        <v>0</v>
      </c>
      <c r="BN42" s="936">
        <f>ROUND(SUM(BL42:BM42),0)</f>
        <v>0</v>
      </c>
      <c r="BO42" s="937"/>
      <c r="BP42" s="938">
        <v>0</v>
      </c>
      <c r="BQ42" s="938">
        <f>ROUND(SUMIFS('A5.YE22'!J:J,'A5.YE22'!K:K,'A0.LS'!$BQ$5,'A5.YE22'!L:L,"Posted",'A5.YE22'!D:D,'A0.LS'!E42),0)</f>
        <v>0</v>
      </c>
      <c r="BR42" s="938">
        <f>ROUND(SUM(BP42:BQ42),0)</f>
        <v>0</v>
      </c>
      <c r="BS42" s="850"/>
    </row>
    <row r="43" spans="1:71" ht="12.75">
      <c r="A43" s="850"/>
      <c r="B43" s="939">
        <v>132</v>
      </c>
      <c r="C43" s="940"/>
      <c r="D43" s="927"/>
      <c r="E43" s="928" t="s">
        <v>126</v>
      </c>
      <c r="F43" s="928" t="s">
        <v>2230</v>
      </c>
      <c r="G43" s="927" t="s">
        <v>2221</v>
      </c>
      <c r="H43" s="927" t="s">
        <v>2222</v>
      </c>
      <c r="I43" s="942">
        <f>SUMIFS('TB.CTy Me.FY2024'!I:I,'TB.CTy Me.FY2024'!A:A,'A0.LS'!E43)</f>
        <v>96677660</v>
      </c>
      <c r="J43" s="942">
        <f>ROUND(SUMIFS('A5.FY24'!K:K,'A5.FY24'!E:E,'A0.LS'!E43,'A5.FY24'!L:L,"Finhay",'A5.FY24'!M:M,"Posted"),0)</f>
        <v>0</v>
      </c>
      <c r="K43" s="942">
        <f>ROUND(SUMIFS('A5.FY24'!K:K,'A5.FY24'!E:E,'A0.LS'!E43,'A5.FY24'!L:L,"EY",'A5.FY24'!M:M,"Posted"),0)</f>
        <v>0</v>
      </c>
      <c r="L43" s="943">
        <f>ROUND(SUM(I43:K43),0)</f>
        <v>96677660</v>
      </c>
      <c r="M43" s="930"/>
      <c r="N43" s="944">
        <f>SUMIFS('TB.CTM.YE23'!I:I,'TB.CTM.YE23'!A:A,'A0.LS'!E43)</f>
        <v>27179765</v>
      </c>
      <c r="O43" s="944">
        <v>0</v>
      </c>
      <c r="P43" s="944">
        <v>0</v>
      </c>
      <c r="Q43" s="945">
        <f>ROUND(SUM(N43:P43),0)</f>
        <v>27179765</v>
      </c>
      <c r="R43" s="898"/>
      <c r="S43" s="848">
        <f>L43-Q43</f>
        <v>69497895</v>
      </c>
      <c r="T43" s="946">
        <f>IFERROR(S43/Q43,"To check")</f>
        <v>2.5569718869901927</v>
      </c>
      <c r="U43" s="850"/>
      <c r="V43" s="850" t="s">
        <v>2231</v>
      </c>
      <c r="W43" s="850"/>
      <c r="X43" s="304"/>
      <c r="Y43" s="947" t="s">
        <v>2221</v>
      </c>
      <c r="Z43" s="936">
        <f>ROUND(SUMIFS('TB.Cty Con.FY24'!I:I,'TB.Cty Con.FY24'!A:A,'A0.LS'!E43),0)</f>
        <v>0</v>
      </c>
      <c r="AA43" s="936">
        <f>ROUND(SUMIFS('A5.CTC FY24'!K:K,'A5.CTC FY24'!E:E,'A0.LS'!E43,'A5.CTC FY24'!A:A,'A0.LS'!$AA$5,'A5.CTC FY24'!L:L,"Finhay",'A5.CTC FY24'!M:M,"Posted"),0)</f>
        <v>0</v>
      </c>
      <c r="AB43" s="936">
        <f>ROUND(SUMIFS('A5.CTC FY24'!K:K,'A5.CTC FY24'!E:E,'A0.LS'!E43,'A5.CTC FY24'!A:A,'A0.LS'!$AB$5,'A5.CTC FY24'!L:L,"EY",'A5.CTC FY24'!M:M,"Posted"),0)</f>
        <v>0</v>
      </c>
      <c r="AC43" s="948">
        <f>ROUND(SUM(Z43:AB43),0)</f>
        <v>0</v>
      </c>
      <c r="AD43" s="930"/>
      <c r="AE43" s="936">
        <f>ROUND(SUMIFS('TB VNSC FY24'!M:M,'TB VNSC FY24'!N:N,'A0.LS'!E43),0)</f>
        <v>0</v>
      </c>
      <c r="AF43" s="936">
        <f>SUMIFS('A5.CTC FY24'!K:K,'A5.CTC FY24'!E:E,'A0.LS'!E43,'A5.CTC FY24'!A:A,"VNSC",'A5.CTC FY24'!L:L,"VNSC",'A5.CTC FY24'!M:M,"Posted")</f>
        <v>0</v>
      </c>
      <c r="AG43" s="936">
        <f>ROUND(SUMIFS('A5.CTC FY24'!K:K,'A5.CTC FY24'!E:E,'A0.LS'!E43,'A5.CTC FY24'!A:A,"VNSC",'A5.CTC FY24'!L:L,"EY",'A5.CTC FY24'!M:M,"Posted"),0)</f>
        <v>0</v>
      </c>
      <c r="AH43" s="936">
        <f>ROUND(SUM(AE43:AG43),0)</f>
        <v>0</v>
      </c>
      <c r="AI43" s="930"/>
      <c r="AJ43" s="936">
        <f>SUMIFS('TB.KCG.FY24'!I:I,'TB.KCG.FY24'!A:A,'A0.LS'!E43)</f>
        <v>0</v>
      </c>
      <c r="AK43" s="936">
        <f>ROUND(SUMIFS('A5.CTC FY24'!K:K,'A5.CTC FY24'!E:E,'A0.LS'!E43,'A5.CTC FY24'!A:A,'A0.LS'!$AK$5,'A5.CTC FY24'!L:L,"EY",'A5.CTC FY24'!M:M,"Posted"),0)</f>
        <v>0</v>
      </c>
      <c r="AL43" s="948">
        <f>ROUND(SUM(AJ43:AK43),0)</f>
        <v>0</v>
      </c>
      <c r="AM43" s="930"/>
      <c r="AN43" s="949">
        <f>ROUND(SUM(AT43,AH43,AC43),0)</f>
        <v>0</v>
      </c>
      <c r="AO43" s="950">
        <f>ROUND(SUMIFS('A5.Consol FY24'!L:L,'A5.Consol FY24'!M:M,"EY",'A5.Consol FY24'!N:N,"Posted",'A5.Consol FY24'!B:B,'A0.LS'!$AO$5,'A5.Consol FY24'!F:F,'A0.LS'!E43),0)</f>
        <v>0</v>
      </c>
      <c r="AP43" s="949">
        <f>ROUND(SUM(AN43:AO43),0)</f>
        <v>0</v>
      </c>
      <c r="AQ43" s="930"/>
      <c r="AR43" s="936">
        <f>ROUND(SUMIFS('TB.XH.FY24'!I:I,'TB.XH.FY24'!J:J,'A0.LS'!E43),0)</f>
        <v>0</v>
      </c>
      <c r="AS43" s="936">
        <f>ROUND(SUMIFS('A5.CTC FY24'!K:K,'A5.CTC FY24'!E:E,'A0.LS'!E43,'A5.CTC FY24'!A:A,'A0.LS'!$AS$5,'A5.CTC FY24'!L:L,"EY",'A5.CTC FY24'!M:M,"Posted"),0)</f>
        <v>0</v>
      </c>
      <c r="AT43" s="948">
        <f>ROUND(SUM(AR43:AS43),0)</f>
        <v>0</v>
      </c>
      <c r="AU43" s="930"/>
      <c r="AV43" s="951">
        <f>ROUND(SUM(AP43,AL43,L43),0)</f>
        <v>96677660</v>
      </c>
      <c r="AW43" s="952">
        <f>SUMIFS('A5.Consol FY24'!L:L,'A5.Consol FY24'!B:B,'A0.LS'!$AW$5,'A5.Consol FY24'!M:M,"EY",'A5.Consol FY24'!N:N,"Posted",'A5.Consol FY24'!F:F,'A0.LS'!E43)</f>
        <v>0</v>
      </c>
      <c r="AX43" s="951">
        <f>ROUND(SUM(AV43:AW43),0)</f>
        <v>96677660</v>
      </c>
      <c r="AY43" s="920"/>
      <c r="AZ43" s="936">
        <f>SUMIFS('TB.CTC.YE22'!Q:Q,'TB.CTC.YE22'!A:A,'A0.LS'!E43)</f>
        <v>0</v>
      </c>
      <c r="BA43" s="936">
        <f>ROUND(SUMIFS('A5.YE22'!J:J,'A5.YE22'!K:K,'A0.LS'!$BA$5,'A5.YE22'!L:L,"Posted",'A5.YE22'!D:D,'A0.LS'!E43),0)</f>
        <v>0</v>
      </c>
      <c r="BB43" s="936">
        <f>ROUND(SUM(AZ43:BA43),0)</f>
        <v>0</v>
      </c>
      <c r="BC43" s="937"/>
      <c r="BD43" s="936">
        <f>ROUND(SUMIFS('TB.VNSC.YE22'!L:L,'TB.VNSC.YE22'!A:A,'A0.LS'!E43),0)</f>
        <v>2456844200</v>
      </c>
      <c r="BE43" s="936">
        <f>ROUND(SUMIFS('A5.YE22'!J:J,'A5.YE22'!K:K,'A0.LS'!$BE$5,'A5.YE22'!L:L,"Posted",'A5.YE22'!D:D,'A0.LS'!E43),0)</f>
        <v>0</v>
      </c>
      <c r="BF43" s="936">
        <f>ROUND(SUM(BD43:BE43),0)</f>
        <v>2456844200</v>
      </c>
      <c r="BG43" s="937"/>
      <c r="BH43" s="936">
        <f>ROUND(SUMIFS('TB.XH.YE22'!P:P,'TB.XH.YE22'!A:A,'A0.LS'!E43),0)</f>
        <v>0</v>
      </c>
      <c r="BI43" s="936">
        <f>ROUND(SUMIFS('A5.YE22'!J:J,'A5.YE22'!K:K,"XH",'A5.YE22'!L:L,"Posted",'A5.YE22'!D:D,'A0.LS'!E43),0)</f>
        <v>0</v>
      </c>
      <c r="BJ43" s="936">
        <f>ROUND(SUM(BH43:BI43),0)</f>
        <v>0</v>
      </c>
      <c r="BK43" s="937"/>
      <c r="BL43" s="936">
        <f>ROUND(SUMIFS('TB.KCG.YE22'!P:P,'TB.KCG.YE22'!A:A,'A0.LS'!E43),0)</f>
        <v>0</v>
      </c>
      <c r="BM43" s="936">
        <f>ROUND(SUMIFS('A5.YE22'!J:J,'A5.YE22'!K:K,'A0.LS'!$BM$5,'A5.YE22'!L:L,"Posted",'A5.YE22'!D:D,'A0.LS'!E43),0)</f>
        <v>0</v>
      </c>
      <c r="BN43" s="936">
        <f>ROUND(SUM(BL43:BM43),0)</f>
        <v>0</v>
      </c>
      <c r="BO43" s="937"/>
      <c r="BP43" s="938">
        <v>28829765</v>
      </c>
      <c r="BQ43" s="938">
        <f>ROUND(SUMIFS('A5.YE22'!J:J,'A5.YE22'!K:K,'A0.LS'!$BQ$5,'A5.YE22'!L:L,"Posted",'A5.YE22'!D:D,'A0.LS'!E43),0)</f>
        <v>0</v>
      </c>
      <c r="BR43" s="938">
        <f>ROUND(SUM(BP43:BQ43),0)</f>
        <v>28829765</v>
      </c>
      <c r="BS43" s="850"/>
    </row>
    <row r="44" spans="1:71" ht="12.75">
      <c r="A44" s="850"/>
      <c r="B44" s="925"/>
      <c r="C44" s="926"/>
      <c r="D44" s="927"/>
      <c r="E44" s="928"/>
      <c r="F44" s="928"/>
      <c r="G44" s="928"/>
      <c r="H44" s="927"/>
      <c r="I44" s="929"/>
      <c r="J44" s="929"/>
      <c r="K44" s="929"/>
      <c r="L44" s="929"/>
      <c r="M44" s="930"/>
      <c r="N44" s="931"/>
      <c r="O44" s="931"/>
      <c r="P44" s="931"/>
      <c r="Q44" s="932"/>
      <c r="R44" s="898"/>
      <c r="S44" s="848"/>
      <c r="T44" s="946"/>
      <c r="U44" s="850"/>
      <c r="V44" s="850"/>
      <c r="W44" s="850"/>
      <c r="X44" s="947" t="s">
        <v>2227</v>
      </c>
      <c r="Y44" s="933"/>
      <c r="Z44" s="934"/>
      <c r="AA44" s="934"/>
      <c r="AB44" s="934"/>
      <c r="AC44" s="934"/>
      <c r="AD44" s="930"/>
      <c r="AE44" s="934"/>
      <c r="AF44" s="934"/>
      <c r="AG44" s="934"/>
      <c r="AH44" s="934"/>
      <c r="AI44" s="930"/>
      <c r="AJ44" s="934"/>
      <c r="AK44" s="934"/>
      <c r="AL44" s="934"/>
      <c r="AM44" s="930"/>
      <c r="AN44" s="935"/>
      <c r="AO44" s="935"/>
      <c r="AP44" s="935"/>
      <c r="AQ44" s="930"/>
      <c r="AR44" s="934"/>
      <c r="AS44" s="934"/>
      <c r="AT44" s="934"/>
      <c r="AU44" s="930"/>
      <c r="AV44" s="909"/>
      <c r="AW44" s="909"/>
      <c r="AX44" s="909"/>
      <c r="AY44" s="920"/>
      <c r="AZ44" s="936"/>
      <c r="BA44" s="936"/>
      <c r="BB44" s="936"/>
      <c r="BC44" s="937"/>
      <c r="BD44" s="936"/>
      <c r="BE44" s="936"/>
      <c r="BF44" s="936"/>
      <c r="BG44" s="937"/>
      <c r="BH44" s="936"/>
      <c r="BI44" s="936"/>
      <c r="BJ44" s="936"/>
      <c r="BK44" s="937"/>
      <c r="BL44" s="936"/>
      <c r="BM44" s="936"/>
      <c r="BN44" s="936"/>
      <c r="BO44" s="937"/>
      <c r="BP44" s="938"/>
      <c r="BQ44" s="938"/>
      <c r="BR44" s="938"/>
      <c r="BS44" s="850"/>
    </row>
    <row r="45" spans="1:71" s="1" customFormat="1" ht="12.75">
      <c r="B45" s="293"/>
      <c r="C45" s="294"/>
      <c r="D45" s="295"/>
      <c r="E45" s="75"/>
      <c r="F45" s="75" t="s">
        <v>2232</v>
      </c>
      <c r="G45" s="75"/>
      <c r="H45" s="295"/>
      <c r="I45" s="68">
        <f>SUM(I46:I61)</f>
        <v>36439295267</v>
      </c>
      <c r="J45" s="68">
        <f>SUM(J46:J61)</f>
        <v>18691677</v>
      </c>
      <c r="K45" s="68">
        <f>SUM(K46:K61)</f>
        <v>-2521768742</v>
      </c>
      <c r="L45" s="68">
        <f>SUM(L46:L61)</f>
        <v>33936218202</v>
      </c>
      <c r="M45" s="296"/>
      <c r="N45" s="69">
        <f>SUM(N46:N61)</f>
        <v>38628183324</v>
      </c>
      <c r="O45" s="69">
        <f>SUM(O46:O61)</f>
        <v>-42720446</v>
      </c>
      <c r="P45" s="69">
        <f>SUM(P46:P61)</f>
        <v>15472671080</v>
      </c>
      <c r="Q45" s="70">
        <f>SUM(Q46:Q61)</f>
        <v>54058133958</v>
      </c>
      <c r="R45" s="298"/>
      <c r="S45" s="175">
        <f t="shared" ref="S45:S61" si="20">L45-Q45</f>
        <v>-20121915756</v>
      </c>
      <c r="T45" s="176">
        <f t="shared" ref="T45:T61" si="21">IFERROR(S45/Q45,"To check")</f>
        <v>-0.37222734642733968</v>
      </c>
      <c r="X45" s="947" t="s">
        <v>2227</v>
      </c>
      <c r="Y45" s="304"/>
      <c r="Z45" s="235">
        <f>SUM(Z46:Z61)</f>
        <v>107245422</v>
      </c>
      <c r="AA45" s="235">
        <f>SUM(AA46:AA61)</f>
        <v>0</v>
      </c>
      <c r="AB45" s="235">
        <f>SUM(AB46:AB61)</f>
        <v>0</v>
      </c>
      <c r="AC45" s="235">
        <f>SUM(AC46:AC61)</f>
        <v>107245422</v>
      </c>
      <c r="AD45" s="236"/>
      <c r="AE45" s="235">
        <f>SUM(AE46:AE61)</f>
        <v>12468335701</v>
      </c>
      <c r="AF45" s="235">
        <f>SUM(AF46:AF61)</f>
        <v>0</v>
      </c>
      <c r="AG45" s="235">
        <f>SUM(AG46:AG61)</f>
        <v>0</v>
      </c>
      <c r="AH45" s="235">
        <f>SUM(AH46:AH61)</f>
        <v>12468335701</v>
      </c>
      <c r="AI45" s="236"/>
      <c r="AJ45" s="235">
        <f>SUM(AJ46:AJ61)</f>
        <v>0</v>
      </c>
      <c r="AK45" s="235">
        <f>SUM(AK46:AK61)</f>
        <v>0</v>
      </c>
      <c r="AL45" s="235">
        <f>SUM(AL46:AL61)</f>
        <v>0</v>
      </c>
      <c r="AM45" s="236"/>
      <c r="AN45" s="237">
        <f>SUM(AN46:AN61)</f>
        <v>12595942366</v>
      </c>
      <c r="AO45" s="237">
        <f>SUM(AO46:AO61)</f>
        <v>-2031754198</v>
      </c>
      <c r="AP45" s="237">
        <f>SUM(AP46:AP61)</f>
        <v>10564188168</v>
      </c>
      <c r="AQ45" s="236"/>
      <c r="AR45" s="235">
        <f>SUM(AR46:AR61)</f>
        <v>20361243</v>
      </c>
      <c r="AS45" s="235">
        <f>SUM(AS46:AS61)</f>
        <v>0</v>
      </c>
      <c r="AT45" s="235">
        <f>SUM(AT46:AT61)</f>
        <v>20361243</v>
      </c>
      <c r="AU45" s="236"/>
      <c r="AV45" s="238">
        <f>SUM(AV46:AV61)</f>
        <v>44500406370</v>
      </c>
      <c r="AW45" s="238">
        <f>SUM(AW46:AW61)</f>
        <v>-19000937</v>
      </c>
      <c r="AX45" s="238">
        <f>SUM(AX46:AX61)</f>
        <v>44481405433</v>
      </c>
      <c r="AY45" s="614"/>
      <c r="AZ45" s="235">
        <f>SUM(AZ46:AZ61)</f>
        <v>-36045321</v>
      </c>
      <c r="BA45" s="235">
        <f>SUM(BA46:BA61)</f>
        <v>0</v>
      </c>
      <c r="BB45" s="235">
        <f>SUM(BB46:BB61)</f>
        <v>-36045321</v>
      </c>
      <c r="BC45" s="236"/>
      <c r="BD45" s="235">
        <f>SUM(BD46:BD61)</f>
        <v>6944399124</v>
      </c>
      <c r="BE45" s="235">
        <f>SUM(BE46:BE61)</f>
        <v>582000</v>
      </c>
      <c r="BF45" s="235">
        <f>SUM(BF46:BF61)</f>
        <v>6944981124</v>
      </c>
      <c r="BG45" s="236"/>
      <c r="BH45" s="235">
        <f>SUM(BH46:BH61)</f>
        <v>16000000</v>
      </c>
      <c r="BI45" s="235">
        <f>SUM(BI46:BI61)</f>
        <v>0</v>
      </c>
      <c r="BJ45" s="235">
        <f>SUM(BJ46:BJ61)</f>
        <v>16000000</v>
      </c>
      <c r="BK45" s="236"/>
      <c r="BL45" s="235">
        <f>SUM(BL46:BL61)</f>
        <v>0</v>
      </c>
      <c r="BM45" s="235">
        <f>SUM(BM46:BM61)</f>
        <v>0</v>
      </c>
      <c r="BN45" s="235">
        <f>SUM(BN46:BN61)</f>
        <v>0</v>
      </c>
      <c r="BO45" s="236"/>
      <c r="BP45" s="443">
        <f>SUM(BP46:BP61)</f>
        <v>55104397024</v>
      </c>
      <c r="BQ45" s="443">
        <f>SUM(BQ46:BQ61)</f>
        <v>-2677115209</v>
      </c>
      <c r="BR45" s="443">
        <f>SUM(BR46:BR61)</f>
        <v>52427281815</v>
      </c>
    </row>
    <row r="46" spans="1:71" ht="12.75">
      <c r="A46" s="850"/>
      <c r="B46" s="939">
        <v>136</v>
      </c>
      <c r="C46" s="940" t="s">
        <v>2233</v>
      </c>
      <c r="D46" s="941" t="s">
        <v>2233</v>
      </c>
      <c r="E46" s="928" t="s">
        <v>1221</v>
      </c>
      <c r="F46" s="928" t="s">
        <v>2234</v>
      </c>
      <c r="G46" s="927" t="s">
        <v>2206</v>
      </c>
      <c r="H46" s="927" t="s">
        <v>675</v>
      </c>
      <c r="I46" s="942">
        <f>SUMIFS('TB.CTy Me.FY2024'!I:I,'TB.CTy Me.FY2024'!A:A,'A0.LS'!E46)</f>
        <v>0</v>
      </c>
      <c r="J46" s="942">
        <f>ROUND(SUMIFS('A5.FY24'!K:K,'A5.FY24'!E:E,'A0.LS'!E46,'A5.FY24'!L:L,"Finhay",'A5.FY24'!M:M,"Posted"),0)</f>
        <v>0</v>
      </c>
      <c r="K46" s="942">
        <f>ROUND(SUMIFS('A5.FY24'!K:K,'A5.FY24'!E:E,'A0.LS'!E46,'A5.FY24'!L:L,"EY",'A5.FY24'!M:M,"Posted"),0)</f>
        <v>0</v>
      </c>
      <c r="L46" s="943">
        <f t="shared" ref="L46:L61" si="22">ROUND(SUM(I46:K46),0)</f>
        <v>0</v>
      </c>
      <c r="M46" s="930"/>
      <c r="N46" s="944">
        <f>SUMIFS('TB.CTM.YE23'!I:I,'TB.CTM.YE23'!A:A,'A0.LS'!E46)</f>
        <v>0</v>
      </c>
      <c r="O46" s="944">
        <v>0</v>
      </c>
      <c r="P46" s="944">
        <v>0</v>
      </c>
      <c r="Q46" s="945">
        <f t="shared" ref="Q46:Q61" si="23">ROUND(SUM(N46:P46),0)</f>
        <v>0</v>
      </c>
      <c r="R46" s="898"/>
      <c r="S46" s="848">
        <f t="shared" si="20"/>
        <v>0</v>
      </c>
      <c r="T46" s="946" t="str">
        <f t="shared" si="21"/>
        <v>To check</v>
      </c>
      <c r="U46" s="850"/>
      <c r="V46" s="850" t="s">
        <v>2235</v>
      </c>
      <c r="W46" s="850"/>
      <c r="X46" s="933"/>
      <c r="Y46" s="947" t="s">
        <v>2221</v>
      </c>
      <c r="Z46" s="936">
        <f>ROUND(SUMIFS('TB.Cty Con.FY24'!I:I,'TB.Cty Con.FY24'!A:A,'A0.LS'!E46),0)</f>
        <v>0</v>
      </c>
      <c r="AA46" s="936">
        <f>ROUND(SUMIFS('A5.CTC FY24'!K:K,'A5.CTC FY24'!E:E,'A0.LS'!E46,'A5.CTC FY24'!A:A,'A0.LS'!$AA$5,'A5.CTC FY24'!L:L,"Finhay",'A5.CTC FY24'!M:M,"Posted"),0)</f>
        <v>0</v>
      </c>
      <c r="AB46" s="936">
        <f>ROUND(SUMIFS('A5.CTC FY24'!K:K,'A5.CTC FY24'!E:E,'A0.LS'!E46,'A5.CTC FY24'!A:A,'A0.LS'!$AB$5,'A5.CTC FY24'!L:L,"EY",'A5.CTC FY24'!M:M,"Posted"),0)</f>
        <v>0</v>
      </c>
      <c r="AC46" s="948">
        <f t="shared" ref="AC46:AC61" si="24">ROUND(SUM(Z46:AB46),0)</f>
        <v>0</v>
      </c>
      <c r="AD46" s="930"/>
      <c r="AE46" s="936">
        <f>ROUND(SUMIFS('TB VNSC FY24'!M:M,'TB VNSC FY24'!N:N,'A0.LS'!E46),0)</f>
        <v>3225510055</v>
      </c>
      <c r="AF46" s="936">
        <f>SUMIFS('A5.CTC FY24'!K:K,'A5.CTC FY24'!E:E,'A0.LS'!E46,'A5.CTC FY24'!A:A,"VNSC",'A5.CTC FY24'!L:L,"VNSC",'A5.CTC FY24'!M:M,"Posted")</f>
        <v>0</v>
      </c>
      <c r="AG46" s="936">
        <f>ROUND(SUMIFS('A5.CTC FY24'!K:K,'A5.CTC FY24'!E:E,'A0.LS'!E46,'A5.CTC FY24'!A:A,"VNSC",'A5.CTC FY24'!L:L,"EY",'A5.CTC FY24'!M:M,"Posted"),0)</f>
        <v>0</v>
      </c>
      <c r="AH46" s="936">
        <f t="shared" ref="AH46:AH61" si="25">ROUND(SUM(AE46:AG46),0)</f>
        <v>3225510055</v>
      </c>
      <c r="AI46" s="930"/>
      <c r="AJ46" s="936">
        <f>SUMIFS('TB.KCG.FY24'!I:I,'TB.KCG.FY24'!A:A,'A0.LS'!E46)</f>
        <v>0</v>
      </c>
      <c r="AK46" s="936">
        <f>ROUND(SUMIFS('A5.CTC FY24'!K:K,'A5.CTC FY24'!E:E,'A0.LS'!E46,'A5.CTC FY24'!A:A,'A0.LS'!$AK$5,'A5.CTC FY24'!L:L,"EY",'A5.CTC FY24'!M:M,"Posted"),0)</f>
        <v>0</v>
      </c>
      <c r="AL46" s="948">
        <f t="shared" ref="AL46:AL61" si="26">ROUND(SUM(AJ46:AK46),0)</f>
        <v>0</v>
      </c>
      <c r="AM46" s="930"/>
      <c r="AN46" s="949">
        <f>ROUND(SUM(AT46,AH46,AC46),0)</f>
        <v>3225510055</v>
      </c>
      <c r="AO46" s="950">
        <f>ROUND(SUMIFS('A5.Consol FY24'!L:L,'A5.Consol FY24'!M:M,"EY",'A5.Consol FY24'!N:N,"Posted",'A5.Consol FY24'!B:B,'A0.LS'!$AO$5,'A5.Consol FY24'!F:F,'A0.LS'!E46),0)</f>
        <v>-2031754198</v>
      </c>
      <c r="AP46" s="949">
        <f t="shared" ref="AP46:AP61" si="27">ROUND(SUM(AN46:AO46),0)</f>
        <v>1193755857</v>
      </c>
      <c r="AQ46" s="930"/>
      <c r="AR46" s="936">
        <f>ROUND(SUMIFS('TB.XH.FY24'!I:I,'TB.XH.FY24'!J:J,'A0.LS'!E46),0)</f>
        <v>0</v>
      </c>
      <c r="AS46" s="936">
        <f>ROUND(SUMIFS('A5.CTC FY24'!K:K,'A5.CTC FY24'!E:E,'A0.LS'!E46,'A5.CTC FY24'!A:A,'A0.LS'!$AS$5,'A5.CTC FY24'!L:L,"EY",'A5.CTC FY24'!M:M,"Posted"),0)</f>
        <v>0</v>
      </c>
      <c r="AT46" s="948">
        <f t="shared" ref="AT46:AT61" si="28">ROUND(SUM(AR46:AS46),0)</f>
        <v>0</v>
      </c>
      <c r="AU46" s="930"/>
      <c r="AV46" s="951">
        <f t="shared" ref="AV46:AV61" si="29">ROUND(SUM(AP46,AL46,L46),0)</f>
        <v>1193755857</v>
      </c>
      <c r="AW46" s="952">
        <f>SUMIFS('A5.Consol FY24'!L:L,'A5.Consol FY24'!B:B,'A0.LS'!$AW$5,'A5.Consol FY24'!M:M,"EY",'A5.Consol FY24'!N:N,"Posted",'A5.Consol FY24'!F:F,'A0.LS'!E46)</f>
        <v>0</v>
      </c>
      <c r="AX46" s="951">
        <f>ROUND(SUM(AV46:AW46),0)</f>
        <v>1193755857</v>
      </c>
      <c r="AY46" s="920" t="s">
        <v>2236</v>
      </c>
      <c r="AZ46" s="936">
        <f>SUMIFS('TB.CTC.YE22'!Q:Q,'TB.CTC.YE22'!A:A,'A0.LS'!E46)</f>
        <v>0</v>
      </c>
      <c r="BA46" s="936">
        <f>ROUND(SUMIFS('A5.YE22'!J:J,'A5.YE22'!K:K,'A0.LS'!$BA$5,'A5.YE22'!L:L,"Posted",'A5.YE22'!D:D,'A0.LS'!E46),0)</f>
        <v>0</v>
      </c>
      <c r="BB46" s="936">
        <f t="shared" ref="BB46:BB61" si="30">ROUND(SUM(AZ46:BA46),0)</f>
        <v>0</v>
      </c>
      <c r="BC46" s="937"/>
      <c r="BD46" s="936">
        <f>ROUND(SUMIFS('TB.VNSC.YE22'!L:L,'TB.VNSC.YE22'!A:A,'A0.LS'!E46),0)</f>
        <v>1575644257</v>
      </c>
      <c r="BE46" s="936">
        <f>ROUND(SUMIFS('A5.YE22'!J:J,'A5.YE22'!K:K,'A0.LS'!$BE$5,'A5.YE22'!L:L,"Posted",'A5.YE22'!D:D,'A0.LS'!E46),0)</f>
        <v>-1537570122</v>
      </c>
      <c r="BF46" s="936">
        <f t="shared" ref="BF46:BF61" si="31">ROUND(SUM(BD46:BE46),0)</f>
        <v>38074135</v>
      </c>
      <c r="BG46" s="937"/>
      <c r="BH46" s="936">
        <f>ROUND(SUMIFS('TB.XH.YE22'!P:P,'TB.XH.YE22'!A:A,'A0.LS'!E46),0)</f>
        <v>0</v>
      </c>
      <c r="BI46" s="936">
        <f>ROUND(SUMIFS('A5.YE22'!J:J,'A5.YE22'!K:K,"XH",'A5.YE22'!L:L,"Posted",'A5.YE22'!D:D,'A0.LS'!E46),0)</f>
        <v>0</v>
      </c>
      <c r="BJ46" s="936">
        <f t="shared" ref="BJ46:BJ61" si="32">ROUND(SUM(BH46:BI46),0)</f>
        <v>0</v>
      </c>
      <c r="BK46" s="937"/>
      <c r="BL46" s="936">
        <f>ROUND(SUMIFS('TB.KCG.YE22'!P:P,'TB.KCG.YE22'!A:A,'A0.LS'!E46),0)</f>
        <v>0</v>
      </c>
      <c r="BM46" s="936">
        <f>ROUND(SUMIFS('A5.YE22'!J:J,'A5.YE22'!K:K,'A0.LS'!$BM$5,'A5.YE22'!L:L,"Posted",'A5.YE22'!D:D,'A0.LS'!E46),0)</f>
        <v>0</v>
      </c>
      <c r="BN46" s="936">
        <f t="shared" ref="BN46:BN61" si="33">ROUND(SUM(BL46:BM46),0)</f>
        <v>0</v>
      </c>
      <c r="BO46" s="937"/>
      <c r="BP46" s="938">
        <v>724534352</v>
      </c>
      <c r="BQ46" s="938">
        <f>ROUND(SUMIFS('A5.YE22'!J:J,'A5.YE22'!K:K,'A0.LS'!$BQ$5,'A5.YE22'!L:L,"Posted",'A5.YE22'!D:D,'A0.LS'!E46),0)</f>
        <v>0</v>
      </c>
      <c r="BR46" s="938">
        <f t="shared" ref="BR46:BR61" si="34">ROUND(SUM(BP46:BQ46),0)</f>
        <v>724534352</v>
      </c>
      <c r="BS46" s="850" t="s">
        <v>2237</v>
      </c>
    </row>
    <row r="47" spans="1:71" ht="12.75">
      <c r="A47" s="850"/>
      <c r="B47" s="939">
        <v>136</v>
      </c>
      <c r="C47" s="940" t="s">
        <v>2220</v>
      </c>
      <c r="D47" s="941" t="s">
        <v>2220</v>
      </c>
      <c r="E47" s="954" t="s">
        <v>2238</v>
      </c>
      <c r="F47" s="928" t="s">
        <v>56</v>
      </c>
      <c r="G47" s="927" t="s">
        <v>2206</v>
      </c>
      <c r="H47" s="927" t="s">
        <v>675</v>
      </c>
      <c r="I47" s="942">
        <f>SUMIFS('TB.CTy Me.FY2024'!I:I,'TB.CTy Me.FY2024'!A:A,'A0.LS'!E47)</f>
        <v>0</v>
      </c>
      <c r="J47" s="942">
        <f>ROUND(SUMIFS('A5.FY24'!K:K,'A5.FY24'!E:E,'A0.LS'!E47,'A5.FY24'!L:L,"Finhay",'A5.FY24'!M:M,"Posted"),0)</f>
        <v>0</v>
      </c>
      <c r="K47" s="942">
        <f>ROUND(SUMIFS('A5.FY24'!K:K,'A5.FY24'!E:E,'A0.LS'!E47,'A5.FY24'!L:L,"EY",'A5.FY24'!M:M,"Posted"),0)</f>
        <v>0</v>
      </c>
      <c r="L47" s="943">
        <f t="shared" si="22"/>
        <v>0</v>
      </c>
      <c r="M47" s="930"/>
      <c r="N47" s="944">
        <f>SUMIFS('TB.CTM.YE23'!I:I,'TB.CTM.YE23'!A:A,'A0.LS'!E47)</f>
        <v>0</v>
      </c>
      <c r="O47" s="944">
        <v>0</v>
      </c>
      <c r="P47" s="944">
        <v>0</v>
      </c>
      <c r="Q47" s="945">
        <f t="shared" si="23"/>
        <v>0</v>
      </c>
      <c r="R47" s="898"/>
      <c r="S47" s="848">
        <f t="shared" si="20"/>
        <v>0</v>
      </c>
      <c r="T47" s="946" t="str">
        <f t="shared" si="21"/>
        <v>To check</v>
      </c>
      <c r="U47" s="850"/>
      <c r="V47" s="850" t="s">
        <v>2231</v>
      </c>
      <c r="W47" s="850"/>
      <c r="X47" s="304"/>
      <c r="Y47" s="947" t="s">
        <v>2221</v>
      </c>
      <c r="Z47" s="936">
        <f>ROUND(SUMIFS('TB.Cty Con.FY24'!I:I,'TB.Cty Con.FY24'!A:A,'A0.LS'!E47),0)</f>
        <v>0</v>
      </c>
      <c r="AA47" s="936">
        <f>ROUND(SUMIFS('A5.CTC FY24'!K:K,'A5.CTC FY24'!E:E,'A0.LS'!E47,'A5.CTC FY24'!A:A,'A0.LS'!$AA$5,'A5.CTC FY24'!L:L,"Finhay",'A5.CTC FY24'!M:M,"Posted"),0)</f>
        <v>0</v>
      </c>
      <c r="AB47" s="936">
        <f>ROUND(SUMIFS('A5.CTC FY24'!K:K,'A5.CTC FY24'!E:E,'A0.LS'!E47,'A5.CTC FY24'!A:A,'A0.LS'!$AB$5,'A5.CTC FY24'!L:L,"EY",'A5.CTC FY24'!M:M,"Posted"),0)</f>
        <v>0</v>
      </c>
      <c r="AC47" s="948">
        <f t="shared" si="24"/>
        <v>0</v>
      </c>
      <c r="AD47" s="930"/>
      <c r="AE47" s="936">
        <f>ROUND(SUMIFS('TB VNSC FY24'!M:M,'TB VNSC FY24'!N:N,'A0.LS'!E47),0)</f>
        <v>0</v>
      </c>
      <c r="AF47" s="936">
        <f>SUMIFS('A5.CTC FY24'!K:K,'A5.CTC FY24'!E:E,'A0.LS'!E47,'A5.CTC FY24'!A:A,"VNSC",'A5.CTC FY24'!L:L,"VNSC",'A5.CTC FY24'!M:M,"Posted")</f>
        <v>0</v>
      </c>
      <c r="AG47" s="936">
        <f>ROUND(SUMIFS('A5.CTC FY24'!K:K,'A5.CTC FY24'!E:E,'A0.LS'!E47,'A5.CTC FY24'!A:A,"VNSC",'A5.CTC FY24'!L:L,"EY",'A5.CTC FY24'!M:M,"Posted"),0)</f>
        <v>0</v>
      </c>
      <c r="AH47" s="936">
        <f t="shared" si="25"/>
        <v>0</v>
      </c>
      <c r="AI47" s="930"/>
      <c r="AJ47" s="936">
        <f>SUMIFS('TB.KCG.FY24'!I:I,'TB.KCG.FY24'!A:A,'A0.LS'!E47)</f>
        <v>0</v>
      </c>
      <c r="AK47" s="936">
        <f>ROUND(SUMIFS('A5.CTC FY24'!K:K,'A5.CTC FY24'!E:E,'A0.LS'!E47,'A5.CTC FY24'!A:A,'A0.LS'!$AK$5,'A5.CTC FY24'!L:L,"EY",'A5.CTC FY24'!M:M,"Posted"),0)</f>
        <v>0</v>
      </c>
      <c r="AL47" s="948">
        <f t="shared" si="26"/>
        <v>0</v>
      </c>
      <c r="AM47" s="930"/>
      <c r="AN47" s="949">
        <f t="shared" ref="AN47:AN61" si="35">ROUND(SUM(AT47,AH47,AC47),0)</f>
        <v>0</v>
      </c>
      <c r="AO47" s="950">
        <f>ROUND(SUMIFS('A5.Consol FY24'!L:L,'A5.Consol FY24'!M:M,"EY",'A5.Consol FY24'!N:N,"Posted",'A5.Consol FY24'!B:B,'A0.LS'!$AO$5,'A5.Consol FY24'!F:F,'A0.LS'!E47),0)</f>
        <v>0</v>
      </c>
      <c r="AP47" s="949">
        <f t="shared" si="27"/>
        <v>0</v>
      </c>
      <c r="AQ47" s="930"/>
      <c r="AR47" s="936">
        <f>ROUND(SUMIFS('TB.XH.FY24'!I:I,'TB.XH.FY24'!J:J,'A0.LS'!E47),0)</f>
        <v>0</v>
      </c>
      <c r="AS47" s="936">
        <f>ROUND(SUMIFS('A5.CTC FY24'!K:K,'A5.CTC FY24'!E:E,'A0.LS'!E47,'A5.CTC FY24'!A:A,'A0.LS'!$AS$5,'A5.CTC FY24'!L:L,"EY",'A5.CTC FY24'!M:M,"Posted"),0)</f>
        <v>0</v>
      </c>
      <c r="AT47" s="948">
        <f t="shared" si="28"/>
        <v>0</v>
      </c>
      <c r="AU47" s="930"/>
      <c r="AV47" s="951">
        <f t="shared" si="29"/>
        <v>0</v>
      </c>
      <c r="AW47" s="952">
        <f>SUMIFS('A5.Consol FY24'!L:L,'A5.Consol FY24'!B:B,'A0.LS'!$AW$5,'A5.Consol FY24'!M:M,"EY",'A5.Consol FY24'!N:N,"Posted",'A5.Consol FY24'!F:F,'A0.LS'!E47)</f>
        <v>0</v>
      </c>
      <c r="AX47" s="951">
        <f t="shared" ref="AX47:AX61" si="36">ROUND(SUM(AV47:AW47),0)</f>
        <v>0</v>
      </c>
      <c r="AY47" s="920"/>
      <c r="AZ47" s="936">
        <f>SUMIFS('TB.CTC.YE22'!Q:Q,'TB.CTC.YE22'!A:A,'A0.LS'!E47)</f>
        <v>0</v>
      </c>
      <c r="BA47" s="936">
        <f>ROUND(SUMIFS('A5.YE22'!J:J,'A5.YE22'!K:K,'A0.LS'!$BA$5,'A5.YE22'!L:L,"Posted",'A5.YE22'!D:D,'A0.LS'!E47),0)</f>
        <v>0</v>
      </c>
      <c r="BB47" s="936">
        <f t="shared" si="30"/>
        <v>0</v>
      </c>
      <c r="BC47" s="937"/>
      <c r="BD47" s="936">
        <f>ROUND(SUMIFS('TB.VNSC.YE22'!L:L,'TB.VNSC.YE22'!A:A,'A0.LS'!E47),0)</f>
        <v>0</v>
      </c>
      <c r="BE47" s="936">
        <f>ROUND(SUMIFS('A5.YE22'!J:J,'A5.YE22'!K:K,'A0.LS'!$BE$5,'A5.YE22'!L:L,"Posted",'A5.YE22'!D:D,'A0.LS'!E47),0)</f>
        <v>0</v>
      </c>
      <c r="BF47" s="936">
        <f t="shared" si="31"/>
        <v>0</v>
      </c>
      <c r="BG47" s="937"/>
      <c r="BH47" s="936">
        <f>ROUND(SUMIFS('TB.XH.YE22'!P:P,'TB.XH.YE22'!A:A,'A0.LS'!E47),0)</f>
        <v>0</v>
      </c>
      <c r="BI47" s="936">
        <f>ROUND(SUMIFS('A5.YE22'!J:J,'A5.YE22'!K:K,"XH",'A5.YE22'!L:L,"Posted",'A5.YE22'!D:D,'A0.LS'!E47),0)</f>
        <v>0</v>
      </c>
      <c r="BJ47" s="936">
        <f t="shared" si="32"/>
        <v>0</v>
      </c>
      <c r="BK47" s="937"/>
      <c r="BL47" s="936">
        <f>ROUND(SUMIFS('TB.KCG.YE22'!P:P,'TB.KCG.YE22'!A:A,'A0.LS'!E47),0)</f>
        <v>0</v>
      </c>
      <c r="BM47" s="936">
        <f>ROUND(SUMIFS('A5.YE22'!J:J,'A5.YE22'!K:K,'A0.LS'!$BM$5,'A5.YE22'!L:L,"Posted",'A5.YE22'!D:D,'A0.LS'!E47),0)</f>
        <v>0</v>
      </c>
      <c r="BN47" s="936">
        <f t="shared" si="33"/>
        <v>0</v>
      </c>
      <c r="BO47" s="937"/>
      <c r="BP47" s="938">
        <v>0</v>
      </c>
      <c r="BQ47" s="938">
        <f>ROUND(SUMIFS('A5.YE22'!J:J,'A5.YE22'!K:K,'A0.LS'!$BQ$5,'A5.YE22'!L:L,"Posted",'A5.YE22'!D:D,'A0.LS'!E47),0)</f>
        <v>0</v>
      </c>
      <c r="BR47" s="938">
        <f t="shared" si="34"/>
        <v>0</v>
      </c>
      <c r="BS47" s="850"/>
    </row>
    <row r="48" spans="1:71" ht="12.75">
      <c r="A48" s="850" t="s">
        <v>681</v>
      </c>
      <c r="B48" s="939">
        <v>136</v>
      </c>
      <c r="C48" s="940" t="s">
        <v>2239</v>
      </c>
      <c r="D48" s="941" t="s">
        <v>2239</v>
      </c>
      <c r="E48" s="928" t="s">
        <v>64</v>
      </c>
      <c r="F48" s="928" t="s">
        <v>2240</v>
      </c>
      <c r="G48" s="927" t="s">
        <v>2206</v>
      </c>
      <c r="H48" s="927" t="s">
        <v>675</v>
      </c>
      <c r="I48" s="942">
        <f>SUMIFS('TB.CTy Me.FY2024'!I:I,'TB.CTy Me.FY2024'!A:A,'A0.LS'!E48)</f>
        <v>31526322962</v>
      </c>
      <c r="J48" s="942">
        <f>ROUND(SUMIFS('A5.FY24'!K:K,'A5.FY24'!E:E,'A0.LS'!E48,'A5.FY24'!L:L,"Finhay",'A5.FY24'!M:M,"Posted"),0)</f>
        <v>0</v>
      </c>
      <c r="K48" s="942">
        <f>ROUND(SUMIFS('A5.FY24'!K:K,'A5.FY24'!E:E,'A0.LS'!E48,'A5.FY24'!L:L,"EY",'A5.FY24'!M:M,"Posted"),0)</f>
        <v>-6167802829</v>
      </c>
      <c r="L48" s="1496">
        <f t="shared" si="22"/>
        <v>25358520133</v>
      </c>
      <c r="M48" s="930"/>
      <c r="N48" s="944">
        <f>SUMIFS('TB.CTM.YE23'!I:I,'TB.CTM.YE23'!A:A,'A0.LS'!E48)</f>
        <v>-6933247140</v>
      </c>
      <c r="O48" s="944">
        <v>0</v>
      </c>
      <c r="P48" s="944">
        <v>16007866025</v>
      </c>
      <c r="Q48" s="945">
        <f t="shared" si="23"/>
        <v>9074618885</v>
      </c>
      <c r="R48" s="898"/>
      <c r="S48" s="848">
        <f t="shared" si="20"/>
        <v>16283901248</v>
      </c>
      <c r="T48" s="946">
        <f t="shared" si="21"/>
        <v>1.7944446432804655</v>
      </c>
      <c r="U48" s="850"/>
      <c r="V48" s="850" t="s">
        <v>2241</v>
      </c>
      <c r="W48" s="850"/>
      <c r="X48" s="947" t="s">
        <v>2227</v>
      </c>
      <c r="Y48" s="947" t="s">
        <v>2221</v>
      </c>
      <c r="Z48" s="936">
        <f>ROUND(SUMIFS('TB.Cty Con.FY24'!I:I,'TB.Cty Con.FY24'!A:A,'A0.LS'!E48),0)</f>
        <v>0</v>
      </c>
      <c r="AA48" s="936">
        <f>ROUND(SUMIFS('A5.CTC FY24'!K:K,'A5.CTC FY24'!E:E,'A0.LS'!E48,'A5.CTC FY24'!A:A,'A0.LS'!$AA$5,'A5.CTC FY24'!L:L,"Finhay",'A5.CTC FY24'!M:M,"Posted"),0)</f>
        <v>0</v>
      </c>
      <c r="AB48" s="936">
        <f>ROUND(SUMIFS('A5.CTC FY24'!K:K,'A5.CTC FY24'!E:E,'A0.LS'!E48,'A5.CTC FY24'!A:A,'A0.LS'!$AB$5,'A5.CTC FY24'!L:L,"EY",'A5.CTC FY24'!M:M,"Posted"),0)</f>
        <v>0</v>
      </c>
      <c r="AC48" s="948">
        <f t="shared" si="24"/>
        <v>0</v>
      </c>
      <c r="AD48" s="930"/>
      <c r="AE48" s="936">
        <f>ROUND(SUMIFS('TB VNSC FY24'!M:M,'TB VNSC FY24'!N:N,'A0.LS'!E48),0)</f>
        <v>0</v>
      </c>
      <c r="AF48" s="936">
        <f>SUMIFS('A5.CTC FY24'!K:K,'A5.CTC FY24'!E:E,'A0.LS'!E48,'A5.CTC FY24'!A:A,"VNSC",'A5.CTC FY24'!L:L,"VNSC",'A5.CTC FY24'!M:M,"Posted")</f>
        <v>0</v>
      </c>
      <c r="AG48" s="936">
        <f>ROUND(SUMIFS('A5.CTC FY24'!K:K,'A5.CTC FY24'!E:E,'A0.LS'!E48,'A5.CTC FY24'!A:A,"VNSC",'A5.CTC FY24'!L:L,"EY",'A5.CTC FY24'!M:M,"Posted"),0)</f>
        <v>0</v>
      </c>
      <c r="AH48" s="936">
        <f t="shared" si="25"/>
        <v>0</v>
      </c>
      <c r="AI48" s="930"/>
      <c r="AJ48" s="936">
        <f>SUMIFS('TB.KCG.FY24'!I:I,'TB.KCG.FY24'!A:A,'A0.LS'!E48)</f>
        <v>0</v>
      </c>
      <c r="AK48" s="936">
        <f>ROUND(SUMIFS('A5.CTC FY24'!K:K,'A5.CTC FY24'!E:E,'A0.LS'!E48,'A5.CTC FY24'!A:A,'A0.LS'!$AK$5,'A5.CTC FY24'!L:L,"EY",'A5.CTC FY24'!M:M,"Posted"),0)</f>
        <v>0</v>
      </c>
      <c r="AL48" s="948">
        <f t="shared" si="26"/>
        <v>0</v>
      </c>
      <c r="AM48" s="930"/>
      <c r="AN48" s="949">
        <f t="shared" si="35"/>
        <v>0</v>
      </c>
      <c r="AO48" s="950">
        <f>ROUND(SUMIFS('A5.Consol FY24'!L:L,'A5.Consol FY24'!M:M,"EY",'A5.Consol FY24'!N:N,"Posted",'A5.Consol FY24'!B:B,'A0.LS'!$AO$5,'A5.Consol FY24'!F:F,'A0.LS'!E48),0)</f>
        <v>0</v>
      </c>
      <c r="AP48" s="949">
        <f t="shared" si="27"/>
        <v>0</v>
      </c>
      <c r="AQ48" s="930"/>
      <c r="AR48" s="936">
        <f>ROUND(SUMIFS('TB.XH.FY24'!I:I,'TB.XH.FY24'!J:J,'A0.LS'!E48),0)</f>
        <v>0</v>
      </c>
      <c r="AS48" s="936">
        <f>ROUND(SUMIFS('A5.CTC FY24'!K:K,'A5.CTC FY24'!E:E,'A0.LS'!E48,'A5.CTC FY24'!A:A,'A0.LS'!$AS$5,'A5.CTC FY24'!L:L,"EY",'A5.CTC FY24'!M:M,"Posted"),0)</f>
        <v>0</v>
      </c>
      <c r="AT48" s="948">
        <f t="shared" si="28"/>
        <v>0</v>
      </c>
      <c r="AU48" s="930"/>
      <c r="AV48" s="537">
        <f t="shared" si="29"/>
        <v>25358520133</v>
      </c>
      <c r="AW48" s="952">
        <f>SUMIFS('A5.Consol FY24'!L:L,'A5.Consol FY24'!B:B,'A0.LS'!$AW$5,'A5.Consol FY24'!M:M,"EY",'A5.Consol FY24'!N:N,"Posted",'A5.Consol FY24'!F:F,'A0.LS'!E48)</f>
        <v>0</v>
      </c>
      <c r="AX48" s="951">
        <f t="shared" si="36"/>
        <v>25358520133</v>
      </c>
      <c r="AY48" s="920"/>
      <c r="AZ48" s="936">
        <f>SUMIFS('TB.CTC.YE22'!Q:Q,'TB.CTC.YE22'!A:A,'A0.LS'!E48)</f>
        <v>0</v>
      </c>
      <c r="BA48" s="936">
        <f>ROUND(SUMIFS('A5.YE22'!J:J,'A5.YE22'!K:K,'A0.LS'!$BA$5,'A5.YE22'!L:L,"Posted",'A5.YE22'!D:D,'A0.LS'!E48),0)</f>
        <v>0</v>
      </c>
      <c r="BB48" s="936">
        <f t="shared" si="30"/>
        <v>0</v>
      </c>
      <c r="BC48" s="937"/>
      <c r="BD48" s="936">
        <f>ROUND(SUMIFS('TB.VNSC.YE22'!L:L,'TB.VNSC.YE22'!A:A,'A0.LS'!E48),0)</f>
        <v>0</v>
      </c>
      <c r="BE48" s="936">
        <f>ROUND(SUMIFS('A5.YE22'!J:J,'A5.YE22'!K:K,'A0.LS'!$BE$5,'A5.YE22'!L:L,"Posted",'A5.YE22'!D:D,'A0.LS'!E48),0)</f>
        <v>0</v>
      </c>
      <c r="BF48" s="936">
        <f t="shared" si="31"/>
        <v>0</v>
      </c>
      <c r="BG48" s="937"/>
      <c r="BH48" s="936">
        <f>ROUND(SUMIFS('TB.XH.YE22'!P:P,'TB.XH.YE22'!A:A,'A0.LS'!E48),0)</f>
        <v>0</v>
      </c>
      <c r="BI48" s="936">
        <f>ROUND(SUMIFS('A5.YE22'!J:J,'A5.YE22'!K:K,"XH",'A5.YE22'!L:L,"Posted",'A5.YE22'!D:D,'A0.LS'!E48),0)</f>
        <v>0</v>
      </c>
      <c r="BJ48" s="936">
        <f t="shared" si="32"/>
        <v>0</v>
      </c>
      <c r="BK48" s="937"/>
      <c r="BL48" s="936">
        <f>ROUND(SUMIFS('TB.KCG.YE22'!P:P,'TB.KCG.YE22'!A:A,'A0.LS'!E48),0)</f>
        <v>0</v>
      </c>
      <c r="BM48" s="936">
        <f>ROUND(SUMIFS('A5.YE22'!J:J,'A5.YE22'!K:K,'A0.LS'!$BM$5,'A5.YE22'!L:L,"Posted",'A5.YE22'!D:D,'A0.LS'!E48),0)</f>
        <v>0</v>
      </c>
      <c r="BN48" s="936">
        <f t="shared" si="33"/>
        <v>0</v>
      </c>
      <c r="BO48" s="937"/>
      <c r="BP48" s="938">
        <v>9074618885</v>
      </c>
      <c r="BQ48" s="938">
        <f>ROUND(SUMIFS('A5.YE22'!J:J,'A5.YE22'!K:K,'A0.LS'!$BQ$5,'A5.YE22'!L:L,"Posted",'A5.YE22'!D:D,'A0.LS'!E48),0)</f>
        <v>0</v>
      </c>
      <c r="BR48" s="938">
        <f t="shared" si="34"/>
        <v>9074618885</v>
      </c>
      <c r="BS48" s="850"/>
    </row>
    <row r="49" spans="1:70" ht="12.75">
      <c r="A49" s="850"/>
      <c r="B49" s="939">
        <v>136</v>
      </c>
      <c r="C49" s="940" t="s">
        <v>2242</v>
      </c>
      <c r="D49" s="941" t="s">
        <v>2242</v>
      </c>
      <c r="E49" s="928" t="s">
        <v>2243</v>
      </c>
      <c r="F49" s="928" t="s">
        <v>2244</v>
      </c>
      <c r="G49" s="927" t="s">
        <v>2206</v>
      </c>
      <c r="H49" s="927" t="s">
        <v>675</v>
      </c>
      <c r="I49" s="942">
        <f>SUMIFS('TB.CTy Me.FY2024'!I:I,'TB.CTy Me.FY2024'!A:A,'A0.LS'!E49)</f>
        <v>0</v>
      </c>
      <c r="J49" s="942">
        <f>ROUND(SUMIFS('A5.FY24'!K:K,'A5.FY24'!E:E,'A0.LS'!E49,'A5.FY24'!L:L,"Finhay",'A5.FY24'!M:M,"Posted"),0)</f>
        <v>0</v>
      </c>
      <c r="K49" s="942">
        <f>ROUND(SUMIFS('A5.FY24'!K:K,'A5.FY24'!E:E,'A0.LS'!E49,'A5.FY24'!L:L,"EY",'A5.FY24'!M:M,"Posted"),0)</f>
        <v>0</v>
      </c>
      <c r="L49" s="943">
        <f t="shared" si="22"/>
        <v>0</v>
      </c>
      <c r="M49" s="930"/>
      <c r="N49" s="944">
        <f>SUMIFS('TB.CTM.YE23'!I:I,'TB.CTM.YE23'!A:A,'A0.LS'!E49)</f>
        <v>0</v>
      </c>
      <c r="O49" s="944">
        <v>0</v>
      </c>
      <c r="P49" s="944">
        <v>0</v>
      </c>
      <c r="Q49" s="945">
        <f t="shared" si="23"/>
        <v>0</v>
      </c>
      <c r="R49" s="898"/>
      <c r="S49" s="848">
        <f t="shared" si="20"/>
        <v>0</v>
      </c>
      <c r="T49" s="946" t="str">
        <f t="shared" si="21"/>
        <v>To check</v>
      </c>
      <c r="U49" s="850"/>
      <c r="V49" s="850" t="e">
        <v>#N/A</v>
      </c>
      <c r="W49" s="850"/>
      <c r="X49" s="947" t="s">
        <v>2227</v>
      </c>
      <c r="Y49" s="947" t="s">
        <v>2221</v>
      </c>
      <c r="Z49" s="936">
        <f>ROUND(SUMIFS('TB.Cty Con.FY24'!I:I,'TB.Cty Con.FY24'!A:A,'A0.LS'!E49),0)</f>
        <v>0</v>
      </c>
      <c r="AA49" s="936">
        <f>ROUND(SUMIFS('A5.CTC FY24'!K:K,'A5.CTC FY24'!E:E,'A0.LS'!E49,'A5.CTC FY24'!A:A,'A0.LS'!$AA$5,'A5.CTC FY24'!L:L,"Finhay",'A5.CTC FY24'!M:M,"Posted"),0)</f>
        <v>0</v>
      </c>
      <c r="AB49" s="936">
        <f>ROUND(SUMIFS('A5.CTC FY24'!K:K,'A5.CTC FY24'!E:E,'A0.LS'!E49,'A5.CTC FY24'!A:A,'A0.LS'!$AB$5,'A5.CTC FY24'!L:L,"EY",'A5.CTC FY24'!M:M,"Posted"),0)</f>
        <v>0</v>
      </c>
      <c r="AC49" s="948">
        <f t="shared" si="24"/>
        <v>0</v>
      </c>
      <c r="AD49" s="930"/>
      <c r="AE49" s="936">
        <f>ROUND(SUMIFS('TB VNSC FY24'!M:M,'TB VNSC FY24'!N:N,'A0.LS'!E49),0)</f>
        <v>0</v>
      </c>
      <c r="AF49" s="936">
        <f>SUMIFS('A5.CTC FY24'!K:K,'A5.CTC FY24'!E:E,'A0.LS'!E49,'A5.CTC FY24'!A:A,"VNSC",'A5.CTC FY24'!L:L,"VNSC",'A5.CTC FY24'!M:M,"Posted")</f>
        <v>0</v>
      </c>
      <c r="AG49" s="936">
        <f>ROUND(SUMIFS('A5.CTC FY24'!K:K,'A5.CTC FY24'!E:E,'A0.LS'!E49,'A5.CTC FY24'!A:A,"VNSC",'A5.CTC FY24'!L:L,"EY",'A5.CTC FY24'!M:M,"Posted"),0)</f>
        <v>0</v>
      </c>
      <c r="AH49" s="936">
        <f t="shared" si="25"/>
        <v>0</v>
      </c>
      <c r="AI49" s="930"/>
      <c r="AJ49" s="936">
        <f>SUMIFS('TB.KCG.FY24'!I:I,'TB.KCG.FY24'!A:A,'A0.LS'!E49)</f>
        <v>0</v>
      </c>
      <c r="AK49" s="936">
        <f>ROUND(SUMIFS('A5.CTC FY24'!K:K,'A5.CTC FY24'!E:E,'A0.LS'!E49,'A5.CTC FY24'!A:A,'A0.LS'!$AK$5,'A5.CTC FY24'!L:L,"EY",'A5.CTC FY24'!M:M,"Posted"),0)</f>
        <v>0</v>
      </c>
      <c r="AL49" s="948">
        <f t="shared" si="26"/>
        <v>0</v>
      </c>
      <c r="AM49" s="930"/>
      <c r="AN49" s="949">
        <f t="shared" si="35"/>
        <v>0</v>
      </c>
      <c r="AO49" s="950">
        <f>ROUND(SUMIFS('A5.Consol FY24'!L:L,'A5.Consol FY24'!M:M,"EY",'A5.Consol FY24'!N:N,"Posted",'A5.Consol FY24'!B:B,'A0.LS'!$AO$5,'A5.Consol FY24'!F:F,'A0.LS'!E49),0)</f>
        <v>0</v>
      </c>
      <c r="AP49" s="949">
        <f t="shared" si="27"/>
        <v>0</v>
      </c>
      <c r="AQ49" s="930"/>
      <c r="AR49" s="936">
        <f>ROUND(SUMIFS('TB.XH.FY24'!I:I,'TB.XH.FY24'!J:J,'A0.LS'!E49),0)</f>
        <v>0</v>
      </c>
      <c r="AS49" s="936">
        <f>ROUND(SUMIFS('A5.CTC FY24'!K:K,'A5.CTC FY24'!E:E,'A0.LS'!E49,'A5.CTC FY24'!A:A,'A0.LS'!$AS$5,'A5.CTC FY24'!L:L,"EY",'A5.CTC FY24'!M:M,"Posted"),0)</f>
        <v>0</v>
      </c>
      <c r="AT49" s="948">
        <f t="shared" si="28"/>
        <v>0</v>
      </c>
      <c r="AU49" s="930"/>
      <c r="AV49" s="951">
        <f t="shared" si="29"/>
        <v>0</v>
      </c>
      <c r="AW49" s="952">
        <f>SUMIFS('A5.Consol FY24'!L:L,'A5.Consol FY24'!B:B,'A0.LS'!$AW$5,'A5.Consol FY24'!M:M,"EY",'A5.Consol FY24'!N:N,"Posted",'A5.Consol FY24'!F:F,'A0.LS'!E49)</f>
        <v>0</v>
      </c>
      <c r="AX49" s="951">
        <f t="shared" si="36"/>
        <v>0</v>
      </c>
      <c r="AY49" s="920"/>
      <c r="AZ49" s="936">
        <f>SUMIFS('TB.CTC.YE22'!Q:Q,'TB.CTC.YE22'!A:A,'A0.LS'!E49)</f>
        <v>0</v>
      </c>
      <c r="BA49" s="936">
        <f>ROUND(SUMIFS('A5.YE22'!J:J,'A5.YE22'!K:K,'A0.LS'!$BA$5,'A5.YE22'!L:L,"Posted",'A5.YE22'!D:D,'A0.LS'!E49),0)</f>
        <v>0</v>
      </c>
      <c r="BB49" s="936">
        <f t="shared" si="30"/>
        <v>0</v>
      </c>
      <c r="BC49" s="937"/>
      <c r="BD49" s="936">
        <f>ROUND(SUMIFS('TB.VNSC.YE22'!L:L,'TB.VNSC.YE22'!A:A,'A0.LS'!E49),0)</f>
        <v>0</v>
      </c>
      <c r="BE49" s="936">
        <f>ROUND(SUMIFS('A5.YE22'!J:J,'A5.YE22'!K:K,'A0.LS'!$BE$5,'A5.YE22'!L:L,"Posted",'A5.YE22'!D:D,'A0.LS'!E49),0)</f>
        <v>0</v>
      </c>
      <c r="BF49" s="936">
        <f t="shared" si="31"/>
        <v>0</v>
      </c>
      <c r="BG49" s="937"/>
      <c r="BH49" s="936">
        <f>ROUND(SUMIFS('TB.XH.YE22'!P:P,'TB.XH.YE22'!A:A,'A0.LS'!E49),0)</f>
        <v>0</v>
      </c>
      <c r="BI49" s="936">
        <f>ROUND(SUMIFS('A5.YE22'!J:J,'A5.YE22'!K:K,"XH",'A5.YE22'!L:L,"Posted",'A5.YE22'!D:D,'A0.LS'!E49),0)</f>
        <v>0</v>
      </c>
      <c r="BJ49" s="936">
        <f t="shared" si="32"/>
        <v>0</v>
      </c>
      <c r="BK49" s="937"/>
      <c r="BL49" s="936">
        <f>ROUND(SUMIFS('TB.KCG.YE22'!P:P,'TB.KCG.YE22'!A:A,'A0.LS'!E49),0)</f>
        <v>0</v>
      </c>
      <c r="BM49" s="936">
        <f>ROUND(SUMIFS('A5.YE22'!J:J,'A5.YE22'!K:K,'A0.LS'!$BM$5,'A5.YE22'!L:L,"Posted",'A5.YE22'!D:D,'A0.LS'!E49),0)</f>
        <v>0</v>
      </c>
      <c r="BN49" s="936">
        <f t="shared" si="33"/>
        <v>0</v>
      </c>
      <c r="BO49" s="937"/>
      <c r="BP49" s="938">
        <v>0</v>
      </c>
      <c r="BQ49" s="938">
        <f>ROUND(SUMIFS('A5.YE22'!J:J,'A5.YE22'!K:K,'A0.LS'!$BQ$5,'A5.YE22'!L:L,"Posted",'A5.YE22'!D:D,'A0.LS'!E49),0)</f>
        <v>0</v>
      </c>
      <c r="BR49" s="938">
        <f t="shared" si="34"/>
        <v>0</v>
      </c>
    </row>
    <row r="50" spans="1:70" ht="12.75">
      <c r="A50" s="850"/>
      <c r="B50" s="939">
        <v>136</v>
      </c>
      <c r="C50" s="940" t="s">
        <v>2220</v>
      </c>
      <c r="D50" s="941" t="s">
        <v>2220</v>
      </c>
      <c r="E50" s="928" t="s">
        <v>65</v>
      </c>
      <c r="F50" s="928" t="s">
        <v>66</v>
      </c>
      <c r="G50" s="927" t="s">
        <v>2206</v>
      </c>
      <c r="H50" s="927" t="s">
        <v>675</v>
      </c>
      <c r="I50" s="942">
        <f>SUMIFS('TB.CTy Me.FY2024'!I:I,'TB.CTy Me.FY2024'!A:A,'A0.LS'!E50)</f>
        <v>2919672</v>
      </c>
      <c r="J50" s="942">
        <f>ROUND(SUMIFS('A5.FY24'!K:K,'A5.FY24'!E:E,'A0.LS'!E50,'A5.FY24'!L:L,"Finhay",'A5.FY24'!M:M,"Posted"),0)</f>
        <v>0</v>
      </c>
      <c r="K50" s="942">
        <f>ROUND(SUMIFS('A5.FY24'!K:K,'A5.FY24'!E:E,'A0.LS'!E50,'A5.FY24'!L:L,"EY",'A5.FY24'!M:M,"Posted"),0)</f>
        <v>0</v>
      </c>
      <c r="L50" s="943">
        <f t="shared" si="22"/>
        <v>2919672</v>
      </c>
      <c r="M50" s="930"/>
      <c r="N50" s="944">
        <f>SUMIFS('TB.CTM.YE23'!I:I,'TB.CTM.YE23'!A:A,'A0.LS'!E50)</f>
        <v>2919672</v>
      </c>
      <c r="O50" s="944">
        <v>0</v>
      </c>
      <c r="P50" s="944">
        <v>0</v>
      </c>
      <c r="Q50" s="945">
        <f t="shared" si="23"/>
        <v>2919672</v>
      </c>
      <c r="R50" s="898"/>
      <c r="S50" s="848">
        <f t="shared" si="20"/>
        <v>0</v>
      </c>
      <c r="T50" s="946">
        <f t="shared" si="21"/>
        <v>0</v>
      </c>
      <c r="U50" s="850"/>
      <c r="V50" s="850" t="s">
        <v>2231</v>
      </c>
      <c r="W50" s="850"/>
      <c r="X50" s="947" t="s">
        <v>2227</v>
      </c>
      <c r="Y50" s="947" t="s">
        <v>2221</v>
      </c>
      <c r="Z50" s="936">
        <f>ROUND(SUMIFS('TB.Cty Con.FY24'!I:I,'TB.Cty Con.FY24'!A:A,'A0.LS'!E50),0)</f>
        <v>0</v>
      </c>
      <c r="AA50" s="936">
        <f>ROUND(SUMIFS('A5.CTC FY24'!K:K,'A5.CTC FY24'!E:E,'A0.LS'!E50,'A5.CTC FY24'!A:A,'A0.LS'!$AA$5,'A5.CTC FY24'!L:L,"Finhay",'A5.CTC FY24'!M:M,"Posted"),0)</f>
        <v>0</v>
      </c>
      <c r="AB50" s="936">
        <f>ROUND(SUMIFS('A5.CTC FY24'!K:K,'A5.CTC FY24'!E:E,'A0.LS'!E50,'A5.CTC FY24'!A:A,'A0.LS'!$AB$5,'A5.CTC FY24'!L:L,"EY",'A5.CTC FY24'!M:M,"Posted"),0)</f>
        <v>0</v>
      </c>
      <c r="AC50" s="948">
        <f t="shared" si="24"/>
        <v>0</v>
      </c>
      <c r="AD50" s="930"/>
      <c r="AE50" s="936">
        <f>ROUND(SUMIFS('TB VNSC FY24'!M:M,'TB VNSC FY24'!N:N,'A0.LS'!E50),0)</f>
        <v>0</v>
      </c>
      <c r="AF50" s="936">
        <f>SUMIFS('A5.CTC FY24'!K:K,'A5.CTC FY24'!E:E,'A0.LS'!E50,'A5.CTC FY24'!A:A,"VNSC",'A5.CTC FY24'!L:L,"VNSC",'A5.CTC FY24'!M:M,"Posted")</f>
        <v>0</v>
      </c>
      <c r="AG50" s="936">
        <f>ROUND(SUMIFS('A5.CTC FY24'!K:K,'A5.CTC FY24'!E:E,'A0.LS'!E50,'A5.CTC FY24'!A:A,"VNSC",'A5.CTC FY24'!L:L,"EY",'A5.CTC FY24'!M:M,"Posted"),0)</f>
        <v>0</v>
      </c>
      <c r="AH50" s="936">
        <f t="shared" si="25"/>
        <v>0</v>
      </c>
      <c r="AI50" s="930"/>
      <c r="AJ50" s="936">
        <f>SUMIFS('TB.KCG.FY24'!I:I,'TB.KCG.FY24'!A:A,'A0.LS'!E50)</f>
        <v>0</v>
      </c>
      <c r="AK50" s="936">
        <f>ROUND(SUMIFS('A5.CTC FY24'!K:K,'A5.CTC FY24'!E:E,'A0.LS'!E50,'A5.CTC FY24'!A:A,'A0.LS'!$AK$5,'A5.CTC FY24'!L:L,"EY",'A5.CTC FY24'!M:M,"Posted"),0)</f>
        <v>0</v>
      </c>
      <c r="AL50" s="948">
        <f t="shared" si="26"/>
        <v>0</v>
      </c>
      <c r="AM50" s="930"/>
      <c r="AN50" s="949">
        <f t="shared" si="35"/>
        <v>0</v>
      </c>
      <c r="AO50" s="950">
        <f>ROUND(SUMIFS('A5.Consol FY24'!L:L,'A5.Consol FY24'!M:M,"EY",'A5.Consol FY24'!N:N,"Posted",'A5.Consol FY24'!B:B,'A0.LS'!$AO$5,'A5.Consol FY24'!F:F,'A0.LS'!E50),0)</f>
        <v>0</v>
      </c>
      <c r="AP50" s="949">
        <f t="shared" si="27"/>
        <v>0</v>
      </c>
      <c r="AQ50" s="930"/>
      <c r="AR50" s="936">
        <f>ROUND(SUMIFS('TB.XH.FY24'!I:I,'TB.XH.FY24'!J:J,'A0.LS'!E50),0)</f>
        <v>0</v>
      </c>
      <c r="AS50" s="936">
        <f>ROUND(SUMIFS('A5.CTC FY24'!K:K,'A5.CTC FY24'!E:E,'A0.LS'!E50,'A5.CTC FY24'!A:A,'A0.LS'!$AS$5,'A5.CTC FY24'!L:L,"EY",'A5.CTC FY24'!M:M,"Posted"),0)</f>
        <v>0</v>
      </c>
      <c r="AT50" s="948">
        <f t="shared" si="28"/>
        <v>0</v>
      </c>
      <c r="AU50" s="930"/>
      <c r="AV50" s="951">
        <f t="shared" si="29"/>
        <v>2919672</v>
      </c>
      <c r="AW50" s="952">
        <f>SUMIFS('A5.Consol FY24'!L:L,'A5.Consol FY24'!B:B,'A0.LS'!$AW$5,'A5.Consol FY24'!M:M,"EY",'A5.Consol FY24'!N:N,"Posted",'A5.Consol FY24'!F:F,'A0.LS'!E50)</f>
        <v>0</v>
      </c>
      <c r="AX50" s="951">
        <f t="shared" si="36"/>
        <v>2919672</v>
      </c>
      <c r="AY50" s="920"/>
      <c r="AZ50" s="936">
        <f>SUMIFS('TB.CTC.YE22'!Q:Q,'TB.CTC.YE22'!A:A,'A0.LS'!E50)</f>
        <v>0</v>
      </c>
      <c r="BA50" s="936">
        <f>ROUND(SUMIFS('A5.YE22'!J:J,'A5.YE22'!K:K,'A0.LS'!$BA$5,'A5.YE22'!L:L,"Posted",'A5.YE22'!D:D,'A0.LS'!E50),0)</f>
        <v>0</v>
      </c>
      <c r="BB50" s="936">
        <f t="shared" si="30"/>
        <v>0</v>
      </c>
      <c r="BC50" s="937"/>
      <c r="BD50" s="936">
        <f>ROUND(SUMIFS('TB.VNSC.YE22'!L:L,'TB.VNSC.YE22'!A:A,'A0.LS'!E50),0)</f>
        <v>0</v>
      </c>
      <c r="BE50" s="936">
        <f>ROUND(SUMIFS('A5.YE22'!J:J,'A5.YE22'!K:K,'A0.LS'!$BE$5,'A5.YE22'!L:L,"Posted",'A5.YE22'!D:D,'A0.LS'!E50),0)</f>
        <v>0</v>
      </c>
      <c r="BF50" s="936">
        <f t="shared" si="31"/>
        <v>0</v>
      </c>
      <c r="BG50" s="937"/>
      <c r="BH50" s="936">
        <f>ROUND(SUMIFS('TB.XH.YE22'!P:P,'TB.XH.YE22'!A:A,'A0.LS'!E50),0)</f>
        <v>0</v>
      </c>
      <c r="BI50" s="936">
        <f>ROUND(SUMIFS('A5.YE22'!J:J,'A5.YE22'!K:K,"XH",'A5.YE22'!L:L,"Posted",'A5.YE22'!D:D,'A0.LS'!E50),0)</f>
        <v>0</v>
      </c>
      <c r="BJ50" s="936">
        <f t="shared" si="32"/>
        <v>0</v>
      </c>
      <c r="BK50" s="937"/>
      <c r="BL50" s="936">
        <f>ROUND(SUMIFS('TB.KCG.YE22'!P:P,'TB.KCG.YE22'!A:A,'A0.LS'!E50),0)</f>
        <v>0</v>
      </c>
      <c r="BM50" s="936">
        <f>ROUND(SUMIFS('A5.YE22'!J:J,'A5.YE22'!K:K,'A0.LS'!$BM$5,'A5.YE22'!L:L,"Posted",'A5.YE22'!D:D,'A0.LS'!E50),0)</f>
        <v>0</v>
      </c>
      <c r="BN50" s="936">
        <f t="shared" si="33"/>
        <v>0</v>
      </c>
      <c r="BO50" s="937"/>
      <c r="BP50" s="938">
        <v>2919672</v>
      </c>
      <c r="BQ50" s="938">
        <f>ROUND(SUMIFS('A5.YE22'!J:J,'A5.YE22'!K:K,'A0.LS'!$BQ$5,'A5.YE22'!L:L,"Posted",'A5.YE22'!D:D,'A0.LS'!E50),0)</f>
        <v>0</v>
      </c>
      <c r="BR50" s="938">
        <f t="shared" si="34"/>
        <v>2919672</v>
      </c>
    </row>
    <row r="51" spans="1:70" ht="12.75">
      <c r="A51" s="850"/>
      <c r="B51" s="939">
        <v>136</v>
      </c>
      <c r="C51" s="940" t="s">
        <v>2245</v>
      </c>
      <c r="D51" s="941" t="s">
        <v>2245</v>
      </c>
      <c r="E51" s="928" t="s">
        <v>58</v>
      </c>
      <c r="F51" s="928" t="s">
        <v>2246</v>
      </c>
      <c r="G51" s="927" t="s">
        <v>2221</v>
      </c>
      <c r="H51" s="927" t="s">
        <v>2222</v>
      </c>
      <c r="I51" s="942">
        <f>SUMIFS('TB.CTy Me.FY2024'!I:I,'TB.CTy Me.FY2024'!A:A,'A0.LS'!E51)</f>
        <v>2084520548</v>
      </c>
      <c r="J51" s="942">
        <f>ROUND(SUMIFS('A5.FY24'!K:K,'A5.FY24'!E:E,'A0.LS'!E51,'A5.FY24'!L:L,"Finhay",'A5.FY24'!M:M,"Posted"),0)</f>
        <v>0</v>
      </c>
      <c r="K51" s="942">
        <f>ROUND(SUMIFS('A5.FY24'!K:K,'A5.FY24'!E:E,'A0.LS'!E51,'A5.FY24'!L:L,"EY",'A5.FY24'!M:M,"Posted"),0)</f>
        <v>0</v>
      </c>
      <c r="L51" s="943">
        <f t="shared" si="22"/>
        <v>2084520548</v>
      </c>
      <c r="M51" s="930"/>
      <c r="N51" s="944">
        <f>SUMIFS('TB.CTM.YE23'!I:I,'TB.CTM.YE23'!A:A,'A0.LS'!E51)</f>
        <v>23300715926</v>
      </c>
      <c r="O51" s="944">
        <v>-42904146</v>
      </c>
      <c r="P51" s="944">
        <v>0</v>
      </c>
      <c r="Q51" s="945">
        <f t="shared" si="23"/>
        <v>23257811780</v>
      </c>
      <c r="R51" s="898"/>
      <c r="S51" s="848">
        <f t="shared" si="20"/>
        <v>-21173291232</v>
      </c>
      <c r="T51" s="946">
        <f t="shared" si="21"/>
        <v>-0.91037331595431803</v>
      </c>
      <c r="U51" s="850"/>
      <c r="V51" s="850" t="s">
        <v>2247</v>
      </c>
      <c r="W51" s="850"/>
      <c r="X51" s="947" t="s">
        <v>2227</v>
      </c>
      <c r="Y51" s="947" t="s">
        <v>2221</v>
      </c>
      <c r="Z51" s="936">
        <f>ROUND(SUMIFS('TB.Cty Con.FY24'!I:I,'TB.Cty Con.FY24'!A:A,'A0.LS'!E51),0)</f>
        <v>0</v>
      </c>
      <c r="AA51" s="936">
        <f>ROUND(SUMIFS('A5.CTC FY24'!K:K,'A5.CTC FY24'!E:E,'A0.LS'!E51,'A5.CTC FY24'!A:A,'A0.LS'!$AA$5,'A5.CTC FY24'!L:L,"Finhay",'A5.CTC FY24'!M:M,"Posted"),0)</f>
        <v>0</v>
      </c>
      <c r="AB51" s="936">
        <f>ROUND(SUMIFS('A5.CTC FY24'!K:K,'A5.CTC FY24'!E:E,'A0.LS'!E51,'A5.CTC FY24'!A:A,'A0.LS'!$AB$5,'A5.CTC FY24'!L:L,"EY",'A5.CTC FY24'!M:M,"Posted"),0)</f>
        <v>0</v>
      </c>
      <c r="AC51" s="948">
        <f t="shared" si="24"/>
        <v>0</v>
      </c>
      <c r="AD51" s="930"/>
      <c r="AE51" s="936">
        <f>ROUND(SUMIFS('TB VNSC FY24'!M:M,'TB VNSC FY24'!N:N,'A0.LS'!E51),0)</f>
        <v>0</v>
      </c>
      <c r="AF51" s="936">
        <f>SUMIFS('A5.CTC FY24'!K:K,'A5.CTC FY24'!E:E,'A0.LS'!E51,'A5.CTC FY24'!A:A,"VNSC",'A5.CTC FY24'!L:L,"VNSC",'A5.CTC FY24'!M:M,"Posted")</f>
        <v>0</v>
      </c>
      <c r="AG51" s="936">
        <f>ROUND(SUMIFS('A5.CTC FY24'!K:K,'A5.CTC FY24'!E:E,'A0.LS'!E51,'A5.CTC FY24'!A:A,"VNSC",'A5.CTC FY24'!L:L,"EY",'A5.CTC FY24'!M:M,"Posted"),0)</f>
        <v>0</v>
      </c>
      <c r="AH51" s="936">
        <f t="shared" si="25"/>
        <v>0</v>
      </c>
      <c r="AI51" s="930"/>
      <c r="AJ51" s="936">
        <f>SUMIFS('TB.KCG.FY24'!I:I,'TB.KCG.FY24'!A:A,'A0.LS'!E51)</f>
        <v>0</v>
      </c>
      <c r="AK51" s="936">
        <f>ROUND(SUMIFS('A5.CTC FY24'!K:K,'A5.CTC FY24'!E:E,'A0.LS'!E51,'A5.CTC FY24'!A:A,'A0.LS'!$AK$5,'A5.CTC FY24'!L:L,"EY",'A5.CTC FY24'!M:M,"Posted"),0)</f>
        <v>0</v>
      </c>
      <c r="AL51" s="948">
        <f t="shared" si="26"/>
        <v>0</v>
      </c>
      <c r="AM51" s="930"/>
      <c r="AN51" s="949">
        <f t="shared" si="35"/>
        <v>0</v>
      </c>
      <c r="AO51" s="950">
        <f>ROUND(SUMIFS('A5.Consol FY24'!L:L,'A5.Consol FY24'!M:M,"EY",'A5.Consol FY24'!N:N,"Posted",'A5.Consol FY24'!B:B,'A0.LS'!$AO$5,'A5.Consol FY24'!F:F,'A0.LS'!E51),0)</f>
        <v>0</v>
      </c>
      <c r="AP51" s="949">
        <f t="shared" si="27"/>
        <v>0</v>
      </c>
      <c r="AQ51" s="930"/>
      <c r="AR51" s="936">
        <f>ROUND(SUMIFS('TB.XH.FY24'!I:I,'TB.XH.FY24'!J:J,'A0.LS'!E51),0)</f>
        <v>0</v>
      </c>
      <c r="AS51" s="936">
        <f>ROUND(SUMIFS('A5.CTC FY24'!K:K,'A5.CTC FY24'!E:E,'A0.LS'!E51,'A5.CTC FY24'!A:A,'A0.LS'!$AS$5,'A5.CTC FY24'!L:L,"EY",'A5.CTC FY24'!M:M,"Posted"),0)</f>
        <v>0</v>
      </c>
      <c r="AT51" s="948">
        <f t="shared" si="28"/>
        <v>0</v>
      </c>
      <c r="AU51" s="930"/>
      <c r="AV51" s="537">
        <f t="shared" si="29"/>
        <v>2084520548</v>
      </c>
      <c r="AW51" s="952">
        <f>SUMIFS('A5.Consol FY24'!L:L,'A5.Consol FY24'!B:B,'A0.LS'!$AW$5,'A5.Consol FY24'!M:M,"EY",'A5.Consol FY24'!N:N,"Posted",'A5.Consol FY24'!F:F,'A0.LS'!E51)</f>
        <v>0</v>
      </c>
      <c r="AX51" s="951">
        <f t="shared" si="36"/>
        <v>2084520548</v>
      </c>
      <c r="AY51" s="920"/>
      <c r="AZ51" s="936">
        <f>SUMIFS('TB.CTC.YE22'!Q:Q,'TB.CTC.YE22'!A:A,'A0.LS'!E51)</f>
        <v>0</v>
      </c>
      <c r="BA51" s="936">
        <f>ROUND(SUMIFS('A5.YE22'!J:J,'A5.YE22'!K:K,'A0.LS'!$BA$5,'A5.YE22'!L:L,"Posted",'A5.YE22'!D:D,'A0.LS'!E51),0)</f>
        <v>30347680</v>
      </c>
      <c r="BB51" s="936">
        <f t="shared" si="30"/>
        <v>30347680</v>
      </c>
      <c r="BC51" s="937"/>
      <c r="BD51" s="936">
        <f>ROUND(SUMIFS('TB.VNSC.YE22'!L:L,'TB.VNSC.YE22'!A:A,'A0.LS'!E51),0)</f>
        <v>0</v>
      </c>
      <c r="BE51" s="936">
        <f>ROUND(SUMIFS('A5.YE22'!J:J,'A5.YE22'!K:K,'A0.LS'!$BE$5,'A5.YE22'!L:L,"Posted",'A5.YE22'!D:D,'A0.LS'!E51),0)</f>
        <v>1537570122</v>
      </c>
      <c r="BF51" s="936">
        <f t="shared" si="31"/>
        <v>1537570122</v>
      </c>
      <c r="BG51" s="937"/>
      <c r="BH51" s="936">
        <f>ROUND(SUMIFS('TB.XH.YE22'!P:P,'TB.XH.YE22'!A:A,'A0.LS'!E51),0)</f>
        <v>0</v>
      </c>
      <c r="BI51" s="936">
        <f>ROUND(SUMIFS('A5.YE22'!J:J,'A5.YE22'!K:K,"XH",'A5.YE22'!L:L,"Posted",'A5.YE22'!D:D,'A0.LS'!E51),0)</f>
        <v>0</v>
      </c>
      <c r="BJ51" s="936">
        <f t="shared" si="32"/>
        <v>0</v>
      </c>
      <c r="BK51" s="937"/>
      <c r="BL51" s="936">
        <f>ROUND(SUMIFS('TB.KCG.YE22'!P:P,'TB.KCG.YE22'!A:A,'A0.LS'!E51),0)</f>
        <v>0</v>
      </c>
      <c r="BM51" s="936">
        <f>ROUND(SUMIFS('A5.YE22'!J:J,'A5.YE22'!K:K,'A0.LS'!$BM$5,'A5.YE22'!L:L,"Posted",'A5.YE22'!D:D,'A0.LS'!E51),0)</f>
        <v>0</v>
      </c>
      <c r="BN51" s="936">
        <f t="shared" si="33"/>
        <v>0</v>
      </c>
      <c r="BO51" s="937"/>
      <c r="BP51" s="938">
        <v>23257811780</v>
      </c>
      <c r="BQ51" s="938">
        <f>ROUND(SUMIFS('A5.YE22'!J:J,'A5.YE22'!K:K,'A0.LS'!$BQ$5,'A5.YE22'!L:L,"Posted",'A5.YE22'!D:D,'A0.LS'!E51),0)</f>
        <v>0</v>
      </c>
      <c r="BR51" s="938">
        <f t="shared" si="34"/>
        <v>23257811780</v>
      </c>
    </row>
    <row r="52" spans="1:70" ht="12.75">
      <c r="A52" s="850"/>
      <c r="B52" s="939">
        <v>136</v>
      </c>
      <c r="C52" s="940" t="s">
        <v>2233</v>
      </c>
      <c r="D52" s="941" t="s">
        <v>2233</v>
      </c>
      <c r="E52" s="928" t="s">
        <v>60</v>
      </c>
      <c r="F52" s="928" t="s">
        <v>61</v>
      </c>
      <c r="G52" s="927" t="s">
        <v>2221</v>
      </c>
      <c r="H52" s="927" t="s">
        <v>2222</v>
      </c>
      <c r="I52" s="942">
        <f>SUMIFS('TB.CTy Me.FY2024'!I:I,'TB.CTy Me.FY2024'!A:A,'A0.LS'!E52)</f>
        <v>56549028</v>
      </c>
      <c r="J52" s="942">
        <f>ROUND(SUMIFS('A5.FY24'!K:K,'A5.FY24'!E:E,'A0.LS'!E52,'A5.FY24'!L:L,"Finhay",'A5.FY24'!M:M,"Posted"),0)</f>
        <v>0</v>
      </c>
      <c r="K52" s="942">
        <f>ROUND(SUMIFS('A5.FY24'!K:K,'A5.FY24'!E:E,'A0.LS'!E52,'A5.FY24'!L:L,"EY",'A5.FY24'!M:M,"Posted"),0)</f>
        <v>0</v>
      </c>
      <c r="L52" s="943">
        <f t="shared" si="22"/>
        <v>56549028</v>
      </c>
      <c r="M52" s="930"/>
      <c r="N52" s="944">
        <f>SUMIFS('TB.CTM.YE23'!I:I,'TB.CTM.YE23'!A:A,'A0.LS'!E52)</f>
        <v>77981100</v>
      </c>
      <c r="O52" s="944">
        <v>0</v>
      </c>
      <c r="P52" s="944">
        <v>0</v>
      </c>
      <c r="Q52" s="945">
        <f t="shared" si="23"/>
        <v>77981100</v>
      </c>
      <c r="R52" s="898"/>
      <c r="S52" s="848">
        <f t="shared" si="20"/>
        <v>-21432072</v>
      </c>
      <c r="T52" s="946">
        <f t="shared" si="21"/>
        <v>-0.27483674890454224</v>
      </c>
      <c r="U52" s="850"/>
      <c r="V52" s="850" t="s">
        <v>2235</v>
      </c>
      <c r="W52" s="850"/>
      <c r="X52" s="947" t="s">
        <v>2227</v>
      </c>
      <c r="Y52" s="947" t="s">
        <v>2221</v>
      </c>
      <c r="Z52" s="936">
        <f>ROUND(SUMIFS('TB.Cty Con.FY24'!I:I,'TB.Cty Con.FY24'!A:A,'A0.LS'!E52),0)</f>
        <v>0</v>
      </c>
      <c r="AA52" s="936">
        <f>ROUND(SUMIFS('A5.CTC FY24'!K:K,'A5.CTC FY24'!E:E,'A0.LS'!E52,'A5.CTC FY24'!A:A,'A0.LS'!$AA$5,'A5.CTC FY24'!L:L,"Finhay",'A5.CTC FY24'!M:M,"Posted"),0)</f>
        <v>0</v>
      </c>
      <c r="AB52" s="936">
        <f>ROUND(SUMIFS('A5.CTC FY24'!K:K,'A5.CTC FY24'!E:E,'A0.LS'!E52,'A5.CTC FY24'!A:A,'A0.LS'!$AB$5,'A5.CTC FY24'!L:L,"EY",'A5.CTC FY24'!M:M,"Posted"),0)</f>
        <v>0</v>
      </c>
      <c r="AC52" s="948">
        <f t="shared" si="24"/>
        <v>0</v>
      </c>
      <c r="AD52" s="930"/>
      <c r="AE52" s="936">
        <f>ROUND(SUMIFS('TB VNSC FY24'!M:M,'TB VNSC FY24'!N:N,'A0.LS'!E52),0)</f>
        <v>0</v>
      </c>
      <c r="AF52" s="936">
        <f>SUMIFS('A5.CTC FY24'!K:K,'A5.CTC FY24'!E:E,'A0.LS'!E52,'A5.CTC FY24'!A:A,"VNSC",'A5.CTC FY24'!L:L,"VNSC",'A5.CTC FY24'!M:M,"Posted")</f>
        <v>0</v>
      </c>
      <c r="AG52" s="936">
        <f>ROUND(SUMIFS('A5.CTC FY24'!K:K,'A5.CTC FY24'!E:E,'A0.LS'!E52,'A5.CTC FY24'!A:A,"VNSC",'A5.CTC FY24'!L:L,"EY",'A5.CTC FY24'!M:M,"Posted"),0)</f>
        <v>0</v>
      </c>
      <c r="AH52" s="936">
        <f t="shared" si="25"/>
        <v>0</v>
      </c>
      <c r="AI52" s="930"/>
      <c r="AJ52" s="936">
        <f>SUMIFS('TB.KCG.FY24'!I:I,'TB.KCG.FY24'!A:A,'A0.LS'!E52)</f>
        <v>0</v>
      </c>
      <c r="AK52" s="936">
        <f>ROUND(SUMIFS('A5.CTC FY24'!K:K,'A5.CTC FY24'!E:E,'A0.LS'!E52,'A5.CTC FY24'!A:A,'A0.LS'!$AK$5,'A5.CTC FY24'!L:L,"EY",'A5.CTC FY24'!M:M,"Posted"),0)</f>
        <v>0</v>
      </c>
      <c r="AL52" s="948">
        <f t="shared" si="26"/>
        <v>0</v>
      </c>
      <c r="AM52" s="930"/>
      <c r="AN52" s="949">
        <f t="shared" si="35"/>
        <v>0</v>
      </c>
      <c r="AO52" s="950">
        <f>ROUND(SUMIFS('A5.Consol FY24'!L:L,'A5.Consol FY24'!M:M,"EY",'A5.Consol FY24'!N:N,"Posted",'A5.Consol FY24'!B:B,'A0.LS'!$AO$5,'A5.Consol FY24'!F:F,'A0.LS'!E52),0)</f>
        <v>0</v>
      </c>
      <c r="AP52" s="949">
        <f t="shared" si="27"/>
        <v>0</v>
      </c>
      <c r="AQ52" s="930"/>
      <c r="AR52" s="936">
        <f>ROUND(SUMIFS('TB.XH.FY24'!I:I,'TB.XH.FY24'!J:J,'A0.LS'!E52),0)</f>
        <v>0</v>
      </c>
      <c r="AS52" s="936">
        <f>ROUND(SUMIFS('A5.CTC FY24'!K:K,'A5.CTC FY24'!E:E,'A0.LS'!E52,'A5.CTC FY24'!A:A,'A0.LS'!$AS$5,'A5.CTC FY24'!L:L,"EY",'A5.CTC FY24'!M:M,"Posted"),0)</f>
        <v>0</v>
      </c>
      <c r="AT52" s="948">
        <f t="shared" si="28"/>
        <v>0</v>
      </c>
      <c r="AU52" s="930"/>
      <c r="AV52" s="951">
        <f t="shared" si="29"/>
        <v>56549028</v>
      </c>
      <c r="AW52" s="952">
        <f>SUMIFS('A5.Consol FY24'!L:L,'A5.Consol FY24'!B:B,'A0.LS'!$AW$5,'A5.Consol FY24'!M:M,"EY",'A5.Consol FY24'!N:N,"Posted",'A5.Consol FY24'!F:F,'A0.LS'!E52)</f>
        <v>0</v>
      </c>
      <c r="AX52" s="951">
        <f t="shared" si="36"/>
        <v>56549028</v>
      </c>
      <c r="AY52" s="920"/>
      <c r="AZ52" s="936">
        <f>SUMIFS('TB.CTC.YE22'!Q:Q,'TB.CTC.YE22'!A:A,'A0.LS'!E52)</f>
        <v>0</v>
      </c>
      <c r="BA52" s="936">
        <f>ROUND(SUMIFS('A5.YE22'!J:J,'A5.YE22'!K:K,'A0.LS'!$BA$5,'A5.YE22'!L:L,"Posted",'A5.YE22'!D:D,'A0.LS'!E52),0)</f>
        <v>0</v>
      </c>
      <c r="BB52" s="936">
        <f t="shared" si="30"/>
        <v>0</v>
      </c>
      <c r="BC52" s="937"/>
      <c r="BD52" s="936">
        <f>ROUND(SUMIFS('TB.VNSC.YE22'!L:L,'TB.VNSC.YE22'!A:A,'A0.LS'!E52),0)</f>
        <v>0</v>
      </c>
      <c r="BE52" s="936">
        <f>ROUND(SUMIFS('A5.YE22'!J:J,'A5.YE22'!K:K,'A0.LS'!$BE$5,'A5.YE22'!L:L,"Posted",'A5.YE22'!D:D,'A0.LS'!E52),0)</f>
        <v>0</v>
      </c>
      <c r="BF52" s="936">
        <f t="shared" si="31"/>
        <v>0</v>
      </c>
      <c r="BG52" s="937"/>
      <c r="BH52" s="936">
        <f>ROUND(SUMIFS('TB.XH.YE22'!P:P,'TB.XH.YE22'!A:A,'A0.LS'!E52),0)</f>
        <v>0</v>
      </c>
      <c r="BI52" s="936">
        <f>ROUND(SUMIFS('A5.YE22'!J:J,'A5.YE22'!K:K,"XH",'A5.YE22'!L:L,"Posted",'A5.YE22'!D:D,'A0.LS'!E52),0)</f>
        <v>0</v>
      </c>
      <c r="BJ52" s="936">
        <f t="shared" si="32"/>
        <v>0</v>
      </c>
      <c r="BK52" s="937"/>
      <c r="BL52" s="936">
        <f>ROUND(SUMIFS('TB.KCG.YE22'!P:P,'TB.KCG.YE22'!A:A,'A0.LS'!E52),0)</f>
        <v>0</v>
      </c>
      <c r="BM52" s="936">
        <f>ROUND(SUMIFS('A5.YE22'!J:J,'A5.YE22'!K:K,'A0.LS'!$BM$5,'A5.YE22'!L:L,"Posted",'A5.YE22'!D:D,'A0.LS'!E52),0)</f>
        <v>0</v>
      </c>
      <c r="BN52" s="936">
        <f t="shared" si="33"/>
        <v>0</v>
      </c>
      <c r="BO52" s="937"/>
      <c r="BP52" s="938">
        <v>77981100</v>
      </c>
      <c r="BQ52" s="938">
        <f>ROUND(SUMIFS('A5.YE22'!J:J,'A5.YE22'!K:K,'A0.LS'!$BQ$5,'A5.YE22'!L:L,"Posted",'A5.YE22'!D:D,'A0.LS'!E52),0)</f>
        <v>0</v>
      </c>
      <c r="BR52" s="938">
        <f t="shared" si="34"/>
        <v>77981100</v>
      </c>
    </row>
    <row r="53" spans="1:70" ht="12.75">
      <c r="A53" s="850"/>
      <c r="B53" s="939">
        <v>136</v>
      </c>
      <c r="C53" s="940" t="s">
        <v>2220</v>
      </c>
      <c r="D53" s="941" t="s">
        <v>2220</v>
      </c>
      <c r="E53" s="928" t="s">
        <v>62</v>
      </c>
      <c r="F53" s="928" t="s">
        <v>56</v>
      </c>
      <c r="G53" s="927" t="s">
        <v>2221</v>
      </c>
      <c r="H53" s="927" t="s">
        <v>2222</v>
      </c>
      <c r="I53" s="942">
        <f>SUMIFS('TB.CTy Me.FY2024'!I:I,'TB.CTy Me.FY2024'!A:A,'A0.LS'!E53)</f>
        <v>1543989257</v>
      </c>
      <c r="J53" s="942">
        <f>ROUND(SUMIFS('A5.FY24'!K:K,'A5.FY24'!E:E,'A0.LS'!E53,'A5.FY24'!L:L,"Finhay",'A5.FY24'!M:M,"Posted"),0)</f>
        <v>18691677</v>
      </c>
      <c r="K53" s="942">
        <f>ROUND(SUMIFS('A5.FY24'!K:K,'A5.FY24'!E:E,'A0.LS'!E53,'A5.FY24'!L:L,"EY",'A5.FY24'!M:M,"Posted"),0)</f>
        <v>773274940</v>
      </c>
      <c r="L53" s="943">
        <f t="shared" si="22"/>
        <v>2335955874</v>
      </c>
      <c r="M53" s="930"/>
      <c r="N53" s="944">
        <f>SUMIFS('TB.CTM.YE23'!I:I,'TB.CTM.YE23'!A:A,'A0.LS'!E53)</f>
        <v>7178132805</v>
      </c>
      <c r="O53" s="955">
        <v>283700</v>
      </c>
      <c r="P53" s="944">
        <v>-4003015718</v>
      </c>
      <c r="Q53" s="945">
        <f t="shared" si="23"/>
        <v>3175400787</v>
      </c>
      <c r="R53" s="898"/>
      <c r="S53" s="848">
        <f t="shared" si="20"/>
        <v>-839444913</v>
      </c>
      <c r="T53" s="946">
        <f t="shared" si="21"/>
        <v>-0.26435872801841692</v>
      </c>
      <c r="U53" s="850"/>
      <c r="V53" s="850" t="s">
        <v>2231</v>
      </c>
      <c r="W53" s="850"/>
      <c r="X53" s="947" t="s">
        <v>2227</v>
      </c>
      <c r="Y53" s="947" t="s">
        <v>2221</v>
      </c>
      <c r="Z53" s="936">
        <f>ROUND(SUMIFS('TB.Cty Con.FY24'!I:I,'TB.Cty Con.FY24'!A:A,'A0.LS'!E53),0)</f>
        <v>59152055</v>
      </c>
      <c r="AA53" s="936">
        <f>ROUND(SUMIFS('A5.CTC FY24'!K:K,'A5.CTC FY24'!E:E,'A0.LS'!E53,'A5.CTC FY24'!A:A,'A0.LS'!$AA$5,'A5.CTC FY24'!L:L,"Finhay",'A5.CTC FY24'!M:M,"Posted"),0)</f>
        <v>0</v>
      </c>
      <c r="AB53" s="936">
        <f>ROUND(SUMIFS('A5.CTC FY24'!K:K,'A5.CTC FY24'!E:E,'A0.LS'!E53,'A5.CTC FY24'!A:A,'A0.LS'!$AB$5,'A5.CTC FY24'!L:L,"EY",'A5.CTC FY24'!M:M,"Posted"),0)</f>
        <v>0</v>
      </c>
      <c r="AC53" s="948">
        <f t="shared" si="24"/>
        <v>59152055</v>
      </c>
      <c r="AD53" s="930"/>
      <c r="AE53" s="936">
        <f>ROUND(SUMIFS('TB VNSC FY24'!M:M,'TB VNSC FY24'!N:N,'A0.LS'!E53),0)</f>
        <v>49151037</v>
      </c>
      <c r="AF53" s="936">
        <f>SUMIFS('A5.CTC FY24'!K:K,'A5.CTC FY24'!E:E,'A0.LS'!E53,'A5.CTC FY24'!A:A,"VNSC",'A5.CTC FY24'!L:L,"VNSC",'A5.CTC FY24'!M:M,"Posted")</f>
        <v>0</v>
      </c>
      <c r="AG53" s="936">
        <f>ROUND(SUMIFS('A5.CTC FY24'!K:K,'A5.CTC FY24'!E:E,'A0.LS'!E53,'A5.CTC FY24'!A:A,"VNSC",'A5.CTC FY24'!L:L,"EY",'A5.CTC FY24'!M:M,"Posted"),0)</f>
        <v>0</v>
      </c>
      <c r="AH53" s="936">
        <f t="shared" si="25"/>
        <v>49151037</v>
      </c>
      <c r="AI53" s="930"/>
      <c r="AJ53" s="936">
        <f>SUMIFS('TB.KCG.FY24'!I:I,'TB.KCG.FY24'!A:A,'A0.LS'!E53)</f>
        <v>0</v>
      </c>
      <c r="AK53" s="936">
        <f>ROUND(SUMIFS('A5.CTC FY24'!K:K,'A5.CTC FY24'!E:E,'A0.LS'!E53,'A5.CTC FY24'!A:A,'A0.LS'!$AK$5,'A5.CTC FY24'!L:L,"EY",'A5.CTC FY24'!M:M,"Posted"),0)</f>
        <v>0</v>
      </c>
      <c r="AL53" s="948">
        <f t="shared" si="26"/>
        <v>0</v>
      </c>
      <c r="AM53" s="930"/>
      <c r="AN53" s="949">
        <f t="shared" si="35"/>
        <v>112664335</v>
      </c>
      <c r="AO53" s="950">
        <f>ROUND(SUMIFS('A5.Consol FY24'!L:L,'A5.Consol FY24'!M:M,"EY",'A5.Consol FY24'!N:N,"Posted",'A5.Consol FY24'!B:B,'A0.LS'!$AO$5,'A5.Consol FY24'!F:F,'A0.LS'!E53),0)</f>
        <v>0</v>
      </c>
      <c r="AP53" s="949">
        <f t="shared" si="27"/>
        <v>112664335</v>
      </c>
      <c r="AQ53" s="930"/>
      <c r="AR53" s="936">
        <f>ROUND(SUMIFS('TB.XH.FY24'!I:I,'TB.XH.FY24'!J:J,'A0.LS'!E53),0)</f>
        <v>4361243</v>
      </c>
      <c r="AS53" s="936">
        <f>ROUND(SUMIFS('A5.CTC FY24'!K:K,'A5.CTC FY24'!E:E,'A0.LS'!E53,'A5.CTC FY24'!A:A,'A0.LS'!$AS$5,'A5.CTC FY24'!L:L,"EY",'A5.CTC FY24'!M:M,"Posted"),0)</f>
        <v>0</v>
      </c>
      <c r="AT53" s="948">
        <f t="shared" si="28"/>
        <v>4361243</v>
      </c>
      <c r="AU53" s="930"/>
      <c r="AV53" s="951">
        <f t="shared" si="29"/>
        <v>2448620209</v>
      </c>
      <c r="AW53" s="952">
        <f>SUMIFS('A5.Consol FY24'!L:L,'A5.Consol FY24'!B:B,'A0.LS'!$AW$5,'A5.Consol FY24'!M:M,"EY",'A5.Consol FY24'!N:N,"Posted",'A5.Consol FY24'!F:F,'A0.LS'!E53)</f>
        <v>0</v>
      </c>
      <c r="AX53" s="951">
        <f t="shared" si="36"/>
        <v>2448620209</v>
      </c>
      <c r="AY53" s="920"/>
      <c r="AZ53" s="936">
        <f>SUMIFS('TB.CTC.YE22'!Q:Q,'TB.CTC.YE22'!A:A,'A0.LS'!E53)</f>
        <v>30347680</v>
      </c>
      <c r="BA53" s="936">
        <f>ROUND(SUMIFS('A5.YE22'!J:J,'A5.YE22'!K:K,'A0.LS'!$BA$5,'A5.YE22'!L:L,"Posted",'A5.YE22'!D:D,'A0.LS'!E53),0)</f>
        <v>-30347680</v>
      </c>
      <c r="BB53" s="936">
        <f t="shared" si="30"/>
        <v>0</v>
      </c>
      <c r="BC53" s="937"/>
      <c r="BD53" s="936">
        <f>ROUND(SUMIFS('TB.VNSC.YE22'!L:L,'TB.VNSC.YE22'!A:A,'A0.LS'!E53),0)</f>
        <v>0</v>
      </c>
      <c r="BE53" s="936">
        <f>ROUND(SUMIFS('A5.YE22'!J:J,'A5.YE22'!K:K,'A0.LS'!$BE$5,'A5.YE22'!L:L,"Posted",'A5.YE22'!D:D,'A0.LS'!E53),0)</f>
        <v>0</v>
      </c>
      <c r="BF53" s="936">
        <f t="shared" si="31"/>
        <v>0</v>
      </c>
      <c r="BG53" s="937"/>
      <c r="BH53" s="936">
        <f>ROUND(SUMIFS('TB.XH.YE22'!P:P,'TB.XH.YE22'!A:A,'A0.LS'!E53),0)</f>
        <v>0</v>
      </c>
      <c r="BI53" s="936">
        <f>ROUND(SUMIFS('A5.YE22'!J:J,'A5.YE22'!K:K,"XH",'A5.YE22'!L:L,"Posted",'A5.YE22'!D:D,'A0.LS'!E53),0)</f>
        <v>0</v>
      </c>
      <c r="BJ53" s="936">
        <f t="shared" si="32"/>
        <v>0</v>
      </c>
      <c r="BK53" s="937"/>
      <c r="BL53" s="936">
        <f>ROUND(SUMIFS('TB.KCG.YE22'!P:P,'TB.KCG.YE22'!A:A,'A0.LS'!E53),0)</f>
        <v>0</v>
      </c>
      <c r="BM53" s="936">
        <f>ROUND(SUMIFS('A5.YE22'!J:J,'A5.YE22'!K:K,'A0.LS'!$BM$5,'A5.YE22'!L:L,"Posted",'A5.YE22'!D:D,'A0.LS'!E53),0)</f>
        <v>0</v>
      </c>
      <c r="BN53" s="936">
        <f t="shared" si="33"/>
        <v>0</v>
      </c>
      <c r="BO53" s="937"/>
      <c r="BP53" s="938">
        <v>3195082475</v>
      </c>
      <c r="BQ53" s="938">
        <f>ROUND(SUMIFS('A5.YE22'!J:J,'A5.YE22'!K:K,'A0.LS'!$BQ$5,'A5.YE22'!L:L,"Posted",'A5.YE22'!D:D,'A0.LS'!E53),0)</f>
        <v>0</v>
      </c>
      <c r="BR53" s="938">
        <f t="shared" si="34"/>
        <v>3195082475</v>
      </c>
    </row>
    <row r="54" spans="1:70" ht="12.75">
      <c r="A54" s="850"/>
      <c r="B54" s="939">
        <v>136</v>
      </c>
      <c r="C54" s="940" t="s">
        <v>2220</v>
      </c>
      <c r="D54" s="941" t="s">
        <v>2220</v>
      </c>
      <c r="E54" s="928" t="s">
        <v>2248</v>
      </c>
      <c r="F54" s="928" t="s">
        <v>56</v>
      </c>
      <c r="G54" s="927" t="s">
        <v>2221</v>
      </c>
      <c r="H54" s="927" t="s">
        <v>2222</v>
      </c>
      <c r="I54" s="942">
        <f>SUMIFS('TB.CTy Me.FY2024'!I:I,'TB.CTy Me.FY2024'!A:A,'A0.LS'!E54)</f>
        <v>0</v>
      </c>
      <c r="J54" s="942">
        <f>ROUND(SUMIFS('A5.FY24'!K:K,'A5.FY24'!E:E,'A0.LS'!E54,'A5.FY24'!L:L,"Finhay",'A5.FY24'!M:M,"Posted"),0)</f>
        <v>0</v>
      </c>
      <c r="K54" s="942">
        <f>ROUND(SUMIFS('A5.FY24'!K:K,'A5.FY24'!E:E,'A0.LS'!E54,'A5.FY24'!L:L,"EY",'A5.FY24'!M:M,"Posted"),0)</f>
        <v>2872759147</v>
      </c>
      <c r="L54" s="943">
        <f t="shared" si="22"/>
        <v>2872759147</v>
      </c>
      <c r="M54" s="930"/>
      <c r="N54" s="944">
        <f>SUMIFS('TB.CTM.YE23'!I:I,'TB.CTM.YE23'!A:A,'A0.LS'!E54)</f>
        <v>0</v>
      </c>
      <c r="O54" s="944">
        <v>0</v>
      </c>
      <c r="P54" s="944">
        <v>792935656</v>
      </c>
      <c r="Q54" s="945">
        <f t="shared" si="23"/>
        <v>792935656</v>
      </c>
      <c r="R54" s="898"/>
      <c r="S54" s="848">
        <f t="shared" si="20"/>
        <v>2079823491</v>
      </c>
      <c r="T54" s="946">
        <f t="shared" si="21"/>
        <v>2.6229410611849193</v>
      </c>
      <c r="U54" s="850"/>
      <c r="V54" s="850" t="s">
        <v>2231</v>
      </c>
      <c r="W54" s="850"/>
      <c r="X54" s="947" t="s">
        <v>2227</v>
      </c>
      <c r="Y54" s="947" t="s">
        <v>2221</v>
      </c>
      <c r="Z54" s="936">
        <f>ROUND(SUMIFS('TB.Cty Con.FY24'!I:I,'TB.Cty Con.FY24'!A:A,'A0.LS'!E54),0)</f>
        <v>0</v>
      </c>
      <c r="AA54" s="936">
        <f>ROUND(SUMIFS('A5.CTC FY24'!K:K,'A5.CTC FY24'!E:E,'A0.LS'!E54,'A5.CTC FY24'!A:A,'A0.LS'!$AA$5,'A5.CTC FY24'!L:L,"Finhay",'A5.CTC FY24'!M:M,"Posted"),0)</f>
        <v>0</v>
      </c>
      <c r="AB54" s="936">
        <f>ROUND(SUMIFS('A5.CTC FY24'!K:K,'A5.CTC FY24'!E:E,'A0.LS'!E54,'A5.CTC FY24'!A:A,'A0.LS'!$AB$5,'A5.CTC FY24'!L:L,"EY",'A5.CTC FY24'!M:M,"Posted"),0)</f>
        <v>0</v>
      </c>
      <c r="AC54" s="948">
        <f t="shared" si="24"/>
        <v>0</v>
      </c>
      <c r="AD54" s="930"/>
      <c r="AE54" s="936">
        <f>ROUND(SUMIFS('TB VNSC FY24'!M:M,'TB VNSC FY24'!N:N,'A0.LS'!E54),0)</f>
        <v>0</v>
      </c>
      <c r="AF54" s="936">
        <f>SUMIFS('A5.CTC FY24'!K:K,'A5.CTC FY24'!E:E,'A0.LS'!E54,'A5.CTC FY24'!A:A,"VNSC",'A5.CTC FY24'!L:L,"VNSC",'A5.CTC FY24'!M:M,"Posted")</f>
        <v>0</v>
      </c>
      <c r="AG54" s="936">
        <f>ROUND(SUMIFS('A5.CTC FY24'!K:K,'A5.CTC FY24'!E:E,'A0.LS'!E54,'A5.CTC FY24'!A:A,"VNSC",'A5.CTC FY24'!L:L,"EY",'A5.CTC FY24'!M:M,"Posted"),0)</f>
        <v>0</v>
      </c>
      <c r="AH54" s="936">
        <f t="shared" si="25"/>
        <v>0</v>
      </c>
      <c r="AI54" s="930"/>
      <c r="AJ54" s="936">
        <f>SUMIFS('TB.KCG.FY24'!I:I,'TB.KCG.FY24'!A:A,'A0.LS'!E54)</f>
        <v>0</v>
      </c>
      <c r="AK54" s="936">
        <f>ROUND(SUMIFS('A5.CTC FY24'!K:K,'A5.CTC FY24'!E:E,'A0.LS'!E54,'A5.CTC FY24'!A:A,'A0.LS'!$AK$5,'A5.CTC FY24'!L:L,"EY",'A5.CTC FY24'!M:M,"Posted"),0)</f>
        <v>0</v>
      </c>
      <c r="AL54" s="948">
        <f t="shared" si="26"/>
        <v>0</v>
      </c>
      <c r="AM54" s="930"/>
      <c r="AN54" s="949">
        <f t="shared" si="35"/>
        <v>0</v>
      </c>
      <c r="AO54" s="950">
        <f>ROUND(SUMIFS('A5.Consol FY24'!L:L,'A5.Consol FY24'!M:M,"EY",'A5.Consol FY24'!N:N,"Posted",'A5.Consol FY24'!B:B,'A0.LS'!$AO$5,'A5.Consol FY24'!F:F,'A0.LS'!E54),0)</f>
        <v>0</v>
      </c>
      <c r="AP54" s="949">
        <f t="shared" si="27"/>
        <v>0</v>
      </c>
      <c r="AQ54" s="930"/>
      <c r="AR54" s="936">
        <f>ROUND(SUMIFS('TB.XH.FY24'!I:I,'TB.XH.FY24'!J:J,'A0.LS'!E54),0)</f>
        <v>0</v>
      </c>
      <c r="AS54" s="936">
        <f>ROUND(SUMIFS('A5.CTC FY24'!K:K,'A5.CTC FY24'!E:E,'A0.LS'!E54,'A5.CTC FY24'!A:A,'A0.LS'!$AS$5,'A5.CTC FY24'!L:L,"EY",'A5.CTC FY24'!M:M,"Posted"),0)</f>
        <v>0</v>
      </c>
      <c r="AT54" s="948">
        <f t="shared" si="28"/>
        <v>0</v>
      </c>
      <c r="AU54" s="930"/>
      <c r="AV54" s="537">
        <f t="shared" si="29"/>
        <v>2872759147</v>
      </c>
      <c r="AW54" s="952">
        <f>SUMIFS('A5.Consol FY24'!L:L,'A5.Consol FY24'!B:B,'A0.LS'!$AW$5,'A5.Consol FY24'!M:M,"EY",'A5.Consol FY24'!N:N,"Posted",'A5.Consol FY24'!F:F,'A0.LS'!E54)</f>
        <v>0</v>
      </c>
      <c r="AX54" s="951">
        <f t="shared" si="36"/>
        <v>2872759147</v>
      </c>
      <c r="AY54" s="920"/>
      <c r="AZ54" s="936">
        <f>SUMIFS('TB.CTC.YE22'!Q:Q,'TB.CTC.YE22'!A:A,'A0.LS'!E54)</f>
        <v>0</v>
      </c>
      <c r="BA54" s="936">
        <f>ROUND(SUMIFS('A5.YE22'!J:J,'A5.YE22'!K:K,'A0.LS'!$BA$5,'A5.YE22'!L:L,"Posted",'A5.YE22'!D:D,'A0.LS'!E54),0)</f>
        <v>0</v>
      </c>
      <c r="BB54" s="936">
        <f t="shared" si="30"/>
        <v>0</v>
      </c>
      <c r="BC54" s="937"/>
      <c r="BD54" s="936">
        <f>ROUND(SUMIFS('TB.VNSC.YE22'!L:L,'TB.VNSC.YE22'!A:A,'A0.LS'!E54),0)</f>
        <v>0</v>
      </c>
      <c r="BE54" s="936">
        <f>ROUND(SUMIFS('A5.YE22'!J:J,'A5.YE22'!K:K,'A0.LS'!$BE$5,'A5.YE22'!L:L,"Posted",'A5.YE22'!D:D,'A0.LS'!E54),0)</f>
        <v>582000</v>
      </c>
      <c r="BF54" s="936">
        <f t="shared" si="31"/>
        <v>582000</v>
      </c>
      <c r="BG54" s="937"/>
      <c r="BH54" s="936">
        <f>ROUND(SUMIFS('TB.XH.YE22'!P:P,'TB.XH.YE22'!A:A,'A0.LS'!E54),0)</f>
        <v>0</v>
      </c>
      <c r="BI54" s="936">
        <f>ROUND(SUMIFS('A5.YE22'!J:J,'A5.YE22'!K:K,"XH",'A5.YE22'!L:L,"Posted",'A5.YE22'!D:D,'A0.LS'!E54),0)</f>
        <v>0</v>
      </c>
      <c r="BJ54" s="936">
        <f t="shared" si="32"/>
        <v>0</v>
      </c>
      <c r="BK54" s="937"/>
      <c r="BL54" s="936">
        <f>ROUND(SUMIFS('TB.KCG.YE22'!P:P,'TB.KCG.YE22'!A:A,'A0.LS'!E54),0)</f>
        <v>0</v>
      </c>
      <c r="BM54" s="936">
        <f>ROUND(SUMIFS('A5.YE22'!J:J,'A5.YE22'!K:K,'A0.LS'!$BM$5,'A5.YE22'!L:L,"Posted",'A5.YE22'!D:D,'A0.LS'!E54),0)</f>
        <v>0</v>
      </c>
      <c r="BN54" s="936">
        <f t="shared" si="33"/>
        <v>0</v>
      </c>
      <c r="BO54" s="937"/>
      <c r="BP54" s="938">
        <v>792935656</v>
      </c>
      <c r="BQ54" s="938">
        <f>ROUND(SUMIFS('A5.YE22'!J:J,'A5.YE22'!K:K,'A0.LS'!$BQ$5,'A5.YE22'!L:L,"Posted",'A5.YE22'!D:D,'A0.LS'!E54),0)</f>
        <v>0</v>
      </c>
      <c r="BR54" s="938">
        <f t="shared" si="34"/>
        <v>792935656</v>
      </c>
    </row>
    <row r="55" spans="1:70" ht="12.75">
      <c r="A55" s="850"/>
      <c r="B55" s="939">
        <v>136</v>
      </c>
      <c r="C55" s="940" t="s">
        <v>2220</v>
      </c>
      <c r="D55" s="941" t="s">
        <v>2220</v>
      </c>
      <c r="E55" s="928" t="s">
        <v>67</v>
      </c>
      <c r="F55" s="928" t="s">
        <v>56</v>
      </c>
      <c r="G55" s="927" t="s">
        <v>2221</v>
      </c>
      <c r="H55" s="927" t="s">
        <v>2222</v>
      </c>
      <c r="I55" s="942">
        <f>SUMIFS('TB.CTy Me.FY2024'!I:I,'TB.CTy Me.FY2024'!A:A,'A0.LS'!E55)</f>
        <v>7175263</v>
      </c>
      <c r="J55" s="942">
        <f>ROUND(SUMIFS('A5.FY24'!K:K,'A5.FY24'!E:E,'A0.LS'!E55,'A5.FY24'!L:L,"Finhay",'A5.FY24'!M:M,"Posted"),0)</f>
        <v>0</v>
      </c>
      <c r="K55" s="942">
        <f>ROUND(SUMIFS('A5.FY24'!K:K,'A5.FY24'!E:E,'A0.LS'!E55,'A5.FY24'!L:L,"EY",'A5.FY24'!M:M,"Posted"),0)</f>
        <v>0</v>
      </c>
      <c r="L55" s="943">
        <f t="shared" si="22"/>
        <v>7175263</v>
      </c>
      <c r="M55" s="930"/>
      <c r="N55" s="944">
        <f>SUMIFS('TB.CTM.YE23'!I:I,'TB.CTM.YE23'!A:A,'A0.LS'!E55)</f>
        <v>13378940971</v>
      </c>
      <c r="O55" s="944">
        <v>-100000</v>
      </c>
      <c r="P55" s="944">
        <v>0</v>
      </c>
      <c r="Q55" s="945">
        <f t="shared" si="23"/>
        <v>13378840971</v>
      </c>
      <c r="R55" s="898"/>
      <c r="S55" s="848">
        <f t="shared" si="20"/>
        <v>-13371665708</v>
      </c>
      <c r="T55" s="946">
        <f t="shared" si="21"/>
        <v>-0.99946368575457667</v>
      </c>
      <c r="U55" s="850"/>
      <c r="V55" s="850" t="s">
        <v>2247</v>
      </c>
      <c r="W55" s="850"/>
      <c r="X55" s="947" t="s">
        <v>2227</v>
      </c>
      <c r="Y55" s="947" t="s">
        <v>2221</v>
      </c>
      <c r="Z55" s="936">
        <f>ROUND(SUMIFS('TB.Cty Con.FY24'!I:I,'TB.Cty Con.FY24'!A:A,'A0.LS'!E55),0)</f>
        <v>0</v>
      </c>
      <c r="AA55" s="936">
        <f>ROUND(SUMIFS('A5.CTC FY24'!K:K,'A5.CTC FY24'!E:E,'A0.LS'!E55,'A5.CTC FY24'!A:A,'A0.LS'!$AA$5,'A5.CTC FY24'!L:L,"Finhay",'A5.CTC FY24'!M:M,"Posted"),0)</f>
        <v>0</v>
      </c>
      <c r="AB55" s="936">
        <f>ROUND(SUMIFS('A5.CTC FY24'!K:K,'A5.CTC FY24'!E:E,'A0.LS'!E55,'A5.CTC FY24'!A:A,'A0.LS'!$AB$5,'A5.CTC FY24'!L:L,"EY",'A5.CTC FY24'!M:M,"Posted"),0)</f>
        <v>0</v>
      </c>
      <c r="AC55" s="948">
        <f t="shared" si="24"/>
        <v>0</v>
      </c>
      <c r="AD55" s="930"/>
      <c r="AE55" s="936">
        <f>ROUND(SUMIFS('TB VNSC FY24'!M:M,'TB VNSC FY24'!N:N,'A0.LS'!E55),0)</f>
        <v>0</v>
      </c>
      <c r="AF55" s="936">
        <f>SUMIFS('A5.CTC FY24'!K:K,'A5.CTC FY24'!E:E,'A0.LS'!E55,'A5.CTC FY24'!A:A,"VNSC",'A5.CTC FY24'!L:L,"VNSC",'A5.CTC FY24'!M:M,"Posted")</f>
        <v>0</v>
      </c>
      <c r="AG55" s="936">
        <f>ROUND(SUMIFS('A5.CTC FY24'!K:K,'A5.CTC FY24'!E:E,'A0.LS'!E55,'A5.CTC FY24'!A:A,"VNSC",'A5.CTC FY24'!L:L,"EY",'A5.CTC FY24'!M:M,"Posted"),0)</f>
        <v>0</v>
      </c>
      <c r="AH55" s="936">
        <f t="shared" si="25"/>
        <v>0</v>
      </c>
      <c r="AI55" s="930"/>
      <c r="AJ55" s="936">
        <f>SUMIFS('TB.KCG.FY24'!I:I,'TB.KCG.FY24'!A:A,'A0.LS'!E55)</f>
        <v>0</v>
      </c>
      <c r="AK55" s="936">
        <f>ROUND(SUMIFS('A5.CTC FY24'!K:K,'A5.CTC FY24'!E:E,'A0.LS'!E55,'A5.CTC FY24'!A:A,'A0.LS'!$AK$5,'A5.CTC FY24'!L:L,"EY",'A5.CTC FY24'!M:M,"Posted"),0)</f>
        <v>0</v>
      </c>
      <c r="AL55" s="948">
        <f t="shared" si="26"/>
        <v>0</v>
      </c>
      <c r="AM55" s="930"/>
      <c r="AN55" s="949">
        <f t="shared" si="35"/>
        <v>0</v>
      </c>
      <c r="AO55" s="950">
        <f>ROUND(SUMIFS('A5.Consol FY24'!L:L,'A5.Consol FY24'!M:M,"EY",'A5.Consol FY24'!N:N,"Posted",'A5.Consol FY24'!B:B,'A0.LS'!$AO$5,'A5.Consol FY24'!F:F,'A0.LS'!E55),0)</f>
        <v>0</v>
      </c>
      <c r="AP55" s="949">
        <f t="shared" si="27"/>
        <v>0</v>
      </c>
      <c r="AQ55" s="930"/>
      <c r="AR55" s="936">
        <f>ROUND(SUMIFS('TB.XH.FY24'!I:I,'TB.XH.FY24'!J:J,'A0.LS'!E55),0)</f>
        <v>0</v>
      </c>
      <c r="AS55" s="936">
        <f>ROUND(SUMIFS('A5.CTC FY24'!K:K,'A5.CTC FY24'!E:E,'A0.LS'!E55,'A5.CTC FY24'!A:A,'A0.LS'!$AS$5,'A5.CTC FY24'!L:L,"EY",'A5.CTC FY24'!M:M,"Posted"),0)</f>
        <v>0</v>
      </c>
      <c r="AT55" s="948">
        <f t="shared" si="28"/>
        <v>0</v>
      </c>
      <c r="AU55" s="930"/>
      <c r="AV55" s="951">
        <f t="shared" si="29"/>
        <v>7175263</v>
      </c>
      <c r="AW55" s="952">
        <f>SUMIFS('A5.Consol FY24'!L:L,'A5.Consol FY24'!B:B,'A0.LS'!$AW$5,'A5.Consol FY24'!M:M,"EY",'A5.Consol FY24'!N:N,"Posted",'A5.Consol FY24'!F:F,'A0.LS'!E55)</f>
        <v>0</v>
      </c>
      <c r="AX55" s="951">
        <f t="shared" si="36"/>
        <v>7175263</v>
      </c>
      <c r="AY55" s="920"/>
      <c r="AZ55" s="936">
        <f>SUMIFS('TB.CTC.YE22'!Q:Q,'TB.CTC.YE22'!A:A,'A0.LS'!E55)</f>
        <v>0</v>
      </c>
      <c r="BA55" s="936">
        <f>ROUND(SUMIFS('A5.YE22'!J:J,'A5.YE22'!K:K,'A0.LS'!$BA$5,'A5.YE22'!L:L,"Posted",'A5.YE22'!D:D,'A0.LS'!E55),0)</f>
        <v>0</v>
      </c>
      <c r="BB55" s="936">
        <f t="shared" si="30"/>
        <v>0</v>
      </c>
      <c r="BC55" s="937"/>
      <c r="BD55" s="936">
        <f>ROUND(SUMIFS('TB.VNSC.YE22'!L:L,'TB.VNSC.YE22'!A:A,'A0.LS'!E55),0)</f>
        <v>0</v>
      </c>
      <c r="BE55" s="936">
        <f>ROUND(SUMIFS('A5.YE22'!J:J,'A5.YE22'!K:K,'A0.LS'!$BE$5,'A5.YE22'!L:L,"Posted",'A5.YE22'!D:D,'A0.LS'!E55),0)</f>
        <v>0</v>
      </c>
      <c r="BF55" s="936">
        <f t="shared" si="31"/>
        <v>0</v>
      </c>
      <c r="BG55" s="937"/>
      <c r="BH55" s="936">
        <f>ROUND(SUMIFS('TB.XH.YE22'!P:P,'TB.XH.YE22'!A:A,'A0.LS'!E55),0)</f>
        <v>0</v>
      </c>
      <c r="BI55" s="936">
        <f>ROUND(SUMIFS('A5.YE22'!J:J,'A5.YE22'!K:K,"XH",'A5.YE22'!L:L,"Posted",'A5.YE22'!D:D,'A0.LS'!E55),0)</f>
        <v>0</v>
      </c>
      <c r="BJ55" s="936">
        <f t="shared" si="32"/>
        <v>0</v>
      </c>
      <c r="BK55" s="937"/>
      <c r="BL55" s="936">
        <f>ROUND(SUMIFS('TB.KCG.YE22'!P:P,'TB.KCG.YE22'!A:A,'A0.LS'!E55),0)</f>
        <v>0</v>
      </c>
      <c r="BM55" s="936">
        <f>ROUND(SUMIFS('A5.YE22'!J:J,'A5.YE22'!K:K,'A0.LS'!$BM$5,'A5.YE22'!L:L,"Posted",'A5.YE22'!D:D,'A0.LS'!E55),0)</f>
        <v>0</v>
      </c>
      <c r="BN55" s="936">
        <f t="shared" si="33"/>
        <v>0</v>
      </c>
      <c r="BO55" s="937"/>
      <c r="BP55" s="938">
        <v>13378840971</v>
      </c>
      <c r="BQ55" s="938">
        <f>ROUND(SUMIFS('A5.YE22'!J:J,'A5.YE22'!K:K,'A0.LS'!$BQ$5,'A5.YE22'!L:L,"Posted",'A5.YE22'!D:D,'A0.LS'!E55),0)</f>
        <v>0</v>
      </c>
      <c r="BR55" s="938">
        <f t="shared" si="34"/>
        <v>13378840971</v>
      </c>
    </row>
    <row r="56" spans="1:70" ht="12.75">
      <c r="A56" s="850"/>
      <c r="B56" s="939">
        <v>136</v>
      </c>
      <c r="C56" s="940" t="s">
        <v>2220</v>
      </c>
      <c r="D56" s="941" t="s">
        <v>2220</v>
      </c>
      <c r="E56" s="928" t="s">
        <v>2249</v>
      </c>
      <c r="F56" s="928" t="s">
        <v>2250</v>
      </c>
      <c r="G56" s="927" t="s">
        <v>2221</v>
      </c>
      <c r="H56" s="927" t="s">
        <v>2222</v>
      </c>
      <c r="I56" s="942">
        <f>SUMIFS('TB.CTy Me.FY2024'!I:I,'TB.CTy Me.FY2024'!A:A,'A0.LS'!E56)</f>
        <v>0</v>
      </c>
      <c r="J56" s="942">
        <f>ROUND(SUMIFS('A5.FY24'!K:K,'A5.FY24'!E:E,'A0.LS'!E56,'A5.FY24'!L:L,"Finhay",'A5.FY24'!M:M,"Posted"),0)</f>
        <v>0</v>
      </c>
      <c r="K56" s="942">
        <f>ROUND(SUMIFS('A5.FY24'!K:K,'A5.FY24'!E:E,'A0.LS'!E56,'A5.FY24'!L:L,"EY",'A5.FY24'!M:M,"Posted"),0)</f>
        <v>0</v>
      </c>
      <c r="L56" s="943">
        <f t="shared" si="22"/>
        <v>0</v>
      </c>
      <c r="M56" s="930"/>
      <c r="N56" s="944">
        <f>SUMIFS('TB.CTM.YE23'!I:I,'TB.CTM.YE23'!A:A,'A0.LS'!E56)</f>
        <v>0</v>
      </c>
      <c r="O56" s="944">
        <v>0</v>
      </c>
      <c r="P56" s="944">
        <v>0</v>
      </c>
      <c r="Q56" s="945">
        <f t="shared" si="23"/>
        <v>0</v>
      </c>
      <c r="R56" s="898"/>
      <c r="S56" s="848">
        <f t="shared" si="20"/>
        <v>0</v>
      </c>
      <c r="T56" s="946" t="str">
        <f t="shared" si="21"/>
        <v>To check</v>
      </c>
      <c r="U56" s="850"/>
      <c r="V56" s="850" t="s">
        <v>2251</v>
      </c>
      <c r="W56" s="850"/>
      <c r="X56" s="947" t="s">
        <v>2227</v>
      </c>
      <c r="Y56" s="947" t="s">
        <v>2221</v>
      </c>
      <c r="Z56" s="936">
        <f>ROUND(SUMIFS('TB.Cty Con.FY24'!I:I,'TB.Cty Con.FY24'!A:A,'A0.LS'!E56),0)</f>
        <v>0</v>
      </c>
      <c r="AA56" s="936">
        <f>ROUND(SUMIFS('A5.CTC FY24'!K:K,'A5.CTC FY24'!E:E,'A0.LS'!E56,'A5.CTC FY24'!A:A,'A0.LS'!$AA$5,'A5.CTC FY24'!L:L,"Finhay",'A5.CTC FY24'!M:M,"Posted"),0)</f>
        <v>0</v>
      </c>
      <c r="AB56" s="936">
        <f>ROUND(SUMIFS('A5.CTC FY24'!K:K,'A5.CTC FY24'!E:E,'A0.LS'!E56,'A5.CTC FY24'!A:A,'A0.LS'!$AB$5,'A5.CTC FY24'!L:L,"EY",'A5.CTC FY24'!M:M,"Posted"),0)</f>
        <v>0</v>
      </c>
      <c r="AC56" s="948">
        <f t="shared" si="24"/>
        <v>0</v>
      </c>
      <c r="AD56" s="930"/>
      <c r="AE56" s="936">
        <f>ROUND(SUMIFS('TB VNSC FY24'!M:M,'TB VNSC FY24'!N:N,'A0.LS'!E56),0)</f>
        <v>0</v>
      </c>
      <c r="AF56" s="936">
        <f>SUMIFS('A5.CTC FY24'!K:K,'A5.CTC FY24'!E:E,'A0.LS'!E56,'A5.CTC FY24'!A:A,"VNSC",'A5.CTC FY24'!L:L,"VNSC",'A5.CTC FY24'!M:M,"Posted")</f>
        <v>0</v>
      </c>
      <c r="AG56" s="936">
        <f>ROUND(SUMIFS('A5.CTC FY24'!K:K,'A5.CTC FY24'!E:E,'A0.LS'!E56,'A5.CTC FY24'!A:A,"VNSC",'A5.CTC FY24'!L:L,"EY",'A5.CTC FY24'!M:M,"Posted"),0)</f>
        <v>0</v>
      </c>
      <c r="AH56" s="936">
        <f t="shared" si="25"/>
        <v>0</v>
      </c>
      <c r="AI56" s="930"/>
      <c r="AJ56" s="936">
        <f>SUMIFS('TB.KCG.FY24'!I:I,'TB.KCG.FY24'!A:A,'A0.LS'!E56)</f>
        <v>0</v>
      </c>
      <c r="AK56" s="936">
        <f>ROUND(SUMIFS('A5.CTC FY24'!K:K,'A5.CTC FY24'!E:E,'A0.LS'!E56,'A5.CTC FY24'!A:A,'A0.LS'!$AK$5,'A5.CTC FY24'!L:L,"EY",'A5.CTC FY24'!M:M,"Posted"),0)</f>
        <v>0</v>
      </c>
      <c r="AL56" s="948">
        <f t="shared" si="26"/>
        <v>0</v>
      </c>
      <c r="AM56" s="930"/>
      <c r="AN56" s="949">
        <f t="shared" si="35"/>
        <v>0</v>
      </c>
      <c r="AO56" s="950">
        <f>ROUND(SUMIFS('A5.Consol FY24'!L:L,'A5.Consol FY24'!M:M,"EY",'A5.Consol FY24'!N:N,"Posted",'A5.Consol FY24'!B:B,'A0.LS'!$AO$5,'A5.Consol FY24'!F:F,'A0.LS'!E56),0)</f>
        <v>0</v>
      </c>
      <c r="AP56" s="949">
        <f t="shared" si="27"/>
        <v>0</v>
      </c>
      <c r="AQ56" s="930"/>
      <c r="AR56" s="936">
        <f>ROUND(SUMIFS('TB.XH.FY24'!I:I,'TB.XH.FY24'!J:J,'A0.LS'!E56),0)</f>
        <v>0</v>
      </c>
      <c r="AS56" s="936">
        <f>ROUND(SUMIFS('A5.CTC FY24'!K:K,'A5.CTC FY24'!E:E,'A0.LS'!E56,'A5.CTC FY24'!A:A,'A0.LS'!$AS$5,'A5.CTC FY24'!L:L,"EY",'A5.CTC FY24'!M:M,"Posted"),0)</f>
        <v>0</v>
      </c>
      <c r="AT56" s="948">
        <f t="shared" si="28"/>
        <v>0</v>
      </c>
      <c r="AU56" s="930"/>
      <c r="AV56" s="951">
        <f t="shared" si="29"/>
        <v>0</v>
      </c>
      <c r="AW56" s="952">
        <f>SUMIFS('A5.Consol FY24'!L:L,'A5.Consol FY24'!B:B,'A0.LS'!$AW$5,'A5.Consol FY24'!M:M,"EY",'A5.Consol FY24'!N:N,"Posted",'A5.Consol FY24'!F:F,'A0.LS'!E56)</f>
        <v>0</v>
      </c>
      <c r="AX56" s="951">
        <f t="shared" si="36"/>
        <v>0</v>
      </c>
      <c r="AY56" s="920"/>
      <c r="AZ56" s="936">
        <f>SUMIFS('TB.CTC.YE22'!Q:Q,'TB.CTC.YE22'!A:A,'A0.LS'!E56)</f>
        <v>0</v>
      </c>
      <c r="BA56" s="936">
        <f>ROUND(SUMIFS('A5.YE22'!J:J,'A5.YE22'!K:K,'A0.LS'!$BA$5,'A5.YE22'!L:L,"Posted",'A5.YE22'!D:D,'A0.LS'!E56),0)</f>
        <v>0</v>
      </c>
      <c r="BB56" s="936">
        <f t="shared" si="30"/>
        <v>0</v>
      </c>
      <c r="BC56" s="937"/>
      <c r="BD56" s="936">
        <f>ROUND(SUMIFS('TB.VNSC.YE22'!L:L,'TB.VNSC.YE22'!A:A,'A0.LS'!E56),0)</f>
        <v>0</v>
      </c>
      <c r="BE56" s="936">
        <f>ROUND(SUMIFS('A5.YE22'!J:J,'A5.YE22'!K:K,'A0.LS'!$BE$5,'A5.YE22'!L:L,"Posted",'A5.YE22'!D:D,'A0.LS'!E56),0)</f>
        <v>0</v>
      </c>
      <c r="BF56" s="936">
        <f t="shared" si="31"/>
        <v>0</v>
      </c>
      <c r="BG56" s="937"/>
      <c r="BH56" s="936">
        <f>ROUND(SUMIFS('TB.XH.YE22'!P:P,'TB.XH.YE22'!A:A,'A0.LS'!E56),0)</f>
        <v>0</v>
      </c>
      <c r="BI56" s="936">
        <f>ROUND(SUMIFS('A5.YE22'!J:J,'A5.YE22'!K:K,"XH",'A5.YE22'!L:L,"Posted",'A5.YE22'!D:D,'A0.LS'!E56),0)</f>
        <v>0</v>
      </c>
      <c r="BJ56" s="936">
        <f t="shared" si="32"/>
        <v>0</v>
      </c>
      <c r="BK56" s="937"/>
      <c r="BL56" s="936">
        <f>ROUND(SUMIFS('TB.KCG.YE22'!P:P,'TB.KCG.YE22'!A:A,'A0.LS'!E56),0)</f>
        <v>0</v>
      </c>
      <c r="BM56" s="936">
        <f>ROUND(SUMIFS('A5.YE22'!J:J,'A5.YE22'!K:K,'A0.LS'!$BM$5,'A5.YE22'!L:L,"Posted",'A5.YE22'!D:D,'A0.LS'!E56),0)</f>
        <v>0</v>
      </c>
      <c r="BN56" s="936">
        <f t="shared" si="33"/>
        <v>0</v>
      </c>
      <c r="BO56" s="937"/>
      <c r="BP56" s="938">
        <v>0</v>
      </c>
      <c r="BQ56" s="938">
        <f>ROUND(SUMIFS('A5.YE22'!J:J,'A5.YE22'!K:K,'A0.LS'!$BQ$5,'A5.YE22'!L:L,"Posted",'A5.YE22'!D:D,'A0.LS'!E56),0)</f>
        <v>0</v>
      </c>
      <c r="BR56" s="938">
        <f t="shared" si="34"/>
        <v>0</v>
      </c>
    </row>
    <row r="57" spans="1:70" ht="12.75">
      <c r="A57" s="850"/>
      <c r="B57" s="939">
        <v>136</v>
      </c>
      <c r="C57" s="940" t="s">
        <v>2220</v>
      </c>
      <c r="D57" s="941" t="s">
        <v>2220</v>
      </c>
      <c r="E57" s="928" t="s">
        <v>1250</v>
      </c>
      <c r="F57" s="928" t="s">
        <v>2252</v>
      </c>
      <c r="G57" s="927" t="s">
        <v>2221</v>
      </c>
      <c r="H57" s="927" t="s">
        <v>2222</v>
      </c>
      <c r="I57" s="942">
        <f>SUMIFS('TB.CTy Me.FY2024'!I:I,'TB.CTy Me.FY2024'!A:A,'A0.LS'!E57)</f>
        <v>0</v>
      </c>
      <c r="J57" s="942">
        <f>ROUND(SUMIFS('A5.FY24'!K:K,'A5.FY24'!E:E,'A0.LS'!E57,'A5.FY24'!L:L,"Finhay",'A5.FY24'!M:M,"Posted"),0)</f>
        <v>0</v>
      </c>
      <c r="K57" s="942">
        <f>ROUND(SUMIFS('A5.FY24'!K:K,'A5.FY24'!E:E,'A0.LS'!E57,'A5.FY24'!L:L,"EY",'A5.FY24'!M:M,"Posted"),0)</f>
        <v>0</v>
      </c>
      <c r="L57" s="943">
        <f t="shared" si="22"/>
        <v>0</v>
      </c>
      <c r="M57" s="930"/>
      <c r="N57" s="944">
        <f>SUMIFS('TB.CTM.YE23'!I:I,'TB.CTM.YE23'!A:A,'A0.LS'!E57)</f>
        <v>0</v>
      </c>
      <c r="O57" s="944">
        <v>0</v>
      </c>
      <c r="P57" s="944">
        <v>2674885117</v>
      </c>
      <c r="Q57" s="945">
        <f t="shared" si="23"/>
        <v>2674885117</v>
      </c>
      <c r="R57" s="898"/>
      <c r="S57" s="848">
        <f t="shared" si="20"/>
        <v>-2674885117</v>
      </c>
      <c r="T57" s="946">
        <f t="shared" si="21"/>
        <v>-1</v>
      </c>
      <c r="U57" s="850"/>
      <c r="V57" s="850" t="s">
        <v>2251</v>
      </c>
      <c r="W57" s="850"/>
      <c r="X57" s="947" t="s">
        <v>2227</v>
      </c>
      <c r="Y57" s="947" t="s">
        <v>2221</v>
      </c>
      <c r="Z57" s="936">
        <f>ROUND(SUMIFS('TB.Cty Con.FY24'!I:I,'TB.Cty Con.FY24'!A:A,'A0.LS'!E57),0)</f>
        <v>16160167</v>
      </c>
      <c r="AA57" s="936">
        <f>ROUND(SUMIFS('A5.CTC FY24'!K:K,'A5.CTC FY24'!E:E,'A0.LS'!E57,'A5.CTC FY24'!A:A,'A0.LS'!$AA$5,'A5.CTC FY24'!L:L,"Finhay",'A5.CTC FY24'!M:M,"Posted"),0)</f>
        <v>0</v>
      </c>
      <c r="AB57" s="936">
        <f>ROUND(SUMIFS('A5.CTC FY24'!K:K,'A5.CTC FY24'!E:E,'A0.LS'!E57,'A5.CTC FY24'!A:A,'A0.LS'!$AB$5,'A5.CTC FY24'!L:L,"EY",'A5.CTC FY24'!M:M,"Posted"),0)</f>
        <v>0</v>
      </c>
      <c r="AC57" s="948">
        <f t="shared" si="24"/>
        <v>16160167</v>
      </c>
      <c r="AD57" s="930"/>
      <c r="AE57" s="936">
        <f>ROUND(SUMIFS('TB VNSC FY24'!M:M,'TB VNSC FY24'!N:N,'A0.LS'!E57),0)</f>
        <v>0</v>
      </c>
      <c r="AF57" s="936">
        <f>SUMIFS('A5.CTC FY24'!K:K,'A5.CTC FY24'!E:E,'A0.LS'!E57,'A5.CTC FY24'!A:A,"VNSC",'A5.CTC FY24'!L:L,"VNSC",'A5.CTC FY24'!M:M,"Posted")</f>
        <v>0</v>
      </c>
      <c r="AG57" s="936">
        <f>ROUND(SUMIFS('A5.CTC FY24'!K:K,'A5.CTC FY24'!E:E,'A0.LS'!E57,'A5.CTC FY24'!A:A,"VNSC",'A5.CTC FY24'!L:L,"EY",'A5.CTC FY24'!M:M,"Posted"),0)</f>
        <v>0</v>
      </c>
      <c r="AH57" s="936">
        <f t="shared" si="25"/>
        <v>0</v>
      </c>
      <c r="AI57" s="930"/>
      <c r="AJ57" s="936">
        <f>SUMIFS('TB.KCG.FY24'!I:I,'TB.KCG.FY24'!A:A,'A0.LS'!E57)</f>
        <v>0</v>
      </c>
      <c r="AK57" s="936">
        <f>ROUND(SUMIFS('A5.CTC FY24'!K:K,'A5.CTC FY24'!E:E,'A0.LS'!E57,'A5.CTC FY24'!A:A,'A0.LS'!$AK$5,'A5.CTC FY24'!L:L,"EY",'A5.CTC FY24'!M:M,"Posted"),0)</f>
        <v>0</v>
      </c>
      <c r="AL57" s="948">
        <f t="shared" si="26"/>
        <v>0</v>
      </c>
      <c r="AM57" s="930"/>
      <c r="AN57" s="949">
        <f t="shared" si="35"/>
        <v>16160167</v>
      </c>
      <c r="AO57" s="950">
        <f>ROUND(SUMIFS('A5.Consol FY24'!L:L,'A5.Consol FY24'!M:M,"EY",'A5.Consol FY24'!N:N,"Posted",'A5.Consol FY24'!B:B,'A0.LS'!$AO$5,'A5.Consol FY24'!F:F,'A0.LS'!E57),0)</f>
        <v>0</v>
      </c>
      <c r="AP57" s="949">
        <f t="shared" si="27"/>
        <v>16160167</v>
      </c>
      <c r="AQ57" s="930"/>
      <c r="AR57" s="936">
        <f>ROUND(SUMIFS('TB.XH.FY24'!I:I,'TB.XH.FY24'!J:J,'A0.LS'!E57),0)</f>
        <v>0</v>
      </c>
      <c r="AS57" s="936">
        <f>ROUND(SUMIFS('A5.CTC FY24'!K:K,'A5.CTC FY24'!E:E,'A0.LS'!E57,'A5.CTC FY24'!A:A,'A0.LS'!$AS$5,'A5.CTC FY24'!L:L,"EY",'A5.CTC FY24'!M:M,"Posted"),0)</f>
        <v>0</v>
      </c>
      <c r="AT57" s="948">
        <f t="shared" si="28"/>
        <v>0</v>
      </c>
      <c r="AU57" s="930"/>
      <c r="AV57" s="951">
        <f t="shared" si="29"/>
        <v>16160167</v>
      </c>
      <c r="AW57" s="952">
        <f>SUMIFS('A5.Consol FY24'!L:L,'A5.Consol FY24'!B:B,'A0.LS'!$AW$5,'A5.Consol FY24'!M:M,"EY",'A5.Consol FY24'!N:N,"Posted",'A5.Consol FY24'!F:F,'A0.LS'!E57)</f>
        <v>-16160183</v>
      </c>
      <c r="AX57" s="951">
        <f t="shared" si="36"/>
        <v>-16</v>
      </c>
      <c r="AY57" s="920"/>
      <c r="AZ57" s="936">
        <f>SUMIFS('TB.CTC.YE22'!Q:Q,'TB.CTC.YE22'!A:A,'A0.LS'!E57)</f>
        <v>-225684133</v>
      </c>
      <c r="BA57" s="936">
        <f>ROUND(SUMIFS('A5.YE22'!J:J,'A5.YE22'!K:K,'A0.LS'!$BA$5,'A5.YE22'!L:L,"Posted",'A5.YE22'!D:D,'A0.LS'!E57),0)</f>
        <v>0</v>
      </c>
      <c r="BB57" s="936">
        <f t="shared" si="30"/>
        <v>-225684133</v>
      </c>
      <c r="BC57" s="937"/>
      <c r="BD57" s="936">
        <f>ROUND(SUMIFS('TB.VNSC.YE22'!L:L,'TB.VNSC.YE22'!A:A,'A0.LS'!E57),0)</f>
        <v>0</v>
      </c>
      <c r="BE57" s="936">
        <f>ROUND(SUMIFS('A5.YE22'!J:J,'A5.YE22'!K:K,'A0.LS'!$BE$5,'A5.YE22'!L:L,"Posted",'A5.YE22'!D:D,'A0.LS'!E57),0)</f>
        <v>0</v>
      </c>
      <c r="BF57" s="936">
        <f t="shared" si="31"/>
        <v>0</v>
      </c>
      <c r="BG57" s="937"/>
      <c r="BH57" s="936">
        <f>ROUND(SUMIFS('TB.XH.YE22'!P:P,'TB.XH.YE22'!A:A,'A0.LS'!E57),0)</f>
        <v>0</v>
      </c>
      <c r="BI57" s="936">
        <f>ROUND(SUMIFS('A5.YE22'!J:J,'A5.YE22'!K:K,"XH",'A5.YE22'!L:L,"Posted",'A5.YE22'!D:D,'A0.LS'!E57),0)</f>
        <v>0</v>
      </c>
      <c r="BJ57" s="936">
        <f t="shared" si="32"/>
        <v>0</v>
      </c>
      <c r="BK57" s="937"/>
      <c r="BL57" s="936">
        <f>ROUND(SUMIFS('TB.KCG.YE22'!P:P,'TB.KCG.YE22'!A:A,'A0.LS'!E57),0)</f>
        <v>0</v>
      </c>
      <c r="BM57" s="936">
        <f>ROUND(SUMIFS('A5.YE22'!J:J,'A5.YE22'!K:K,'A0.LS'!$BM$5,'A5.YE22'!L:L,"Posted",'A5.YE22'!D:D,'A0.LS'!E57),0)</f>
        <v>0</v>
      </c>
      <c r="BN57" s="936">
        <f t="shared" si="33"/>
        <v>0</v>
      </c>
      <c r="BO57" s="937"/>
      <c r="BP57" s="938">
        <v>2674885117</v>
      </c>
      <c r="BQ57" s="938">
        <v>-2674885117</v>
      </c>
      <c r="BR57" s="938">
        <f t="shared" si="34"/>
        <v>0</v>
      </c>
    </row>
    <row r="58" spans="1:70" ht="12.75">
      <c r="A58" s="850"/>
      <c r="B58" s="939">
        <v>136</v>
      </c>
      <c r="C58" s="940" t="s">
        <v>2220</v>
      </c>
      <c r="D58" s="941"/>
      <c r="E58" s="928" t="s">
        <v>1266</v>
      </c>
      <c r="F58" s="928" t="s">
        <v>2253</v>
      </c>
      <c r="G58" s="927" t="s">
        <v>2221</v>
      </c>
      <c r="H58" s="927" t="s">
        <v>2222</v>
      </c>
      <c r="I58" s="942">
        <f>SUMIFS('TB.CTy Me.FY2024'!I:I,'TB.CTy Me.FY2024'!A:A,'A0.LS'!E58)</f>
        <v>0</v>
      </c>
      <c r="J58" s="942">
        <f>ROUND(SUMIFS('A5.FY24'!K:K,'A5.FY24'!E:E,'A0.LS'!E58,'A5.FY24'!L:L,"Finhay",'A5.FY24'!M:M,"Posted"),0)</f>
        <v>0</v>
      </c>
      <c r="K58" s="942">
        <f>ROUND(SUMIFS('A5.FY24'!K:K,'A5.FY24'!E:E,'A0.LS'!E58,'A5.FY24'!L:L,"EY",'A5.FY24'!M:M,"Posted"),0)</f>
        <v>0</v>
      </c>
      <c r="L58" s="943">
        <f t="shared" si="22"/>
        <v>0</v>
      </c>
      <c r="M58" s="930"/>
      <c r="N58" s="944">
        <f>SUMIFS('TB.CTM.YE23'!I:I,'TB.CTM.YE23'!A:A,'A0.LS'!E58)</f>
        <v>0</v>
      </c>
      <c r="O58" s="944">
        <v>0</v>
      </c>
      <c r="P58" s="944">
        <v>0</v>
      </c>
      <c r="Q58" s="945">
        <f t="shared" si="23"/>
        <v>0</v>
      </c>
      <c r="R58" s="898"/>
      <c r="S58" s="848">
        <f t="shared" si="20"/>
        <v>0</v>
      </c>
      <c r="T58" s="946" t="str">
        <f t="shared" si="21"/>
        <v>To check</v>
      </c>
      <c r="U58" s="850"/>
      <c r="V58" s="850"/>
      <c r="W58" s="850"/>
      <c r="X58" s="947" t="s">
        <v>2227</v>
      </c>
      <c r="Y58" s="947" t="s">
        <v>2221</v>
      </c>
      <c r="Z58" s="936">
        <f>ROUND(SUMIFS('TB.Cty Con.FY24'!I:I,'TB.Cty Con.FY24'!A:A,'A0.LS'!E58),0)</f>
        <v>0</v>
      </c>
      <c r="AA58" s="936">
        <f>ROUND(SUMIFS('A5.CTC FY24'!K:K,'A5.CTC FY24'!E:E,'A0.LS'!E58,'A5.CTC FY24'!A:A,'A0.LS'!$AA$5,'A5.CTC FY24'!L:L,"Finhay",'A5.CTC FY24'!M:M,"Posted"),0)</f>
        <v>0</v>
      </c>
      <c r="AB58" s="936">
        <f>ROUND(SUMIFS('A5.CTC FY24'!K:K,'A5.CTC FY24'!E:E,'A0.LS'!E58,'A5.CTC FY24'!A:A,'A0.LS'!$AB$5,'A5.CTC FY24'!L:L,"EY",'A5.CTC FY24'!M:M,"Posted"),0)</f>
        <v>0</v>
      </c>
      <c r="AC58" s="948">
        <f t="shared" si="24"/>
        <v>0</v>
      </c>
      <c r="AD58" s="930"/>
      <c r="AE58" s="936">
        <f>ROUND(SUMIFS('TB VNSC FY24'!M:M,'TB VNSC FY24'!N:N,'A0.LS'!E58),0)</f>
        <v>9102305998</v>
      </c>
      <c r="AF58" s="936">
        <f>SUMIFS('A5.CTC FY24'!K:K,'A5.CTC FY24'!E:E,'A0.LS'!E58,'A5.CTC FY24'!A:A,"VNSC",'A5.CTC FY24'!L:L,"VNSC",'A5.CTC FY24'!M:M,"Posted")</f>
        <v>0</v>
      </c>
      <c r="AG58" s="936">
        <f>ROUND(SUMIFS('A5.CTC FY24'!K:K,'A5.CTC FY24'!E:E,'A0.LS'!E58,'A5.CTC FY24'!A:A,"VNSC",'A5.CTC FY24'!L:L,"EY",'A5.CTC FY24'!M:M,"Posted"),0)</f>
        <v>0</v>
      </c>
      <c r="AH58" s="936">
        <f t="shared" si="25"/>
        <v>9102305998</v>
      </c>
      <c r="AI58" s="930"/>
      <c r="AJ58" s="936">
        <f>SUMIFS('TB.KCG.FY24'!I:I,'TB.KCG.FY24'!A:A,'A0.LS'!E58)</f>
        <v>0</v>
      </c>
      <c r="AK58" s="936">
        <f>ROUND(SUMIFS('A5.CTC FY24'!K:K,'A5.CTC FY24'!E:E,'A0.LS'!E58,'A5.CTC FY24'!A:A,'A0.LS'!$AK$5,'A5.CTC FY24'!L:L,"EY",'A5.CTC FY24'!M:M,"Posted"),0)</f>
        <v>0</v>
      </c>
      <c r="AL58" s="948">
        <f t="shared" si="26"/>
        <v>0</v>
      </c>
      <c r="AM58" s="930"/>
      <c r="AN58" s="949">
        <f t="shared" si="35"/>
        <v>9102305998</v>
      </c>
      <c r="AO58" s="950">
        <f>ROUND(SUMIFS('A5.Consol FY24'!L:L,'A5.Consol FY24'!M:M,"EY",'A5.Consol FY24'!N:N,"Posted",'A5.Consol FY24'!B:B,'A0.LS'!$AO$5,'A5.Consol FY24'!F:F,'A0.LS'!E58),0)</f>
        <v>0</v>
      </c>
      <c r="AP58" s="949">
        <f t="shared" si="27"/>
        <v>9102305998</v>
      </c>
      <c r="AQ58" s="930"/>
      <c r="AR58" s="936">
        <f>ROUND(SUMIFS('TB.XH.FY24'!I:I,'TB.XH.FY24'!J:J,'A0.LS'!E58),0)</f>
        <v>0</v>
      </c>
      <c r="AS58" s="936">
        <f>ROUND(SUMIFS('A5.CTC FY24'!K:K,'A5.CTC FY24'!E:E,'A0.LS'!E58,'A5.CTC FY24'!A:A,'A0.LS'!$AS$5,'A5.CTC FY24'!L:L,"EY",'A5.CTC FY24'!M:M,"Posted"),0)</f>
        <v>0</v>
      </c>
      <c r="AT58" s="948">
        <f t="shared" si="28"/>
        <v>0</v>
      </c>
      <c r="AU58" s="930"/>
      <c r="AV58" s="951">
        <f t="shared" si="29"/>
        <v>9102305998</v>
      </c>
      <c r="AW58" s="952">
        <f>SUMIFS('A5.Consol FY24'!L:L,'A5.Consol FY24'!B:B,'A0.LS'!$AW$5,'A5.Consol FY24'!M:M,"EY",'A5.Consol FY24'!N:N,"Posted",'A5.Consol FY24'!F:F,'A0.LS'!E58)</f>
        <v>-2840754</v>
      </c>
      <c r="AX58" s="951">
        <f t="shared" si="36"/>
        <v>9099465244</v>
      </c>
      <c r="AY58" s="920"/>
      <c r="AZ58" s="936">
        <f>SUMIFS('TB.CTC.YE22'!Q:Q,'TB.CTC.YE22'!A:A,'A0.LS'!E58)</f>
        <v>0</v>
      </c>
      <c r="BA58" s="936">
        <f>ROUND(SUMIFS('A5.YE22'!J:J,'A5.YE22'!K:K,'A0.LS'!$BA$5,'A5.YE22'!L:L,"Posted",'A5.YE22'!D:D,'A0.LS'!E58),0)</f>
        <v>0</v>
      </c>
      <c r="BB58" s="936">
        <f t="shared" si="30"/>
        <v>0</v>
      </c>
      <c r="BC58" s="937"/>
      <c r="BD58" s="936">
        <f>ROUND(SUMIFS('TB.VNSC.YE22'!L:L,'TB.VNSC.YE22'!A:A,'A0.LS'!E58),0)</f>
        <v>5195431949</v>
      </c>
      <c r="BE58" s="936">
        <f>ROUND(SUMIFS('A5.YE22'!J:J,'A5.YE22'!K:K,'A0.LS'!$BE$5,'A5.YE22'!L:L,"Posted",'A5.YE22'!D:D,'A0.LS'!E58),0)</f>
        <v>0</v>
      </c>
      <c r="BF58" s="936">
        <f t="shared" si="31"/>
        <v>5195431949</v>
      </c>
      <c r="BG58" s="937"/>
      <c r="BH58" s="936">
        <f>ROUND(SUMIFS('TB.XH.YE22'!P:P,'TB.XH.YE22'!A:A,'A0.LS'!E58),0)</f>
        <v>0</v>
      </c>
      <c r="BI58" s="936">
        <f>ROUND(SUMIFS('A5.YE22'!J:J,'A5.YE22'!K:K,"XH",'A5.YE22'!L:L,"Posted",'A5.YE22'!D:D,'A0.LS'!E58),0)</f>
        <v>0</v>
      </c>
      <c r="BJ58" s="936">
        <f t="shared" si="32"/>
        <v>0</v>
      </c>
      <c r="BK58" s="937"/>
      <c r="BL58" s="936">
        <f>ROUND(SUMIFS('TB.KCG.YE22'!P:P,'TB.KCG.YE22'!A:A,'A0.LS'!E58),0)</f>
        <v>0</v>
      </c>
      <c r="BM58" s="936">
        <f>ROUND(SUMIFS('A5.YE22'!J:J,'A5.YE22'!K:K,'A0.LS'!$BM$5,'A5.YE22'!L:L,"Posted",'A5.YE22'!D:D,'A0.LS'!E58),0)</f>
        <v>0</v>
      </c>
      <c r="BN58" s="936">
        <f t="shared" si="33"/>
        <v>0</v>
      </c>
      <c r="BO58" s="937"/>
      <c r="BP58" s="938">
        <v>43966894</v>
      </c>
      <c r="BQ58" s="938">
        <v>-2230092</v>
      </c>
      <c r="BR58" s="938">
        <f t="shared" si="34"/>
        <v>41736802</v>
      </c>
    </row>
    <row r="59" spans="1:70" ht="12.75">
      <c r="A59" s="850"/>
      <c r="B59" s="939">
        <v>136</v>
      </c>
      <c r="C59" s="940" t="s">
        <v>2220</v>
      </c>
      <c r="D59" s="941" t="s">
        <v>2220</v>
      </c>
      <c r="E59" s="928" t="s">
        <v>69</v>
      </c>
      <c r="F59" s="928" t="s">
        <v>70</v>
      </c>
      <c r="G59" s="927" t="s">
        <v>2254</v>
      </c>
      <c r="H59" s="927" t="s">
        <v>2188</v>
      </c>
      <c r="I59" s="942">
        <f>SUMIFS('TB.CTy Me.FY2024'!I:I,'TB.CTy Me.FY2024'!A:A,'A0.LS'!E59)</f>
        <v>0</v>
      </c>
      <c r="J59" s="942">
        <f>ROUND(SUMIFS('A5.FY24'!K:K,'A5.FY24'!E:E,'A0.LS'!E59,'A5.FY24'!L:L,"Finhay",'A5.FY24'!M:M,"Posted"),0)</f>
        <v>0</v>
      </c>
      <c r="K59" s="942">
        <f>ROUND(SUMIFS('A5.FY24'!K:K,'A5.FY24'!E:E,'A0.LS'!E59,'A5.FY24'!L:L,"EY",'A5.FY24'!M:M,"Posted"),0)</f>
        <v>0</v>
      </c>
      <c r="L59" s="943">
        <f t="shared" si="22"/>
        <v>0</v>
      </c>
      <c r="M59" s="930"/>
      <c r="N59" s="944">
        <f>SUMIFS('TB.CTM.YE23'!I:I,'TB.CTM.YE23'!A:A,'A0.LS'!E59)</f>
        <v>143455207</v>
      </c>
      <c r="O59" s="944">
        <v>0</v>
      </c>
      <c r="P59" s="944">
        <v>0</v>
      </c>
      <c r="Q59" s="945">
        <f t="shared" si="23"/>
        <v>143455207</v>
      </c>
      <c r="R59" s="898"/>
      <c r="S59" s="848">
        <f t="shared" si="20"/>
        <v>-143455207</v>
      </c>
      <c r="T59" s="946">
        <f t="shared" si="21"/>
        <v>-1</v>
      </c>
      <c r="U59" s="850"/>
      <c r="V59" s="850" t="s">
        <v>2255</v>
      </c>
      <c r="W59" s="850"/>
      <c r="X59" s="947" t="s">
        <v>2227</v>
      </c>
      <c r="Y59" s="947" t="s">
        <v>2221</v>
      </c>
      <c r="Z59" s="936">
        <f>ROUND(SUMIFS('TB.Cty Con.FY24'!I:I,'TB.Cty Con.FY24'!A:A,'A0.LS'!E59),0)</f>
        <v>0</v>
      </c>
      <c r="AA59" s="936">
        <f>ROUND(SUMIFS('A5.CTC FY24'!K:K,'A5.CTC FY24'!E:E,'A0.LS'!E59,'A5.CTC FY24'!A:A,'A0.LS'!$AA$5,'A5.CTC FY24'!L:L,"Finhay",'A5.CTC FY24'!M:M,"Posted"),0)</f>
        <v>0</v>
      </c>
      <c r="AB59" s="936">
        <f>ROUND(SUMIFS('A5.CTC FY24'!K:K,'A5.CTC FY24'!E:E,'A0.LS'!E59,'A5.CTC FY24'!A:A,'A0.LS'!$AB$5,'A5.CTC FY24'!L:L,"EY",'A5.CTC FY24'!M:M,"Posted"),0)</f>
        <v>0</v>
      </c>
      <c r="AC59" s="948">
        <f t="shared" si="24"/>
        <v>0</v>
      </c>
      <c r="AD59" s="930"/>
      <c r="AE59" s="936">
        <f>ROUND(SUMIFS('TB VNSC FY24'!M:M,'TB VNSC FY24'!N:N,'A0.LS'!E59),0)</f>
        <v>30368611</v>
      </c>
      <c r="AF59" s="936">
        <f>SUMIFS('A5.CTC FY24'!K:K,'A5.CTC FY24'!E:E,'A0.LS'!E59,'A5.CTC FY24'!A:A,"VNSC",'A5.CTC FY24'!L:L,"VNSC",'A5.CTC FY24'!M:M,"Posted")</f>
        <v>0</v>
      </c>
      <c r="AG59" s="936">
        <f>ROUND(SUMIFS('A5.CTC FY24'!K:K,'A5.CTC FY24'!E:E,'A0.LS'!E59,'A5.CTC FY24'!A:A,"VNSC",'A5.CTC FY24'!L:L,"EY",'A5.CTC FY24'!M:M,"Posted"),0)</f>
        <v>0</v>
      </c>
      <c r="AH59" s="936">
        <f t="shared" si="25"/>
        <v>30368611</v>
      </c>
      <c r="AI59" s="930"/>
      <c r="AJ59" s="936">
        <f>SUMIFS('TB.KCG.FY24'!I:I,'TB.KCG.FY24'!A:A,'A0.LS'!E59)</f>
        <v>0</v>
      </c>
      <c r="AK59" s="936">
        <f>ROUND(SUMIFS('A5.CTC FY24'!K:K,'A5.CTC FY24'!E:E,'A0.LS'!E59,'A5.CTC FY24'!A:A,'A0.LS'!$AK$5,'A5.CTC FY24'!L:L,"EY",'A5.CTC FY24'!M:M,"Posted"),0)</f>
        <v>0</v>
      </c>
      <c r="AL59" s="948">
        <f t="shared" si="26"/>
        <v>0</v>
      </c>
      <c r="AM59" s="930"/>
      <c r="AN59" s="949">
        <f t="shared" si="35"/>
        <v>30368611</v>
      </c>
      <c r="AO59" s="950">
        <f>ROUND(SUMIFS('A5.Consol FY24'!L:L,'A5.Consol FY24'!M:M,"EY",'A5.Consol FY24'!N:N,"Posted",'A5.Consol FY24'!B:B,'A0.LS'!$AO$5,'A5.Consol FY24'!F:F,'A0.LS'!E59),0)</f>
        <v>0</v>
      </c>
      <c r="AP59" s="949">
        <f t="shared" si="27"/>
        <v>30368611</v>
      </c>
      <c r="AQ59" s="930"/>
      <c r="AR59" s="936">
        <f>ROUND(SUMIFS('TB.XH.FY24'!I:I,'TB.XH.FY24'!J:J,'A0.LS'!E59),0)</f>
        <v>0</v>
      </c>
      <c r="AS59" s="936">
        <f>ROUND(SUMIFS('A5.CTC FY24'!K:K,'A5.CTC FY24'!E:E,'A0.LS'!E59,'A5.CTC FY24'!A:A,'A0.LS'!$AS$5,'A5.CTC FY24'!L:L,"EY",'A5.CTC FY24'!M:M,"Posted"),0)</f>
        <v>0</v>
      </c>
      <c r="AT59" s="948">
        <f t="shared" si="28"/>
        <v>0</v>
      </c>
      <c r="AU59" s="930"/>
      <c r="AV59" s="951">
        <f t="shared" si="29"/>
        <v>30368611</v>
      </c>
      <c r="AW59" s="952">
        <f>SUMIFS('A5.Consol FY24'!L:L,'A5.Consol FY24'!B:B,'A0.LS'!$AW$5,'A5.Consol FY24'!M:M,"EY",'A5.Consol FY24'!N:N,"Posted",'A5.Consol FY24'!F:F,'A0.LS'!E59)</f>
        <v>0</v>
      </c>
      <c r="AX59" s="951">
        <f t="shared" si="36"/>
        <v>30368611</v>
      </c>
      <c r="AY59" s="920"/>
      <c r="AZ59" s="936">
        <f>SUMIFS('TB.CTC.YE22'!Q:Q,'TB.CTC.YE22'!A:A,'A0.LS'!E59)</f>
        <v>0</v>
      </c>
      <c r="BA59" s="936">
        <f>ROUND(SUMIFS('A5.YE22'!J:J,'A5.YE22'!K:K,'A0.LS'!$BA$5,'A5.YE22'!L:L,"Posted",'A5.YE22'!D:D,'A0.LS'!E59),0)</f>
        <v>0</v>
      </c>
      <c r="BB59" s="936">
        <f t="shared" si="30"/>
        <v>0</v>
      </c>
      <c r="BC59" s="937"/>
      <c r="BD59" s="936">
        <f>ROUND(SUMIFS('TB.VNSC.YE22'!L:L,'TB.VNSC.YE22'!A:A,'A0.LS'!E59),0)</f>
        <v>14000000</v>
      </c>
      <c r="BE59" s="936">
        <f>ROUND(SUMIFS('A5.YE22'!J:J,'A5.YE22'!K:K,'A0.LS'!$BE$5,'A5.YE22'!L:L,"Posted",'A5.YE22'!D:D,'A0.LS'!E59),0)</f>
        <v>0</v>
      </c>
      <c r="BF59" s="936">
        <f t="shared" si="31"/>
        <v>14000000</v>
      </c>
      <c r="BG59" s="937"/>
      <c r="BH59" s="936">
        <f>ROUND(SUMIFS('TB.XH.YE22'!P:P,'TB.XH.YE22'!A:A,'A0.LS'!E59),0)</f>
        <v>0</v>
      </c>
      <c r="BI59" s="936">
        <f>ROUND(SUMIFS('A5.YE22'!J:J,'A5.YE22'!K:K,"XH",'A5.YE22'!L:L,"Posted",'A5.YE22'!D:D,'A0.LS'!E59),0)</f>
        <v>0</v>
      </c>
      <c r="BJ59" s="936">
        <f t="shared" si="32"/>
        <v>0</v>
      </c>
      <c r="BK59" s="937"/>
      <c r="BL59" s="936">
        <f>ROUND(SUMIFS('TB.KCG.YE22'!P:P,'TB.KCG.YE22'!A:A,'A0.LS'!E59),0)</f>
        <v>0</v>
      </c>
      <c r="BM59" s="936">
        <f>ROUND(SUMIFS('A5.YE22'!J:J,'A5.YE22'!K:K,'A0.LS'!$BM$5,'A5.YE22'!L:L,"Posted",'A5.YE22'!D:D,'A0.LS'!E59),0)</f>
        <v>0</v>
      </c>
      <c r="BN59" s="936">
        <f t="shared" si="33"/>
        <v>0</v>
      </c>
      <c r="BO59" s="937"/>
      <c r="BP59" s="938">
        <v>188544207</v>
      </c>
      <c r="BQ59" s="938">
        <f>ROUND(SUMIFS('A5.YE22'!J:J,'A5.YE22'!K:K,'A0.LS'!$BQ$5,'A5.YE22'!L:L,"Posted",'A5.YE22'!D:D,'A0.LS'!E59),0)</f>
        <v>0</v>
      </c>
      <c r="BR59" s="938">
        <f t="shared" si="34"/>
        <v>188544207</v>
      </c>
    </row>
    <row r="60" spans="1:70" ht="12.75">
      <c r="A60" s="850"/>
      <c r="B60" s="939">
        <v>136</v>
      </c>
      <c r="C60" s="940" t="s">
        <v>2256</v>
      </c>
      <c r="D60" s="941" t="s">
        <v>2256</v>
      </c>
      <c r="E60" s="928" t="s">
        <v>121</v>
      </c>
      <c r="F60" s="928" t="s">
        <v>2257</v>
      </c>
      <c r="G60" s="927" t="s">
        <v>2254</v>
      </c>
      <c r="H60" s="927" t="s">
        <v>2188</v>
      </c>
      <c r="I60" s="942">
        <f>SUMIFS('TB.CTy Me.FY2024'!I:I,'TB.CTy Me.FY2024'!A:A,'A0.LS'!E60)</f>
        <v>1217818537</v>
      </c>
      <c r="J60" s="942">
        <f>ROUND(SUMIFS('A5.FY24'!K:K,'A5.FY24'!E:E,'A0.LS'!E60,'A5.FY24'!L:L,"Finhay",'A5.FY24'!M:M,"Posted"),0)</f>
        <v>0</v>
      </c>
      <c r="K60" s="942">
        <f>ROUND(SUMIFS('A5.FY24'!K:K,'A5.FY24'!E:E,'A0.LS'!E60,'A5.FY24'!L:L,"EY",'A5.FY24'!M:M,"Posted"),0)</f>
        <v>0</v>
      </c>
      <c r="L60" s="68">
        <f t="shared" si="22"/>
        <v>1217818537</v>
      </c>
      <c r="M60" s="930"/>
      <c r="N60" s="944">
        <f>SUMIFS('TB.CTM.YE23'!I:I,'TB.CTM.YE23'!A:A,'A0.LS'!E60)</f>
        <v>1479284783</v>
      </c>
      <c r="O60" s="944">
        <v>0</v>
      </c>
      <c r="P60" s="944">
        <v>0</v>
      </c>
      <c r="Q60" s="945">
        <f t="shared" si="23"/>
        <v>1479284783</v>
      </c>
      <c r="R60" s="898"/>
      <c r="S60" s="848">
        <f t="shared" si="20"/>
        <v>-261466246</v>
      </c>
      <c r="T60" s="946">
        <f t="shared" si="21"/>
        <v>-0.17675179857508208</v>
      </c>
      <c r="U60" s="850"/>
      <c r="V60" s="850" t="s">
        <v>2231</v>
      </c>
      <c r="W60" s="850"/>
      <c r="X60" s="947" t="s">
        <v>2227</v>
      </c>
      <c r="Y60" s="947" t="s">
        <v>2221</v>
      </c>
      <c r="Z60" s="936">
        <f>ROUND(SUMIFS('TB.Cty Con.FY24'!I:I,'TB.Cty Con.FY24'!A:A,'A0.LS'!E60),0)</f>
        <v>31933200</v>
      </c>
      <c r="AA60" s="936">
        <f>ROUND(SUMIFS('A5.CTC FY24'!K:K,'A5.CTC FY24'!E:E,'A0.LS'!E60,'A5.CTC FY24'!A:A,'A0.LS'!$AA$5,'A5.CTC FY24'!L:L,"Finhay",'A5.CTC FY24'!M:M,"Posted"),0)</f>
        <v>0</v>
      </c>
      <c r="AB60" s="936">
        <f>ROUND(SUMIFS('A5.CTC FY24'!K:K,'A5.CTC FY24'!E:E,'A0.LS'!E60,'A5.CTC FY24'!A:A,'A0.LS'!$AB$5,'A5.CTC FY24'!L:L,"EY",'A5.CTC FY24'!M:M,"Posted"),0)</f>
        <v>0</v>
      </c>
      <c r="AC60" s="948">
        <f t="shared" si="24"/>
        <v>31933200</v>
      </c>
      <c r="AD60" s="930"/>
      <c r="AE60" s="936">
        <f>ROUND(SUMIFS('TB VNSC FY24'!M:M,'TB VNSC FY24'!N:N,'A0.LS'!E60),0)</f>
        <v>61000000</v>
      </c>
      <c r="AF60" s="936">
        <f>SUMIFS('A5.CTC FY24'!K:K,'A5.CTC FY24'!E:E,'A0.LS'!E60,'A5.CTC FY24'!A:A,"VNSC",'A5.CTC FY24'!L:L,"VNSC",'A5.CTC FY24'!M:M,"Posted")</f>
        <v>0</v>
      </c>
      <c r="AG60" s="936">
        <f>ROUND(SUMIFS('A5.CTC FY24'!K:K,'A5.CTC FY24'!E:E,'A0.LS'!E60,'A5.CTC FY24'!A:A,"VNSC",'A5.CTC FY24'!L:L,"EY",'A5.CTC FY24'!M:M,"Posted"),0)</f>
        <v>0</v>
      </c>
      <c r="AH60" s="936">
        <f t="shared" si="25"/>
        <v>61000000</v>
      </c>
      <c r="AI60" s="930"/>
      <c r="AJ60" s="936">
        <f>SUMIFS('TB.KCG.FY24'!I:I,'TB.KCG.FY24'!A:A,'A0.LS'!E60)</f>
        <v>0</v>
      </c>
      <c r="AK60" s="936">
        <f>ROUND(SUMIFS('A5.CTC FY24'!K:K,'A5.CTC FY24'!E:E,'A0.LS'!E60,'A5.CTC FY24'!A:A,'A0.LS'!$AK$5,'A5.CTC FY24'!L:L,"EY",'A5.CTC FY24'!M:M,"Posted"),0)</f>
        <v>0</v>
      </c>
      <c r="AL60" s="948">
        <f t="shared" si="26"/>
        <v>0</v>
      </c>
      <c r="AM60" s="930"/>
      <c r="AN60" s="949">
        <f t="shared" si="35"/>
        <v>108933200</v>
      </c>
      <c r="AO60" s="950">
        <f>ROUND(SUMIFS('A5.Consol FY24'!L:L,'A5.Consol FY24'!M:M,"EY",'A5.Consol FY24'!N:N,"Posted",'A5.Consol FY24'!B:B,'A0.LS'!$AO$5,'A5.Consol FY24'!F:F,'A0.LS'!E60),0)</f>
        <v>0</v>
      </c>
      <c r="AP60" s="949">
        <f t="shared" si="27"/>
        <v>108933200</v>
      </c>
      <c r="AQ60" s="930"/>
      <c r="AR60" s="936">
        <f>ROUND(SUMIFS('TB.XH.FY24'!I:I,'TB.XH.FY24'!J:J,'A0.LS'!E60),0)</f>
        <v>16000000</v>
      </c>
      <c r="AS60" s="936">
        <f>ROUND(SUMIFS('A5.CTC FY24'!K:K,'A5.CTC FY24'!E:E,'A0.LS'!E60,'A5.CTC FY24'!A:A,'A0.LS'!$AS$5,'A5.CTC FY24'!L:L,"EY",'A5.CTC FY24'!M:M,"Posted"),0)</f>
        <v>0</v>
      </c>
      <c r="AT60" s="948">
        <f t="shared" si="28"/>
        <v>16000000</v>
      </c>
      <c r="AU60" s="930"/>
      <c r="AV60" s="537">
        <f t="shared" si="29"/>
        <v>1326751737</v>
      </c>
      <c r="AW60" s="952">
        <f>SUMIFS('A5.Consol FY24'!L:L,'A5.Consol FY24'!B:B,'A0.LS'!$AW$5,'A5.Consol FY24'!M:M,"EY",'A5.Consol FY24'!N:N,"Posted",'A5.Consol FY24'!F:F,'A0.LS'!E60)</f>
        <v>0</v>
      </c>
      <c r="AX60" s="951">
        <f t="shared" si="36"/>
        <v>1326751737</v>
      </c>
      <c r="AY60" s="920"/>
      <c r="AZ60" s="936">
        <f>SUMIFS('TB.CTC.YE22'!Q:Q,'TB.CTC.YE22'!A:A,'A0.LS'!E60)</f>
        <v>159291132</v>
      </c>
      <c r="BA60" s="936">
        <f>ROUND(SUMIFS('A5.YE22'!J:J,'A5.YE22'!K:K,'A0.LS'!$BA$5,'A5.YE22'!L:L,"Posted",'A5.YE22'!D:D,'A0.LS'!E60),0)</f>
        <v>0</v>
      </c>
      <c r="BB60" s="936">
        <f t="shared" si="30"/>
        <v>159291132</v>
      </c>
      <c r="BC60" s="937"/>
      <c r="BD60" s="936">
        <f>ROUND(SUMIFS('TB.VNSC.YE22'!L:L,'TB.VNSC.YE22'!A:A,'A0.LS'!E60),0)</f>
        <v>159322918</v>
      </c>
      <c r="BE60" s="936">
        <f>ROUND(SUMIFS('A5.YE22'!J:J,'A5.YE22'!K:K,'A0.LS'!$BE$5,'A5.YE22'!L:L,"Posted",'A5.YE22'!D:D,'A0.LS'!E60),0)</f>
        <v>0</v>
      </c>
      <c r="BF60" s="936">
        <f t="shared" si="31"/>
        <v>159322918</v>
      </c>
      <c r="BG60" s="937"/>
      <c r="BH60" s="936">
        <f>ROUND(SUMIFS('TB.XH.YE22'!P:P,'TB.XH.YE22'!A:A,'A0.LS'!E60),0)</f>
        <v>16000000</v>
      </c>
      <c r="BI60" s="936">
        <f>ROUND(SUMIFS('A5.YE22'!J:J,'A5.YE22'!K:K,"XH",'A5.YE22'!L:L,"Posted",'A5.YE22'!D:D,'A0.LS'!E60),0)</f>
        <v>0</v>
      </c>
      <c r="BJ60" s="936">
        <f t="shared" si="32"/>
        <v>16000000</v>
      </c>
      <c r="BK60" s="937"/>
      <c r="BL60" s="936">
        <f>ROUND(SUMIFS('TB.KCG.YE22'!P:P,'TB.KCG.YE22'!A:A,'A0.LS'!E60),0)</f>
        <v>0</v>
      </c>
      <c r="BM60" s="936">
        <f>ROUND(SUMIFS('A5.YE22'!J:J,'A5.YE22'!K:K,'A0.LS'!$BM$5,'A5.YE22'!L:L,"Posted",'A5.YE22'!D:D,'A0.LS'!E60),0)</f>
        <v>0</v>
      </c>
      <c r="BN60" s="936">
        <f t="shared" si="33"/>
        <v>0</v>
      </c>
      <c r="BO60" s="937"/>
      <c r="BP60" s="938">
        <v>1692275915</v>
      </c>
      <c r="BQ60" s="938">
        <f>ROUND(SUMIFS('A5.YE22'!J:J,'A5.YE22'!K:K,'A0.LS'!$BQ$5,'A5.YE22'!L:L,"Posted",'A5.YE22'!D:D,'A0.LS'!E60),0)</f>
        <v>0</v>
      </c>
      <c r="BR60" s="938">
        <f t="shared" si="34"/>
        <v>1692275915</v>
      </c>
    </row>
    <row r="61" spans="1:70" ht="12.75">
      <c r="A61" s="850"/>
      <c r="B61" s="939">
        <v>136</v>
      </c>
      <c r="C61" s="940"/>
      <c r="D61" s="927"/>
      <c r="E61" s="928" t="s">
        <v>2258</v>
      </c>
      <c r="F61" s="928" t="s">
        <v>2259</v>
      </c>
      <c r="G61" s="927" t="s">
        <v>2221</v>
      </c>
      <c r="H61" s="927" t="s">
        <v>2222</v>
      </c>
      <c r="I61" s="942">
        <f>SUMIFS('TB.CTy Me.FY2024'!I:I,'TB.CTy Me.FY2024'!A:A,'A0.LS'!E61)</f>
        <v>0</v>
      </c>
      <c r="J61" s="942">
        <f>ROUND(SUMIFS('A5.FY24'!K:K,'A5.FY24'!E:E,'A0.LS'!E61,'A5.FY24'!L:L,"Finhay",'A5.FY24'!M:M,"Posted"),0)</f>
        <v>0</v>
      </c>
      <c r="K61" s="942">
        <f>ROUND(SUMIFS('A5.FY24'!K:K,'A5.FY24'!E:E,'A0.LS'!E61,'A5.FY24'!L:L,"EY",'A5.FY24'!M:M,"Posted"),0)</f>
        <v>0</v>
      </c>
      <c r="L61" s="943">
        <f t="shared" si="22"/>
        <v>0</v>
      </c>
      <c r="M61" s="930"/>
      <c r="N61" s="944">
        <f>SUMIFS('TB.CTM.YE23'!I:I,'TB.CTM.YE23'!A:A,'A0.LS'!E61)</f>
        <v>0</v>
      </c>
      <c r="O61" s="944">
        <v>0</v>
      </c>
      <c r="P61" s="944">
        <v>0</v>
      </c>
      <c r="Q61" s="945">
        <f t="shared" si="23"/>
        <v>0</v>
      </c>
      <c r="R61" s="898"/>
      <c r="S61" s="848">
        <f t="shared" si="20"/>
        <v>0</v>
      </c>
      <c r="T61" s="946" t="str">
        <f t="shared" si="21"/>
        <v>To check</v>
      </c>
      <c r="U61" s="850"/>
      <c r="V61" s="850" t="s">
        <v>2231</v>
      </c>
      <c r="W61" s="850"/>
      <c r="X61" s="947" t="s">
        <v>2227</v>
      </c>
      <c r="Y61" s="947" t="s">
        <v>2221</v>
      </c>
      <c r="Z61" s="936">
        <f>ROUND(SUMIFS('TB.Cty Con.FY24'!I:I,'TB.Cty Con.FY24'!A:A,'A0.LS'!E61),0)</f>
        <v>0</v>
      </c>
      <c r="AA61" s="936">
        <f>ROUND(SUMIFS('A5.CTC FY24'!K:K,'A5.CTC FY24'!E:E,'A0.LS'!E61,'A5.CTC FY24'!A:A,'A0.LS'!$AA$5,'A5.CTC FY24'!L:L,"Finhay",'A5.CTC FY24'!M:M,"Posted"),0)</f>
        <v>0</v>
      </c>
      <c r="AB61" s="936">
        <f>ROUND(SUMIFS('A5.CTC FY24'!K:K,'A5.CTC FY24'!E:E,'A0.LS'!E61,'A5.CTC FY24'!A:A,'A0.LS'!$AB$5,'A5.CTC FY24'!L:L,"EY",'A5.CTC FY24'!M:M,"Posted"),0)</f>
        <v>0</v>
      </c>
      <c r="AC61" s="948">
        <f t="shared" si="24"/>
        <v>0</v>
      </c>
      <c r="AD61" s="930"/>
      <c r="AE61" s="936">
        <f>ROUND(SUMIFS('TB VNSC FY24'!M:M,'TB VNSC FY24'!N:N,'A0.LS'!E61),0)</f>
        <v>0</v>
      </c>
      <c r="AF61" s="936">
        <f>SUMIFS('A5.CTC FY24'!K:K,'A5.CTC FY24'!E:E,'A0.LS'!E61,'A5.CTC FY24'!A:A,"VNSC",'A5.CTC FY24'!L:L,"VNSC",'A5.CTC FY24'!M:M,"Posted")</f>
        <v>0</v>
      </c>
      <c r="AG61" s="936">
        <f>ROUND(SUMIFS('A5.CTC FY24'!K:K,'A5.CTC FY24'!E:E,'A0.LS'!E61,'A5.CTC FY24'!A:A,"VNSC",'A5.CTC FY24'!L:L,"EY",'A5.CTC FY24'!M:M,"Posted"),0)</f>
        <v>0</v>
      </c>
      <c r="AH61" s="936">
        <f t="shared" si="25"/>
        <v>0</v>
      </c>
      <c r="AI61" s="930"/>
      <c r="AJ61" s="936">
        <f>SUMIFS('TB.KCG.FY24'!I:I,'TB.KCG.FY24'!A:A,'A0.LS'!E61)</f>
        <v>0</v>
      </c>
      <c r="AK61" s="936">
        <f>ROUND(SUMIFS('A5.CTC FY24'!K:K,'A5.CTC FY24'!E:E,'A0.LS'!E61,'A5.CTC FY24'!A:A,'A0.LS'!$AK$5,'A5.CTC FY24'!L:L,"EY",'A5.CTC FY24'!M:M,"Posted"),0)</f>
        <v>0</v>
      </c>
      <c r="AL61" s="948">
        <f t="shared" si="26"/>
        <v>0</v>
      </c>
      <c r="AM61" s="930"/>
      <c r="AN61" s="949">
        <f t="shared" si="35"/>
        <v>0</v>
      </c>
      <c r="AO61" s="950">
        <f>ROUND(SUMIFS('A5.Consol FY24'!L:L,'A5.Consol FY24'!M:M,"EY",'A5.Consol FY24'!N:N,"Posted",'A5.Consol FY24'!B:B,'A0.LS'!$AO$5,'A5.Consol FY24'!F:F,'A0.LS'!E61),0)</f>
        <v>0</v>
      </c>
      <c r="AP61" s="949">
        <f t="shared" si="27"/>
        <v>0</v>
      </c>
      <c r="AQ61" s="930"/>
      <c r="AR61" s="936">
        <f>ROUND(SUMIFS('TB.XH.FY24'!I:I,'TB.XH.FY24'!J:J,'A0.LS'!E61),0)</f>
        <v>0</v>
      </c>
      <c r="AS61" s="936">
        <f>ROUND(SUMIFS('A5.CTC FY24'!K:K,'A5.CTC FY24'!E:E,'A0.LS'!E61,'A5.CTC FY24'!A:A,'A0.LS'!$AS$5,'A5.CTC FY24'!L:L,"EY",'A5.CTC FY24'!M:M,"Posted"),0)</f>
        <v>0</v>
      </c>
      <c r="AT61" s="948">
        <f t="shared" si="28"/>
        <v>0</v>
      </c>
      <c r="AU61" s="930"/>
      <c r="AV61" s="951">
        <f t="shared" si="29"/>
        <v>0</v>
      </c>
      <c r="AW61" s="952">
        <f>SUMIFS('A5.Consol FY24'!L:L,'A5.Consol FY24'!B:B,'A0.LS'!$AW$5,'A5.Consol FY24'!M:M,"EY",'A5.Consol FY24'!N:N,"Posted",'A5.Consol FY24'!F:F,'A0.LS'!E61)</f>
        <v>0</v>
      </c>
      <c r="AX61" s="951">
        <f t="shared" si="36"/>
        <v>0</v>
      </c>
      <c r="AY61" s="920"/>
      <c r="AZ61" s="936">
        <f>SUMIFS('TB.CTC.YE22'!Q:Q,'TB.CTC.YE22'!A:A,'A0.LS'!E61)</f>
        <v>0</v>
      </c>
      <c r="BA61" s="936">
        <f>ROUND(SUMIFS('A5.YE22'!J:J,'A5.YE22'!K:K,'A0.LS'!$BA$5,'A5.YE22'!L:L,"Posted",'A5.YE22'!D:D,'A0.LS'!E61),0)</f>
        <v>0</v>
      </c>
      <c r="BB61" s="936">
        <f t="shared" si="30"/>
        <v>0</v>
      </c>
      <c r="BC61" s="937"/>
      <c r="BD61" s="936">
        <f>ROUND(SUMIFS('TB.VNSC.YE22'!L:L,'TB.VNSC.YE22'!A:A,'A0.LS'!E61),0)</f>
        <v>0</v>
      </c>
      <c r="BE61" s="936">
        <f>ROUND(SUMIFS('A5.YE22'!J:J,'A5.YE22'!K:K,'A0.LS'!$BE$5,'A5.YE22'!L:L,"Posted",'A5.YE22'!D:D,'A0.LS'!E61),0)</f>
        <v>0</v>
      </c>
      <c r="BF61" s="936">
        <f t="shared" si="31"/>
        <v>0</v>
      </c>
      <c r="BG61" s="937"/>
      <c r="BH61" s="936">
        <f>ROUND(SUMIFS('TB.XH.YE22'!P:P,'TB.XH.YE22'!A:A,'A0.LS'!E61),0)</f>
        <v>0</v>
      </c>
      <c r="BI61" s="936">
        <f>ROUND(SUMIFS('A5.YE22'!J:J,'A5.YE22'!K:K,"XH",'A5.YE22'!L:L,"Posted",'A5.YE22'!D:D,'A0.LS'!E61),0)</f>
        <v>0</v>
      </c>
      <c r="BJ61" s="936">
        <f t="shared" si="32"/>
        <v>0</v>
      </c>
      <c r="BK61" s="937"/>
      <c r="BL61" s="936">
        <f>ROUND(SUMIFS('TB.KCG.YE22'!P:P,'TB.KCG.YE22'!A:A,'A0.LS'!E61),0)</f>
        <v>0</v>
      </c>
      <c r="BM61" s="936">
        <f>ROUND(SUMIFS('A5.YE22'!J:J,'A5.YE22'!K:K,'A0.LS'!$BM$5,'A5.YE22'!L:L,"Posted",'A5.YE22'!D:D,'A0.LS'!E61),0)</f>
        <v>0</v>
      </c>
      <c r="BN61" s="936">
        <f t="shared" si="33"/>
        <v>0</v>
      </c>
      <c r="BO61" s="937"/>
      <c r="BP61" s="938">
        <v>0</v>
      </c>
      <c r="BQ61" s="938">
        <f>ROUND(SUMIFS('A5.YE22'!J:J,'A5.YE22'!K:K,'A0.LS'!$BQ$5,'A5.YE22'!L:L,"Posted",'A5.YE22'!D:D,'A0.LS'!E61),0)</f>
        <v>0</v>
      </c>
      <c r="BR61" s="938">
        <f t="shared" si="34"/>
        <v>0</v>
      </c>
    </row>
    <row r="62" spans="1:70" ht="12.75">
      <c r="A62" s="850"/>
      <c r="B62" s="925"/>
      <c r="C62" s="926"/>
      <c r="D62" s="927"/>
      <c r="E62" s="928"/>
      <c r="F62" s="928"/>
      <c r="G62" s="928"/>
      <c r="H62" s="927"/>
      <c r="I62" s="929"/>
      <c r="J62" s="929"/>
      <c r="K62" s="929"/>
      <c r="L62" s="929"/>
      <c r="M62" s="930"/>
      <c r="N62" s="931"/>
      <c r="O62" s="931"/>
      <c r="P62" s="931"/>
      <c r="Q62" s="932"/>
      <c r="R62" s="898"/>
      <c r="S62" s="850"/>
      <c r="T62" s="850"/>
      <c r="U62" s="850"/>
      <c r="V62" s="850"/>
      <c r="W62" s="850"/>
      <c r="X62" s="947" t="s">
        <v>2227</v>
      </c>
      <c r="Y62" s="933"/>
      <c r="Z62" s="934"/>
      <c r="AA62" s="934"/>
      <c r="AB62" s="934"/>
      <c r="AC62" s="934"/>
      <c r="AD62" s="930"/>
      <c r="AE62" s="934"/>
      <c r="AF62" s="934"/>
      <c r="AG62" s="934"/>
      <c r="AH62" s="934"/>
      <c r="AI62" s="930"/>
      <c r="AJ62" s="934"/>
      <c r="AK62" s="934"/>
      <c r="AL62" s="934"/>
      <c r="AM62" s="930"/>
      <c r="AN62" s="935"/>
      <c r="AO62" s="935"/>
      <c r="AP62" s="935"/>
      <c r="AQ62" s="930"/>
      <c r="AR62" s="934"/>
      <c r="AS62" s="934"/>
      <c r="AT62" s="934"/>
      <c r="AU62" s="930"/>
      <c r="AV62" s="909"/>
      <c r="AW62" s="909"/>
      <c r="AX62" s="909"/>
      <c r="AY62" s="920"/>
      <c r="AZ62" s="936"/>
      <c r="BA62" s="936"/>
      <c r="BB62" s="936"/>
      <c r="BC62" s="937"/>
      <c r="BD62" s="936"/>
      <c r="BE62" s="936"/>
      <c r="BF62" s="936"/>
      <c r="BG62" s="937"/>
      <c r="BH62" s="936"/>
      <c r="BI62" s="936"/>
      <c r="BJ62" s="936"/>
      <c r="BK62" s="937"/>
      <c r="BL62" s="936"/>
      <c r="BM62" s="936"/>
      <c r="BN62" s="936"/>
      <c r="BO62" s="937"/>
      <c r="BP62" s="938"/>
      <c r="BQ62" s="938"/>
      <c r="BR62" s="938"/>
    </row>
    <row r="63" spans="1:70" s="1" customFormat="1" ht="12.75">
      <c r="B63" s="293"/>
      <c r="C63" s="294"/>
      <c r="D63" s="295"/>
      <c r="E63" s="75"/>
      <c r="F63" s="75" t="s">
        <v>2260</v>
      </c>
      <c r="G63" s="75"/>
      <c r="H63" s="295"/>
      <c r="I63" s="68">
        <f>SUM(I64:I65)</f>
        <v>0</v>
      </c>
      <c r="J63" s="68">
        <f>SUM(J64:J65)</f>
        <v>0</v>
      </c>
      <c r="K63" s="68">
        <f>SUM(K64:K65)</f>
        <v>0</v>
      </c>
      <c r="L63" s="68">
        <f>SUM(L64:L65)</f>
        <v>0</v>
      </c>
      <c r="M63" s="296"/>
      <c r="N63" s="69">
        <f>SUM(N64:N65)</f>
        <v>3000000000</v>
      </c>
      <c r="O63" s="69">
        <f>SUM(O64:O65)</f>
        <v>0</v>
      </c>
      <c r="P63" s="69">
        <f>SUM(P64:P65)</f>
        <v>0</v>
      </c>
      <c r="Q63" s="70">
        <f>SUM(Q64:Q65)</f>
        <v>3000000000</v>
      </c>
      <c r="R63" s="298"/>
      <c r="S63" s="175">
        <f>L63-Q63</f>
        <v>-3000000000</v>
      </c>
      <c r="T63" s="176">
        <f>IFERROR(S63/Q63,"To check")</f>
        <v>-1</v>
      </c>
      <c r="X63" s="947" t="s">
        <v>2227</v>
      </c>
      <c r="Y63" s="304"/>
      <c r="Z63" s="235">
        <f>SUM(Z64:Z65)</f>
        <v>0</v>
      </c>
      <c r="AA63" s="235">
        <f>SUM(AA64:AA65)</f>
        <v>0</v>
      </c>
      <c r="AB63" s="235">
        <f>SUM(AB64:AB65)</f>
        <v>0</v>
      </c>
      <c r="AC63" s="235">
        <f>SUM(AC64:AC65)</f>
        <v>0</v>
      </c>
      <c r="AD63" s="236"/>
      <c r="AE63" s="235">
        <f>SUM(AE64:AE65)</f>
        <v>0</v>
      </c>
      <c r="AF63" s="235">
        <f>SUM(AF64:AF65)</f>
        <v>0</v>
      </c>
      <c r="AG63" s="235">
        <f>SUM(AG64:AG65)</f>
        <v>0</v>
      </c>
      <c r="AH63" s="235">
        <f>SUM(AH64:AH65)</f>
        <v>0</v>
      </c>
      <c r="AI63" s="236"/>
      <c r="AJ63" s="235">
        <f>SUM(AJ64:AJ65)</f>
        <v>0</v>
      </c>
      <c r="AK63" s="235">
        <f>SUM(AK64:AK65)</f>
        <v>0</v>
      </c>
      <c r="AL63" s="235">
        <f>SUM(AL64:AL65)</f>
        <v>0</v>
      </c>
      <c r="AM63" s="236"/>
      <c r="AN63" s="237">
        <f>SUM(AN64:AN65)</f>
        <v>0</v>
      </c>
      <c r="AO63" s="237">
        <f>SUM(AO64:AO65)</f>
        <v>0</v>
      </c>
      <c r="AP63" s="237">
        <f>SUM(AP64:AP65)</f>
        <v>0</v>
      </c>
      <c r="AQ63" s="236"/>
      <c r="AR63" s="235">
        <f>SUM(AR64:AR65)</f>
        <v>0</v>
      </c>
      <c r="AS63" s="235">
        <f>SUM(AS64:AS65)</f>
        <v>0</v>
      </c>
      <c r="AT63" s="235">
        <f>SUM(AT64:AT65)</f>
        <v>0</v>
      </c>
      <c r="AU63" s="236"/>
      <c r="AV63" s="238">
        <f>SUM(AV64:AV65)</f>
        <v>0</v>
      </c>
      <c r="AW63" s="238">
        <f>SUM(AW64:AW65)</f>
        <v>0</v>
      </c>
      <c r="AX63" s="238">
        <f>SUM(AX64:AX65)</f>
        <v>0</v>
      </c>
      <c r="AY63" s="614"/>
      <c r="AZ63" s="235">
        <f>SUM(AZ64:AZ65)</f>
        <v>2742583139</v>
      </c>
      <c r="BA63" s="235">
        <f>SUM(BA64:BA65)</f>
        <v>0</v>
      </c>
      <c r="BB63" s="235">
        <f>SUM(BB64:BB65)</f>
        <v>2742583139</v>
      </c>
      <c r="BC63" s="236"/>
      <c r="BD63" s="235">
        <f>SUM(BD64:BD65)</f>
        <v>0</v>
      </c>
      <c r="BE63" s="235">
        <f>SUM(BE64:BE65)</f>
        <v>0</v>
      </c>
      <c r="BF63" s="235">
        <f>SUM(BF64:BF65)</f>
        <v>0</v>
      </c>
      <c r="BG63" s="236"/>
      <c r="BH63" s="235">
        <f>SUM(BH64:BH65)</f>
        <v>0</v>
      </c>
      <c r="BI63" s="235">
        <f>SUM(BI64:BI65)</f>
        <v>0</v>
      </c>
      <c r="BJ63" s="235">
        <f>SUM(BJ64:BJ65)</f>
        <v>0</v>
      </c>
      <c r="BK63" s="236"/>
      <c r="BL63" s="235">
        <f>SUM(BL64:BL65)</f>
        <v>0</v>
      </c>
      <c r="BM63" s="235">
        <f>SUM(BM64:BM65)</f>
        <v>0</v>
      </c>
      <c r="BN63" s="235">
        <f>SUM(BN64:BN65)</f>
        <v>0</v>
      </c>
      <c r="BO63" s="236"/>
      <c r="BP63" s="443">
        <f>SUM(BP64:BP65)</f>
        <v>7790138369</v>
      </c>
      <c r="BQ63" s="443">
        <f>SUM(BQ64:BQ65)</f>
        <v>0</v>
      </c>
      <c r="BR63" s="443">
        <f>SUM(BR64:BR65)</f>
        <v>7790138369</v>
      </c>
    </row>
    <row r="64" spans="1:70" ht="12.75">
      <c r="A64" s="850"/>
      <c r="B64" s="939">
        <v>141</v>
      </c>
      <c r="C64" s="940" t="s">
        <v>2261</v>
      </c>
      <c r="D64" s="941" t="s">
        <v>2261</v>
      </c>
      <c r="E64" s="928" t="s">
        <v>2262</v>
      </c>
      <c r="F64" s="928" t="s">
        <v>2263</v>
      </c>
      <c r="G64" s="927" t="s">
        <v>2264</v>
      </c>
      <c r="H64" s="927" t="s">
        <v>2265</v>
      </c>
      <c r="I64" s="942">
        <f>SUMIFS('TB.CTy Me.FY2024'!I:I,'TB.CTy Me.FY2024'!A:A,'A0.LS'!E64)</f>
        <v>0</v>
      </c>
      <c r="J64" s="942">
        <f>ROUND(SUMIFS('A5.FY24'!K:K,'A5.FY24'!E:E,'A0.LS'!E64,'A5.FY24'!L:L,"Finhay",'A5.FY24'!M:M,"Posted"),0)</f>
        <v>0</v>
      </c>
      <c r="K64" s="942">
        <f>ROUND(SUMIFS('A5.FY24'!K:K,'A5.FY24'!E:E,'A0.LS'!E64,'A5.FY24'!L:L,"EY",'A5.FY24'!M:M,"Posted"),0)</f>
        <v>0</v>
      </c>
      <c r="L64" s="943">
        <f>ROUND(SUM(I64:K64),0)</f>
        <v>0</v>
      </c>
      <c r="M64" s="930"/>
      <c r="N64" s="944">
        <f>SUMIFS('TB.CTM.YE23'!I:I,'TB.CTM.YE23'!A:A,'A0.LS'!E64)</f>
        <v>0</v>
      </c>
      <c r="O64" s="944">
        <f>SUMIFS('A5.YE22'!J:J,'A5.YE22'!D:D,'A0.LS'!E64,'A5.YE22'!K:K,"Finhay",'A5.YE22'!L:L,"Posted")</f>
        <v>0</v>
      </c>
      <c r="P64" s="944">
        <v>0</v>
      </c>
      <c r="Q64" s="945">
        <f>ROUND(SUM(N64:P64),0)</f>
        <v>0</v>
      </c>
      <c r="R64" s="898"/>
      <c r="S64" s="848">
        <f>L64-Q64</f>
        <v>0</v>
      </c>
      <c r="T64" s="946" t="str">
        <f>IFERROR(S64/Q64,"To check")</f>
        <v>To check</v>
      </c>
      <c r="U64" s="850"/>
      <c r="V64" s="850" t="s">
        <v>2266</v>
      </c>
      <c r="W64" s="850"/>
      <c r="X64" s="933"/>
      <c r="Y64" s="947" t="s">
        <v>2264</v>
      </c>
      <c r="Z64" s="936">
        <f>ROUND(SUMIFS('TB.Cty Con.FY24'!I:I,'TB.Cty Con.FY24'!A:A,'A0.LS'!E64),0)</f>
        <v>0</v>
      </c>
      <c r="AA64" s="936">
        <f>ROUND(SUMIFS('A5.CTC FY24'!K:K,'A5.CTC FY24'!E:E,'A0.LS'!E64,'A5.CTC FY24'!A:A,'A0.LS'!$AA$5,'A5.CTC FY24'!L:L,"Finhay",'A5.CTC FY24'!M:M,"Posted"),0)</f>
        <v>0</v>
      </c>
      <c r="AB64" s="936">
        <f>ROUND(SUMIFS('A5.CTC FY24'!K:K,'A5.CTC FY24'!E:E,'A0.LS'!E64,'A5.CTC FY24'!A:A,'A0.LS'!$AB$5,'A5.CTC FY24'!L:L,"EY",'A5.CTC FY24'!M:M,"Posted"),0)</f>
        <v>0</v>
      </c>
      <c r="AC64" s="948">
        <f>ROUND(SUM(Z64:AB64),0)</f>
        <v>0</v>
      </c>
      <c r="AD64" s="930"/>
      <c r="AE64" s="936">
        <f>ROUND(SUMIFS('TB VNSC FY24'!M:M,'TB VNSC FY24'!N:N,'A0.LS'!E64),0)</f>
        <v>0</v>
      </c>
      <c r="AF64" s="936">
        <f>SUMIFS('A5.CTC FY24'!K:K,'A5.CTC FY24'!E:E,'A0.LS'!E64,'A5.CTC FY24'!A:A,"VNSC",'A5.CTC FY24'!L:L,"VNSC",'A5.CTC FY24'!M:M,"Posted")</f>
        <v>0</v>
      </c>
      <c r="AG64" s="936">
        <f>ROUND(SUMIFS('A5.CTC FY24'!K:K,'A5.CTC FY24'!E:E,'A0.LS'!E64,'A5.CTC FY24'!A:A,"VNSC",'A5.CTC FY24'!L:L,"EY",'A5.CTC FY24'!M:M,"Posted"),0)</f>
        <v>0</v>
      </c>
      <c r="AH64" s="936">
        <f>ROUND(SUM(AE64:AG64),0)</f>
        <v>0</v>
      </c>
      <c r="AI64" s="930"/>
      <c r="AJ64" s="936">
        <f>SUMIFS('TB.KCG.FY24'!I:I,'TB.KCG.FY24'!A:A,'A0.LS'!E64)</f>
        <v>0</v>
      </c>
      <c r="AK64" s="936">
        <f>ROUND(SUMIFS('A5.CTC FY24'!K:K,'A5.CTC FY24'!E:E,'A0.LS'!E64,'A5.CTC FY24'!A:A,'A0.LS'!$AK$5,'A5.CTC FY24'!L:L,"EY",'A5.CTC FY24'!M:M,"Posted"),0)</f>
        <v>0</v>
      </c>
      <c r="AL64" s="948">
        <f>ROUND(SUM(AJ64:AK64),0)</f>
        <v>0</v>
      </c>
      <c r="AM64" s="930"/>
      <c r="AN64" s="949">
        <f>ROUND(SUM(AT64,AH64,AC64),0)</f>
        <v>0</v>
      </c>
      <c r="AO64" s="950">
        <f>ROUND(SUMIFS('A5.Consol FY24'!L:L,'A5.Consol FY24'!M:M,"EY",'A5.Consol FY24'!N:N,"Posted",'A5.Consol FY24'!B:B,'A0.LS'!$AO$5,'A5.Consol FY24'!F:F,'A0.LS'!E64),0)</f>
        <v>0</v>
      </c>
      <c r="AP64" s="949">
        <f>ROUND(SUM(AN64:AO64),0)</f>
        <v>0</v>
      </c>
      <c r="AQ64" s="930"/>
      <c r="AR64" s="936">
        <f>ROUND(SUMIFS('TB.XH.FY24'!I:I,'TB.XH.FY24'!J:J,'A0.LS'!E64),0)</f>
        <v>0</v>
      </c>
      <c r="AS64" s="936">
        <f>ROUND(SUMIFS('A5.CTC FY24'!K:K,'A5.CTC FY24'!E:E,'A0.LS'!E64,'A5.CTC FY24'!A:A,'A0.LS'!$AS$5,'A5.CTC FY24'!L:L,"EY",'A5.CTC FY24'!M:M,"Posted"),0)</f>
        <v>0</v>
      </c>
      <c r="AT64" s="948">
        <f>ROUND(SUM(AR64:AS64),0)</f>
        <v>0</v>
      </c>
      <c r="AU64" s="930"/>
      <c r="AV64" s="951">
        <f>ROUND(SUM(AP64,AL64,L64),0)</f>
        <v>0</v>
      </c>
      <c r="AW64" s="952">
        <f>SUMIFS('A5.Consol FY24'!L:L,'A5.Consol FY24'!B:B,'A0.LS'!$AW$5,'A5.Consol FY24'!M:M,"EY",'A5.Consol FY24'!N:N,"Posted",'A5.Consol FY24'!F:F,'A0.LS'!E64)</f>
        <v>0</v>
      </c>
      <c r="AX64" s="951">
        <f>ROUND(SUM(AV64:AW64),0)</f>
        <v>0</v>
      </c>
      <c r="AY64" s="920"/>
      <c r="AZ64" s="936">
        <f>SUMIFS('TB.CTC.YE22'!Q:Q,'TB.CTC.YE22'!A:A,'A0.LS'!E64)</f>
        <v>0</v>
      </c>
      <c r="BA64" s="936">
        <f>ROUND(SUMIFS('A5.YE22'!J:J,'A5.YE22'!K:K,'A0.LS'!$BA$5,'A5.YE22'!L:L,"Posted",'A5.YE22'!D:D,'A0.LS'!E64),0)</f>
        <v>0</v>
      </c>
      <c r="BB64" s="936">
        <f>ROUND(SUM(AZ64:BA64),0)</f>
        <v>0</v>
      </c>
      <c r="BC64" s="937"/>
      <c r="BD64" s="936">
        <f>ROUND(SUMIFS('TB.VNSC.YE22'!L:L,'TB.VNSC.YE22'!A:A,'A0.LS'!E64),0)</f>
        <v>0</v>
      </c>
      <c r="BE64" s="936">
        <f>ROUND(SUMIFS('A5.YE22'!J:J,'A5.YE22'!K:K,'A0.LS'!$BE$5,'A5.YE22'!L:L,"Posted",'A5.YE22'!D:D,'A0.LS'!E64),0)</f>
        <v>0</v>
      </c>
      <c r="BF64" s="936">
        <f>ROUND(SUM(BD64:BE64),0)</f>
        <v>0</v>
      </c>
      <c r="BG64" s="937"/>
      <c r="BH64" s="936">
        <f>ROUND(SUMIFS('TB.XH.YE22'!P:P,'TB.XH.YE22'!A:A,'A0.LS'!E64),0)</f>
        <v>0</v>
      </c>
      <c r="BI64" s="936">
        <f>ROUND(SUMIFS('A5.YE22'!J:J,'A5.YE22'!K:K,"XH",'A5.YE22'!L:L,"Posted",'A5.YE22'!D:D,'A0.LS'!E64),0)</f>
        <v>0</v>
      </c>
      <c r="BJ64" s="936">
        <f>ROUND(SUM(BH64:BI64),0)</f>
        <v>0</v>
      </c>
      <c r="BK64" s="937"/>
      <c r="BL64" s="936">
        <f>ROUND(SUMIFS('TB.KCG.YE22'!P:P,'TB.KCG.YE22'!A:A,'A0.LS'!E64),0)</f>
        <v>0</v>
      </c>
      <c r="BM64" s="936">
        <f>ROUND(SUMIFS('A5.YE22'!J:J,'A5.YE22'!K:K,'A0.LS'!$BM$5,'A5.YE22'!L:L,"Posted",'A5.YE22'!D:D,'A0.LS'!E64),0)</f>
        <v>0</v>
      </c>
      <c r="BN64" s="936">
        <f>ROUND(SUM(BL64:BM64),0)</f>
        <v>0</v>
      </c>
      <c r="BO64" s="937"/>
      <c r="BP64" s="938">
        <f>ROUND(SUM(Q64,BB64,BF64,BJ64,BN64),0)</f>
        <v>0</v>
      </c>
      <c r="BQ64" s="938">
        <f>ROUND(SUMIFS('A5.YE22'!J:J,'A5.YE22'!K:K,'A0.LS'!$BQ$5,'A5.YE22'!L:L,"Posted",'A5.YE22'!D:D,'A0.LS'!E64),0)</f>
        <v>0</v>
      </c>
      <c r="BR64" s="938">
        <f>ROUND(SUM(BP64:BQ64),0)</f>
        <v>0</v>
      </c>
    </row>
    <row r="65" spans="2:70" ht="12.75">
      <c r="B65" s="939">
        <v>141</v>
      </c>
      <c r="C65" s="940" t="s">
        <v>2267</v>
      </c>
      <c r="D65" s="941" t="s">
        <v>2267</v>
      </c>
      <c r="E65" s="928" t="s">
        <v>75</v>
      </c>
      <c r="F65" s="928" t="s">
        <v>76</v>
      </c>
      <c r="G65" s="927" t="s">
        <v>2264</v>
      </c>
      <c r="H65" s="927" t="s">
        <v>2265</v>
      </c>
      <c r="I65" s="942">
        <f>SUMIFS('TB.CTy Me.FY2024'!I:I,'TB.CTy Me.FY2024'!A:A,'A0.LS'!E65)</f>
        <v>0</v>
      </c>
      <c r="J65" s="942">
        <f>ROUND(SUMIFS('A5.FY24'!K:K,'A5.FY24'!E:E,'A0.LS'!E65,'A5.FY24'!L:L,"Finhay",'A5.FY24'!M:M,"Posted"),0)</f>
        <v>0</v>
      </c>
      <c r="K65" s="942">
        <f>ROUND(SUMIFS('A5.FY24'!K:K,'A5.FY24'!E:E,'A0.LS'!E65,'A5.FY24'!L:L,"EY",'A5.FY24'!M:M,"Posted"),0)</f>
        <v>0</v>
      </c>
      <c r="L65" s="943">
        <f>ROUND(SUM(I65:K65),0)</f>
        <v>0</v>
      </c>
      <c r="M65" s="930"/>
      <c r="N65" s="944">
        <f>SUMIFS('TB.CTM.YE23'!I:I,'TB.CTM.YE23'!A:A,'A0.LS'!E65)</f>
        <v>3000000000</v>
      </c>
      <c r="O65" s="944">
        <f>SUMIFS('A5.YE22'!J:J,'A5.YE22'!D:D,'A0.LS'!E65,'A5.YE22'!K:K,"Finhay",'A5.YE22'!L:L,"Posted")</f>
        <v>0</v>
      </c>
      <c r="P65" s="944">
        <v>0</v>
      </c>
      <c r="Q65" s="945">
        <f>ROUND(SUM(N65:P65),0)</f>
        <v>3000000000</v>
      </c>
      <c r="R65" s="898"/>
      <c r="S65" s="848">
        <f>L65-Q65</f>
        <v>-3000000000</v>
      </c>
      <c r="T65" s="946">
        <f>IFERROR(S65/Q65,"To check")</f>
        <v>-1</v>
      </c>
      <c r="U65" s="850" t="s">
        <v>2268</v>
      </c>
      <c r="V65" s="850" t="s">
        <v>2269</v>
      </c>
      <c r="W65" s="850"/>
      <c r="X65" s="304"/>
      <c r="Y65" s="947" t="s">
        <v>2264</v>
      </c>
      <c r="Z65" s="936">
        <f>ROUND(SUMIFS('TB.Cty Con.FY24'!I:I,'TB.Cty Con.FY24'!A:A,'A0.LS'!E65),0)</f>
        <v>0</v>
      </c>
      <c r="AA65" s="936">
        <f>ROUND(SUMIFS('A5.CTC FY24'!K:K,'A5.CTC FY24'!E:E,'A0.LS'!E65,'A5.CTC FY24'!A:A,'A0.LS'!$AA$5,'A5.CTC FY24'!L:L,"Finhay",'A5.CTC FY24'!M:M,"Posted"),0)</f>
        <v>0</v>
      </c>
      <c r="AB65" s="936">
        <f>ROUND(SUMIFS('A5.CTC FY24'!K:K,'A5.CTC FY24'!E:E,'A0.LS'!E65,'A5.CTC FY24'!A:A,'A0.LS'!$AB$5,'A5.CTC FY24'!L:L,"EY",'A5.CTC FY24'!M:M,"Posted"),0)</f>
        <v>0</v>
      </c>
      <c r="AC65" s="948">
        <f>ROUND(SUM(Z65:AB65),0)</f>
        <v>0</v>
      </c>
      <c r="AD65" s="930"/>
      <c r="AE65" s="936">
        <f>ROUND(SUMIFS('TB VNSC FY24'!M:M,'TB VNSC FY24'!N:N,'A0.LS'!E65),0)</f>
        <v>0</v>
      </c>
      <c r="AF65" s="936">
        <f>SUMIFS('A5.CTC FY24'!K:K,'A5.CTC FY24'!E:E,'A0.LS'!E65,'A5.CTC FY24'!A:A,"VNSC",'A5.CTC FY24'!L:L,"VNSC",'A5.CTC FY24'!M:M,"Posted")</f>
        <v>0</v>
      </c>
      <c r="AG65" s="936">
        <f>ROUND(SUMIFS('A5.CTC FY24'!K:K,'A5.CTC FY24'!E:E,'A0.LS'!E65,'A5.CTC FY24'!A:A,"VNSC",'A5.CTC FY24'!L:L,"EY",'A5.CTC FY24'!M:M,"Posted"),0)</f>
        <v>0</v>
      </c>
      <c r="AH65" s="936">
        <f>ROUND(SUM(AE65:AG65),0)</f>
        <v>0</v>
      </c>
      <c r="AI65" s="930"/>
      <c r="AJ65" s="936">
        <f>SUMIFS('TB.KCG.FY24'!I:I,'TB.KCG.FY24'!A:A,'A0.LS'!E65)</f>
        <v>0</v>
      </c>
      <c r="AK65" s="936">
        <f>ROUND(SUMIFS('A5.CTC FY24'!K:K,'A5.CTC FY24'!E:E,'A0.LS'!E65,'A5.CTC FY24'!A:A,'A0.LS'!$AK$5,'A5.CTC FY24'!L:L,"EY",'A5.CTC FY24'!M:M,"Posted"),0)</f>
        <v>0</v>
      </c>
      <c r="AL65" s="948">
        <f>ROUND(SUM(AJ65:AK65),0)</f>
        <v>0</v>
      </c>
      <c r="AM65" s="930"/>
      <c r="AN65" s="949">
        <f>ROUND(SUM(AT65,AH65,AC65),0)</f>
        <v>0</v>
      </c>
      <c r="AO65" s="950">
        <f>ROUND(SUMIFS('A5.Consol FY24'!L:L,'A5.Consol FY24'!M:M,"EY",'A5.Consol FY24'!N:N,"Posted",'A5.Consol FY24'!B:B,'A0.LS'!$AO$5,'A5.Consol FY24'!F:F,'A0.LS'!E65),0)</f>
        <v>0</v>
      </c>
      <c r="AP65" s="949">
        <f>ROUND(SUM(AN65:AO65),0)</f>
        <v>0</v>
      </c>
      <c r="AQ65" s="930"/>
      <c r="AR65" s="936">
        <f>ROUND(SUMIFS('TB.XH.FY24'!I:I,'TB.XH.FY24'!J:J,'A0.LS'!E65),0)</f>
        <v>0</v>
      </c>
      <c r="AS65" s="936">
        <f>ROUND(SUMIFS('A5.CTC FY24'!K:K,'A5.CTC FY24'!E:E,'A0.LS'!E65,'A5.CTC FY24'!A:A,'A0.LS'!$AS$5,'A5.CTC FY24'!L:L,"EY",'A5.CTC FY24'!M:M,"Posted"),0)</f>
        <v>0</v>
      </c>
      <c r="AT65" s="948">
        <f>ROUND(SUM(AR65:AS65),0)</f>
        <v>0</v>
      </c>
      <c r="AU65" s="930"/>
      <c r="AV65" s="951">
        <f>ROUND(SUM(AP65,AL65,L65),0)</f>
        <v>0</v>
      </c>
      <c r="AW65" s="952">
        <f>SUMIFS('A5.Consol FY24'!L:L,'A5.Consol FY24'!B:B,'A0.LS'!$AW$5,'A5.Consol FY24'!M:M,"EY",'A5.Consol FY24'!N:N,"Posted",'A5.Consol FY24'!F:F,'A0.LS'!E65)</f>
        <v>0</v>
      </c>
      <c r="AX65" s="951">
        <f>ROUND(SUM(AV65:AW65),0)</f>
        <v>0</v>
      </c>
      <c r="AY65" s="920"/>
      <c r="AZ65" s="936">
        <f>SUMIFS('TB.CTC.YE22'!Q:Q,'TB.CTC.YE22'!A:A,'A0.LS'!E65)</f>
        <v>2742583139</v>
      </c>
      <c r="BA65" s="936">
        <f>ROUND(SUMIFS('A5.YE22'!J:J,'A5.YE22'!K:K,'A0.LS'!$BA$5,'A5.YE22'!L:L,"Posted",'A5.YE22'!D:D,'A0.LS'!E65),0)</f>
        <v>0</v>
      </c>
      <c r="BB65" s="936">
        <f>ROUND(SUM(AZ65:BA65),0)</f>
        <v>2742583139</v>
      </c>
      <c r="BC65" s="937"/>
      <c r="BD65" s="936">
        <f>ROUND(SUMIFS('TB.VNSC.YE22'!L:L,'TB.VNSC.YE22'!A:A,'A0.LS'!E65),0)</f>
        <v>0</v>
      </c>
      <c r="BE65" s="936">
        <f>ROUND(SUMIFS('A5.YE22'!J:J,'A5.YE22'!K:K,'A0.LS'!$BE$5,'A5.YE22'!L:L,"Posted",'A5.YE22'!D:D,'A0.LS'!E65),0)</f>
        <v>0</v>
      </c>
      <c r="BF65" s="936">
        <f>ROUND(SUM(BD65:BE65),0)</f>
        <v>0</v>
      </c>
      <c r="BG65" s="937"/>
      <c r="BH65" s="936">
        <f>ROUND(SUMIFS('TB.XH.YE22'!P:P,'TB.XH.YE22'!A:A,'A0.LS'!E65),0)</f>
        <v>0</v>
      </c>
      <c r="BI65" s="936">
        <f>ROUND(SUMIFS('A5.YE22'!J:J,'A5.YE22'!K:K,"XH",'A5.YE22'!L:L,"Posted",'A5.YE22'!D:D,'A0.LS'!E65),0)</f>
        <v>0</v>
      </c>
      <c r="BJ65" s="936">
        <f>ROUND(SUM(BH65:BI65),0)</f>
        <v>0</v>
      </c>
      <c r="BK65" s="937"/>
      <c r="BL65" s="936">
        <f>ROUND(SUMIFS('TB.KCG.YE22'!P:P,'TB.KCG.YE22'!A:A,'A0.LS'!E65),0)</f>
        <v>0</v>
      </c>
      <c r="BM65" s="936">
        <f>ROUND(SUMIFS('A5.YE22'!J:J,'A5.YE22'!K:K,'A0.LS'!$BM$5,'A5.YE22'!L:L,"Posted",'A5.YE22'!D:D,'A0.LS'!E65),0)</f>
        <v>0</v>
      </c>
      <c r="BN65" s="936">
        <f>ROUND(SUM(BL65:BM65),0)</f>
        <v>0</v>
      </c>
      <c r="BO65" s="937"/>
      <c r="BP65" s="938">
        <v>7790138369</v>
      </c>
      <c r="BQ65" s="938">
        <f>ROUND(SUMIFS('A5.YE22'!J:J,'A5.YE22'!K:K,'A0.LS'!$BQ$5,'A5.YE22'!L:L,"Posted",'A5.YE22'!D:D,'A0.LS'!E65),0)</f>
        <v>0</v>
      </c>
      <c r="BR65" s="938">
        <f>ROUND(SUM(BP65:BQ65),0)</f>
        <v>7790138369</v>
      </c>
    </row>
    <row r="66" spans="2:70" ht="12.75">
      <c r="B66" s="925"/>
      <c r="C66" s="926"/>
      <c r="D66" s="927"/>
      <c r="E66" s="928"/>
      <c r="F66" s="928"/>
      <c r="G66" s="928"/>
      <c r="H66" s="927"/>
      <c r="I66" s="929"/>
      <c r="J66" s="929"/>
      <c r="K66" s="929"/>
      <c r="L66" s="929"/>
      <c r="M66" s="930"/>
      <c r="N66" s="931"/>
      <c r="O66" s="931"/>
      <c r="P66" s="931"/>
      <c r="Q66" s="932"/>
      <c r="R66" s="898"/>
      <c r="S66" s="850"/>
      <c r="T66" s="850"/>
      <c r="U66" s="850"/>
      <c r="V66" s="850"/>
      <c r="W66" s="850"/>
      <c r="X66" s="947" t="s">
        <v>2227</v>
      </c>
      <c r="Y66" s="933"/>
      <c r="Z66" s="934"/>
      <c r="AA66" s="934"/>
      <c r="AB66" s="934"/>
      <c r="AC66" s="934"/>
      <c r="AD66" s="930"/>
      <c r="AE66" s="934"/>
      <c r="AF66" s="934"/>
      <c r="AG66" s="934"/>
      <c r="AH66" s="934"/>
      <c r="AI66" s="930"/>
      <c r="AJ66" s="934"/>
      <c r="AK66" s="934"/>
      <c r="AL66" s="934"/>
      <c r="AM66" s="930"/>
      <c r="AN66" s="935"/>
      <c r="AO66" s="935"/>
      <c r="AP66" s="935"/>
      <c r="AQ66" s="930"/>
      <c r="AR66" s="934"/>
      <c r="AS66" s="934"/>
      <c r="AT66" s="934"/>
      <c r="AU66" s="930"/>
      <c r="AV66" s="909"/>
      <c r="AW66" s="909"/>
      <c r="AX66" s="909"/>
      <c r="AY66" s="920"/>
      <c r="AZ66" s="936"/>
      <c r="BA66" s="936"/>
      <c r="BB66" s="936"/>
      <c r="BC66" s="937"/>
      <c r="BD66" s="936"/>
      <c r="BE66" s="936"/>
      <c r="BF66" s="936"/>
      <c r="BG66" s="937"/>
      <c r="BH66" s="936"/>
      <c r="BI66" s="936"/>
      <c r="BJ66" s="936"/>
      <c r="BK66" s="937"/>
      <c r="BL66" s="936"/>
      <c r="BM66" s="936"/>
      <c r="BN66" s="936"/>
      <c r="BO66" s="937"/>
      <c r="BP66" s="938"/>
      <c r="BQ66" s="938"/>
      <c r="BR66" s="938"/>
    </row>
    <row r="67" spans="2:70" s="1" customFormat="1" ht="12.75">
      <c r="B67" s="293"/>
      <c r="C67" s="294"/>
      <c r="D67" s="295"/>
      <c r="E67" s="75"/>
      <c r="F67" s="75" t="s">
        <v>2270</v>
      </c>
      <c r="G67" s="75"/>
      <c r="H67" s="295"/>
      <c r="I67" s="68">
        <f>SUM(I68:I71)</f>
        <v>4147634026</v>
      </c>
      <c r="J67" s="68">
        <f>SUM(J68:J71)</f>
        <v>-38144370</v>
      </c>
      <c r="K67" s="68">
        <f>SUM(K68:K71)</f>
        <v>0</v>
      </c>
      <c r="L67" s="68">
        <f>SUM(L68:L71)</f>
        <v>4109489656</v>
      </c>
      <c r="M67" s="296"/>
      <c r="N67" s="69">
        <f>SUM(N68:N71)</f>
        <v>6227083581</v>
      </c>
      <c r="O67" s="69">
        <f>SUM(O68:O71)</f>
        <v>-1372121765</v>
      </c>
      <c r="P67" s="69">
        <f>SUM(P68:P71)</f>
        <v>-609770277</v>
      </c>
      <c r="Q67" s="70">
        <f>SUM(Q68:Q71)</f>
        <v>4245191539</v>
      </c>
      <c r="R67" s="298"/>
      <c r="S67" s="175">
        <f>L67-Q67</f>
        <v>-135701883</v>
      </c>
      <c r="T67" s="176">
        <f>IFERROR(S67/Q67,"To check")</f>
        <v>-3.196602126272164E-2</v>
      </c>
      <c r="X67" s="947"/>
      <c r="Y67" s="304"/>
      <c r="Z67" s="235">
        <f>SUM(Z68:Z71)</f>
        <v>12681149</v>
      </c>
      <c r="AA67" s="235">
        <f>SUM(AA68:AA71)</f>
        <v>0</v>
      </c>
      <c r="AB67" s="235">
        <f>SUM(AB68:AB71)</f>
        <v>0</v>
      </c>
      <c r="AC67" s="235">
        <f>SUM(AC68:AC71)</f>
        <v>12681149</v>
      </c>
      <c r="AD67" s="236"/>
      <c r="AE67" s="235">
        <f>SUM(AE68:AE71)</f>
        <v>3606089076</v>
      </c>
      <c r="AF67" s="235">
        <f>SUM(AF68:AF71)</f>
        <v>0</v>
      </c>
      <c r="AG67" s="235">
        <f>SUM(AG68:AG71)</f>
        <v>16972855</v>
      </c>
      <c r="AH67" s="235">
        <f>SUM(AH68:AH71)</f>
        <v>3623061931</v>
      </c>
      <c r="AI67" s="236"/>
      <c r="AJ67" s="235">
        <f>SUM(AJ68:AJ71)</f>
        <v>198100</v>
      </c>
      <c r="AK67" s="235">
        <f>SUM(AK68:AK71)</f>
        <v>0</v>
      </c>
      <c r="AL67" s="235">
        <f>SUM(AL68:AL71)</f>
        <v>198100</v>
      </c>
      <c r="AM67" s="236"/>
      <c r="AN67" s="237">
        <f>SUM(AN68:AN71)</f>
        <v>3636417873</v>
      </c>
      <c r="AO67" s="237">
        <f>SUM(AO68:AO71)</f>
        <v>0</v>
      </c>
      <c r="AP67" s="237">
        <f>SUM(AP68:AP71)</f>
        <v>3636417873</v>
      </c>
      <c r="AQ67" s="236"/>
      <c r="AR67" s="235">
        <f>SUM(AR68:AR71)</f>
        <v>674793</v>
      </c>
      <c r="AS67" s="235">
        <f>SUM(AS68:AS71)</f>
        <v>0</v>
      </c>
      <c r="AT67" s="235">
        <f>SUM(AT68:AT71)</f>
        <v>674793</v>
      </c>
      <c r="AU67" s="236"/>
      <c r="AV67" s="238">
        <f>SUM(AV68:AV71)</f>
        <v>7746105629</v>
      </c>
      <c r="AW67" s="238">
        <f>SUM(AW68:AW71)</f>
        <v>0</v>
      </c>
      <c r="AX67" s="238">
        <f>SUM(AX68:AX71)</f>
        <v>7746105629</v>
      </c>
      <c r="AY67" s="614"/>
      <c r="AZ67" s="235">
        <f>SUM(AZ68:AZ71)</f>
        <v>23890253</v>
      </c>
      <c r="BA67" s="235">
        <f>SUM(BA68:BA71)</f>
        <v>0</v>
      </c>
      <c r="BB67" s="235">
        <f>SUM(BB68:BB71)</f>
        <v>23890253</v>
      </c>
      <c r="BC67" s="236"/>
      <c r="BD67" s="235">
        <f>SUM(BD68:BD71)</f>
        <v>0</v>
      </c>
      <c r="BE67" s="235">
        <f>SUM(BE68:BE71)</f>
        <v>0</v>
      </c>
      <c r="BF67" s="235">
        <f>SUM(BF68:BF71)</f>
        <v>0</v>
      </c>
      <c r="BG67" s="236"/>
      <c r="BH67" s="235">
        <f>SUM(BH68:BH71)</f>
        <v>434320</v>
      </c>
      <c r="BI67" s="235">
        <f>SUM(BI68:BI71)</f>
        <v>0</v>
      </c>
      <c r="BJ67" s="235">
        <f>SUM(BJ68:BJ71)</f>
        <v>434320</v>
      </c>
      <c r="BK67" s="236"/>
      <c r="BL67" s="235">
        <f>SUM(BL68:BL71)</f>
        <v>198100</v>
      </c>
      <c r="BM67" s="235">
        <f>SUM(BM68:BM71)</f>
        <v>0</v>
      </c>
      <c r="BN67" s="235">
        <f>SUM(BN68:BN71)</f>
        <v>198100</v>
      </c>
      <c r="BO67" s="236"/>
      <c r="BP67" s="443">
        <f>SUM(BP68:BP71)</f>
        <v>6419074856</v>
      </c>
      <c r="BQ67" s="443">
        <f>SUM(BQ68:BQ71)</f>
        <v>0</v>
      </c>
      <c r="BR67" s="443">
        <f>SUM(BR68:BR71)</f>
        <v>6419074856</v>
      </c>
    </row>
    <row r="68" spans="2:70" ht="12.75">
      <c r="B68" s="939">
        <v>151</v>
      </c>
      <c r="C68" s="940" t="s">
        <v>2271</v>
      </c>
      <c r="D68" s="941" t="s">
        <v>2271</v>
      </c>
      <c r="E68" s="956" t="s">
        <v>114</v>
      </c>
      <c r="F68" s="928" t="s">
        <v>2272</v>
      </c>
      <c r="G68" s="927" t="s">
        <v>2254</v>
      </c>
      <c r="H68" s="927" t="s">
        <v>2188</v>
      </c>
      <c r="I68" s="942">
        <f>SUMIFS('TB.CTy Me.FY2024'!I:I,'TB.CTy Me.FY2024'!A:A,'A0.LS'!E68)</f>
        <v>0</v>
      </c>
      <c r="J68" s="942">
        <f>ROUND(SUMIFS('A5.FY24'!K:K,'A5.FY24'!E:E,'A0.LS'!E68,'A5.FY24'!L:L,"Finhay",'A5.FY24'!M:M,"Posted"),0)</f>
        <v>0</v>
      </c>
      <c r="K68" s="942">
        <f>ROUND(SUMIFS('A5.FY24'!K:K,'A5.FY24'!E:E,'A0.LS'!E68,'A5.FY24'!L:L,"EY",'A5.FY24'!M:M,"Posted"),0)</f>
        <v>0</v>
      </c>
      <c r="L68" s="943">
        <f>ROUND(SUM(I68:K68),0)</f>
        <v>0</v>
      </c>
      <c r="M68" s="930"/>
      <c r="N68" s="944">
        <f>SUMIFS('TB.CTM.YE23'!I:I,'TB.CTM.YE23'!A:A,'A0.LS'!E68)</f>
        <v>453276412</v>
      </c>
      <c r="O68" s="944">
        <v>0</v>
      </c>
      <c r="P68" s="944">
        <v>-415877392</v>
      </c>
      <c r="Q68" s="945">
        <f>ROUND(SUM(N68:P68),0)</f>
        <v>37399020</v>
      </c>
      <c r="R68" s="898"/>
      <c r="S68" s="848">
        <f>L68-Q68</f>
        <v>-37399020</v>
      </c>
      <c r="T68" s="946">
        <f>IFERROR(S68/Q68,"To check")</f>
        <v>-1</v>
      </c>
      <c r="U68" s="850" t="s">
        <v>2273</v>
      </c>
      <c r="V68" s="850" t="s">
        <v>2266</v>
      </c>
      <c r="W68" s="850"/>
      <c r="X68" s="947" t="s">
        <v>2227</v>
      </c>
      <c r="Y68" s="947" t="s">
        <v>2254</v>
      </c>
      <c r="Z68" s="936">
        <f>ROUND(SUMIFS('TB.Cty Con.FY24'!I:I,'TB.Cty Con.FY24'!A:A,'A0.LS'!E68),0)</f>
        <v>0</v>
      </c>
      <c r="AA68" s="936">
        <f>ROUND(SUMIFS('A5.CTC FY24'!K:K,'A5.CTC FY24'!E:E,'A0.LS'!E68,'A5.CTC FY24'!A:A,'A0.LS'!$AA$5,'A5.CTC FY24'!L:L,"Finhay",'A5.CTC FY24'!M:M,"Posted"),0)</f>
        <v>0</v>
      </c>
      <c r="AB68" s="936">
        <f>ROUND(SUMIFS('A5.CTC FY24'!K:K,'A5.CTC FY24'!E:E,'A0.LS'!E68,'A5.CTC FY24'!A:A,'A0.LS'!$AB$5,'A5.CTC FY24'!L:L,"EY",'A5.CTC FY24'!M:M,"Posted"),0)</f>
        <v>0</v>
      </c>
      <c r="AC68" s="948">
        <f>ROUND(SUM(Z68:AB68),0)</f>
        <v>0</v>
      </c>
      <c r="AD68" s="930"/>
      <c r="AE68" s="936">
        <f>ROUND(SUMIFS('TB VNSC FY24'!M:M,'TB VNSC FY24'!N:N,'A0.LS'!E68),0)</f>
        <v>6031305</v>
      </c>
      <c r="AF68" s="936">
        <f>SUMIFS('A5.CTC FY24'!K:K,'A5.CTC FY24'!E:E,'A0.LS'!E68,'A5.CTC FY24'!A:A,"VNSC",'A5.CTC FY24'!L:L,"VNSC",'A5.CTC FY24'!M:M,"Posted")</f>
        <v>0</v>
      </c>
      <c r="AG68" s="936">
        <f>ROUND(SUMIFS('A5.CTC FY24'!K:K,'A5.CTC FY24'!E:E,'A0.LS'!E68,'A5.CTC FY24'!A:A,"VNSC",'A5.CTC FY24'!L:L,"EY",'A5.CTC FY24'!M:M,"Posted"),0)</f>
        <v>0</v>
      </c>
      <c r="AH68" s="936">
        <f>ROUND(SUM(AE68:AG68),0)</f>
        <v>6031305</v>
      </c>
      <c r="AI68" s="930"/>
      <c r="AJ68" s="936">
        <f>SUMIFS('TB.KCG.FY24'!I:I,'TB.KCG.FY24'!A:A,'A0.LS'!E68)</f>
        <v>0</v>
      </c>
      <c r="AK68" s="936">
        <f>ROUND(SUMIFS('A5.CTC FY24'!K:K,'A5.CTC FY24'!E:E,'A0.LS'!E68,'A5.CTC FY24'!A:A,'A0.LS'!$AK$5,'A5.CTC FY24'!L:L,"EY",'A5.CTC FY24'!M:M,"Posted"),0)</f>
        <v>0</v>
      </c>
      <c r="AL68" s="948">
        <f>ROUND(SUM(AJ68:AK68),0)</f>
        <v>0</v>
      </c>
      <c r="AM68" s="930"/>
      <c r="AN68" s="949">
        <f>ROUND(SUM(AT68,AH68,AC68),0)</f>
        <v>6031305</v>
      </c>
      <c r="AO68" s="950">
        <f>ROUND(SUMIFS('A5.Consol FY24'!L:L,'A5.Consol FY24'!M:M,"EY",'A5.Consol FY24'!N:N,"Posted",'A5.Consol FY24'!B:B,'A0.LS'!$AO$5,'A5.Consol FY24'!F:F,'A0.LS'!E68),0)</f>
        <v>0</v>
      </c>
      <c r="AP68" s="949">
        <f>ROUND(SUM(AN68:AO68),0)</f>
        <v>6031305</v>
      </c>
      <c r="AQ68" s="930"/>
      <c r="AR68" s="936">
        <f>ROUND(SUMIFS('TB.XH.FY24'!I:I,'TB.XH.FY24'!J:J,'A0.LS'!E68),0)</f>
        <v>0</v>
      </c>
      <c r="AS68" s="936">
        <f>ROUND(SUMIFS('A5.CTC FY24'!K:K,'A5.CTC FY24'!E:E,'A0.LS'!E68,'A5.CTC FY24'!A:A,'A0.LS'!$AS$5,'A5.CTC FY24'!L:L,"EY",'A5.CTC FY24'!M:M,"Posted"),0)</f>
        <v>0</v>
      </c>
      <c r="AT68" s="948">
        <f>ROUND(SUM(AR68:AS68),0)</f>
        <v>0</v>
      </c>
      <c r="AU68" s="930"/>
      <c r="AV68" s="951">
        <f>ROUND(SUM(AP68,AL68,L68),0)</f>
        <v>6031305</v>
      </c>
      <c r="AW68" s="952">
        <f>SUMIFS('A5.Consol FY24'!L:L,'A5.Consol FY24'!B:B,'A0.LS'!$AW$5,'A5.Consol FY24'!M:M,"EY",'A5.Consol FY24'!N:N,"Posted",'A5.Consol FY24'!F:F,'A0.LS'!E68)</f>
        <v>0</v>
      </c>
      <c r="AX68" s="951">
        <f>ROUND(SUM(AV68:AW68),0)</f>
        <v>6031305</v>
      </c>
      <c r="AY68" s="920"/>
      <c r="AZ68" s="936">
        <f>SUMIFS('TB.CTC.YE22'!Q:Q,'TB.CTC.YE22'!A:A,'A0.LS'!E68)</f>
        <v>0</v>
      </c>
      <c r="BA68" s="936">
        <f>ROUND(SUMIFS('A5.YE22'!J:J,'A5.YE22'!K:K,'A0.LS'!$BA$5,'A5.YE22'!L:L,"Posted",'A5.YE22'!D:D,'A0.LS'!E68),0)</f>
        <v>0</v>
      </c>
      <c r="BB68" s="936">
        <f>ROUND(SUM(AZ68:BA68),0)</f>
        <v>0</v>
      </c>
      <c r="BC68" s="937"/>
      <c r="BD68" s="936">
        <f>ROUND(SUMIFS('TB.VNSC.YE22'!L:L,'TB.VNSC.YE22'!A:A,'A0.LS'!E68),0)</f>
        <v>0</v>
      </c>
      <c r="BE68" s="936">
        <f>ROUND(SUMIFS('A5.YE22'!J:J,'A5.YE22'!K:K,'A0.LS'!$BE$5,'A5.YE22'!L:L,"Posted",'A5.YE22'!D:D,'A0.LS'!E68),0)</f>
        <v>0</v>
      </c>
      <c r="BF68" s="936">
        <f>ROUND(SUM(BD68:BE68),0)</f>
        <v>0</v>
      </c>
      <c r="BG68" s="937"/>
      <c r="BH68" s="936">
        <f>ROUND(SUMIFS('TB.XH.YE22'!P:P,'TB.XH.YE22'!A:A,'A0.LS'!E68),0)</f>
        <v>0</v>
      </c>
      <c r="BI68" s="936">
        <f>ROUND(SUMIFS('A5.YE22'!J:J,'A5.YE22'!K:K,"XH",'A5.YE22'!L:L,"Posted",'A5.YE22'!D:D,'A0.LS'!E68),0)</f>
        <v>0</v>
      </c>
      <c r="BJ68" s="936">
        <f>ROUND(SUM(BH68:BI68),0)</f>
        <v>0</v>
      </c>
      <c r="BK68" s="937"/>
      <c r="BL68" s="936">
        <f>ROUND(SUMIFS('TB.KCG.YE22'!P:P,'TB.KCG.YE22'!A:A,'A0.LS'!E68),0)</f>
        <v>0</v>
      </c>
      <c r="BM68" s="936">
        <f>ROUND(SUMIFS('A5.YE22'!J:J,'A5.YE22'!K:K,'A0.LS'!$BM$5,'A5.YE22'!L:L,"Posted",'A5.YE22'!D:D,'A0.LS'!E68),0)</f>
        <v>0</v>
      </c>
      <c r="BN68" s="936">
        <f>ROUND(SUM(BL68:BM68),0)</f>
        <v>0</v>
      </c>
      <c r="BO68" s="937"/>
      <c r="BP68" s="938">
        <v>49323493</v>
      </c>
      <c r="BQ68" s="938">
        <f>ROUND(SUMIFS('A5.YE22'!J:J,'A5.YE22'!K:K,'A0.LS'!$BQ$5,'A5.YE22'!L:L,"Posted",'A5.YE22'!D:D,'A0.LS'!E68),0)</f>
        <v>0</v>
      </c>
      <c r="BR68" s="938">
        <f>ROUND(SUM(BP68:BQ68),0)</f>
        <v>49323493</v>
      </c>
    </row>
    <row r="69" spans="2:70" ht="12.75">
      <c r="B69" s="939">
        <v>151</v>
      </c>
      <c r="C69" s="940" t="s">
        <v>2274</v>
      </c>
      <c r="D69" s="941" t="s">
        <v>2274</v>
      </c>
      <c r="E69" s="928" t="s">
        <v>117</v>
      </c>
      <c r="F69" s="928" t="s">
        <v>2275</v>
      </c>
      <c r="G69" s="927" t="s">
        <v>2254</v>
      </c>
      <c r="H69" s="927" t="s">
        <v>2188</v>
      </c>
      <c r="I69" s="942">
        <f>SUMIFS('TB.CTy Me.FY2024'!I:I,'TB.CTy Me.FY2024'!A:A,'A0.LS'!E69)</f>
        <v>237534109</v>
      </c>
      <c r="J69" s="942">
        <f>ROUND(SUMIFS('A5.FY24'!K:K,'A5.FY24'!E:E,'A0.LS'!E69,'A5.FY24'!L:L,"Finhay",'A5.FY24'!M:M,"Posted"),0)</f>
        <v>-36000000</v>
      </c>
      <c r="K69" s="942">
        <f>ROUND(SUMIFS('A5.FY24'!K:K,'A5.FY24'!E:E,'A0.LS'!E69,'A5.FY24'!L:L,"EY",'A5.FY24'!M:M,"Posted"),0)</f>
        <v>0</v>
      </c>
      <c r="L69" s="943">
        <f>ROUND(SUM(I69:K69),0)</f>
        <v>201534109</v>
      </c>
      <c r="M69" s="930"/>
      <c r="N69" s="944">
        <f>SUMIFS('TB.CTM.YE23'!I:I,'TB.CTM.YE23'!A:A,'A0.LS'!E69)</f>
        <v>243521851</v>
      </c>
      <c r="O69" s="944">
        <v>0</v>
      </c>
      <c r="P69" s="944">
        <v>81368149</v>
      </c>
      <c r="Q69" s="945">
        <f>ROUND(SUM(N69:P69),0)</f>
        <v>324890000</v>
      </c>
      <c r="R69" s="898"/>
      <c r="S69" s="848">
        <f>L69-Q69</f>
        <v>-123355891</v>
      </c>
      <c r="T69" s="946">
        <f>IFERROR(S69/Q69,"To check")</f>
        <v>-0.37968509649419802</v>
      </c>
      <c r="U69" s="850"/>
      <c r="V69" s="850" t="s">
        <v>2266</v>
      </c>
      <c r="W69" s="850"/>
      <c r="X69" s="933"/>
      <c r="Y69" s="947" t="s">
        <v>2254</v>
      </c>
      <c r="Z69" s="936">
        <f>ROUND(SUMIFS('TB.Cty Con.FY24'!I:I,'TB.Cty Con.FY24'!A:A,'A0.LS'!E69),0)</f>
        <v>5720000</v>
      </c>
      <c r="AA69" s="936">
        <f>ROUND(SUMIFS('A5.CTC FY24'!K:K,'A5.CTC FY24'!E:E,'A0.LS'!E69,'A5.CTC FY24'!A:A,'A0.LS'!$AA$5,'A5.CTC FY24'!L:L,"Finhay",'A5.CTC FY24'!M:M,"Posted"),0)</f>
        <v>0</v>
      </c>
      <c r="AB69" s="936">
        <f>ROUND(SUMIFS('A5.CTC FY24'!K:K,'A5.CTC FY24'!E:E,'A0.LS'!E69,'A5.CTC FY24'!A:A,'A0.LS'!$AB$5,'A5.CTC FY24'!L:L,"EY",'A5.CTC FY24'!M:M,"Posted"),0)</f>
        <v>0</v>
      </c>
      <c r="AC69" s="948">
        <f>ROUND(SUM(Z69:AB69),0)</f>
        <v>5720000</v>
      </c>
      <c r="AD69" s="930"/>
      <c r="AE69" s="936">
        <f>ROUND(SUMIFS('TB VNSC FY24'!M:M,'TB VNSC FY24'!N:N,'A0.LS'!E69),0)</f>
        <v>3600057771</v>
      </c>
      <c r="AF69" s="936">
        <f>SUMIFS('A5.CTC FY24'!K:K,'A5.CTC FY24'!E:E,'A0.LS'!E69,'A5.CTC FY24'!A:A,"VNSC",'A5.CTC FY24'!L:L,"VNSC",'A5.CTC FY24'!M:M,"Posted")</f>
        <v>0</v>
      </c>
      <c r="AG69" s="936">
        <f>ROUND(SUMIFS('A5.CTC FY24'!K:K,'A5.CTC FY24'!E:E,'A0.LS'!E69,'A5.CTC FY24'!A:A,"VNSC",'A5.CTC FY24'!L:L,"EY",'A5.CTC FY24'!M:M,"Posted"),0)</f>
        <v>16972855</v>
      </c>
      <c r="AH69" s="936">
        <f>ROUND(SUM(AE69:AG69),0)</f>
        <v>3617030626</v>
      </c>
      <c r="AI69" s="930"/>
      <c r="AJ69" s="936">
        <f>SUMIFS('TB.KCG.FY24'!I:I,'TB.KCG.FY24'!A:A,'A0.LS'!E69)</f>
        <v>0</v>
      </c>
      <c r="AK69" s="936">
        <f>ROUND(SUMIFS('A5.CTC FY24'!K:K,'A5.CTC FY24'!E:E,'A0.LS'!E69,'A5.CTC FY24'!A:A,'A0.LS'!$AK$5,'A5.CTC FY24'!L:L,"EY",'A5.CTC FY24'!M:M,"Posted"),0)</f>
        <v>0</v>
      </c>
      <c r="AL69" s="948">
        <f>ROUND(SUM(AJ69:AK69),0)</f>
        <v>0</v>
      </c>
      <c r="AM69" s="930"/>
      <c r="AN69" s="949">
        <f>ROUND(SUM(AT69,AH69,AC69),0)</f>
        <v>3622750626</v>
      </c>
      <c r="AO69" s="950">
        <f>ROUND(SUMIFS('A5.Consol FY24'!L:L,'A5.Consol FY24'!M:M,"EY",'A5.Consol FY24'!N:N,"Posted",'A5.Consol FY24'!B:B,'A0.LS'!$AO$5,'A5.Consol FY24'!F:F,'A0.LS'!E69),0)</f>
        <v>0</v>
      </c>
      <c r="AP69" s="949">
        <f>ROUND(SUM(AN69:AO69),0)</f>
        <v>3622750626</v>
      </c>
      <c r="AQ69" s="930"/>
      <c r="AR69" s="936">
        <f>ROUND(SUMIFS('TB.XH.FY24'!I:I,'TB.XH.FY24'!J:J,'A0.LS'!E69),0)</f>
        <v>0</v>
      </c>
      <c r="AS69" s="936">
        <f>ROUND(SUMIFS('A5.CTC FY24'!K:K,'A5.CTC FY24'!E:E,'A0.LS'!E69,'A5.CTC FY24'!A:A,'A0.LS'!$AS$5,'A5.CTC FY24'!L:L,"EY",'A5.CTC FY24'!M:M,"Posted"),0)</f>
        <v>0</v>
      </c>
      <c r="AT69" s="948">
        <f>ROUND(SUM(AR69:AS69),0)</f>
        <v>0</v>
      </c>
      <c r="AU69" s="930"/>
      <c r="AV69" s="951">
        <f>ROUND(SUM(AP69,AL69,L69),0)</f>
        <v>3824284735</v>
      </c>
      <c r="AW69" s="952">
        <f>SUMIFS('A5.Consol FY24'!L:L,'A5.Consol FY24'!B:B,'A0.LS'!$AW$5,'A5.Consol FY24'!M:M,"EY",'A5.Consol FY24'!N:N,"Posted",'A5.Consol FY24'!F:F,'A0.LS'!E69)</f>
        <v>0</v>
      </c>
      <c r="AX69" s="951">
        <f>ROUND(SUM(AV69:AW69),0)</f>
        <v>3824284735</v>
      </c>
      <c r="AY69" s="920"/>
      <c r="AZ69" s="936">
        <f>SUMIFS('TB.CTC.YE22'!Q:Q,'TB.CTC.YE22'!A:A,'A0.LS'!E69)</f>
        <v>16929104</v>
      </c>
      <c r="BA69" s="936">
        <f>ROUND(SUMIFS('A5.YE22'!J:J,'A5.YE22'!K:K,'A0.LS'!$BA$5,'A5.YE22'!L:L,"Posted",'A5.YE22'!D:D,'A0.LS'!E69),0)</f>
        <v>0</v>
      </c>
      <c r="BB69" s="936">
        <f>ROUND(SUM(AZ69:BA69),0)</f>
        <v>16929104</v>
      </c>
      <c r="BC69" s="937"/>
      <c r="BD69" s="936">
        <f>ROUND(SUMIFS('TB.VNSC.YE22'!L:L,'TB.VNSC.YE22'!A:A,'A0.LS'!E69),0)</f>
        <v>0</v>
      </c>
      <c r="BE69" s="936">
        <f>ROUND(SUMIFS('A5.YE22'!J:J,'A5.YE22'!K:K,'A0.LS'!$BE$5,'A5.YE22'!L:L,"Posted",'A5.YE22'!D:D,'A0.LS'!E69),0)</f>
        <v>0</v>
      </c>
      <c r="BF69" s="936">
        <f>ROUND(SUM(BD69:BE69),0)</f>
        <v>0</v>
      </c>
      <c r="BG69" s="937"/>
      <c r="BH69" s="936">
        <f>ROUND(SUMIFS('TB.XH.YE22'!P:P,'TB.XH.YE22'!A:A,'A0.LS'!E69),0)</f>
        <v>0</v>
      </c>
      <c r="BI69" s="936">
        <f>ROUND(SUMIFS('A5.YE22'!J:J,'A5.YE22'!K:K,"XH",'A5.YE22'!L:L,"Posted",'A5.YE22'!D:D,'A0.LS'!E69),0)</f>
        <v>0</v>
      </c>
      <c r="BJ69" s="936">
        <f>ROUND(SUM(BH69:BI69),0)</f>
        <v>0</v>
      </c>
      <c r="BK69" s="937"/>
      <c r="BL69" s="936">
        <f>ROUND(SUMIFS('TB.KCG.YE22'!P:P,'TB.KCG.YE22'!A:A,'A0.LS'!E69),0)</f>
        <v>0</v>
      </c>
      <c r="BM69" s="936">
        <f>ROUND(SUMIFS('A5.YE22'!J:J,'A5.YE22'!K:K,'A0.LS'!$BM$5,'A5.YE22'!L:L,"Posted",'A5.YE22'!D:D,'A0.LS'!E69),0)</f>
        <v>0</v>
      </c>
      <c r="BN69" s="936">
        <f>ROUND(SUM(BL69:BM69),0)</f>
        <v>0</v>
      </c>
      <c r="BO69" s="937"/>
      <c r="BP69" s="938">
        <v>2479009385</v>
      </c>
      <c r="BQ69" s="938">
        <f>ROUND(SUMIFS('A5.YE22'!J:J,'A5.YE22'!K:K,'A0.LS'!$BQ$5,'A5.YE22'!L:L,"Posted",'A5.YE22'!D:D,'A0.LS'!E69),0)</f>
        <v>0</v>
      </c>
      <c r="BR69" s="938">
        <f>ROUND(SUM(BP69:BQ69),0)</f>
        <v>2479009385</v>
      </c>
    </row>
    <row r="70" spans="2:70" ht="12.75">
      <c r="B70" s="939">
        <v>152</v>
      </c>
      <c r="C70" s="940" t="s">
        <v>2276</v>
      </c>
      <c r="D70" s="941" t="s">
        <v>2276</v>
      </c>
      <c r="E70" s="928" t="s">
        <v>51</v>
      </c>
      <c r="F70" s="928" t="s">
        <v>52</v>
      </c>
      <c r="G70" s="927" t="s">
        <v>2277</v>
      </c>
      <c r="H70" s="927" t="s">
        <v>2222</v>
      </c>
      <c r="I70" s="942">
        <f>SUMIFS('TB.CTy Me.FY2024'!I:I,'TB.CTy Me.FY2024'!A:A,'A0.LS'!E70)</f>
        <v>3910099917</v>
      </c>
      <c r="J70" s="942">
        <f>ROUND(SUMIFS('A5.FY24'!K:K,'A5.FY24'!E:E,'A0.LS'!E70,'A5.FY24'!L:L,"Finhay",'A5.FY24'!M:M,"Posted"),0)</f>
        <v>-2144370</v>
      </c>
      <c r="K70" s="942">
        <f>ROUND(SUMIFS('A5.FY24'!K:K,'A5.FY24'!E:E,'A0.LS'!E70,'A5.FY24'!L:L,"EY",'A5.FY24'!M:M,"Posted"),0)</f>
        <v>0</v>
      </c>
      <c r="L70" s="943">
        <f>ROUND(SUM(I70:K70),0)</f>
        <v>3907955547</v>
      </c>
      <c r="M70" s="930"/>
      <c r="N70" s="944">
        <f>SUMIFS('TB.CTM.YE23'!I:I,'TB.CTM.YE23'!A:A,'A0.LS'!E70)</f>
        <v>5505390800</v>
      </c>
      <c r="O70" s="944">
        <v>-1372121765</v>
      </c>
      <c r="P70" s="944">
        <v>-275261034</v>
      </c>
      <c r="Q70" s="945">
        <f>ROUND(SUM(N70:P70),0)</f>
        <v>3858008001</v>
      </c>
      <c r="R70" s="898"/>
      <c r="S70" s="848">
        <f>L70-Q70</f>
        <v>49947546</v>
      </c>
      <c r="T70" s="946">
        <f>IFERROR(S70/Q70,"To check")</f>
        <v>1.2946459931408525E-2</v>
      </c>
      <c r="U70" s="850"/>
      <c r="V70" s="850" t="s">
        <v>2231</v>
      </c>
      <c r="W70" s="850"/>
      <c r="X70" s="304"/>
      <c r="Y70" s="947" t="s">
        <v>2277</v>
      </c>
      <c r="Z70" s="936">
        <f>ROUND(SUMIFS('TB.Cty Con.FY24'!I:I,'TB.Cty Con.FY24'!A:A,'A0.LS'!E70),0)</f>
        <v>6961149</v>
      </c>
      <c r="AA70" s="936">
        <f>ROUND(SUMIFS('A5.CTC FY24'!K:K,'A5.CTC FY24'!E:E,'A0.LS'!E70,'A5.CTC FY24'!A:A,'A0.LS'!$AA$5,'A5.CTC FY24'!L:L,"Finhay",'A5.CTC FY24'!M:M,"Posted"),0)</f>
        <v>0</v>
      </c>
      <c r="AB70" s="936">
        <f>ROUND(SUMIFS('A5.CTC FY24'!K:K,'A5.CTC FY24'!E:E,'A0.LS'!E70,'A5.CTC FY24'!A:A,'A0.LS'!$AB$5,'A5.CTC FY24'!L:L,"EY",'A5.CTC FY24'!M:M,"Posted"),0)</f>
        <v>0</v>
      </c>
      <c r="AC70" s="948">
        <f>ROUND(SUM(Z70:AB70),0)</f>
        <v>6961149</v>
      </c>
      <c r="AD70" s="930"/>
      <c r="AE70" s="936">
        <f>ROUND(SUMIFS('TB VNSC FY24'!M:M,'TB VNSC FY24'!N:N,'A0.LS'!E70),0)</f>
        <v>0</v>
      </c>
      <c r="AF70" s="936">
        <f>SUMIFS('A5.CTC FY24'!K:K,'A5.CTC FY24'!E:E,'A0.LS'!E70,'A5.CTC FY24'!A:A,"VNSC",'A5.CTC FY24'!L:L,"VNSC",'A5.CTC FY24'!M:M,"Posted")</f>
        <v>0</v>
      </c>
      <c r="AG70" s="936">
        <f>ROUND(SUMIFS('A5.CTC FY24'!K:K,'A5.CTC FY24'!E:E,'A0.LS'!E70,'A5.CTC FY24'!A:A,"VNSC",'A5.CTC FY24'!L:L,"EY",'A5.CTC FY24'!M:M,"Posted"),0)</f>
        <v>0</v>
      </c>
      <c r="AH70" s="936">
        <f>ROUND(SUM(AE70:AG70),0)</f>
        <v>0</v>
      </c>
      <c r="AI70" s="930"/>
      <c r="AJ70" s="936">
        <f>SUMIFS('TB.KCG.FY24'!I:I,'TB.KCG.FY24'!A:A,'A0.LS'!E70)</f>
        <v>198100</v>
      </c>
      <c r="AK70" s="936">
        <f>ROUND(SUMIFS('A5.CTC FY24'!K:K,'A5.CTC FY24'!E:E,'A0.LS'!E70,'A5.CTC FY24'!A:A,'A0.LS'!$AK$5,'A5.CTC FY24'!L:L,"EY",'A5.CTC FY24'!M:M,"Posted"),0)</f>
        <v>0</v>
      </c>
      <c r="AL70" s="948">
        <f>ROUND(SUM(AJ70:AK70),0)</f>
        <v>198100</v>
      </c>
      <c r="AM70" s="930"/>
      <c r="AN70" s="949">
        <f>ROUND(SUM(AT70,AH70,AC70),0)</f>
        <v>7635942</v>
      </c>
      <c r="AO70" s="950">
        <f>ROUND(SUMIFS('A5.Consol FY24'!L:L,'A5.Consol FY24'!M:M,"EY",'A5.Consol FY24'!N:N,"Posted",'A5.Consol FY24'!B:B,'A0.LS'!$AO$5,'A5.Consol FY24'!F:F,'A0.LS'!E70),0)</f>
        <v>0</v>
      </c>
      <c r="AP70" s="949">
        <f>ROUND(SUM(AN70:AO70),0)</f>
        <v>7635942</v>
      </c>
      <c r="AQ70" s="930"/>
      <c r="AR70" s="936">
        <f>ROUND(SUMIFS('TB.XH.FY24'!I:I,'TB.XH.FY24'!J:J,'A0.LS'!E70),0)</f>
        <v>674793</v>
      </c>
      <c r="AS70" s="936">
        <f>ROUND(SUMIFS('A5.CTC FY24'!K:K,'A5.CTC FY24'!E:E,'A0.LS'!E70,'A5.CTC FY24'!A:A,'A0.LS'!$AS$5,'A5.CTC FY24'!L:L,"EY",'A5.CTC FY24'!M:M,"Posted"),0)</f>
        <v>0</v>
      </c>
      <c r="AT70" s="948">
        <f>ROUND(SUM(AR70:AS70),0)</f>
        <v>674793</v>
      </c>
      <c r="AU70" s="930"/>
      <c r="AV70" s="951">
        <f>ROUND(SUM(AP70,AL70,L70),0)</f>
        <v>3915789589</v>
      </c>
      <c r="AW70" s="952">
        <f>SUMIFS('A5.Consol FY24'!L:L,'A5.Consol FY24'!B:B,'A0.LS'!$AW$5,'A5.Consol FY24'!M:M,"EY",'A5.Consol FY24'!N:N,"Posted",'A5.Consol FY24'!F:F,'A0.LS'!E70)</f>
        <v>0</v>
      </c>
      <c r="AX70" s="951">
        <f>ROUND(SUM(AV70:AW70),0)</f>
        <v>3915789589</v>
      </c>
      <c r="AY70" s="920"/>
      <c r="AZ70" s="936">
        <f>SUMIFS('TB.CTC.YE22'!Q:Q,'TB.CTC.YE22'!A:A,'A0.LS'!E70)</f>
        <v>6961149</v>
      </c>
      <c r="BA70" s="936">
        <f>ROUND(SUMIFS('A5.YE22'!J:J,'A5.YE22'!K:K,'A0.LS'!$BA$5,'A5.YE22'!L:L,"Posted",'A5.YE22'!D:D,'A0.LS'!E70),0)</f>
        <v>0</v>
      </c>
      <c r="BB70" s="936">
        <f>ROUND(SUM(AZ70:BA70),0)</f>
        <v>6961149</v>
      </c>
      <c r="BC70" s="937"/>
      <c r="BD70" s="936">
        <f>ROUND(SUMIFS('TB.VNSC.YE22'!L:L,'TB.VNSC.YE22'!A:A,'A0.LS'!E70),0)</f>
        <v>0</v>
      </c>
      <c r="BE70" s="936">
        <f>ROUND(SUMIFS('A5.YE22'!J:J,'A5.YE22'!K:K,'A0.LS'!$BE$5,'A5.YE22'!L:L,"Posted",'A5.YE22'!D:D,'A0.LS'!E70),0)</f>
        <v>0</v>
      </c>
      <c r="BF70" s="936">
        <f>ROUND(SUM(BD70:BE70),0)</f>
        <v>0</v>
      </c>
      <c r="BG70" s="937"/>
      <c r="BH70" s="936">
        <f>ROUND(SUMIFS('TB.XH.YE22'!P:P,'TB.XH.YE22'!A:A,'A0.LS'!E70),0)</f>
        <v>434320</v>
      </c>
      <c r="BI70" s="936">
        <f>ROUND(SUMIFS('A5.YE22'!J:J,'A5.YE22'!K:K,"XH",'A5.YE22'!L:L,"Posted",'A5.YE22'!D:D,'A0.LS'!E70),0)</f>
        <v>0</v>
      </c>
      <c r="BJ70" s="936">
        <f>ROUND(SUM(BH70:BI70),0)</f>
        <v>434320</v>
      </c>
      <c r="BK70" s="937"/>
      <c r="BL70" s="936">
        <f>ROUND(SUMIFS('TB.KCG.YE22'!P:P,'TB.KCG.YE22'!A:A,'A0.LS'!E70),0)</f>
        <v>198100</v>
      </c>
      <c r="BM70" s="936">
        <f>ROUND(SUMIFS('A5.YE22'!J:J,'A5.YE22'!K:K,'A0.LS'!$BM$5,'A5.YE22'!L:L,"Posted",'A5.YE22'!D:D,'A0.LS'!E70),0)</f>
        <v>0</v>
      </c>
      <c r="BN70" s="936">
        <f>ROUND(SUM(BL70:BM70),0)</f>
        <v>198100</v>
      </c>
      <c r="BO70" s="937"/>
      <c r="BP70" s="938">
        <v>3865847460</v>
      </c>
      <c r="BQ70" s="938">
        <f>ROUND(SUMIFS('A5.YE22'!J:J,'A5.YE22'!K:K,'A0.LS'!$BQ$5,'A5.YE22'!L:L,"Posted",'A5.YE22'!D:D,'A0.LS'!E70),0)</f>
        <v>0</v>
      </c>
      <c r="BR70" s="938">
        <f>ROUND(SUM(BP70:BQ70),0)</f>
        <v>3865847460</v>
      </c>
    </row>
    <row r="71" spans="2:70" ht="12.75">
      <c r="B71" s="939">
        <v>152</v>
      </c>
      <c r="C71" s="940" t="s">
        <v>2276</v>
      </c>
      <c r="D71" s="941" t="s">
        <v>2276</v>
      </c>
      <c r="E71" s="928" t="s">
        <v>53</v>
      </c>
      <c r="F71" s="928" t="s">
        <v>54</v>
      </c>
      <c r="G71" s="927" t="s">
        <v>2277</v>
      </c>
      <c r="H71" s="927" t="s">
        <v>2222</v>
      </c>
      <c r="I71" s="942">
        <f>SUMIFS('TB.CTy Me.FY2024'!I:I,'TB.CTy Me.FY2024'!A:A,'A0.LS'!E71)</f>
        <v>0</v>
      </c>
      <c r="J71" s="942">
        <f>ROUND(SUMIFS('A5.FY24'!K:K,'A5.FY24'!E:E,'A0.LS'!E71,'A5.FY24'!L:L,"Finhay",'A5.FY24'!M:M,"Posted"),0)</f>
        <v>0</v>
      </c>
      <c r="K71" s="942">
        <f>ROUND(SUMIFS('A5.FY24'!K:K,'A5.FY24'!E:E,'A0.LS'!E71,'A5.FY24'!L:L,"EY",'A5.FY24'!M:M,"Posted"),0)</f>
        <v>0</v>
      </c>
      <c r="L71" s="943">
        <f>ROUND(SUM(I71:K71),0)</f>
        <v>0</v>
      </c>
      <c r="M71" s="930"/>
      <c r="N71" s="944">
        <f>SUMIFS('TB.CTM.YE23'!I:I,'TB.CTM.YE23'!A:A,'A0.LS'!E71)</f>
        <v>24894518</v>
      </c>
      <c r="O71" s="944">
        <v>0</v>
      </c>
      <c r="P71" s="944">
        <v>0</v>
      </c>
      <c r="Q71" s="945">
        <f>ROUND(SUM(N71:P71),0)</f>
        <v>24894518</v>
      </c>
      <c r="R71" s="898"/>
      <c r="S71" s="848">
        <f>L71-Q71</f>
        <v>-24894518</v>
      </c>
      <c r="T71" s="946">
        <f>IFERROR(S71/Q71,"To check")</f>
        <v>-1</v>
      </c>
      <c r="U71" s="850"/>
      <c r="V71" s="850" t="e">
        <v>#N/A</v>
      </c>
      <c r="W71" s="850"/>
      <c r="X71" s="947" t="s">
        <v>2190</v>
      </c>
      <c r="Y71" s="947" t="s">
        <v>2277</v>
      </c>
      <c r="Z71" s="936">
        <f>ROUND(SUMIFS('TB.Cty Con.FY24'!I:I,'TB.Cty Con.FY24'!A:A,'A0.LS'!E71),0)</f>
        <v>0</v>
      </c>
      <c r="AA71" s="936">
        <f>ROUND(SUMIFS('A5.CTC FY24'!K:K,'A5.CTC FY24'!E:E,'A0.LS'!E71,'A5.CTC FY24'!A:A,'A0.LS'!$AA$5,'A5.CTC FY24'!L:L,"Finhay",'A5.CTC FY24'!M:M,"Posted"),0)</f>
        <v>0</v>
      </c>
      <c r="AB71" s="936">
        <f>ROUND(SUMIFS('A5.CTC FY24'!K:K,'A5.CTC FY24'!E:E,'A0.LS'!E71,'A5.CTC FY24'!A:A,'A0.LS'!$AB$5,'A5.CTC FY24'!L:L,"EY",'A5.CTC FY24'!M:M,"Posted"),0)</f>
        <v>0</v>
      </c>
      <c r="AC71" s="948">
        <f>ROUND(SUM(Z71:AB71),0)</f>
        <v>0</v>
      </c>
      <c r="AD71" s="930"/>
      <c r="AE71" s="936">
        <f>ROUND(SUMIFS('TB VNSC FY24'!M:M,'TB VNSC FY24'!N:N,'A0.LS'!E71),0)</f>
        <v>0</v>
      </c>
      <c r="AF71" s="936">
        <f>SUMIFS('A5.CTC FY24'!K:K,'A5.CTC FY24'!E:E,'A0.LS'!E71,'A5.CTC FY24'!A:A,"VNSC",'A5.CTC FY24'!L:L,"VNSC",'A5.CTC FY24'!M:M,"Posted")</f>
        <v>0</v>
      </c>
      <c r="AG71" s="936">
        <f>ROUND(SUMIFS('A5.CTC FY24'!K:K,'A5.CTC FY24'!E:E,'A0.LS'!E71,'A5.CTC FY24'!A:A,"VNSC",'A5.CTC FY24'!L:L,"EY",'A5.CTC FY24'!M:M,"Posted"),0)</f>
        <v>0</v>
      </c>
      <c r="AH71" s="936">
        <f>ROUND(SUM(AE71:AG71),0)</f>
        <v>0</v>
      </c>
      <c r="AI71" s="930"/>
      <c r="AJ71" s="936">
        <f>SUMIFS('TB.KCG.FY24'!I:I,'TB.KCG.FY24'!A:A,'A0.LS'!E71)</f>
        <v>0</v>
      </c>
      <c r="AK71" s="936">
        <f>ROUND(SUMIFS('A5.CTC FY24'!K:K,'A5.CTC FY24'!E:E,'A0.LS'!E71,'A5.CTC FY24'!A:A,'A0.LS'!$AK$5,'A5.CTC FY24'!L:L,"EY",'A5.CTC FY24'!M:M,"Posted"),0)</f>
        <v>0</v>
      </c>
      <c r="AL71" s="948">
        <f>ROUND(SUM(AJ71:AK71),0)</f>
        <v>0</v>
      </c>
      <c r="AM71" s="930"/>
      <c r="AN71" s="949">
        <f>ROUND(SUM(AT71,AH71,AC71),0)</f>
        <v>0</v>
      </c>
      <c r="AO71" s="950">
        <f>ROUND(SUMIFS('A5.Consol FY24'!L:L,'A5.Consol FY24'!M:M,"EY",'A5.Consol FY24'!N:N,"Posted",'A5.Consol FY24'!B:B,'A0.LS'!$AO$5,'A5.Consol FY24'!F:F,'A0.LS'!E71),0)</f>
        <v>0</v>
      </c>
      <c r="AP71" s="949">
        <f>ROUND(SUM(AN71:AO71),0)</f>
        <v>0</v>
      </c>
      <c r="AQ71" s="930"/>
      <c r="AR71" s="936">
        <f>ROUND(SUMIFS('TB.XH.FY24'!I:I,'TB.XH.FY24'!J:J,'A0.LS'!E71),0)</f>
        <v>0</v>
      </c>
      <c r="AS71" s="936">
        <f>ROUND(SUMIFS('A5.CTC FY24'!K:K,'A5.CTC FY24'!E:E,'A0.LS'!E71,'A5.CTC FY24'!A:A,'A0.LS'!$AS$5,'A5.CTC FY24'!L:L,"EY",'A5.CTC FY24'!M:M,"Posted"),0)</f>
        <v>0</v>
      </c>
      <c r="AT71" s="948">
        <f>ROUND(SUM(AR71:AS71),0)</f>
        <v>0</v>
      </c>
      <c r="AU71" s="930"/>
      <c r="AV71" s="951">
        <f>ROUND(SUM(AP71,AL71,L71),0)</f>
        <v>0</v>
      </c>
      <c r="AW71" s="952">
        <f>SUMIFS('A5.Consol FY24'!L:L,'A5.Consol FY24'!B:B,'A0.LS'!$AW$5,'A5.Consol FY24'!M:M,"EY",'A5.Consol FY24'!N:N,"Posted",'A5.Consol FY24'!F:F,'A0.LS'!E71)</f>
        <v>0</v>
      </c>
      <c r="AX71" s="951">
        <f>ROUND(SUM(AV71:AW71),0)</f>
        <v>0</v>
      </c>
      <c r="AY71" s="920"/>
      <c r="AZ71" s="936">
        <f>SUMIFS('TB.CTC.YE22'!Q:Q,'TB.CTC.YE22'!A:A,'A0.LS'!E71)</f>
        <v>0</v>
      </c>
      <c r="BA71" s="936">
        <f>ROUND(SUMIFS('A5.YE22'!J:J,'A5.YE22'!K:K,'A0.LS'!$BA$5,'A5.YE22'!L:L,"Posted",'A5.YE22'!D:D,'A0.LS'!E71),0)</f>
        <v>0</v>
      </c>
      <c r="BB71" s="936">
        <f>ROUND(SUM(AZ71:BA71),0)</f>
        <v>0</v>
      </c>
      <c r="BC71" s="937"/>
      <c r="BD71" s="936">
        <f>ROUND(SUMIFS('TB.VNSC.YE22'!L:L,'TB.VNSC.YE22'!A:A,'A0.LS'!E71),0)</f>
        <v>0</v>
      </c>
      <c r="BE71" s="936">
        <f>ROUND(SUMIFS('A5.YE22'!J:J,'A5.YE22'!K:K,'A0.LS'!$BE$5,'A5.YE22'!L:L,"Posted",'A5.YE22'!D:D,'A0.LS'!E71),0)</f>
        <v>0</v>
      </c>
      <c r="BF71" s="936">
        <f>ROUND(SUM(BD71:BE71),0)</f>
        <v>0</v>
      </c>
      <c r="BG71" s="937"/>
      <c r="BH71" s="936">
        <f>ROUND(SUMIFS('TB.XH.YE22'!P:P,'TB.XH.YE22'!A:A,'A0.LS'!E71),0)</f>
        <v>0</v>
      </c>
      <c r="BI71" s="936">
        <f>ROUND(SUMIFS('A5.YE22'!J:J,'A5.YE22'!K:K,"XH",'A5.YE22'!L:L,"Posted",'A5.YE22'!D:D,'A0.LS'!E71),0)</f>
        <v>0</v>
      </c>
      <c r="BJ71" s="936">
        <f>ROUND(SUM(BH71:BI71),0)</f>
        <v>0</v>
      </c>
      <c r="BK71" s="937"/>
      <c r="BL71" s="936">
        <f>ROUND(SUMIFS('TB.KCG.YE22'!P:P,'TB.KCG.YE22'!A:A,'A0.LS'!E71),0)</f>
        <v>0</v>
      </c>
      <c r="BM71" s="936">
        <f>ROUND(SUMIFS('A5.YE22'!J:J,'A5.YE22'!K:K,'A0.LS'!$BM$5,'A5.YE22'!L:L,"Posted",'A5.YE22'!D:D,'A0.LS'!E71),0)</f>
        <v>0</v>
      </c>
      <c r="BN71" s="936">
        <f>ROUND(SUM(BL71:BM71),0)</f>
        <v>0</v>
      </c>
      <c r="BO71" s="937"/>
      <c r="BP71" s="938">
        <v>24894518</v>
      </c>
      <c r="BQ71" s="938">
        <f>ROUND(SUMIFS('A5.YE22'!J:J,'A5.YE22'!K:K,'A0.LS'!$BQ$5,'A5.YE22'!L:L,"Posted",'A5.YE22'!D:D,'A0.LS'!E71),0)</f>
        <v>0</v>
      </c>
      <c r="BR71" s="938">
        <f>ROUND(SUM(BP71:BQ71),0)</f>
        <v>24894518</v>
      </c>
    </row>
    <row r="72" spans="2:70" ht="12.75">
      <c r="B72" s="925"/>
      <c r="C72" s="926"/>
      <c r="D72" s="927"/>
      <c r="E72" s="928"/>
      <c r="F72" s="928"/>
      <c r="G72" s="928"/>
      <c r="H72" s="927"/>
      <c r="I72" s="929"/>
      <c r="J72" s="929"/>
      <c r="K72" s="929"/>
      <c r="L72" s="929"/>
      <c r="M72" s="930"/>
      <c r="N72" s="931"/>
      <c r="O72" s="931"/>
      <c r="P72" s="931"/>
      <c r="Q72" s="932"/>
      <c r="R72" s="898"/>
      <c r="S72" s="850"/>
      <c r="T72" s="850"/>
      <c r="U72" s="850"/>
      <c r="V72" s="850"/>
      <c r="W72" s="850"/>
      <c r="X72" s="947" t="s">
        <v>2190</v>
      </c>
      <c r="Y72" s="933"/>
      <c r="Z72" s="934"/>
      <c r="AA72" s="934"/>
      <c r="AB72" s="934"/>
      <c r="AC72" s="934"/>
      <c r="AD72" s="930"/>
      <c r="AE72" s="934"/>
      <c r="AF72" s="934"/>
      <c r="AG72" s="934"/>
      <c r="AH72" s="934"/>
      <c r="AI72" s="930"/>
      <c r="AJ72" s="934"/>
      <c r="AK72" s="934"/>
      <c r="AL72" s="934"/>
      <c r="AM72" s="930"/>
      <c r="AN72" s="935"/>
      <c r="AO72" s="935"/>
      <c r="AP72" s="935"/>
      <c r="AQ72" s="930"/>
      <c r="AR72" s="934"/>
      <c r="AS72" s="934"/>
      <c r="AT72" s="934"/>
      <c r="AU72" s="930"/>
      <c r="AV72" s="909"/>
      <c r="AW72" s="909"/>
      <c r="AX72" s="909"/>
      <c r="AY72" s="920"/>
      <c r="AZ72" s="936"/>
      <c r="BA72" s="936"/>
      <c r="BB72" s="936"/>
      <c r="BC72" s="937"/>
      <c r="BD72" s="936"/>
      <c r="BE72" s="936"/>
      <c r="BF72" s="936"/>
      <c r="BG72" s="937"/>
      <c r="BH72" s="936"/>
      <c r="BI72" s="936"/>
      <c r="BJ72" s="936"/>
      <c r="BK72" s="937"/>
      <c r="BL72" s="936"/>
      <c r="BM72" s="936"/>
      <c r="BN72" s="936"/>
      <c r="BO72" s="937"/>
      <c r="BP72" s="938"/>
      <c r="BQ72" s="938"/>
      <c r="BR72" s="938"/>
    </row>
    <row r="73" spans="2:70" s="1" customFormat="1" ht="12.75">
      <c r="B73" s="293"/>
      <c r="C73" s="294"/>
      <c r="D73" s="295"/>
      <c r="E73" s="75"/>
      <c r="F73" s="75" t="s">
        <v>2278</v>
      </c>
      <c r="G73" s="75"/>
      <c r="H73" s="295"/>
      <c r="I73" s="68">
        <f>SUM(I75,I81,I86,I89,I94)</f>
        <v>504518267242</v>
      </c>
      <c r="J73" s="68">
        <f>SUM(J75,J81,J86,J89,J94)</f>
        <v>47000000</v>
      </c>
      <c r="K73" s="68">
        <f>SUM(K75,K81,K86,K89,K94)</f>
        <v>-83429782259</v>
      </c>
      <c r="L73" s="68">
        <f>SUM(L75,L81,L86,L89,L94)</f>
        <v>421135484983</v>
      </c>
      <c r="M73" s="296"/>
      <c r="N73" s="69">
        <f>SUM(N75,N81,N86,N89,N94)</f>
        <v>412725079286</v>
      </c>
      <c r="O73" s="69">
        <f>SUM(O75,O81,O86,O89,O94)</f>
        <v>4891767</v>
      </c>
      <c r="P73" s="69">
        <f>SUM(P75,P81,P86,P89,P94)</f>
        <v>38238622208</v>
      </c>
      <c r="Q73" s="70">
        <f>SUM(Q75,Q81,Q86,Q89,Q94)</f>
        <v>450968593261</v>
      </c>
      <c r="R73" s="298"/>
      <c r="S73" s="175">
        <f>L73-Q73</f>
        <v>-29833108278</v>
      </c>
      <c r="T73" s="176">
        <f>IFERROR(S73/Q73,"To check")</f>
        <v>-6.6153405633580256E-2</v>
      </c>
      <c r="X73" s="947" t="s">
        <v>2190</v>
      </c>
      <c r="Y73" s="304"/>
      <c r="Z73" s="235">
        <f>SUM(Z75,Z81,Z86,Z89,Z94)</f>
        <v>177310460859</v>
      </c>
      <c r="AA73" s="235">
        <f>SUM(AA75,AA81,AA86,AA89,AA94)</f>
        <v>0</v>
      </c>
      <c r="AB73" s="235">
        <f>SUM(AB75,AB81,AB86,AB89,AB94)</f>
        <v>-25717389728</v>
      </c>
      <c r="AC73" s="235">
        <f>SUM(AC75,AC81,AC86,AC89,AC94)</f>
        <v>151593071131</v>
      </c>
      <c r="AD73" s="236"/>
      <c r="AE73" s="235">
        <f>SUM(AE75,AE81,AE86,AE89,AE94)</f>
        <v>42100140878</v>
      </c>
      <c r="AF73" s="235">
        <f>SUM(AF75,AF81,AF86,AF89,AF94)</f>
        <v>0</v>
      </c>
      <c r="AG73" s="235">
        <f>SUM(AG75,AG81,AG86,AG89,AG94)</f>
        <v>56773985</v>
      </c>
      <c r="AH73" s="235">
        <f>SUM(AH75,AH81,AH86,AH89,AH94)</f>
        <v>42156914863</v>
      </c>
      <c r="AI73" s="236"/>
      <c r="AJ73" s="235">
        <f>SUM(AJ75,AJ81,AJ86,AJ89,AJ94)</f>
        <v>0</v>
      </c>
      <c r="AK73" s="235">
        <f>SUM(AK75,AK81,AK86,AK89,AK94)</f>
        <v>0</v>
      </c>
      <c r="AL73" s="235">
        <f>SUM(AL75,AL81,AL86,AL89,AL94)</f>
        <v>0</v>
      </c>
      <c r="AM73" s="236"/>
      <c r="AN73" s="237">
        <f>SUM(AN75,AN81,AN86,AN89,AN94)</f>
        <v>194528305155</v>
      </c>
      <c r="AO73" s="237">
        <f>SUM(AO75,AO81,AO86,AO89,AO94)</f>
        <v>-69653634256</v>
      </c>
      <c r="AP73" s="237">
        <f>SUM(AP75,AP81,AP86,AP89,AP94)</f>
        <v>124874670899</v>
      </c>
      <c r="AQ73" s="236"/>
      <c r="AR73" s="235">
        <f>SUM(AR75,AR81,AR86,AR89,AR94)</f>
        <v>1509346875</v>
      </c>
      <c r="AS73" s="235">
        <f>SUM(AS75,AS81,AS86,AS89,AS94)</f>
        <v>-731027714</v>
      </c>
      <c r="AT73" s="235">
        <f>SUM(AT75,AT81,AT86,AT89,AT94)</f>
        <v>778319161</v>
      </c>
      <c r="AU73" s="236"/>
      <c r="AV73" s="238">
        <f>SUM(AV75,AV81,AV86,AV89,AV94)</f>
        <v>546010155882</v>
      </c>
      <c r="AW73" s="238">
        <f>SUM(AW75,AW81,AW86,AW89,AW94)</f>
        <v>-396963658696</v>
      </c>
      <c r="AX73" s="238">
        <f>SUM(AX75,AX81,AX86,AX89,AX94)</f>
        <v>149046497186</v>
      </c>
      <c r="AY73" s="614"/>
      <c r="AZ73" s="235">
        <f>SUM(AZ75,AZ81,AZ86,AZ89,AZ94)</f>
        <v>166591688985</v>
      </c>
      <c r="BA73" s="235">
        <f>SUM(BA75,BA81,BA86,BA89,BA94)</f>
        <v>0</v>
      </c>
      <c r="BB73" s="235">
        <f>SUM(BB75,BB81,BB86,BB89,BB94)</f>
        <v>166591688985</v>
      </c>
      <c r="BC73" s="236"/>
      <c r="BD73" s="235">
        <f>SUM(BD75,BD81,BD86,BD89,BD94)</f>
        <v>7794092212</v>
      </c>
      <c r="BE73" s="235">
        <f>SUM(BE75,BE81,BE86,BE89,BE94)</f>
        <v>0</v>
      </c>
      <c r="BF73" s="235">
        <f>SUM(BF75,BF81,BF86,BF89,BF94)</f>
        <v>7794092212</v>
      </c>
      <c r="BG73" s="236"/>
      <c r="BH73" s="235">
        <f>SUM(BH75,BH81,BH86,BH89,BH94)</f>
        <v>0</v>
      </c>
      <c r="BI73" s="235">
        <f>SUM(BI75,BI81,BI86,BI89,BI94)</f>
        <v>0</v>
      </c>
      <c r="BJ73" s="235">
        <f>SUM(BJ75,BJ81,BJ86,BJ89,BJ94)</f>
        <v>0</v>
      </c>
      <c r="BK73" s="236"/>
      <c r="BL73" s="235">
        <f>SUM(BL75,BL81,BL86,BL89,BL94)</f>
        <v>0</v>
      </c>
      <c r="BM73" s="235">
        <f>SUM(BM75,BM81,BM86,BM89,BM94)</f>
        <v>0</v>
      </c>
      <c r="BN73" s="235">
        <f>SUM(BN75,BN81,BN86,BN89,BN94)</f>
        <v>0</v>
      </c>
      <c r="BO73" s="236"/>
      <c r="BP73" s="443">
        <f>SUM(BP75,BP81,BP86,BP89,BP94)</f>
        <v>592904871688</v>
      </c>
      <c r="BQ73" s="443">
        <f>SUM(BQ75,BQ81,BQ86,BQ89,BQ94)</f>
        <v>-435712761183</v>
      </c>
      <c r="BR73" s="443">
        <f>SUM(BR75,BR81,BR86,BR89,BR94)</f>
        <v>157192110505</v>
      </c>
    </row>
    <row r="74" spans="2:70" ht="12.75">
      <c r="B74" s="925"/>
      <c r="C74" s="926"/>
      <c r="D74" s="927"/>
      <c r="E74" s="928"/>
      <c r="F74" s="928"/>
      <c r="G74" s="928"/>
      <c r="H74" s="927"/>
      <c r="I74" s="929"/>
      <c r="J74" s="929"/>
      <c r="K74" s="929"/>
      <c r="L74" s="929"/>
      <c r="M74" s="930"/>
      <c r="N74" s="931"/>
      <c r="O74" s="931"/>
      <c r="P74" s="931"/>
      <c r="Q74" s="932"/>
      <c r="R74" s="898"/>
      <c r="S74" s="850"/>
      <c r="T74" s="850"/>
      <c r="U74" s="850"/>
      <c r="V74" s="850"/>
      <c r="W74" s="850"/>
      <c r="X74" s="947"/>
      <c r="Y74" s="933"/>
      <c r="Z74" s="934"/>
      <c r="AA74" s="934"/>
      <c r="AB74" s="934"/>
      <c r="AC74" s="934"/>
      <c r="AD74" s="930"/>
      <c r="AE74" s="934"/>
      <c r="AF74" s="934"/>
      <c r="AG74" s="934"/>
      <c r="AH74" s="934"/>
      <c r="AI74" s="930"/>
      <c r="AJ74" s="934"/>
      <c r="AK74" s="934"/>
      <c r="AL74" s="934"/>
      <c r="AM74" s="930"/>
      <c r="AN74" s="935"/>
      <c r="AO74" s="935"/>
      <c r="AP74" s="935"/>
      <c r="AQ74" s="930"/>
      <c r="AR74" s="934"/>
      <c r="AS74" s="934"/>
      <c r="AT74" s="934"/>
      <c r="AU74" s="930"/>
      <c r="AV74" s="909"/>
      <c r="AW74" s="909"/>
      <c r="AX74" s="909"/>
      <c r="AY74" s="920"/>
      <c r="AZ74" s="936"/>
      <c r="BA74" s="936"/>
      <c r="BB74" s="936"/>
      <c r="BC74" s="937"/>
      <c r="BD74" s="936"/>
      <c r="BE74" s="936"/>
      <c r="BF74" s="936"/>
      <c r="BG74" s="937"/>
      <c r="BH74" s="936"/>
      <c r="BI74" s="936"/>
      <c r="BJ74" s="936"/>
      <c r="BK74" s="937"/>
      <c r="BL74" s="936"/>
      <c r="BM74" s="936"/>
      <c r="BN74" s="936"/>
      <c r="BO74" s="937"/>
      <c r="BP74" s="938"/>
      <c r="BQ74" s="938"/>
      <c r="BR74" s="938"/>
    </row>
    <row r="75" spans="2:70" s="1" customFormat="1" ht="12.75">
      <c r="B75" s="293"/>
      <c r="C75" s="294"/>
      <c r="D75" s="295"/>
      <c r="E75" s="75"/>
      <c r="F75" s="75" t="s">
        <v>2279</v>
      </c>
      <c r="G75" s="75"/>
      <c r="H75" s="295"/>
      <c r="I75" s="68">
        <f>SUM(I76:I79)</f>
        <v>998238255</v>
      </c>
      <c r="J75" s="68">
        <f>SUM(J76:J79)</f>
        <v>0</v>
      </c>
      <c r="K75" s="68">
        <f>SUM(K76:K79)</f>
        <v>0</v>
      </c>
      <c r="L75" s="68">
        <f>SUM(L76:L79)</f>
        <v>998238255</v>
      </c>
      <c r="M75" s="296"/>
      <c r="N75" s="69">
        <f>SUM(N76:N79)</f>
        <v>1428393450</v>
      </c>
      <c r="O75" s="69">
        <f>SUM(O76:O79)</f>
        <v>0</v>
      </c>
      <c r="P75" s="69">
        <f>SUM(P76:P79)</f>
        <v>0</v>
      </c>
      <c r="Q75" s="70">
        <f>SUM(Q76:Q79)</f>
        <v>1428393450</v>
      </c>
      <c r="R75" s="298"/>
      <c r="S75" s="175">
        <f>L75-Q75</f>
        <v>-430155195</v>
      </c>
      <c r="T75" s="176">
        <f>IFERROR(S75/Q75,"To check")</f>
        <v>-0.301146154793695</v>
      </c>
      <c r="X75" s="947" t="s">
        <v>675</v>
      </c>
      <c r="Y75" s="304"/>
      <c r="Z75" s="235">
        <f>SUM(Z76:Z79)</f>
        <v>0</v>
      </c>
      <c r="AA75" s="235">
        <f>SUM(AA76:AA79)</f>
        <v>0</v>
      </c>
      <c r="AB75" s="235">
        <f>SUM(AB76:AB79)</f>
        <v>0</v>
      </c>
      <c r="AC75" s="235">
        <f>SUM(AC76:AC79)</f>
        <v>0</v>
      </c>
      <c r="AD75" s="236"/>
      <c r="AE75" s="235">
        <f>SUM(AE76:AE79)</f>
        <v>6588221806</v>
      </c>
      <c r="AF75" s="235">
        <f>SUM(AF76:AF79)</f>
        <v>0</v>
      </c>
      <c r="AG75" s="235">
        <f>SUM(AG76:AG79)</f>
        <v>0</v>
      </c>
      <c r="AH75" s="235">
        <f>SUM(AH76:AH79)</f>
        <v>6588221806</v>
      </c>
      <c r="AI75" s="236"/>
      <c r="AJ75" s="235">
        <f>SUM(AJ76:AJ79)</f>
        <v>0</v>
      </c>
      <c r="AK75" s="235">
        <f>SUM(AK76:AK79)</f>
        <v>0</v>
      </c>
      <c r="AL75" s="235">
        <f>SUM(AL76:AL79)</f>
        <v>0</v>
      </c>
      <c r="AM75" s="236"/>
      <c r="AN75" s="237">
        <f>SUM(AN76:AN79)</f>
        <v>6588221806</v>
      </c>
      <c r="AO75" s="237">
        <f>SUM(AO76:AO79)</f>
        <v>0</v>
      </c>
      <c r="AP75" s="237">
        <f>SUM(AP76:AP79)</f>
        <v>6588221806</v>
      </c>
      <c r="AQ75" s="236"/>
      <c r="AR75" s="235">
        <f>SUM(AR76:AR79)</f>
        <v>0</v>
      </c>
      <c r="AS75" s="235">
        <f>SUM(AS76:AS79)</f>
        <v>0</v>
      </c>
      <c r="AT75" s="235">
        <f>SUM(AT76:AT79)</f>
        <v>0</v>
      </c>
      <c r="AU75" s="236"/>
      <c r="AV75" s="238">
        <f>SUM(AV76:AV79)</f>
        <v>7586460061</v>
      </c>
      <c r="AW75" s="238">
        <f>SUM(AW76:AW79)</f>
        <v>0</v>
      </c>
      <c r="AX75" s="238">
        <f>SUM(AX76:AX79)</f>
        <v>7586460061</v>
      </c>
      <c r="AY75" s="614"/>
      <c r="AZ75" s="235">
        <f>SUM(AZ76:AZ79)</f>
        <v>0</v>
      </c>
      <c r="BA75" s="235">
        <f>SUM(BA76:BA79)</f>
        <v>0</v>
      </c>
      <c r="BB75" s="235">
        <f>SUM(BB76:BB79)</f>
        <v>0</v>
      </c>
      <c r="BC75" s="236"/>
      <c r="BD75" s="235">
        <f>SUM(BD76:BD79)</f>
        <v>7430026834</v>
      </c>
      <c r="BE75" s="235">
        <f>SUM(BE76:BE79)</f>
        <v>0</v>
      </c>
      <c r="BF75" s="235">
        <f>SUM(BF76:BF79)</f>
        <v>7430026834</v>
      </c>
      <c r="BG75" s="236"/>
      <c r="BH75" s="235">
        <f>SUM(BH76:BH79)</f>
        <v>0</v>
      </c>
      <c r="BI75" s="235">
        <f>SUM(BI76:BI79)</f>
        <v>0</v>
      </c>
      <c r="BJ75" s="235">
        <f>SUM(BJ76:BJ79)</f>
        <v>0</v>
      </c>
      <c r="BK75" s="236"/>
      <c r="BL75" s="235">
        <f>SUM(BL76:BL79)</f>
        <v>0</v>
      </c>
      <c r="BM75" s="235">
        <f>SUM(BM76:BM79)</f>
        <v>0</v>
      </c>
      <c r="BN75" s="235">
        <f>SUM(BN76:BN79)</f>
        <v>0</v>
      </c>
      <c r="BO75" s="236"/>
      <c r="BP75" s="443">
        <f>SUM(BP76:BP79)</f>
        <v>9764056515</v>
      </c>
      <c r="BQ75" s="443">
        <f>SUM(BQ76:BQ79)</f>
        <v>0</v>
      </c>
      <c r="BR75" s="443">
        <f>SUM(BR76:BR79)</f>
        <v>9764056515</v>
      </c>
    </row>
    <row r="76" spans="2:70" ht="12.75">
      <c r="B76" s="939">
        <v>222</v>
      </c>
      <c r="C76" s="940"/>
      <c r="D76" s="927"/>
      <c r="E76" s="928" t="s">
        <v>79</v>
      </c>
      <c r="F76" s="954" t="s">
        <v>80</v>
      </c>
      <c r="G76" s="927" t="s">
        <v>2280</v>
      </c>
      <c r="H76" s="927" t="s">
        <v>2188</v>
      </c>
      <c r="I76" s="942">
        <f>SUMIFS('TB.CTy Me.FY2024'!I:I,'TB.CTy Me.FY2024'!A:A,'A0.LS'!E76)</f>
        <v>1148306140</v>
      </c>
      <c r="J76" s="942">
        <f>ROUND(SUMIFS('A5.FY24'!K:K,'A5.FY24'!E:E,'A0.LS'!E76,'A5.FY24'!L:L,"Finhay",'A5.FY24'!M:M,"Posted"),0)</f>
        <v>0</v>
      </c>
      <c r="K76" s="942">
        <f>ROUND(SUMIFS('A5.FY24'!K:K,'A5.FY24'!E:E,'A0.LS'!E76,'A5.FY24'!L:L,"EY",'A5.FY24'!M:M,"Posted"),0)</f>
        <v>0</v>
      </c>
      <c r="L76" s="943">
        <f>ROUND(SUM(I76:K76),0)</f>
        <v>1148306140</v>
      </c>
      <c r="M76" s="930"/>
      <c r="N76" s="944">
        <f>SUMIFS('TB.CTM.YE23'!I:I,'TB.CTM.YE23'!A:A,'A0.LS'!E76)</f>
        <v>1067397049</v>
      </c>
      <c r="O76" s="944">
        <v>0</v>
      </c>
      <c r="P76" s="944">
        <v>0</v>
      </c>
      <c r="Q76" s="945">
        <f>ROUND(SUM(N76:P76),0)</f>
        <v>1067397049</v>
      </c>
      <c r="R76" s="898"/>
      <c r="S76" s="848">
        <f>L76-Q76</f>
        <v>80909091</v>
      </c>
      <c r="T76" s="946">
        <f>IFERROR(S76/Q76,"To check")</f>
        <v>7.5800369764747216E-2</v>
      </c>
      <c r="U76" s="850"/>
      <c r="V76" s="850" t="s">
        <v>2281</v>
      </c>
      <c r="W76" s="850"/>
      <c r="X76" s="947" t="s">
        <v>675</v>
      </c>
      <c r="Y76" s="947" t="s">
        <v>2280</v>
      </c>
      <c r="Z76" s="936">
        <f>ROUND(SUMIFS('TB.Cty Con.FY24'!I:I,'TB.Cty Con.FY24'!A:A,'A0.LS'!E76),0)</f>
        <v>0</v>
      </c>
      <c r="AA76" s="936">
        <f>ROUND(SUMIFS('A5.CTC FY24'!K:K,'A5.CTC FY24'!E:E,'A0.LS'!E76,'A5.CTC FY24'!A:A,'A0.LS'!$AA$5,'A5.CTC FY24'!L:L,"Finhay",'A5.CTC FY24'!M:M,"Posted"),0)</f>
        <v>0</v>
      </c>
      <c r="AB76" s="936">
        <f>ROUND(SUMIFS('A5.CTC FY24'!K:K,'A5.CTC FY24'!E:E,'A0.LS'!E76,'A5.CTC FY24'!A:A,'A0.LS'!$AB$5,'A5.CTC FY24'!L:L,"EY",'A5.CTC FY24'!M:M,"Posted"),0)</f>
        <v>0</v>
      </c>
      <c r="AC76" s="948">
        <f>ROUND(SUM(Z76:AB76),0)</f>
        <v>0</v>
      </c>
      <c r="AD76" s="930"/>
      <c r="AE76" s="936">
        <f>ROUND(SUMIFS('TB VNSC FY24'!M:M,'TB VNSC FY24'!N:N,'A0.LS'!E76),0)</f>
        <v>1698533100</v>
      </c>
      <c r="AF76" s="936">
        <f>SUMIFS('A5.CTC FY24'!K:K,'A5.CTC FY24'!E:E,'A0.LS'!E76,'A5.CTC FY24'!A:A,"VNSC",'A5.CTC FY24'!L:L,"VNSC",'A5.CTC FY24'!M:M,"Posted")</f>
        <v>0</v>
      </c>
      <c r="AG76" s="936">
        <f>ROUND(SUMIFS('A5.CTC FY24'!K:K,'A5.CTC FY24'!E:E,'A0.LS'!E76,'A5.CTC FY24'!A:A,"VNSC",'A5.CTC FY24'!L:L,"EY",'A5.CTC FY24'!M:M,"Posted"),0)</f>
        <v>0</v>
      </c>
      <c r="AH76" s="936">
        <f>ROUND(SUM(AE76:AG76),0)</f>
        <v>1698533100</v>
      </c>
      <c r="AI76" s="930"/>
      <c r="AJ76" s="936">
        <f>SUMIFS('TB.KCG.FY24'!I:I,'TB.KCG.FY24'!A:A,'A0.LS'!E76)</f>
        <v>0</v>
      </c>
      <c r="AK76" s="936">
        <f>ROUND(SUMIFS('A5.CTC FY24'!K:K,'A5.CTC FY24'!E:E,'A0.LS'!E76,'A5.CTC FY24'!A:A,'A0.LS'!$AK$5,'A5.CTC FY24'!L:L,"EY",'A5.CTC FY24'!M:M,"Posted"),0)</f>
        <v>0</v>
      </c>
      <c r="AL76" s="948">
        <f>ROUND(SUM(AJ76:AK76),0)</f>
        <v>0</v>
      </c>
      <c r="AM76" s="930"/>
      <c r="AN76" s="949">
        <f>ROUND(SUM(AT76,AH76,AC76),0)</f>
        <v>1698533100</v>
      </c>
      <c r="AO76" s="950">
        <f>ROUND(SUMIFS('A5.Consol FY24'!L:L,'A5.Consol FY24'!M:M,"EY",'A5.Consol FY24'!N:N,"Posted",'A5.Consol FY24'!B:B,'A0.LS'!$AO$5,'A5.Consol FY24'!F:F,'A0.LS'!E76),0)</f>
        <v>0</v>
      </c>
      <c r="AP76" s="949">
        <f>ROUND(SUM(AN76:AO76),0)</f>
        <v>1698533100</v>
      </c>
      <c r="AQ76" s="930"/>
      <c r="AR76" s="936">
        <f>ROUND(SUMIFS('TB.XH.FY24'!I:I,'TB.XH.FY24'!J:J,'A0.LS'!E76),0)</f>
        <v>0</v>
      </c>
      <c r="AS76" s="936">
        <f>ROUND(SUMIFS('A5.CTC FY24'!K:K,'A5.CTC FY24'!E:E,'A0.LS'!E76,'A5.CTC FY24'!A:A,'A0.LS'!$AS$5,'A5.CTC FY24'!L:L,"EY",'A5.CTC FY24'!M:M,"Posted"),0)</f>
        <v>0</v>
      </c>
      <c r="AT76" s="948">
        <f>ROUND(SUM(AR76:AS76),0)</f>
        <v>0</v>
      </c>
      <c r="AU76" s="930"/>
      <c r="AV76" s="951">
        <f>ROUND(SUM(AP76,AL76,L76),0)</f>
        <v>2846839240</v>
      </c>
      <c r="AW76" s="952">
        <f>SUMIFS('A5.Consol FY24'!L:L,'A5.Consol FY24'!B:B,'A0.LS'!$AW$5,'A5.Consol FY24'!M:M,"EY",'A5.Consol FY24'!N:N,"Posted",'A5.Consol FY24'!F:F,'A0.LS'!E76)</f>
        <v>0</v>
      </c>
      <c r="AX76" s="951">
        <f>ROUND(SUM(AV76:AW76),0)</f>
        <v>2846839240</v>
      </c>
      <c r="AY76" s="920"/>
      <c r="AZ76" s="936">
        <f>SUMIFS('TB.CTC.YE22'!Q:Q,'TB.CTC.YE22'!A:A,'A0.LS'!E76)</f>
        <v>0</v>
      </c>
      <c r="BA76" s="936">
        <f>ROUND(SUMIFS('A5.YE22'!J:J,'A5.YE22'!K:K,'A0.LS'!$BA$5,'A5.YE22'!L:L,"Posted",'A5.YE22'!D:D,'A0.LS'!E76),0)</f>
        <v>0</v>
      </c>
      <c r="BB76" s="936">
        <f>ROUND(SUM(AZ76:BA76),0)</f>
        <v>0</v>
      </c>
      <c r="BC76" s="937"/>
      <c r="BD76" s="936">
        <f>ROUND(SUMIFS('TB.VNSC.YE22'!L:L,'TB.VNSC.YE22'!A:A,'A0.LS'!E76),0)</f>
        <v>0</v>
      </c>
      <c r="BE76" s="936">
        <f>ROUND(SUMIFS('A5.YE22'!J:J,'A5.YE22'!K:K,'A0.LS'!$BE$5,'A5.YE22'!L:L,"Posted",'A5.YE22'!D:D,'A0.LS'!E76),0)</f>
        <v>0</v>
      </c>
      <c r="BF76" s="936">
        <f>ROUND(SUM(BD76:BE76),0)</f>
        <v>0</v>
      </c>
      <c r="BG76" s="937"/>
      <c r="BH76" s="936">
        <f>ROUND(SUMIFS('TB.XH.YE22'!P:P,'TB.XH.YE22'!A:A,'A0.LS'!E76),0)</f>
        <v>0</v>
      </c>
      <c r="BI76" s="936">
        <f>ROUND(SUMIFS('A5.YE22'!J:J,'A5.YE22'!K:K,"XH",'A5.YE22'!L:L,"Posted",'A5.YE22'!D:D,'A0.LS'!E76),0)</f>
        <v>0</v>
      </c>
      <c r="BJ76" s="936">
        <f>ROUND(SUM(BH76:BI76),0)</f>
        <v>0</v>
      </c>
      <c r="BK76" s="937"/>
      <c r="BL76" s="936">
        <f>ROUND(SUMIFS('TB.KCG.YE22'!P:P,'TB.KCG.YE22'!A:A,'A0.LS'!E76),0)</f>
        <v>0</v>
      </c>
      <c r="BM76" s="936">
        <f>ROUND(SUMIFS('A5.YE22'!J:J,'A5.YE22'!K:K,'A0.LS'!$BM$5,'A5.YE22'!L:L,"Posted",'A5.YE22'!D:D,'A0.LS'!E76),0)</f>
        <v>0</v>
      </c>
      <c r="BN76" s="936">
        <f>ROUND(SUM(BL76:BM76),0)</f>
        <v>0</v>
      </c>
      <c r="BO76" s="937"/>
      <c r="BP76" s="938">
        <v>2721930149</v>
      </c>
      <c r="BQ76" s="938">
        <f>ROUND(SUMIFS('A5.YE22'!J:J,'A5.YE22'!K:K,'A0.LS'!$BQ$5,'A5.YE22'!L:L,"Posted",'A5.YE22'!D:D,'A0.LS'!E76),0)</f>
        <v>0</v>
      </c>
      <c r="BR76" s="938">
        <f>ROUND(SUM(BP76:BQ76),0)</f>
        <v>2721930149</v>
      </c>
    </row>
    <row r="77" spans="2:70" ht="12.75">
      <c r="B77" s="939">
        <v>222</v>
      </c>
      <c r="C77" s="940"/>
      <c r="D77" s="927"/>
      <c r="E77" s="928" t="s">
        <v>81</v>
      </c>
      <c r="F77" s="928" t="s">
        <v>82</v>
      </c>
      <c r="G77" s="927" t="s">
        <v>2280</v>
      </c>
      <c r="H77" s="927" t="s">
        <v>2188</v>
      </c>
      <c r="I77" s="942">
        <f>SUMIFS('TB.CTy Me.FY2024'!I:I,'TB.CTy Me.FY2024'!A:A,'A0.LS'!E77)</f>
        <v>1051112727</v>
      </c>
      <c r="J77" s="942">
        <f>ROUND(SUMIFS('A5.FY24'!K:K,'A5.FY24'!E:E,'A0.LS'!E77,'A5.FY24'!L:L,"Finhay",'A5.FY24'!M:M,"Posted"),0)</f>
        <v>0</v>
      </c>
      <c r="K77" s="942">
        <f>ROUND(SUMIFS('A5.FY24'!K:K,'A5.FY24'!E:E,'A0.LS'!E77,'A5.FY24'!L:L,"EY",'A5.FY24'!M:M,"Posted"),0)</f>
        <v>0</v>
      </c>
      <c r="L77" s="943">
        <f>ROUND(SUM(I77:K77),0)</f>
        <v>1051112727</v>
      </c>
      <c r="M77" s="930"/>
      <c r="N77" s="944">
        <f>SUMIFS('TB.CTM.YE23'!I:I,'TB.CTM.YE23'!A:A,'A0.LS'!E77)</f>
        <v>1051112727</v>
      </c>
      <c r="O77" s="944">
        <v>0</v>
      </c>
      <c r="P77" s="944">
        <v>0</v>
      </c>
      <c r="Q77" s="945">
        <f>ROUND(SUM(N77:P77),0)</f>
        <v>1051112727</v>
      </c>
      <c r="R77" s="898"/>
      <c r="S77" s="848">
        <f>L77-Q77</f>
        <v>0</v>
      </c>
      <c r="T77" s="946">
        <f>IFERROR(S77/Q77,"To check")</f>
        <v>0</v>
      </c>
      <c r="U77" s="850"/>
      <c r="V77" s="850" t="s">
        <v>2281</v>
      </c>
      <c r="W77" s="850"/>
      <c r="X77" s="933"/>
      <c r="Y77" s="947" t="s">
        <v>2280</v>
      </c>
      <c r="Z77" s="936">
        <f>ROUND(SUMIFS('TB.Cty Con.FY24'!I:I,'TB.Cty Con.FY24'!A:A,'A0.LS'!E77),0)</f>
        <v>0</v>
      </c>
      <c r="AA77" s="936">
        <f>ROUND(SUMIFS('A5.CTC FY24'!K:K,'A5.CTC FY24'!E:E,'A0.LS'!E77,'A5.CTC FY24'!A:A,'A0.LS'!$AA$5,'A5.CTC FY24'!L:L,"Finhay",'A5.CTC FY24'!M:M,"Posted"),0)</f>
        <v>0</v>
      </c>
      <c r="AB77" s="936">
        <f>ROUND(SUMIFS('A5.CTC FY24'!K:K,'A5.CTC FY24'!E:E,'A0.LS'!E77,'A5.CTC FY24'!A:A,'A0.LS'!$AB$5,'A5.CTC FY24'!L:L,"EY",'A5.CTC FY24'!M:M,"Posted"),0)</f>
        <v>0</v>
      </c>
      <c r="AC77" s="948">
        <f>ROUND(SUM(Z77:AB77),0)</f>
        <v>0</v>
      </c>
      <c r="AD77" s="930"/>
      <c r="AE77" s="936">
        <f>ROUND(SUMIFS('TB VNSC FY24'!M:M,'TB VNSC FY24'!N:N,'A0.LS'!E77),0)</f>
        <v>1463809091</v>
      </c>
      <c r="AF77" s="936">
        <f>SUMIFS('A5.CTC FY24'!K:K,'A5.CTC FY24'!E:E,'A0.LS'!E77,'A5.CTC FY24'!A:A,"VNSC",'A5.CTC FY24'!L:L,"VNSC",'A5.CTC FY24'!M:M,"Posted")</f>
        <v>0</v>
      </c>
      <c r="AG77" s="936">
        <f>ROUND(SUMIFS('A5.CTC FY24'!K:K,'A5.CTC FY24'!E:E,'A0.LS'!E77,'A5.CTC FY24'!A:A,"VNSC",'A5.CTC FY24'!L:L,"EY",'A5.CTC FY24'!M:M,"Posted"),0)</f>
        <v>0</v>
      </c>
      <c r="AH77" s="936">
        <f>ROUND(SUM(AE77:AG77),0)</f>
        <v>1463809091</v>
      </c>
      <c r="AI77" s="930"/>
      <c r="AJ77" s="936">
        <f>SUMIFS('TB.KCG.FY24'!I:I,'TB.KCG.FY24'!A:A,'A0.LS'!E77)</f>
        <v>0</v>
      </c>
      <c r="AK77" s="936">
        <f>ROUND(SUMIFS('A5.CTC FY24'!K:K,'A5.CTC FY24'!E:E,'A0.LS'!E77,'A5.CTC FY24'!A:A,'A0.LS'!$AK$5,'A5.CTC FY24'!L:L,"EY",'A5.CTC FY24'!M:M,"Posted"),0)</f>
        <v>0</v>
      </c>
      <c r="AL77" s="948">
        <f>ROUND(SUM(AJ77:AK77),0)</f>
        <v>0</v>
      </c>
      <c r="AM77" s="930"/>
      <c r="AN77" s="949">
        <f>ROUND(SUM(AT77,AH77,AC77),0)</f>
        <v>1463809091</v>
      </c>
      <c r="AO77" s="950">
        <f>ROUND(SUMIFS('A5.Consol FY24'!L:L,'A5.Consol FY24'!M:M,"EY",'A5.Consol FY24'!N:N,"Posted",'A5.Consol FY24'!B:B,'A0.LS'!$AO$5,'A5.Consol FY24'!F:F,'A0.LS'!E77),0)</f>
        <v>0</v>
      </c>
      <c r="AP77" s="949">
        <f>ROUND(SUM(AN77:AO77),0)</f>
        <v>1463809091</v>
      </c>
      <c r="AQ77" s="930"/>
      <c r="AR77" s="936">
        <f>ROUND(SUMIFS('TB.XH.FY24'!I:I,'TB.XH.FY24'!J:J,'A0.LS'!E77),0)</f>
        <v>0</v>
      </c>
      <c r="AS77" s="936">
        <f>ROUND(SUMIFS('A5.CTC FY24'!K:K,'A5.CTC FY24'!E:E,'A0.LS'!E77,'A5.CTC FY24'!A:A,'A0.LS'!$AS$5,'A5.CTC FY24'!L:L,"EY",'A5.CTC FY24'!M:M,"Posted"),0)</f>
        <v>0</v>
      </c>
      <c r="AT77" s="948">
        <f>ROUND(SUM(AR77:AS77),0)</f>
        <v>0</v>
      </c>
      <c r="AU77" s="930"/>
      <c r="AV77" s="951">
        <f>ROUND(SUM(AP77,AL77,L77),0)</f>
        <v>2514921818</v>
      </c>
      <c r="AW77" s="952">
        <f>SUMIFS('A5.Consol FY24'!L:L,'A5.Consol FY24'!B:B,'A0.LS'!$AW$5,'A5.Consol FY24'!M:M,"EY",'A5.Consol FY24'!N:N,"Posted",'A5.Consol FY24'!F:F,'A0.LS'!E77)</f>
        <v>0</v>
      </c>
      <c r="AX77" s="951">
        <f>ROUND(SUM(AV77:AW77),0)</f>
        <v>2514921818</v>
      </c>
      <c r="AY77" s="920"/>
      <c r="AZ77" s="936">
        <f>SUMIFS('TB.CTC.YE22'!Q:Q,'TB.CTC.YE22'!A:A,'A0.LS'!E77)</f>
        <v>0</v>
      </c>
      <c r="BA77" s="936">
        <f>ROUND(SUMIFS('A5.YE22'!J:J,'A5.YE22'!K:K,'A0.LS'!$BA$5,'A5.YE22'!L:L,"Posted",'A5.YE22'!D:D,'A0.LS'!E77),0)</f>
        <v>0</v>
      </c>
      <c r="BB77" s="936">
        <f>ROUND(SUM(AZ77:BA77),0)</f>
        <v>0</v>
      </c>
      <c r="BC77" s="937"/>
      <c r="BD77" s="936">
        <f>ROUND(SUMIFS('TB.VNSC.YE22'!L:L,'TB.VNSC.YE22'!A:A,'A0.LS'!E77),0)</f>
        <v>1463809091</v>
      </c>
      <c r="BE77" s="936">
        <f>ROUND(SUMIFS('A5.YE22'!J:J,'A5.YE22'!K:K,'A0.LS'!$BE$5,'A5.YE22'!L:L,"Posted",'A5.YE22'!D:D,'A0.LS'!E77),0)</f>
        <v>0</v>
      </c>
      <c r="BF77" s="936">
        <f>ROUND(SUM(BD77:BE77),0)</f>
        <v>1463809091</v>
      </c>
      <c r="BG77" s="937"/>
      <c r="BH77" s="936">
        <f>ROUND(SUMIFS('TB.XH.YE22'!P:P,'TB.XH.YE22'!A:A,'A0.LS'!E77),0)</f>
        <v>0</v>
      </c>
      <c r="BI77" s="936">
        <f>ROUND(SUMIFS('A5.YE22'!J:J,'A5.YE22'!K:K,"XH",'A5.YE22'!L:L,"Posted",'A5.YE22'!D:D,'A0.LS'!E77),0)</f>
        <v>0</v>
      </c>
      <c r="BJ77" s="936">
        <f>ROUND(SUM(BH77:BI77),0)</f>
        <v>0</v>
      </c>
      <c r="BK77" s="937"/>
      <c r="BL77" s="936">
        <f>ROUND(SUMIFS('TB.KCG.YE22'!P:P,'TB.KCG.YE22'!A:A,'A0.LS'!E77),0)</f>
        <v>0</v>
      </c>
      <c r="BM77" s="936">
        <f>ROUND(SUMIFS('A5.YE22'!J:J,'A5.YE22'!K:K,'A0.LS'!$BM$5,'A5.YE22'!L:L,"Posted",'A5.YE22'!D:D,'A0.LS'!E77),0)</f>
        <v>0</v>
      </c>
      <c r="BN77" s="936">
        <f>ROUND(SUM(BL77:BM77),0)</f>
        <v>0</v>
      </c>
      <c r="BO77" s="937"/>
      <c r="BP77" s="938">
        <v>2514921818</v>
      </c>
      <c r="BQ77" s="938">
        <f>ROUND(SUMIFS('A5.YE22'!J:J,'A5.YE22'!K:K,'A0.LS'!$BQ$5,'A5.YE22'!L:L,"Posted",'A5.YE22'!D:D,'A0.LS'!E77),0)</f>
        <v>0</v>
      </c>
      <c r="BR77" s="938">
        <f>ROUND(SUM(BP77:BQ77),0)</f>
        <v>2514921818</v>
      </c>
    </row>
    <row r="78" spans="2:70" ht="12.75">
      <c r="B78" s="939">
        <v>222</v>
      </c>
      <c r="C78" s="940"/>
      <c r="D78" s="927"/>
      <c r="E78" s="928" t="s">
        <v>83</v>
      </c>
      <c r="F78" s="928" t="s">
        <v>84</v>
      </c>
      <c r="G78" s="927" t="s">
        <v>2280</v>
      </c>
      <c r="H78" s="927" t="s">
        <v>2188</v>
      </c>
      <c r="I78" s="942">
        <f>SUMIFS('TB.CTy Me.FY2024'!I:I,'TB.CTy Me.FY2024'!A:A,'A0.LS'!E78)</f>
        <v>203591273</v>
      </c>
      <c r="J78" s="942">
        <f>ROUND(SUMIFS('A5.FY24'!K:K,'A5.FY24'!E:E,'A0.LS'!E78,'A5.FY24'!L:L,"Finhay",'A5.FY24'!M:M,"Posted"),0)</f>
        <v>0</v>
      </c>
      <c r="K78" s="942">
        <f>ROUND(SUMIFS('A5.FY24'!K:K,'A5.FY24'!E:E,'A0.LS'!E78,'A5.FY24'!L:L,"EY",'A5.FY24'!M:M,"Posted"),0)</f>
        <v>0</v>
      </c>
      <c r="L78" s="943">
        <f>ROUND(SUM(I78:K78),0)</f>
        <v>203591273</v>
      </c>
      <c r="M78" s="930"/>
      <c r="N78" s="944">
        <f>SUMIFS('TB.CTM.YE23'!I:I,'TB.CTM.YE23'!A:A,'A0.LS'!E78)</f>
        <v>203591273</v>
      </c>
      <c r="O78" s="944">
        <v>0</v>
      </c>
      <c r="P78" s="944">
        <v>0</v>
      </c>
      <c r="Q78" s="945">
        <f>ROUND(SUM(N78:P78),0)</f>
        <v>203591273</v>
      </c>
      <c r="R78" s="898"/>
      <c r="S78" s="848">
        <f>L78-Q78</f>
        <v>0</v>
      </c>
      <c r="T78" s="946">
        <f>IFERROR(S78/Q78,"To check")</f>
        <v>0</v>
      </c>
      <c r="U78" s="850"/>
      <c r="V78" s="850" t="s">
        <v>2281</v>
      </c>
      <c r="W78" s="850"/>
      <c r="X78" s="304"/>
      <c r="Y78" s="947" t="s">
        <v>2280</v>
      </c>
      <c r="Z78" s="936">
        <f>ROUND(SUMIFS('TB.Cty Con.FY24'!I:I,'TB.Cty Con.FY24'!A:A,'A0.LS'!E78),0)</f>
        <v>0</v>
      </c>
      <c r="AA78" s="936">
        <f>ROUND(SUMIFS('A5.CTC FY24'!K:K,'A5.CTC FY24'!E:E,'A0.LS'!E78,'A5.CTC FY24'!A:A,'A0.LS'!$AA$5,'A5.CTC FY24'!L:L,"Finhay",'A5.CTC FY24'!M:M,"Posted"),0)</f>
        <v>0</v>
      </c>
      <c r="AB78" s="936">
        <f>ROUND(SUMIFS('A5.CTC FY24'!K:K,'A5.CTC FY24'!E:E,'A0.LS'!E78,'A5.CTC FY24'!A:A,'A0.LS'!$AB$5,'A5.CTC FY24'!L:L,"EY",'A5.CTC FY24'!M:M,"Posted"),0)</f>
        <v>0</v>
      </c>
      <c r="AC78" s="948">
        <f>ROUND(SUM(Z78:AB78),0)</f>
        <v>0</v>
      </c>
      <c r="AD78" s="930"/>
      <c r="AE78" s="936">
        <f>ROUND(SUMIFS('TB VNSC FY24'!M:M,'TB VNSC FY24'!N:N,'A0.LS'!E78),0)</f>
        <v>7701304909</v>
      </c>
      <c r="AF78" s="936">
        <f>SUMIFS('A5.CTC FY24'!K:K,'A5.CTC FY24'!E:E,'A0.LS'!E78,'A5.CTC FY24'!A:A,"VNSC",'A5.CTC FY24'!L:L,"VNSC",'A5.CTC FY24'!M:M,"Posted")</f>
        <v>0</v>
      </c>
      <c r="AG78" s="936">
        <f>ROUND(SUMIFS('A5.CTC FY24'!K:K,'A5.CTC FY24'!E:E,'A0.LS'!E78,'A5.CTC FY24'!A:A,"VNSC",'A5.CTC FY24'!L:L,"EY",'A5.CTC FY24'!M:M,"Posted"),0)</f>
        <v>0</v>
      </c>
      <c r="AH78" s="936">
        <f>ROUND(SUM(AE78:AG78),0)</f>
        <v>7701304909</v>
      </c>
      <c r="AI78" s="930"/>
      <c r="AJ78" s="936">
        <f>SUMIFS('TB.KCG.FY24'!I:I,'TB.KCG.FY24'!A:A,'A0.LS'!E78)</f>
        <v>0</v>
      </c>
      <c r="AK78" s="936">
        <f>ROUND(SUMIFS('A5.CTC FY24'!K:K,'A5.CTC FY24'!E:E,'A0.LS'!E78,'A5.CTC FY24'!A:A,'A0.LS'!$AK$5,'A5.CTC FY24'!L:L,"EY",'A5.CTC FY24'!M:M,"Posted"),0)</f>
        <v>0</v>
      </c>
      <c r="AL78" s="948">
        <f>ROUND(SUM(AJ78:AK78),0)</f>
        <v>0</v>
      </c>
      <c r="AM78" s="930"/>
      <c r="AN78" s="949">
        <f>ROUND(SUM(AT78,AH78,AC78),0)</f>
        <v>7701304909</v>
      </c>
      <c r="AO78" s="950">
        <f>ROUND(SUMIFS('A5.Consol FY24'!L:L,'A5.Consol FY24'!M:M,"EY",'A5.Consol FY24'!N:N,"Posted",'A5.Consol FY24'!B:B,'A0.LS'!$AO$5,'A5.Consol FY24'!F:F,'A0.LS'!E78),0)</f>
        <v>0</v>
      </c>
      <c r="AP78" s="949">
        <f>ROUND(SUM(AN78:AO78),0)</f>
        <v>7701304909</v>
      </c>
      <c r="AQ78" s="930"/>
      <c r="AR78" s="936">
        <f>ROUND(SUMIFS('TB.XH.FY24'!I:I,'TB.XH.FY24'!J:J,'A0.LS'!E78),0)</f>
        <v>0</v>
      </c>
      <c r="AS78" s="936">
        <f>ROUND(SUMIFS('A5.CTC FY24'!K:K,'A5.CTC FY24'!E:E,'A0.LS'!E78,'A5.CTC FY24'!A:A,'A0.LS'!$AS$5,'A5.CTC FY24'!L:L,"EY",'A5.CTC FY24'!M:M,"Posted"),0)</f>
        <v>0</v>
      </c>
      <c r="AT78" s="948">
        <f>ROUND(SUM(AR78:AS78),0)</f>
        <v>0</v>
      </c>
      <c r="AU78" s="930"/>
      <c r="AV78" s="951">
        <f>ROUND(SUM(AP78,AL78,L78),0)</f>
        <v>7904896182</v>
      </c>
      <c r="AW78" s="952">
        <f>SUMIFS('A5.Consol FY24'!L:L,'A5.Consol FY24'!B:B,'A0.LS'!$AW$5,'A5.Consol FY24'!M:M,"EY",'A5.Consol FY24'!N:N,"Posted",'A5.Consol FY24'!F:F,'A0.LS'!E78)</f>
        <v>0</v>
      </c>
      <c r="AX78" s="951">
        <f>ROUND(SUM(AV78:AW78),0)</f>
        <v>7904896182</v>
      </c>
      <c r="AY78" s="920"/>
      <c r="AZ78" s="936">
        <f>SUMIFS('TB.CTC.YE22'!Q:Q,'TB.CTC.YE22'!A:A,'A0.LS'!E78)</f>
        <v>0</v>
      </c>
      <c r="BA78" s="936">
        <f>ROUND(SUMIFS('A5.YE22'!J:J,'A5.YE22'!K:K,'A0.LS'!$BA$5,'A5.YE22'!L:L,"Posted",'A5.YE22'!D:D,'A0.LS'!E78),0)</f>
        <v>0</v>
      </c>
      <c r="BB78" s="936">
        <f>ROUND(SUM(AZ78:BA78),0)</f>
        <v>0</v>
      </c>
      <c r="BC78" s="937"/>
      <c r="BD78" s="936">
        <f>ROUND(SUMIFS('TB.VNSC.YE22'!L:L,'TB.VNSC.YE22'!A:A,'A0.LS'!E78),0)</f>
        <v>6775714909</v>
      </c>
      <c r="BE78" s="936">
        <f>ROUND(SUMIFS('A5.YE22'!J:J,'A5.YE22'!K:K,'A0.LS'!$BE$5,'A5.YE22'!L:L,"Posted",'A5.YE22'!D:D,'A0.LS'!E78),0)</f>
        <v>0</v>
      </c>
      <c r="BF78" s="936">
        <f>ROUND(SUM(BD78:BE78),0)</f>
        <v>6775714909</v>
      </c>
      <c r="BG78" s="937"/>
      <c r="BH78" s="936">
        <f>ROUND(SUMIFS('TB.XH.YE22'!P:P,'TB.XH.YE22'!A:A,'A0.LS'!E78),0)</f>
        <v>0</v>
      </c>
      <c r="BI78" s="936">
        <f>ROUND(SUMIFS('A5.YE22'!J:J,'A5.YE22'!K:K,"XH",'A5.YE22'!L:L,"Posted",'A5.YE22'!D:D,'A0.LS'!E78),0)</f>
        <v>0</v>
      </c>
      <c r="BJ78" s="936">
        <f>ROUND(SUM(BH78:BI78),0)</f>
        <v>0</v>
      </c>
      <c r="BK78" s="937"/>
      <c r="BL78" s="936">
        <f>ROUND(SUMIFS('TB.KCG.YE22'!P:P,'TB.KCG.YE22'!A:A,'A0.LS'!E78),0)</f>
        <v>0</v>
      </c>
      <c r="BM78" s="936">
        <f>ROUND(SUMIFS('A5.YE22'!J:J,'A5.YE22'!K:K,'A0.LS'!$BM$5,'A5.YE22'!L:L,"Posted",'A5.YE22'!D:D,'A0.LS'!E78),0)</f>
        <v>0</v>
      </c>
      <c r="BN78" s="936">
        <f>ROUND(SUM(BL78:BM78),0)</f>
        <v>0</v>
      </c>
      <c r="BO78" s="937"/>
      <c r="BP78" s="938">
        <v>7836008182</v>
      </c>
      <c r="BQ78" s="938">
        <f>ROUND(SUMIFS('A5.YE22'!J:J,'A5.YE22'!K:K,'A0.LS'!$BQ$5,'A5.YE22'!L:L,"Posted",'A5.YE22'!D:D,'A0.LS'!E78),0)</f>
        <v>0</v>
      </c>
      <c r="BR78" s="938">
        <f>ROUND(SUM(BP78:BQ78),0)</f>
        <v>7836008182</v>
      </c>
    </row>
    <row r="79" spans="2:70" ht="12.75">
      <c r="B79" s="939">
        <v>223</v>
      </c>
      <c r="C79" s="940"/>
      <c r="D79" s="927"/>
      <c r="E79" s="928" t="s">
        <v>91</v>
      </c>
      <c r="F79" s="928" t="s">
        <v>92</v>
      </c>
      <c r="G79" s="927" t="s">
        <v>2280</v>
      </c>
      <c r="H79" s="927" t="s">
        <v>2188</v>
      </c>
      <c r="I79" s="942">
        <f>SUMIFS('TB.CTy Me.FY2024'!I:I,'TB.CTy Me.FY2024'!A:A,'A0.LS'!E79)</f>
        <v>-1404771885</v>
      </c>
      <c r="J79" s="942">
        <f>ROUND(SUMIFS('A5.FY24'!K:K,'A5.FY24'!E:E,'A0.LS'!E79,'A5.FY24'!L:L,"Finhay",'A5.FY24'!M:M,"Posted"),0)</f>
        <v>0</v>
      </c>
      <c r="K79" s="942">
        <f>ROUND(SUMIFS('A5.FY24'!K:K,'A5.FY24'!E:E,'A0.LS'!E79,'A5.FY24'!L:L,"EY",'A5.FY24'!M:M,"Posted"),0)</f>
        <v>0</v>
      </c>
      <c r="L79" s="943">
        <f>ROUND(SUM(I79:K79),0)</f>
        <v>-1404771885</v>
      </c>
      <c r="M79" s="930"/>
      <c r="N79" s="944">
        <f>SUMIFS('TB.CTM.YE23'!I:I,'TB.CTM.YE23'!A:A,'A0.LS'!E79)</f>
        <v>-893707599</v>
      </c>
      <c r="O79" s="944">
        <v>0</v>
      </c>
      <c r="P79" s="944">
        <v>0</v>
      </c>
      <c r="Q79" s="945">
        <f>ROUND(SUM(N79:P79),0)</f>
        <v>-893707599</v>
      </c>
      <c r="R79" s="898"/>
      <c r="S79" s="848">
        <f>L79-Q79</f>
        <v>-511064286</v>
      </c>
      <c r="T79" s="946">
        <f>IFERROR(S79/Q79,"To check")</f>
        <v>0.5718473095359683</v>
      </c>
      <c r="U79" s="850"/>
      <c r="V79" s="850" t="s">
        <v>2281</v>
      </c>
      <c r="W79" s="850"/>
      <c r="X79" s="933"/>
      <c r="Y79" s="947" t="s">
        <v>2280</v>
      </c>
      <c r="Z79" s="936">
        <f>ROUND(SUMIFS('TB.Cty Con.FY24'!I:I,'TB.Cty Con.FY24'!A:A,'A0.LS'!E79),0)</f>
        <v>0</v>
      </c>
      <c r="AA79" s="936">
        <f>ROUND(SUMIFS('A5.CTC FY24'!K:K,'A5.CTC FY24'!E:E,'A0.LS'!E79,'A5.CTC FY24'!A:A,'A0.LS'!$AA$5,'A5.CTC FY24'!L:L,"Finhay",'A5.CTC FY24'!M:M,"Posted"),0)</f>
        <v>0</v>
      </c>
      <c r="AB79" s="936">
        <f>ROUND(SUMIFS('A5.CTC FY24'!K:K,'A5.CTC FY24'!E:E,'A0.LS'!E79,'A5.CTC FY24'!A:A,'A0.LS'!$AB$5,'A5.CTC FY24'!L:L,"EY",'A5.CTC FY24'!M:M,"Posted"),0)</f>
        <v>0</v>
      </c>
      <c r="AC79" s="948">
        <f>ROUND(SUM(Z79:AB79),0)</f>
        <v>0</v>
      </c>
      <c r="AD79" s="930"/>
      <c r="AE79" s="936">
        <f>ROUND(SUMIFS('TB VNSC FY24'!M:M,'TB VNSC FY24'!N:N,'A0.LS'!E79),0)</f>
        <v>-4275425294</v>
      </c>
      <c r="AF79" s="936">
        <f>SUMIFS('A5.CTC FY24'!K:K,'A5.CTC FY24'!E:E,'A0.LS'!E79,'A5.CTC FY24'!A:A,"VNSC",'A5.CTC FY24'!L:L,"VNSC",'A5.CTC FY24'!M:M,"Posted")</f>
        <v>0</v>
      </c>
      <c r="AG79" s="936">
        <f>ROUND(SUMIFS('A5.CTC FY24'!K:K,'A5.CTC FY24'!E:E,'A0.LS'!E79,'A5.CTC FY24'!A:A,"VNSC",'A5.CTC FY24'!L:L,"EY",'A5.CTC FY24'!M:M,"Posted"),0)</f>
        <v>0</v>
      </c>
      <c r="AH79" s="936">
        <f>ROUND(SUM(AE79:AG79),0)</f>
        <v>-4275425294</v>
      </c>
      <c r="AI79" s="930"/>
      <c r="AJ79" s="936">
        <f>SUMIFS('TB.KCG.FY24'!I:I,'TB.KCG.FY24'!A:A,'A0.LS'!E79)</f>
        <v>0</v>
      </c>
      <c r="AK79" s="936">
        <f>ROUND(SUMIFS('A5.CTC FY24'!K:K,'A5.CTC FY24'!E:E,'A0.LS'!E79,'A5.CTC FY24'!A:A,'A0.LS'!$AK$5,'A5.CTC FY24'!L:L,"EY",'A5.CTC FY24'!M:M,"Posted"),0)</f>
        <v>0</v>
      </c>
      <c r="AL79" s="948">
        <f>ROUND(SUM(AJ79:AK79),0)</f>
        <v>0</v>
      </c>
      <c r="AM79" s="930"/>
      <c r="AN79" s="949">
        <f>ROUND(SUM(AT79,AH79,AC79),0)</f>
        <v>-4275425294</v>
      </c>
      <c r="AO79" s="950">
        <f>ROUND(SUMIFS('A5.Consol FY24'!L:L,'A5.Consol FY24'!M:M,"EY",'A5.Consol FY24'!N:N,"Posted",'A5.Consol FY24'!B:B,'A0.LS'!$AO$5,'A5.Consol FY24'!F:F,'A0.LS'!E79),0)</f>
        <v>0</v>
      </c>
      <c r="AP79" s="949">
        <f>ROUND(SUM(AN79:AO79),0)</f>
        <v>-4275425294</v>
      </c>
      <c r="AQ79" s="930"/>
      <c r="AR79" s="936">
        <f>ROUND(SUMIFS('TB.XH.FY24'!I:I,'TB.XH.FY24'!J:J,'A0.LS'!E79),0)</f>
        <v>0</v>
      </c>
      <c r="AS79" s="936">
        <f>ROUND(SUMIFS('A5.CTC FY24'!K:K,'A5.CTC FY24'!E:E,'A0.LS'!E79,'A5.CTC FY24'!A:A,'A0.LS'!$AS$5,'A5.CTC FY24'!L:L,"EY",'A5.CTC FY24'!M:M,"Posted"),0)</f>
        <v>0</v>
      </c>
      <c r="AT79" s="948">
        <f>ROUND(SUM(AR79:AS79),0)</f>
        <v>0</v>
      </c>
      <c r="AU79" s="930"/>
      <c r="AV79" s="951">
        <f>ROUND(SUM(AP79,AL79,L79),0)</f>
        <v>-5680197179</v>
      </c>
      <c r="AW79" s="952">
        <f>SUMIFS('A5.Consol FY24'!L:L,'A5.Consol FY24'!B:B,'A0.LS'!$AW$5,'A5.Consol FY24'!M:M,"EY",'A5.Consol FY24'!N:N,"Posted",'A5.Consol FY24'!F:F,'A0.LS'!E79)</f>
        <v>0</v>
      </c>
      <c r="AX79" s="951">
        <f>ROUND(SUM(AV79:AW79),0)</f>
        <v>-5680197179</v>
      </c>
      <c r="AY79" s="920"/>
      <c r="AZ79" s="936">
        <f>SUMIFS('TB.CTC.YE22'!Q:Q,'TB.CTC.YE22'!A:A,'A0.LS'!E79)</f>
        <v>0</v>
      </c>
      <c r="BA79" s="936">
        <f>ROUND(SUMIFS('A5.YE22'!J:J,'A5.YE22'!K:K,'A0.LS'!$BA$5,'A5.YE22'!L:L,"Posted",'A5.YE22'!D:D,'A0.LS'!E79),0)</f>
        <v>0</v>
      </c>
      <c r="BB79" s="936">
        <f>ROUND(SUM(AZ79:BA79),0)</f>
        <v>0</v>
      </c>
      <c r="BC79" s="937"/>
      <c r="BD79" s="936">
        <f>ROUND(SUMIFS('TB.VNSC.YE22'!L:L,'TB.VNSC.YE22'!A:A,'A0.LS'!E79),0)</f>
        <v>-809497166</v>
      </c>
      <c r="BE79" s="936">
        <f>ROUND(SUMIFS('A5.YE22'!J:J,'A5.YE22'!K:K,'A0.LS'!$BE$5,'A5.YE22'!L:L,"Posted",'A5.YE22'!D:D,'A0.LS'!E79),0)</f>
        <v>0</v>
      </c>
      <c r="BF79" s="936">
        <f>ROUND(SUM(BD79:BE79),0)</f>
        <v>-809497166</v>
      </c>
      <c r="BG79" s="937"/>
      <c r="BH79" s="936">
        <f>ROUND(SUMIFS('TB.XH.YE22'!P:P,'TB.XH.YE22'!A:A,'A0.LS'!E79),0)</f>
        <v>0</v>
      </c>
      <c r="BI79" s="936">
        <f>ROUND(SUMIFS('A5.YE22'!J:J,'A5.YE22'!K:K,"XH",'A5.YE22'!L:L,"Posted",'A5.YE22'!D:D,'A0.LS'!E79),0)</f>
        <v>0</v>
      </c>
      <c r="BJ79" s="936">
        <f>ROUND(SUM(BH79:BI79),0)</f>
        <v>0</v>
      </c>
      <c r="BK79" s="937"/>
      <c r="BL79" s="936">
        <f>ROUND(SUMIFS('TB.KCG.YE22'!P:P,'TB.KCG.YE22'!A:A,'A0.LS'!E79),0)</f>
        <v>0</v>
      </c>
      <c r="BM79" s="936">
        <f>ROUND(SUMIFS('A5.YE22'!J:J,'A5.YE22'!K:K,'A0.LS'!$BM$5,'A5.YE22'!L:L,"Posted",'A5.YE22'!D:D,'A0.LS'!E79),0)</f>
        <v>0</v>
      </c>
      <c r="BN79" s="936">
        <f>ROUND(SUM(BL79:BM79),0)</f>
        <v>0</v>
      </c>
      <c r="BO79" s="937"/>
      <c r="BP79" s="938">
        <v>-3308803634</v>
      </c>
      <c r="BQ79" s="938">
        <f>ROUND(SUMIFS('A5.YE22'!J:J,'A5.YE22'!K:K,'A0.LS'!$BQ$5,'A5.YE22'!L:L,"Posted",'A5.YE22'!D:D,'A0.LS'!E79),0)</f>
        <v>0</v>
      </c>
      <c r="BR79" s="938">
        <f>ROUND(SUM(BP79:BQ79),0)</f>
        <v>-3308803634</v>
      </c>
    </row>
    <row r="80" spans="2:70" ht="12.75">
      <c r="B80" s="925"/>
      <c r="C80" s="926"/>
      <c r="D80" s="927"/>
      <c r="E80" s="928"/>
      <c r="F80" s="928"/>
      <c r="G80" s="928"/>
      <c r="H80" s="927"/>
      <c r="I80" s="929"/>
      <c r="J80" s="929"/>
      <c r="K80" s="929"/>
      <c r="L80" s="929"/>
      <c r="M80" s="930"/>
      <c r="N80" s="931"/>
      <c r="O80" s="931"/>
      <c r="P80" s="931"/>
      <c r="Q80" s="932"/>
      <c r="R80" s="898"/>
      <c r="S80" s="850"/>
      <c r="T80" s="850"/>
      <c r="U80" s="850"/>
      <c r="V80" s="850"/>
      <c r="W80" s="850"/>
      <c r="X80" s="304"/>
      <c r="Y80" s="933"/>
      <c r="Z80" s="934"/>
      <c r="AA80" s="934"/>
      <c r="AB80" s="934"/>
      <c r="AC80" s="934"/>
      <c r="AD80" s="930"/>
      <c r="AE80" s="934"/>
      <c r="AF80" s="934"/>
      <c r="AG80" s="934"/>
      <c r="AH80" s="934"/>
      <c r="AI80" s="930"/>
      <c r="AJ80" s="934"/>
      <c r="AK80" s="934"/>
      <c r="AL80" s="934"/>
      <c r="AM80" s="930"/>
      <c r="AN80" s="935"/>
      <c r="AO80" s="935"/>
      <c r="AP80" s="935"/>
      <c r="AQ80" s="930"/>
      <c r="AR80" s="934"/>
      <c r="AS80" s="934"/>
      <c r="AT80" s="934"/>
      <c r="AU80" s="930"/>
      <c r="AV80" s="909"/>
      <c r="AW80" s="909"/>
      <c r="AX80" s="909"/>
      <c r="AY80" s="920"/>
      <c r="AZ80" s="936"/>
      <c r="BA80" s="936"/>
      <c r="BB80" s="936"/>
      <c r="BC80" s="937"/>
      <c r="BD80" s="936"/>
      <c r="BE80" s="936"/>
      <c r="BF80" s="936"/>
      <c r="BG80" s="937"/>
      <c r="BH80" s="936"/>
      <c r="BI80" s="936"/>
      <c r="BJ80" s="936"/>
      <c r="BK80" s="937"/>
      <c r="BL80" s="936"/>
      <c r="BM80" s="936"/>
      <c r="BN80" s="936"/>
      <c r="BO80" s="937"/>
      <c r="BP80" s="938"/>
      <c r="BQ80" s="938"/>
      <c r="BR80" s="938"/>
    </row>
    <row r="81" spans="2:70" s="1" customFormat="1" ht="12.75">
      <c r="B81" s="293"/>
      <c r="C81" s="294"/>
      <c r="D81" s="295"/>
      <c r="E81" s="75"/>
      <c r="F81" s="75" t="s">
        <v>2282</v>
      </c>
      <c r="G81" s="75"/>
      <c r="H81" s="295"/>
      <c r="I81" s="68">
        <f>SUM(I82:I84)</f>
        <v>45665736217</v>
      </c>
      <c r="J81" s="68">
        <f>SUM(J82:J84)</f>
        <v>0</v>
      </c>
      <c r="K81" s="68">
        <f>SUM(K82:K84)</f>
        <v>0</v>
      </c>
      <c r="L81" s="68">
        <f>SUM(L82:L84)</f>
        <v>45665736217</v>
      </c>
      <c r="M81" s="296"/>
      <c r="N81" s="69">
        <f>SUM(N82:N84)</f>
        <v>40801577323</v>
      </c>
      <c r="O81" s="69">
        <f>SUM(O82:O84)</f>
        <v>4891767</v>
      </c>
      <c r="P81" s="69">
        <f>SUM(P82:P84)</f>
        <v>0</v>
      </c>
      <c r="Q81" s="70">
        <f>SUM(Q82:Q84)</f>
        <v>40806469090</v>
      </c>
      <c r="R81" s="298"/>
      <c r="S81" s="175">
        <f>L81-Q81</f>
        <v>4859267127</v>
      </c>
      <c r="T81" s="176">
        <f>IFERROR(S81/Q81,"To check")</f>
        <v>0.11908080349423832</v>
      </c>
      <c r="X81" s="933"/>
      <c r="Y81" s="321" t="s">
        <v>2280</v>
      </c>
      <c r="Z81" s="235">
        <f>SUM(Z82:Z84)</f>
        <v>0</v>
      </c>
      <c r="AA81" s="235">
        <f>SUM(AA82:AA84)</f>
        <v>0</v>
      </c>
      <c r="AB81" s="235">
        <f>SUM(AB82:AB84)</f>
        <v>0</v>
      </c>
      <c r="AC81" s="235">
        <f>SUM(AC82:AC84)</f>
        <v>0</v>
      </c>
      <c r="AD81" s="236"/>
      <c r="AE81" s="235">
        <f>SUM(AE82:AE84)</f>
        <v>3586803736</v>
      </c>
      <c r="AF81" s="235">
        <f>SUM(AF82:AF84)</f>
        <v>0</v>
      </c>
      <c r="AG81" s="235">
        <f>SUM(AG82:AG84)</f>
        <v>0</v>
      </c>
      <c r="AH81" s="235">
        <f>SUM(AH82:AH84)</f>
        <v>3586803736</v>
      </c>
      <c r="AI81" s="236"/>
      <c r="AJ81" s="235">
        <f>SUM(AJ82:AJ84)</f>
        <v>0</v>
      </c>
      <c r="AK81" s="235">
        <f>SUM(AK82:AK84)</f>
        <v>0</v>
      </c>
      <c r="AL81" s="235">
        <f>SUM(AL82:AL84)</f>
        <v>0</v>
      </c>
      <c r="AM81" s="236"/>
      <c r="AN81" s="237">
        <f>SUM(AN82:AN84)</f>
        <v>3586803736</v>
      </c>
      <c r="AO81" s="237">
        <f>SUM(AO82:AO84)</f>
        <v>0</v>
      </c>
      <c r="AP81" s="237">
        <f>SUM(AP82:AP84)</f>
        <v>3586803736</v>
      </c>
      <c r="AQ81" s="236"/>
      <c r="AR81" s="235">
        <f>SUM(AR82:AR84)</f>
        <v>0</v>
      </c>
      <c r="AS81" s="235">
        <f>SUM(AS82:AS84)</f>
        <v>0</v>
      </c>
      <c r="AT81" s="235">
        <f>SUM(AT82:AT84)</f>
        <v>0</v>
      </c>
      <c r="AU81" s="236"/>
      <c r="AV81" s="238">
        <f>SUM(AV82:AV84)</f>
        <v>49252539953</v>
      </c>
      <c r="AW81" s="238">
        <f>SUM(AW82:AW84)</f>
        <v>0</v>
      </c>
      <c r="AX81" s="238">
        <f>SUM(AX82:AX84)</f>
        <v>49252539953</v>
      </c>
      <c r="AY81" s="614"/>
      <c r="AZ81" s="235">
        <f>SUM(AZ82:AZ84)</f>
        <v>0</v>
      </c>
      <c r="BA81" s="235">
        <f>SUM(BA82:BA84)</f>
        <v>0</v>
      </c>
      <c r="BB81" s="235">
        <f>SUM(BB82:BB84)</f>
        <v>0</v>
      </c>
      <c r="BC81" s="236"/>
      <c r="BD81" s="235">
        <f>SUM(BD82:BD84)</f>
        <v>129306788</v>
      </c>
      <c r="BE81" s="235">
        <f>SUM(BE82:BE84)</f>
        <v>0</v>
      </c>
      <c r="BF81" s="235">
        <f>SUM(BF82:BF84)</f>
        <v>129306788</v>
      </c>
      <c r="BG81" s="236"/>
      <c r="BH81" s="235">
        <f>SUM(BH82:BH84)</f>
        <v>0</v>
      </c>
      <c r="BI81" s="235">
        <f>SUM(BI82:BI84)</f>
        <v>0</v>
      </c>
      <c r="BJ81" s="235">
        <f>SUM(BJ82:BJ84)</f>
        <v>0</v>
      </c>
      <c r="BK81" s="236"/>
      <c r="BL81" s="235">
        <f>SUM(BL82:BL84)</f>
        <v>0</v>
      </c>
      <c r="BM81" s="235">
        <f>SUM(BM82:BM84)</f>
        <v>0</v>
      </c>
      <c r="BN81" s="235">
        <f>SUM(BN82:BN84)</f>
        <v>0</v>
      </c>
      <c r="BO81" s="236"/>
      <c r="BP81" s="443">
        <f>SUM(BP82:BP84)</f>
        <v>45043879426</v>
      </c>
      <c r="BQ81" s="443">
        <f>SUM(BQ82:BQ84)</f>
        <v>0</v>
      </c>
      <c r="BR81" s="443">
        <f>SUM(BR82:BR84)</f>
        <v>45043879426</v>
      </c>
    </row>
    <row r="82" spans="2:70" ht="12.75">
      <c r="B82" s="939">
        <v>228</v>
      </c>
      <c r="C82" s="940"/>
      <c r="D82" s="927"/>
      <c r="E82" s="928" t="s">
        <v>87</v>
      </c>
      <c r="F82" s="928" t="s">
        <v>88</v>
      </c>
      <c r="G82" s="927" t="s">
        <v>2280</v>
      </c>
      <c r="H82" s="927" t="s">
        <v>2188</v>
      </c>
      <c r="I82" s="942">
        <f>SUMIFS('TB.CTy Me.FY2024'!I:I,'TB.CTy Me.FY2024'!A:A,'A0.LS'!E82)</f>
        <v>53008591420</v>
      </c>
      <c r="J82" s="942">
        <f>ROUND(SUMIFS('A5.FY24'!K:K,'A5.FY24'!E:E,'A0.LS'!E82,'A5.FY24'!L:L,"Finhay",'A5.FY24'!M:M,"Posted"),0)</f>
        <v>0</v>
      </c>
      <c r="K82" s="942">
        <f>ROUND(SUMIFS('A5.FY24'!K:K,'A5.FY24'!E:E,'A0.LS'!E82,'A5.FY24'!L:L,"EY",'A5.FY24'!M:M,"Posted"),0)</f>
        <v>0</v>
      </c>
      <c r="L82" s="943">
        <f>ROUND(SUM(I82:K82),0)</f>
        <v>53008591420</v>
      </c>
      <c r="M82" s="930"/>
      <c r="N82" s="944">
        <f>SUMIFS('TB.CTM.YE23'!I:I,'TB.CTM.YE23'!A:A,'A0.LS'!E82)</f>
        <v>44677813903</v>
      </c>
      <c r="O82" s="944">
        <v>0</v>
      </c>
      <c r="P82" s="944">
        <v>0</v>
      </c>
      <c r="Q82" s="945">
        <f>ROUND(SUM(N82:P82),0)</f>
        <v>44677813903</v>
      </c>
      <c r="R82" s="898"/>
      <c r="S82" s="848">
        <f>L82-Q82</f>
        <v>8330777517</v>
      </c>
      <c r="T82" s="946">
        <f>IFERROR(S82/Q82,"To check")</f>
        <v>0.18646340967100475</v>
      </c>
      <c r="U82" s="850"/>
      <c r="V82" s="850" t="s">
        <v>2283</v>
      </c>
      <c r="W82" s="850"/>
      <c r="X82" s="947" t="s">
        <v>676</v>
      </c>
      <c r="Y82" s="947" t="s">
        <v>2280</v>
      </c>
      <c r="Z82" s="936">
        <f>ROUND(SUMIFS('TB.Cty Con.FY24'!I:I,'TB.Cty Con.FY24'!A:A,'A0.LS'!E82),0)</f>
        <v>0</v>
      </c>
      <c r="AA82" s="936">
        <f>ROUND(SUMIFS('A5.CTC FY24'!K:K,'A5.CTC FY24'!E:E,'A0.LS'!E82,'A5.CTC FY24'!A:A,'A0.LS'!$AA$5,'A5.CTC FY24'!L:L,"Finhay",'A5.CTC FY24'!M:M,"Posted"),0)</f>
        <v>0</v>
      </c>
      <c r="AB82" s="936">
        <f>ROUND(SUMIFS('A5.CTC FY24'!K:K,'A5.CTC FY24'!E:E,'A0.LS'!E82,'A5.CTC FY24'!A:A,'A0.LS'!$AB$5,'A5.CTC FY24'!L:L,"EY",'A5.CTC FY24'!M:M,"Posted"),0)</f>
        <v>0</v>
      </c>
      <c r="AC82" s="948">
        <f>ROUND(SUM(Z82:AB82),0)</f>
        <v>0</v>
      </c>
      <c r="AD82" s="930"/>
      <c r="AE82" s="936">
        <f>ROUND(SUMIFS('TB VNSC FY24'!M:M,'TB VNSC FY24'!N:N,'A0.LS'!E82),0)</f>
        <v>4628680900</v>
      </c>
      <c r="AF82" s="936">
        <f>SUMIFS('A5.CTC FY24'!K:K,'A5.CTC FY24'!E:E,'A0.LS'!E82,'A5.CTC FY24'!A:A,"VNSC",'A5.CTC FY24'!L:L,"VNSC",'A5.CTC FY24'!M:M,"Posted")</f>
        <v>0</v>
      </c>
      <c r="AG82" s="936">
        <f>ROUND(SUMIFS('A5.CTC FY24'!K:K,'A5.CTC FY24'!E:E,'A0.LS'!E82,'A5.CTC FY24'!A:A,"VNSC",'A5.CTC FY24'!L:L,"EY",'A5.CTC FY24'!M:M,"Posted"),0)</f>
        <v>0</v>
      </c>
      <c r="AH82" s="936">
        <f>ROUND(SUM(AE82:AG82),0)</f>
        <v>4628680900</v>
      </c>
      <c r="AI82" s="930"/>
      <c r="AJ82" s="936">
        <f>SUMIFS('TB.KCG.FY24'!I:I,'TB.KCG.FY24'!A:A,'A0.LS'!E82)</f>
        <v>0</v>
      </c>
      <c r="AK82" s="936">
        <f>ROUND(SUMIFS('A5.CTC FY24'!K:K,'A5.CTC FY24'!E:E,'A0.LS'!E82,'A5.CTC FY24'!A:A,'A0.LS'!$AK$5,'A5.CTC FY24'!L:L,"EY",'A5.CTC FY24'!M:M,"Posted"),0)</f>
        <v>0</v>
      </c>
      <c r="AL82" s="948">
        <f>ROUND(SUM(AJ82:AK82),0)</f>
        <v>0</v>
      </c>
      <c r="AM82" s="930"/>
      <c r="AN82" s="949">
        <f>ROUND(SUM(AT82,AH82,AC82),0)</f>
        <v>4628680900</v>
      </c>
      <c r="AO82" s="950">
        <f>ROUND(SUMIFS('A5.Consol FY24'!L:L,'A5.Consol FY24'!M:M,"EY",'A5.Consol FY24'!N:N,"Posted",'A5.Consol FY24'!B:B,'A0.LS'!$AO$5,'A5.Consol FY24'!F:F,'A0.LS'!E82),0)</f>
        <v>0</v>
      </c>
      <c r="AP82" s="949">
        <f>ROUND(SUM(AN82:AO82),0)</f>
        <v>4628680900</v>
      </c>
      <c r="AQ82" s="930"/>
      <c r="AR82" s="936">
        <f>ROUND(SUMIFS('TB.XH.FY24'!I:I,'TB.XH.FY24'!J:J,'A0.LS'!E82),0)</f>
        <v>0</v>
      </c>
      <c r="AS82" s="936">
        <f>ROUND(SUMIFS('A5.CTC FY24'!K:K,'A5.CTC FY24'!E:E,'A0.LS'!E82,'A5.CTC FY24'!A:A,'A0.LS'!$AS$5,'A5.CTC FY24'!L:L,"EY",'A5.CTC FY24'!M:M,"Posted"),0)</f>
        <v>0</v>
      </c>
      <c r="AT82" s="948">
        <f>ROUND(SUM(AR82:AS82),0)</f>
        <v>0</v>
      </c>
      <c r="AU82" s="930"/>
      <c r="AV82" s="951">
        <f>ROUND(SUM(AP82,AL82,L82),0)</f>
        <v>57637272320</v>
      </c>
      <c r="AW82" s="952">
        <f>SUMIFS('A5.Consol FY24'!L:L,'A5.Consol FY24'!B:B,'A0.LS'!$AW$5,'A5.Consol FY24'!M:M,"EY",'A5.Consol FY24'!N:N,"Posted",'A5.Consol FY24'!F:F,'A0.LS'!E82)</f>
        <v>0</v>
      </c>
      <c r="AX82" s="951">
        <f>ROUND(SUM(AV82:AW82),0)</f>
        <v>57637272320</v>
      </c>
      <c r="AY82" s="920"/>
      <c r="AZ82" s="936">
        <f>SUMIFS('TB.CTC.YE22'!Q:Q,'TB.CTC.YE22'!A:A,'A0.LS'!E82)</f>
        <v>0</v>
      </c>
      <c r="BA82" s="936">
        <f>ROUND(SUMIFS('A5.YE22'!J:J,'A5.YE22'!K:K,'A0.LS'!$BA$5,'A5.YE22'!L:L,"Posted",'A5.YE22'!D:D,'A0.LS'!E82),0)</f>
        <v>0</v>
      </c>
      <c r="BB82" s="936">
        <f>ROUND(SUM(AZ82:BA82),0)</f>
        <v>0</v>
      </c>
      <c r="BC82" s="937"/>
      <c r="BD82" s="936">
        <f>ROUND(SUMIFS('TB.VNSC.YE22'!L:L,'TB.VNSC.YE22'!A:A,'A0.LS'!E82),0)</f>
        <v>521680900</v>
      </c>
      <c r="BE82" s="936">
        <f>ROUND(SUMIFS('A5.YE22'!J:J,'A5.YE22'!K:K,'A0.LS'!$BE$5,'A5.YE22'!L:L,"Posted",'A5.YE22'!D:D,'A0.LS'!E82),0)</f>
        <v>0</v>
      </c>
      <c r="BF82" s="936">
        <f>ROUND(SUM(BD82:BE82),0)</f>
        <v>521680900</v>
      </c>
      <c r="BG82" s="937"/>
      <c r="BH82" s="936">
        <f>ROUND(SUMIFS('TB.XH.YE22'!P:P,'TB.XH.YE22'!A:A,'A0.LS'!E82),0)</f>
        <v>0</v>
      </c>
      <c r="BI82" s="936">
        <f>ROUND(SUMIFS('A5.YE22'!J:J,'A5.YE22'!K:K,"XH",'A5.YE22'!L:L,"Posted",'A5.YE22'!D:D,'A0.LS'!E82),0)</f>
        <v>0</v>
      </c>
      <c r="BJ82" s="936">
        <f>ROUND(SUM(BH82:BI82),0)</f>
        <v>0</v>
      </c>
      <c r="BK82" s="937"/>
      <c r="BL82" s="936">
        <f>ROUND(SUMIFS('TB.KCG.YE22'!P:P,'TB.KCG.YE22'!A:A,'A0.LS'!E82),0)</f>
        <v>0</v>
      </c>
      <c r="BM82" s="936">
        <f>ROUND(SUMIFS('A5.YE22'!J:J,'A5.YE22'!K:K,'A0.LS'!$BM$5,'A5.YE22'!L:L,"Posted",'A5.YE22'!D:D,'A0.LS'!E82),0)</f>
        <v>0</v>
      </c>
      <c r="BN82" s="936">
        <f>ROUND(SUM(BL82:BM82),0)</f>
        <v>0</v>
      </c>
      <c r="BO82" s="937"/>
      <c r="BP82" s="938">
        <v>49306494803</v>
      </c>
      <c r="BQ82" s="938">
        <f>ROUND(SUMIFS('A5.YE22'!J:J,'A5.YE22'!K:K,'A0.LS'!$BQ$5,'A5.YE22'!L:L,"Posted",'A5.YE22'!D:D,'A0.LS'!E82),0)</f>
        <v>0</v>
      </c>
      <c r="BR82" s="938">
        <f>ROUND(SUM(BP82:BQ82),0)</f>
        <v>49306494803</v>
      </c>
    </row>
    <row r="83" spans="2:70" ht="12.75">
      <c r="B83" s="939">
        <v>228</v>
      </c>
      <c r="C83" s="940"/>
      <c r="D83" s="927"/>
      <c r="E83" s="954" t="s">
        <v>1589</v>
      </c>
      <c r="F83" s="928" t="s">
        <v>2284</v>
      </c>
      <c r="G83" s="927"/>
      <c r="H83" s="927"/>
      <c r="I83" s="942">
        <f>SUMIFS('TB.CTy Me.FY2024'!I:I,'TB.CTy Me.FY2024'!A:A,'A0.LS'!E83)</f>
        <v>0</v>
      </c>
      <c r="J83" s="942">
        <f>ROUND(SUMIFS('A5.FY24'!K:K,'A5.FY24'!E:E,'A0.LS'!E83,'A5.FY24'!L:L,"Finhay",'A5.FY24'!M:M,"Posted"),0)</f>
        <v>0</v>
      </c>
      <c r="K83" s="942">
        <f>ROUND(SUMIFS('A5.FY24'!K:K,'A5.FY24'!E:E,'A0.LS'!E83,'A5.FY24'!L:L,"EY",'A5.FY24'!M:M,"Posted"),0)</f>
        <v>0</v>
      </c>
      <c r="L83" s="943">
        <f>ROUND(SUM(I83:K83),0)</f>
        <v>0</v>
      </c>
      <c r="M83" s="930"/>
      <c r="N83" s="944">
        <f>SUMIFS('TB.CTM.YE23'!I:I,'TB.CTM.YE23'!A:A,'A0.LS'!E83)</f>
        <v>0</v>
      </c>
      <c r="O83" s="944">
        <v>0</v>
      </c>
      <c r="P83" s="944">
        <v>0</v>
      </c>
      <c r="Q83" s="945">
        <f>ROUND(SUM(N83:P83),0)</f>
        <v>0</v>
      </c>
      <c r="R83" s="898"/>
      <c r="S83" s="848">
        <f>L83-Q83</f>
        <v>0</v>
      </c>
      <c r="T83" s="946" t="str">
        <f>IFERROR(S83/Q83,"To check")</f>
        <v>To check</v>
      </c>
      <c r="U83" s="850"/>
      <c r="V83" s="850"/>
      <c r="W83" s="850"/>
      <c r="X83" s="947" t="s">
        <v>676</v>
      </c>
      <c r="Y83" s="947" t="s">
        <v>2280</v>
      </c>
      <c r="Z83" s="936">
        <f>ROUND(SUMIFS('TB.Cty Con.FY24'!I:I,'TB.Cty Con.FY24'!A:A,'A0.LS'!E83),0)</f>
        <v>0</v>
      </c>
      <c r="AA83" s="936">
        <f>ROUND(SUMIFS('A5.CTC FY24'!K:K,'A5.CTC FY24'!E:E,'A0.LS'!E83,'A5.CTC FY24'!A:A,'A0.LS'!$AA$5,'A5.CTC FY24'!L:L,"Finhay",'A5.CTC FY24'!M:M,"Posted"),0)</f>
        <v>0</v>
      </c>
      <c r="AB83" s="936">
        <f>ROUND(SUMIFS('A5.CTC FY24'!K:K,'A5.CTC FY24'!E:E,'A0.LS'!E83,'A5.CTC FY24'!A:A,'A0.LS'!$AB$5,'A5.CTC FY24'!L:L,"EY",'A5.CTC FY24'!M:M,"Posted"),0)</f>
        <v>0</v>
      </c>
      <c r="AC83" s="948">
        <f>ROUND(SUM(Z83:AB83),0)</f>
        <v>0</v>
      </c>
      <c r="AD83" s="930"/>
      <c r="AE83" s="936">
        <f>ROUND(SUMIFS('TB VNSC FY24'!M:M,'TB VNSC FY24'!N:N,'A0.LS'!E83),0)</f>
        <v>433397208</v>
      </c>
      <c r="AF83" s="936">
        <f>SUMIFS('A5.CTC FY24'!K:K,'A5.CTC FY24'!E:E,'A0.LS'!E83,'A5.CTC FY24'!A:A,"VNSC",'A5.CTC FY24'!L:L,"VNSC",'A5.CTC FY24'!M:M,"Posted")</f>
        <v>0</v>
      </c>
      <c r="AG83" s="936">
        <f>ROUND(SUMIFS('A5.CTC FY24'!K:K,'A5.CTC FY24'!E:E,'A0.LS'!E83,'A5.CTC FY24'!A:A,"VNSC",'A5.CTC FY24'!L:L,"EY",'A5.CTC FY24'!M:M,"Posted"),0)</f>
        <v>0</v>
      </c>
      <c r="AH83" s="936">
        <f>ROUND(SUM(AE83:AG83),0)</f>
        <v>433397208</v>
      </c>
      <c r="AI83" s="930"/>
      <c r="AJ83" s="936">
        <f>SUMIFS('TB.KCG.FY24'!I:I,'TB.KCG.FY24'!A:A,'A0.LS'!E83)</f>
        <v>0</v>
      </c>
      <c r="AK83" s="936">
        <f>ROUND(SUMIFS('A5.CTC FY24'!K:K,'A5.CTC FY24'!E:E,'A0.LS'!E83,'A5.CTC FY24'!A:A,'A0.LS'!$AK$5,'A5.CTC FY24'!L:L,"EY",'A5.CTC FY24'!M:M,"Posted"),0)</f>
        <v>0</v>
      </c>
      <c r="AL83" s="948">
        <f>ROUND(SUM(AJ83:AK83),0)</f>
        <v>0</v>
      </c>
      <c r="AM83" s="930"/>
      <c r="AN83" s="949">
        <f>ROUND(SUM(AT83,AH83,AC83),0)</f>
        <v>433397208</v>
      </c>
      <c r="AO83" s="950">
        <f>ROUND(SUMIFS('A5.Consol FY24'!L:L,'A5.Consol FY24'!M:M,"EY",'A5.Consol FY24'!N:N,"Posted",'A5.Consol FY24'!B:B,'A0.LS'!$AO$5,'A5.Consol FY24'!F:F,'A0.LS'!E83),0)</f>
        <v>0</v>
      </c>
      <c r="AP83" s="949">
        <f>ROUND(SUM(AN83:AO83),0)</f>
        <v>433397208</v>
      </c>
      <c r="AQ83" s="930"/>
      <c r="AR83" s="936">
        <f>ROUND(SUMIFS('TB.XH.FY24'!I:I,'TB.XH.FY24'!J:J,'A0.LS'!E83),0)</f>
        <v>0</v>
      </c>
      <c r="AS83" s="936">
        <f>ROUND(SUMIFS('A5.CTC FY24'!K:K,'A5.CTC FY24'!E:E,'A0.LS'!E83,'A5.CTC FY24'!A:A,'A0.LS'!$AS$5,'A5.CTC FY24'!L:L,"EY",'A5.CTC FY24'!M:M,"Posted"),0)</f>
        <v>0</v>
      </c>
      <c r="AT83" s="948">
        <f>ROUND(SUM(AR83:AS83),0)</f>
        <v>0</v>
      </c>
      <c r="AU83" s="930"/>
      <c r="AV83" s="951">
        <f>ROUND(SUM(AP83,AL83,L83),0)</f>
        <v>433397208</v>
      </c>
      <c r="AW83" s="952">
        <f>SUMIFS('A5.Consol FY24'!L:L,'A5.Consol FY24'!B:B,'A0.LS'!$AW$5,'A5.Consol FY24'!M:M,"EY",'A5.Consol FY24'!N:N,"Posted",'A5.Consol FY24'!F:F,'A0.LS'!E83)</f>
        <v>0</v>
      </c>
      <c r="AX83" s="951">
        <f>ROUND(SUM(AV83:AW83),0)</f>
        <v>433397208</v>
      </c>
      <c r="AY83" s="920"/>
      <c r="AZ83" s="936">
        <f>SUMIFS('TB.CTC.YE22'!Q:Q,'TB.CTC.YE22'!A:A,'A0.LS'!E83)</f>
        <v>0</v>
      </c>
      <c r="BA83" s="936">
        <f>ROUND(SUMIFS('A5.YE22'!J:J,'A5.YE22'!K:K,'A0.LS'!$BA$5,'A5.YE22'!L:L,"Posted",'A5.YE22'!D:D,'A0.LS'!E83),0)</f>
        <v>0</v>
      </c>
      <c r="BB83" s="936">
        <f>ROUND(SUM(AZ83:BA83),0)</f>
        <v>0</v>
      </c>
      <c r="BC83" s="937"/>
      <c r="BD83" s="936">
        <f>ROUND(SUMIFS('TB.VNSC.YE22'!L:L,'TB.VNSC.YE22'!A:A,'A0.LS'!E83),0)</f>
        <v>0</v>
      </c>
      <c r="BE83" s="936">
        <f>ROUND(SUMIFS('A5.YE22'!J:J,'A5.YE22'!K:K,'A0.LS'!$BE$5,'A5.YE22'!L:L,"Posted",'A5.YE22'!D:D,'A0.LS'!E83),0)</f>
        <v>0</v>
      </c>
      <c r="BF83" s="936">
        <f>ROUND(SUM(BD83:BE83),0)</f>
        <v>0</v>
      </c>
      <c r="BG83" s="937"/>
      <c r="BH83" s="936">
        <f>ROUND(SUMIFS('TB.XH.YE22'!P:P,'TB.XH.YE22'!A:A,'A0.LS'!E83),0)</f>
        <v>0</v>
      </c>
      <c r="BI83" s="936">
        <f>ROUND(SUMIFS('A5.YE22'!J:J,'A5.YE22'!K:K,"XH",'A5.YE22'!L:L,"Posted",'A5.YE22'!D:D,'A0.LS'!E83),0)</f>
        <v>0</v>
      </c>
      <c r="BJ83" s="936">
        <f>ROUND(SUM(BH83:BI83),0)</f>
        <v>0</v>
      </c>
      <c r="BK83" s="937"/>
      <c r="BL83" s="936">
        <f>ROUND(SUMIFS('TB.KCG.YE22'!P:P,'TB.KCG.YE22'!A:A,'A0.LS'!E83),0)</f>
        <v>0</v>
      </c>
      <c r="BM83" s="936">
        <f>ROUND(SUMIFS('A5.YE22'!J:J,'A5.YE22'!K:K,'A0.LS'!$BM$5,'A5.YE22'!L:L,"Posted",'A5.YE22'!D:D,'A0.LS'!E83),0)</f>
        <v>0</v>
      </c>
      <c r="BN83" s="936">
        <f>ROUND(SUM(BL83:BM83),0)</f>
        <v>0</v>
      </c>
      <c r="BO83" s="937"/>
      <c r="BP83" s="938">
        <v>433397208</v>
      </c>
      <c r="BQ83" s="938">
        <f>ROUND(SUMIFS('A5.YE22'!J:J,'A5.YE22'!K:K,'A0.LS'!$BQ$5,'A5.YE22'!L:L,"Posted",'A5.YE22'!D:D,'A0.LS'!E83),0)</f>
        <v>0</v>
      </c>
      <c r="BR83" s="938">
        <f>ROUND(SUM(BP83:BQ83),0)</f>
        <v>433397208</v>
      </c>
    </row>
    <row r="84" spans="2:70" ht="12.75">
      <c r="B84" s="939">
        <v>229</v>
      </c>
      <c r="C84" s="940"/>
      <c r="D84" s="927"/>
      <c r="E84" s="928" t="s">
        <v>93</v>
      </c>
      <c r="F84" s="928" t="s">
        <v>94</v>
      </c>
      <c r="G84" s="927" t="s">
        <v>2280</v>
      </c>
      <c r="H84" s="927" t="s">
        <v>2188</v>
      </c>
      <c r="I84" s="942">
        <f>SUMIFS('TB.CTy Me.FY2024'!I:I,'TB.CTy Me.FY2024'!A:A,'A0.LS'!E84)</f>
        <v>-7342855203</v>
      </c>
      <c r="J84" s="942">
        <f>ROUND(SUMIFS('A5.FY24'!K:K,'A5.FY24'!E:E,'A0.LS'!E84,'A5.FY24'!L:L,"Finhay",'A5.FY24'!M:M,"Posted"),0)</f>
        <v>0</v>
      </c>
      <c r="K84" s="942">
        <f>ROUND(SUMIFS('A5.FY24'!K:K,'A5.FY24'!E:E,'A0.LS'!E84,'A5.FY24'!L:L,"EY",'A5.FY24'!M:M,"Posted"),0)</f>
        <v>0</v>
      </c>
      <c r="L84" s="943">
        <f>ROUND(SUM(I84:K84),0)</f>
        <v>-7342855203</v>
      </c>
      <c r="M84" s="930"/>
      <c r="N84" s="944">
        <f>SUMIFS('TB.CTM.YE23'!I:I,'TB.CTM.YE23'!A:A,'A0.LS'!E84)</f>
        <v>-3876236580</v>
      </c>
      <c r="O84" s="944">
        <v>4891767</v>
      </c>
      <c r="P84" s="944">
        <v>0</v>
      </c>
      <c r="Q84" s="945">
        <f>ROUND(SUM(N84:P84),0)</f>
        <v>-3871344813</v>
      </c>
      <c r="R84" s="898"/>
      <c r="S84" s="848">
        <f>L84-Q84</f>
        <v>-3471510390</v>
      </c>
      <c r="T84" s="946">
        <f>IFERROR(S84/Q84,"To check")</f>
        <v>0.89671950128096223</v>
      </c>
      <c r="U84" s="850"/>
      <c r="V84" s="850" t="s">
        <v>2283</v>
      </c>
      <c r="W84" s="850"/>
      <c r="X84" s="947" t="s">
        <v>676</v>
      </c>
      <c r="Y84" s="947" t="s">
        <v>2280</v>
      </c>
      <c r="Z84" s="936">
        <f>ROUND(SUMIFS('TB.Cty Con.FY24'!I:I,'TB.Cty Con.FY24'!A:A,'A0.LS'!E84),0)</f>
        <v>0</v>
      </c>
      <c r="AA84" s="936">
        <f>ROUND(SUMIFS('A5.CTC FY24'!K:K,'A5.CTC FY24'!E:E,'A0.LS'!E84,'A5.CTC FY24'!A:A,'A0.LS'!$AA$5,'A5.CTC FY24'!L:L,"Finhay",'A5.CTC FY24'!M:M,"Posted"),0)</f>
        <v>0</v>
      </c>
      <c r="AB84" s="936">
        <f>ROUND(SUMIFS('A5.CTC FY24'!K:K,'A5.CTC FY24'!E:E,'A0.LS'!E84,'A5.CTC FY24'!A:A,'A0.LS'!$AB$5,'A5.CTC FY24'!L:L,"EY",'A5.CTC FY24'!M:M,"Posted"),0)</f>
        <v>0</v>
      </c>
      <c r="AC84" s="948">
        <f>ROUND(SUM(Z84:AB84),0)</f>
        <v>0</v>
      </c>
      <c r="AD84" s="930"/>
      <c r="AE84" s="936">
        <f>ROUND(SUMIFS('TB VNSC FY24'!M:M,'TB VNSC FY24'!N:N,'A0.LS'!E84),0)</f>
        <v>-1475274372</v>
      </c>
      <c r="AF84" s="936">
        <f>SUMIFS('A5.CTC FY24'!K:K,'A5.CTC FY24'!E:E,'A0.LS'!E84,'A5.CTC FY24'!A:A,"VNSC",'A5.CTC FY24'!L:L,"VNSC",'A5.CTC FY24'!M:M,"Posted")</f>
        <v>0</v>
      </c>
      <c r="AG84" s="936">
        <f>ROUND(SUMIFS('A5.CTC FY24'!K:K,'A5.CTC FY24'!E:E,'A0.LS'!E84,'A5.CTC FY24'!A:A,"VNSC",'A5.CTC FY24'!L:L,"EY",'A5.CTC FY24'!M:M,"Posted"),0)</f>
        <v>0</v>
      </c>
      <c r="AH84" s="936">
        <f>ROUND(SUM(AE84:AG84),0)</f>
        <v>-1475274372</v>
      </c>
      <c r="AI84" s="930"/>
      <c r="AJ84" s="936">
        <f>SUMIFS('TB.KCG.FY24'!I:I,'TB.KCG.FY24'!A:A,'A0.LS'!E84)</f>
        <v>0</v>
      </c>
      <c r="AK84" s="936">
        <f>ROUND(SUMIFS('A5.CTC FY24'!K:K,'A5.CTC FY24'!E:E,'A0.LS'!E84,'A5.CTC FY24'!A:A,'A0.LS'!$AK$5,'A5.CTC FY24'!L:L,"EY",'A5.CTC FY24'!M:M,"Posted"),0)</f>
        <v>0</v>
      </c>
      <c r="AL84" s="948">
        <f>ROUND(SUM(AJ84:AK84),0)</f>
        <v>0</v>
      </c>
      <c r="AM84" s="930"/>
      <c r="AN84" s="949">
        <f>ROUND(SUM(AT84,AH84,AC84),0)</f>
        <v>-1475274372</v>
      </c>
      <c r="AO84" s="950">
        <f>ROUND(SUMIFS('A5.Consol FY24'!L:L,'A5.Consol FY24'!M:M,"EY",'A5.Consol FY24'!N:N,"Posted",'A5.Consol FY24'!B:B,'A0.LS'!$AO$5,'A5.Consol FY24'!F:F,'A0.LS'!E84),0)</f>
        <v>0</v>
      </c>
      <c r="AP84" s="949">
        <f>ROUND(SUM(AN84:AO84),0)</f>
        <v>-1475274372</v>
      </c>
      <c r="AQ84" s="930"/>
      <c r="AR84" s="936">
        <f>ROUND(SUMIFS('TB.XH.FY24'!I:I,'TB.XH.FY24'!J:J,'A0.LS'!E84),0)</f>
        <v>0</v>
      </c>
      <c r="AS84" s="936">
        <f>ROUND(SUMIFS('A5.CTC FY24'!K:K,'A5.CTC FY24'!E:E,'A0.LS'!E84,'A5.CTC FY24'!A:A,'A0.LS'!$AS$5,'A5.CTC FY24'!L:L,"EY",'A5.CTC FY24'!M:M,"Posted"),0)</f>
        <v>0</v>
      </c>
      <c r="AT84" s="948">
        <f>ROUND(SUM(AR84:AS84),0)</f>
        <v>0</v>
      </c>
      <c r="AU84" s="930"/>
      <c r="AV84" s="951">
        <f>ROUND(SUM(AP84,AL84,L84),0)</f>
        <v>-8818129575</v>
      </c>
      <c r="AW84" s="952">
        <f>SUMIFS('A5.Consol FY24'!L:L,'A5.Consol FY24'!B:B,'A0.LS'!$AW$5,'A5.Consol FY24'!M:M,"EY",'A5.Consol FY24'!N:N,"Posted",'A5.Consol FY24'!F:F,'A0.LS'!E84)</f>
        <v>0</v>
      </c>
      <c r="AX84" s="951">
        <f>ROUND(SUM(AV84:AW84),0)</f>
        <v>-8818129575</v>
      </c>
      <c r="AY84" s="920"/>
      <c r="AZ84" s="936">
        <f>SUMIFS('TB.CTC.YE22'!Q:Q,'TB.CTC.YE22'!A:A,'A0.LS'!E84)</f>
        <v>0</v>
      </c>
      <c r="BA84" s="936">
        <f>ROUND(SUMIFS('A5.YE22'!J:J,'A5.YE22'!K:K,'A0.LS'!$BA$5,'A5.YE22'!L:L,"Posted",'A5.YE22'!D:D,'A0.LS'!E84),0)</f>
        <v>0</v>
      </c>
      <c r="BB84" s="936">
        <f>ROUND(SUM(AZ84:BA84),0)</f>
        <v>0</v>
      </c>
      <c r="BC84" s="937"/>
      <c r="BD84" s="936">
        <f>ROUND(SUMIFS('TB.VNSC.YE22'!L:L,'TB.VNSC.YE22'!A:A,'A0.LS'!E84),0)</f>
        <v>-392374112</v>
      </c>
      <c r="BE84" s="936">
        <f>ROUND(SUMIFS('A5.YE22'!J:J,'A5.YE22'!K:K,'A0.LS'!$BE$5,'A5.YE22'!L:L,"Posted",'A5.YE22'!D:D,'A0.LS'!E84),0)</f>
        <v>0</v>
      </c>
      <c r="BF84" s="936">
        <f>ROUND(SUM(BD84:BE84),0)</f>
        <v>-392374112</v>
      </c>
      <c r="BG84" s="937"/>
      <c r="BH84" s="936">
        <f>ROUND(SUMIFS('TB.XH.YE22'!P:P,'TB.XH.YE22'!A:A,'A0.LS'!E84),0)</f>
        <v>0</v>
      </c>
      <c r="BI84" s="936">
        <f>ROUND(SUMIFS('A5.YE22'!J:J,'A5.YE22'!K:K,"XH",'A5.YE22'!L:L,"Posted",'A5.YE22'!D:D,'A0.LS'!E84),0)</f>
        <v>0</v>
      </c>
      <c r="BJ84" s="936">
        <f>ROUND(SUM(BH84:BI84),0)</f>
        <v>0</v>
      </c>
      <c r="BK84" s="937"/>
      <c r="BL84" s="936">
        <f>ROUND(SUMIFS('TB.KCG.YE22'!P:P,'TB.KCG.YE22'!A:A,'A0.LS'!E84),0)</f>
        <v>0</v>
      </c>
      <c r="BM84" s="936">
        <f>ROUND(SUMIFS('A5.YE22'!J:J,'A5.YE22'!K:K,'A0.LS'!$BM$5,'A5.YE22'!L:L,"Posted",'A5.YE22'!D:D,'A0.LS'!E84),0)</f>
        <v>0</v>
      </c>
      <c r="BN84" s="936">
        <f>ROUND(SUM(BL84:BM84),0)</f>
        <v>0</v>
      </c>
      <c r="BO84" s="937"/>
      <c r="BP84" s="938">
        <v>-4696012585</v>
      </c>
      <c r="BQ84" s="938">
        <f>ROUND(SUMIFS('A5.YE22'!J:J,'A5.YE22'!K:K,'A0.LS'!$BQ$5,'A5.YE22'!L:L,"Posted",'A5.YE22'!D:D,'A0.LS'!E84),0)</f>
        <v>0</v>
      </c>
      <c r="BR84" s="938">
        <f>ROUND(SUM(BP84:BQ84),0)</f>
        <v>-4696012585</v>
      </c>
    </row>
    <row r="85" spans="2:70" ht="12.75">
      <c r="B85" s="925"/>
      <c r="C85" s="926"/>
      <c r="D85" s="927"/>
      <c r="E85" s="928"/>
      <c r="F85" s="928"/>
      <c r="G85" s="928"/>
      <c r="H85" s="927"/>
      <c r="I85" s="929"/>
      <c r="J85" s="929"/>
      <c r="K85" s="929"/>
      <c r="L85" s="929"/>
      <c r="M85" s="930"/>
      <c r="N85" s="931"/>
      <c r="O85" s="931"/>
      <c r="P85" s="931"/>
      <c r="Q85" s="932"/>
      <c r="R85" s="898"/>
      <c r="S85" s="850"/>
      <c r="T85" s="850"/>
      <c r="U85" s="850"/>
      <c r="V85" s="850"/>
      <c r="W85" s="850"/>
      <c r="X85" s="947" t="s">
        <v>676</v>
      </c>
      <c r="Y85" s="933"/>
      <c r="Z85" s="934"/>
      <c r="AA85" s="934"/>
      <c r="AB85" s="934"/>
      <c r="AC85" s="934"/>
      <c r="AD85" s="930"/>
      <c r="AE85" s="934"/>
      <c r="AF85" s="934"/>
      <c r="AG85" s="934"/>
      <c r="AH85" s="934"/>
      <c r="AI85" s="930"/>
      <c r="AJ85" s="934"/>
      <c r="AK85" s="934"/>
      <c r="AL85" s="934"/>
      <c r="AM85" s="930"/>
      <c r="AN85" s="935"/>
      <c r="AO85" s="935"/>
      <c r="AP85" s="935"/>
      <c r="AQ85" s="930"/>
      <c r="AR85" s="934"/>
      <c r="AS85" s="934"/>
      <c r="AT85" s="934"/>
      <c r="AU85" s="930"/>
      <c r="AV85" s="909"/>
      <c r="AW85" s="909"/>
      <c r="AX85" s="909"/>
      <c r="AY85" s="920"/>
      <c r="AZ85" s="936"/>
      <c r="BA85" s="936"/>
      <c r="BB85" s="936"/>
      <c r="BC85" s="937"/>
      <c r="BD85" s="936"/>
      <c r="BE85" s="936"/>
      <c r="BF85" s="936"/>
      <c r="BG85" s="937"/>
      <c r="BH85" s="936"/>
      <c r="BI85" s="936"/>
      <c r="BJ85" s="936"/>
      <c r="BK85" s="937"/>
      <c r="BL85" s="936"/>
      <c r="BM85" s="936"/>
      <c r="BN85" s="936"/>
      <c r="BO85" s="937"/>
      <c r="BP85" s="938"/>
      <c r="BQ85" s="938"/>
      <c r="BR85" s="938"/>
    </row>
    <row r="86" spans="2:70" s="1" customFormat="1" ht="12.75">
      <c r="B86" s="293"/>
      <c r="C86" s="294"/>
      <c r="D86" s="295"/>
      <c r="E86" s="75"/>
      <c r="F86" s="75" t="s">
        <v>2285</v>
      </c>
      <c r="G86" s="75"/>
      <c r="H86" s="295"/>
      <c r="I86" s="68">
        <f>I87</f>
        <v>7003749613</v>
      </c>
      <c r="J86" s="68">
        <f>J87</f>
        <v>11000000</v>
      </c>
      <c r="K86" s="68">
        <f>K87</f>
        <v>0</v>
      </c>
      <c r="L86" s="68">
        <f>L87</f>
        <v>7014749613</v>
      </c>
      <c r="M86" s="296"/>
      <c r="N86" s="69">
        <f>N87</f>
        <v>5350661938</v>
      </c>
      <c r="O86" s="69">
        <f>O87</f>
        <v>0</v>
      </c>
      <c r="P86" s="69">
        <f>P87</f>
        <v>0</v>
      </c>
      <c r="Q86" s="70">
        <f>Q87</f>
        <v>5350661938</v>
      </c>
      <c r="R86" s="298"/>
      <c r="S86" s="175">
        <f>L86-Q86</f>
        <v>1664087675</v>
      </c>
      <c r="T86" s="176">
        <f>IFERROR(S86/Q86,"To check")</f>
        <v>0.31100594548531912</v>
      </c>
      <c r="X86" s="933"/>
      <c r="Y86" s="304"/>
      <c r="Z86" s="235">
        <f>Z87</f>
        <v>0</v>
      </c>
      <c r="AA86" s="235">
        <f>AA87</f>
        <v>0</v>
      </c>
      <c r="AB86" s="235">
        <f>AB87</f>
        <v>0</v>
      </c>
      <c r="AC86" s="235">
        <f>AC87</f>
        <v>0</v>
      </c>
      <c r="AD86" s="236"/>
      <c r="AE86" s="235">
        <f>AE87</f>
        <v>0</v>
      </c>
      <c r="AF86" s="235">
        <f>AF87</f>
        <v>0</v>
      </c>
      <c r="AG86" s="235">
        <f>AG87</f>
        <v>0</v>
      </c>
      <c r="AH86" s="235">
        <f>AH87</f>
        <v>0</v>
      </c>
      <c r="AI86" s="236"/>
      <c r="AJ86" s="235">
        <f>AJ87</f>
        <v>0</v>
      </c>
      <c r="AK86" s="235">
        <f>AK87</f>
        <v>0</v>
      </c>
      <c r="AL86" s="235">
        <f>AL87</f>
        <v>0</v>
      </c>
      <c r="AM86" s="236"/>
      <c r="AN86" s="237">
        <f>AN87</f>
        <v>0</v>
      </c>
      <c r="AO86" s="237">
        <f>AO87</f>
        <v>0</v>
      </c>
      <c r="AP86" s="237">
        <f>AP87</f>
        <v>0</v>
      </c>
      <c r="AQ86" s="236"/>
      <c r="AR86" s="235">
        <f>AR87</f>
        <v>0</v>
      </c>
      <c r="AS86" s="235">
        <f>AS87</f>
        <v>0</v>
      </c>
      <c r="AT86" s="235">
        <f>AT87</f>
        <v>0</v>
      </c>
      <c r="AU86" s="236"/>
      <c r="AV86" s="238">
        <f>AV87</f>
        <v>7014749613</v>
      </c>
      <c r="AW86" s="238">
        <f>AW87</f>
        <v>0</v>
      </c>
      <c r="AX86" s="238">
        <f>AX87</f>
        <v>7014749613</v>
      </c>
      <c r="AY86" s="614"/>
      <c r="AZ86" s="235">
        <f>AZ87</f>
        <v>0</v>
      </c>
      <c r="BA86" s="235">
        <f>BA87</f>
        <v>0</v>
      </c>
      <c r="BB86" s="235">
        <f>BB87</f>
        <v>0</v>
      </c>
      <c r="BC86" s="236"/>
      <c r="BD86" s="235">
        <f>BD87</f>
        <v>0</v>
      </c>
      <c r="BE86" s="235">
        <f>BE87</f>
        <v>0</v>
      </c>
      <c r="BF86" s="235">
        <f>BF87</f>
        <v>0</v>
      </c>
      <c r="BG86" s="236"/>
      <c r="BH86" s="235">
        <f>BH87</f>
        <v>0</v>
      </c>
      <c r="BI86" s="235">
        <f>BI87</f>
        <v>0</v>
      </c>
      <c r="BJ86" s="235">
        <f>BJ87</f>
        <v>0</v>
      </c>
      <c r="BK86" s="236"/>
      <c r="BL86" s="235">
        <f>BL87</f>
        <v>0</v>
      </c>
      <c r="BM86" s="235">
        <f>BM87</f>
        <v>0</v>
      </c>
      <c r="BN86" s="235">
        <f>BN87</f>
        <v>0</v>
      </c>
      <c r="BO86" s="236"/>
      <c r="BP86" s="443">
        <f>BP87</f>
        <v>5350661938</v>
      </c>
      <c r="BQ86" s="443">
        <f>BQ87</f>
        <v>0</v>
      </c>
      <c r="BR86" s="443">
        <f>BR87</f>
        <v>5350661938</v>
      </c>
    </row>
    <row r="87" spans="2:70" ht="12.75">
      <c r="B87" s="939">
        <v>242</v>
      </c>
      <c r="C87" s="940" t="s">
        <v>2286</v>
      </c>
      <c r="D87" s="941" t="s">
        <v>2286</v>
      </c>
      <c r="E87" s="928" t="s">
        <v>108</v>
      </c>
      <c r="F87" s="928" t="s">
        <v>109</v>
      </c>
      <c r="G87" s="927" t="s">
        <v>2280</v>
      </c>
      <c r="H87" s="927" t="s">
        <v>2188</v>
      </c>
      <c r="I87" s="942">
        <f>SUMIFS('TB.CTy Me.FY2024'!I:I,'TB.CTy Me.FY2024'!A:A,'A0.LS'!E87)</f>
        <v>7003749613</v>
      </c>
      <c r="J87" s="942">
        <f>ROUND(SUMIFS('A5.FY24'!K:K,'A5.FY24'!E:E,'A0.LS'!E87,'A5.FY24'!L:L,"Finhay",'A5.FY24'!M:M,"Posted"),0)</f>
        <v>11000000</v>
      </c>
      <c r="K87" s="942">
        <f>ROUND(SUMIFS('A5.FY24'!K:K,'A5.FY24'!E:E,'A0.LS'!E87,'A5.FY24'!L:L,"EY",'A5.FY24'!M:M,"Posted"),0)</f>
        <v>0</v>
      </c>
      <c r="L87" s="943">
        <f>ROUND(SUM(I87:K87),0)</f>
        <v>7014749613</v>
      </c>
      <c r="M87" s="930"/>
      <c r="N87" s="944">
        <f>SUMIFS('TB.CTM.YE23'!I:I,'TB.CTM.YE23'!A:A,'A0.LS'!E87)</f>
        <v>5350661938</v>
      </c>
      <c r="O87" s="944">
        <v>0</v>
      </c>
      <c r="P87" s="944">
        <v>0</v>
      </c>
      <c r="Q87" s="945">
        <f>ROUND(SUM(N87:P87),0)</f>
        <v>5350661938</v>
      </c>
      <c r="R87" s="898"/>
      <c r="S87" s="848">
        <f>L87-Q87</f>
        <v>1664087675</v>
      </c>
      <c r="T87" s="946">
        <f>IFERROR(S87/Q87,"To check")</f>
        <v>0.31100594548531912</v>
      </c>
      <c r="U87" s="850"/>
      <c r="V87" s="850" t="s">
        <v>2287</v>
      </c>
      <c r="W87" s="850"/>
      <c r="X87" s="947"/>
      <c r="Y87" s="947" t="s">
        <v>2280</v>
      </c>
      <c r="Z87" s="936">
        <f>ROUND(SUMIFS('TB.Cty Con.FY24'!I:I,'TB.Cty Con.FY24'!A:A,'A0.LS'!E87),0)</f>
        <v>0</v>
      </c>
      <c r="AA87" s="936">
        <f>ROUND(SUMIFS('A5.CTC FY24'!K:K,'A5.CTC FY24'!E:E,'A0.LS'!E87,'A5.CTC FY24'!A:A,'A0.LS'!$AA$5,'A5.CTC FY24'!L:L,"Finhay",'A5.CTC FY24'!M:M,"Posted"),0)</f>
        <v>0</v>
      </c>
      <c r="AB87" s="936">
        <f>ROUND(SUMIFS('A5.CTC FY24'!K:K,'A5.CTC FY24'!E:E,'A0.LS'!E87,'A5.CTC FY24'!A:A,'A0.LS'!$AB$5,'A5.CTC FY24'!L:L,"EY",'A5.CTC FY24'!M:M,"Posted"),0)</f>
        <v>0</v>
      </c>
      <c r="AC87" s="948">
        <f>ROUND(SUM(Z87:AB87),0)</f>
        <v>0</v>
      </c>
      <c r="AD87" s="930"/>
      <c r="AE87" s="936">
        <f>ROUND(SUMIFS('TB VNSC FY24'!M:M,'TB VNSC FY24'!N:N,'A0.LS'!E87),0)</f>
        <v>0</v>
      </c>
      <c r="AF87" s="936">
        <f>SUMIFS('A5.CTC FY24'!K:K,'A5.CTC FY24'!E:E,'A0.LS'!E87,'A5.CTC FY24'!A:A,"VNSC",'A5.CTC FY24'!L:L,"VNSC",'A5.CTC FY24'!M:M,"Posted")</f>
        <v>0</v>
      </c>
      <c r="AG87" s="936">
        <f>ROUND(SUMIFS('A5.CTC FY24'!K:K,'A5.CTC FY24'!E:E,'A0.LS'!E87,'A5.CTC FY24'!A:A,"VNSC",'A5.CTC FY24'!L:L,"EY",'A5.CTC FY24'!M:M,"Posted"),0)</f>
        <v>0</v>
      </c>
      <c r="AH87" s="936">
        <f>ROUND(SUM(AE87:AG87),0)</f>
        <v>0</v>
      </c>
      <c r="AI87" s="930"/>
      <c r="AJ87" s="936">
        <f>SUMIFS('TB.KCG.FY24'!I:I,'TB.KCG.FY24'!A:A,'A0.LS'!E87)</f>
        <v>0</v>
      </c>
      <c r="AK87" s="936">
        <f>ROUND(SUMIFS('A5.CTC FY24'!K:K,'A5.CTC FY24'!E:E,'A0.LS'!E87,'A5.CTC FY24'!A:A,'A0.LS'!$AK$5,'A5.CTC FY24'!L:L,"EY",'A5.CTC FY24'!M:M,"Posted"),0)</f>
        <v>0</v>
      </c>
      <c r="AL87" s="948">
        <f>ROUND(SUM(AJ87:AK87),0)</f>
        <v>0</v>
      </c>
      <c r="AM87" s="930"/>
      <c r="AN87" s="949">
        <f>ROUND(SUM(AT87,AH87,AC87),0)</f>
        <v>0</v>
      </c>
      <c r="AO87" s="950">
        <f>ROUND(SUMIFS('A5.Consol FY24'!L:L,'A5.Consol FY24'!M:M,"EY",'A5.Consol FY24'!N:N,"Posted",'A5.Consol FY24'!B:B,'A0.LS'!$AO$5,'A5.Consol FY24'!F:F,'A0.LS'!E87),0)</f>
        <v>0</v>
      </c>
      <c r="AP87" s="949">
        <f>ROUND(SUM(AN87:AO87),0)</f>
        <v>0</v>
      </c>
      <c r="AQ87" s="930"/>
      <c r="AR87" s="936">
        <f>ROUND(SUMIFS('TB.XH.FY24'!I:I,'TB.XH.FY24'!J:J,'A0.LS'!E87),0)</f>
        <v>0</v>
      </c>
      <c r="AS87" s="936">
        <f>ROUND(SUMIFS('A5.CTC FY24'!K:K,'A5.CTC FY24'!E:E,'A0.LS'!E87,'A5.CTC FY24'!A:A,'A0.LS'!$AS$5,'A5.CTC FY24'!L:L,"EY",'A5.CTC FY24'!M:M,"Posted"),0)</f>
        <v>0</v>
      </c>
      <c r="AT87" s="948">
        <f>ROUND(SUM(AR87:AS87),0)</f>
        <v>0</v>
      </c>
      <c r="AU87" s="930"/>
      <c r="AV87" s="951">
        <f>ROUND(SUM(AP87,AL87,L87),0)</f>
        <v>7014749613</v>
      </c>
      <c r="AW87" s="952">
        <f>SUMIFS('A5.Consol FY24'!L:L,'A5.Consol FY24'!B:B,'A0.LS'!$AW$5,'A5.Consol FY24'!M:M,"EY",'A5.Consol FY24'!N:N,"Posted",'A5.Consol FY24'!F:F,'A0.LS'!E87)</f>
        <v>0</v>
      </c>
      <c r="AX87" s="951">
        <f>ROUND(SUM(AV87:AW87),0)</f>
        <v>7014749613</v>
      </c>
      <c r="AY87" s="920"/>
      <c r="AZ87" s="936">
        <f>SUMIFS('TB.CTC.YE22'!Q:Q,'TB.CTC.YE22'!A:A,'A0.LS'!E87)</f>
        <v>0</v>
      </c>
      <c r="BA87" s="936">
        <f>ROUND(SUMIFS('A5.YE22'!J:J,'A5.YE22'!K:K,'A0.LS'!$BA$5,'A5.YE22'!L:L,"Posted",'A5.YE22'!D:D,'A0.LS'!E87),0)</f>
        <v>0</v>
      </c>
      <c r="BB87" s="936">
        <f>ROUND(SUM(AZ87:BA87),0)</f>
        <v>0</v>
      </c>
      <c r="BC87" s="937"/>
      <c r="BD87" s="936">
        <f>ROUND(SUMIFS('TB.VNSC.YE22'!L:L,'TB.VNSC.YE22'!A:A,'A0.LS'!E87),0)</f>
        <v>0</v>
      </c>
      <c r="BE87" s="936">
        <f>ROUND(SUMIFS('A5.YE22'!J:J,'A5.YE22'!K:K,'A0.LS'!$BE$5,'A5.YE22'!L:L,"Posted",'A5.YE22'!D:D,'A0.LS'!E87),0)</f>
        <v>0</v>
      </c>
      <c r="BF87" s="936">
        <f>ROUND(SUM(BD87:BE87),0)</f>
        <v>0</v>
      </c>
      <c r="BG87" s="937"/>
      <c r="BH87" s="936">
        <f>ROUND(SUMIFS('TB.XH.YE22'!P:P,'TB.XH.YE22'!A:A,'A0.LS'!E87),0)</f>
        <v>0</v>
      </c>
      <c r="BI87" s="936">
        <f>ROUND(SUMIFS('A5.YE22'!J:J,'A5.YE22'!K:K,"XH",'A5.YE22'!L:L,"Posted",'A5.YE22'!D:D,'A0.LS'!E87),0)</f>
        <v>0</v>
      </c>
      <c r="BJ87" s="936">
        <f>ROUND(SUM(BH87:BI87),0)</f>
        <v>0</v>
      </c>
      <c r="BK87" s="937"/>
      <c r="BL87" s="936">
        <f>ROUND(SUMIFS('TB.KCG.YE22'!P:P,'TB.KCG.YE22'!A:A,'A0.LS'!E87),0)</f>
        <v>0</v>
      </c>
      <c r="BM87" s="936">
        <f>ROUND(SUMIFS('A5.YE22'!J:J,'A5.YE22'!K:K,'A0.LS'!$BM$5,'A5.YE22'!L:L,"Posted",'A5.YE22'!D:D,'A0.LS'!E87),0)</f>
        <v>0</v>
      </c>
      <c r="BN87" s="936">
        <f>ROUND(SUM(BL87:BM87),0)</f>
        <v>0</v>
      </c>
      <c r="BO87" s="937"/>
      <c r="BP87" s="938">
        <f>ROUND(SUM(Q87,BB87,BF87,BJ87,BN87),0)</f>
        <v>5350661938</v>
      </c>
      <c r="BQ87" s="938">
        <f>ROUND(SUMIFS('A5.YE22'!J:J,'A5.YE22'!K:K,'A0.LS'!$BQ$5,'A5.YE22'!L:L,"Posted",'A5.YE22'!D:D,'A0.LS'!E87),0)</f>
        <v>0</v>
      </c>
      <c r="BR87" s="938">
        <f>ROUND(SUM(BP87:BQ87),0)</f>
        <v>5350661938</v>
      </c>
    </row>
    <row r="88" spans="2:70" ht="12.75">
      <c r="B88" s="925"/>
      <c r="C88" s="926"/>
      <c r="D88" s="927"/>
      <c r="E88" s="928"/>
      <c r="F88" s="928"/>
      <c r="G88" s="928"/>
      <c r="H88" s="927"/>
      <c r="I88" s="929"/>
      <c r="J88" s="929"/>
      <c r="K88" s="929"/>
      <c r="L88" s="929"/>
      <c r="M88" s="930"/>
      <c r="N88" s="931"/>
      <c r="O88" s="931"/>
      <c r="P88" s="931"/>
      <c r="Q88" s="932"/>
      <c r="R88" s="898"/>
      <c r="S88" s="850"/>
      <c r="T88" s="850"/>
      <c r="U88" s="850"/>
      <c r="V88" s="850"/>
      <c r="W88" s="850"/>
      <c r="X88" s="947" t="s">
        <v>676</v>
      </c>
      <c r="Y88" s="933"/>
      <c r="Z88" s="934"/>
      <c r="AA88" s="934"/>
      <c r="AB88" s="934"/>
      <c r="AC88" s="934"/>
      <c r="AD88" s="930"/>
      <c r="AE88" s="934"/>
      <c r="AF88" s="934"/>
      <c r="AG88" s="934"/>
      <c r="AH88" s="934"/>
      <c r="AI88" s="930"/>
      <c r="AJ88" s="934"/>
      <c r="AK88" s="934"/>
      <c r="AL88" s="934"/>
      <c r="AM88" s="930"/>
      <c r="AN88" s="935"/>
      <c r="AO88" s="935"/>
      <c r="AP88" s="935"/>
      <c r="AQ88" s="930"/>
      <c r="AR88" s="934"/>
      <c r="AS88" s="934"/>
      <c r="AT88" s="934"/>
      <c r="AU88" s="930"/>
      <c r="AV88" s="909"/>
      <c r="AW88" s="909"/>
      <c r="AX88" s="909"/>
      <c r="AY88" s="920"/>
      <c r="AZ88" s="936"/>
      <c r="BA88" s="936"/>
      <c r="BB88" s="936"/>
      <c r="BC88" s="937"/>
      <c r="BD88" s="936"/>
      <c r="BE88" s="936"/>
      <c r="BF88" s="936"/>
      <c r="BG88" s="937"/>
      <c r="BH88" s="936"/>
      <c r="BI88" s="936"/>
      <c r="BJ88" s="936"/>
      <c r="BK88" s="937"/>
      <c r="BL88" s="936"/>
      <c r="BM88" s="936"/>
      <c r="BN88" s="936"/>
      <c r="BO88" s="937"/>
      <c r="BP88" s="938"/>
      <c r="BQ88" s="938"/>
      <c r="BR88" s="938"/>
    </row>
    <row r="89" spans="2:70" s="1" customFormat="1" ht="12.75">
      <c r="B89" s="293"/>
      <c r="C89" s="294"/>
      <c r="D89" s="295"/>
      <c r="E89" s="75"/>
      <c r="F89" s="75" t="s">
        <v>2288</v>
      </c>
      <c r="G89" s="75"/>
      <c r="H89" s="295"/>
      <c r="I89" s="68">
        <f>SUM(I90:I92)</f>
        <v>450052440955</v>
      </c>
      <c r="J89" s="68">
        <f>SUM(J90:J92)</f>
        <v>0</v>
      </c>
      <c r="K89" s="68">
        <f>SUM(K90:K92)</f>
        <v>-83429782259</v>
      </c>
      <c r="L89" s="68">
        <f>SUM(L90:L92)</f>
        <v>366622658696</v>
      </c>
      <c r="M89" s="296"/>
      <c r="N89" s="69">
        <f>SUM(N90:N92)</f>
        <v>363676653343</v>
      </c>
      <c r="O89" s="69">
        <f>SUM(O90:O92)</f>
        <v>0</v>
      </c>
      <c r="P89" s="69">
        <f>SUM(P90:P92)</f>
        <v>37904112965</v>
      </c>
      <c r="Q89" s="70">
        <f>SUM(Q90:Q92)</f>
        <v>401580766308</v>
      </c>
      <c r="R89" s="298"/>
      <c r="S89" s="175">
        <f>L89-Q89</f>
        <v>-34958107612</v>
      </c>
      <c r="T89" s="176">
        <f>IFERROR(S89/Q89,"To check")</f>
        <v>-8.7051249823026172E-2</v>
      </c>
      <c r="X89" s="947" t="s">
        <v>676</v>
      </c>
      <c r="Y89" s="304"/>
      <c r="Z89" s="235">
        <f>SUM(Z90:Z92)</f>
        <v>177309927535</v>
      </c>
      <c r="AA89" s="235">
        <f>SUM(AA90:AA92)</f>
        <v>0</v>
      </c>
      <c r="AB89" s="235">
        <f>SUM(AB90:AB92)</f>
        <v>-25717389728</v>
      </c>
      <c r="AC89" s="235">
        <f>SUM(AC90:AC92)</f>
        <v>151592537807</v>
      </c>
      <c r="AD89" s="236"/>
      <c r="AE89" s="235">
        <f>SUM(AE90:AE92)</f>
        <v>0</v>
      </c>
      <c r="AF89" s="235">
        <f>SUM(AF90:AF92)</f>
        <v>0</v>
      </c>
      <c r="AG89" s="235">
        <f>SUM(AG90:AG92)</f>
        <v>0</v>
      </c>
      <c r="AH89" s="235">
        <f>SUM(AH90:AH92)</f>
        <v>0</v>
      </c>
      <c r="AI89" s="236"/>
      <c r="AJ89" s="235">
        <f>SUM(AJ90:AJ92)</f>
        <v>0</v>
      </c>
      <c r="AK89" s="235">
        <f>SUM(AK90:AK92)</f>
        <v>0</v>
      </c>
      <c r="AL89" s="235">
        <f>SUM(AL90:AL92)</f>
        <v>0</v>
      </c>
      <c r="AM89" s="236"/>
      <c r="AN89" s="237">
        <f>SUM(AN90:AN92)</f>
        <v>152319510093</v>
      </c>
      <c r="AO89" s="237">
        <f>SUM(AO90:AO92)</f>
        <v>-152314510093</v>
      </c>
      <c r="AP89" s="237">
        <f>SUM(AP90:AP92)</f>
        <v>5000000</v>
      </c>
      <c r="AQ89" s="236"/>
      <c r="AR89" s="235">
        <f>SUM(AR90:AR92)</f>
        <v>1458000000</v>
      </c>
      <c r="AS89" s="235">
        <f>SUM(AS90:AS92)</f>
        <v>-731027714</v>
      </c>
      <c r="AT89" s="235">
        <f>SUM(AT90:AT92)</f>
        <v>726972286</v>
      </c>
      <c r="AU89" s="236"/>
      <c r="AV89" s="238">
        <f>SUM(AV90:AV92)</f>
        <v>366627658696</v>
      </c>
      <c r="AW89" s="238">
        <f>SUM(AW90:AW92)</f>
        <v>-366627658696</v>
      </c>
      <c r="AX89" s="238">
        <f>SUM(AX90:AX92)</f>
        <v>0</v>
      </c>
      <c r="AY89" s="614"/>
      <c r="AZ89" s="235">
        <f>SUM(AZ90:AZ92)</f>
        <v>166491940233</v>
      </c>
      <c r="BA89" s="235">
        <f>SUM(BA90:BA92)</f>
        <v>0</v>
      </c>
      <c r="BB89" s="235">
        <f>SUM(BB90:BB92)</f>
        <v>166491940233</v>
      </c>
      <c r="BC89" s="236"/>
      <c r="BD89" s="235">
        <f>SUM(BD90:BD92)</f>
        <v>0</v>
      </c>
      <c r="BE89" s="235">
        <f>SUM(BE90:BE92)</f>
        <v>0</v>
      </c>
      <c r="BF89" s="235">
        <f>SUM(BF90:BF92)</f>
        <v>0</v>
      </c>
      <c r="BG89" s="236"/>
      <c r="BH89" s="235">
        <f>SUM(BH90:BH92)</f>
        <v>0</v>
      </c>
      <c r="BI89" s="235">
        <f>SUM(BI90:BI92)</f>
        <v>0</v>
      </c>
      <c r="BJ89" s="235">
        <f>SUM(BJ90:BJ92)</f>
        <v>0</v>
      </c>
      <c r="BK89" s="236"/>
      <c r="BL89" s="235">
        <f>SUM(BL90:BL92)</f>
        <v>0</v>
      </c>
      <c r="BM89" s="235">
        <f>SUM(BM90:BM92)</f>
        <v>0</v>
      </c>
      <c r="BN89" s="235">
        <f>SUM(BN90:BN92)</f>
        <v>0</v>
      </c>
      <c r="BO89" s="236"/>
      <c r="BP89" s="443">
        <f>SUM(BP90:BP92)</f>
        <v>401584761183</v>
      </c>
      <c r="BQ89" s="443">
        <f>SUM(BQ90:BQ92)</f>
        <v>-401584761183</v>
      </c>
      <c r="BR89" s="443">
        <f>SUM(BR90:BR92)</f>
        <v>0</v>
      </c>
    </row>
    <row r="90" spans="2:70" ht="12.75">
      <c r="B90" s="939">
        <v>251</v>
      </c>
      <c r="C90" s="940"/>
      <c r="D90" s="927"/>
      <c r="E90" s="928" t="s">
        <v>95</v>
      </c>
      <c r="F90" s="928" t="s">
        <v>96</v>
      </c>
      <c r="G90" s="927" t="s">
        <v>2206</v>
      </c>
      <c r="H90" s="927" t="s">
        <v>675</v>
      </c>
      <c r="I90" s="942">
        <f>SUMIFS('TB.CTy Me.FY2024'!I:I,'TB.CTy Me.FY2024'!A:A,'A0.LS'!E90)</f>
        <v>440010000000</v>
      </c>
      <c r="J90" s="957">
        <f>ROUND(SUMIFS('A5.FY24'!K:K,'A5.FY24'!E:E,'A0.LS'!E90,'A5.FY24'!L:L,"Finhay",'A5.FY24'!M:M,"Posted"),0)</f>
        <v>0</v>
      </c>
      <c r="K90" s="942">
        <f>ROUND(SUMIFS('A5.FY24'!K:K,'A5.FY24'!E:E,'A0.LS'!E90,'A5.FY24'!L:L,"EY",'A5.FY24'!M:M,"Posted"),0)</f>
        <v>0</v>
      </c>
      <c r="L90" s="942">
        <f>ROUND(SUM(I90:K90),0)</f>
        <v>440010000000</v>
      </c>
      <c r="M90" s="930"/>
      <c r="N90" s="944">
        <f>SUMIFS('TB.CTM.YE23'!I:I,'TB.CTM.YE23'!A:A,'A0.LS'!E90)</f>
        <v>440011000000</v>
      </c>
      <c r="O90" s="944">
        <v>0</v>
      </c>
      <c r="P90" s="944">
        <v>-1000000</v>
      </c>
      <c r="Q90" s="945">
        <f>ROUND(SUM(N90:P90),0)</f>
        <v>440010000000</v>
      </c>
      <c r="R90" s="898"/>
      <c r="S90" s="848">
        <f>L90-Q90</f>
        <v>0</v>
      </c>
      <c r="T90" s="946">
        <f>IFERROR(S90/Q90,"To check")</f>
        <v>0</v>
      </c>
      <c r="U90" s="850"/>
      <c r="V90" s="850">
        <v>0</v>
      </c>
      <c r="W90" s="850"/>
      <c r="X90" s="947" t="s">
        <v>676</v>
      </c>
      <c r="Y90" s="947" t="s">
        <v>2206</v>
      </c>
      <c r="Z90" s="936">
        <f>ROUND(SUMIFS('TB.Cty Con.FY24'!I:I,'TB.Cty Con.FY24'!A:A,'A0.LS'!E90),0)</f>
        <v>435104256635</v>
      </c>
      <c r="AA90" s="936">
        <f>ROUND(SUMIFS('A5.CTC FY24'!K:K,'A5.CTC FY24'!E:E,'A0.LS'!E90,'A5.CTC FY24'!A:A,'A0.LS'!$AA$5,'A5.CTC FY24'!L:L,"Finhay",'A5.CTC FY24'!M:M,"Posted"),0)</f>
        <v>0</v>
      </c>
      <c r="AB90" s="936">
        <f>ROUND(SUMIFS('A5.CTC FY24'!K:K,'A5.CTC FY24'!E:E,'A0.LS'!E90,'A5.CTC FY24'!A:A,'A0.LS'!$AB$5,'A5.CTC FY24'!L:L,"EY",'A5.CTC FY24'!M:M,"Posted"),0)</f>
        <v>-3005000000</v>
      </c>
      <c r="AC90" s="948">
        <f>ROUND(SUM(Z90:AB90),0)</f>
        <v>432099256635</v>
      </c>
      <c r="AD90" s="930"/>
      <c r="AE90" s="936">
        <f>ROUND(SUMIFS('TB VNSC FY24'!M:M,'TB VNSC FY24'!N:N,'A0.LS'!E90),0)</f>
        <v>0</v>
      </c>
      <c r="AF90" s="936">
        <f>SUMIFS('A5.CTC FY24'!K:K,'A5.CTC FY24'!E:E,'A0.LS'!E90,'A5.CTC FY24'!A:A,"VNSC",'A5.CTC FY24'!L:L,"VNSC",'A5.CTC FY24'!M:M,"Posted")</f>
        <v>0</v>
      </c>
      <c r="AG90" s="936">
        <f>ROUND(SUMIFS('A5.CTC FY24'!K:K,'A5.CTC FY24'!E:E,'A0.LS'!E90,'A5.CTC FY24'!A:A,"VNSC",'A5.CTC FY24'!L:L,"EY",'A5.CTC FY24'!M:M,"Posted"),0)</f>
        <v>0</v>
      </c>
      <c r="AH90" s="936">
        <f>ROUND(SUM(AE90:AG90),0)</f>
        <v>0</v>
      </c>
      <c r="AI90" s="930"/>
      <c r="AJ90" s="936">
        <f>SUMIFS('TB.KCG.FY24'!I:I,'TB.KCG.FY24'!A:A,'A0.LS'!E90)</f>
        <v>0</v>
      </c>
      <c r="AK90" s="936">
        <f>ROUND(SUMIFS('A5.CTC FY24'!K:K,'A5.CTC FY24'!E:E,'A0.LS'!E90,'A5.CTC FY24'!A:A,'A0.LS'!$AK$5,'A5.CTC FY24'!L:L,"EY",'A5.CTC FY24'!M:M,"Posted"),0)</f>
        <v>0</v>
      </c>
      <c r="AL90" s="948">
        <f>ROUND(SUM(AJ90:AK90),0)</f>
        <v>0</v>
      </c>
      <c r="AM90" s="930"/>
      <c r="AN90" s="949">
        <f>ROUND(SUM(AT90,AH90,AC90),0)</f>
        <v>432099256635</v>
      </c>
      <c r="AO90" s="950">
        <f>ROUND(SUMIFS('A5.Consol FY24'!L:L,'A5.Consol FY24'!M:M,"EY",'A5.Consol FY24'!N:N,"Posted",'A5.Consol FY24'!B:B,'A0.LS'!$AO$5,'A5.Consol FY24'!F:F,'A0.LS'!E90),0)</f>
        <v>-432099256635</v>
      </c>
      <c r="AP90" s="949">
        <f>ROUND(SUM(AN90:AO90),0)</f>
        <v>0</v>
      </c>
      <c r="AQ90" s="930"/>
      <c r="AR90" s="936">
        <f>ROUND(SUMIFS('TB.XH.FY24'!I:I,'TB.XH.FY24'!J:J,'A0.LS'!E90),0)</f>
        <v>0</v>
      </c>
      <c r="AS90" s="936">
        <f>ROUND(SUMIFS('A5.CTC FY24'!K:K,'A5.CTC FY24'!E:E,'A0.LS'!E90,'A5.CTC FY24'!A:A,'A0.LS'!$AS$5,'A5.CTC FY24'!L:L,"EY",'A5.CTC FY24'!M:M,"Posted"),0)</f>
        <v>0</v>
      </c>
      <c r="AT90" s="948">
        <f>ROUND(SUM(AR90:AS90),0)</f>
        <v>0</v>
      </c>
      <c r="AU90" s="930"/>
      <c r="AV90" s="951">
        <f>ROUND(SUM(AP90,AL90,L90),0)</f>
        <v>440010000000</v>
      </c>
      <c r="AW90" s="952">
        <f>SUMIFS('A5.Consol FY24'!L:L,'A5.Consol FY24'!B:B,'A0.LS'!$AW$5,'A5.Consol FY24'!M:M,"EY",'A5.Consol FY24'!N:N,"Posted",'A5.Consol FY24'!F:F,'A0.LS'!E90)</f>
        <v>-440010000000</v>
      </c>
      <c r="AX90" s="951">
        <f>ROUND(SUM(AV90:AW90),0)</f>
        <v>0</v>
      </c>
      <c r="AY90" s="958"/>
      <c r="AZ90" s="936">
        <f>SUMIFS('TB.CTC.YE22'!Q:Q,'TB.CTC.YE22'!A:A,'A0.LS'!E90)</f>
        <v>425608330000</v>
      </c>
      <c r="BA90" s="936">
        <f>ROUND(SUMIFS('A5.YE22'!J:J,'A5.YE22'!K:K,'A0.LS'!$BA$5,'A5.YE22'!L:L,"Posted",'A5.YE22'!D:D,'A0.LS'!E90),0)</f>
        <v>0</v>
      </c>
      <c r="BB90" s="936">
        <f>ROUND(SUM(AZ90:BA90),0)</f>
        <v>425608330000</v>
      </c>
      <c r="BC90" s="937"/>
      <c r="BD90" s="936">
        <f>ROUND(SUMIFS('TB.VNSC.YE22'!L:L,'TB.VNSC.YE22'!A:A,'A0.LS'!E90),0)</f>
        <v>0</v>
      </c>
      <c r="BE90" s="936">
        <f>ROUND(SUMIFS('A5.YE22'!J:J,'A5.YE22'!K:K,'A0.LS'!$BE$5,'A5.YE22'!L:L,"Posted",'A5.YE22'!D:D,'A0.LS'!E90),0)</f>
        <v>0</v>
      </c>
      <c r="BF90" s="936">
        <f>ROUND(SUM(BD90:BE90),0)</f>
        <v>0</v>
      </c>
      <c r="BG90" s="937"/>
      <c r="BH90" s="936">
        <f>ROUND(SUMIFS('TB.XH.YE22'!P:P,'TB.XH.YE22'!A:A,'A0.LS'!E90),0)</f>
        <v>0</v>
      </c>
      <c r="BI90" s="936">
        <f>ROUND(SUMIFS('A5.YE22'!J:J,'A5.YE22'!K:K,"XH",'A5.YE22'!L:L,"Posted",'A5.YE22'!D:D,'A0.LS'!E90),0)</f>
        <v>0</v>
      </c>
      <c r="BJ90" s="936">
        <f>ROUND(SUM(BH90:BI90),0)</f>
        <v>0</v>
      </c>
      <c r="BK90" s="937"/>
      <c r="BL90" s="936">
        <f>ROUND(SUMIFS('TB.KCG.YE22'!P:P,'TB.KCG.YE22'!A:A,'A0.LS'!E90),0)</f>
        <v>0</v>
      </c>
      <c r="BM90" s="936">
        <f>ROUND(SUMIFS('A5.YE22'!J:J,'A5.YE22'!K:K,'A0.LS'!$BM$5,'A5.YE22'!L:L,"Posted",'A5.YE22'!D:D,'A0.LS'!E90),0)</f>
        <v>0</v>
      </c>
      <c r="BN90" s="936">
        <f>ROUND(SUM(BL90:BM90),0)</f>
        <v>0</v>
      </c>
      <c r="BO90" s="937"/>
      <c r="BP90" s="938">
        <v>440010000000</v>
      </c>
      <c r="BQ90" s="938">
        <v>-440010000000</v>
      </c>
      <c r="BR90" s="938">
        <f>ROUND(SUM(BP90:BQ90),0)</f>
        <v>0</v>
      </c>
    </row>
    <row r="91" spans="2:70" s="4" customFormat="1" ht="12.75">
      <c r="B91" s="939">
        <v>253</v>
      </c>
      <c r="C91" s="940"/>
      <c r="D91" s="927"/>
      <c r="E91" s="956" t="s">
        <v>99</v>
      </c>
      <c r="F91" s="956" t="s">
        <v>98</v>
      </c>
      <c r="G91" s="927" t="s">
        <v>2206</v>
      </c>
      <c r="H91" s="927" t="s">
        <v>675</v>
      </c>
      <c r="I91" s="959">
        <f>SUMIFS('TB.CTy Me.FY2024'!I:I,'TB.CTy Me.FY2024'!A:A,'A0.LS'!E91)</f>
        <v>65001000000</v>
      </c>
      <c r="J91" s="960">
        <f>ROUND(SUMIFS('A5.FY24'!K:K,'A5.FY24'!E:E,'A0.LS'!E91,'A5.FY24'!L:L,"Finhay",'A5.FY24'!M:M,"Posted"),0)</f>
        <v>0</v>
      </c>
      <c r="K91" s="959">
        <f>ROUND(SUMIFS('A5.FY24'!K:K,'A5.FY24'!E:E,'A0.LS'!E91,'A5.FY24'!L:L,"EY",'A5.FY24'!M:M,"Posted"),0)</f>
        <v>-65000000000</v>
      </c>
      <c r="L91" s="959">
        <f>ROUND(SUM(I91:K91),0)</f>
        <v>1000000</v>
      </c>
      <c r="M91" s="961"/>
      <c r="N91" s="962">
        <f>SUMIFS('TB.CTM.YE23'!I:I,'TB.CTM.YE23'!A:A,'A0.LS'!E91)</f>
        <v>182394931507</v>
      </c>
      <c r="O91" s="962">
        <v>0</v>
      </c>
      <c r="P91" s="962">
        <v>-182393931507</v>
      </c>
      <c r="Q91" s="963">
        <f>ROUND(SUM(N91:P91),0)</f>
        <v>1000000</v>
      </c>
      <c r="R91" s="964"/>
      <c r="S91" s="858">
        <f>L91-Q91</f>
        <v>0</v>
      </c>
      <c r="T91" s="965">
        <f>IFERROR(S91/Q91,"To check")</f>
        <v>0</v>
      </c>
      <c r="U91" s="899"/>
      <c r="V91" s="899" t="s">
        <v>2289</v>
      </c>
      <c r="W91" s="899"/>
      <c r="X91" s="933"/>
      <c r="Y91" s="947" t="s">
        <v>2206</v>
      </c>
      <c r="Z91" s="936">
        <f>ROUND(SUMIFS('TB.Cty Con.FY24'!I:I,'TB.Cty Con.FY24'!A:A,'A0.LS'!E91),0)</f>
        <v>0</v>
      </c>
      <c r="AA91" s="936">
        <f>ROUND(SUMIFS('A5.CTC FY24'!K:K,'A5.CTC FY24'!E:E,'A0.LS'!E91,'A5.CTC FY24'!A:A,'A0.LS'!$AA$5,'A5.CTC FY24'!L:L,"Finhay",'A5.CTC FY24'!M:M,"Posted"),0)</f>
        <v>0</v>
      </c>
      <c r="AB91" s="936">
        <f>ROUND(SUMIFS('A5.CTC FY24'!K:K,'A5.CTC FY24'!E:E,'A0.LS'!E91,'A5.CTC FY24'!A:A,'A0.LS'!$AB$5,'A5.CTC FY24'!L:L,"EY",'A5.CTC FY24'!M:M,"Posted"),0)</f>
        <v>5000000</v>
      </c>
      <c r="AC91" s="948">
        <f>ROUND(SUM(Z91:AB91),0)</f>
        <v>5000000</v>
      </c>
      <c r="AD91" s="961"/>
      <c r="AE91" s="936">
        <f>ROUND(SUMIFS('TB VNSC FY24'!M:M,'TB VNSC FY24'!N:N,'A0.LS'!E91),0)</f>
        <v>0</v>
      </c>
      <c r="AF91" s="936">
        <f>SUMIFS('A5.CTC FY24'!K:K,'A5.CTC FY24'!E:E,'A0.LS'!E91,'A5.CTC FY24'!A:A,"VNSC",'A5.CTC FY24'!L:L,"VNSC",'A5.CTC FY24'!M:M,"Posted")</f>
        <v>0</v>
      </c>
      <c r="AG91" s="936">
        <f>ROUND(SUMIFS('A5.CTC FY24'!K:K,'A5.CTC FY24'!E:E,'A0.LS'!E91,'A5.CTC FY24'!A:A,"VNSC",'A5.CTC FY24'!L:L,"EY",'A5.CTC FY24'!M:M,"Posted"),0)</f>
        <v>0</v>
      </c>
      <c r="AH91" s="936">
        <f>ROUND(SUM(AE91:AG91),0)</f>
        <v>0</v>
      </c>
      <c r="AI91" s="961"/>
      <c r="AJ91" s="936">
        <f>SUMIFS('TB.KCG.FY24'!I:I,'TB.KCG.FY24'!A:A,'A0.LS'!E91)</f>
        <v>0</v>
      </c>
      <c r="AK91" s="936">
        <f>ROUND(SUMIFS('A5.CTC FY24'!K:K,'A5.CTC FY24'!E:E,'A0.LS'!E91,'A5.CTC FY24'!A:A,'A0.LS'!$AK$5,'A5.CTC FY24'!L:L,"EY",'A5.CTC FY24'!M:M,"Posted"),0)</f>
        <v>0</v>
      </c>
      <c r="AL91" s="948">
        <f>ROUND(SUM(AJ91:AK91),0)</f>
        <v>0</v>
      </c>
      <c r="AM91" s="961"/>
      <c r="AN91" s="949">
        <f>ROUND(SUM(AT91,AH91,AC91),0)</f>
        <v>1463000000</v>
      </c>
      <c r="AO91" s="950">
        <f>ROUND(SUMIFS('A5.Consol FY24'!L:L,'A5.Consol FY24'!M:M,"EY",'A5.Consol FY24'!N:N,"Posted",'A5.Consol FY24'!B:B,'A0.LS'!$AO$5,'A5.Consol FY24'!F:F,'A0.LS'!E91),0)</f>
        <v>-1458000000</v>
      </c>
      <c r="AP91" s="949">
        <f>ROUND(SUM(AN91:AO91),0)</f>
        <v>5000000</v>
      </c>
      <c r="AQ91" s="961"/>
      <c r="AR91" s="936">
        <f>ROUND(SUMIFS('TB.XH.FY24'!I:I,'TB.XH.FY24'!J:J,'A0.LS'!E91),0)</f>
        <v>1458000000</v>
      </c>
      <c r="AS91" s="936">
        <f>ROUND(SUMIFS('A5.CTC FY24'!K:K,'A5.CTC FY24'!E:E,'A0.LS'!E91,'A5.CTC FY24'!A:A,'A0.LS'!$AS$5,'A5.CTC FY24'!L:L,"EY",'A5.CTC FY24'!M:M,"Posted"),0)</f>
        <v>0</v>
      </c>
      <c r="AT91" s="948">
        <f>ROUND(SUM(AR91:AS91),0)</f>
        <v>1458000000</v>
      </c>
      <c r="AU91" s="961"/>
      <c r="AV91" s="951">
        <f>ROUND(SUM(AP91,AL91,L91),0)</f>
        <v>6000000</v>
      </c>
      <c r="AW91" s="952">
        <f>SUMIFS('A5.Consol FY24'!L:L,'A5.Consol FY24'!B:B,'A0.LS'!$AW$5,'A5.Consol FY24'!M:M,"EY",'A5.Consol FY24'!N:N,"Posted",'A5.Consol FY24'!F:F,'A0.LS'!E91)</f>
        <v>-6000000</v>
      </c>
      <c r="AX91" s="951">
        <f>ROUND(SUM(AV91:AW91),0)</f>
        <v>0</v>
      </c>
      <c r="AY91" s="966"/>
      <c r="AZ91" s="936">
        <f>SUMIFS('TB.CTC.YE22'!Q:Q,'TB.CTC.YE22'!A:A,'A0.LS'!E91)</f>
        <v>0</v>
      </c>
      <c r="BA91" s="936">
        <f>ROUND(SUMIFS('A5.YE22'!J:J,'A5.YE22'!K:K,'A0.LS'!$BA$5,'A5.YE22'!L:L,"Posted",'A5.YE22'!D:D,'A0.LS'!E91),0)</f>
        <v>0</v>
      </c>
      <c r="BB91" s="936">
        <f>ROUND(SUM(AZ91:BA91),0)</f>
        <v>0</v>
      </c>
      <c r="BC91" s="967"/>
      <c r="BD91" s="936">
        <f>ROUND(SUMIFS('TB.VNSC.YE22'!L:L,'TB.VNSC.YE22'!A:A,'A0.LS'!E91),0)</f>
        <v>0</v>
      </c>
      <c r="BE91" s="936">
        <f>ROUND(SUMIFS('A5.YE22'!J:J,'A5.YE22'!K:K,'A0.LS'!$BE$5,'A5.YE22'!L:L,"Posted",'A5.YE22'!D:D,'A0.LS'!E91),0)</f>
        <v>0</v>
      </c>
      <c r="BF91" s="936">
        <f>ROUND(SUM(BD91:BE91),0)</f>
        <v>0</v>
      </c>
      <c r="BG91" s="967"/>
      <c r="BH91" s="936">
        <f>ROUND(SUMIFS('TB.XH.YE22'!P:P,'TB.XH.YE22'!A:A,'A0.LS'!E91),0)</f>
        <v>0</v>
      </c>
      <c r="BI91" s="936">
        <f>ROUND(SUMIFS('A5.YE22'!J:J,'A5.YE22'!K:K,"XH",'A5.YE22'!L:L,"Posted",'A5.YE22'!D:D,'A0.LS'!E91),0)</f>
        <v>0</v>
      </c>
      <c r="BJ91" s="936">
        <f>ROUND(SUM(BH91:BI91),0)</f>
        <v>0</v>
      </c>
      <c r="BK91" s="967"/>
      <c r="BL91" s="936">
        <f>ROUND(SUMIFS('TB.KCG.YE22'!P:P,'TB.KCG.YE22'!A:A,'A0.LS'!E91),0)</f>
        <v>0</v>
      </c>
      <c r="BM91" s="936">
        <f>ROUND(SUMIFS('A5.YE22'!J:J,'A5.YE22'!K:K,'A0.LS'!$BM$5,'A5.YE22'!L:L,"Posted",'A5.YE22'!D:D,'A0.LS'!E91),0)</f>
        <v>0</v>
      </c>
      <c r="BN91" s="936">
        <f>ROUND(SUM(BL91:BM91),0)</f>
        <v>0</v>
      </c>
      <c r="BO91" s="967"/>
      <c r="BP91" s="938">
        <v>6000000</v>
      </c>
      <c r="BQ91" s="938">
        <v>-6000000</v>
      </c>
      <c r="BR91" s="938">
        <f>ROUND(SUM(BP91:BQ91),0)</f>
        <v>0</v>
      </c>
    </row>
    <row r="92" spans="2:70" ht="12.75">
      <c r="B92" s="939">
        <v>254</v>
      </c>
      <c r="C92" s="940"/>
      <c r="D92" s="927"/>
      <c r="E92" s="928" t="s">
        <v>104</v>
      </c>
      <c r="F92" s="928" t="s">
        <v>105</v>
      </c>
      <c r="G92" s="927" t="s">
        <v>2206</v>
      </c>
      <c r="H92" s="927" t="s">
        <v>675</v>
      </c>
      <c r="I92" s="942">
        <f>SUMIFS('TB.CTy Me.FY2024'!I:I,'TB.CTy Me.FY2024'!A:A,'A0.LS'!E92)</f>
        <v>-54958559045</v>
      </c>
      <c r="J92" s="957">
        <f>ROUND(SUMIFS('A5.FY24'!K:K,'A5.FY24'!E:E,'A0.LS'!E92,'A5.FY24'!L:L,"Finhay",'A5.FY24'!M:M,"Posted"),0)</f>
        <v>0</v>
      </c>
      <c r="K92" s="957">
        <f>ROUND(SUMIFS('A5.FY24'!K:K,'A5.FY24'!E:E,'A0.LS'!E92,'A5.FY24'!L:L,"EY",'A5.FY24'!M:M,"Posted"),0)</f>
        <v>-18429782259</v>
      </c>
      <c r="L92" s="942">
        <f>ROUND(SUM(I92:K92),0)</f>
        <v>-73388341304</v>
      </c>
      <c r="M92" s="930"/>
      <c r="N92" s="944">
        <f>SUMIFS('TB.CTM.YE23'!I:I,'TB.CTM.YE23'!A:A,'A0.LS'!E92)</f>
        <v>-258729278164</v>
      </c>
      <c r="O92" s="944">
        <v>0</v>
      </c>
      <c r="P92" s="944">
        <v>220299044472</v>
      </c>
      <c r="Q92" s="945">
        <f>ROUND(SUM(N92:P92),0)</f>
        <v>-38430233692</v>
      </c>
      <c r="R92" s="898"/>
      <c r="S92" s="848">
        <f>L92-Q92</f>
        <v>-34958107612</v>
      </c>
      <c r="T92" s="946">
        <f>IFERROR(S92/Q92,"To check")</f>
        <v>0.90965118485025531</v>
      </c>
      <c r="U92" s="850"/>
      <c r="V92" s="850">
        <v>0</v>
      </c>
      <c r="W92" s="850"/>
      <c r="X92" s="304"/>
      <c r="Y92" s="947" t="s">
        <v>2206</v>
      </c>
      <c r="Z92" s="936">
        <f>ROUND(SUMIFS('TB.Cty Con.FY24'!I:I,'TB.Cty Con.FY24'!A:A,'A0.LS'!E92),0)</f>
        <v>-257794329100</v>
      </c>
      <c r="AA92" s="936">
        <f>ROUND(SUMIFS('A5.CTC FY24'!K:K,'A5.CTC FY24'!E:E,'A0.LS'!E92,'A5.CTC FY24'!A:A,'A0.LS'!$AA$5,'A5.CTC FY24'!L:L,"Finhay",'A5.CTC FY24'!M:M,"Posted"),0)</f>
        <v>0</v>
      </c>
      <c r="AB92" s="936">
        <f>ROUND(SUMIFS('A5.CTC FY24'!K:K,'A5.CTC FY24'!E:E,'A0.LS'!E92,'A5.CTC FY24'!A:A,'A0.LS'!$AB$5,'A5.CTC FY24'!L:L,"EY",'A5.CTC FY24'!M:M,"Posted"),0)</f>
        <v>-22717389728</v>
      </c>
      <c r="AC92" s="948">
        <f>ROUND(SUM(Z92:AB92),0)</f>
        <v>-280511718828</v>
      </c>
      <c r="AD92" s="930"/>
      <c r="AE92" s="936">
        <f>ROUND(SUMIFS('TB VNSC FY24'!M:M,'TB VNSC FY24'!N:N,'A0.LS'!E92),0)</f>
        <v>0</v>
      </c>
      <c r="AF92" s="936">
        <f>SUMIFS('A5.CTC FY24'!K:K,'A5.CTC FY24'!E:E,'A0.LS'!E92,'A5.CTC FY24'!A:A,"VNSC",'A5.CTC FY24'!L:L,"VNSC",'A5.CTC FY24'!M:M,"Posted")</f>
        <v>0</v>
      </c>
      <c r="AG92" s="936">
        <f>ROUND(SUMIFS('A5.CTC FY24'!K:K,'A5.CTC FY24'!E:E,'A0.LS'!E92,'A5.CTC FY24'!A:A,"VNSC",'A5.CTC FY24'!L:L,"EY",'A5.CTC FY24'!M:M,"Posted"),0)</f>
        <v>0</v>
      </c>
      <c r="AH92" s="936">
        <f>ROUND(SUM(AE92:AG92),0)</f>
        <v>0</v>
      </c>
      <c r="AI92" s="930"/>
      <c r="AJ92" s="936">
        <f>SUMIFS('TB.KCG.FY24'!I:I,'TB.KCG.FY24'!A:A,'A0.LS'!E92)</f>
        <v>0</v>
      </c>
      <c r="AK92" s="936">
        <f>ROUND(SUMIFS('A5.CTC FY24'!K:K,'A5.CTC FY24'!E:E,'A0.LS'!E92,'A5.CTC FY24'!A:A,'A0.LS'!$AK$5,'A5.CTC FY24'!L:L,"EY",'A5.CTC FY24'!M:M,"Posted"),0)</f>
        <v>0</v>
      </c>
      <c r="AL92" s="948">
        <f>ROUND(SUM(AJ92:AK92),0)</f>
        <v>0</v>
      </c>
      <c r="AM92" s="930"/>
      <c r="AN92" s="949">
        <f>ROUND(SUM(AT92,AH92,AC92),0)</f>
        <v>-281242746542</v>
      </c>
      <c r="AO92" s="950">
        <f>ROUND(SUMIFS('A5.Consol FY24'!L:L,'A5.Consol FY24'!M:M,"EY",'A5.Consol FY24'!N:N,"Posted",'A5.Consol FY24'!B:B,'A0.LS'!$AO$5,'A5.Consol FY24'!F:F,'A0.LS'!E92),0)</f>
        <v>281242746542</v>
      </c>
      <c r="AP92" s="949">
        <f>ROUND(SUM(AN92:AO92),0)</f>
        <v>0</v>
      </c>
      <c r="AQ92" s="930"/>
      <c r="AR92" s="936">
        <f>ROUND(SUMIFS('TB.XH.FY24'!I:I,'TB.XH.FY24'!J:J,'A0.LS'!E92),0)</f>
        <v>0</v>
      </c>
      <c r="AS92" s="936">
        <f>ROUND(SUMIFS('A5.CTC FY24'!K:K,'A5.CTC FY24'!E:E,'A0.LS'!E92,'A5.CTC FY24'!A:A,'A0.LS'!$AS$5,'A5.CTC FY24'!L:L,"EY",'A5.CTC FY24'!M:M,"Posted"),0)</f>
        <v>-731027714</v>
      </c>
      <c r="AT92" s="948">
        <f>ROUND(SUM(AR92:AS92),0)</f>
        <v>-731027714</v>
      </c>
      <c r="AU92" s="930"/>
      <c r="AV92" s="951">
        <f>ROUND(SUM(AP92,AL92,L92),0)</f>
        <v>-73388341304</v>
      </c>
      <c r="AW92" s="952">
        <f>SUMIFS('A5.Consol FY24'!L:L,'A5.Consol FY24'!B:B,'A0.LS'!$AW$5,'A5.Consol FY24'!M:M,"EY",'A5.Consol FY24'!N:N,"Posted",'A5.Consol FY24'!F:F,'A0.LS'!E92)</f>
        <v>73388341304</v>
      </c>
      <c r="AX92" s="951">
        <f>ROUND(SUM(AV92:AW92),0)</f>
        <v>0</v>
      </c>
      <c r="AY92" s="920"/>
      <c r="AZ92" s="936">
        <f>SUMIFS('TB.CTC.YE22'!Q:Q,'TB.CTC.YE22'!A:A,'A0.LS'!E92)</f>
        <v>-259116389767</v>
      </c>
      <c r="BA92" s="936">
        <f>ROUND(SUMIFS('A5.YE22'!J:J,'A5.YE22'!K:K,'A0.LS'!$BA$5,'A5.YE22'!L:L,"Posted",'A5.YE22'!D:D,'A0.LS'!E92),0)</f>
        <v>0</v>
      </c>
      <c r="BB92" s="936">
        <f>ROUND(SUM(AZ92:BA92),0)</f>
        <v>-259116389767</v>
      </c>
      <c r="BC92" s="937"/>
      <c r="BD92" s="936">
        <f>ROUND(SUMIFS('TB.VNSC.YE22'!L:L,'TB.VNSC.YE22'!A:A,'A0.LS'!E92),0)</f>
        <v>0</v>
      </c>
      <c r="BE92" s="936">
        <f>ROUND(SUMIFS('A5.YE22'!J:J,'A5.YE22'!K:K,'A0.LS'!$BE$5,'A5.YE22'!L:L,"Posted",'A5.YE22'!D:D,'A0.LS'!E92),0)</f>
        <v>0</v>
      </c>
      <c r="BF92" s="936">
        <f>ROUND(SUM(BD92:BE92),0)</f>
        <v>0</v>
      </c>
      <c r="BG92" s="937"/>
      <c r="BH92" s="936">
        <f>ROUND(SUMIFS('TB.XH.YE22'!P:P,'TB.XH.YE22'!A:A,'A0.LS'!E92),0)</f>
        <v>0</v>
      </c>
      <c r="BI92" s="936">
        <f>ROUND(SUMIFS('A5.YE22'!J:J,'A5.YE22'!K:K,"XH",'A5.YE22'!L:L,"Posted",'A5.YE22'!D:D,'A0.LS'!E92),0)</f>
        <v>0</v>
      </c>
      <c r="BJ92" s="936">
        <f>ROUND(SUM(BH92:BI92),0)</f>
        <v>0</v>
      </c>
      <c r="BK92" s="937"/>
      <c r="BL92" s="936">
        <f>ROUND(SUMIFS('TB.KCG.YE22'!P:P,'TB.KCG.YE22'!A:A,'A0.LS'!E92),0)</f>
        <v>0</v>
      </c>
      <c r="BM92" s="936">
        <f>ROUND(SUMIFS('A5.YE22'!J:J,'A5.YE22'!K:K,'A0.LS'!$BM$5,'A5.YE22'!L:L,"Posted",'A5.YE22'!D:D,'A0.LS'!E92),0)</f>
        <v>0</v>
      </c>
      <c r="BN92" s="936">
        <f>ROUND(SUM(BL92:BM92),0)</f>
        <v>0</v>
      </c>
      <c r="BO92" s="937"/>
      <c r="BP92" s="938">
        <v>-38431238817</v>
      </c>
      <c r="BQ92" s="938">
        <v>38431238817</v>
      </c>
      <c r="BR92" s="938">
        <f>ROUND(SUM(BP92:BQ92),0)</f>
        <v>0</v>
      </c>
    </row>
    <row r="93" spans="2:70" ht="12.75">
      <c r="B93" s="925"/>
      <c r="C93" s="926"/>
      <c r="D93" s="927"/>
      <c r="E93" s="928"/>
      <c r="F93" s="928"/>
      <c r="G93" s="928"/>
      <c r="H93" s="927"/>
      <c r="I93" s="929"/>
      <c r="J93" s="929"/>
      <c r="K93" s="929"/>
      <c r="L93" s="929"/>
      <c r="M93" s="930"/>
      <c r="N93" s="931"/>
      <c r="O93" s="931"/>
      <c r="P93" s="931"/>
      <c r="Q93" s="932"/>
      <c r="R93" s="898"/>
      <c r="S93" s="850"/>
      <c r="T93" s="850"/>
      <c r="U93" s="850"/>
      <c r="V93" s="850"/>
      <c r="W93" s="850"/>
      <c r="X93" s="933"/>
      <c r="Y93" s="933"/>
      <c r="Z93" s="934"/>
      <c r="AA93" s="934"/>
      <c r="AB93" s="934"/>
      <c r="AC93" s="934"/>
      <c r="AD93" s="930"/>
      <c r="AE93" s="934"/>
      <c r="AF93" s="934"/>
      <c r="AG93" s="934"/>
      <c r="AH93" s="934"/>
      <c r="AI93" s="930"/>
      <c r="AJ93" s="934"/>
      <c r="AK93" s="934"/>
      <c r="AL93" s="934"/>
      <c r="AM93" s="930"/>
      <c r="AN93" s="935"/>
      <c r="AO93" s="935"/>
      <c r="AP93" s="935"/>
      <c r="AQ93" s="930"/>
      <c r="AR93" s="934"/>
      <c r="AS93" s="934"/>
      <c r="AT93" s="934"/>
      <c r="AU93" s="930"/>
      <c r="AV93" s="909"/>
      <c r="AW93" s="909"/>
      <c r="AX93" s="909"/>
      <c r="AY93" s="920"/>
      <c r="AZ93" s="936"/>
      <c r="BA93" s="936"/>
      <c r="BB93" s="936"/>
      <c r="BC93" s="937"/>
      <c r="BD93" s="936"/>
      <c r="BE93" s="936"/>
      <c r="BF93" s="936"/>
      <c r="BG93" s="937"/>
      <c r="BH93" s="936"/>
      <c r="BI93" s="936"/>
      <c r="BJ93" s="936"/>
      <c r="BK93" s="937"/>
      <c r="BL93" s="936"/>
      <c r="BM93" s="936"/>
      <c r="BN93" s="936"/>
      <c r="BO93" s="937"/>
      <c r="BP93" s="938"/>
      <c r="BQ93" s="938"/>
      <c r="BR93" s="938"/>
    </row>
    <row r="94" spans="2:70" s="1" customFormat="1" ht="12.75">
      <c r="B94" s="293"/>
      <c r="C94" s="294"/>
      <c r="D94" s="295"/>
      <c r="E94" s="75"/>
      <c r="F94" s="75" t="s">
        <v>2290</v>
      </c>
      <c r="G94" s="75"/>
      <c r="H94" s="295"/>
      <c r="I94" s="68">
        <f>SUM(I95:I100)</f>
        <v>798102202</v>
      </c>
      <c r="J94" s="68">
        <f>SUM(J95:J100)</f>
        <v>36000000</v>
      </c>
      <c r="K94" s="68">
        <f>SUM(K95:K100)</f>
        <v>0</v>
      </c>
      <c r="L94" s="68">
        <f>SUM(L95:L100)</f>
        <v>834102202</v>
      </c>
      <c r="M94" s="296"/>
      <c r="N94" s="69">
        <f>SUM(N95:N100)</f>
        <v>1467793232</v>
      </c>
      <c r="O94" s="69">
        <f>SUM(O95:O100)</f>
        <v>0</v>
      </c>
      <c r="P94" s="69">
        <f>SUM(P95:P100)</f>
        <v>334509243</v>
      </c>
      <c r="Q94" s="70">
        <f>SUM(Q95:Q100)</f>
        <v>1802302475</v>
      </c>
      <c r="R94" s="298"/>
      <c r="S94" s="175">
        <f t="shared" ref="S94:S100" si="37">L94-Q94</f>
        <v>-968200273</v>
      </c>
      <c r="T94" s="176">
        <f t="shared" ref="T94:T100" si="38">IFERROR(S94/Q94,"To check")</f>
        <v>-0.53720187728200286</v>
      </c>
      <c r="X94" s="947" t="s">
        <v>676</v>
      </c>
      <c r="Y94" s="304"/>
      <c r="Z94" s="235">
        <f>SUM(Z95:Z100)</f>
        <v>533324</v>
      </c>
      <c r="AA94" s="235">
        <f>SUM(AA95:AA100)</f>
        <v>0</v>
      </c>
      <c r="AB94" s="235">
        <f>SUM(AB95:AB100)</f>
        <v>0</v>
      </c>
      <c r="AC94" s="235">
        <f>SUM(AC95:AC100)</f>
        <v>533324</v>
      </c>
      <c r="AD94" s="236"/>
      <c r="AE94" s="235">
        <f>SUM(AE95:AE100)</f>
        <v>31925115336</v>
      </c>
      <c r="AF94" s="235">
        <f>SUM(AF95:AF100)</f>
        <v>0</v>
      </c>
      <c r="AG94" s="235">
        <f>SUM(AG95:AG100)</f>
        <v>56773985</v>
      </c>
      <c r="AH94" s="235">
        <f>SUM(AH95:AH100)</f>
        <v>31981889321</v>
      </c>
      <c r="AI94" s="236"/>
      <c r="AJ94" s="235">
        <f>SUM(AJ95:AJ100)</f>
        <v>0</v>
      </c>
      <c r="AK94" s="235">
        <f>SUM(AK95:AK100)</f>
        <v>0</v>
      </c>
      <c r="AL94" s="235">
        <f>SUM(AL95:AL100)</f>
        <v>0</v>
      </c>
      <c r="AM94" s="236"/>
      <c r="AN94" s="237">
        <f>SUM(AN95:AN100)</f>
        <v>32033769520</v>
      </c>
      <c r="AO94" s="237">
        <f>SUM(AO95:AO100)</f>
        <v>82660875837</v>
      </c>
      <c r="AP94" s="237">
        <f>SUM(AP95:AP100)</f>
        <v>114694645357</v>
      </c>
      <c r="AQ94" s="236"/>
      <c r="AR94" s="235">
        <f>SUM(AR95:AR100)</f>
        <v>51346875</v>
      </c>
      <c r="AS94" s="235">
        <f>SUM(AS95:AS100)</f>
        <v>0</v>
      </c>
      <c r="AT94" s="235">
        <f>SUM(AT95:AT100)</f>
        <v>51346875</v>
      </c>
      <c r="AU94" s="236"/>
      <c r="AV94" s="238">
        <f>SUM(AV95:AV100)</f>
        <v>115528747559</v>
      </c>
      <c r="AW94" s="238">
        <f>SUM(AW95:AW100)</f>
        <v>-30336000000</v>
      </c>
      <c r="AX94" s="238">
        <f>SUM(AX95:AX100)</f>
        <v>85192747559</v>
      </c>
      <c r="AY94" s="614"/>
      <c r="AZ94" s="235">
        <f>SUM(AZ95:AZ100)</f>
        <v>99748752</v>
      </c>
      <c r="BA94" s="235">
        <f>SUM(BA95:BA100)</f>
        <v>0</v>
      </c>
      <c r="BB94" s="235">
        <f>SUM(BB95:BB100)</f>
        <v>99748752</v>
      </c>
      <c r="BC94" s="236"/>
      <c r="BD94" s="235">
        <f>SUM(BD95:BD100)</f>
        <v>234758590</v>
      </c>
      <c r="BE94" s="235">
        <f>SUM(BE95:BE100)</f>
        <v>0</v>
      </c>
      <c r="BF94" s="235">
        <f>SUM(BF95:BF100)</f>
        <v>234758590</v>
      </c>
      <c r="BG94" s="236"/>
      <c r="BH94" s="235">
        <f>SUM(BH95:BH100)</f>
        <v>0</v>
      </c>
      <c r="BI94" s="235">
        <f>SUM(BI95:BI100)</f>
        <v>0</v>
      </c>
      <c r="BJ94" s="235">
        <f>SUM(BJ95:BJ100)</f>
        <v>0</v>
      </c>
      <c r="BK94" s="236"/>
      <c r="BL94" s="235">
        <f>SUM(BL95:BL100)</f>
        <v>0</v>
      </c>
      <c r="BM94" s="235">
        <f>SUM(BM95:BM100)</f>
        <v>0</v>
      </c>
      <c r="BN94" s="235">
        <f>SUM(BN95:BN100)</f>
        <v>0</v>
      </c>
      <c r="BO94" s="236"/>
      <c r="BP94" s="443">
        <f>SUM(BP95:BP100)</f>
        <v>131161512626</v>
      </c>
      <c r="BQ94" s="443">
        <f>SUM(BQ95:BQ100)</f>
        <v>-34128000000</v>
      </c>
      <c r="BR94" s="443">
        <f>SUM(BR95:BR100)</f>
        <v>97033512626</v>
      </c>
    </row>
    <row r="95" spans="2:70" ht="12.75">
      <c r="B95" s="939">
        <v>261</v>
      </c>
      <c r="C95" s="940" t="s">
        <v>2291</v>
      </c>
      <c r="D95" s="941" t="s">
        <v>2291</v>
      </c>
      <c r="E95" s="928" t="s">
        <v>522</v>
      </c>
      <c r="F95" s="928" t="s">
        <v>524</v>
      </c>
      <c r="G95" s="927" t="s">
        <v>2254</v>
      </c>
      <c r="H95" s="927" t="s">
        <v>2188</v>
      </c>
      <c r="I95" s="942">
        <f>SUMIFS('TB.CTy Me.FY2024'!I:I,'TB.CTy Me.FY2024'!A:A,'A0.LS'!E95)</f>
        <v>25349387</v>
      </c>
      <c r="J95" s="942">
        <f>ROUND(SUMIFS('A5.FY24'!K:K,'A5.FY24'!E:E,'A0.LS'!E95,'A5.FY24'!L:L,"Finhay",'A5.FY24'!M:M,"Posted"),0)</f>
        <v>36000000</v>
      </c>
      <c r="K95" s="942">
        <f>ROUND(SUMIFS('A5.FY24'!K:K,'A5.FY24'!E:E,'A0.LS'!E95,'A5.FY24'!L:L,"EY",'A5.FY24'!M:M,"Posted"),0)</f>
        <v>0</v>
      </c>
      <c r="L95" s="943">
        <f t="shared" ref="L95:L100" si="39">ROUND(SUM(I95:K95),0)</f>
        <v>61349387</v>
      </c>
      <c r="M95" s="930"/>
      <c r="N95" s="944">
        <f>SUMIFS('TB.CTM.YE23'!I:I,'TB.CTM.YE23'!A:A,'A0.LS'!E95)</f>
        <v>0</v>
      </c>
      <c r="O95" s="944">
        <v>0</v>
      </c>
      <c r="P95" s="944">
        <v>399112963</v>
      </c>
      <c r="Q95" s="945">
        <f t="shared" ref="Q95:Q100" si="40">ROUND(SUM(N95:P95),0)</f>
        <v>399112963</v>
      </c>
      <c r="R95" s="898"/>
      <c r="S95" s="848">
        <f t="shared" si="37"/>
        <v>-337763576</v>
      </c>
      <c r="T95" s="946">
        <f t="shared" si="38"/>
        <v>-0.84628565672521139</v>
      </c>
      <c r="U95" s="850"/>
      <c r="V95" s="850" t="s">
        <v>2266</v>
      </c>
      <c r="W95" s="850"/>
      <c r="X95" s="947"/>
      <c r="Y95" s="947" t="s">
        <v>2254</v>
      </c>
      <c r="Z95" s="936">
        <f>ROUND(SUMIFS('TB.Cty Con.FY24'!I:I,'TB.Cty Con.FY24'!A:A,'A0.LS'!E95),0)</f>
        <v>0</v>
      </c>
      <c r="AA95" s="936">
        <f>ROUND(SUMIFS('A5.CTC FY24'!K:K,'A5.CTC FY24'!E:E,'A0.LS'!E95,'A5.CTC FY24'!A:A,'A0.LS'!$AA$5,'A5.CTC FY24'!L:L,"Finhay",'A5.CTC FY24'!M:M,"Posted"),0)</f>
        <v>0</v>
      </c>
      <c r="AB95" s="936">
        <f>ROUND(SUMIFS('A5.CTC FY24'!K:K,'A5.CTC FY24'!E:E,'A0.LS'!E95,'A5.CTC FY24'!A:A,'A0.LS'!$AB$5,'A5.CTC FY24'!L:L,"EY",'A5.CTC FY24'!M:M,"Posted"),0)</f>
        <v>0</v>
      </c>
      <c r="AC95" s="948">
        <f t="shared" ref="AC95:AC100" si="41">ROUND(SUM(Z95:AB95),0)</f>
        <v>0</v>
      </c>
      <c r="AD95" s="930"/>
      <c r="AE95" s="936">
        <f>ROUND(SUMIFS('TB VNSC FY24'!M:M,'TB VNSC FY24'!N:N,'A0.LS'!E95),0)</f>
        <v>95959848</v>
      </c>
      <c r="AF95" s="936">
        <f>SUMIFS('A5.CTC FY24'!K:K,'A5.CTC FY24'!E:E,'A0.LS'!E95,'A5.CTC FY24'!A:A,"VNSC",'A5.CTC FY24'!L:L,"VNSC",'A5.CTC FY24'!M:M,"Posted")</f>
        <v>0</v>
      </c>
      <c r="AG95" s="936">
        <f>ROUND(SUMIFS('A5.CTC FY24'!K:K,'A5.CTC FY24'!E:E,'A0.LS'!E95,'A5.CTC FY24'!A:A,"VNSC",'A5.CTC FY24'!L:L,"EY",'A5.CTC FY24'!M:M,"Posted"),0)</f>
        <v>0</v>
      </c>
      <c r="AH95" s="936">
        <f t="shared" ref="AH95:AH100" si="42">ROUND(SUM(AE95:AG95),0)</f>
        <v>95959848</v>
      </c>
      <c r="AI95" s="930"/>
      <c r="AJ95" s="936">
        <f>SUMIFS('TB.KCG.FY24'!I:I,'TB.KCG.FY24'!A:A,'A0.LS'!E95)</f>
        <v>0</v>
      </c>
      <c r="AK95" s="936">
        <f>ROUND(SUMIFS('A5.CTC FY24'!K:K,'A5.CTC FY24'!E:E,'A0.LS'!E95,'A5.CTC FY24'!A:A,'A0.LS'!$AK$5,'A5.CTC FY24'!L:L,"EY",'A5.CTC FY24'!M:M,"Posted"),0)</f>
        <v>0</v>
      </c>
      <c r="AL95" s="948">
        <f t="shared" ref="AL95:AL100" si="43">ROUND(SUM(AJ95:AK95),0)</f>
        <v>0</v>
      </c>
      <c r="AM95" s="930"/>
      <c r="AN95" s="949">
        <f t="shared" ref="AN95:AN100" si="44">ROUND(SUM(AT95,AH95,AC95),0)</f>
        <v>147306723</v>
      </c>
      <c r="AO95" s="950">
        <f>ROUND(SUMIFS('A5.Consol FY24'!L:L,'A5.Consol FY24'!M:M,"EY",'A5.Consol FY24'!N:N,"Posted",'A5.Consol FY24'!B:B,'A0.LS'!$AO$5,'A5.Consol FY24'!F:F,'A0.LS'!E95),0)</f>
        <v>0</v>
      </c>
      <c r="AP95" s="949">
        <f t="shared" ref="AP95:AP100" si="45">ROUND(SUM(AN95:AO95),0)</f>
        <v>147306723</v>
      </c>
      <c r="AQ95" s="930"/>
      <c r="AR95" s="936">
        <f>ROUND(SUMIFS('TB.XH.FY24'!I:I,'TB.XH.FY24'!J:J,'A0.LS'!E95),0)</f>
        <v>51346875</v>
      </c>
      <c r="AS95" s="936">
        <f>ROUND(SUMIFS('A5.CTC FY24'!K:K,'A5.CTC FY24'!E:E,'A0.LS'!E95,'A5.CTC FY24'!A:A,'A0.LS'!$AS$5,'A5.CTC FY24'!L:L,"EY",'A5.CTC FY24'!M:M,"Posted"),0)</f>
        <v>0</v>
      </c>
      <c r="AT95" s="948">
        <f t="shared" ref="AT95:AT100" si="46">ROUND(SUM(AR95:AS95),0)</f>
        <v>51346875</v>
      </c>
      <c r="AU95" s="930"/>
      <c r="AV95" s="951">
        <f t="shared" ref="AV95:AV100" si="47">ROUND(SUM(AP95,AL95,L95),0)</f>
        <v>208656110</v>
      </c>
      <c r="AW95" s="952">
        <f>SUMIFS('A5.Consol FY24'!L:L,'A5.Consol FY24'!B:B,'A0.LS'!$AW$5,'A5.Consol FY24'!M:M,"EY",'A5.Consol FY24'!N:N,"Posted",'A5.Consol FY24'!F:F,'A0.LS'!E95)</f>
        <v>0</v>
      </c>
      <c r="AX95" s="951">
        <f t="shared" ref="AX95:AX100" si="48">ROUND(SUM(AV95:AW95),0)</f>
        <v>208656110</v>
      </c>
      <c r="AY95" s="920"/>
      <c r="AZ95" s="936">
        <f>SUMIFS('TB.CTC.YE22'!Q:Q,'TB.CTC.YE22'!A:A,'A0.LS'!E95)</f>
        <v>0</v>
      </c>
      <c r="BA95" s="936">
        <f>ROUND(SUMIFS('A5.YE22'!J:J,'A5.YE22'!K:K,'A0.LS'!$BA$5,'A5.YE22'!L:L,"Posted",'A5.YE22'!D:D,'A0.LS'!E95),0)</f>
        <v>0</v>
      </c>
      <c r="BB95" s="936">
        <f>ROUND(SUM(AZ95:BA95),0)</f>
        <v>0</v>
      </c>
      <c r="BC95" s="937"/>
      <c r="BD95" s="936">
        <f>ROUND(SUMIFS('TB.VNSC.YE22'!L:L,'TB.VNSC.YE22'!A:A,'A0.LS'!E95),0)</f>
        <v>0</v>
      </c>
      <c r="BE95" s="936">
        <f>ROUND(SUMIFS('A5.YE22'!J:J,'A5.YE22'!K:K,'A0.LS'!$BE$5,'A5.YE22'!L:L,"Posted",'A5.YE22'!D:D,'A0.LS'!E95),0)</f>
        <v>0</v>
      </c>
      <c r="BF95" s="936">
        <f>ROUND(SUM(BD95:BE95),0)</f>
        <v>0</v>
      </c>
      <c r="BG95" s="937"/>
      <c r="BH95" s="936">
        <f>ROUND(SUMIFS('TB.XH.YE22'!P:P,'TB.XH.YE22'!A:A,'A0.LS'!E95),0)</f>
        <v>0</v>
      </c>
      <c r="BI95" s="936">
        <f>ROUND(SUMIFS('A5.YE22'!J:J,'A5.YE22'!K:K,"XH",'A5.YE22'!L:L,"Posted",'A5.YE22'!D:D,'A0.LS'!E95),0)</f>
        <v>0</v>
      </c>
      <c r="BJ95" s="936">
        <f>ROUND(SUM(BH95:BI95),0)</f>
        <v>0</v>
      </c>
      <c r="BK95" s="937"/>
      <c r="BL95" s="936">
        <f>ROUND(SUMIFS('TB.KCG.YE22'!P:P,'TB.KCG.YE22'!A:A,'A0.LS'!E95),0)</f>
        <v>0</v>
      </c>
      <c r="BM95" s="936">
        <f>ROUND(SUMIFS('A5.YE22'!J:J,'A5.YE22'!K:K,'A0.LS'!$BM$5,'A5.YE22'!L:L,"Posted",'A5.YE22'!D:D,'A0.LS'!E95),0)</f>
        <v>0</v>
      </c>
      <c r="BN95" s="936">
        <f>ROUND(SUM(BL95:BM95),0)</f>
        <v>0</v>
      </c>
      <c r="BO95" s="937"/>
      <c r="BP95" s="938">
        <v>559685576</v>
      </c>
      <c r="BQ95" s="938">
        <v>0</v>
      </c>
      <c r="BR95" s="938">
        <f>ROUND(SUM(BP95:BQ95),0)</f>
        <v>559685576</v>
      </c>
    </row>
    <row r="96" spans="2:70" ht="12.75">
      <c r="B96" s="939">
        <v>261</v>
      </c>
      <c r="C96" s="968" t="s">
        <v>2292</v>
      </c>
      <c r="D96" s="927"/>
      <c r="E96" s="928" t="s">
        <v>1262</v>
      </c>
      <c r="F96" s="928" t="s">
        <v>2293</v>
      </c>
      <c r="G96" s="927" t="s">
        <v>2254</v>
      </c>
      <c r="H96" s="927" t="s">
        <v>2188</v>
      </c>
      <c r="I96" s="942">
        <f>SUMIFS('TB.CTy Me.FY2024'!I:I,'TB.CTy Me.FY2024'!A:A,'A0.LS'!E96)</f>
        <v>0</v>
      </c>
      <c r="J96" s="942">
        <f>ROUND(SUMIFS('A5.FY24'!K:K,'A5.FY24'!E:E,'A0.LS'!E96,'A5.FY24'!L:L,"Finhay",'A5.FY24'!M:M,"Posted"),0)</f>
        <v>0</v>
      </c>
      <c r="K96" s="942">
        <f>ROUND(SUMIFS('A5.FY24'!K:K,'A5.FY24'!E:E,'A0.LS'!E96,'A5.FY24'!L:L,"EY",'A5.FY24'!M:M,"Posted"),0)</f>
        <v>0</v>
      </c>
      <c r="L96" s="943">
        <f t="shared" si="39"/>
        <v>0</v>
      </c>
      <c r="M96" s="930"/>
      <c r="N96" s="944">
        <f>SUMIFS('TB.CTM.YE23'!I:I,'TB.CTM.YE23'!A:A,'A0.LS'!E96)</f>
        <v>0</v>
      </c>
      <c r="O96" s="944">
        <v>0</v>
      </c>
      <c r="P96" s="944">
        <v>0</v>
      </c>
      <c r="Q96" s="945">
        <f t="shared" si="40"/>
        <v>0</v>
      </c>
      <c r="R96" s="898"/>
      <c r="S96" s="848">
        <f t="shared" si="37"/>
        <v>0</v>
      </c>
      <c r="T96" s="946" t="str">
        <f t="shared" si="38"/>
        <v>To check</v>
      </c>
      <c r="U96" s="850"/>
      <c r="V96" s="850" t="s">
        <v>2266</v>
      </c>
      <c r="W96" s="850"/>
      <c r="X96" s="933"/>
      <c r="Y96" s="947" t="s">
        <v>2254</v>
      </c>
      <c r="Z96" s="936">
        <f>ROUND(SUMIFS('TB.Cty Con.FY24'!I:I,'TB.Cty Con.FY24'!A:A,'A0.LS'!E96),0)</f>
        <v>0</v>
      </c>
      <c r="AA96" s="936">
        <f>ROUND(SUMIFS('A5.CTC FY24'!K:K,'A5.CTC FY24'!E:E,'A0.LS'!E96,'A5.CTC FY24'!A:A,'A0.LS'!$AA$5,'A5.CTC FY24'!L:L,"Finhay",'A5.CTC FY24'!M:M,"Posted"),0)</f>
        <v>0</v>
      </c>
      <c r="AB96" s="936">
        <f>ROUND(SUMIFS('A5.CTC FY24'!K:K,'A5.CTC FY24'!E:E,'A0.LS'!E96,'A5.CTC FY24'!A:A,'A0.LS'!$AB$5,'A5.CTC FY24'!L:L,"EY",'A5.CTC FY24'!M:M,"Posted"),0)</f>
        <v>0</v>
      </c>
      <c r="AC96" s="948">
        <f t="shared" si="41"/>
        <v>0</v>
      </c>
      <c r="AD96" s="930"/>
      <c r="AE96" s="936">
        <f>ROUND(SUMIFS('TB VNSC FY24'!M:M,'TB VNSC FY24'!N:N,'A0.LS'!E96),0)</f>
        <v>30412518898</v>
      </c>
      <c r="AF96" s="936">
        <f>SUMIFS('A5.CTC FY24'!K:K,'A5.CTC FY24'!E:E,'A0.LS'!E96,'A5.CTC FY24'!A:A,"VNSC",'A5.CTC FY24'!L:L,"VNSC",'A5.CTC FY24'!M:M,"Posted")</f>
        <v>0</v>
      </c>
      <c r="AG96" s="936">
        <f>ROUND(SUMIFS('A5.CTC FY24'!K:K,'A5.CTC FY24'!E:E,'A0.LS'!E96,'A5.CTC FY24'!A:A,"VNSC",'A5.CTC FY24'!L:L,"EY",'A5.CTC FY24'!M:M,"Posted"),0)</f>
        <v>0</v>
      </c>
      <c r="AH96" s="936">
        <f t="shared" si="42"/>
        <v>30412518898</v>
      </c>
      <c r="AI96" s="930"/>
      <c r="AJ96" s="936">
        <f>SUMIFS('TB.KCG.FY24'!I:I,'TB.KCG.FY24'!A:A,'A0.LS'!E96)</f>
        <v>0</v>
      </c>
      <c r="AK96" s="936">
        <f>ROUND(SUMIFS('A5.CTC FY24'!K:K,'A5.CTC FY24'!E:E,'A0.LS'!E96,'A5.CTC FY24'!A:A,'A0.LS'!$AK$5,'A5.CTC FY24'!L:L,"EY",'A5.CTC FY24'!M:M,"Posted"),0)</f>
        <v>0</v>
      </c>
      <c r="AL96" s="948">
        <f t="shared" si="43"/>
        <v>0</v>
      </c>
      <c r="AM96" s="930"/>
      <c r="AN96" s="949">
        <f t="shared" si="44"/>
        <v>30412518898</v>
      </c>
      <c r="AO96" s="950">
        <f>ROUND(SUMIFS('A5.Consol FY24'!L:L,'A5.Consol FY24'!M:M,"EY",'A5.Consol FY24'!N:N,"Posted",'A5.Consol FY24'!B:B,'A0.LS'!$AO$5,'A5.Consol FY24'!F:F,'A0.LS'!E96),0)</f>
        <v>0</v>
      </c>
      <c r="AP96" s="949">
        <f t="shared" si="45"/>
        <v>30412518898</v>
      </c>
      <c r="AQ96" s="930"/>
      <c r="AR96" s="936">
        <f>ROUND(SUMIFS('TB.XH.FY24'!I:I,'TB.XH.FY24'!J:J,'A0.LS'!E96),0)</f>
        <v>0</v>
      </c>
      <c r="AS96" s="936">
        <f>ROUND(SUMIFS('A5.CTC FY24'!K:K,'A5.CTC FY24'!E:E,'A0.LS'!E96,'A5.CTC FY24'!A:A,'A0.LS'!$AS$5,'A5.CTC FY24'!L:L,"EY",'A5.CTC FY24'!M:M,"Posted"),0)</f>
        <v>0</v>
      </c>
      <c r="AT96" s="948">
        <f t="shared" si="46"/>
        <v>0</v>
      </c>
      <c r="AU96" s="930"/>
      <c r="AV96" s="951">
        <f t="shared" si="47"/>
        <v>30412518898</v>
      </c>
      <c r="AW96" s="952">
        <f>SUMIFS('A5.Consol FY24'!L:L,'A5.Consol FY24'!B:B,'A0.LS'!$AW$5,'A5.Consol FY24'!M:M,"EY",'A5.Consol FY24'!N:N,"Posted",'A5.Consol FY24'!F:F,'A0.LS'!E96)</f>
        <v>-30336000000</v>
      </c>
      <c r="AX96" s="951">
        <f t="shared" si="48"/>
        <v>76518898</v>
      </c>
      <c r="AY96" s="920"/>
      <c r="AZ96" s="936">
        <f>SUMIFS('TB.CTC.YE22'!Q:Q,'TB.CTC.YE22'!A:A,'A0.LS'!E96)</f>
        <v>0</v>
      </c>
      <c r="BA96" s="936">
        <f>ROUND(SUMIFS('A5.YE22'!J:J,'A5.YE22'!K:K,'A0.LS'!$BA$5,'A5.YE22'!L:L,"Posted",'A5.YE22'!D:D,'A0.LS'!E96),0)</f>
        <v>0</v>
      </c>
      <c r="BB96" s="936">
        <f>ROUND(SUM(AZ96:BA96),0)</f>
        <v>0</v>
      </c>
      <c r="BC96" s="937"/>
      <c r="BD96" s="936">
        <f>ROUND(SUMIFS('TB.VNSC.YE22'!L:L,'TB.VNSC.YE22'!A:A,'A0.LS'!E96),0)</f>
        <v>57117501</v>
      </c>
      <c r="BE96" s="936">
        <f>ROUND(SUMIFS('A5.YE22'!J:J,'A5.YE22'!K:K,'A0.LS'!$BE$5,'A5.YE22'!L:L,"Posted",'A5.YE22'!D:D,'A0.LS'!E96),0)</f>
        <v>0</v>
      </c>
      <c r="BF96" s="936">
        <f>ROUND(SUM(BD96:BE96),0)</f>
        <v>57117501</v>
      </c>
      <c r="BG96" s="937"/>
      <c r="BH96" s="936">
        <f>ROUND(SUMIFS('TB.XH.YE22'!P:P,'TB.XH.YE22'!A:A,'A0.LS'!E96),0)</f>
        <v>0</v>
      </c>
      <c r="BI96" s="936">
        <f>ROUND(SUMIFS('A5.YE22'!J:J,'A5.YE22'!K:K,"XH",'A5.YE22'!L:L,"Posted",'A5.YE22'!D:D,'A0.LS'!E96),0)</f>
        <v>0</v>
      </c>
      <c r="BJ96" s="936">
        <f>ROUND(SUM(BH96:BI96),0)</f>
        <v>0</v>
      </c>
      <c r="BK96" s="937"/>
      <c r="BL96" s="936">
        <f>ROUND(SUMIFS('TB.KCG.YE22'!P:P,'TB.KCG.YE22'!A:A,'A0.LS'!E96),0)</f>
        <v>0</v>
      </c>
      <c r="BM96" s="936">
        <f>ROUND(SUMIFS('A5.YE22'!J:J,'A5.YE22'!K:K,'A0.LS'!$BM$5,'A5.YE22'!L:L,"Posted",'A5.YE22'!D:D,'A0.LS'!E96),0)</f>
        <v>0</v>
      </c>
      <c r="BN96" s="936">
        <f>ROUND(SUM(BL96:BM96),0)</f>
        <v>0</v>
      </c>
      <c r="BO96" s="937"/>
      <c r="BP96" s="938">
        <v>34293622890</v>
      </c>
      <c r="BQ96" s="938">
        <v>-34128000000</v>
      </c>
      <c r="BR96" s="938">
        <f>ROUND(SUM(BP96:BQ96),0)</f>
        <v>165622890</v>
      </c>
    </row>
    <row r="97" spans="2:70" ht="12.75">
      <c r="B97" s="939">
        <v>261</v>
      </c>
      <c r="C97" s="940" t="s">
        <v>2292</v>
      </c>
      <c r="D97" s="941" t="s">
        <v>2292</v>
      </c>
      <c r="E97" s="928" t="s">
        <v>119</v>
      </c>
      <c r="F97" s="928" t="s">
        <v>2294</v>
      </c>
      <c r="G97" s="927" t="s">
        <v>2254</v>
      </c>
      <c r="H97" s="927" t="s">
        <v>2188</v>
      </c>
      <c r="I97" s="942">
        <f>SUMIFS('TB.CTy Me.FY2024'!I:I,'TB.CTy Me.FY2024'!A:A,'A0.LS'!E97)</f>
        <v>772752815</v>
      </c>
      <c r="J97" s="942">
        <f>ROUND(SUMIFS('A5.FY24'!K:K,'A5.FY24'!E:E,'A0.LS'!E97,'A5.FY24'!L:L,"Finhay",'A5.FY24'!M:M,"Posted"),0)</f>
        <v>0</v>
      </c>
      <c r="K97" s="942">
        <f>ROUND(SUMIFS('A5.FY24'!K:K,'A5.FY24'!E:E,'A0.LS'!E97,'A5.FY24'!L:L,"EY",'A5.FY24'!M:M,"Posted"),0)</f>
        <v>0</v>
      </c>
      <c r="L97" s="943">
        <f t="shared" si="39"/>
        <v>772752815</v>
      </c>
      <c r="M97" s="930"/>
      <c r="N97" s="944">
        <f>SUMIFS('TB.CTM.YE23'!I:I,'TB.CTM.YE23'!A:A,'A0.LS'!E97)</f>
        <v>1467793232</v>
      </c>
      <c r="O97" s="944">
        <v>0</v>
      </c>
      <c r="P97" s="944">
        <v>-64603720</v>
      </c>
      <c r="Q97" s="945">
        <f t="shared" si="40"/>
        <v>1403189512</v>
      </c>
      <c r="R97" s="898"/>
      <c r="S97" s="848">
        <f t="shared" si="37"/>
        <v>-630436697</v>
      </c>
      <c r="T97" s="946">
        <f t="shared" si="38"/>
        <v>-0.44928834744597207</v>
      </c>
      <c r="U97" s="850"/>
      <c r="V97" s="850" t="s">
        <v>2266</v>
      </c>
      <c r="W97" s="850"/>
      <c r="X97" s="304"/>
      <c r="Y97" s="947" t="s">
        <v>2254</v>
      </c>
      <c r="Z97" s="936">
        <f>ROUND(SUMIFS('TB.Cty Con.FY24'!I:I,'TB.Cty Con.FY24'!A:A,'A0.LS'!E97),0)</f>
        <v>533324</v>
      </c>
      <c r="AA97" s="936">
        <f>ROUND(SUMIFS('A5.CTC FY24'!K:K,'A5.CTC FY24'!E:E,'A0.LS'!E97,'A5.CTC FY24'!A:A,'A0.LS'!$AA$5,'A5.CTC FY24'!L:L,"Finhay",'A5.CTC FY24'!M:M,"Posted"),0)</f>
        <v>0</v>
      </c>
      <c r="AB97" s="936">
        <f>ROUND(SUMIFS('A5.CTC FY24'!K:K,'A5.CTC FY24'!E:E,'A0.LS'!E97,'A5.CTC FY24'!A:A,'A0.LS'!$AB$5,'A5.CTC FY24'!L:L,"EY",'A5.CTC FY24'!M:M,"Posted"),0)</f>
        <v>0</v>
      </c>
      <c r="AC97" s="948">
        <f t="shared" si="41"/>
        <v>533324</v>
      </c>
      <c r="AD97" s="930"/>
      <c r="AE97" s="936">
        <f>ROUND(SUMIFS('TB VNSC FY24'!M:M,'TB VNSC FY24'!N:N,'A0.LS'!E97),0)</f>
        <v>0</v>
      </c>
      <c r="AF97" s="936">
        <f>SUMIFS('A5.CTC FY24'!K:K,'A5.CTC FY24'!E:E,'A0.LS'!E97,'A5.CTC FY24'!A:A,"VNSC",'A5.CTC FY24'!L:L,"VNSC",'A5.CTC FY24'!M:M,"Posted")</f>
        <v>0</v>
      </c>
      <c r="AG97" s="936">
        <f>ROUND(SUMIFS('A5.CTC FY24'!K:K,'A5.CTC FY24'!E:E,'A0.LS'!E97,'A5.CTC FY24'!A:A,"VNSC",'A5.CTC FY24'!L:L,"EY",'A5.CTC FY24'!M:M,"Posted"),0)</f>
        <v>0</v>
      </c>
      <c r="AH97" s="936">
        <f t="shared" si="42"/>
        <v>0</v>
      </c>
      <c r="AI97" s="930"/>
      <c r="AJ97" s="936">
        <f>SUMIFS('TB.KCG.FY24'!I:I,'TB.KCG.FY24'!A:A,'A0.LS'!E97)</f>
        <v>0</v>
      </c>
      <c r="AK97" s="936">
        <f>ROUND(SUMIFS('A5.CTC FY24'!K:K,'A5.CTC FY24'!E:E,'A0.LS'!E97,'A5.CTC FY24'!A:A,'A0.LS'!$AK$5,'A5.CTC FY24'!L:L,"EY",'A5.CTC FY24'!M:M,"Posted"),0)</f>
        <v>0</v>
      </c>
      <c r="AL97" s="948">
        <f t="shared" si="43"/>
        <v>0</v>
      </c>
      <c r="AM97" s="930"/>
      <c r="AN97" s="949">
        <f t="shared" si="44"/>
        <v>533324</v>
      </c>
      <c r="AO97" s="950">
        <f>ROUND(SUMIFS('A5.Consol FY24'!L:L,'A5.Consol FY24'!M:M,"EY",'A5.Consol FY24'!N:N,"Posted",'A5.Consol FY24'!B:B,'A0.LS'!$AO$5,'A5.Consol FY24'!F:F,'A0.LS'!E97),0)</f>
        <v>0</v>
      </c>
      <c r="AP97" s="949">
        <f t="shared" si="45"/>
        <v>533324</v>
      </c>
      <c r="AQ97" s="930"/>
      <c r="AR97" s="936">
        <f>ROUND(SUMIFS('TB.XH.FY24'!I:I,'TB.XH.FY24'!J:J,'A0.LS'!E97),0)</f>
        <v>0</v>
      </c>
      <c r="AS97" s="936">
        <f>ROUND(SUMIFS('A5.CTC FY24'!K:K,'A5.CTC FY24'!E:E,'A0.LS'!E97,'A5.CTC FY24'!A:A,'A0.LS'!$AS$5,'A5.CTC FY24'!L:L,"EY",'A5.CTC FY24'!M:M,"Posted"),0)</f>
        <v>0</v>
      </c>
      <c r="AT97" s="948">
        <f t="shared" si="46"/>
        <v>0</v>
      </c>
      <c r="AU97" s="930"/>
      <c r="AV97" s="951">
        <f t="shared" si="47"/>
        <v>773286139</v>
      </c>
      <c r="AW97" s="952">
        <f>SUMIFS('A5.Consol FY24'!L:L,'A5.Consol FY24'!B:B,'A0.LS'!$AW$5,'A5.Consol FY24'!M:M,"EY",'A5.Consol FY24'!N:N,"Posted",'A5.Consol FY24'!F:F,'A0.LS'!E97)</f>
        <v>0</v>
      </c>
      <c r="AX97" s="951">
        <f t="shared" si="48"/>
        <v>773286139</v>
      </c>
      <c r="AY97" s="920"/>
      <c r="AZ97" s="936">
        <f>SUMIFS('TB.CTC.YE22'!Q:Q,'TB.CTC.YE22'!A:A,'A0.LS'!E97)</f>
        <v>99748752</v>
      </c>
      <c r="BA97" s="936">
        <f>ROUND(SUMIFS('A5.YE22'!J:J,'A5.YE22'!K:K,'A0.LS'!$BA$5,'A5.YE22'!L:L,"Posted",'A5.YE22'!D:D,'A0.LS'!E97),0)</f>
        <v>0</v>
      </c>
      <c r="BB97" s="936">
        <f>ROUND(SUM(AZ97:BA97),0)</f>
        <v>99748752</v>
      </c>
      <c r="BC97" s="937"/>
      <c r="BD97" s="936">
        <f>ROUND(SUMIFS('TB.VNSC.YE22'!L:L,'TB.VNSC.YE22'!A:A,'A0.LS'!E97),0)</f>
        <v>0</v>
      </c>
      <c r="BE97" s="936">
        <f>ROUND(SUMIFS('A5.YE22'!J:J,'A5.YE22'!K:K,'A0.LS'!$BE$5,'A5.YE22'!L:L,"Posted",'A5.YE22'!D:D,'A0.LS'!E97),0)</f>
        <v>0</v>
      </c>
      <c r="BF97" s="936">
        <f>ROUND(SUM(BD97:BE97),0)</f>
        <v>0</v>
      </c>
      <c r="BG97" s="937"/>
      <c r="BH97" s="936">
        <f>ROUND(SUMIFS('TB.XH.YE22'!P:P,'TB.XH.YE22'!A:A,'A0.LS'!E97),0)</f>
        <v>0</v>
      </c>
      <c r="BI97" s="936">
        <f>ROUND(SUMIFS('A5.YE22'!J:J,'A5.YE22'!K:K,"XH",'A5.YE22'!L:L,"Posted",'A5.YE22'!D:D,'A0.LS'!E97),0)</f>
        <v>0</v>
      </c>
      <c r="BJ97" s="936">
        <f>ROUND(SUM(BH97:BI97),0)</f>
        <v>0</v>
      </c>
      <c r="BK97" s="937"/>
      <c r="BL97" s="936">
        <f>ROUND(SUMIFS('TB.KCG.YE22'!P:P,'TB.KCG.YE22'!A:A,'A0.LS'!E97),0)</f>
        <v>0</v>
      </c>
      <c r="BM97" s="936">
        <f>ROUND(SUMIFS('A5.YE22'!J:J,'A5.YE22'!K:K,'A0.LS'!$BM$5,'A5.YE22'!L:L,"Posted",'A5.YE22'!D:D,'A0.LS'!E97),0)</f>
        <v>0</v>
      </c>
      <c r="BN97" s="936">
        <f>ROUND(SUM(BL97:BM97),0)</f>
        <v>0</v>
      </c>
      <c r="BO97" s="937"/>
      <c r="BP97" s="938">
        <v>1410507851</v>
      </c>
      <c r="BQ97" s="938">
        <f>ROUND(SUMIFS('A5.YE22'!J:J,'A5.YE22'!K:K,'A0.LS'!$BQ$5,'A5.YE22'!L:L,"Posted",'A5.YE22'!D:D,'A0.LS'!E97),0)</f>
        <v>0</v>
      </c>
      <c r="BR97" s="938">
        <f>ROUND(SUM(BP97:BQ97),0)</f>
        <v>1410507851</v>
      </c>
    </row>
    <row r="98" spans="2:70" ht="12.75">
      <c r="B98" s="939">
        <v>261</v>
      </c>
      <c r="C98" s="940" t="s">
        <v>2292</v>
      </c>
      <c r="D98" s="941" t="s">
        <v>2292</v>
      </c>
      <c r="E98" s="954" t="s">
        <v>2295</v>
      </c>
      <c r="F98" s="928" t="s">
        <v>2296</v>
      </c>
      <c r="G98" s="927" t="s">
        <v>2277</v>
      </c>
      <c r="H98" s="927" t="s">
        <v>2222</v>
      </c>
      <c r="I98" s="942">
        <f>SUMIFS('TB.CTy Me.FY2024'!I:I,'TB.CTy Me.FY2024'!A:A,'A0.LS'!E98)</f>
        <v>0</v>
      </c>
      <c r="J98" s="942">
        <f>ROUND(SUMIFS('A5.FY24'!K:K,'A5.FY24'!E:E,'A0.LS'!E98,'A5.FY24'!L:L,"Finhay",'A5.FY24'!M:M,"Posted"),0)</f>
        <v>0</v>
      </c>
      <c r="K98" s="942">
        <f>ROUND(SUMIFS('A5.FY24'!K:K,'A5.FY24'!E:E,'A0.LS'!E98,'A5.FY24'!L:L,"EY",'A5.FY24'!M:M,"Posted"),0)</f>
        <v>0</v>
      </c>
      <c r="L98" s="943">
        <f t="shared" si="39"/>
        <v>0</v>
      </c>
      <c r="M98" s="930"/>
      <c r="N98" s="944">
        <f>SUMIFS('TB.CTM.YE23'!I:I,'TB.CTM.YE23'!A:A,'A0.LS'!E98)</f>
        <v>0</v>
      </c>
      <c r="O98" s="944">
        <v>0</v>
      </c>
      <c r="P98" s="944">
        <v>0</v>
      </c>
      <c r="Q98" s="945">
        <f t="shared" si="40"/>
        <v>0</v>
      </c>
      <c r="R98" s="898"/>
      <c r="S98" s="848">
        <f t="shared" ref="S98" si="49">L98-Q98</f>
        <v>0</v>
      </c>
      <c r="T98" s="946" t="str">
        <f t="shared" ref="T98" si="50">IFERROR(S98/Q98,"To check")</f>
        <v>To check</v>
      </c>
      <c r="U98" s="850"/>
      <c r="V98" s="850" t="s">
        <v>2266</v>
      </c>
      <c r="W98" s="850"/>
      <c r="X98" s="304"/>
      <c r="Y98" s="947" t="s">
        <v>2254</v>
      </c>
      <c r="Z98" s="936">
        <f>ROUND(SUMIFS('TB.Cty Con.FY24'!I:I,'TB.Cty Con.FY24'!A:A,'A0.LS'!E98),0)</f>
        <v>0</v>
      </c>
      <c r="AA98" s="936">
        <f>ROUND(SUMIFS('A5.CTC FY24'!K:K,'A5.CTC FY24'!E:E,'A0.LS'!E98,'A5.CTC FY24'!A:A,'A0.LS'!$AA$5,'A5.CTC FY24'!L:L,"Finhay",'A5.CTC FY24'!M:M,"Posted"),0)</f>
        <v>0</v>
      </c>
      <c r="AB98" s="936">
        <f>ROUND(SUMIFS('A5.CTC FY24'!K:K,'A5.CTC FY24'!E:E,'A0.LS'!E98,'A5.CTC FY24'!A:A,'A0.LS'!$AB$5,'A5.CTC FY24'!L:L,"EY",'A5.CTC FY24'!M:M,"Posted"),0)</f>
        <v>0</v>
      </c>
      <c r="AC98" s="948">
        <f t="shared" si="41"/>
        <v>0</v>
      </c>
      <c r="AD98" s="930"/>
      <c r="AE98" s="936">
        <f>ROUND(SUMIFS('TB VNSC FY24'!M:M,'TB VNSC FY24'!N:N,'A0.LS'!E98),0)</f>
        <v>0</v>
      </c>
      <c r="AF98" s="936">
        <f>SUMIFS('A5.CTC FY24'!K:K,'A5.CTC FY24'!E:E,'A0.LS'!E98,'A5.CTC FY24'!A:A,"VNSC",'A5.CTC FY24'!L:L,"VNSC",'A5.CTC FY24'!M:M,"Posted")</f>
        <v>0</v>
      </c>
      <c r="AG98" s="936">
        <f>ROUND(SUMIFS('A5.CTC FY24'!K:K,'A5.CTC FY24'!E:E,'A0.LS'!E98,'A5.CTC FY24'!A:A,"VNSC",'A5.CTC FY24'!L:L,"EY",'A5.CTC FY24'!M:M,"Posted"),0)</f>
        <v>56773985</v>
      </c>
      <c r="AH98" s="936">
        <f t="shared" si="42"/>
        <v>56773985</v>
      </c>
      <c r="AI98" s="930"/>
      <c r="AJ98" s="936">
        <f>SUMIFS('TB.KCG.FY24'!I:I,'TB.KCG.FY24'!A:A,'A0.LS'!E98)</f>
        <v>0</v>
      </c>
      <c r="AK98" s="936">
        <f>ROUND(SUMIFS('A5.CTC FY24'!K:K,'A5.CTC FY24'!E:E,'A0.LS'!E98,'A5.CTC FY24'!A:A,'A0.LS'!$AK$5,'A5.CTC FY24'!L:L,"EY",'A5.CTC FY24'!M:M,"Posted"),0)</f>
        <v>0</v>
      </c>
      <c r="AL98" s="948">
        <f t="shared" si="43"/>
        <v>0</v>
      </c>
      <c r="AM98" s="930"/>
      <c r="AN98" s="949">
        <f t="shared" si="44"/>
        <v>56773985</v>
      </c>
      <c r="AO98" s="950">
        <f>ROUND(SUMIFS('A5.Consol FY24'!L:L,'A5.Consol FY24'!M:M,"EY",'A5.Consol FY24'!N:N,"Posted",'A5.Consol FY24'!B:B,'A0.LS'!$AO$5,'A5.Consol FY24'!F:F,'A0.LS'!E98),0)</f>
        <v>0</v>
      </c>
      <c r="AP98" s="949">
        <f t="shared" si="45"/>
        <v>56773985</v>
      </c>
      <c r="AQ98" s="930"/>
      <c r="AR98" s="936">
        <f>ROUND(SUMIFS('TB.XH.FY24'!I:I,'TB.XH.FY24'!J:J,'A0.LS'!E98),0)</f>
        <v>0</v>
      </c>
      <c r="AS98" s="936">
        <f>ROUND(SUMIFS('A5.CTC FY24'!K:K,'A5.CTC FY24'!E:E,'A0.LS'!E98,'A5.CTC FY24'!A:A,'A0.LS'!$AS$5,'A5.CTC FY24'!L:L,"EY",'A5.CTC FY24'!M:M,"Posted"),0)</f>
        <v>0</v>
      </c>
      <c r="AT98" s="948">
        <f t="shared" si="46"/>
        <v>0</v>
      </c>
      <c r="AU98" s="930"/>
      <c r="AV98" s="951">
        <f t="shared" si="47"/>
        <v>56773985</v>
      </c>
      <c r="AW98" s="952">
        <f>SUMIFS('A5.Consol FY24'!L:L,'A5.Consol FY24'!B:B,'A0.LS'!$AW$5,'A5.Consol FY24'!M:M,"EY",'A5.Consol FY24'!N:N,"Posted",'A5.Consol FY24'!F:F,'A0.LS'!E98)</f>
        <v>0</v>
      </c>
      <c r="AX98" s="951">
        <f t="shared" si="48"/>
        <v>56773985</v>
      </c>
      <c r="AY98" s="920"/>
      <c r="AZ98" s="936"/>
      <c r="BA98" s="936"/>
      <c r="BB98" s="936"/>
      <c r="BC98" s="937"/>
      <c r="BD98" s="936"/>
      <c r="BE98" s="936"/>
      <c r="BF98" s="936"/>
      <c r="BG98" s="937"/>
      <c r="BH98" s="936"/>
      <c r="BI98" s="936"/>
      <c r="BJ98" s="936"/>
      <c r="BK98" s="937"/>
      <c r="BL98" s="936"/>
      <c r="BM98" s="936"/>
      <c r="BN98" s="936"/>
      <c r="BO98" s="937"/>
      <c r="BP98" s="938">
        <v>0</v>
      </c>
      <c r="BQ98" s="938">
        <v>0</v>
      </c>
      <c r="BR98" s="938">
        <v>0</v>
      </c>
    </row>
    <row r="99" spans="2:70" ht="12.75">
      <c r="B99" s="939">
        <v>269</v>
      </c>
      <c r="C99" s="940"/>
      <c r="D99" s="941"/>
      <c r="E99" s="928" t="s">
        <v>1197</v>
      </c>
      <c r="F99" s="928" t="s">
        <v>2297</v>
      </c>
      <c r="G99" s="927" t="s">
        <v>2254</v>
      </c>
      <c r="H99" s="927" t="s">
        <v>2188</v>
      </c>
      <c r="I99" s="942">
        <f>SUMIFS('TB.CTy Me.FY2024'!I:I,'TB.CTy Me.FY2024'!A:A,'A0.LS'!E99)</f>
        <v>0</v>
      </c>
      <c r="J99" s="942">
        <f>ROUND(SUMIFS('A5.FY24'!K:K,'A5.FY24'!E:E,'A0.LS'!E99,'A5.FY24'!L:L,"Finhay",'A5.FY24'!M:M,"Posted"),0)</f>
        <v>0</v>
      </c>
      <c r="K99" s="942">
        <f>ROUND(SUMIFS('A5.FY24'!K:K,'A5.FY24'!E:E,'A0.LS'!E99,'A5.FY24'!L:L,"EY",'A5.FY24'!M:M,"Posted"),0)</f>
        <v>0</v>
      </c>
      <c r="L99" s="943">
        <f t="shared" si="39"/>
        <v>0</v>
      </c>
      <c r="M99" s="930"/>
      <c r="N99" s="944">
        <f>SUMIFS('TB.CTM.YE23'!I:I,'TB.CTM.YE23'!A:A,'A0.LS'!E99)</f>
        <v>0</v>
      </c>
      <c r="O99" s="944">
        <v>0</v>
      </c>
      <c r="P99" s="944">
        <v>0</v>
      </c>
      <c r="Q99" s="945">
        <f t="shared" si="40"/>
        <v>0</v>
      </c>
      <c r="R99" s="898"/>
      <c r="S99" s="848">
        <f t="shared" si="37"/>
        <v>0</v>
      </c>
      <c r="T99" s="946" t="str">
        <f t="shared" si="38"/>
        <v>To check</v>
      </c>
      <c r="U99" s="850"/>
      <c r="V99" s="850"/>
      <c r="W99" s="850"/>
      <c r="X99" s="947" t="s">
        <v>676</v>
      </c>
      <c r="Y99" s="947"/>
      <c r="Z99" s="936">
        <f>ROUND(SUMIFS('TB.Cty Con.FY24'!I:I,'TB.Cty Con.FY24'!A:A,'A0.LS'!E99),0)</f>
        <v>0</v>
      </c>
      <c r="AA99" s="936">
        <f>ROUND(SUMIFS('A5.CTC FY24'!K:K,'A5.CTC FY24'!E:E,'A0.LS'!E99,'A5.CTC FY24'!A:A,'A0.LS'!$AA$5,'A5.CTC FY24'!L:L,"Finhay",'A5.CTC FY24'!M:M,"Posted"),0)</f>
        <v>0</v>
      </c>
      <c r="AB99" s="936">
        <f>ROUND(SUMIFS('A5.CTC FY24'!K:K,'A5.CTC FY24'!E:E,'A0.LS'!E99,'A5.CTC FY24'!A:A,'A0.LS'!$AB$5,'A5.CTC FY24'!L:L,"EY",'A5.CTC FY24'!M:M,"Posted"),0)</f>
        <v>0</v>
      </c>
      <c r="AC99" s="948">
        <f t="shared" si="41"/>
        <v>0</v>
      </c>
      <c r="AD99" s="930"/>
      <c r="AE99" s="936">
        <f>ROUND(SUMIFS('TB VNSC FY24'!M:M,'TB VNSC FY24'!N:N,'A0.LS'!E99),0)</f>
        <v>0</v>
      </c>
      <c r="AF99" s="936">
        <f>SUMIFS('A5.CTC FY24'!K:K,'A5.CTC FY24'!E:E,'A0.LS'!E99,'A5.CTC FY24'!A:A,"VNSC",'A5.CTC FY24'!L:L,"VNSC",'A5.CTC FY24'!M:M,"Posted")</f>
        <v>0</v>
      </c>
      <c r="AG99" s="936">
        <f>ROUND(SUMIFS('A5.CTC FY24'!K:K,'A5.CTC FY24'!E:E,'A0.LS'!E99,'A5.CTC FY24'!A:A,"VNSC",'A5.CTC FY24'!L:L,"EY",'A5.CTC FY24'!M:M,"Posted"),0)</f>
        <v>0</v>
      </c>
      <c r="AH99" s="936">
        <f t="shared" si="42"/>
        <v>0</v>
      </c>
      <c r="AI99" s="930"/>
      <c r="AJ99" s="936">
        <f>SUMIFS('TB.KCG.FY24'!I:I,'TB.KCG.FY24'!A:A,'A0.LS'!E99)</f>
        <v>0</v>
      </c>
      <c r="AK99" s="936">
        <f>ROUND(SUMIFS('A5.CTC FY24'!K:K,'A5.CTC FY24'!E:E,'A0.LS'!E99,'A5.CTC FY24'!A:A,'A0.LS'!$AK$5,'A5.CTC FY24'!L:L,"EY",'A5.CTC FY24'!M:M,"Posted"),0)</f>
        <v>0</v>
      </c>
      <c r="AL99" s="948">
        <f t="shared" si="43"/>
        <v>0</v>
      </c>
      <c r="AM99" s="930"/>
      <c r="AN99" s="949">
        <f t="shared" si="44"/>
        <v>0</v>
      </c>
      <c r="AO99" s="950">
        <f>ROUND(SUMIFS('A5.Consol FY24'!L:L,'A5.Consol FY24'!M:M,"EY",'A5.Consol FY24'!N:N,"Posted",'A5.Consol FY24'!B:B,'A0.LS'!$AO$5,'A5.Consol FY24'!F:F,'A0.LS'!E99),0)</f>
        <v>82660875837</v>
      </c>
      <c r="AP99" s="949">
        <f t="shared" si="45"/>
        <v>82660875837</v>
      </c>
      <c r="AQ99" s="930"/>
      <c r="AR99" s="936">
        <f>ROUND(SUMIFS('TB.XH.FY24'!I:I,'TB.XH.FY24'!J:J,'A0.LS'!E99),0)</f>
        <v>0</v>
      </c>
      <c r="AS99" s="936">
        <f>ROUND(SUMIFS('A5.CTC FY24'!K:K,'A5.CTC FY24'!E:E,'A0.LS'!E99,'A5.CTC FY24'!A:A,'A0.LS'!$AS$5,'A5.CTC FY24'!L:L,"EY",'A5.CTC FY24'!M:M,"Posted"),0)</f>
        <v>0</v>
      </c>
      <c r="AT99" s="948">
        <f t="shared" si="46"/>
        <v>0</v>
      </c>
      <c r="AU99" s="930"/>
      <c r="AV99" s="951">
        <f t="shared" si="47"/>
        <v>82660875837</v>
      </c>
      <c r="AW99" s="952">
        <f>SUMIFS('A5.Consol FY24'!L:L,'A5.Consol FY24'!B:B,'A0.LS'!$AW$5,'A5.Consol FY24'!M:M,"EY",'A5.Consol FY24'!N:N,"Posted",'A5.Consol FY24'!F:F,'A0.LS'!E99)</f>
        <v>0</v>
      </c>
      <c r="AX99" s="951">
        <f t="shared" si="48"/>
        <v>82660875837</v>
      </c>
      <c r="AY99" s="920"/>
      <c r="AZ99" s="936">
        <f>SUMIFS('TB.CTC.YE22'!Q:Q,'TB.CTC.YE22'!A:A,'A0.LS'!E99)</f>
        <v>0</v>
      </c>
      <c r="BA99" s="936">
        <f>ROUND(SUMIFS('A5.YE22'!J:J,'A5.YE22'!K:K,'A0.LS'!$BA$5,'A5.YE22'!L:L,"Posted",'A5.YE22'!D:D,'A0.LS'!E99),0)</f>
        <v>0</v>
      </c>
      <c r="BB99" s="936">
        <f>ROUND(SUM(AZ99:BA99),0)</f>
        <v>0</v>
      </c>
      <c r="BC99" s="937"/>
      <c r="BD99" s="936">
        <f>ROUND(SUMIFS('TB.VNSC.YE22'!L:L,'TB.VNSC.YE22'!A:A,'A0.LS'!E99),0)</f>
        <v>0</v>
      </c>
      <c r="BE99" s="936">
        <f>ROUND(SUMIFS('A5.YE22'!J:J,'A5.YE22'!K:K,'A0.LS'!$BE$5,'A5.YE22'!L:L,"Posted",'A5.YE22'!D:D,'A0.LS'!E99),0)</f>
        <v>0</v>
      </c>
      <c r="BF99" s="936">
        <f>ROUND(SUM(BD99:BE99),0)</f>
        <v>0</v>
      </c>
      <c r="BG99" s="937"/>
      <c r="BH99" s="936">
        <f>ROUND(SUMIFS('TB.XH.YE22'!P:P,'TB.XH.YE22'!A:A,'A0.LS'!E99),0)</f>
        <v>0</v>
      </c>
      <c r="BI99" s="936">
        <f>ROUND(SUMIFS('A5.YE22'!J:J,'A5.YE22'!K:K,"XH",'A5.YE22'!L:L,"Posted",'A5.YE22'!D:D,'A0.LS'!E99),0)</f>
        <v>0</v>
      </c>
      <c r="BJ99" s="936">
        <f>ROUND(SUM(BH99:BI99),0)</f>
        <v>0</v>
      </c>
      <c r="BK99" s="937"/>
      <c r="BL99" s="936">
        <f>ROUND(SUMIFS('TB.KCG.YE22'!P:P,'TB.KCG.YE22'!A:A,'A0.LS'!E99),0)</f>
        <v>0</v>
      </c>
      <c r="BM99" s="936">
        <f>ROUND(SUMIFS('A5.YE22'!J:J,'A5.YE22'!K:K,'A0.LS'!$BM$5,'A5.YE22'!L:L,"Posted",'A5.YE22'!D:D,'A0.LS'!E99),0)</f>
        <v>0</v>
      </c>
      <c r="BN99" s="936">
        <f>ROUND(SUM(BL99:BM99),0)</f>
        <v>0</v>
      </c>
      <c r="BO99" s="937"/>
      <c r="BP99" s="938">
        <v>94600055220</v>
      </c>
      <c r="BQ99" s="938">
        <v>0</v>
      </c>
      <c r="BR99" s="938">
        <f>ROUND(SUM(BP99:BQ99),0)</f>
        <v>94600055220</v>
      </c>
    </row>
    <row r="100" spans="2:70" ht="12.75">
      <c r="B100" s="939">
        <v>268</v>
      </c>
      <c r="C100" s="968" t="s">
        <v>2298</v>
      </c>
      <c r="D100" s="941"/>
      <c r="E100" s="954" t="s">
        <v>1621</v>
      </c>
      <c r="F100" s="928" t="s">
        <v>2299</v>
      </c>
      <c r="G100" s="927" t="s">
        <v>2254</v>
      </c>
      <c r="H100" s="927" t="s">
        <v>2188</v>
      </c>
      <c r="I100" s="942">
        <f>SUMIFS('TB.CTy Me.FY2024'!I:I,'TB.CTy Me.FY2024'!A:A,'A0.LS'!E100)</f>
        <v>0</v>
      </c>
      <c r="J100" s="942">
        <f>ROUND(SUMIFS('A5.FY24'!K:K,'A5.FY24'!E:E,'A0.LS'!E100,'A5.FY24'!L:L,"Finhay",'A5.FY24'!M:M,"Posted"),0)</f>
        <v>0</v>
      </c>
      <c r="K100" s="942">
        <f>ROUND(SUMIFS('A5.FY24'!K:K,'A5.FY24'!E:E,'A0.LS'!E100,'A5.FY24'!L:L,"EY",'A5.FY24'!M:M,"Posted"),0)</f>
        <v>0</v>
      </c>
      <c r="L100" s="943">
        <f t="shared" si="39"/>
        <v>0</v>
      </c>
      <c r="M100" s="930"/>
      <c r="N100" s="944">
        <f>SUMIFS('TB.CTM.YE23'!I:I,'TB.CTM.YE23'!A:A,'A0.LS'!E100)</f>
        <v>0</v>
      </c>
      <c r="O100" s="944">
        <v>0</v>
      </c>
      <c r="P100" s="944">
        <v>0</v>
      </c>
      <c r="Q100" s="945">
        <f t="shared" si="40"/>
        <v>0</v>
      </c>
      <c r="R100" s="898"/>
      <c r="S100" s="848">
        <f t="shared" si="37"/>
        <v>0</v>
      </c>
      <c r="T100" s="946" t="str">
        <f t="shared" si="38"/>
        <v>To check</v>
      </c>
      <c r="U100" s="850"/>
      <c r="V100" s="850"/>
      <c r="W100" s="850"/>
      <c r="X100" s="947" t="s">
        <v>676</v>
      </c>
      <c r="Y100" s="947" t="s">
        <v>2254</v>
      </c>
      <c r="Z100" s="936">
        <f>ROUND(SUMIFS('TB.Cty Con.FY24'!I:I,'TB.Cty Con.FY24'!A:A,'A0.LS'!E100),0)</f>
        <v>0</v>
      </c>
      <c r="AA100" s="936">
        <f>ROUND(SUMIFS('A5.CTC FY24'!K:K,'A5.CTC FY24'!E:E,'A0.LS'!E100,'A5.CTC FY24'!A:A,'A0.LS'!$AA$5,'A5.CTC FY24'!L:L,"Finhay",'A5.CTC FY24'!M:M,"Posted"),0)</f>
        <v>0</v>
      </c>
      <c r="AB100" s="936">
        <f>ROUND(SUMIFS('A5.CTC FY24'!K:K,'A5.CTC FY24'!E:E,'A0.LS'!E100,'A5.CTC FY24'!A:A,'A0.LS'!$AB$5,'A5.CTC FY24'!L:L,"EY",'A5.CTC FY24'!M:M,"Posted"),0)</f>
        <v>0</v>
      </c>
      <c r="AC100" s="948">
        <f t="shared" si="41"/>
        <v>0</v>
      </c>
      <c r="AD100" s="930"/>
      <c r="AE100" s="936">
        <f>ROUND(SUMIFS('TB VNSC FY24'!M:M,'TB VNSC FY24'!N:N,'A0.LS'!E100),0)</f>
        <v>1416636590</v>
      </c>
      <c r="AF100" s="936">
        <f>SUMIFS('A5.CTC FY24'!K:K,'A5.CTC FY24'!E:E,'A0.LS'!E100,'A5.CTC FY24'!A:A,"VNSC",'A5.CTC FY24'!L:L,"VNSC",'A5.CTC FY24'!M:M,"Posted")</f>
        <v>0</v>
      </c>
      <c r="AG100" s="936">
        <f>ROUND(SUMIFS('A5.CTC FY24'!K:K,'A5.CTC FY24'!E:E,'A0.LS'!E100,'A5.CTC FY24'!A:A,"VNSC",'A5.CTC FY24'!L:L,"EY",'A5.CTC FY24'!M:M,"Posted"),0)</f>
        <v>0</v>
      </c>
      <c r="AH100" s="936">
        <f t="shared" si="42"/>
        <v>1416636590</v>
      </c>
      <c r="AI100" s="930"/>
      <c r="AJ100" s="936">
        <f>SUMIFS('TB.KCG.FY24'!I:I,'TB.KCG.FY24'!A:A,'A0.LS'!E100)</f>
        <v>0</v>
      </c>
      <c r="AK100" s="936">
        <f>ROUND(SUMIFS('A5.CTC FY24'!K:K,'A5.CTC FY24'!E:E,'A0.LS'!E100,'A5.CTC FY24'!A:A,'A0.LS'!$AK$5,'A5.CTC FY24'!L:L,"EY",'A5.CTC FY24'!M:M,"Posted"),0)</f>
        <v>0</v>
      </c>
      <c r="AL100" s="948">
        <f t="shared" si="43"/>
        <v>0</v>
      </c>
      <c r="AM100" s="930"/>
      <c r="AN100" s="949">
        <f t="shared" si="44"/>
        <v>1416636590</v>
      </c>
      <c r="AO100" s="950">
        <f>ROUND(SUMIFS('A5.Consol FY24'!L:L,'A5.Consol FY24'!M:M,"EY",'A5.Consol FY24'!N:N,"Posted",'A5.Consol FY24'!B:B,'A0.LS'!$AO$5,'A5.Consol FY24'!F:F,'A0.LS'!E100),0)</f>
        <v>0</v>
      </c>
      <c r="AP100" s="949">
        <f t="shared" si="45"/>
        <v>1416636590</v>
      </c>
      <c r="AQ100" s="930"/>
      <c r="AR100" s="936">
        <f>ROUND(SUMIFS('TB.XH.FY24'!I:I,'TB.XH.FY24'!J:J,'A0.LS'!E100),0)</f>
        <v>0</v>
      </c>
      <c r="AS100" s="936">
        <f>ROUND(SUMIFS('A5.CTC FY24'!K:K,'A5.CTC FY24'!E:E,'A0.LS'!E100,'A5.CTC FY24'!A:A,'A0.LS'!$AS$5,'A5.CTC FY24'!L:L,"EY",'A5.CTC FY24'!M:M,"Posted"),0)</f>
        <v>0</v>
      </c>
      <c r="AT100" s="948">
        <f t="shared" si="46"/>
        <v>0</v>
      </c>
      <c r="AU100" s="930"/>
      <c r="AV100" s="951">
        <f t="shared" si="47"/>
        <v>1416636590</v>
      </c>
      <c r="AW100" s="952">
        <f>SUMIFS('A5.Consol FY24'!L:L,'A5.Consol FY24'!B:B,'A0.LS'!$AW$5,'A5.Consol FY24'!M:M,"EY",'A5.Consol FY24'!N:N,"Posted",'A5.Consol FY24'!F:F,'A0.LS'!E100)</f>
        <v>0</v>
      </c>
      <c r="AX100" s="951">
        <f t="shared" si="48"/>
        <v>1416636590</v>
      </c>
      <c r="AY100" s="920"/>
      <c r="AZ100" s="936">
        <f>SUMIFS('TB.CTC.YE22'!Q:Q,'TB.CTC.YE22'!A:A,'A0.LS'!E100)</f>
        <v>0</v>
      </c>
      <c r="BA100" s="936">
        <f>ROUND(SUMIFS('A5.YE22'!J:J,'A5.YE22'!K:K,'A0.LS'!$BA$5,'A5.YE22'!L:L,"Posted",'A5.YE22'!D:D,'A0.LS'!E100),0)</f>
        <v>0</v>
      </c>
      <c r="BB100" s="936">
        <f>ROUND(SUM(AZ100:BA100),0)</f>
        <v>0</v>
      </c>
      <c r="BC100" s="937"/>
      <c r="BD100" s="936">
        <f>ROUND(SUMIFS('TB.VNSC.YE22'!L:L,'TB.VNSC.YE22'!A:A,'A0.LS'!E100),0)</f>
        <v>177641089</v>
      </c>
      <c r="BE100" s="936">
        <f>ROUND(SUMIFS('A5.YE22'!J:J,'A5.YE22'!K:K,'A0.LS'!$BE$5,'A5.YE22'!L:L,"Posted",'A5.YE22'!D:D,'A0.LS'!E100),0)</f>
        <v>0</v>
      </c>
      <c r="BF100" s="936">
        <f>ROUND(SUM(BD100:BE100),0)</f>
        <v>177641089</v>
      </c>
      <c r="BG100" s="937"/>
      <c r="BH100" s="936">
        <f>ROUND(SUMIFS('TB.XH.YE22'!P:P,'TB.XH.YE22'!A:A,'A0.LS'!E100),0)</f>
        <v>0</v>
      </c>
      <c r="BI100" s="936">
        <f>ROUND(SUMIFS('A5.YE22'!J:J,'A5.YE22'!K:K,"XH",'A5.YE22'!L:L,"Posted",'A5.YE22'!D:D,'A0.LS'!E100),0)</f>
        <v>0</v>
      </c>
      <c r="BJ100" s="936">
        <f>ROUND(SUM(BH100:BI100),0)</f>
        <v>0</v>
      </c>
      <c r="BK100" s="937"/>
      <c r="BL100" s="936">
        <f>ROUND(SUMIFS('TB.KCG.YE22'!P:P,'TB.KCG.YE22'!A:A,'A0.LS'!E100),0)</f>
        <v>0</v>
      </c>
      <c r="BM100" s="936">
        <f>ROUND(SUMIFS('A5.YE22'!J:J,'A5.YE22'!K:K,'A0.LS'!$BM$5,'A5.YE22'!L:L,"Posted",'A5.YE22'!D:D,'A0.LS'!E100),0)</f>
        <v>0</v>
      </c>
      <c r="BN100" s="936">
        <f>ROUND(SUM(BL100:BM100),0)</f>
        <v>0</v>
      </c>
      <c r="BO100" s="937"/>
      <c r="BP100" s="938">
        <v>297641089</v>
      </c>
      <c r="BQ100" s="938">
        <f>ROUND(SUMIFS('A5.YE22'!J:J,'A5.YE22'!K:K,'A0.LS'!$BQ$5,'A5.YE22'!L:L,"Posted",'A5.YE22'!D:D,'A0.LS'!E100),0)</f>
        <v>0</v>
      </c>
      <c r="BR100" s="938">
        <f>ROUND(SUM(BP100:BQ100),0)</f>
        <v>297641089</v>
      </c>
    </row>
    <row r="101" spans="2:70" ht="12.75">
      <c r="B101" s="925"/>
      <c r="C101" s="926"/>
      <c r="D101" s="927"/>
      <c r="E101" s="928"/>
      <c r="F101" s="928"/>
      <c r="G101" s="928"/>
      <c r="H101" s="927"/>
      <c r="I101" s="929"/>
      <c r="J101" s="929"/>
      <c r="K101" s="929"/>
      <c r="L101" s="929"/>
      <c r="M101" s="930"/>
      <c r="N101" s="931"/>
      <c r="O101" s="931"/>
      <c r="P101" s="931"/>
      <c r="Q101" s="932"/>
      <c r="R101" s="898"/>
      <c r="S101" s="850"/>
      <c r="T101" s="850"/>
      <c r="U101" s="850"/>
      <c r="V101" s="850"/>
      <c r="W101" s="850"/>
      <c r="X101" s="947" t="s">
        <v>676</v>
      </c>
      <c r="Y101" s="933"/>
      <c r="Z101" s="934"/>
      <c r="AA101" s="934"/>
      <c r="AB101" s="934"/>
      <c r="AC101" s="934"/>
      <c r="AD101" s="930"/>
      <c r="AE101" s="934"/>
      <c r="AF101" s="934"/>
      <c r="AG101" s="934"/>
      <c r="AH101" s="934"/>
      <c r="AI101" s="930"/>
      <c r="AJ101" s="934"/>
      <c r="AK101" s="934"/>
      <c r="AL101" s="934"/>
      <c r="AM101" s="930"/>
      <c r="AN101" s="935"/>
      <c r="AO101" s="935"/>
      <c r="AP101" s="935"/>
      <c r="AQ101" s="930"/>
      <c r="AR101" s="936"/>
      <c r="AS101" s="934"/>
      <c r="AT101" s="934"/>
      <c r="AU101" s="930"/>
      <c r="AV101" s="909"/>
      <c r="AW101" s="909"/>
      <c r="AX101" s="909"/>
      <c r="AY101" s="920"/>
      <c r="AZ101" s="936"/>
      <c r="BA101" s="936"/>
      <c r="BB101" s="936"/>
      <c r="BC101" s="937"/>
      <c r="BD101" s="936"/>
      <c r="BE101" s="936"/>
      <c r="BF101" s="936"/>
      <c r="BG101" s="937"/>
      <c r="BH101" s="936"/>
      <c r="BI101" s="936"/>
      <c r="BJ101" s="936"/>
      <c r="BK101" s="937"/>
      <c r="BL101" s="936"/>
      <c r="BM101" s="936"/>
      <c r="BN101" s="936"/>
      <c r="BO101" s="937"/>
      <c r="BP101" s="938"/>
      <c r="BQ101" s="938"/>
      <c r="BR101" s="938"/>
    </row>
    <row r="102" spans="2:70" s="1" customFormat="1" ht="12.75">
      <c r="B102" s="293"/>
      <c r="C102" s="294"/>
      <c r="D102" s="295"/>
      <c r="E102" s="75"/>
      <c r="F102" s="75" t="s">
        <v>2300</v>
      </c>
      <c r="G102" s="75"/>
      <c r="H102" s="295"/>
      <c r="I102" s="91">
        <f>SUM(I73,I9)</f>
        <v>1847666338311</v>
      </c>
      <c r="J102" s="91">
        <f>SUM(J73,J9)</f>
        <v>83545996</v>
      </c>
      <c r="K102" s="91">
        <f>SUM(K73,K9)</f>
        <v>-24597520309</v>
      </c>
      <c r="L102" s="91">
        <f>SUM(L73,L9)</f>
        <v>1823152363998</v>
      </c>
      <c r="M102" s="296"/>
      <c r="N102" s="69">
        <f>SUM(N73,N9)</f>
        <v>2178059955270</v>
      </c>
      <c r="O102" s="69">
        <f>SUM(O73,O9)</f>
        <v>-1157187016</v>
      </c>
      <c r="P102" s="69">
        <f>SUM(P73,P9)</f>
        <v>238065485996</v>
      </c>
      <c r="Q102" s="70">
        <f>SUM(Q73,Q9)</f>
        <v>2414968254250</v>
      </c>
      <c r="R102" s="298"/>
      <c r="S102" s="175">
        <f>L102-Q102</f>
        <v>-591815890252</v>
      </c>
      <c r="T102" s="176">
        <f>IFERROR(S102/Q102,"To check")</f>
        <v>-0.24506156104142918</v>
      </c>
      <c r="X102" s="933"/>
      <c r="Y102" s="304"/>
      <c r="Z102" s="235">
        <f>SUM(Z73,Z9)</f>
        <v>182219127409</v>
      </c>
      <c r="AA102" s="235">
        <f>SUM(AA73,AA9)</f>
        <v>-100000</v>
      </c>
      <c r="AB102" s="235">
        <f>SUM(AB73,AB9)</f>
        <v>-25717389728</v>
      </c>
      <c r="AC102" s="235">
        <f>SUM(AC73,AC9)</f>
        <v>156501637681</v>
      </c>
      <c r="AD102" s="236"/>
      <c r="AE102" s="235">
        <f>SUM(AE73,AE9)</f>
        <v>338133066168</v>
      </c>
      <c r="AF102" s="235">
        <f>SUM(AF73,AF9)</f>
        <v>0</v>
      </c>
      <c r="AG102" s="235">
        <f>SUM(AG73,AG9)</f>
        <v>1601321931</v>
      </c>
      <c r="AH102" s="235">
        <f>SUM(AH73,AH9)</f>
        <v>339734388099</v>
      </c>
      <c r="AI102" s="236"/>
      <c r="AJ102" s="235">
        <f>SUM(AJ73,AJ9)</f>
        <v>11903389</v>
      </c>
      <c r="AK102" s="235">
        <f>SUM(AK73,AK9)</f>
        <v>0</v>
      </c>
      <c r="AL102" s="235">
        <f>SUM(AL73,AL9)</f>
        <v>11903389</v>
      </c>
      <c r="AM102" s="236"/>
      <c r="AN102" s="237">
        <f>SUM(AN73,AN9)</f>
        <v>500356585696</v>
      </c>
      <c r="AO102" s="237">
        <f>SUM(AO73,AO9)</f>
        <v>-71401518530</v>
      </c>
      <c r="AP102" s="237">
        <f>SUM(AP73,AP9)</f>
        <v>428955067166</v>
      </c>
      <c r="AQ102" s="236"/>
      <c r="AR102" s="235">
        <f>SUM(AR73,AR9)</f>
        <v>4851587630</v>
      </c>
      <c r="AS102" s="235">
        <f>SUM(AS73,AS9)</f>
        <v>-731027714</v>
      </c>
      <c r="AT102" s="235">
        <f>SUM(AT73,AT9)</f>
        <v>4120559916</v>
      </c>
      <c r="AU102" s="236"/>
      <c r="AV102" s="238">
        <f>SUM(AV73,AV9)</f>
        <v>2252119334553</v>
      </c>
      <c r="AW102" s="238">
        <f>SUM(AW73,AW9)</f>
        <v>-405434914996</v>
      </c>
      <c r="AX102" s="238">
        <f>SUM(AX73,AX9)</f>
        <v>1846684419557</v>
      </c>
      <c r="AY102" s="614"/>
      <c r="AZ102" s="235">
        <f>SUM(AZ73,AZ9)</f>
        <v>183673536524</v>
      </c>
      <c r="BA102" s="235">
        <f>SUM(BA73,BA9)</f>
        <v>-9145280659</v>
      </c>
      <c r="BB102" s="235">
        <f>SUM(BB73,BB9)</f>
        <v>174528255865</v>
      </c>
      <c r="BC102" s="236"/>
      <c r="BD102" s="235">
        <f>SUM(BD73,BD9)</f>
        <v>296904680211</v>
      </c>
      <c r="BE102" s="235">
        <f>SUM(BE73,BE9)</f>
        <v>582000</v>
      </c>
      <c r="BF102" s="235">
        <f>SUM(BF73,BF9)</f>
        <v>296905262211</v>
      </c>
      <c r="BG102" s="236"/>
      <c r="BH102" s="235">
        <f>SUM(BH73,BH9)</f>
        <v>54700203</v>
      </c>
      <c r="BI102" s="235">
        <f>SUM(BI73,BI9)</f>
        <v>0</v>
      </c>
      <c r="BJ102" s="235">
        <f>SUM(BJ73,BJ9)</f>
        <v>54700203</v>
      </c>
      <c r="BK102" s="236"/>
      <c r="BL102" s="235">
        <f>SUM(BL73,BL9)</f>
        <v>18026800</v>
      </c>
      <c r="BM102" s="235">
        <f>SUM(BM73,BM9)</f>
        <v>0</v>
      </c>
      <c r="BN102" s="235">
        <f>SUM(BN73,BN9)</f>
        <v>18026800</v>
      </c>
      <c r="BO102" s="236"/>
      <c r="BP102" s="443">
        <f>SUM(BP73,BP9)</f>
        <v>2822439739908</v>
      </c>
      <c r="BQ102" s="443">
        <f>SUM(BQ73,BQ9)</f>
        <v>-438389876392</v>
      </c>
      <c r="BR102" s="443">
        <f>SUM(BR73,BR9)</f>
        <v>2384049863516</v>
      </c>
    </row>
    <row r="103" spans="2:70" ht="12.75">
      <c r="B103" s="925"/>
      <c r="C103" s="926"/>
      <c r="D103" s="927"/>
      <c r="E103" s="928"/>
      <c r="F103" s="928"/>
      <c r="G103" s="928"/>
      <c r="H103" s="927"/>
      <c r="I103" s="929"/>
      <c r="J103" s="929"/>
      <c r="K103" s="929"/>
      <c r="L103" s="929"/>
      <c r="M103" s="930"/>
      <c r="N103" s="931"/>
      <c r="O103" s="931"/>
      <c r="P103" s="931"/>
      <c r="Q103" s="932"/>
      <c r="R103" s="898"/>
      <c r="S103" s="850"/>
      <c r="T103" s="850"/>
      <c r="U103" s="850"/>
      <c r="V103" s="850"/>
      <c r="W103" s="850"/>
      <c r="X103" s="304"/>
      <c r="Y103" s="933"/>
      <c r="Z103" s="934"/>
      <c r="AA103" s="934"/>
      <c r="AB103" s="934"/>
      <c r="AC103" s="934"/>
      <c r="AD103" s="930"/>
      <c r="AE103" s="934"/>
      <c r="AF103" s="934"/>
      <c r="AG103" s="934"/>
      <c r="AH103" s="934"/>
      <c r="AI103" s="930"/>
      <c r="AJ103" s="934"/>
      <c r="AK103" s="934"/>
      <c r="AL103" s="934"/>
      <c r="AM103" s="930"/>
      <c r="AN103" s="935"/>
      <c r="AO103" s="935"/>
      <c r="AP103" s="935"/>
      <c r="AQ103" s="930"/>
      <c r="AR103" s="934"/>
      <c r="AS103" s="934"/>
      <c r="AT103" s="934"/>
      <c r="AU103" s="930"/>
      <c r="AV103" s="909"/>
      <c r="AW103" s="909"/>
      <c r="AX103" s="909"/>
      <c r="AY103" s="920"/>
      <c r="AZ103" s="936"/>
      <c r="BA103" s="936"/>
      <c r="BB103" s="936"/>
      <c r="BC103" s="937"/>
      <c r="BD103" s="936"/>
      <c r="BE103" s="936"/>
      <c r="BF103" s="936"/>
      <c r="BG103" s="937"/>
      <c r="BH103" s="936"/>
      <c r="BI103" s="936"/>
      <c r="BJ103" s="936"/>
      <c r="BK103" s="937"/>
      <c r="BL103" s="936"/>
      <c r="BM103" s="936"/>
      <c r="BN103" s="936"/>
      <c r="BO103" s="937"/>
      <c r="BP103" s="938"/>
      <c r="BQ103" s="938"/>
      <c r="BR103" s="938"/>
    </row>
    <row r="104" spans="2:70" s="1" customFormat="1" ht="12.75">
      <c r="B104" s="293"/>
      <c r="C104" s="294"/>
      <c r="D104" s="295"/>
      <c r="E104" s="75"/>
      <c r="F104" s="75" t="s">
        <v>2301</v>
      </c>
      <c r="G104" s="75"/>
      <c r="H104" s="295"/>
      <c r="I104" s="68">
        <f>SUM(I106,I109,I120,I123,I129,I126,I166)+I162</f>
        <v>-1439790275710</v>
      </c>
      <c r="J104" s="68">
        <f>SUM(J106,J109,J120,J123,J129,J126,J166)+J162</f>
        <v>-53109739</v>
      </c>
      <c r="K104" s="68">
        <f>SUM(K106,K109,K120,K123,K129,K126,K166)+K162</f>
        <v>4361347237</v>
      </c>
      <c r="L104" s="68">
        <f>SUM(L106,L109,L120,L123,L129,L126,L166)+L162</f>
        <v>-1435482038212</v>
      </c>
      <c r="M104" s="296"/>
      <c r="N104" s="69">
        <f>SUM(N106,N109,N120,N123,N129,N126,N166)+N162</f>
        <v>-2093942628224</v>
      </c>
      <c r="O104" s="69">
        <f>SUM(O106,O109,O120,O123,O129,O126,O166)+O162</f>
        <v>7190350</v>
      </c>
      <c r="P104" s="69">
        <f>SUM(P106,P109,P120,P123,P129,P126,P166)+P162</f>
        <v>64831207294</v>
      </c>
      <c r="Q104" s="70">
        <f>SUM(Q106,Q109,Q120,Q123,Q129,Q126,Q166)+Q162</f>
        <v>-2029104230580</v>
      </c>
      <c r="R104" s="298"/>
      <c r="S104" s="175">
        <f>L104-Q104</f>
        <v>593622192368</v>
      </c>
      <c r="T104" s="176">
        <f>IFERROR(S104/Q104,"To check")</f>
        <v>-0.29255381927734625</v>
      </c>
      <c r="X104" s="304"/>
      <c r="Y104" s="304"/>
      <c r="Z104" s="235">
        <f>SUM(Z106,Z109,Z120,Z123,Z129,Z126,Z166)+Z162</f>
        <v>-39790832</v>
      </c>
      <c r="AA104" s="235">
        <f>SUM(AA106,AA109,AA120,AA123,AA129,AA126,AA166)+AA162</f>
        <v>-500000</v>
      </c>
      <c r="AB104" s="235">
        <f>SUM(AB106,AB109,AB120,AB123,AB129,AB126,AB166)+AB162</f>
        <v>0</v>
      </c>
      <c r="AC104" s="235">
        <f>SUM(AC106,AC109,AC120,AC123,AC129,AC126,AC166)+AC162</f>
        <v>-40290832</v>
      </c>
      <c r="AD104" s="236"/>
      <c r="AE104" s="235">
        <f>SUM(AE106,AE109,AE120,AE123,AE129,AE126,AE166)+AE162</f>
        <v>-60148429919</v>
      </c>
      <c r="AF104" s="235">
        <f>SUM(AF106,AF109,AF120,AF123,AF129,AF126,AF166)+AF162</f>
        <v>0</v>
      </c>
      <c r="AG104" s="235">
        <f>SUM(AG106,AG109,AG120,AG123,AG129,AG126,AG166)+AG162</f>
        <v>-2150483525</v>
      </c>
      <c r="AH104" s="235">
        <f>SUM(AH106,AH109,AH120,AH123,AH129,AH126,AH166)+AH162</f>
        <v>-62298913444</v>
      </c>
      <c r="AI104" s="236"/>
      <c r="AJ104" s="235">
        <f>SUM(AJ106,AJ109,AJ120,AJ123,AJ129,AJ126,AJ166)+AJ162</f>
        <v>0</v>
      </c>
      <c r="AK104" s="235">
        <f>SUM(AK106,AK109,AK120,AK123,AK129,AK126,AK166)+AK162</f>
        <v>0</v>
      </c>
      <c r="AL104" s="235">
        <f>SUM(AL106,AL109,AL120,AL123,AL129,AL126,AL166)+AL162</f>
        <v>0</v>
      </c>
      <c r="AM104" s="236"/>
      <c r="AN104" s="237">
        <f>SUM(AN106,AN109,AN120,AN123,AN129,AN126,AN166)+AN162</f>
        <v>-62339204276</v>
      </c>
      <c r="AO104" s="237">
        <f>SUM(AO106,AO109,AO120,AO123,AO129,AO126,AO166)+AO162</f>
        <v>0</v>
      </c>
      <c r="AP104" s="237">
        <f>SUM(AP106,AP109,AP120,AP123,AP129,AP126,AP166)+AP162</f>
        <v>-62339204276</v>
      </c>
      <c r="AQ104" s="236"/>
      <c r="AR104" s="235">
        <f>SUM(AR106,AR109,AR120,AR123,AR129,AR126,AR166)+AR162</f>
        <v>0</v>
      </c>
      <c r="AS104" s="235">
        <f>SUM(AS106,AS109,AS120,AS123,AS129,AS126,AS166)+AS162</f>
        <v>0</v>
      </c>
      <c r="AT104" s="235">
        <f>SUM(AT106,AT109,AT120,AT123,AT129,AT126,AT166)+AT162</f>
        <v>0</v>
      </c>
      <c r="AU104" s="236"/>
      <c r="AV104" s="238">
        <f>SUM(AV106,AV109,AV120,AV123,AV129,AV126,AV166)+AV162</f>
        <v>-1497821242488</v>
      </c>
      <c r="AW104" s="238">
        <f>SUM(AW106,AW109,AW120,AW123,AW129,AW126,AW166)+AW162</f>
        <v>34855000937</v>
      </c>
      <c r="AX104" s="238">
        <f>SUM(AX106,AX109,AX120,AX123,AX129,AX126,AX166)+AX162</f>
        <v>-1462966241551</v>
      </c>
      <c r="AY104" s="614"/>
      <c r="AZ104" s="235">
        <f>SUM(AZ106,AZ109,AZ120,AZ123,AZ129,AZ126,AZ166)+AZ162</f>
        <v>-69554620</v>
      </c>
      <c r="BA104" s="235">
        <f>SUM(BA106,BA109,BA120,BA123,BA129,BA126,BA166)+BA162</f>
        <v>-36508333</v>
      </c>
      <c r="BB104" s="235">
        <f>SUM(BB106,BB109,BB120,BB123,BB129,BB126,BB166)+BB162</f>
        <v>-106062953</v>
      </c>
      <c r="BC104" s="236"/>
      <c r="BD104" s="235">
        <f>SUM(BD106,BD109,BD120,BD123,BD129,BD126,BD166)+BD162</f>
        <v>-657709890</v>
      </c>
      <c r="BE104" s="235">
        <f>SUM(BE106,BE109,BE120,BE123,BE129,BE126,BE166)+BE162</f>
        <v>-582000</v>
      </c>
      <c r="BF104" s="235">
        <f>SUM(BF106,BF109,BF120,BF123,BF129,BF126,BF166)+BF162</f>
        <v>-658291890</v>
      </c>
      <c r="BG104" s="236"/>
      <c r="BH104" s="235">
        <f>SUM(BH106,BH109,BH120,BH123,BH129,BH126,BH166)+BH162</f>
        <v>0</v>
      </c>
      <c r="BI104" s="235">
        <f>SUM(BI106,BI109,BI120,BI123,BI129,BI126,BI166)+BI162</f>
        <v>0</v>
      </c>
      <c r="BJ104" s="235">
        <f>SUM(BJ106,BJ109,BJ120,BJ123,BJ129,BJ126,BJ166)+BJ162</f>
        <v>0</v>
      </c>
      <c r="BK104" s="236"/>
      <c r="BL104" s="235">
        <f>SUM(BL106,BL109,BL120,BL123,BL129,BL126,BL166)+BL162</f>
        <v>0</v>
      </c>
      <c r="BM104" s="235">
        <f>SUM(BM106,BM109,BM120,BM123,BM129,BM126,BM166)+BM162</f>
        <v>0</v>
      </c>
      <c r="BN104" s="235">
        <f>SUM(BN106,BN109,BN120,BN123,BN129,BN126,BN166)+BN162</f>
        <v>0</v>
      </c>
      <c r="BO104" s="236"/>
      <c r="BP104" s="443">
        <f>SUM(BP106,BP109,BP120,BP123,BP129,BP126,BP166)+BP162</f>
        <v>-2034987960181</v>
      </c>
      <c r="BQ104" s="443">
        <f>SUM(BQ106,BQ109,BQ120,BQ123,BQ129,BQ126,BQ166)+BQ162</f>
        <v>36805115209</v>
      </c>
      <c r="BR104" s="443">
        <f>SUM(BR106,BR109,BR120,BR123,BR129,BR126,BR166)+BR162</f>
        <v>-1998182844972</v>
      </c>
    </row>
    <row r="105" spans="2:70" ht="12.75">
      <c r="B105" s="925"/>
      <c r="C105" s="926"/>
      <c r="D105" s="927"/>
      <c r="E105" s="928"/>
      <c r="F105" s="928"/>
      <c r="G105" s="928"/>
      <c r="H105" s="927"/>
      <c r="I105" s="929"/>
      <c r="J105" s="929"/>
      <c r="K105" s="929"/>
      <c r="L105" s="929"/>
      <c r="M105" s="930"/>
      <c r="N105" s="931"/>
      <c r="O105" s="931"/>
      <c r="P105" s="931"/>
      <c r="Q105" s="932"/>
      <c r="R105" s="898"/>
      <c r="S105" s="850"/>
      <c r="T105" s="850"/>
      <c r="U105" s="850"/>
      <c r="V105" s="850"/>
      <c r="W105" s="850"/>
      <c r="X105" s="947" t="s">
        <v>2190</v>
      </c>
      <c r="Y105" s="933"/>
      <c r="Z105" s="934"/>
      <c r="AA105" s="934"/>
      <c r="AB105" s="934"/>
      <c r="AC105" s="934"/>
      <c r="AD105" s="930"/>
      <c r="AE105" s="934"/>
      <c r="AF105" s="934"/>
      <c r="AG105" s="934"/>
      <c r="AH105" s="934"/>
      <c r="AI105" s="930"/>
      <c r="AJ105" s="934"/>
      <c r="AK105" s="934"/>
      <c r="AL105" s="934"/>
      <c r="AM105" s="930"/>
      <c r="AN105" s="935"/>
      <c r="AO105" s="935"/>
      <c r="AP105" s="935"/>
      <c r="AQ105" s="930"/>
      <c r="AR105" s="934"/>
      <c r="AS105" s="934"/>
      <c r="AT105" s="934"/>
      <c r="AU105" s="930"/>
      <c r="AV105" s="909"/>
      <c r="AW105" s="909"/>
      <c r="AX105" s="909"/>
      <c r="AY105" s="920"/>
      <c r="AZ105" s="936"/>
      <c r="BA105" s="936"/>
      <c r="BB105" s="936"/>
      <c r="BC105" s="937"/>
      <c r="BD105" s="936"/>
      <c r="BE105" s="936"/>
      <c r="BF105" s="936"/>
      <c r="BG105" s="937"/>
      <c r="BH105" s="936"/>
      <c r="BI105" s="936"/>
      <c r="BJ105" s="936"/>
      <c r="BK105" s="937"/>
      <c r="BL105" s="936"/>
      <c r="BM105" s="936"/>
      <c r="BN105" s="936"/>
      <c r="BO105" s="937"/>
      <c r="BP105" s="938"/>
      <c r="BQ105" s="938"/>
      <c r="BR105" s="938"/>
    </row>
    <row r="106" spans="2:70" s="1" customFormat="1" ht="12.75">
      <c r="B106" s="293"/>
      <c r="C106" s="294"/>
      <c r="D106" s="295"/>
      <c r="E106" s="75"/>
      <c r="F106" s="75" t="s">
        <v>2302</v>
      </c>
      <c r="G106" s="75"/>
      <c r="H106" s="295"/>
      <c r="I106" s="68">
        <f>I107</f>
        <v>-5047579316</v>
      </c>
      <c r="J106" s="68">
        <f>J107</f>
        <v>-15000000</v>
      </c>
      <c r="K106" s="68">
        <f>K107</f>
        <v>0</v>
      </c>
      <c r="L106" s="68">
        <f>L107</f>
        <v>-5062579316</v>
      </c>
      <c r="M106" s="296"/>
      <c r="N106" s="69">
        <f>N107</f>
        <v>-10155088781</v>
      </c>
      <c r="O106" s="69">
        <f>O107</f>
        <v>5456350</v>
      </c>
      <c r="P106" s="69">
        <f>P107</f>
        <v>0</v>
      </c>
      <c r="Q106" s="70">
        <f>Q107</f>
        <v>-10149632431</v>
      </c>
      <c r="R106" s="298"/>
      <c r="S106" s="175">
        <f t="shared" ref="S106:S118" si="51">L106-Q106</f>
        <v>5087053115</v>
      </c>
      <c r="T106" s="176">
        <f t="shared" ref="T106:T118" si="52">IFERROR(S106/Q106,"To check")</f>
        <v>-0.50120564952309254</v>
      </c>
      <c r="X106" s="947" t="s">
        <v>2190</v>
      </c>
      <c r="Y106" s="304"/>
      <c r="Z106" s="235">
        <f>Z107</f>
        <v>0</v>
      </c>
      <c r="AA106" s="235">
        <f>AA107</f>
        <v>0</v>
      </c>
      <c r="AB106" s="235">
        <f>AB107</f>
        <v>0</v>
      </c>
      <c r="AC106" s="235">
        <f>AC107</f>
        <v>0</v>
      </c>
      <c r="AD106" s="236"/>
      <c r="AE106" s="235">
        <f>AE107</f>
        <v>-6229057030</v>
      </c>
      <c r="AF106" s="235">
        <f>AF107</f>
        <v>0</v>
      </c>
      <c r="AG106" s="235">
        <f>AG107</f>
        <v>-1870483525</v>
      </c>
      <c r="AH106" s="235">
        <f>AH107</f>
        <v>-8099540555</v>
      </c>
      <c r="AI106" s="236"/>
      <c r="AJ106" s="235">
        <f>AJ107</f>
        <v>0</v>
      </c>
      <c r="AK106" s="235">
        <f>AK107</f>
        <v>0</v>
      </c>
      <c r="AL106" s="235">
        <f>AL107</f>
        <v>0</v>
      </c>
      <c r="AM106" s="236"/>
      <c r="AN106" s="237">
        <f>AN107</f>
        <v>-8099540555</v>
      </c>
      <c r="AO106" s="237">
        <f>AO107</f>
        <v>0</v>
      </c>
      <c r="AP106" s="237">
        <f>AP107</f>
        <v>-8099540555</v>
      </c>
      <c r="AQ106" s="236"/>
      <c r="AR106" s="235">
        <f>AR107</f>
        <v>0</v>
      </c>
      <c r="AS106" s="235">
        <f>AS107</f>
        <v>0</v>
      </c>
      <c r="AT106" s="235">
        <f>AT107</f>
        <v>0</v>
      </c>
      <c r="AU106" s="236"/>
      <c r="AV106" s="238">
        <f>AV107</f>
        <v>-13162119871</v>
      </c>
      <c r="AW106" s="238">
        <f>AW107</f>
        <v>2840754</v>
      </c>
      <c r="AX106" s="238">
        <f>AX107</f>
        <v>-13159279117</v>
      </c>
      <c r="AY106" s="614"/>
      <c r="AZ106" s="235">
        <f>AZ107</f>
        <v>-4467368</v>
      </c>
      <c r="BA106" s="235">
        <f>BA107</f>
        <v>0</v>
      </c>
      <c r="BB106" s="235">
        <f>BB107</f>
        <v>-4467368</v>
      </c>
      <c r="BC106" s="236"/>
      <c r="BD106" s="235">
        <f>BD107</f>
        <v>-27500000</v>
      </c>
      <c r="BE106" s="235">
        <f>BE107</f>
        <v>0</v>
      </c>
      <c r="BF106" s="235">
        <f>BF107</f>
        <v>-27500000</v>
      </c>
      <c r="BG106" s="236"/>
      <c r="BH106" s="235">
        <f>BH107</f>
        <v>0</v>
      </c>
      <c r="BI106" s="235">
        <f>BI107</f>
        <v>0</v>
      </c>
      <c r="BJ106" s="235">
        <f>BJ107</f>
        <v>0</v>
      </c>
      <c r="BK106" s="236"/>
      <c r="BL106" s="235">
        <f>BL107</f>
        <v>0</v>
      </c>
      <c r="BM106" s="235">
        <f>BM107</f>
        <v>0</v>
      </c>
      <c r="BN106" s="235">
        <f>BN107</f>
        <v>0</v>
      </c>
      <c r="BO106" s="236"/>
      <c r="BP106" s="443">
        <f>BP107</f>
        <v>-11103053897</v>
      </c>
      <c r="BQ106" s="443">
        <f>BQ107</f>
        <v>2230092</v>
      </c>
      <c r="BR106" s="443">
        <f>BR107</f>
        <v>-11100823805</v>
      </c>
    </row>
    <row r="107" spans="2:70" ht="12.75">
      <c r="B107" s="939">
        <v>311</v>
      </c>
      <c r="C107" s="940"/>
      <c r="D107" s="927"/>
      <c r="E107" s="928" t="s">
        <v>125</v>
      </c>
      <c r="F107" s="928" t="s">
        <v>124</v>
      </c>
      <c r="G107" s="927" t="s">
        <v>2303</v>
      </c>
      <c r="H107" s="927" t="s">
        <v>2265</v>
      </c>
      <c r="I107" s="942">
        <f>SUMIFS('TB.CTy Me.FY2024'!I:I,'TB.CTy Me.FY2024'!A:A,'A0.LS'!E107)</f>
        <v>-5047579316</v>
      </c>
      <c r="J107" s="942">
        <f>ROUND(SUMIFS('A5.FY24'!K:K,'A5.FY24'!E:E,'A0.LS'!E107,'A5.FY24'!L:L,"Finhay",'A5.FY24'!M:M,"Posted"),0)</f>
        <v>-15000000</v>
      </c>
      <c r="K107" s="942">
        <f>ROUND(SUMIFS('A5.FY24'!K:K,'A5.FY24'!E:E,'A0.LS'!E107,'A5.FY24'!L:L,"EY",'A5.FY24'!M:M,"Posted"),0)</f>
        <v>0</v>
      </c>
      <c r="L107" s="943">
        <f>ROUND(SUM(I107:K107),0)</f>
        <v>-5062579316</v>
      </c>
      <c r="M107" s="930"/>
      <c r="N107" s="944">
        <f>SUMIFS('TB.CTM.YE23'!I:I,'TB.CTM.YE23'!A:A,'A0.LS'!E107)</f>
        <v>-10155088781</v>
      </c>
      <c r="O107" s="944">
        <v>5456350</v>
      </c>
      <c r="P107" s="944">
        <v>0</v>
      </c>
      <c r="Q107" s="945">
        <f>ROUND(SUM(N107:P107),0)</f>
        <v>-10149632431</v>
      </c>
      <c r="R107" s="898"/>
      <c r="S107" s="848">
        <f t="shared" si="51"/>
        <v>5087053115</v>
      </c>
      <c r="T107" s="946">
        <f t="shared" si="52"/>
        <v>-0.50120564952309254</v>
      </c>
      <c r="U107" s="850"/>
      <c r="V107" s="850" t="s">
        <v>2304</v>
      </c>
      <c r="W107" s="850"/>
      <c r="X107" s="947"/>
      <c r="Y107" s="947" t="s">
        <v>2303</v>
      </c>
      <c r="Z107" s="936">
        <f>ROUND(SUMIFS('TB.Cty Con.FY24'!I:I,'TB.Cty Con.FY24'!A:A,'A0.LS'!E107),0)</f>
        <v>0</v>
      </c>
      <c r="AA107" s="936">
        <f>ROUND(SUMIFS('A5.CTC FY24'!K:K,'A5.CTC FY24'!E:E,'A0.LS'!E107,'A5.CTC FY24'!A:A,'A0.LS'!$AA$5,'A5.CTC FY24'!L:L,"Finhay",'A5.CTC FY24'!M:M,"Posted"),0)</f>
        <v>0</v>
      </c>
      <c r="AB107" s="936">
        <f>ROUND(SUMIFS('A5.CTC FY24'!K:K,'A5.CTC FY24'!E:E,'A0.LS'!E107,'A5.CTC FY24'!A:A,'A0.LS'!$AB$5,'A5.CTC FY24'!L:L,"EY",'A5.CTC FY24'!M:M,"Posted"),0)</f>
        <v>0</v>
      </c>
      <c r="AC107" s="948">
        <f>ROUND(SUM(Z107:AB107),0)</f>
        <v>0</v>
      </c>
      <c r="AD107" s="930"/>
      <c r="AE107" s="936">
        <f>ROUND(SUMIFS('TB VNSC FY24'!M:M,'TB VNSC FY24'!N:N,'A0.LS'!E107),0)</f>
        <v>-6229057030</v>
      </c>
      <c r="AF107" s="936">
        <f>SUMIFS('A5.CTC FY24'!K:K,'A5.CTC FY24'!E:E,'A0.LS'!E107,'A5.CTC FY24'!A:A,"VNSC",'A5.CTC FY24'!L:L,"VNSC",'A5.CTC FY24'!M:M,"Posted")</f>
        <v>0</v>
      </c>
      <c r="AG107" s="936">
        <f>ROUND(SUMIFS('A5.CTC FY24'!K:K,'A5.CTC FY24'!E:E,'A0.LS'!E107,'A5.CTC FY24'!A:A,"VNSC",'A5.CTC FY24'!L:L,"EY",'A5.CTC FY24'!M:M,"Posted"),0)</f>
        <v>-1870483525</v>
      </c>
      <c r="AH107" s="936">
        <f>ROUND(SUM(AE107:AG107),0)</f>
        <v>-8099540555</v>
      </c>
      <c r="AI107" s="930"/>
      <c r="AJ107" s="936">
        <f>SUMIFS('TB.KCG.FY24'!I:I,'TB.KCG.FY24'!A:A,'A0.LS'!E107)</f>
        <v>0</v>
      </c>
      <c r="AK107" s="936">
        <f>ROUND(SUMIFS('A5.CTC FY24'!K:K,'A5.CTC FY24'!E:E,'A0.LS'!E107,'A5.CTC FY24'!A:A,'A0.LS'!$AK$5,'A5.CTC FY24'!L:L,"EY",'A5.CTC FY24'!M:M,"Posted"),0)</f>
        <v>0</v>
      </c>
      <c r="AL107" s="948">
        <f>ROUND(SUM(AJ107:AK107),0)</f>
        <v>0</v>
      </c>
      <c r="AM107" s="930"/>
      <c r="AN107" s="949">
        <f>ROUND(SUM(AT107,AH107,AC107),0)</f>
        <v>-8099540555</v>
      </c>
      <c r="AO107" s="950">
        <f>ROUND(SUMIFS('A5.Consol FY24'!L:L,'A5.Consol FY24'!M:M,"EY",'A5.Consol FY24'!N:N,"Posted",'A5.Consol FY24'!B:B,'A0.LS'!$AO$5,'A5.Consol FY24'!F:F,'A0.LS'!E107),0)</f>
        <v>0</v>
      </c>
      <c r="AP107" s="949">
        <f>ROUND(SUM(AN107:AO107),0)</f>
        <v>-8099540555</v>
      </c>
      <c r="AQ107" s="930"/>
      <c r="AR107" s="936">
        <f>ROUND(SUMIFS('TB.XH.FY24'!I:I,'TB.XH.FY24'!J:J,'A0.LS'!E107),0)</f>
        <v>0</v>
      </c>
      <c r="AS107" s="936">
        <f>ROUND(SUMIFS('A5.CTC FY24'!K:K,'A5.CTC FY24'!E:E,'A0.LS'!E107,'A5.CTC FY24'!A:A,'A0.LS'!$AS$5,'A5.CTC FY24'!L:L,"EY",'A5.CTC FY24'!M:M,"Posted"),0)</f>
        <v>0</v>
      </c>
      <c r="AT107" s="948">
        <f>ROUND(SUM(AR107:AS107),0)</f>
        <v>0</v>
      </c>
      <c r="AU107" s="930"/>
      <c r="AV107" s="951">
        <f>ROUND(SUM(AP107,AL107,L107),0)</f>
        <v>-13162119871</v>
      </c>
      <c r="AW107" s="952">
        <f>SUMIFS('A5.Consol FY24'!L:L,'A5.Consol FY24'!B:B,'A0.LS'!$AW$5,'A5.Consol FY24'!M:M,"EY",'A5.Consol FY24'!N:N,"Posted",'A5.Consol FY24'!F:F,'A0.LS'!E107)</f>
        <v>2840754</v>
      </c>
      <c r="AX107" s="951">
        <f>ROUND(SUM(AV107:AW107),0)</f>
        <v>-13159279117</v>
      </c>
      <c r="AY107" s="920"/>
      <c r="AZ107" s="936">
        <f>SUMIFS('TB.CTC.YE22'!Q:Q,'TB.CTC.YE22'!A:A,'A0.LS'!E107)</f>
        <v>-4467368</v>
      </c>
      <c r="BA107" s="936">
        <f>ROUND(SUMIFS('A5.YE22'!J:J,'A5.YE22'!K:K,'A0.LS'!$BA$5,'A5.YE22'!L:L,"Posted",'A5.YE22'!D:D,'A0.LS'!E107),0)</f>
        <v>0</v>
      </c>
      <c r="BB107" s="936">
        <f>ROUND(SUM(AZ107:BA107),0)</f>
        <v>-4467368</v>
      </c>
      <c r="BC107" s="937"/>
      <c r="BD107" s="936">
        <f>ROUND(SUMIFS('TB.VNSC.YE22'!L:L,'TB.VNSC.YE22'!A:A,'A0.LS'!E107),0)</f>
        <v>-27500000</v>
      </c>
      <c r="BE107" s="936">
        <f>ROUND(SUMIFS('A5.YE22'!J:J,'A5.YE22'!K:K,'A0.LS'!$BE$5,'A5.YE22'!L:L,"Posted",'A5.YE22'!D:D,'A0.LS'!E107),0)</f>
        <v>0</v>
      </c>
      <c r="BF107" s="936">
        <f>ROUND(SUM(BD107:BE107),0)</f>
        <v>-27500000</v>
      </c>
      <c r="BG107" s="937"/>
      <c r="BH107" s="936">
        <f>ROUND(SUMIFS('TB.XH.YE22'!P:P,'TB.XH.YE22'!A:A,'A0.LS'!E107),0)</f>
        <v>0</v>
      </c>
      <c r="BI107" s="936">
        <f>ROUND(SUMIFS('A5.YE22'!J:J,'A5.YE22'!K:K,"XH",'A5.YE22'!L:L,"Posted",'A5.YE22'!D:D,'A0.LS'!E107),0)</f>
        <v>0</v>
      </c>
      <c r="BJ107" s="936">
        <f>ROUND(SUM(BH107:BI107),0)</f>
        <v>0</v>
      </c>
      <c r="BK107" s="937"/>
      <c r="BL107" s="936">
        <f>ROUND(SUMIFS('TB.KCG.YE22'!P:P,'TB.KCG.YE22'!A:A,'A0.LS'!E107),0)</f>
        <v>0</v>
      </c>
      <c r="BM107" s="936">
        <f>ROUND(SUMIFS('A5.YE22'!J:J,'A5.YE22'!K:K,'A0.LS'!$BM$5,'A5.YE22'!L:L,"Posted",'A5.YE22'!D:D,'A0.LS'!E107),0)</f>
        <v>0</v>
      </c>
      <c r="BN107" s="936">
        <f>ROUND(SUM(BL107:BM107),0)</f>
        <v>0</v>
      </c>
      <c r="BO107" s="937"/>
      <c r="BP107" s="938">
        <v>-11103053897</v>
      </c>
      <c r="BQ107" s="938">
        <v>2230092</v>
      </c>
      <c r="BR107" s="938">
        <f>ROUND(SUM(BP107:BQ107),0)</f>
        <v>-11100823805</v>
      </c>
    </row>
    <row r="108" spans="2:70" ht="12.75">
      <c r="B108" s="939"/>
      <c r="C108" s="940"/>
      <c r="D108" s="927"/>
      <c r="E108" s="928"/>
      <c r="F108" s="928"/>
      <c r="G108" s="928"/>
      <c r="H108" s="927"/>
      <c r="I108" s="929"/>
      <c r="J108" s="929"/>
      <c r="K108" s="929"/>
      <c r="L108" s="929"/>
      <c r="M108" s="930"/>
      <c r="N108" s="931"/>
      <c r="O108" s="931"/>
      <c r="P108" s="931"/>
      <c r="Q108" s="932"/>
      <c r="R108" s="898"/>
      <c r="S108" s="848">
        <f t="shared" si="51"/>
        <v>0</v>
      </c>
      <c r="T108" s="946" t="str">
        <f t="shared" si="52"/>
        <v>To check</v>
      </c>
      <c r="U108" s="850"/>
      <c r="V108" s="850"/>
      <c r="W108" s="850"/>
      <c r="X108" s="947" t="s">
        <v>2190</v>
      </c>
      <c r="Y108" s="933"/>
      <c r="Z108" s="934"/>
      <c r="AA108" s="934"/>
      <c r="AB108" s="934"/>
      <c r="AC108" s="934"/>
      <c r="AD108" s="930"/>
      <c r="AE108" s="934"/>
      <c r="AF108" s="934"/>
      <c r="AG108" s="934"/>
      <c r="AH108" s="934"/>
      <c r="AI108" s="930"/>
      <c r="AJ108" s="934"/>
      <c r="AK108" s="934"/>
      <c r="AL108" s="934"/>
      <c r="AM108" s="930"/>
      <c r="AN108" s="935"/>
      <c r="AO108" s="935"/>
      <c r="AP108" s="935"/>
      <c r="AQ108" s="930"/>
      <c r="AR108" s="934"/>
      <c r="AS108" s="934"/>
      <c r="AT108" s="934"/>
      <c r="AU108" s="930"/>
      <c r="AV108" s="909"/>
      <c r="AW108" s="909"/>
      <c r="AX108" s="909"/>
      <c r="AY108" s="920"/>
      <c r="AZ108" s="936"/>
      <c r="BA108" s="936"/>
      <c r="BB108" s="936"/>
      <c r="BC108" s="937"/>
      <c r="BD108" s="936"/>
      <c r="BE108" s="936"/>
      <c r="BF108" s="936"/>
      <c r="BG108" s="937"/>
      <c r="BH108" s="936"/>
      <c r="BI108" s="936"/>
      <c r="BJ108" s="936"/>
      <c r="BK108" s="937"/>
      <c r="BL108" s="936"/>
      <c r="BM108" s="936"/>
      <c r="BN108" s="936"/>
      <c r="BO108" s="937"/>
      <c r="BP108" s="938"/>
      <c r="BQ108" s="938"/>
      <c r="BR108" s="938"/>
    </row>
    <row r="109" spans="2:70" s="1" customFormat="1" ht="12.75">
      <c r="B109" s="293"/>
      <c r="C109" s="294"/>
      <c r="D109" s="295"/>
      <c r="E109" s="75"/>
      <c r="F109" s="75" t="s">
        <v>2305</v>
      </c>
      <c r="G109" s="75"/>
      <c r="H109" s="295"/>
      <c r="I109" s="68">
        <f>SUM(I110:I118)</f>
        <v>-426073020</v>
      </c>
      <c r="J109" s="68">
        <f>SUM(J110:J118)</f>
        <v>-5118062</v>
      </c>
      <c r="K109" s="68">
        <f>SUM(K110:K118)</f>
        <v>0</v>
      </c>
      <c r="L109" s="68">
        <f>SUM(L110:L118)</f>
        <v>-431191082</v>
      </c>
      <c r="M109" s="296"/>
      <c r="N109" s="69">
        <f>SUM(N110:N118)</f>
        <v>-2868287682</v>
      </c>
      <c r="O109" s="69">
        <f>SUM(O110:O118)</f>
        <v>0</v>
      </c>
      <c r="P109" s="69">
        <f>SUM(P110:P118)</f>
        <v>275261034</v>
      </c>
      <c r="Q109" s="70">
        <f>SUM(Q110:Q118)</f>
        <v>-2593026648</v>
      </c>
      <c r="R109" s="298"/>
      <c r="S109" s="175">
        <f t="shared" si="51"/>
        <v>2161835566</v>
      </c>
      <c r="T109" s="176">
        <f t="shared" si="52"/>
        <v>-0.83371128008554118</v>
      </c>
      <c r="X109" s="947"/>
      <c r="Y109" s="304"/>
      <c r="Z109" s="235">
        <f>SUM(Z110:Z118)</f>
        <v>-2736611</v>
      </c>
      <c r="AA109" s="235">
        <f>SUM(AA110:AA118)</f>
        <v>0</v>
      </c>
      <c r="AB109" s="235">
        <f>SUM(AB110:AB118)</f>
        <v>0</v>
      </c>
      <c r="AC109" s="235">
        <f>SUM(AC110:AC118)</f>
        <v>-2736611</v>
      </c>
      <c r="AD109" s="236"/>
      <c r="AE109" s="235">
        <f>SUM(AE110:AE118)</f>
        <v>-861876003</v>
      </c>
      <c r="AF109" s="235">
        <f>SUM(AF110:AF118)</f>
        <v>0</v>
      </c>
      <c r="AG109" s="235">
        <f>SUM(AG110:AG118)</f>
        <v>0</v>
      </c>
      <c r="AH109" s="235">
        <f>SUM(AH110:AH118)</f>
        <v>-861876003</v>
      </c>
      <c r="AI109" s="236"/>
      <c r="AJ109" s="235">
        <f>SUM(AJ110:AJ118)</f>
        <v>0</v>
      </c>
      <c r="AK109" s="235">
        <f>SUM(AK110:AK118)</f>
        <v>0</v>
      </c>
      <c r="AL109" s="235">
        <f>SUM(AL110:AL118)</f>
        <v>0</v>
      </c>
      <c r="AM109" s="236"/>
      <c r="AN109" s="237">
        <f>SUM(AN110:AN118)</f>
        <v>-864612614</v>
      </c>
      <c r="AO109" s="237">
        <f>SUM(AO110:AO118)</f>
        <v>0</v>
      </c>
      <c r="AP109" s="237">
        <f>SUM(AP110:AP118)</f>
        <v>-864612614</v>
      </c>
      <c r="AQ109" s="236"/>
      <c r="AR109" s="235">
        <f>SUM(AR110:AR118)</f>
        <v>0</v>
      </c>
      <c r="AS109" s="235">
        <f>SUM(AS110:AS118)</f>
        <v>0</v>
      </c>
      <c r="AT109" s="235">
        <f>SUM(AT110:AT118)</f>
        <v>0</v>
      </c>
      <c r="AU109" s="236"/>
      <c r="AV109" s="238">
        <f>SUM(AV110:AV118)</f>
        <v>-1295803696</v>
      </c>
      <c r="AW109" s="238">
        <f>SUM(AW110:AW118)</f>
        <v>0</v>
      </c>
      <c r="AX109" s="238">
        <f>SUM(AX110:AX118)</f>
        <v>-1295803696</v>
      </c>
      <c r="AY109" s="614"/>
      <c r="AZ109" s="235">
        <f>SUM(AZ110:AZ118)</f>
        <v>-2935992</v>
      </c>
      <c r="BA109" s="235">
        <f>SUM(BA110:BA118)</f>
        <v>0</v>
      </c>
      <c r="BB109" s="235">
        <f>SUM(BB110:BB118)</f>
        <v>-2935992</v>
      </c>
      <c r="BC109" s="236"/>
      <c r="BD109" s="235">
        <f>SUM(BD110:BD118)</f>
        <v>-58177012</v>
      </c>
      <c r="BE109" s="235">
        <f>SUM(BE110:BE118)</f>
        <v>0</v>
      </c>
      <c r="BF109" s="235">
        <f>SUM(BF110:BF118)</f>
        <v>-58177012</v>
      </c>
      <c r="BG109" s="236"/>
      <c r="BH109" s="235">
        <f>SUM(BH110:BH118)</f>
        <v>0</v>
      </c>
      <c r="BI109" s="235">
        <f>SUM(BI110:BI118)</f>
        <v>0</v>
      </c>
      <c r="BJ109" s="235">
        <f>SUM(BJ110:BJ118)</f>
        <v>0</v>
      </c>
      <c r="BK109" s="236"/>
      <c r="BL109" s="235">
        <f>SUM(BL110:BL118)</f>
        <v>0</v>
      </c>
      <c r="BM109" s="235">
        <f>SUM(BM110:BM118)</f>
        <v>0</v>
      </c>
      <c r="BN109" s="235">
        <f>SUM(BN110:BN118)</f>
        <v>0</v>
      </c>
      <c r="BO109" s="236"/>
      <c r="BP109" s="443">
        <f>SUM(BP110:BP118)</f>
        <v>-2961139619</v>
      </c>
      <c r="BQ109" s="443">
        <f>SUM(BQ110:BQ118)</f>
        <v>0</v>
      </c>
      <c r="BR109" s="443">
        <f>SUM(BR110:BR118)</f>
        <v>-2961139619</v>
      </c>
    </row>
    <row r="110" spans="2:70" ht="12.75">
      <c r="B110" s="939">
        <v>313</v>
      </c>
      <c r="C110" s="940" t="s">
        <v>2306</v>
      </c>
      <c r="D110" s="941" t="s">
        <v>2306</v>
      </c>
      <c r="E110" s="928" t="s">
        <v>132</v>
      </c>
      <c r="F110" s="928" t="s">
        <v>133</v>
      </c>
      <c r="G110" s="927" t="s">
        <v>2277</v>
      </c>
      <c r="H110" s="927" t="s">
        <v>2222</v>
      </c>
      <c r="I110" s="942">
        <f>SUMIFS('TB.CTy Me.FY2024'!I:I,'TB.CTy Me.FY2024'!A:A,'A0.LS'!E110)</f>
        <v>0</v>
      </c>
      <c r="J110" s="942">
        <f>ROUND(SUMIFS('A5.FY24'!K:K,'A5.FY24'!E:E,'A0.LS'!E110,'A5.FY24'!L:L,"Finhay",'A5.FY24'!M:M,"Posted"),0)</f>
        <v>-5118062</v>
      </c>
      <c r="K110" s="942">
        <f>ROUND(SUMIFS('A5.FY24'!K:K,'A5.FY24'!E:E,'A0.LS'!E110,'A5.FY24'!L:L,"EY",'A5.FY24'!M:M,"Posted"),0)</f>
        <v>0</v>
      </c>
      <c r="L110" s="943">
        <f t="shared" ref="L110:L118" si="53">ROUND(SUM(I110:K110),0)</f>
        <v>-5118062</v>
      </c>
      <c r="M110" s="930"/>
      <c r="N110" s="944">
        <f>SUMIFS('TB.CTM.YE23'!I:I,'TB.CTM.YE23'!A:A,'A0.LS'!E110)</f>
        <v>-275261034</v>
      </c>
      <c r="O110" s="944">
        <v>0</v>
      </c>
      <c r="P110" s="944">
        <v>275261034</v>
      </c>
      <c r="Q110" s="945">
        <f t="shared" ref="Q110:Q118" si="54">ROUND(SUM(N110:P110),0)</f>
        <v>0</v>
      </c>
      <c r="R110" s="898"/>
      <c r="S110" s="848">
        <f t="shared" si="51"/>
        <v>-5118062</v>
      </c>
      <c r="T110" s="946" t="str">
        <f t="shared" si="52"/>
        <v>To check</v>
      </c>
      <c r="U110" s="850"/>
      <c r="V110" s="850" t="s">
        <v>2307</v>
      </c>
      <c r="W110" s="850"/>
      <c r="X110" s="947"/>
      <c r="Y110" s="947" t="s">
        <v>2277</v>
      </c>
      <c r="Z110" s="936">
        <f>ROUND(SUMIFS('TB.Cty Con.FY24'!I:I,'TB.Cty Con.FY24'!A:A,'A0.LS'!E110),0)</f>
        <v>-2492863</v>
      </c>
      <c r="AA110" s="936">
        <f>ROUND(SUMIFS('A5.CTC FY24'!K:K,'A5.CTC FY24'!E:E,'A0.LS'!E110,'A5.CTC FY24'!A:A,'A0.LS'!$AA$5,'A5.CTC FY24'!L:L,"Finhay",'A5.CTC FY24'!M:M,"Posted"),0)</f>
        <v>0</v>
      </c>
      <c r="AB110" s="936">
        <f>ROUND(SUMIFS('A5.CTC FY24'!K:K,'A5.CTC FY24'!E:E,'A0.LS'!E110,'A5.CTC FY24'!A:A,'A0.LS'!$AB$5,'A5.CTC FY24'!L:L,"EY",'A5.CTC FY24'!M:M,"Posted"),0)</f>
        <v>0</v>
      </c>
      <c r="AC110" s="948">
        <f t="shared" ref="AC110:AC118" si="55">ROUND(SUM(Z110:AB110),0)</f>
        <v>-2492863</v>
      </c>
      <c r="AD110" s="930"/>
      <c r="AE110" s="936">
        <f>ROUND(SUMIFS('TB VNSC FY24'!M:M,'TB VNSC FY24'!N:N,'A0.LS'!E110),0)</f>
        <v>-144866337</v>
      </c>
      <c r="AF110" s="936">
        <f>SUMIFS('A5.CTC FY24'!K:K,'A5.CTC FY24'!E:E,'A0.LS'!E110,'A5.CTC FY24'!A:A,"VNSC",'A5.CTC FY24'!L:L,"VNSC",'A5.CTC FY24'!M:M,"Posted")</f>
        <v>0</v>
      </c>
      <c r="AG110" s="936">
        <f>ROUND(SUMIFS('A5.CTC FY24'!K:K,'A5.CTC FY24'!E:E,'A0.LS'!E110,'A5.CTC FY24'!A:A,"VNSC",'A5.CTC FY24'!L:L,"EY",'A5.CTC FY24'!M:M,"Posted"),0)</f>
        <v>0</v>
      </c>
      <c r="AH110" s="936">
        <f t="shared" ref="AH110:AH118" si="56">ROUND(SUM(AE110:AG110),0)</f>
        <v>-144866337</v>
      </c>
      <c r="AI110" s="930"/>
      <c r="AJ110" s="936">
        <f>SUMIFS('TB.KCG.FY24'!I:I,'TB.KCG.FY24'!A:A,'A0.LS'!E110)</f>
        <v>0</v>
      </c>
      <c r="AK110" s="936">
        <f>ROUND(SUMIFS('A5.CTC FY24'!K:K,'A5.CTC FY24'!E:E,'A0.LS'!E110,'A5.CTC FY24'!A:A,'A0.LS'!$AK$5,'A5.CTC FY24'!L:L,"EY",'A5.CTC FY24'!M:M,"Posted"),0)</f>
        <v>0</v>
      </c>
      <c r="AL110" s="948">
        <f t="shared" ref="AL110:AL118" si="57">ROUND(SUM(AJ110:AK110),0)</f>
        <v>0</v>
      </c>
      <c r="AM110" s="930"/>
      <c r="AN110" s="949">
        <f t="shared" ref="AN110:AN118" si="58">ROUND(SUM(AT110,AH110,AC110),0)</f>
        <v>-147359200</v>
      </c>
      <c r="AO110" s="950">
        <f>ROUND(SUMIFS('A5.Consol FY24'!L:L,'A5.Consol FY24'!M:M,"EY",'A5.Consol FY24'!N:N,"Posted",'A5.Consol FY24'!B:B,'A0.LS'!$AO$5,'A5.Consol FY24'!F:F,'A0.LS'!E110),0)</f>
        <v>0</v>
      </c>
      <c r="AP110" s="949">
        <f t="shared" ref="AP110:AP118" si="59">ROUND(SUM(AN110:AO110),0)</f>
        <v>-147359200</v>
      </c>
      <c r="AQ110" s="930"/>
      <c r="AR110" s="936">
        <f>ROUND(SUMIFS('TB.XH.FY24'!I:I,'TB.XH.FY24'!J:J,'A0.LS'!E110),0)</f>
        <v>0</v>
      </c>
      <c r="AS110" s="936">
        <f>ROUND(SUMIFS('A5.CTC FY24'!K:K,'A5.CTC FY24'!E:E,'A0.LS'!E110,'A5.CTC FY24'!A:A,'A0.LS'!$AS$5,'A5.CTC FY24'!L:L,"EY",'A5.CTC FY24'!M:M,"Posted"),0)</f>
        <v>0</v>
      </c>
      <c r="AT110" s="948">
        <f t="shared" ref="AT110:AT118" si="60">ROUND(SUM(AR110:AS110),0)</f>
        <v>0</v>
      </c>
      <c r="AU110" s="930"/>
      <c r="AV110" s="951">
        <f t="shared" ref="AV110:AV118" si="61">ROUND(SUM(AP110,AL110,L110),0)</f>
        <v>-152477262</v>
      </c>
      <c r="AW110" s="952">
        <f>SUMIFS('A5.Consol FY24'!L:L,'A5.Consol FY24'!B:B,'A0.LS'!$AW$5,'A5.Consol FY24'!M:M,"EY",'A5.Consol FY24'!N:N,"Posted",'A5.Consol FY24'!F:F,'A0.LS'!E110)</f>
        <v>0</v>
      </c>
      <c r="AX110" s="951">
        <f t="shared" ref="AX110:AX118" si="62">ROUND(SUM(AV110:AW110),0)</f>
        <v>-152477262</v>
      </c>
      <c r="AY110" s="920"/>
      <c r="AZ110" s="936">
        <f>SUMIFS('TB.CTC.YE22'!Q:Q,'TB.CTC.YE22'!A:A,'A0.LS'!E110)</f>
        <v>0</v>
      </c>
      <c r="BA110" s="936">
        <f>ROUND(SUMIFS('A5.YE22'!J:J,'A5.YE22'!K:K,'A0.LS'!$BA$5,'A5.YE22'!L:L,"Posted",'A5.YE22'!D:D,'A0.LS'!E110),0)</f>
        <v>0</v>
      </c>
      <c r="BB110" s="936">
        <f t="shared" ref="BB110:BB118" si="63">ROUND(SUM(AZ110:BA110),0)</f>
        <v>0</v>
      </c>
      <c r="BC110" s="937"/>
      <c r="BD110" s="936">
        <f>ROUND(SUMIFS('TB.VNSC.YE22'!L:L,'TB.VNSC.YE22'!A:A,'A0.LS'!E110),0)</f>
        <v>0</v>
      </c>
      <c r="BE110" s="936">
        <f>ROUND(SUMIFS('A5.YE22'!J:J,'A5.YE22'!K:K,'A0.LS'!$BE$5,'A5.YE22'!L:L,"Posted",'A5.YE22'!D:D,'A0.LS'!E110),0)</f>
        <v>0</v>
      </c>
      <c r="BF110" s="936">
        <f t="shared" ref="BF110:BF118" si="64">ROUND(SUM(BD110:BE110),0)</f>
        <v>0</v>
      </c>
      <c r="BG110" s="937"/>
      <c r="BH110" s="936">
        <f>ROUND(SUMIFS('TB.XH.YE22'!P:P,'TB.XH.YE22'!A:A,'A0.LS'!E110),0)</f>
        <v>0</v>
      </c>
      <c r="BI110" s="936">
        <f>ROUND(SUMIFS('A5.YE22'!J:J,'A5.YE22'!K:K,"XH",'A5.YE22'!L:L,"Posted",'A5.YE22'!D:D,'A0.LS'!E110),0)</f>
        <v>0</v>
      </c>
      <c r="BJ110" s="936">
        <f t="shared" ref="BJ110:BJ118" si="65">ROUND(SUM(BH110:BI110),0)</f>
        <v>0</v>
      </c>
      <c r="BK110" s="937"/>
      <c r="BL110" s="936">
        <f>ROUND(SUMIFS('TB.KCG.YE22'!P:P,'TB.KCG.YE22'!A:A,'A0.LS'!E110),0)</f>
        <v>0</v>
      </c>
      <c r="BM110" s="936">
        <f>ROUND(SUMIFS('A5.YE22'!J:J,'A5.YE22'!K:K,'A0.LS'!$BM$5,'A5.YE22'!L:L,"Posted",'A5.YE22'!D:D,'A0.LS'!E110),0)</f>
        <v>0</v>
      </c>
      <c r="BN110" s="936">
        <f t="shared" ref="BN110:BN118" si="66">ROUND(SUM(BL110:BM110),0)</f>
        <v>0</v>
      </c>
      <c r="BO110" s="937"/>
      <c r="BP110" s="938">
        <v>-10800170</v>
      </c>
      <c r="BQ110" s="938">
        <f>ROUND(SUMIFS('A5.YE22'!J:J,'A5.YE22'!K:K,'A0.LS'!$BQ$5,'A5.YE22'!L:L,"Posted",'A5.YE22'!D:D,'A0.LS'!E110),0)</f>
        <v>0</v>
      </c>
      <c r="BR110" s="938">
        <f t="shared" ref="BR110:BR118" si="67">ROUND(SUM(BP110:BQ110),0)</f>
        <v>-10800170</v>
      </c>
    </row>
    <row r="111" spans="2:70" ht="12.6" customHeight="1">
      <c r="B111" s="939">
        <v>313</v>
      </c>
      <c r="C111" s="940" t="s">
        <v>2308</v>
      </c>
      <c r="D111" s="941" t="s">
        <v>2308</v>
      </c>
      <c r="E111" s="928" t="s">
        <v>144</v>
      </c>
      <c r="F111" s="928" t="s">
        <v>145</v>
      </c>
      <c r="G111" s="927" t="s">
        <v>2277</v>
      </c>
      <c r="H111" s="927" t="s">
        <v>2222</v>
      </c>
      <c r="I111" s="942">
        <f>SUMIFS('TB.CTy Me.FY2024'!I:I,'TB.CTy Me.FY2024'!A:A,'A0.LS'!E111)</f>
        <v>-1118416</v>
      </c>
      <c r="J111" s="942">
        <f>ROUND(SUMIFS('A5.FY24'!K:K,'A5.FY24'!E:E,'A0.LS'!E111,'A5.FY24'!L:L,"Finhay",'A5.FY24'!M:M,"Posted"),0)</f>
        <v>0</v>
      </c>
      <c r="K111" s="942">
        <f>ROUND(SUMIFS('A5.FY24'!K:K,'A5.FY24'!E:E,'A0.LS'!E111,'A5.FY24'!L:L,"EY",'A5.FY24'!M:M,"Posted"),0)</f>
        <v>0</v>
      </c>
      <c r="L111" s="943">
        <f t="shared" si="53"/>
        <v>-1118416</v>
      </c>
      <c r="M111" s="930"/>
      <c r="N111" s="944">
        <f>SUMIFS('TB.CTM.YE23'!I:I,'TB.CTM.YE23'!A:A,'A0.LS'!E111)</f>
        <v>-61480303</v>
      </c>
      <c r="O111" s="944">
        <v>0</v>
      </c>
      <c r="P111" s="944">
        <v>0</v>
      </c>
      <c r="Q111" s="945">
        <f t="shared" si="54"/>
        <v>-61480303</v>
      </c>
      <c r="R111" s="898"/>
      <c r="S111" s="848">
        <f t="shared" si="51"/>
        <v>60361887</v>
      </c>
      <c r="T111" s="946">
        <f t="shared" si="52"/>
        <v>-0.98180854769046921</v>
      </c>
      <c r="U111" s="850"/>
      <c r="V111" s="850" t="s">
        <v>2309</v>
      </c>
      <c r="W111" s="850"/>
      <c r="X111" s="947" t="s">
        <v>2190</v>
      </c>
      <c r="Y111" s="947" t="s">
        <v>2277</v>
      </c>
      <c r="Z111" s="936">
        <f>ROUND(SUMIFS('TB.Cty Con.FY24'!I:I,'TB.Cty Con.FY24'!A:A,'A0.LS'!E111),0)</f>
        <v>0</v>
      </c>
      <c r="AA111" s="936">
        <f>ROUND(SUMIFS('A5.CTC FY24'!K:K,'A5.CTC FY24'!E:E,'A0.LS'!E111,'A5.CTC FY24'!A:A,'A0.LS'!$AA$5,'A5.CTC FY24'!L:L,"Finhay",'A5.CTC FY24'!M:M,"Posted"),0)</f>
        <v>0</v>
      </c>
      <c r="AB111" s="936">
        <f>ROUND(SUMIFS('A5.CTC FY24'!K:K,'A5.CTC FY24'!E:E,'A0.LS'!E111,'A5.CTC FY24'!A:A,'A0.LS'!$AB$5,'A5.CTC FY24'!L:L,"EY",'A5.CTC FY24'!M:M,"Posted"),0)</f>
        <v>0</v>
      </c>
      <c r="AC111" s="948">
        <f t="shared" si="55"/>
        <v>0</v>
      </c>
      <c r="AD111" s="930"/>
      <c r="AE111" s="936">
        <f>ROUND(SUMIFS('TB VNSC FY24'!M:M,'TB VNSC FY24'!N:N,'A0.LS'!E111),0)</f>
        <v>0</v>
      </c>
      <c r="AF111" s="936">
        <f>SUMIFS('A5.CTC FY24'!K:K,'A5.CTC FY24'!E:E,'A0.LS'!E111,'A5.CTC FY24'!A:A,"VNSC",'A5.CTC FY24'!L:L,"VNSC",'A5.CTC FY24'!M:M,"Posted")</f>
        <v>0</v>
      </c>
      <c r="AG111" s="936">
        <f>ROUND(SUMIFS('A5.CTC FY24'!K:K,'A5.CTC FY24'!E:E,'A0.LS'!E111,'A5.CTC FY24'!A:A,"VNSC",'A5.CTC FY24'!L:L,"EY",'A5.CTC FY24'!M:M,"Posted"),0)</f>
        <v>0</v>
      </c>
      <c r="AH111" s="936">
        <f t="shared" si="56"/>
        <v>0</v>
      </c>
      <c r="AI111" s="930"/>
      <c r="AJ111" s="936">
        <f>SUMIFS('TB.KCG.FY24'!I:I,'TB.KCG.FY24'!A:A,'A0.LS'!E111)</f>
        <v>0</v>
      </c>
      <c r="AK111" s="936">
        <f>ROUND(SUMIFS('A5.CTC FY24'!K:K,'A5.CTC FY24'!E:E,'A0.LS'!E111,'A5.CTC FY24'!A:A,'A0.LS'!$AK$5,'A5.CTC FY24'!L:L,"EY",'A5.CTC FY24'!M:M,"Posted"),0)</f>
        <v>0</v>
      </c>
      <c r="AL111" s="948">
        <f t="shared" si="57"/>
        <v>0</v>
      </c>
      <c r="AM111" s="930"/>
      <c r="AN111" s="949">
        <f t="shared" si="58"/>
        <v>0</v>
      </c>
      <c r="AO111" s="950">
        <f>ROUND(SUMIFS('A5.Consol FY24'!L:L,'A5.Consol FY24'!M:M,"EY",'A5.Consol FY24'!N:N,"Posted",'A5.Consol FY24'!B:B,'A0.LS'!$AO$5,'A5.Consol FY24'!F:F,'A0.LS'!E111),0)</f>
        <v>0</v>
      </c>
      <c r="AP111" s="949">
        <f t="shared" si="59"/>
        <v>0</v>
      </c>
      <c r="AQ111" s="930"/>
      <c r="AR111" s="936">
        <f>ROUND(SUMIFS('TB.XH.FY24'!I:I,'TB.XH.FY24'!J:J,'A0.LS'!E111),0)</f>
        <v>0</v>
      </c>
      <c r="AS111" s="936">
        <f>ROUND(SUMIFS('A5.CTC FY24'!K:K,'A5.CTC FY24'!E:E,'A0.LS'!E111,'A5.CTC FY24'!A:A,'A0.LS'!$AS$5,'A5.CTC FY24'!L:L,"EY",'A5.CTC FY24'!M:M,"Posted"),0)</f>
        <v>0</v>
      </c>
      <c r="AT111" s="948">
        <f t="shared" si="60"/>
        <v>0</v>
      </c>
      <c r="AU111" s="930"/>
      <c r="AV111" s="951">
        <f t="shared" si="61"/>
        <v>-1118416</v>
      </c>
      <c r="AW111" s="952">
        <f>SUMIFS('A5.Consol FY24'!L:L,'A5.Consol FY24'!B:B,'A0.LS'!$AW$5,'A5.Consol FY24'!M:M,"EY",'A5.Consol FY24'!N:N,"Posted",'A5.Consol FY24'!F:F,'A0.LS'!E111)</f>
        <v>0</v>
      </c>
      <c r="AX111" s="951">
        <f t="shared" si="62"/>
        <v>-1118416</v>
      </c>
      <c r="AY111" s="920"/>
      <c r="AZ111" s="936">
        <f>SUMIFS('TB.CTC.YE22'!Q:Q,'TB.CTC.YE22'!A:A,'A0.LS'!E111)</f>
        <v>0</v>
      </c>
      <c r="BA111" s="936">
        <f>ROUND(SUMIFS('A5.YE22'!J:J,'A5.YE22'!K:K,'A0.LS'!$BA$5,'A5.YE22'!L:L,"Posted",'A5.YE22'!D:D,'A0.LS'!E111),0)</f>
        <v>0</v>
      </c>
      <c r="BB111" s="936">
        <f t="shared" si="63"/>
        <v>0</v>
      </c>
      <c r="BC111" s="937"/>
      <c r="BD111" s="936">
        <f>ROUND(SUMIFS('TB.VNSC.YE22'!L:L,'TB.VNSC.YE22'!A:A,'A0.LS'!E111),0)</f>
        <v>0</v>
      </c>
      <c r="BE111" s="936">
        <f>ROUND(SUMIFS('A5.YE22'!J:J,'A5.YE22'!K:K,'A0.LS'!$BE$5,'A5.YE22'!L:L,"Posted",'A5.YE22'!D:D,'A0.LS'!E111),0)</f>
        <v>0</v>
      </c>
      <c r="BF111" s="936">
        <f t="shared" si="64"/>
        <v>0</v>
      </c>
      <c r="BG111" s="937"/>
      <c r="BH111" s="936">
        <f>ROUND(SUMIFS('TB.XH.YE22'!P:P,'TB.XH.YE22'!A:A,'A0.LS'!E111),0)</f>
        <v>0</v>
      </c>
      <c r="BI111" s="936">
        <f>ROUND(SUMIFS('A5.YE22'!J:J,'A5.YE22'!K:K,"XH",'A5.YE22'!L:L,"Posted",'A5.YE22'!D:D,'A0.LS'!E111),0)</f>
        <v>0</v>
      </c>
      <c r="BJ111" s="936">
        <f t="shared" si="65"/>
        <v>0</v>
      </c>
      <c r="BK111" s="937"/>
      <c r="BL111" s="936">
        <f>ROUND(SUMIFS('TB.KCG.YE22'!P:P,'TB.KCG.YE22'!A:A,'A0.LS'!E111),0)</f>
        <v>0</v>
      </c>
      <c r="BM111" s="936">
        <f>ROUND(SUMIFS('A5.YE22'!J:J,'A5.YE22'!K:K,'A0.LS'!$BM$5,'A5.YE22'!L:L,"Posted",'A5.YE22'!D:D,'A0.LS'!E111),0)</f>
        <v>0</v>
      </c>
      <c r="BN111" s="936">
        <f t="shared" si="66"/>
        <v>0</v>
      </c>
      <c r="BO111" s="937"/>
      <c r="BP111" s="938">
        <v>-61480303</v>
      </c>
      <c r="BQ111" s="938">
        <f>ROUND(SUMIFS('A5.YE22'!J:J,'A5.YE22'!K:K,'A0.LS'!$BQ$5,'A5.YE22'!L:L,"Posted",'A5.YE22'!D:D,'A0.LS'!E111),0)</f>
        <v>0</v>
      </c>
      <c r="BR111" s="938">
        <f t="shared" si="67"/>
        <v>-61480303</v>
      </c>
    </row>
    <row r="112" spans="2:70" ht="12.75">
      <c r="B112" s="939">
        <v>313</v>
      </c>
      <c r="C112" s="940"/>
      <c r="D112" s="927"/>
      <c r="E112" s="928" t="s">
        <v>146</v>
      </c>
      <c r="F112" s="928" t="s">
        <v>147</v>
      </c>
      <c r="G112" s="927" t="s">
        <v>2277</v>
      </c>
      <c r="H112" s="927" t="s">
        <v>2222</v>
      </c>
      <c r="I112" s="942">
        <f>SUMIFS('TB.CTy Me.FY2024'!I:I,'TB.CTy Me.FY2024'!A:A,'A0.LS'!E112)</f>
        <v>0</v>
      </c>
      <c r="J112" s="942">
        <f>ROUND(SUMIFS('A5.FY24'!K:K,'A5.FY24'!E:E,'A0.LS'!E112,'A5.FY24'!L:L,"Finhay",'A5.FY24'!M:M,"Posted"),0)</f>
        <v>0</v>
      </c>
      <c r="K112" s="942">
        <f>ROUND(SUMIFS('A5.FY24'!K:K,'A5.FY24'!E:E,'A0.LS'!E112,'A5.FY24'!L:L,"EY",'A5.FY24'!M:M,"Posted"),0)</f>
        <v>0</v>
      </c>
      <c r="L112" s="943">
        <f t="shared" si="53"/>
        <v>0</v>
      </c>
      <c r="M112" s="930"/>
      <c r="N112" s="944">
        <f>SUMIFS('TB.CTM.YE23'!I:I,'TB.CTM.YE23'!A:A,'A0.LS'!E112)</f>
        <v>0</v>
      </c>
      <c r="O112" s="944">
        <v>0</v>
      </c>
      <c r="P112" s="944">
        <v>0</v>
      </c>
      <c r="Q112" s="945">
        <f t="shared" si="54"/>
        <v>0</v>
      </c>
      <c r="R112" s="898"/>
      <c r="S112" s="848">
        <f t="shared" si="51"/>
        <v>0</v>
      </c>
      <c r="T112" s="946" t="str">
        <f t="shared" si="52"/>
        <v>To check</v>
      </c>
      <c r="U112" s="850"/>
      <c r="V112" s="850">
        <v>0</v>
      </c>
      <c r="W112" s="850"/>
      <c r="X112" s="933"/>
      <c r="Y112" s="947" t="s">
        <v>2277</v>
      </c>
      <c r="Z112" s="936">
        <f>ROUND(SUMIFS('TB.Cty Con.FY24'!I:I,'TB.Cty Con.FY24'!A:A,'A0.LS'!E112),0)</f>
        <v>0</v>
      </c>
      <c r="AA112" s="936">
        <f>ROUND(SUMIFS('A5.CTC FY24'!K:K,'A5.CTC FY24'!E:E,'A0.LS'!E112,'A5.CTC FY24'!A:A,'A0.LS'!$AA$5,'A5.CTC FY24'!L:L,"Finhay",'A5.CTC FY24'!M:M,"Posted"),0)</f>
        <v>0</v>
      </c>
      <c r="AB112" s="936">
        <f>ROUND(SUMIFS('A5.CTC FY24'!K:K,'A5.CTC FY24'!E:E,'A0.LS'!E112,'A5.CTC FY24'!A:A,'A0.LS'!$AB$5,'A5.CTC FY24'!L:L,"EY",'A5.CTC FY24'!M:M,"Posted"),0)</f>
        <v>0</v>
      </c>
      <c r="AC112" s="948">
        <f t="shared" si="55"/>
        <v>0</v>
      </c>
      <c r="AD112" s="930"/>
      <c r="AE112" s="936">
        <f>ROUND(SUMIFS('TB VNSC FY24'!M:M,'TB VNSC FY24'!N:N,'A0.LS'!E112),0)</f>
        <v>0</v>
      </c>
      <c r="AF112" s="936">
        <f>SUMIFS('A5.CTC FY24'!K:K,'A5.CTC FY24'!E:E,'A0.LS'!E112,'A5.CTC FY24'!A:A,"VNSC",'A5.CTC FY24'!L:L,"VNSC",'A5.CTC FY24'!M:M,"Posted")</f>
        <v>0</v>
      </c>
      <c r="AG112" s="936">
        <f>ROUND(SUMIFS('A5.CTC FY24'!K:K,'A5.CTC FY24'!E:E,'A0.LS'!E112,'A5.CTC FY24'!A:A,"VNSC",'A5.CTC FY24'!L:L,"EY",'A5.CTC FY24'!M:M,"Posted"),0)</f>
        <v>0</v>
      </c>
      <c r="AH112" s="936">
        <f t="shared" si="56"/>
        <v>0</v>
      </c>
      <c r="AI112" s="930"/>
      <c r="AJ112" s="936">
        <f>SUMIFS('TB.KCG.FY24'!I:I,'TB.KCG.FY24'!A:A,'A0.LS'!E112)</f>
        <v>0</v>
      </c>
      <c r="AK112" s="936">
        <f>ROUND(SUMIFS('A5.CTC FY24'!K:K,'A5.CTC FY24'!E:E,'A0.LS'!E112,'A5.CTC FY24'!A:A,'A0.LS'!$AK$5,'A5.CTC FY24'!L:L,"EY",'A5.CTC FY24'!M:M,"Posted"),0)</f>
        <v>0</v>
      </c>
      <c r="AL112" s="948">
        <f t="shared" si="57"/>
        <v>0</v>
      </c>
      <c r="AM112" s="930"/>
      <c r="AN112" s="949">
        <f t="shared" si="58"/>
        <v>0</v>
      </c>
      <c r="AO112" s="950">
        <f>ROUND(SUMIFS('A5.Consol FY24'!L:L,'A5.Consol FY24'!M:M,"EY",'A5.Consol FY24'!N:N,"Posted",'A5.Consol FY24'!B:B,'A0.LS'!$AO$5,'A5.Consol FY24'!F:F,'A0.LS'!E112),0)</f>
        <v>0</v>
      </c>
      <c r="AP112" s="949">
        <f t="shared" si="59"/>
        <v>0</v>
      </c>
      <c r="AQ112" s="930"/>
      <c r="AR112" s="936">
        <f>ROUND(SUMIFS('TB.XH.FY24'!I:I,'TB.XH.FY24'!J:J,'A0.LS'!E112),0)</f>
        <v>0</v>
      </c>
      <c r="AS112" s="936">
        <f>ROUND(SUMIFS('A5.CTC FY24'!K:K,'A5.CTC FY24'!E:E,'A0.LS'!E112,'A5.CTC FY24'!A:A,'A0.LS'!$AS$5,'A5.CTC FY24'!L:L,"EY",'A5.CTC FY24'!M:M,"Posted"),0)</f>
        <v>0</v>
      </c>
      <c r="AT112" s="948">
        <f t="shared" si="60"/>
        <v>0</v>
      </c>
      <c r="AU112" s="930"/>
      <c r="AV112" s="951">
        <f t="shared" si="61"/>
        <v>0</v>
      </c>
      <c r="AW112" s="952">
        <f>SUMIFS('A5.Consol FY24'!L:L,'A5.Consol FY24'!B:B,'A0.LS'!$AW$5,'A5.Consol FY24'!M:M,"EY",'A5.Consol FY24'!N:N,"Posted",'A5.Consol FY24'!F:F,'A0.LS'!E112)</f>
        <v>0</v>
      </c>
      <c r="AX112" s="951">
        <f t="shared" si="62"/>
        <v>0</v>
      </c>
      <c r="AY112" s="920"/>
      <c r="AZ112" s="936">
        <f>SUMIFS('TB.CTC.YE22'!Q:Q,'TB.CTC.YE22'!A:A,'A0.LS'!E112)</f>
        <v>0</v>
      </c>
      <c r="BA112" s="936">
        <f>ROUND(SUMIFS('A5.YE22'!J:J,'A5.YE22'!K:K,'A0.LS'!$BA$5,'A5.YE22'!L:L,"Posted",'A5.YE22'!D:D,'A0.LS'!E112),0)</f>
        <v>0</v>
      </c>
      <c r="BB112" s="936">
        <f t="shared" si="63"/>
        <v>0</v>
      </c>
      <c r="BC112" s="937"/>
      <c r="BD112" s="936">
        <f>ROUND(SUMIFS('TB.VNSC.YE22'!L:L,'TB.VNSC.YE22'!A:A,'A0.LS'!E112),0)</f>
        <v>0</v>
      </c>
      <c r="BE112" s="936">
        <f>ROUND(SUMIFS('A5.YE22'!J:J,'A5.YE22'!K:K,'A0.LS'!$BE$5,'A5.YE22'!L:L,"Posted",'A5.YE22'!D:D,'A0.LS'!E112),0)</f>
        <v>0</v>
      </c>
      <c r="BF112" s="936">
        <f t="shared" si="64"/>
        <v>0</v>
      </c>
      <c r="BG112" s="937"/>
      <c r="BH112" s="936">
        <f>ROUND(SUMIFS('TB.XH.YE22'!P:P,'TB.XH.YE22'!A:A,'A0.LS'!E112),0)</f>
        <v>0</v>
      </c>
      <c r="BI112" s="936">
        <f>ROUND(SUMIFS('A5.YE22'!J:J,'A5.YE22'!K:K,"XH",'A5.YE22'!L:L,"Posted",'A5.YE22'!D:D,'A0.LS'!E112),0)</f>
        <v>0</v>
      </c>
      <c r="BJ112" s="936">
        <f t="shared" si="65"/>
        <v>0</v>
      </c>
      <c r="BK112" s="937"/>
      <c r="BL112" s="936">
        <f>ROUND(SUMIFS('TB.KCG.YE22'!P:P,'TB.KCG.YE22'!A:A,'A0.LS'!E112),0)</f>
        <v>0</v>
      </c>
      <c r="BM112" s="936">
        <f>ROUND(SUMIFS('A5.YE22'!J:J,'A5.YE22'!K:K,'A0.LS'!$BM$5,'A5.YE22'!L:L,"Posted",'A5.YE22'!D:D,'A0.LS'!E112),0)</f>
        <v>0</v>
      </c>
      <c r="BN112" s="936">
        <f t="shared" si="66"/>
        <v>0</v>
      </c>
      <c r="BO112" s="937"/>
      <c r="BP112" s="938">
        <v>0</v>
      </c>
      <c r="BQ112" s="938">
        <f>ROUND(SUMIFS('A5.YE22'!J:J,'A5.YE22'!K:K,'A0.LS'!$BQ$5,'A5.YE22'!L:L,"Posted",'A5.YE22'!D:D,'A0.LS'!E112),0)</f>
        <v>0</v>
      </c>
      <c r="BR112" s="938">
        <f t="shared" si="67"/>
        <v>0</v>
      </c>
    </row>
    <row r="113" spans="1:70" ht="12.75">
      <c r="A113" s="850"/>
      <c r="B113" s="939">
        <v>313</v>
      </c>
      <c r="C113" s="941" t="s">
        <v>2310</v>
      </c>
      <c r="D113" s="941" t="s">
        <v>2310</v>
      </c>
      <c r="E113" s="928" t="s">
        <v>526</v>
      </c>
      <c r="F113" s="928" t="s">
        <v>2311</v>
      </c>
      <c r="G113" s="927" t="s">
        <v>2277</v>
      </c>
      <c r="H113" s="927" t="s">
        <v>2222</v>
      </c>
      <c r="I113" s="942">
        <f>SUMIFS('TB.CTy Me.FY2024'!I:I,'TB.CTy Me.FY2024'!A:A,'A0.LS'!E113)</f>
        <v>0</v>
      </c>
      <c r="J113" s="942">
        <f>ROUND(SUMIFS('A5.FY24'!K:K,'A5.FY24'!E:E,'A0.LS'!E113,'A5.FY24'!L:L,"Finhay",'A5.FY24'!M:M,"Posted"),0)</f>
        <v>0</v>
      </c>
      <c r="K113" s="942">
        <f>ROUND(SUMIFS('A5.FY24'!K:K,'A5.FY24'!E:E,'A0.LS'!E113,'A5.FY24'!L:L,"EY",'A5.FY24'!M:M,"Posted"),0)</f>
        <v>0</v>
      </c>
      <c r="L113" s="943">
        <f t="shared" si="53"/>
        <v>0</v>
      </c>
      <c r="M113" s="930"/>
      <c r="N113" s="944">
        <f>SUMIFS('TB.CTM.YE23'!I:I,'TB.CTM.YE23'!A:A,'A0.LS'!E113)</f>
        <v>0</v>
      </c>
      <c r="O113" s="944">
        <v>0</v>
      </c>
      <c r="P113" s="944">
        <v>0</v>
      </c>
      <c r="Q113" s="945">
        <f t="shared" si="54"/>
        <v>0</v>
      </c>
      <c r="R113" s="898"/>
      <c r="S113" s="848">
        <f t="shared" si="51"/>
        <v>0</v>
      </c>
      <c r="T113" s="946" t="str">
        <f t="shared" si="52"/>
        <v>To check</v>
      </c>
      <c r="U113" s="850"/>
      <c r="V113" s="850"/>
      <c r="W113" s="850"/>
      <c r="X113" s="304"/>
      <c r="Y113" s="947" t="s">
        <v>2277</v>
      </c>
      <c r="Z113" s="936">
        <f>ROUND(SUMIFS('TB.Cty Con.FY24'!I:I,'TB.Cty Con.FY24'!A:A,'A0.LS'!E113),0)</f>
        <v>-243748</v>
      </c>
      <c r="AA113" s="936">
        <f>ROUND(SUMIFS('A5.CTC FY24'!K:K,'A5.CTC FY24'!E:E,'A0.LS'!E113,'A5.CTC FY24'!A:A,'A0.LS'!$AA$5,'A5.CTC FY24'!L:L,"Finhay",'A5.CTC FY24'!M:M,"Posted"),0)</f>
        <v>0</v>
      </c>
      <c r="AB113" s="936">
        <f>ROUND(SUMIFS('A5.CTC FY24'!K:K,'A5.CTC FY24'!E:E,'A0.LS'!E113,'A5.CTC FY24'!A:A,'A0.LS'!$AB$5,'A5.CTC FY24'!L:L,"EY",'A5.CTC FY24'!M:M,"Posted"),0)</f>
        <v>0</v>
      </c>
      <c r="AC113" s="948">
        <f t="shared" si="55"/>
        <v>-243748</v>
      </c>
      <c r="AD113" s="930"/>
      <c r="AE113" s="936">
        <f>ROUND(SUMIFS('TB VNSC FY24'!M:M,'TB VNSC FY24'!N:N,'A0.LS'!E113),0)</f>
        <v>0</v>
      </c>
      <c r="AF113" s="936">
        <f>SUMIFS('A5.CTC FY24'!K:K,'A5.CTC FY24'!E:E,'A0.LS'!E113,'A5.CTC FY24'!A:A,"VNSC",'A5.CTC FY24'!L:L,"VNSC",'A5.CTC FY24'!M:M,"Posted")</f>
        <v>0</v>
      </c>
      <c r="AG113" s="936">
        <f>ROUND(SUMIFS('A5.CTC FY24'!K:K,'A5.CTC FY24'!E:E,'A0.LS'!E113,'A5.CTC FY24'!A:A,"VNSC",'A5.CTC FY24'!L:L,"EY",'A5.CTC FY24'!M:M,"Posted"),0)</f>
        <v>0</v>
      </c>
      <c r="AH113" s="936">
        <f t="shared" si="56"/>
        <v>0</v>
      </c>
      <c r="AI113" s="930"/>
      <c r="AJ113" s="936">
        <f>SUMIFS('TB.KCG.FY24'!I:I,'TB.KCG.FY24'!A:A,'A0.LS'!E113)</f>
        <v>0</v>
      </c>
      <c r="AK113" s="936">
        <f>ROUND(SUMIFS('A5.CTC FY24'!K:K,'A5.CTC FY24'!E:E,'A0.LS'!E113,'A5.CTC FY24'!A:A,'A0.LS'!$AK$5,'A5.CTC FY24'!L:L,"EY",'A5.CTC FY24'!M:M,"Posted"),0)</f>
        <v>0</v>
      </c>
      <c r="AL113" s="948">
        <f t="shared" si="57"/>
        <v>0</v>
      </c>
      <c r="AM113" s="930"/>
      <c r="AN113" s="949">
        <f t="shared" si="58"/>
        <v>-243748</v>
      </c>
      <c r="AO113" s="950">
        <f>ROUND(SUMIFS('A5.Consol FY24'!L:L,'A5.Consol FY24'!M:M,"EY",'A5.Consol FY24'!N:N,"Posted",'A5.Consol FY24'!B:B,'A0.LS'!$AO$5,'A5.Consol FY24'!F:F,'A0.LS'!E113),0)</f>
        <v>0</v>
      </c>
      <c r="AP113" s="949">
        <f t="shared" si="59"/>
        <v>-243748</v>
      </c>
      <c r="AQ113" s="930"/>
      <c r="AR113" s="936">
        <f>ROUND(SUMIFS('TB.XH.FY24'!I:I,'TB.XH.FY24'!J:J,'A0.LS'!E113),0)</f>
        <v>0</v>
      </c>
      <c r="AS113" s="936">
        <f>ROUND(SUMIFS('A5.CTC FY24'!K:K,'A5.CTC FY24'!E:E,'A0.LS'!E113,'A5.CTC FY24'!A:A,'A0.LS'!$AS$5,'A5.CTC FY24'!L:L,"EY",'A5.CTC FY24'!M:M,"Posted"),0)</f>
        <v>0</v>
      </c>
      <c r="AT113" s="948">
        <f t="shared" si="60"/>
        <v>0</v>
      </c>
      <c r="AU113" s="930"/>
      <c r="AV113" s="951">
        <f t="shared" si="61"/>
        <v>-243748</v>
      </c>
      <c r="AW113" s="952">
        <f>SUMIFS('A5.Consol FY24'!L:L,'A5.Consol FY24'!B:B,'A0.LS'!$AW$5,'A5.Consol FY24'!M:M,"EY",'A5.Consol FY24'!N:N,"Posted",'A5.Consol FY24'!F:F,'A0.LS'!E113)</f>
        <v>0</v>
      </c>
      <c r="AX113" s="951">
        <f t="shared" si="62"/>
        <v>-243748</v>
      </c>
      <c r="AY113" s="920"/>
      <c r="AZ113" s="936">
        <f>SUMIFS('TB.CTC.YE22'!Q:Q,'TB.CTC.YE22'!A:A,'A0.LS'!E113)</f>
        <v>-2357104</v>
      </c>
      <c r="BA113" s="936">
        <f>ROUND(SUMIFS('A5.YE22'!J:J,'A5.YE22'!K:K,'A0.LS'!$BA$5,'A5.YE22'!L:L,"Posted",'A5.YE22'!D:D,'A0.LS'!E113),0)</f>
        <v>0</v>
      </c>
      <c r="BB113" s="936">
        <f t="shared" si="63"/>
        <v>-2357104</v>
      </c>
      <c r="BC113" s="937"/>
      <c r="BD113" s="936">
        <f>ROUND(SUMIFS('TB.VNSC.YE22'!L:L,'TB.VNSC.YE22'!A:A,'A0.LS'!E113),0)</f>
        <v>0</v>
      </c>
      <c r="BE113" s="936">
        <f>ROUND(SUMIFS('A5.YE22'!J:J,'A5.YE22'!K:K,'A0.LS'!$BE$5,'A5.YE22'!L:L,"Posted",'A5.YE22'!D:D,'A0.LS'!E113),0)</f>
        <v>0</v>
      </c>
      <c r="BF113" s="936">
        <f t="shared" si="64"/>
        <v>0</v>
      </c>
      <c r="BG113" s="937"/>
      <c r="BH113" s="936">
        <f>ROUND(SUMIFS('TB.XH.YE22'!P:P,'TB.XH.YE22'!A:A,'A0.LS'!E113),0)</f>
        <v>0</v>
      </c>
      <c r="BI113" s="936">
        <f>ROUND(SUMIFS('A5.YE22'!J:J,'A5.YE22'!K:K,"XH",'A5.YE22'!L:L,"Posted",'A5.YE22'!D:D,'A0.LS'!E113),0)</f>
        <v>0</v>
      </c>
      <c r="BJ113" s="936">
        <f t="shared" si="65"/>
        <v>0</v>
      </c>
      <c r="BK113" s="937"/>
      <c r="BL113" s="936">
        <f>ROUND(SUMIFS('TB.KCG.YE22'!P:P,'TB.KCG.YE22'!A:A,'A0.LS'!E113),0)</f>
        <v>0</v>
      </c>
      <c r="BM113" s="936">
        <f>ROUND(SUMIFS('A5.YE22'!J:J,'A5.YE22'!K:K,'A0.LS'!$BM$5,'A5.YE22'!L:L,"Posted",'A5.YE22'!D:D,'A0.LS'!E113),0)</f>
        <v>0</v>
      </c>
      <c r="BN113" s="936">
        <f t="shared" si="66"/>
        <v>0</v>
      </c>
      <c r="BO113" s="937"/>
      <c r="BP113" s="938">
        <v>-1789647</v>
      </c>
      <c r="BQ113" s="938">
        <f>ROUND(SUMIFS('A5.YE22'!J:J,'A5.YE22'!K:K,'A0.LS'!$BQ$5,'A5.YE22'!L:L,"Posted",'A5.YE22'!D:D,'A0.LS'!E113),0)</f>
        <v>0</v>
      </c>
      <c r="BR113" s="938">
        <f t="shared" si="67"/>
        <v>-1789647</v>
      </c>
    </row>
    <row r="114" spans="1:70" ht="12.75">
      <c r="A114" s="850"/>
      <c r="B114" s="939">
        <v>313</v>
      </c>
      <c r="C114" s="941" t="s">
        <v>2310</v>
      </c>
      <c r="D114" s="941" t="s">
        <v>2310</v>
      </c>
      <c r="E114" s="928" t="s">
        <v>136</v>
      </c>
      <c r="F114" s="928" t="s">
        <v>137</v>
      </c>
      <c r="G114" s="927" t="s">
        <v>2312</v>
      </c>
      <c r="H114" s="927" t="s">
        <v>2222</v>
      </c>
      <c r="I114" s="942">
        <f>SUMIFS('TB.CTy Me.FY2024'!I:I,'TB.CTy Me.FY2024'!A:A,'A0.LS'!E114)</f>
        <v>-86241531</v>
      </c>
      <c r="J114" s="942">
        <f>ROUND(SUMIFS('A5.FY24'!K:K,'A5.FY24'!E:E,'A0.LS'!E114,'A5.FY24'!L:L,"Finhay",'A5.FY24'!M:M,"Posted"),0)</f>
        <v>0</v>
      </c>
      <c r="K114" s="942">
        <f>ROUND(SUMIFS('A5.FY24'!K:K,'A5.FY24'!E:E,'A0.LS'!E114,'A5.FY24'!L:L,"EY",'A5.FY24'!M:M,"Posted"),0)</f>
        <v>0</v>
      </c>
      <c r="L114" s="943">
        <f t="shared" si="53"/>
        <v>-86241531</v>
      </c>
      <c r="M114" s="930"/>
      <c r="N114" s="944">
        <f>SUMIFS('TB.CTM.YE23'!I:I,'TB.CTM.YE23'!A:A,'A0.LS'!E114)</f>
        <v>-1174009001</v>
      </c>
      <c r="O114" s="944">
        <v>0</v>
      </c>
      <c r="P114" s="944">
        <v>0</v>
      </c>
      <c r="Q114" s="945">
        <f t="shared" si="54"/>
        <v>-1174009001</v>
      </c>
      <c r="R114" s="898"/>
      <c r="S114" s="848">
        <f t="shared" si="51"/>
        <v>1087767470</v>
      </c>
      <c r="T114" s="946">
        <f t="shared" si="52"/>
        <v>-0.92654099676702562</v>
      </c>
      <c r="U114" s="850"/>
      <c r="V114" s="850" t="s">
        <v>2313</v>
      </c>
      <c r="W114" s="850"/>
      <c r="X114" s="933"/>
      <c r="Y114" s="947" t="s">
        <v>2277</v>
      </c>
      <c r="Z114" s="936">
        <f>ROUND(SUMIFS('TB.Cty Con.FY24'!I:I,'TB.Cty Con.FY24'!A:A,'A0.LS'!E114),0)</f>
        <v>0</v>
      </c>
      <c r="AA114" s="936">
        <f>ROUND(SUMIFS('A5.CTC FY24'!K:K,'A5.CTC FY24'!E:E,'A0.LS'!E114,'A5.CTC FY24'!A:A,'A0.LS'!$AA$5,'A5.CTC FY24'!L:L,"Finhay",'A5.CTC FY24'!M:M,"Posted"),0)</f>
        <v>0</v>
      </c>
      <c r="AB114" s="936">
        <f>ROUND(SUMIFS('A5.CTC FY24'!K:K,'A5.CTC FY24'!E:E,'A0.LS'!E114,'A5.CTC FY24'!A:A,'A0.LS'!$AB$5,'A5.CTC FY24'!L:L,"EY",'A5.CTC FY24'!M:M,"Posted"),0)</f>
        <v>0</v>
      </c>
      <c r="AC114" s="948">
        <f t="shared" si="55"/>
        <v>0</v>
      </c>
      <c r="AD114" s="930"/>
      <c r="AE114" s="936">
        <f>ROUND(SUMIFS('TB VNSC FY24'!M:M,'TB VNSC FY24'!N:N,'A0.LS'!E114),0)</f>
        <v>-279811788</v>
      </c>
      <c r="AF114" s="936">
        <f>SUMIFS('A5.CTC FY24'!K:K,'A5.CTC FY24'!E:E,'A0.LS'!E114,'A5.CTC FY24'!A:A,"VNSC",'A5.CTC FY24'!L:L,"VNSC",'A5.CTC FY24'!M:M,"Posted")</f>
        <v>0</v>
      </c>
      <c r="AG114" s="936">
        <f>ROUND(SUMIFS('A5.CTC FY24'!K:K,'A5.CTC FY24'!E:E,'A0.LS'!E114,'A5.CTC FY24'!A:A,"VNSC",'A5.CTC FY24'!L:L,"EY",'A5.CTC FY24'!M:M,"Posted"),0)</f>
        <v>0</v>
      </c>
      <c r="AH114" s="936">
        <f t="shared" si="56"/>
        <v>-279811788</v>
      </c>
      <c r="AI114" s="930"/>
      <c r="AJ114" s="936">
        <f>SUMIFS('TB.KCG.FY24'!I:I,'TB.KCG.FY24'!A:A,'A0.LS'!E114)</f>
        <v>0</v>
      </c>
      <c r="AK114" s="936">
        <f>ROUND(SUMIFS('A5.CTC FY24'!K:K,'A5.CTC FY24'!E:E,'A0.LS'!E114,'A5.CTC FY24'!A:A,'A0.LS'!$AK$5,'A5.CTC FY24'!L:L,"EY",'A5.CTC FY24'!M:M,"Posted"),0)</f>
        <v>0</v>
      </c>
      <c r="AL114" s="948">
        <f t="shared" si="57"/>
        <v>0</v>
      </c>
      <c r="AM114" s="930"/>
      <c r="AN114" s="949">
        <f t="shared" si="58"/>
        <v>-279811788</v>
      </c>
      <c r="AO114" s="950">
        <f>ROUND(SUMIFS('A5.Consol FY24'!L:L,'A5.Consol FY24'!M:M,"EY",'A5.Consol FY24'!N:N,"Posted",'A5.Consol FY24'!B:B,'A0.LS'!$AO$5,'A5.Consol FY24'!F:F,'A0.LS'!E114),0)</f>
        <v>0</v>
      </c>
      <c r="AP114" s="949">
        <f t="shared" si="59"/>
        <v>-279811788</v>
      </c>
      <c r="AQ114" s="930"/>
      <c r="AR114" s="936">
        <f>ROUND(SUMIFS('TB.XH.FY24'!I:I,'TB.XH.FY24'!J:J,'A0.LS'!E114),0)</f>
        <v>0</v>
      </c>
      <c r="AS114" s="936">
        <f>ROUND(SUMIFS('A5.CTC FY24'!K:K,'A5.CTC FY24'!E:E,'A0.LS'!E114,'A5.CTC FY24'!A:A,'A0.LS'!$AS$5,'A5.CTC FY24'!L:L,"EY",'A5.CTC FY24'!M:M,"Posted"),0)</f>
        <v>0</v>
      </c>
      <c r="AT114" s="948">
        <f t="shared" si="60"/>
        <v>0</v>
      </c>
      <c r="AU114" s="930"/>
      <c r="AV114" s="951">
        <f t="shared" si="61"/>
        <v>-366053319</v>
      </c>
      <c r="AW114" s="952">
        <f>SUMIFS('A5.Consol FY24'!L:L,'A5.Consol FY24'!B:B,'A0.LS'!$AW$5,'A5.Consol FY24'!M:M,"EY",'A5.Consol FY24'!N:N,"Posted",'A5.Consol FY24'!F:F,'A0.LS'!E114)</f>
        <v>0</v>
      </c>
      <c r="AX114" s="951">
        <f t="shared" si="62"/>
        <v>-366053319</v>
      </c>
      <c r="AY114" s="920"/>
      <c r="AZ114" s="936">
        <f>SUMIFS('TB.CTC.YE22'!Q:Q,'TB.CTC.YE22'!A:A,'A0.LS'!E114)</f>
        <v>0</v>
      </c>
      <c r="BA114" s="936">
        <f>ROUND(SUMIFS('A5.YE22'!J:J,'A5.YE22'!K:K,'A0.LS'!$BA$5,'A5.YE22'!L:L,"Posted",'A5.YE22'!D:D,'A0.LS'!E114),0)</f>
        <v>0</v>
      </c>
      <c r="BB114" s="936">
        <f t="shared" si="63"/>
        <v>0</v>
      </c>
      <c r="BC114" s="937"/>
      <c r="BD114" s="936">
        <f>ROUND(SUMIFS('TB.VNSC.YE22'!L:L,'TB.VNSC.YE22'!A:A,'A0.LS'!E114),0)</f>
        <v>-55041129</v>
      </c>
      <c r="BE114" s="936">
        <f>ROUND(SUMIFS('A5.YE22'!J:J,'A5.YE22'!K:K,'A0.LS'!$BE$5,'A5.YE22'!L:L,"Posted",'A5.YE22'!D:D,'A0.LS'!E114),0)</f>
        <v>0</v>
      </c>
      <c r="BF114" s="936">
        <f t="shared" si="64"/>
        <v>-55041129</v>
      </c>
      <c r="BG114" s="937"/>
      <c r="BH114" s="936">
        <f>ROUND(SUMIFS('TB.XH.YE22'!P:P,'TB.XH.YE22'!A:A,'A0.LS'!E114),0)</f>
        <v>0</v>
      </c>
      <c r="BI114" s="936">
        <f>ROUND(SUMIFS('A5.YE22'!J:J,'A5.YE22'!K:K,"XH",'A5.YE22'!L:L,"Posted",'A5.YE22'!D:D,'A0.LS'!E114),0)</f>
        <v>0</v>
      </c>
      <c r="BJ114" s="936">
        <f t="shared" si="65"/>
        <v>0</v>
      </c>
      <c r="BK114" s="937"/>
      <c r="BL114" s="936">
        <f>ROUND(SUMIFS('TB.KCG.YE22'!P:P,'TB.KCG.YE22'!A:A,'A0.LS'!E114),0)</f>
        <v>0</v>
      </c>
      <c r="BM114" s="936">
        <f>ROUND(SUMIFS('A5.YE22'!J:J,'A5.YE22'!K:K,'A0.LS'!$BM$5,'A5.YE22'!L:L,"Posted",'A5.YE22'!D:D,'A0.LS'!E114),0)</f>
        <v>0</v>
      </c>
      <c r="BN114" s="936">
        <f t="shared" si="66"/>
        <v>0</v>
      </c>
      <c r="BO114" s="937"/>
      <c r="BP114" s="938">
        <v>-1361878789</v>
      </c>
      <c r="BQ114" s="938">
        <f>ROUND(SUMIFS('A5.YE22'!J:J,'A5.YE22'!K:K,'A0.LS'!$BQ$5,'A5.YE22'!L:L,"Posted",'A5.YE22'!D:D,'A0.LS'!E114),0)</f>
        <v>0</v>
      </c>
      <c r="BR114" s="938">
        <f t="shared" si="67"/>
        <v>-1361878789</v>
      </c>
    </row>
    <row r="115" spans="1:70" ht="12.75">
      <c r="A115" s="850"/>
      <c r="B115" s="939">
        <v>313</v>
      </c>
      <c r="C115" s="940"/>
      <c r="D115" s="927"/>
      <c r="E115" s="928" t="s">
        <v>2314</v>
      </c>
      <c r="F115" s="928" t="s">
        <v>2315</v>
      </c>
      <c r="G115" s="927" t="s">
        <v>2312</v>
      </c>
      <c r="H115" s="927" t="s">
        <v>2222</v>
      </c>
      <c r="I115" s="942">
        <f>SUMIFS('TB.CTy Me.FY2024'!I:I,'TB.CTy Me.FY2024'!A:A,'A0.LS'!E115)</f>
        <v>0</v>
      </c>
      <c r="J115" s="942">
        <f>ROUND(SUMIFS('A5.FY24'!K:K,'A5.FY24'!E:E,'A0.LS'!E115,'A5.FY24'!L:L,"Finhay",'A5.FY24'!M:M,"Posted"),0)</f>
        <v>0</v>
      </c>
      <c r="K115" s="942">
        <f>ROUND(SUMIFS('A5.FY24'!K:K,'A5.FY24'!E:E,'A0.LS'!E115,'A5.FY24'!L:L,"EY",'A5.FY24'!M:M,"Posted"),0)</f>
        <v>0</v>
      </c>
      <c r="L115" s="943">
        <f t="shared" si="53"/>
        <v>0</v>
      </c>
      <c r="M115" s="930"/>
      <c r="N115" s="944">
        <f>SUMIFS('TB.CTM.YE23'!I:I,'TB.CTM.YE23'!A:A,'A0.LS'!E115)</f>
        <v>0</v>
      </c>
      <c r="O115" s="944">
        <v>0</v>
      </c>
      <c r="P115" s="944">
        <v>0</v>
      </c>
      <c r="Q115" s="945">
        <f t="shared" si="54"/>
        <v>0</v>
      </c>
      <c r="R115" s="898"/>
      <c r="S115" s="848">
        <f t="shared" si="51"/>
        <v>0</v>
      </c>
      <c r="T115" s="946" t="str">
        <f t="shared" si="52"/>
        <v>To check</v>
      </c>
      <c r="U115" s="850"/>
      <c r="V115" s="850" t="s">
        <v>2313</v>
      </c>
      <c r="W115" s="850"/>
      <c r="X115" s="304"/>
      <c r="Y115" s="947" t="s">
        <v>2277</v>
      </c>
      <c r="Z115" s="936">
        <f>ROUND(SUMIFS('TB.Cty Con.FY24'!I:I,'TB.Cty Con.FY24'!A:A,'A0.LS'!E115),0)</f>
        <v>0</v>
      </c>
      <c r="AA115" s="936">
        <f>ROUND(SUMIFS('A5.CTC FY24'!K:K,'A5.CTC FY24'!E:E,'A0.LS'!E115,'A5.CTC FY24'!A:A,'A0.LS'!$AA$5,'A5.CTC FY24'!L:L,"Finhay",'A5.CTC FY24'!M:M,"Posted"),0)</f>
        <v>0</v>
      </c>
      <c r="AB115" s="936">
        <f>ROUND(SUMIFS('A5.CTC FY24'!K:K,'A5.CTC FY24'!E:E,'A0.LS'!E115,'A5.CTC FY24'!A:A,'A0.LS'!$AB$5,'A5.CTC FY24'!L:L,"EY",'A5.CTC FY24'!M:M,"Posted"),0)</f>
        <v>0</v>
      </c>
      <c r="AC115" s="948">
        <f t="shared" si="55"/>
        <v>0</v>
      </c>
      <c r="AD115" s="930"/>
      <c r="AE115" s="936">
        <f>ROUND(SUMIFS('TB VNSC FY24'!M:M,'TB VNSC FY24'!N:N,'A0.LS'!E115),0)</f>
        <v>0</v>
      </c>
      <c r="AF115" s="936">
        <f>SUMIFS('A5.CTC FY24'!K:K,'A5.CTC FY24'!E:E,'A0.LS'!E115,'A5.CTC FY24'!A:A,"VNSC",'A5.CTC FY24'!L:L,"VNSC",'A5.CTC FY24'!M:M,"Posted")</f>
        <v>0</v>
      </c>
      <c r="AG115" s="936">
        <f>ROUND(SUMIFS('A5.CTC FY24'!K:K,'A5.CTC FY24'!E:E,'A0.LS'!E115,'A5.CTC FY24'!A:A,"VNSC",'A5.CTC FY24'!L:L,"EY",'A5.CTC FY24'!M:M,"Posted"),0)</f>
        <v>0</v>
      </c>
      <c r="AH115" s="936">
        <f t="shared" si="56"/>
        <v>0</v>
      </c>
      <c r="AI115" s="930"/>
      <c r="AJ115" s="936">
        <f>SUMIFS('TB.KCG.FY24'!I:I,'TB.KCG.FY24'!A:A,'A0.LS'!E115)</f>
        <v>0</v>
      </c>
      <c r="AK115" s="936">
        <f>ROUND(SUMIFS('A5.CTC FY24'!K:K,'A5.CTC FY24'!E:E,'A0.LS'!E115,'A5.CTC FY24'!A:A,'A0.LS'!$AK$5,'A5.CTC FY24'!L:L,"EY",'A5.CTC FY24'!M:M,"Posted"),0)</f>
        <v>0</v>
      </c>
      <c r="AL115" s="948">
        <f t="shared" si="57"/>
        <v>0</v>
      </c>
      <c r="AM115" s="930"/>
      <c r="AN115" s="949">
        <f t="shared" si="58"/>
        <v>0</v>
      </c>
      <c r="AO115" s="950">
        <f>ROUND(SUMIFS('A5.Consol FY24'!L:L,'A5.Consol FY24'!M:M,"EY",'A5.Consol FY24'!N:N,"Posted",'A5.Consol FY24'!B:B,'A0.LS'!$AO$5,'A5.Consol FY24'!F:F,'A0.LS'!E115),0)</f>
        <v>0</v>
      </c>
      <c r="AP115" s="949">
        <f t="shared" si="59"/>
        <v>0</v>
      </c>
      <c r="AQ115" s="930"/>
      <c r="AR115" s="936">
        <f>ROUND(SUMIFS('TB.XH.FY24'!I:I,'TB.XH.FY24'!J:J,'A0.LS'!E115),0)</f>
        <v>0</v>
      </c>
      <c r="AS115" s="936">
        <f>ROUND(SUMIFS('A5.CTC FY24'!K:K,'A5.CTC FY24'!E:E,'A0.LS'!E115,'A5.CTC FY24'!A:A,'A0.LS'!$AS$5,'A5.CTC FY24'!L:L,"EY",'A5.CTC FY24'!M:M,"Posted"),0)</f>
        <v>0</v>
      </c>
      <c r="AT115" s="948">
        <f t="shared" si="60"/>
        <v>0</v>
      </c>
      <c r="AU115" s="930"/>
      <c r="AV115" s="951">
        <f t="shared" si="61"/>
        <v>0</v>
      </c>
      <c r="AW115" s="952">
        <f>SUMIFS('A5.Consol FY24'!L:L,'A5.Consol FY24'!B:B,'A0.LS'!$AW$5,'A5.Consol FY24'!M:M,"EY",'A5.Consol FY24'!N:N,"Posted",'A5.Consol FY24'!F:F,'A0.LS'!E115)</f>
        <v>0</v>
      </c>
      <c r="AX115" s="951">
        <f t="shared" si="62"/>
        <v>0</v>
      </c>
      <c r="AY115" s="920"/>
      <c r="AZ115" s="936">
        <f>SUMIFS('TB.CTC.YE22'!Q:Q,'TB.CTC.YE22'!A:A,'A0.LS'!E115)</f>
        <v>0</v>
      </c>
      <c r="BA115" s="936">
        <f>ROUND(SUMIFS('A5.YE22'!J:J,'A5.YE22'!K:K,'A0.LS'!$BA$5,'A5.YE22'!L:L,"Posted",'A5.YE22'!D:D,'A0.LS'!E115),0)</f>
        <v>0</v>
      </c>
      <c r="BB115" s="936">
        <f t="shared" si="63"/>
        <v>0</v>
      </c>
      <c r="BC115" s="937"/>
      <c r="BD115" s="936">
        <f>ROUND(SUMIFS('TB.VNSC.YE22'!L:L,'TB.VNSC.YE22'!A:A,'A0.LS'!E115),0)</f>
        <v>0</v>
      </c>
      <c r="BE115" s="936">
        <f>ROUND(SUMIFS('A5.YE22'!J:J,'A5.YE22'!K:K,'A0.LS'!$BE$5,'A5.YE22'!L:L,"Posted",'A5.YE22'!D:D,'A0.LS'!E115),0)</f>
        <v>0</v>
      </c>
      <c r="BF115" s="936">
        <f t="shared" si="64"/>
        <v>0</v>
      </c>
      <c r="BG115" s="937"/>
      <c r="BH115" s="936">
        <f>ROUND(SUMIFS('TB.XH.YE22'!P:P,'TB.XH.YE22'!A:A,'A0.LS'!E115),0)</f>
        <v>0</v>
      </c>
      <c r="BI115" s="936">
        <f>ROUND(SUMIFS('A5.YE22'!J:J,'A5.YE22'!K:K,"XH",'A5.YE22'!L:L,"Posted",'A5.YE22'!D:D,'A0.LS'!E115),0)</f>
        <v>0</v>
      </c>
      <c r="BJ115" s="936">
        <f t="shared" si="65"/>
        <v>0</v>
      </c>
      <c r="BK115" s="937"/>
      <c r="BL115" s="936">
        <f>ROUND(SUMIFS('TB.KCG.YE22'!P:P,'TB.KCG.YE22'!A:A,'A0.LS'!E115),0)</f>
        <v>0</v>
      </c>
      <c r="BM115" s="936">
        <f>ROUND(SUMIFS('A5.YE22'!J:J,'A5.YE22'!K:K,'A0.LS'!$BM$5,'A5.YE22'!L:L,"Posted",'A5.YE22'!D:D,'A0.LS'!E115),0)</f>
        <v>0</v>
      </c>
      <c r="BN115" s="936">
        <f t="shared" si="66"/>
        <v>0</v>
      </c>
      <c r="BO115" s="937"/>
      <c r="BP115" s="938">
        <v>0</v>
      </c>
      <c r="BQ115" s="938">
        <f>ROUND(SUMIFS('A5.YE22'!J:J,'A5.YE22'!K:K,'A0.LS'!$BQ$5,'A5.YE22'!L:L,"Posted",'A5.YE22'!D:D,'A0.LS'!E115),0)</f>
        <v>0</v>
      </c>
      <c r="BR115" s="938">
        <f t="shared" si="67"/>
        <v>0</v>
      </c>
    </row>
    <row r="116" spans="1:70" ht="12.75">
      <c r="A116" s="850"/>
      <c r="B116" s="939">
        <v>313</v>
      </c>
      <c r="C116" s="941" t="s">
        <v>2316</v>
      </c>
      <c r="D116" s="941" t="s">
        <v>2316</v>
      </c>
      <c r="E116" s="928" t="s">
        <v>138</v>
      </c>
      <c r="F116" s="928" t="s">
        <v>2317</v>
      </c>
      <c r="G116" s="927" t="s">
        <v>2312</v>
      </c>
      <c r="H116" s="927" t="s">
        <v>2222</v>
      </c>
      <c r="I116" s="942">
        <f>SUMIFS('TB.CTy Me.FY2024'!I:I,'TB.CTy Me.FY2024'!A:A,'A0.LS'!E116)</f>
        <v>0</v>
      </c>
      <c r="J116" s="942">
        <f>ROUND(SUMIFS('A5.FY24'!K:K,'A5.FY24'!E:E,'A0.LS'!E116,'A5.FY24'!L:L,"Finhay",'A5.FY24'!M:M,"Posted"),0)</f>
        <v>0</v>
      </c>
      <c r="K116" s="942">
        <f>ROUND(SUMIFS('A5.FY24'!K:K,'A5.FY24'!E:E,'A0.LS'!E116,'A5.FY24'!L:L,"EY",'A5.FY24'!M:M,"Posted"),0)</f>
        <v>0</v>
      </c>
      <c r="L116" s="943">
        <f t="shared" si="53"/>
        <v>0</v>
      </c>
      <c r="M116" s="930"/>
      <c r="N116" s="944">
        <f>SUMIFS('TB.CTM.YE23'!I:I,'TB.CTM.YE23'!A:A,'A0.LS'!E116)</f>
        <v>-66225151</v>
      </c>
      <c r="O116" s="944">
        <v>0</v>
      </c>
      <c r="P116" s="944">
        <v>0</v>
      </c>
      <c r="Q116" s="945">
        <f t="shared" si="54"/>
        <v>-66225151</v>
      </c>
      <c r="R116" s="898"/>
      <c r="S116" s="848">
        <f t="shared" si="51"/>
        <v>66225151</v>
      </c>
      <c r="T116" s="946">
        <f t="shared" si="52"/>
        <v>-1</v>
      </c>
      <c r="U116" s="850"/>
      <c r="V116" s="850" t="s">
        <v>2313</v>
      </c>
      <c r="W116" s="850"/>
      <c r="X116" s="933"/>
      <c r="Y116" s="947" t="s">
        <v>2277</v>
      </c>
      <c r="Z116" s="936">
        <f>ROUND(SUMIFS('TB.Cty Con.FY24'!I:I,'TB.Cty Con.FY24'!A:A,'A0.LS'!E116),0)</f>
        <v>0</v>
      </c>
      <c r="AA116" s="936">
        <f>ROUND(SUMIFS('A5.CTC FY24'!K:K,'A5.CTC FY24'!E:E,'A0.LS'!E116,'A5.CTC FY24'!A:A,'A0.LS'!$AA$5,'A5.CTC FY24'!L:L,"Finhay",'A5.CTC FY24'!M:M,"Posted"),0)</f>
        <v>0</v>
      </c>
      <c r="AB116" s="936">
        <f>ROUND(SUMIFS('A5.CTC FY24'!K:K,'A5.CTC FY24'!E:E,'A0.LS'!E116,'A5.CTC FY24'!A:A,'A0.LS'!$AB$5,'A5.CTC FY24'!L:L,"EY",'A5.CTC FY24'!M:M,"Posted"),0)</f>
        <v>0</v>
      </c>
      <c r="AC116" s="948">
        <f t="shared" si="55"/>
        <v>0</v>
      </c>
      <c r="AD116" s="930"/>
      <c r="AE116" s="936">
        <f>ROUND(SUMIFS('TB VNSC FY24'!M:M,'TB VNSC FY24'!N:N,'A0.LS'!E116),0)</f>
        <v>0</v>
      </c>
      <c r="AF116" s="936">
        <f>SUMIFS('A5.CTC FY24'!K:K,'A5.CTC FY24'!E:E,'A0.LS'!E116,'A5.CTC FY24'!A:A,"VNSC",'A5.CTC FY24'!L:L,"VNSC",'A5.CTC FY24'!M:M,"Posted")</f>
        <v>0</v>
      </c>
      <c r="AG116" s="936">
        <f>ROUND(SUMIFS('A5.CTC FY24'!K:K,'A5.CTC FY24'!E:E,'A0.LS'!E116,'A5.CTC FY24'!A:A,"VNSC",'A5.CTC FY24'!L:L,"EY",'A5.CTC FY24'!M:M,"Posted"),0)</f>
        <v>0</v>
      </c>
      <c r="AH116" s="936">
        <f t="shared" si="56"/>
        <v>0</v>
      </c>
      <c r="AI116" s="930"/>
      <c r="AJ116" s="936">
        <f>SUMIFS('TB.KCG.FY24'!I:I,'TB.KCG.FY24'!A:A,'A0.LS'!E116)</f>
        <v>0</v>
      </c>
      <c r="AK116" s="936">
        <f>ROUND(SUMIFS('A5.CTC FY24'!K:K,'A5.CTC FY24'!E:E,'A0.LS'!E116,'A5.CTC FY24'!A:A,'A0.LS'!$AK$5,'A5.CTC FY24'!L:L,"EY",'A5.CTC FY24'!M:M,"Posted"),0)</f>
        <v>0</v>
      </c>
      <c r="AL116" s="948">
        <f t="shared" si="57"/>
        <v>0</v>
      </c>
      <c r="AM116" s="930"/>
      <c r="AN116" s="949">
        <f t="shared" si="58"/>
        <v>0</v>
      </c>
      <c r="AO116" s="950">
        <f>ROUND(SUMIFS('A5.Consol FY24'!L:L,'A5.Consol FY24'!M:M,"EY",'A5.Consol FY24'!N:N,"Posted",'A5.Consol FY24'!B:B,'A0.LS'!$AO$5,'A5.Consol FY24'!F:F,'A0.LS'!E116),0)</f>
        <v>0</v>
      </c>
      <c r="AP116" s="949">
        <f t="shared" si="59"/>
        <v>0</v>
      </c>
      <c r="AQ116" s="930"/>
      <c r="AR116" s="936">
        <f>ROUND(SUMIFS('TB.XH.FY24'!I:I,'TB.XH.FY24'!J:J,'A0.LS'!E116),0)</f>
        <v>0</v>
      </c>
      <c r="AS116" s="936">
        <f>ROUND(SUMIFS('A5.CTC FY24'!K:K,'A5.CTC FY24'!E:E,'A0.LS'!E116,'A5.CTC FY24'!A:A,'A0.LS'!$AS$5,'A5.CTC FY24'!L:L,"EY",'A5.CTC FY24'!M:M,"Posted"),0)</f>
        <v>0</v>
      </c>
      <c r="AT116" s="948">
        <f t="shared" si="60"/>
        <v>0</v>
      </c>
      <c r="AU116" s="930"/>
      <c r="AV116" s="951">
        <f t="shared" si="61"/>
        <v>0</v>
      </c>
      <c r="AW116" s="952">
        <f>SUMIFS('A5.Consol FY24'!L:L,'A5.Consol FY24'!B:B,'A0.LS'!$AW$5,'A5.Consol FY24'!M:M,"EY",'A5.Consol FY24'!N:N,"Posted",'A5.Consol FY24'!F:F,'A0.LS'!E116)</f>
        <v>0</v>
      </c>
      <c r="AX116" s="951">
        <f t="shared" si="62"/>
        <v>0</v>
      </c>
      <c r="AY116" s="920"/>
      <c r="AZ116" s="936">
        <f>SUMIFS('TB.CTC.YE22'!Q:Q,'TB.CTC.YE22'!A:A,'A0.LS'!E116)</f>
        <v>-578888</v>
      </c>
      <c r="BA116" s="936">
        <f>ROUND(SUMIFS('A5.YE22'!J:J,'A5.YE22'!K:K,'A0.LS'!$BA$5,'A5.YE22'!L:L,"Posted",'A5.YE22'!D:D,'A0.LS'!E116),0)</f>
        <v>0</v>
      </c>
      <c r="BB116" s="936">
        <f t="shared" si="63"/>
        <v>-578888</v>
      </c>
      <c r="BC116" s="937"/>
      <c r="BD116" s="936">
        <f>ROUND(SUMIFS('TB.VNSC.YE22'!L:L,'TB.VNSC.YE22'!A:A,'A0.LS'!E116),0)</f>
        <v>0</v>
      </c>
      <c r="BE116" s="936">
        <f>ROUND(SUMIFS('A5.YE22'!J:J,'A5.YE22'!K:K,'A0.LS'!$BE$5,'A5.YE22'!L:L,"Posted",'A5.YE22'!D:D,'A0.LS'!E116),0)</f>
        <v>0</v>
      </c>
      <c r="BF116" s="936">
        <f t="shared" si="64"/>
        <v>0</v>
      </c>
      <c r="BG116" s="937"/>
      <c r="BH116" s="936">
        <f>ROUND(SUMIFS('TB.XH.YE22'!P:P,'TB.XH.YE22'!A:A,'A0.LS'!E116),0)</f>
        <v>0</v>
      </c>
      <c r="BI116" s="936">
        <f>ROUND(SUMIFS('A5.YE22'!J:J,'A5.YE22'!K:K,"XH",'A5.YE22'!L:L,"Posted",'A5.YE22'!D:D,'A0.LS'!E116),0)</f>
        <v>0</v>
      </c>
      <c r="BJ116" s="936">
        <f t="shared" si="65"/>
        <v>0</v>
      </c>
      <c r="BK116" s="937"/>
      <c r="BL116" s="936">
        <f>ROUND(SUMIFS('TB.KCG.YE22'!P:P,'TB.KCG.YE22'!A:A,'A0.LS'!E116),0)</f>
        <v>0</v>
      </c>
      <c r="BM116" s="936">
        <f>ROUND(SUMIFS('A5.YE22'!J:J,'A5.YE22'!K:K,'A0.LS'!$BM$5,'A5.YE22'!L:L,"Posted",'A5.YE22'!D:D,'A0.LS'!E116),0)</f>
        <v>0</v>
      </c>
      <c r="BN116" s="936">
        <f t="shared" si="66"/>
        <v>0</v>
      </c>
      <c r="BO116" s="937"/>
      <c r="BP116" s="938">
        <v>-66225151</v>
      </c>
      <c r="BQ116" s="938">
        <f>ROUND(SUMIFS('A5.YE22'!J:J,'A5.YE22'!K:K,'A0.LS'!$BQ$5,'A5.YE22'!L:L,"Posted",'A5.YE22'!D:D,'A0.LS'!E116),0)</f>
        <v>0</v>
      </c>
      <c r="BR116" s="938">
        <f t="shared" si="67"/>
        <v>-66225151</v>
      </c>
    </row>
    <row r="117" spans="1:70" ht="12.75">
      <c r="A117" s="850"/>
      <c r="B117" s="939">
        <v>313</v>
      </c>
      <c r="C117" s="941" t="s">
        <v>2318</v>
      </c>
      <c r="D117" s="941" t="s">
        <v>2318</v>
      </c>
      <c r="E117" s="928" t="s">
        <v>140</v>
      </c>
      <c r="F117" s="928" t="s">
        <v>141</v>
      </c>
      <c r="G117" s="927" t="s">
        <v>2312</v>
      </c>
      <c r="H117" s="927" t="s">
        <v>2222</v>
      </c>
      <c r="I117" s="942">
        <f>SUMIFS('TB.CTy Me.FY2024'!I:I,'TB.CTy Me.FY2024'!A:A,'A0.LS'!E117)</f>
        <v>-338713073</v>
      </c>
      <c r="J117" s="942">
        <f>ROUND(SUMIFS('A5.FY24'!K:K,'A5.FY24'!E:E,'A0.LS'!E117,'A5.FY24'!L:L,"Finhay",'A5.FY24'!M:M,"Posted"),0)</f>
        <v>0</v>
      </c>
      <c r="K117" s="942">
        <f>ROUND(SUMIFS('A5.FY24'!K:K,'A5.FY24'!E:E,'A0.LS'!E117,'A5.FY24'!L:L,"EY",'A5.FY24'!M:M,"Posted"),0)</f>
        <v>0</v>
      </c>
      <c r="L117" s="943">
        <f t="shared" si="53"/>
        <v>-338713073</v>
      </c>
      <c r="M117" s="930"/>
      <c r="N117" s="944">
        <f>SUMIFS('TB.CTM.YE23'!I:I,'TB.CTM.YE23'!A:A,'A0.LS'!E117)</f>
        <v>-1291312193</v>
      </c>
      <c r="O117" s="944">
        <v>0</v>
      </c>
      <c r="P117" s="944">
        <v>0</v>
      </c>
      <c r="Q117" s="945">
        <f t="shared" si="54"/>
        <v>-1291312193</v>
      </c>
      <c r="R117" s="898"/>
      <c r="S117" s="848">
        <f t="shared" si="51"/>
        <v>952599120</v>
      </c>
      <c r="T117" s="946">
        <f t="shared" si="52"/>
        <v>-0.73769854041794836</v>
      </c>
      <c r="U117" s="850"/>
      <c r="V117" s="850" t="s">
        <v>2313</v>
      </c>
      <c r="W117" s="850"/>
      <c r="X117" s="304"/>
      <c r="Y117" s="947" t="s">
        <v>2277</v>
      </c>
      <c r="Z117" s="936">
        <f>ROUND(SUMIFS('TB.Cty Con.FY24'!I:I,'TB.Cty Con.FY24'!A:A,'A0.LS'!E117),0)</f>
        <v>0</v>
      </c>
      <c r="AA117" s="936">
        <f>ROUND(SUMIFS('A5.CTC FY24'!K:K,'A5.CTC FY24'!E:E,'A0.LS'!E117,'A5.CTC FY24'!A:A,'A0.LS'!$AA$5,'A5.CTC FY24'!L:L,"Finhay",'A5.CTC FY24'!M:M,"Posted"),0)</f>
        <v>0</v>
      </c>
      <c r="AB117" s="936">
        <f>ROUND(SUMIFS('A5.CTC FY24'!K:K,'A5.CTC FY24'!E:E,'A0.LS'!E117,'A5.CTC FY24'!A:A,'A0.LS'!$AB$5,'A5.CTC FY24'!L:L,"EY",'A5.CTC FY24'!M:M,"Posted"),0)</f>
        <v>0</v>
      </c>
      <c r="AC117" s="948">
        <f t="shared" si="55"/>
        <v>0</v>
      </c>
      <c r="AD117" s="930"/>
      <c r="AE117" s="936">
        <f>ROUND(SUMIFS('TB VNSC FY24'!M:M,'TB VNSC FY24'!N:N,'A0.LS'!E117),0)</f>
        <v>-437197878</v>
      </c>
      <c r="AF117" s="936">
        <f>SUMIFS('A5.CTC FY24'!K:K,'A5.CTC FY24'!E:E,'A0.LS'!E117,'A5.CTC FY24'!A:A,"VNSC",'A5.CTC FY24'!L:L,"VNSC",'A5.CTC FY24'!M:M,"Posted")</f>
        <v>0</v>
      </c>
      <c r="AG117" s="936">
        <f>ROUND(SUMIFS('A5.CTC FY24'!K:K,'A5.CTC FY24'!E:E,'A0.LS'!E117,'A5.CTC FY24'!A:A,"VNSC",'A5.CTC FY24'!L:L,"EY",'A5.CTC FY24'!M:M,"Posted"),0)</f>
        <v>0</v>
      </c>
      <c r="AH117" s="936">
        <f t="shared" si="56"/>
        <v>-437197878</v>
      </c>
      <c r="AI117" s="930"/>
      <c r="AJ117" s="936">
        <f>SUMIFS('TB.KCG.FY24'!I:I,'TB.KCG.FY24'!A:A,'A0.LS'!E117)</f>
        <v>0</v>
      </c>
      <c r="AK117" s="936">
        <f>ROUND(SUMIFS('A5.CTC FY24'!K:K,'A5.CTC FY24'!E:E,'A0.LS'!E117,'A5.CTC FY24'!A:A,'A0.LS'!$AK$5,'A5.CTC FY24'!L:L,"EY",'A5.CTC FY24'!M:M,"Posted"),0)</f>
        <v>0</v>
      </c>
      <c r="AL117" s="948">
        <f t="shared" si="57"/>
        <v>0</v>
      </c>
      <c r="AM117" s="930"/>
      <c r="AN117" s="949">
        <f t="shared" si="58"/>
        <v>-437197878</v>
      </c>
      <c r="AO117" s="950">
        <f>ROUND(SUMIFS('A5.Consol FY24'!L:L,'A5.Consol FY24'!M:M,"EY",'A5.Consol FY24'!N:N,"Posted",'A5.Consol FY24'!B:B,'A0.LS'!$AO$5,'A5.Consol FY24'!F:F,'A0.LS'!E117),0)</f>
        <v>0</v>
      </c>
      <c r="AP117" s="949">
        <f t="shared" si="59"/>
        <v>-437197878</v>
      </c>
      <c r="AQ117" s="930"/>
      <c r="AR117" s="936">
        <f>ROUND(SUMIFS('TB.XH.FY24'!I:I,'TB.XH.FY24'!J:J,'A0.LS'!E117),0)</f>
        <v>0</v>
      </c>
      <c r="AS117" s="936">
        <f>ROUND(SUMIFS('A5.CTC FY24'!K:K,'A5.CTC FY24'!E:E,'A0.LS'!E117,'A5.CTC FY24'!A:A,'A0.LS'!$AS$5,'A5.CTC FY24'!L:L,"EY",'A5.CTC FY24'!M:M,"Posted"),0)</f>
        <v>0</v>
      </c>
      <c r="AT117" s="948">
        <f t="shared" si="60"/>
        <v>0</v>
      </c>
      <c r="AU117" s="930"/>
      <c r="AV117" s="951">
        <f t="shared" si="61"/>
        <v>-775910951</v>
      </c>
      <c r="AW117" s="952">
        <f>SUMIFS('A5.Consol FY24'!L:L,'A5.Consol FY24'!B:B,'A0.LS'!$AW$5,'A5.Consol FY24'!M:M,"EY",'A5.Consol FY24'!N:N,"Posted",'A5.Consol FY24'!F:F,'A0.LS'!E117)</f>
        <v>0</v>
      </c>
      <c r="AX117" s="951">
        <f t="shared" si="62"/>
        <v>-775910951</v>
      </c>
      <c r="AY117" s="920"/>
      <c r="AZ117" s="936">
        <f>SUMIFS('TB.CTC.YE22'!Q:Q,'TB.CTC.YE22'!A:A,'A0.LS'!E117)</f>
        <v>0</v>
      </c>
      <c r="BA117" s="936">
        <f>ROUND(SUMIFS('A5.YE22'!J:J,'A5.YE22'!K:K,'A0.LS'!$BA$5,'A5.YE22'!L:L,"Posted",'A5.YE22'!D:D,'A0.LS'!E117),0)</f>
        <v>0</v>
      </c>
      <c r="BB117" s="936">
        <f t="shared" si="63"/>
        <v>0</v>
      </c>
      <c r="BC117" s="937"/>
      <c r="BD117" s="936">
        <f>ROUND(SUMIFS('TB.VNSC.YE22'!L:L,'TB.VNSC.YE22'!A:A,'A0.LS'!E117),0)</f>
        <v>-3135883</v>
      </c>
      <c r="BE117" s="936">
        <f>ROUND(SUMIFS('A5.YE22'!J:J,'A5.YE22'!K:K,'A0.LS'!$BE$5,'A5.YE22'!L:L,"Posted",'A5.YE22'!D:D,'A0.LS'!E117),0)</f>
        <v>0</v>
      </c>
      <c r="BF117" s="936">
        <f t="shared" si="64"/>
        <v>-3135883</v>
      </c>
      <c r="BG117" s="937"/>
      <c r="BH117" s="936">
        <f>ROUND(SUMIFS('TB.XH.YE22'!P:P,'TB.XH.YE22'!A:A,'A0.LS'!E117),0)</f>
        <v>0</v>
      </c>
      <c r="BI117" s="936">
        <f>ROUND(SUMIFS('A5.YE22'!J:J,'A5.YE22'!K:K,"XH",'A5.YE22'!L:L,"Posted",'A5.YE22'!D:D,'A0.LS'!E117),0)</f>
        <v>0</v>
      </c>
      <c r="BJ117" s="936">
        <f t="shared" si="65"/>
        <v>0</v>
      </c>
      <c r="BK117" s="937"/>
      <c r="BL117" s="936">
        <f>ROUND(SUMIFS('TB.KCG.YE22'!P:P,'TB.KCG.YE22'!A:A,'A0.LS'!E117),0)</f>
        <v>0</v>
      </c>
      <c r="BM117" s="936">
        <f>ROUND(SUMIFS('A5.YE22'!J:J,'A5.YE22'!K:K,'A0.LS'!$BM$5,'A5.YE22'!L:L,"Posted",'A5.YE22'!D:D,'A0.LS'!E117),0)</f>
        <v>0</v>
      </c>
      <c r="BN117" s="936">
        <f t="shared" si="66"/>
        <v>0</v>
      </c>
      <c r="BO117" s="937"/>
      <c r="BP117" s="938">
        <v>-1458965559</v>
      </c>
      <c r="BQ117" s="938">
        <f>ROUND(SUMIFS('A5.YE22'!J:J,'A5.YE22'!K:K,'A0.LS'!$BQ$5,'A5.YE22'!L:L,"Posted",'A5.YE22'!D:D,'A0.LS'!E117),0)</f>
        <v>0</v>
      </c>
      <c r="BR117" s="938">
        <f t="shared" si="67"/>
        <v>-1458965559</v>
      </c>
    </row>
    <row r="118" spans="1:70" ht="12.75">
      <c r="A118" s="850"/>
      <c r="B118" s="939">
        <v>313</v>
      </c>
      <c r="C118" s="940"/>
      <c r="D118" s="941" t="s">
        <v>2310</v>
      </c>
      <c r="E118" s="928" t="s">
        <v>2319</v>
      </c>
      <c r="F118" s="928" t="s">
        <v>2320</v>
      </c>
      <c r="G118" s="927" t="s">
        <v>2312</v>
      </c>
      <c r="H118" s="927" t="s">
        <v>2222</v>
      </c>
      <c r="I118" s="942">
        <f>SUMIFS('TB.CTy Me.FY2024'!I:I,'TB.CTy Me.FY2024'!A:A,'A0.LS'!E118)</f>
        <v>0</v>
      </c>
      <c r="J118" s="942">
        <f>ROUND(SUMIFS('A5.FY24'!K:K,'A5.FY24'!E:E,'A0.LS'!E118,'A5.FY24'!L:L,"Finhay",'A5.FY24'!M:M,"Posted"),0)</f>
        <v>0</v>
      </c>
      <c r="K118" s="942">
        <f>ROUND(SUMIFS('A5.FY24'!K:K,'A5.FY24'!E:E,'A0.LS'!E118,'A5.FY24'!L:L,"EY",'A5.FY24'!M:M,"Posted"),0)</f>
        <v>0</v>
      </c>
      <c r="L118" s="943">
        <f t="shared" si="53"/>
        <v>0</v>
      </c>
      <c r="M118" s="930"/>
      <c r="N118" s="944">
        <f>SUMIFS('TB.CTM.YE23'!I:I,'TB.CTM.YE23'!A:A,'A0.LS'!E118)</f>
        <v>0</v>
      </c>
      <c r="O118" s="944">
        <v>0</v>
      </c>
      <c r="P118" s="944">
        <v>0</v>
      </c>
      <c r="Q118" s="945">
        <f t="shared" si="54"/>
        <v>0</v>
      </c>
      <c r="R118" s="898"/>
      <c r="S118" s="848">
        <f t="shared" si="51"/>
        <v>0</v>
      </c>
      <c r="T118" s="946" t="str">
        <f t="shared" si="52"/>
        <v>To check</v>
      </c>
      <c r="U118" s="850"/>
      <c r="V118" s="850" t="s">
        <v>2313</v>
      </c>
      <c r="W118" s="850"/>
      <c r="X118" s="933"/>
      <c r="Y118" s="947" t="s">
        <v>2277</v>
      </c>
      <c r="Z118" s="936">
        <f>ROUND(SUMIFS('TB.Cty Con.FY24'!I:I,'TB.Cty Con.FY24'!A:A,'A0.LS'!E118),0)</f>
        <v>0</v>
      </c>
      <c r="AA118" s="936">
        <f>ROUND(SUMIFS('A5.CTC FY24'!K:K,'A5.CTC FY24'!E:E,'A0.LS'!E118,'A5.CTC FY24'!A:A,'A0.LS'!$AA$5,'A5.CTC FY24'!L:L,"Finhay",'A5.CTC FY24'!M:M,"Posted"),0)</f>
        <v>0</v>
      </c>
      <c r="AB118" s="936">
        <f>ROUND(SUMIFS('A5.CTC FY24'!K:K,'A5.CTC FY24'!E:E,'A0.LS'!E118,'A5.CTC FY24'!A:A,'A0.LS'!$AB$5,'A5.CTC FY24'!L:L,"EY",'A5.CTC FY24'!M:M,"Posted"),0)</f>
        <v>0</v>
      </c>
      <c r="AC118" s="948">
        <f t="shared" si="55"/>
        <v>0</v>
      </c>
      <c r="AD118" s="930"/>
      <c r="AE118" s="936">
        <f>ROUND(SUMIFS('TB VNSC FY24'!M:M,'TB VNSC FY24'!N:N,'A0.LS'!E118),0)</f>
        <v>0</v>
      </c>
      <c r="AF118" s="936">
        <f>SUMIFS('A5.CTC FY24'!K:K,'A5.CTC FY24'!E:E,'A0.LS'!E118,'A5.CTC FY24'!A:A,"VNSC",'A5.CTC FY24'!L:L,"VNSC",'A5.CTC FY24'!M:M,"Posted")</f>
        <v>0</v>
      </c>
      <c r="AG118" s="936">
        <f>ROUND(SUMIFS('A5.CTC FY24'!K:K,'A5.CTC FY24'!E:E,'A0.LS'!E118,'A5.CTC FY24'!A:A,"VNSC",'A5.CTC FY24'!L:L,"EY",'A5.CTC FY24'!M:M,"Posted"),0)</f>
        <v>0</v>
      </c>
      <c r="AH118" s="936">
        <f t="shared" si="56"/>
        <v>0</v>
      </c>
      <c r="AI118" s="930"/>
      <c r="AJ118" s="936">
        <f>SUMIFS('TB.KCG.FY24'!I:I,'TB.KCG.FY24'!A:A,'A0.LS'!E118)</f>
        <v>0</v>
      </c>
      <c r="AK118" s="936">
        <f>ROUND(SUMIFS('A5.CTC FY24'!K:K,'A5.CTC FY24'!E:E,'A0.LS'!E118,'A5.CTC FY24'!A:A,'A0.LS'!$AK$5,'A5.CTC FY24'!L:L,"EY",'A5.CTC FY24'!M:M,"Posted"),0)</f>
        <v>0</v>
      </c>
      <c r="AL118" s="948">
        <f t="shared" si="57"/>
        <v>0</v>
      </c>
      <c r="AM118" s="930"/>
      <c r="AN118" s="949">
        <f t="shared" si="58"/>
        <v>0</v>
      </c>
      <c r="AO118" s="950">
        <f>ROUND(SUMIFS('A5.Consol FY24'!L:L,'A5.Consol FY24'!M:M,"EY",'A5.Consol FY24'!N:N,"Posted",'A5.Consol FY24'!B:B,'A0.LS'!$AO$5,'A5.Consol FY24'!F:F,'A0.LS'!E118),0)</f>
        <v>0</v>
      </c>
      <c r="AP118" s="949">
        <f t="shared" si="59"/>
        <v>0</v>
      </c>
      <c r="AQ118" s="930"/>
      <c r="AR118" s="936">
        <f>ROUND(SUMIFS('TB.XH.FY24'!I:I,'TB.XH.FY24'!J:J,'A0.LS'!E118),0)</f>
        <v>0</v>
      </c>
      <c r="AS118" s="936">
        <f>ROUND(SUMIFS('A5.CTC FY24'!K:K,'A5.CTC FY24'!E:E,'A0.LS'!E118,'A5.CTC FY24'!A:A,'A0.LS'!$AS$5,'A5.CTC FY24'!L:L,"EY",'A5.CTC FY24'!M:M,"Posted"),0)</f>
        <v>0</v>
      </c>
      <c r="AT118" s="948">
        <f t="shared" si="60"/>
        <v>0</v>
      </c>
      <c r="AU118" s="930"/>
      <c r="AV118" s="951">
        <f t="shared" si="61"/>
        <v>0</v>
      </c>
      <c r="AW118" s="952">
        <f>SUMIFS('A5.Consol FY24'!L:L,'A5.Consol FY24'!B:B,'A0.LS'!$AW$5,'A5.Consol FY24'!M:M,"EY",'A5.Consol FY24'!N:N,"Posted",'A5.Consol FY24'!F:F,'A0.LS'!E118)</f>
        <v>0</v>
      </c>
      <c r="AX118" s="951">
        <f t="shared" si="62"/>
        <v>0</v>
      </c>
      <c r="AY118" s="920"/>
      <c r="AZ118" s="936">
        <f>SUMIFS('TB.CTC.YE22'!Q:Q,'TB.CTC.YE22'!A:A,'A0.LS'!E118)</f>
        <v>0</v>
      </c>
      <c r="BA118" s="936">
        <f>ROUND(SUMIFS('A5.YE22'!J:J,'A5.YE22'!K:K,'A0.LS'!$BA$5,'A5.YE22'!L:L,"Posted",'A5.YE22'!D:D,'A0.LS'!E118),0)</f>
        <v>0</v>
      </c>
      <c r="BB118" s="936">
        <f t="shared" si="63"/>
        <v>0</v>
      </c>
      <c r="BC118" s="937"/>
      <c r="BD118" s="936">
        <f>ROUND(SUMIFS('TB.VNSC.YE22'!L:L,'TB.VNSC.YE22'!A:A,'A0.LS'!E118),0)</f>
        <v>0</v>
      </c>
      <c r="BE118" s="936">
        <f>ROUND(SUMIFS('A5.YE22'!J:J,'A5.YE22'!K:K,'A0.LS'!$BE$5,'A5.YE22'!L:L,"Posted",'A5.YE22'!D:D,'A0.LS'!E118),0)</f>
        <v>0</v>
      </c>
      <c r="BF118" s="936">
        <f t="shared" si="64"/>
        <v>0</v>
      </c>
      <c r="BG118" s="937"/>
      <c r="BH118" s="936">
        <f>ROUND(SUMIFS('TB.XH.YE22'!P:P,'TB.XH.YE22'!A:A,'A0.LS'!E118),0)</f>
        <v>0</v>
      </c>
      <c r="BI118" s="936">
        <f>ROUND(SUMIFS('A5.YE22'!J:J,'A5.YE22'!K:K,"XH",'A5.YE22'!L:L,"Posted",'A5.YE22'!D:D,'A0.LS'!E118),0)</f>
        <v>0</v>
      </c>
      <c r="BJ118" s="936">
        <f t="shared" si="65"/>
        <v>0</v>
      </c>
      <c r="BK118" s="937"/>
      <c r="BL118" s="936">
        <f>ROUND(SUMIFS('TB.KCG.YE22'!P:P,'TB.KCG.YE22'!A:A,'A0.LS'!E118),0)</f>
        <v>0</v>
      </c>
      <c r="BM118" s="936">
        <f>ROUND(SUMIFS('A5.YE22'!J:J,'A5.YE22'!K:K,'A0.LS'!$BM$5,'A5.YE22'!L:L,"Posted",'A5.YE22'!D:D,'A0.LS'!E118),0)</f>
        <v>0</v>
      </c>
      <c r="BN118" s="936">
        <f t="shared" si="66"/>
        <v>0</v>
      </c>
      <c r="BO118" s="937"/>
      <c r="BP118" s="938">
        <v>0</v>
      </c>
      <c r="BQ118" s="938">
        <f>ROUND(SUMIFS('A5.YE22'!J:J,'A5.YE22'!K:K,'A0.LS'!$BQ$5,'A5.YE22'!L:L,"Posted",'A5.YE22'!D:D,'A0.LS'!E118),0)</f>
        <v>0</v>
      </c>
      <c r="BR118" s="938">
        <f t="shared" si="67"/>
        <v>0</v>
      </c>
    </row>
    <row r="119" spans="1:70" ht="12.75">
      <c r="A119" s="850"/>
      <c r="B119" s="925"/>
      <c r="C119" s="926"/>
      <c r="D119" s="927"/>
      <c r="E119" s="928"/>
      <c r="F119" s="928"/>
      <c r="G119" s="928"/>
      <c r="H119" s="927"/>
      <c r="I119" s="929"/>
      <c r="J119" s="929"/>
      <c r="K119" s="929"/>
      <c r="L119" s="929"/>
      <c r="M119" s="930"/>
      <c r="N119" s="931"/>
      <c r="O119" s="931"/>
      <c r="P119" s="931"/>
      <c r="Q119" s="932"/>
      <c r="R119" s="898"/>
      <c r="S119" s="850"/>
      <c r="T119" s="850"/>
      <c r="U119" s="850"/>
      <c r="V119" s="850"/>
      <c r="W119" s="850"/>
      <c r="X119" s="933"/>
      <c r="Y119" s="933"/>
      <c r="Z119" s="934"/>
      <c r="AA119" s="934"/>
      <c r="AB119" s="934"/>
      <c r="AC119" s="934"/>
      <c r="AD119" s="930"/>
      <c r="AE119" s="934"/>
      <c r="AF119" s="934"/>
      <c r="AG119" s="934"/>
      <c r="AH119" s="934"/>
      <c r="AI119" s="930"/>
      <c r="AJ119" s="934"/>
      <c r="AK119" s="934"/>
      <c r="AL119" s="934"/>
      <c r="AM119" s="930"/>
      <c r="AN119" s="935"/>
      <c r="AO119" s="935"/>
      <c r="AP119" s="935"/>
      <c r="AQ119" s="930"/>
      <c r="AR119" s="934"/>
      <c r="AS119" s="934"/>
      <c r="AT119" s="934"/>
      <c r="AU119" s="930"/>
      <c r="AV119" s="909"/>
      <c r="AW119" s="909"/>
      <c r="AX119" s="909"/>
      <c r="AY119" s="920"/>
      <c r="AZ119" s="936"/>
      <c r="BA119" s="936"/>
      <c r="BB119" s="936"/>
      <c r="BC119" s="937"/>
      <c r="BD119" s="936"/>
      <c r="BE119" s="936"/>
      <c r="BF119" s="936"/>
      <c r="BG119" s="937"/>
      <c r="BH119" s="936"/>
      <c r="BI119" s="936"/>
      <c r="BJ119" s="936"/>
      <c r="BK119" s="937"/>
      <c r="BL119" s="936"/>
      <c r="BM119" s="936"/>
      <c r="BN119" s="936"/>
      <c r="BO119" s="937"/>
      <c r="BP119" s="938"/>
      <c r="BQ119" s="938"/>
      <c r="BR119" s="938"/>
    </row>
    <row r="120" spans="1:70" s="1" customFormat="1" ht="12.75">
      <c r="B120" s="293"/>
      <c r="C120" s="294"/>
      <c r="D120" s="295"/>
      <c r="E120" s="75"/>
      <c r="F120" s="75" t="s">
        <v>2321</v>
      </c>
      <c r="G120" s="75"/>
      <c r="H120" s="295"/>
      <c r="I120" s="68">
        <f>I121</f>
        <v>-1454025063</v>
      </c>
      <c r="J120" s="68">
        <f>J121</f>
        <v>-14300000</v>
      </c>
      <c r="K120" s="68">
        <f>K121</f>
        <v>0</v>
      </c>
      <c r="L120" s="68">
        <f>L121</f>
        <v>-1468325063</v>
      </c>
      <c r="M120" s="296"/>
      <c r="N120" s="69">
        <f>N121</f>
        <v>-4337833595</v>
      </c>
      <c r="O120" s="69">
        <f>O121</f>
        <v>-798000</v>
      </c>
      <c r="P120" s="69">
        <f>P121</f>
        <v>0</v>
      </c>
      <c r="Q120" s="70">
        <f>Q121</f>
        <v>-4338631595</v>
      </c>
      <c r="R120" s="298"/>
      <c r="S120" s="175">
        <f>L120-Q120</f>
        <v>2870306532</v>
      </c>
      <c r="T120" s="176">
        <f>IFERROR(S120/Q120,"To check")</f>
        <v>-0.66156954540870627</v>
      </c>
      <c r="X120" s="933"/>
      <c r="Y120" s="304"/>
      <c r="Z120" s="235">
        <f>Z121</f>
        <v>-36474921</v>
      </c>
      <c r="AA120" s="235">
        <f>AA121</f>
        <v>-500000</v>
      </c>
      <c r="AB120" s="235">
        <f>AB121</f>
        <v>0</v>
      </c>
      <c r="AC120" s="235">
        <f>AC121</f>
        <v>-36974921</v>
      </c>
      <c r="AD120" s="236"/>
      <c r="AE120" s="235">
        <f>AE121</f>
        <v>-1826357856</v>
      </c>
      <c r="AF120" s="235">
        <f>AF121</f>
        <v>0</v>
      </c>
      <c r="AG120" s="235">
        <f>AG121</f>
        <v>0</v>
      </c>
      <c r="AH120" s="235">
        <f>AH121</f>
        <v>-1826357856</v>
      </c>
      <c r="AI120" s="236"/>
      <c r="AJ120" s="235">
        <f>AJ121</f>
        <v>0</v>
      </c>
      <c r="AK120" s="235">
        <f>AK121</f>
        <v>0</v>
      </c>
      <c r="AL120" s="235">
        <f>AL121</f>
        <v>0</v>
      </c>
      <c r="AM120" s="236"/>
      <c r="AN120" s="237">
        <f>AN121</f>
        <v>-1863332777</v>
      </c>
      <c r="AO120" s="237">
        <f>AO121</f>
        <v>0</v>
      </c>
      <c r="AP120" s="237">
        <f>AP121</f>
        <v>-1863332777</v>
      </c>
      <c r="AQ120" s="236"/>
      <c r="AR120" s="235">
        <f>AR121</f>
        <v>0</v>
      </c>
      <c r="AS120" s="235">
        <f>AS121</f>
        <v>0</v>
      </c>
      <c r="AT120" s="235">
        <f>AT121</f>
        <v>0</v>
      </c>
      <c r="AU120" s="236"/>
      <c r="AV120" s="238">
        <f>AV121</f>
        <v>-3331657840</v>
      </c>
      <c r="AW120" s="238">
        <f>AW121</f>
        <v>0</v>
      </c>
      <c r="AX120" s="238">
        <f>AX121</f>
        <v>-3331657840</v>
      </c>
      <c r="AY120" s="614"/>
      <c r="AZ120" s="235">
        <f>AZ121</f>
        <v>-61323260</v>
      </c>
      <c r="BA120" s="235">
        <f>BA121</f>
        <v>-36508333</v>
      </c>
      <c r="BB120" s="235">
        <f>BB121</f>
        <v>-97831593</v>
      </c>
      <c r="BC120" s="236"/>
      <c r="BD120" s="235">
        <f>BD121</f>
        <v>-557633657</v>
      </c>
      <c r="BE120" s="235">
        <f>BE121</f>
        <v>0</v>
      </c>
      <c r="BF120" s="235">
        <f>BF121</f>
        <v>-557633657</v>
      </c>
      <c r="BG120" s="236"/>
      <c r="BH120" s="235">
        <f>BH121</f>
        <v>0</v>
      </c>
      <c r="BI120" s="235">
        <f>BI121</f>
        <v>0</v>
      </c>
      <c r="BJ120" s="235">
        <f>BJ121</f>
        <v>0</v>
      </c>
      <c r="BK120" s="236"/>
      <c r="BL120" s="235">
        <f>BL121</f>
        <v>0</v>
      </c>
      <c r="BM120" s="235">
        <f>BM121</f>
        <v>0</v>
      </c>
      <c r="BN120" s="235">
        <f>BN121</f>
        <v>0</v>
      </c>
      <c r="BO120" s="236"/>
      <c r="BP120" s="443">
        <f>BP121</f>
        <v>-5675308911</v>
      </c>
      <c r="BQ120" s="443">
        <f>BQ121</f>
        <v>0</v>
      </c>
      <c r="BR120" s="443">
        <f>BR121</f>
        <v>-5675308911</v>
      </c>
    </row>
    <row r="121" spans="1:70" ht="12.75">
      <c r="A121" s="850"/>
      <c r="B121" s="939">
        <v>314</v>
      </c>
      <c r="C121" s="940"/>
      <c r="D121" s="927"/>
      <c r="E121" s="928" t="s">
        <v>150</v>
      </c>
      <c r="F121" s="928" t="s">
        <v>151</v>
      </c>
      <c r="G121" s="927" t="s">
        <v>2312</v>
      </c>
      <c r="H121" s="927" t="s">
        <v>2222</v>
      </c>
      <c r="I121" s="942">
        <f>SUMIFS('TB.CTy Me.FY2024'!I:I,'TB.CTy Me.FY2024'!A:A,'A0.LS'!E121)</f>
        <v>-1454025063</v>
      </c>
      <c r="J121" s="942">
        <f>ROUND(SUMIFS('A5.FY24'!K:K,'A5.FY24'!E:E,'A0.LS'!E121,'A5.FY24'!L:L,"Finhay",'A5.FY24'!M:M,"Posted"),0)</f>
        <v>-14300000</v>
      </c>
      <c r="K121" s="942">
        <f>ROUND(SUMIFS('A5.FY24'!K:K,'A5.FY24'!E:E,'A0.LS'!E121,'A5.FY24'!L:L,"EY",'A5.FY24'!M:M,"Posted"),0)</f>
        <v>0</v>
      </c>
      <c r="L121" s="943">
        <f>ROUND(SUM(I121:K121),0)</f>
        <v>-1468325063</v>
      </c>
      <c r="M121" s="930"/>
      <c r="N121" s="944">
        <f>SUMIFS('TB.CTM.YE23'!I:I,'TB.CTM.YE23'!A:A,'A0.LS'!E121)</f>
        <v>-4337833595</v>
      </c>
      <c r="O121" s="944">
        <v>-798000</v>
      </c>
      <c r="P121" s="944">
        <v>0</v>
      </c>
      <c r="Q121" s="945">
        <f>ROUND(SUM(N121:P121),0)</f>
        <v>-4338631595</v>
      </c>
      <c r="R121" s="898"/>
      <c r="S121" s="848">
        <f>L121-Q121</f>
        <v>2870306532</v>
      </c>
      <c r="T121" s="946">
        <f>IFERROR(S121/Q121,"To check")</f>
        <v>-0.66156954540870627</v>
      </c>
      <c r="U121" s="850"/>
      <c r="V121" s="850" t="s">
        <v>2322</v>
      </c>
      <c r="W121" s="850"/>
      <c r="X121" s="304"/>
      <c r="Y121" s="947" t="s">
        <v>2312</v>
      </c>
      <c r="Z121" s="936">
        <f>ROUND(SUMIFS('TB.Cty Con.FY24'!I:I,'TB.Cty Con.FY24'!A:A,'A0.LS'!E121),0)</f>
        <v>-36474921</v>
      </c>
      <c r="AA121" s="936">
        <f>ROUND(SUMIFS('A5.CTC FY24'!K:K,'A5.CTC FY24'!E:E,'A0.LS'!E121,'A5.CTC FY24'!A:A,'A0.LS'!$AA$5,'A5.CTC FY24'!L:L,"Finhay",'A5.CTC FY24'!M:M,"Posted"),0)</f>
        <v>-500000</v>
      </c>
      <c r="AB121" s="936">
        <f>ROUND(SUMIFS('A5.CTC FY24'!K:K,'A5.CTC FY24'!E:E,'A0.LS'!E121,'A5.CTC FY24'!A:A,'A0.LS'!$AB$5,'A5.CTC FY24'!L:L,"EY",'A5.CTC FY24'!M:M,"Posted"),0)</f>
        <v>0</v>
      </c>
      <c r="AC121" s="948">
        <f>ROUND(SUM(Z121:AB121),0)</f>
        <v>-36974921</v>
      </c>
      <c r="AD121" s="930"/>
      <c r="AE121" s="936">
        <f>ROUND(SUMIFS('TB VNSC FY24'!M:M,'TB VNSC FY24'!N:N,'A0.LS'!E121),0)</f>
        <v>-1826357856</v>
      </c>
      <c r="AF121" s="936">
        <f>SUMIFS('A5.CTC FY24'!K:K,'A5.CTC FY24'!E:E,'A0.LS'!E121,'A5.CTC FY24'!A:A,"VNSC",'A5.CTC FY24'!L:L,"VNSC",'A5.CTC FY24'!M:M,"Posted")</f>
        <v>0</v>
      </c>
      <c r="AG121" s="936">
        <f>ROUND(SUMIFS('A5.CTC FY24'!K:K,'A5.CTC FY24'!E:E,'A0.LS'!E121,'A5.CTC FY24'!A:A,"VNSC",'A5.CTC FY24'!L:L,"EY",'A5.CTC FY24'!M:M,"Posted"),0)</f>
        <v>0</v>
      </c>
      <c r="AH121" s="936">
        <f>ROUND(SUM(AE121:AG121),0)</f>
        <v>-1826357856</v>
      </c>
      <c r="AI121" s="930"/>
      <c r="AJ121" s="936">
        <f>SUMIFS('TB.KCG.FY24'!I:I,'TB.KCG.FY24'!A:A,'A0.LS'!E121)</f>
        <v>0</v>
      </c>
      <c r="AK121" s="936">
        <f>ROUND(SUMIFS('A5.CTC FY24'!K:K,'A5.CTC FY24'!E:E,'A0.LS'!E121,'A5.CTC FY24'!A:A,'A0.LS'!$AK$5,'A5.CTC FY24'!L:L,"EY",'A5.CTC FY24'!M:M,"Posted"),0)</f>
        <v>0</v>
      </c>
      <c r="AL121" s="948">
        <f>ROUND(SUM(AJ121:AK121),0)</f>
        <v>0</v>
      </c>
      <c r="AM121" s="930"/>
      <c r="AN121" s="949">
        <f>ROUND(SUM(AT121,AH121,AC121),0)</f>
        <v>-1863332777</v>
      </c>
      <c r="AO121" s="950">
        <f>ROUND(SUMIFS('A5.Consol FY24'!L:L,'A5.Consol FY24'!M:M,"EY",'A5.Consol FY24'!N:N,"Posted",'A5.Consol FY24'!B:B,'A0.LS'!$AO$5,'A5.Consol FY24'!F:F,'A0.LS'!E121),0)</f>
        <v>0</v>
      </c>
      <c r="AP121" s="949">
        <f>ROUND(SUM(AN121:AO121),0)</f>
        <v>-1863332777</v>
      </c>
      <c r="AQ121" s="930"/>
      <c r="AR121" s="936">
        <f>ROUND(SUMIFS('TB.XH.FY24'!I:I,'TB.XH.FY24'!J:J,'A0.LS'!E121),0)</f>
        <v>0</v>
      </c>
      <c r="AS121" s="936">
        <f>ROUND(SUMIFS('A5.CTC FY24'!K:K,'A5.CTC FY24'!E:E,'A0.LS'!E121,'A5.CTC FY24'!A:A,'A0.LS'!$AS$5,'A5.CTC FY24'!L:L,"EY",'A5.CTC FY24'!M:M,"Posted"),0)</f>
        <v>0</v>
      </c>
      <c r="AT121" s="948">
        <f>ROUND(SUM(AR121:AS121),0)</f>
        <v>0</v>
      </c>
      <c r="AU121" s="930"/>
      <c r="AV121" s="951">
        <f>ROUND(SUM(AP121,AL121,L121),0)</f>
        <v>-3331657840</v>
      </c>
      <c r="AW121" s="952">
        <f>SUMIFS('A5.Consol FY24'!L:L,'A5.Consol FY24'!B:B,'A0.LS'!$AW$5,'A5.Consol FY24'!M:M,"EY",'A5.Consol FY24'!N:N,"Posted",'A5.Consol FY24'!F:F,'A0.LS'!E121)</f>
        <v>0</v>
      </c>
      <c r="AX121" s="951">
        <f>ROUND(SUM(AV121:AW121),0)</f>
        <v>-3331657840</v>
      </c>
      <c r="AY121" s="920"/>
      <c r="AZ121" s="936">
        <f>SUMIFS('TB.CTC.YE22'!Q:Q,'TB.CTC.YE22'!A:A,'A0.LS'!E121)</f>
        <v>-61323260</v>
      </c>
      <c r="BA121" s="936">
        <f>ROUND(SUMIFS('A5.YE22'!J:J,'A5.YE22'!K:K,'A0.LS'!$BA$5,'A5.YE22'!L:L,"Posted",'A5.YE22'!D:D,'A0.LS'!E121),0)</f>
        <v>-36508333</v>
      </c>
      <c r="BB121" s="936">
        <f>ROUND(SUM(AZ121:BA121),0)</f>
        <v>-97831593</v>
      </c>
      <c r="BC121" s="937"/>
      <c r="BD121" s="936">
        <f>ROUND(SUMIFS('TB.VNSC.YE22'!L:L,'TB.VNSC.YE22'!A:A,'A0.LS'!E121),0)</f>
        <v>-557633657</v>
      </c>
      <c r="BE121" s="936">
        <f>ROUND(SUMIFS('A5.YE22'!J:J,'A5.YE22'!K:K,'A0.LS'!$BE$5,'A5.YE22'!L:L,"Posted",'A5.YE22'!D:D,'A0.LS'!E121),0)</f>
        <v>0</v>
      </c>
      <c r="BF121" s="936">
        <f>ROUND(SUM(BD121:BE121),0)</f>
        <v>-557633657</v>
      </c>
      <c r="BG121" s="937"/>
      <c r="BH121" s="936">
        <f>ROUND(SUMIFS('TB.XH.YE22'!P:P,'TB.XH.YE22'!A:A,'A0.LS'!E121),0)</f>
        <v>0</v>
      </c>
      <c r="BI121" s="936">
        <f>ROUND(SUMIFS('A5.YE22'!J:J,'A5.YE22'!K:K,"XH",'A5.YE22'!L:L,"Posted",'A5.YE22'!D:D,'A0.LS'!E121),0)</f>
        <v>0</v>
      </c>
      <c r="BJ121" s="936">
        <f>ROUND(SUM(BH121:BI121),0)</f>
        <v>0</v>
      </c>
      <c r="BK121" s="937"/>
      <c r="BL121" s="936">
        <f>ROUND(SUMIFS('TB.KCG.YE22'!P:P,'TB.KCG.YE22'!A:A,'A0.LS'!E121),0)</f>
        <v>0</v>
      </c>
      <c r="BM121" s="936">
        <f>ROUND(SUMIFS('A5.YE22'!J:J,'A5.YE22'!K:K,'A0.LS'!$BM$5,'A5.YE22'!L:L,"Posted",'A5.YE22'!D:D,'A0.LS'!E121),0)</f>
        <v>0</v>
      </c>
      <c r="BN121" s="936">
        <f>ROUND(SUM(BL121:BM121),0)</f>
        <v>0</v>
      </c>
      <c r="BO121" s="937"/>
      <c r="BP121" s="938">
        <v>-5675308911</v>
      </c>
      <c r="BQ121" s="938">
        <f>ROUND(SUMIFS('A5.YE22'!J:J,'A5.YE22'!K:K,'A0.LS'!$BQ$5,'A5.YE22'!L:L,"Posted",'A5.YE22'!D:D,'A0.LS'!E121),0)</f>
        <v>0</v>
      </c>
      <c r="BR121" s="938">
        <f>ROUND(SUM(BP121:BQ121),0)</f>
        <v>-5675308911</v>
      </c>
    </row>
    <row r="122" spans="1:70" ht="12.75">
      <c r="A122" s="850"/>
      <c r="B122" s="925"/>
      <c r="C122" s="926"/>
      <c r="D122" s="927"/>
      <c r="E122" s="928"/>
      <c r="F122" s="928"/>
      <c r="G122" s="928"/>
      <c r="H122" s="927"/>
      <c r="I122" s="929"/>
      <c r="J122" s="929"/>
      <c r="K122" s="929"/>
      <c r="L122" s="929"/>
      <c r="M122" s="930"/>
      <c r="N122" s="931"/>
      <c r="O122" s="931"/>
      <c r="P122" s="931"/>
      <c r="Q122" s="932"/>
      <c r="R122" s="898"/>
      <c r="S122" s="850"/>
      <c r="T122" s="850"/>
      <c r="U122" s="850"/>
      <c r="V122" s="850"/>
      <c r="W122" s="850"/>
      <c r="X122" s="947" t="s">
        <v>2227</v>
      </c>
      <c r="Y122" s="933"/>
      <c r="Z122" s="934"/>
      <c r="AA122" s="934"/>
      <c r="AB122" s="934"/>
      <c r="AC122" s="934"/>
      <c r="AD122" s="930"/>
      <c r="AE122" s="934"/>
      <c r="AF122" s="934"/>
      <c r="AG122" s="934"/>
      <c r="AH122" s="934"/>
      <c r="AI122" s="930"/>
      <c r="AJ122" s="934"/>
      <c r="AK122" s="934"/>
      <c r="AL122" s="934"/>
      <c r="AM122" s="930"/>
      <c r="AN122" s="935"/>
      <c r="AO122" s="935"/>
      <c r="AP122" s="935"/>
      <c r="AQ122" s="930"/>
      <c r="AR122" s="934"/>
      <c r="AS122" s="934"/>
      <c r="AT122" s="934"/>
      <c r="AU122" s="930"/>
      <c r="AV122" s="909"/>
      <c r="AW122" s="909"/>
      <c r="AX122" s="909"/>
      <c r="AY122" s="920"/>
      <c r="AZ122" s="936"/>
      <c r="BA122" s="936"/>
      <c r="BB122" s="936"/>
      <c r="BC122" s="937"/>
      <c r="BD122" s="936"/>
      <c r="BE122" s="936"/>
      <c r="BF122" s="936"/>
      <c r="BG122" s="937"/>
      <c r="BH122" s="936"/>
      <c r="BI122" s="936"/>
      <c r="BJ122" s="936"/>
      <c r="BK122" s="937"/>
      <c r="BL122" s="936"/>
      <c r="BM122" s="936"/>
      <c r="BN122" s="936"/>
      <c r="BO122" s="937"/>
      <c r="BP122" s="938"/>
      <c r="BQ122" s="938"/>
      <c r="BR122" s="938"/>
    </row>
    <row r="123" spans="1:70" s="1" customFormat="1" ht="12.75">
      <c r="B123" s="447"/>
      <c r="C123" s="448"/>
      <c r="D123" s="295"/>
      <c r="E123" s="75"/>
      <c r="F123" s="75" t="s">
        <v>2323</v>
      </c>
      <c r="G123" s="75"/>
      <c r="H123" s="295"/>
      <c r="I123" s="68">
        <f>I124</f>
        <v>-1050443200</v>
      </c>
      <c r="J123" s="68">
        <f>J124</f>
        <v>0</v>
      </c>
      <c r="K123" s="68">
        <f>K124</f>
        <v>0</v>
      </c>
      <c r="L123" s="68">
        <f>L124</f>
        <v>-1050443200</v>
      </c>
      <c r="M123" s="296"/>
      <c r="N123" s="69">
        <f>N124</f>
        <v>-1132031369</v>
      </c>
      <c r="O123" s="69">
        <f>O124</f>
        <v>0</v>
      </c>
      <c r="P123" s="69">
        <f>P124</f>
        <v>0</v>
      </c>
      <c r="Q123" s="70">
        <f>Q124</f>
        <v>-1132031369</v>
      </c>
      <c r="R123" s="298"/>
      <c r="S123" s="175">
        <f>L123-Q123</f>
        <v>81588169</v>
      </c>
      <c r="T123" s="176">
        <f>IFERROR(S123/Q123,"To check")</f>
        <v>-7.2072357033774029E-2</v>
      </c>
      <c r="X123" s="933"/>
      <c r="Y123" s="304"/>
      <c r="Z123" s="235">
        <f>Z124</f>
        <v>-399300</v>
      </c>
      <c r="AA123" s="235">
        <f>AA124</f>
        <v>0</v>
      </c>
      <c r="AB123" s="235">
        <f>AB124</f>
        <v>0</v>
      </c>
      <c r="AC123" s="235">
        <f>AC124</f>
        <v>-399300</v>
      </c>
      <c r="AD123" s="236"/>
      <c r="AE123" s="235">
        <f>AE124</f>
        <v>-1882345787</v>
      </c>
      <c r="AF123" s="235">
        <f>AF124</f>
        <v>0</v>
      </c>
      <c r="AG123" s="235">
        <f>AG124</f>
        <v>-280000000</v>
      </c>
      <c r="AH123" s="235">
        <f>AH124</f>
        <v>-2162345787</v>
      </c>
      <c r="AI123" s="236"/>
      <c r="AJ123" s="235">
        <f>AJ124</f>
        <v>0</v>
      </c>
      <c r="AK123" s="235">
        <f>AK124</f>
        <v>0</v>
      </c>
      <c r="AL123" s="235">
        <f>AL124</f>
        <v>0</v>
      </c>
      <c r="AM123" s="236"/>
      <c r="AN123" s="237">
        <f>AN124</f>
        <v>-2162745087</v>
      </c>
      <c r="AO123" s="237">
        <f>AO124</f>
        <v>0</v>
      </c>
      <c r="AP123" s="237">
        <f>AP124</f>
        <v>-2162745087</v>
      </c>
      <c r="AQ123" s="236"/>
      <c r="AR123" s="235">
        <f>AR124</f>
        <v>0</v>
      </c>
      <c r="AS123" s="235">
        <f>AS124</f>
        <v>0</v>
      </c>
      <c r="AT123" s="235">
        <f>AT124</f>
        <v>0</v>
      </c>
      <c r="AU123" s="236"/>
      <c r="AV123" s="238">
        <f>AV124</f>
        <v>-3213188287</v>
      </c>
      <c r="AW123" s="238">
        <f>AW124</f>
        <v>0</v>
      </c>
      <c r="AX123" s="238">
        <f>AX124</f>
        <v>-3213188287</v>
      </c>
      <c r="AY123" s="614"/>
      <c r="AZ123" s="235">
        <f>AZ124</f>
        <v>0</v>
      </c>
      <c r="BA123" s="235">
        <f>BA124</f>
        <v>0</v>
      </c>
      <c r="BB123" s="235">
        <f>BB124</f>
        <v>0</v>
      </c>
      <c r="BC123" s="236"/>
      <c r="BD123" s="235">
        <f>BD124</f>
        <v>0</v>
      </c>
      <c r="BE123" s="235">
        <f>BE124</f>
        <v>0</v>
      </c>
      <c r="BF123" s="235">
        <f>BF124</f>
        <v>0</v>
      </c>
      <c r="BG123" s="236"/>
      <c r="BH123" s="235">
        <f>BH124</f>
        <v>0</v>
      </c>
      <c r="BI123" s="235">
        <f>BI124</f>
        <v>0</v>
      </c>
      <c r="BJ123" s="235">
        <f>BJ124</f>
        <v>0</v>
      </c>
      <c r="BK123" s="236"/>
      <c r="BL123" s="235">
        <f>BL124</f>
        <v>0</v>
      </c>
      <c r="BM123" s="235">
        <f>BM124</f>
        <v>0</v>
      </c>
      <c r="BN123" s="235">
        <f>BN124</f>
        <v>0</v>
      </c>
      <c r="BO123" s="236"/>
      <c r="BP123" s="443">
        <f>BP124</f>
        <v>-1524326663</v>
      </c>
      <c r="BQ123" s="443">
        <f>BQ124</f>
        <v>0</v>
      </c>
      <c r="BR123" s="443">
        <f>BR124</f>
        <v>-1524326663</v>
      </c>
    </row>
    <row r="124" spans="1:70" ht="12.75">
      <c r="A124" s="850"/>
      <c r="B124" s="939">
        <v>315</v>
      </c>
      <c r="C124" s="940"/>
      <c r="D124" s="927"/>
      <c r="E124" s="928" t="s">
        <v>154</v>
      </c>
      <c r="F124" s="928" t="s">
        <v>155</v>
      </c>
      <c r="G124" s="927" t="s">
        <v>2324</v>
      </c>
      <c r="H124" s="927" t="s">
        <v>2265</v>
      </c>
      <c r="I124" s="942">
        <f>SUMIFS('TB.CTy Me.FY2024'!I:I,'TB.CTy Me.FY2024'!A:A,'A0.LS'!E124)+1</f>
        <v>-1050443200</v>
      </c>
      <c r="J124" s="942">
        <f>ROUND(SUMIFS('A5.FY24'!K:K,'A5.FY24'!E:E,'A0.LS'!E124,'A5.FY24'!L:L,"Finhay",'A5.FY24'!M:M,"Posted"),0)</f>
        <v>0</v>
      </c>
      <c r="K124" s="942">
        <f>ROUND(SUMIFS('A5.FY24'!K:K,'A5.FY24'!E:E,'A0.LS'!E124,'A5.FY24'!L:L,"EY",'A5.FY24'!M:M,"Posted"),0)</f>
        <v>0</v>
      </c>
      <c r="L124" s="943">
        <f>ROUND(SUM(I124:K124),0)</f>
        <v>-1050443200</v>
      </c>
      <c r="M124" s="930"/>
      <c r="N124" s="944">
        <f>SUMIFS('TB.CTM.YE23'!I:I,'TB.CTM.YE23'!A:A,'A0.LS'!E124)</f>
        <v>-1132031369</v>
      </c>
      <c r="O124" s="944">
        <v>0</v>
      </c>
      <c r="P124" s="944">
        <f>SUMIFS('A5.YE22'!J:J,'A5.YE22'!D:D,'A0.LS'!E124,'A5.YE22'!K:K,"EY",'A5.YE22'!L:L,"Posted")</f>
        <v>0</v>
      </c>
      <c r="Q124" s="945">
        <f>ROUND(SUM(N124:P124),0)</f>
        <v>-1132031369</v>
      </c>
      <c r="R124" s="898"/>
      <c r="S124" s="848">
        <f>L124-Q124</f>
        <v>81588169</v>
      </c>
      <c r="T124" s="946">
        <f>IFERROR(S124/Q124,"To check")</f>
        <v>-7.2072357033774029E-2</v>
      </c>
      <c r="U124" s="850"/>
      <c r="V124" s="850" t="s">
        <v>2325</v>
      </c>
      <c r="W124" s="850"/>
      <c r="X124" s="304"/>
      <c r="Y124" s="947" t="s">
        <v>2324</v>
      </c>
      <c r="Z124" s="936">
        <f>ROUND(SUMIFS('TB.Cty Con.FY24'!I:I,'TB.Cty Con.FY24'!A:A,'A0.LS'!E124),0)</f>
        <v>-399300</v>
      </c>
      <c r="AA124" s="936">
        <f>ROUND(SUMIFS('A5.CTC FY24'!K:K,'A5.CTC FY24'!E:E,'A0.LS'!E124,'A5.CTC FY24'!A:A,'A0.LS'!$AA$5,'A5.CTC FY24'!L:L,"Finhay",'A5.CTC FY24'!M:M,"Posted"),0)</f>
        <v>0</v>
      </c>
      <c r="AB124" s="936">
        <f>ROUND(SUMIFS('A5.CTC FY24'!K:K,'A5.CTC FY24'!E:E,'A0.LS'!E124,'A5.CTC FY24'!A:A,'A0.LS'!$AB$5,'A5.CTC FY24'!L:L,"EY",'A5.CTC FY24'!M:M,"Posted"),0)</f>
        <v>0</v>
      </c>
      <c r="AC124" s="948">
        <f>ROUND(SUM(Z124:AB124),0)</f>
        <v>-399300</v>
      </c>
      <c r="AD124" s="930"/>
      <c r="AE124" s="936">
        <f>ROUND(SUMIFS('TB VNSC FY24'!M:M,'TB VNSC FY24'!N:N,'A0.LS'!E124),0)</f>
        <v>-1882345787</v>
      </c>
      <c r="AF124" s="936">
        <f>SUMIFS('A5.CTC FY24'!K:K,'A5.CTC FY24'!E:E,'A0.LS'!E124,'A5.CTC FY24'!A:A,"VNSC",'A5.CTC FY24'!L:L,"VNSC",'A5.CTC FY24'!M:M,"Posted")</f>
        <v>0</v>
      </c>
      <c r="AG124" s="936">
        <f>ROUND(SUMIFS('A5.CTC FY24'!K:K,'A5.CTC FY24'!E:E,'A0.LS'!E124,'A5.CTC FY24'!A:A,"VNSC",'A5.CTC FY24'!L:L,"EY",'A5.CTC FY24'!M:M,"Posted"),0)</f>
        <v>-280000000</v>
      </c>
      <c r="AH124" s="936">
        <f>ROUND(SUM(AE124:AG124),0)</f>
        <v>-2162345787</v>
      </c>
      <c r="AI124" s="930"/>
      <c r="AJ124" s="936">
        <f>SUMIFS('TB.KCG.FY24'!I:I,'TB.KCG.FY24'!A:A,'A0.LS'!E124)</f>
        <v>0</v>
      </c>
      <c r="AK124" s="936">
        <f>ROUND(SUMIFS('A5.CTC FY24'!K:K,'A5.CTC FY24'!E:E,'A0.LS'!E124,'A5.CTC FY24'!A:A,'A0.LS'!$AK$5,'A5.CTC FY24'!L:L,"EY",'A5.CTC FY24'!M:M,"Posted"),0)</f>
        <v>0</v>
      </c>
      <c r="AL124" s="948">
        <f>ROUND(SUM(AJ124:AK124),0)</f>
        <v>0</v>
      </c>
      <c r="AM124" s="930"/>
      <c r="AN124" s="949">
        <f>ROUND(SUM(AT124,AH124,AC124),0)</f>
        <v>-2162745087</v>
      </c>
      <c r="AO124" s="950">
        <f>ROUND(SUMIFS('A5.Consol FY24'!L:L,'A5.Consol FY24'!M:M,"EY",'A5.Consol FY24'!N:N,"Posted",'A5.Consol FY24'!B:B,'A0.LS'!$AO$5,'A5.Consol FY24'!F:F,'A0.LS'!E124),0)</f>
        <v>0</v>
      </c>
      <c r="AP124" s="949">
        <f>ROUND(SUM(AN124:AO124),0)</f>
        <v>-2162745087</v>
      </c>
      <c r="AQ124" s="930"/>
      <c r="AR124" s="936">
        <f>ROUND(SUMIFS('TB.XH.FY24'!I:I,'TB.XH.FY24'!J:J,'A0.LS'!E124),0)</f>
        <v>0</v>
      </c>
      <c r="AS124" s="936">
        <f>ROUND(SUMIFS('A5.CTC FY24'!K:K,'A5.CTC FY24'!E:E,'A0.LS'!E124,'A5.CTC FY24'!A:A,'A0.LS'!$AS$5,'A5.CTC FY24'!L:L,"EY",'A5.CTC FY24'!M:M,"Posted"),0)</f>
        <v>0</v>
      </c>
      <c r="AT124" s="948">
        <f>ROUND(SUM(AR124:AS124),0)</f>
        <v>0</v>
      </c>
      <c r="AU124" s="930"/>
      <c r="AV124" s="951">
        <f>ROUND(SUM(AP124,AL124,L124),0)</f>
        <v>-3213188287</v>
      </c>
      <c r="AW124" s="952">
        <f>SUMIFS('A5.Consol FY24'!L:L,'A5.Consol FY24'!B:B,'A0.LS'!$AW$5,'A5.Consol FY24'!M:M,"EY",'A5.Consol FY24'!N:N,"Posted",'A5.Consol FY24'!F:F,'A0.LS'!E124)</f>
        <v>0</v>
      </c>
      <c r="AX124" s="951">
        <f>ROUND(SUM(AV124:AW124),0)</f>
        <v>-3213188287</v>
      </c>
      <c r="AY124" s="920"/>
      <c r="AZ124" s="936">
        <f>SUMIFS('TB.CTC.YE22'!Q:Q,'TB.CTC.YE22'!A:A,'A0.LS'!E124)</f>
        <v>0</v>
      </c>
      <c r="BA124" s="936">
        <f>ROUND(SUMIFS('A5.YE22'!J:J,'A5.YE22'!K:K,'A0.LS'!$BA$5,'A5.YE22'!L:L,"Posted",'A5.YE22'!D:D,'A0.LS'!E124),0)</f>
        <v>0</v>
      </c>
      <c r="BB124" s="936">
        <f>ROUND(SUM(AZ124:BA124),0)</f>
        <v>0</v>
      </c>
      <c r="BC124" s="937"/>
      <c r="BD124" s="936">
        <f>ROUND(SUMIFS('TB.VNSC.YE22'!L:L,'TB.VNSC.YE22'!A:A,'A0.LS'!E124),0)</f>
        <v>0</v>
      </c>
      <c r="BE124" s="936">
        <f>ROUND(SUMIFS('A5.YE22'!J:J,'A5.YE22'!K:K,'A0.LS'!$BE$5,'A5.YE22'!L:L,"Posted",'A5.YE22'!D:D,'A0.LS'!E124),0)</f>
        <v>0</v>
      </c>
      <c r="BF124" s="936">
        <f>ROUND(SUM(BD124:BE124),0)</f>
        <v>0</v>
      </c>
      <c r="BG124" s="937"/>
      <c r="BH124" s="936">
        <f>ROUND(SUMIFS('TB.XH.YE22'!P:P,'TB.XH.YE22'!A:A,'A0.LS'!E124),0)</f>
        <v>0</v>
      </c>
      <c r="BI124" s="936">
        <f>ROUND(SUMIFS('A5.YE22'!J:J,'A5.YE22'!K:K,"XH",'A5.YE22'!L:L,"Posted",'A5.YE22'!D:D,'A0.LS'!E124),0)</f>
        <v>0</v>
      </c>
      <c r="BJ124" s="936">
        <f>ROUND(SUM(BH124:BI124),0)</f>
        <v>0</v>
      </c>
      <c r="BK124" s="937"/>
      <c r="BL124" s="936">
        <f>ROUND(SUMIFS('TB.KCG.YE22'!P:P,'TB.KCG.YE22'!A:A,'A0.LS'!E124),0)</f>
        <v>0</v>
      </c>
      <c r="BM124" s="936">
        <f>ROUND(SUMIFS('A5.YE22'!J:J,'A5.YE22'!K:K,'A0.LS'!$BM$5,'A5.YE22'!L:L,"Posted",'A5.YE22'!D:D,'A0.LS'!E124),0)</f>
        <v>0</v>
      </c>
      <c r="BN124" s="936">
        <f>ROUND(SUM(BL124:BM124),0)</f>
        <v>0</v>
      </c>
      <c r="BO124" s="937"/>
      <c r="BP124" s="938">
        <v>-1524326663</v>
      </c>
      <c r="BQ124" s="938">
        <f>ROUND(SUMIFS('A5.YE22'!J:J,'A5.YE22'!K:K,'A0.LS'!$BQ$5,'A5.YE22'!L:L,"Posted",'A5.YE22'!D:D,'A0.LS'!E124),0)</f>
        <v>0</v>
      </c>
      <c r="BR124" s="938">
        <f>ROUND(SUM(BP124:BQ124),0)</f>
        <v>-1524326663</v>
      </c>
    </row>
    <row r="125" spans="1:70" ht="12.75">
      <c r="A125" s="850"/>
      <c r="B125" s="925"/>
      <c r="C125" s="926"/>
      <c r="D125" s="927"/>
      <c r="E125" s="928"/>
      <c r="F125" s="928"/>
      <c r="G125" s="928"/>
      <c r="H125" s="927"/>
      <c r="I125" s="929"/>
      <c r="J125" s="929"/>
      <c r="K125" s="929"/>
      <c r="L125" s="929"/>
      <c r="M125" s="930"/>
      <c r="N125" s="931"/>
      <c r="O125" s="931"/>
      <c r="P125" s="931"/>
      <c r="Q125" s="932"/>
      <c r="R125" s="898"/>
      <c r="S125" s="850"/>
      <c r="T125" s="850"/>
      <c r="U125" s="850"/>
      <c r="V125" s="850"/>
      <c r="W125" s="850"/>
      <c r="X125" s="947" t="s">
        <v>675</v>
      </c>
      <c r="Y125" s="933"/>
      <c r="Z125" s="934"/>
      <c r="AA125" s="934"/>
      <c r="AB125" s="934"/>
      <c r="AC125" s="934"/>
      <c r="AD125" s="930"/>
      <c r="AE125" s="934"/>
      <c r="AF125" s="934"/>
      <c r="AG125" s="934"/>
      <c r="AH125" s="934"/>
      <c r="AI125" s="930"/>
      <c r="AJ125" s="934"/>
      <c r="AK125" s="934"/>
      <c r="AL125" s="934"/>
      <c r="AM125" s="930"/>
      <c r="AN125" s="935"/>
      <c r="AO125" s="935"/>
      <c r="AP125" s="935"/>
      <c r="AQ125" s="930"/>
      <c r="AR125" s="934"/>
      <c r="AS125" s="934"/>
      <c r="AT125" s="934"/>
      <c r="AU125" s="930"/>
      <c r="AV125" s="909"/>
      <c r="AW125" s="909"/>
      <c r="AX125" s="909"/>
      <c r="AY125" s="920"/>
      <c r="AZ125" s="936"/>
      <c r="BA125" s="936"/>
      <c r="BB125" s="936"/>
      <c r="BC125" s="937"/>
      <c r="BD125" s="936"/>
      <c r="BE125" s="936"/>
      <c r="BF125" s="936"/>
      <c r="BG125" s="937"/>
      <c r="BH125" s="936"/>
      <c r="BI125" s="936"/>
      <c r="BJ125" s="936"/>
      <c r="BK125" s="937"/>
      <c r="BL125" s="936"/>
      <c r="BM125" s="936"/>
      <c r="BN125" s="936"/>
      <c r="BO125" s="937"/>
      <c r="BP125" s="938"/>
      <c r="BQ125" s="938"/>
      <c r="BR125" s="938"/>
    </row>
    <row r="126" spans="1:70" s="1" customFormat="1" ht="12.75">
      <c r="B126" s="293"/>
      <c r="C126" s="294"/>
      <c r="D126" s="295"/>
      <c r="E126" s="75"/>
      <c r="F126" s="75" t="s">
        <v>2326</v>
      </c>
      <c r="G126" s="295"/>
      <c r="H126" s="295"/>
      <c r="I126" s="91">
        <f>I127</f>
        <v>-30336000000</v>
      </c>
      <c r="J126" s="91">
        <f>J127</f>
        <v>0</v>
      </c>
      <c r="K126" s="91">
        <f>K127</f>
        <v>30336000000</v>
      </c>
      <c r="L126" s="91">
        <f>L127</f>
        <v>0</v>
      </c>
      <c r="M126" s="296"/>
      <c r="N126" s="92">
        <f>N127</f>
        <v>-34128000000</v>
      </c>
      <c r="O126" s="92">
        <f>O127</f>
        <v>0</v>
      </c>
      <c r="P126" s="92">
        <f>P127</f>
        <v>34128000000</v>
      </c>
      <c r="Q126" s="70">
        <f>Q127</f>
        <v>0</v>
      </c>
      <c r="R126" s="298"/>
      <c r="S126" s="175">
        <f>L126-Q126</f>
        <v>0</v>
      </c>
      <c r="T126" s="176" t="str">
        <f>IFERROR(S126/Q126,"To check")</f>
        <v>To check</v>
      </c>
      <c r="X126" s="947" t="s">
        <v>675</v>
      </c>
      <c r="Y126" s="304"/>
      <c r="Z126" s="235">
        <f>Z127</f>
        <v>0</v>
      </c>
      <c r="AA126" s="235">
        <f>AA127</f>
        <v>0</v>
      </c>
      <c r="AB126" s="235">
        <f>AB127</f>
        <v>0</v>
      </c>
      <c r="AC126" s="235">
        <f>AC127</f>
        <v>0</v>
      </c>
      <c r="AD126" s="236"/>
      <c r="AE126" s="235">
        <f>AE127</f>
        <v>0</v>
      </c>
      <c r="AF126" s="235">
        <f>AF127</f>
        <v>0</v>
      </c>
      <c r="AG126" s="235">
        <f>AG127</f>
        <v>0</v>
      </c>
      <c r="AH126" s="235">
        <f>AH127</f>
        <v>0</v>
      </c>
      <c r="AI126" s="236"/>
      <c r="AJ126" s="235">
        <f>AJ127</f>
        <v>0</v>
      </c>
      <c r="AK126" s="235">
        <f>AK127</f>
        <v>0</v>
      </c>
      <c r="AL126" s="235">
        <f>AL127</f>
        <v>0</v>
      </c>
      <c r="AM126" s="236"/>
      <c r="AN126" s="237">
        <f>AN127</f>
        <v>0</v>
      </c>
      <c r="AO126" s="237">
        <f>AO127</f>
        <v>0</v>
      </c>
      <c r="AP126" s="237">
        <f>AP127</f>
        <v>0</v>
      </c>
      <c r="AQ126" s="236"/>
      <c r="AR126" s="235">
        <f>AR127</f>
        <v>0</v>
      </c>
      <c r="AS126" s="235">
        <f>AS127</f>
        <v>0</v>
      </c>
      <c r="AT126" s="235">
        <f>AT127</f>
        <v>0</v>
      </c>
      <c r="AU126" s="236"/>
      <c r="AV126" s="238">
        <f>AV127</f>
        <v>0</v>
      </c>
      <c r="AW126" s="238">
        <f>AW127</f>
        <v>0</v>
      </c>
      <c r="AX126" s="238">
        <f>AX127</f>
        <v>0</v>
      </c>
      <c r="AY126" s="614"/>
      <c r="AZ126" s="235">
        <f>AZ127</f>
        <v>0</v>
      </c>
      <c r="BA126" s="235">
        <f>BA127</f>
        <v>0</v>
      </c>
      <c r="BB126" s="235">
        <f>BB127</f>
        <v>0</v>
      </c>
      <c r="BC126" s="236"/>
      <c r="BD126" s="235">
        <f>BD127</f>
        <v>0</v>
      </c>
      <c r="BE126" s="235">
        <f>BE127</f>
        <v>0</v>
      </c>
      <c r="BF126" s="235">
        <f>BF127</f>
        <v>0</v>
      </c>
      <c r="BG126" s="236"/>
      <c r="BH126" s="235">
        <f>BH127</f>
        <v>0</v>
      </c>
      <c r="BI126" s="235">
        <f>BI127</f>
        <v>0</v>
      </c>
      <c r="BJ126" s="235">
        <f>BJ127</f>
        <v>0</v>
      </c>
      <c r="BK126" s="236"/>
      <c r="BL126" s="235">
        <f>BL127</f>
        <v>0</v>
      </c>
      <c r="BM126" s="235">
        <f>BM127</f>
        <v>0</v>
      </c>
      <c r="BN126" s="235">
        <f>BN127</f>
        <v>0</v>
      </c>
      <c r="BO126" s="236"/>
      <c r="BP126" s="443">
        <f>BP127</f>
        <v>0</v>
      </c>
      <c r="BQ126" s="443">
        <f>BQ127</f>
        <v>0</v>
      </c>
      <c r="BR126" s="443">
        <f>BR127</f>
        <v>0</v>
      </c>
    </row>
    <row r="127" spans="1:70" ht="12.75">
      <c r="A127" s="850"/>
      <c r="B127" s="939">
        <v>318</v>
      </c>
      <c r="C127" s="940" t="s">
        <v>2327</v>
      </c>
      <c r="D127" s="941" t="s">
        <v>2327</v>
      </c>
      <c r="E127" s="928" t="s">
        <v>166</v>
      </c>
      <c r="F127" s="928" t="s">
        <v>2328</v>
      </c>
      <c r="G127" s="927" t="s">
        <v>2324</v>
      </c>
      <c r="H127" s="927" t="s">
        <v>2265</v>
      </c>
      <c r="I127" s="942">
        <f>SUMIFS('TB.CTy Me.FY2024'!I:I,'TB.CTy Me.FY2024'!A:A,'A0.LS'!E127)</f>
        <v>-30336000000</v>
      </c>
      <c r="J127" s="942">
        <f>ROUND(SUMIFS('A5.FY24'!K:K,'A5.FY24'!E:E,'A0.LS'!E127,'A5.FY24'!L:L,"Finhay",'A5.FY24'!M:M,"Posted"),0)</f>
        <v>0</v>
      </c>
      <c r="K127" s="942">
        <f>ROUND(SUMIFS('A5.FY24'!K:K,'A5.FY24'!E:E,'A0.LS'!E127,'A5.FY24'!L:L,"EY",'A5.FY24'!M:M,"Posted"),0)</f>
        <v>30336000000</v>
      </c>
      <c r="L127" s="943">
        <f>ROUND(SUM(I127:K127),0)</f>
        <v>0</v>
      </c>
      <c r="M127" s="930"/>
      <c r="N127" s="944">
        <f>SUMIFS('TB.CTM.YE23'!I:I,'TB.CTM.YE23'!A:A,'A0.LS'!E127)</f>
        <v>-34128000000</v>
      </c>
      <c r="O127" s="944">
        <v>0</v>
      </c>
      <c r="P127" s="944">
        <v>34128000000</v>
      </c>
      <c r="Q127" s="945">
        <f>ROUND(SUM(N127:P127),0)</f>
        <v>0</v>
      </c>
      <c r="R127" s="898"/>
      <c r="S127" s="848">
        <f>L127-Q127</f>
        <v>0</v>
      </c>
      <c r="T127" s="946" t="str">
        <f>IFERROR(S127/Q127,"To check")</f>
        <v>To check</v>
      </c>
      <c r="U127" s="850"/>
      <c r="V127" s="850" t="e">
        <v>#N/A</v>
      </c>
      <c r="W127" s="850"/>
      <c r="X127" s="947" t="s">
        <v>675</v>
      </c>
      <c r="Y127" s="947" t="s">
        <v>2324</v>
      </c>
      <c r="Z127" s="936">
        <f>ROUND(SUMIFS('TB.Cty Con.FY24'!I:I,'TB.Cty Con.FY24'!A:A,'A0.LS'!E127),0)</f>
        <v>0</v>
      </c>
      <c r="AA127" s="936">
        <f>ROUND(SUMIFS('A5.CTC FY24'!K:K,'A5.CTC FY24'!E:E,'A0.LS'!E127,'A5.CTC FY24'!A:A,'A0.LS'!$AA$5,'A5.CTC FY24'!L:L,"Finhay",'A5.CTC FY24'!M:M,"Posted"),0)</f>
        <v>0</v>
      </c>
      <c r="AB127" s="936">
        <f>ROUND(SUMIFS('A5.CTC FY24'!K:K,'A5.CTC FY24'!E:E,'A0.LS'!E127,'A5.CTC FY24'!A:A,'A0.LS'!$AB$5,'A5.CTC FY24'!L:L,"EY",'A5.CTC FY24'!M:M,"Posted"),0)</f>
        <v>0</v>
      </c>
      <c r="AC127" s="948">
        <f>ROUND(SUM(Z127:AB127),0)</f>
        <v>0</v>
      </c>
      <c r="AD127" s="930"/>
      <c r="AE127" s="936">
        <f>ROUND(SUMIFS('TB VNSC FY24'!M:M,'TB VNSC FY24'!N:N,'A0.LS'!E127),0)</f>
        <v>0</v>
      </c>
      <c r="AF127" s="936">
        <f>SUMIFS('A5.CTC FY24'!K:K,'A5.CTC FY24'!E:E,'A0.LS'!E127,'A5.CTC FY24'!A:A,"VNSC",'A5.CTC FY24'!L:L,"VNSC",'A5.CTC FY24'!M:M,"Posted")</f>
        <v>0</v>
      </c>
      <c r="AG127" s="936">
        <f>ROUND(SUMIFS('A5.CTC FY24'!K:K,'A5.CTC FY24'!E:E,'A0.LS'!E127,'A5.CTC FY24'!A:A,"VNSC",'A5.CTC FY24'!L:L,"EY",'A5.CTC FY24'!M:M,"Posted"),0)</f>
        <v>0</v>
      </c>
      <c r="AH127" s="936">
        <f>ROUND(SUM(AE127:AG127),0)</f>
        <v>0</v>
      </c>
      <c r="AI127" s="930"/>
      <c r="AJ127" s="936">
        <f>SUMIFS('TB.KCG.FY24'!I:I,'TB.KCG.FY24'!A:A,'A0.LS'!E127)</f>
        <v>0</v>
      </c>
      <c r="AK127" s="936">
        <f>ROUND(SUMIFS('A5.CTC FY24'!K:K,'A5.CTC FY24'!E:E,'A0.LS'!E127,'A5.CTC FY24'!A:A,'A0.LS'!$AK$5,'A5.CTC FY24'!L:L,"EY",'A5.CTC FY24'!M:M,"Posted"),0)</f>
        <v>0</v>
      </c>
      <c r="AL127" s="948">
        <f>ROUND(SUM(AJ127:AK127),0)</f>
        <v>0</v>
      </c>
      <c r="AM127" s="930"/>
      <c r="AN127" s="949">
        <f>ROUND(SUM(AT127,AH127,AC127),0)</f>
        <v>0</v>
      </c>
      <c r="AO127" s="950">
        <f>ROUND(SUMIFS('A5.Consol FY24'!L:L,'A5.Consol FY24'!M:M,"EY",'A5.Consol FY24'!N:N,"Posted",'A5.Consol FY24'!B:B,'A0.LS'!$AO$5,'A5.Consol FY24'!F:F,'A0.LS'!E127),0)</f>
        <v>0</v>
      </c>
      <c r="AP127" s="949">
        <f>ROUND(SUM(AN127:AO127),0)</f>
        <v>0</v>
      </c>
      <c r="AQ127" s="930"/>
      <c r="AR127" s="936">
        <f>ROUND(SUMIFS('TB.XH.FY24'!I:I,'TB.XH.FY24'!J:J,'A0.LS'!E127),0)</f>
        <v>0</v>
      </c>
      <c r="AS127" s="936">
        <f>ROUND(SUMIFS('A5.CTC FY24'!K:K,'A5.CTC FY24'!E:E,'A0.LS'!E127,'A5.CTC FY24'!A:A,'A0.LS'!$AS$5,'A5.CTC FY24'!L:L,"EY",'A5.CTC FY24'!M:M,"Posted"),0)</f>
        <v>0</v>
      </c>
      <c r="AT127" s="948">
        <f>ROUND(SUM(AR127:AS127),0)</f>
        <v>0</v>
      </c>
      <c r="AU127" s="930"/>
      <c r="AV127" s="951">
        <f>ROUND(SUM(AP127,AL127,L127),0)</f>
        <v>0</v>
      </c>
      <c r="AW127" s="952">
        <f>SUMIFS('A5.Consol FY24'!L:L,'A5.Consol FY24'!B:B,'A0.LS'!$AW$5,'A5.Consol FY24'!M:M,"EY",'A5.Consol FY24'!N:N,"Posted",'A5.Consol FY24'!F:F,'A0.LS'!E127)</f>
        <v>0</v>
      </c>
      <c r="AX127" s="951">
        <f>ROUND(SUM(AV127:AW127),0)</f>
        <v>0</v>
      </c>
      <c r="AY127" s="920"/>
      <c r="AZ127" s="936">
        <f>SUMIFS('TB.CTC.YE22'!Q:Q,'TB.CTC.YE22'!A:A,'A0.LS'!E127)</f>
        <v>0</v>
      </c>
      <c r="BA127" s="936">
        <f>ROUND(SUMIFS('A5.YE22'!J:J,'A5.YE22'!K:K,'A0.LS'!$BA$5,'A5.YE22'!L:L,"Posted",'A5.YE22'!D:D,'A0.LS'!E127),0)</f>
        <v>0</v>
      </c>
      <c r="BB127" s="936">
        <f>ROUND(SUM(AZ127:BA127),0)</f>
        <v>0</v>
      </c>
      <c r="BC127" s="937"/>
      <c r="BD127" s="936">
        <f>ROUND(SUMIFS('TB.VNSC.YE22'!L:L,'TB.VNSC.YE22'!A:A,'A0.LS'!E127),0)</f>
        <v>0</v>
      </c>
      <c r="BE127" s="936">
        <f>ROUND(SUMIFS('A5.YE22'!J:J,'A5.YE22'!K:K,'A0.LS'!$BE$5,'A5.YE22'!L:L,"Posted",'A5.YE22'!D:D,'A0.LS'!E127),0)</f>
        <v>0</v>
      </c>
      <c r="BF127" s="936">
        <f>ROUND(SUM(BD127:BE127),0)</f>
        <v>0</v>
      </c>
      <c r="BG127" s="937"/>
      <c r="BH127" s="936">
        <f>ROUND(SUMIFS('TB.XH.YE22'!P:P,'TB.XH.YE22'!A:A,'A0.LS'!E127),0)</f>
        <v>0</v>
      </c>
      <c r="BI127" s="936">
        <f>ROUND(SUMIFS('A5.YE22'!J:J,'A5.YE22'!K:K,"XH",'A5.YE22'!L:L,"Posted",'A5.YE22'!D:D,'A0.LS'!E127),0)</f>
        <v>0</v>
      </c>
      <c r="BJ127" s="936">
        <f>ROUND(SUM(BH127:BI127),0)</f>
        <v>0</v>
      </c>
      <c r="BK127" s="937"/>
      <c r="BL127" s="936">
        <f>ROUND(SUMIFS('TB.KCG.YE22'!P:P,'TB.KCG.YE22'!A:A,'A0.LS'!E127),0)</f>
        <v>0</v>
      </c>
      <c r="BM127" s="936">
        <f>ROUND(SUMIFS('A5.YE22'!J:J,'A5.YE22'!K:K,'A0.LS'!$BM$5,'A5.YE22'!L:L,"Posted",'A5.YE22'!D:D,'A0.LS'!E127),0)</f>
        <v>0</v>
      </c>
      <c r="BN127" s="936">
        <f>ROUND(SUM(BL127:BM127),0)</f>
        <v>0</v>
      </c>
      <c r="BO127" s="937"/>
      <c r="BP127" s="938">
        <f>ROUND(SUM(Q127,BB127,BF127,BJ127,BN127),0)</f>
        <v>0</v>
      </c>
      <c r="BQ127" s="938">
        <f>ROUND(SUMIFS('A5.YE22'!J:J,'A5.YE22'!K:K,'A0.LS'!$BQ$5,'A5.YE22'!L:L,"Posted",'A5.YE22'!D:D,'A0.LS'!E127),0)</f>
        <v>0</v>
      </c>
      <c r="BR127" s="938">
        <f>ROUND(SUM(BP127:BQ127),0)</f>
        <v>0</v>
      </c>
    </row>
    <row r="128" spans="1:70" ht="12.75">
      <c r="A128" s="850"/>
      <c r="B128" s="925"/>
      <c r="C128" s="926"/>
      <c r="D128" s="927"/>
      <c r="E128" s="928"/>
      <c r="F128" s="928"/>
      <c r="G128" s="928"/>
      <c r="H128" s="927"/>
      <c r="I128" s="929"/>
      <c r="J128" s="929"/>
      <c r="K128" s="929"/>
      <c r="L128" s="929"/>
      <c r="M128" s="930"/>
      <c r="N128" s="931"/>
      <c r="O128" s="931"/>
      <c r="P128" s="931"/>
      <c r="Q128" s="932"/>
      <c r="R128" s="898"/>
      <c r="S128" s="850"/>
      <c r="T128" s="850"/>
      <c r="U128" s="850"/>
      <c r="V128" s="850"/>
      <c r="W128" s="850"/>
      <c r="X128" s="947" t="s">
        <v>675</v>
      </c>
      <c r="Y128" s="933"/>
      <c r="Z128" s="934"/>
      <c r="AA128" s="934"/>
      <c r="AB128" s="934"/>
      <c r="AC128" s="934"/>
      <c r="AD128" s="930"/>
      <c r="AE128" s="934"/>
      <c r="AF128" s="934"/>
      <c r="AG128" s="934"/>
      <c r="AH128" s="934"/>
      <c r="AI128" s="930"/>
      <c r="AJ128" s="934"/>
      <c r="AK128" s="934"/>
      <c r="AL128" s="934"/>
      <c r="AM128" s="930"/>
      <c r="AN128" s="935"/>
      <c r="AO128" s="935"/>
      <c r="AP128" s="935"/>
      <c r="AQ128" s="930"/>
      <c r="AR128" s="934"/>
      <c r="AS128" s="934"/>
      <c r="AT128" s="934"/>
      <c r="AU128" s="930"/>
      <c r="AV128" s="909"/>
      <c r="AW128" s="909"/>
      <c r="AX128" s="909"/>
      <c r="AY128" s="920"/>
      <c r="AZ128" s="936"/>
      <c r="BA128" s="936"/>
      <c r="BB128" s="936"/>
      <c r="BC128" s="937"/>
      <c r="BD128" s="936"/>
      <c r="BE128" s="936"/>
      <c r="BF128" s="936"/>
      <c r="BG128" s="937"/>
      <c r="BH128" s="936"/>
      <c r="BI128" s="936"/>
      <c r="BJ128" s="936"/>
      <c r="BK128" s="937"/>
      <c r="BL128" s="936"/>
      <c r="BM128" s="936"/>
      <c r="BN128" s="936"/>
      <c r="BO128" s="937"/>
      <c r="BP128" s="938"/>
      <c r="BQ128" s="938"/>
      <c r="BR128" s="938"/>
    </row>
    <row r="129" spans="1:70" s="1" customFormat="1" ht="12.75">
      <c r="A129" s="1" t="s">
        <v>681</v>
      </c>
      <c r="B129" s="293"/>
      <c r="C129" s="294"/>
      <c r="D129" s="295"/>
      <c r="E129" s="75"/>
      <c r="F129" s="75" t="s">
        <v>2329</v>
      </c>
      <c r="G129" s="75"/>
      <c r="H129" s="295"/>
      <c r="I129" s="68">
        <f>SUM(I130:I159)</f>
        <v>-1396976155111</v>
      </c>
      <c r="J129" s="68">
        <f>SUM(J130:J159)</f>
        <v>-18691677</v>
      </c>
      <c r="K129" s="68">
        <f>SUM(K130:K159)</f>
        <v>4361347237</v>
      </c>
      <c r="L129" s="68">
        <f>SUM(L130:L159)</f>
        <v>-1392633499551</v>
      </c>
      <c r="M129" s="296"/>
      <c r="N129" s="69">
        <f>SUM(N130:N159)</f>
        <v>-2041321386797</v>
      </c>
      <c r="O129" s="69">
        <f>SUM(O130:O159)</f>
        <v>2532000</v>
      </c>
      <c r="P129" s="69">
        <f>SUM(P130:P159)</f>
        <v>64555946260</v>
      </c>
      <c r="Q129" s="70">
        <f>SUM(Q130:Q159)</f>
        <v>-1976762908537</v>
      </c>
      <c r="R129" s="298"/>
      <c r="S129" s="175">
        <f t="shared" ref="S129:S159" si="68">L129-Q129</f>
        <v>584129408986</v>
      </c>
      <c r="T129" s="176">
        <f t="shared" ref="T129:T159" si="69">IFERROR(S129/Q129,"To check")</f>
        <v>-0.29549796106722453</v>
      </c>
      <c r="X129" s="947" t="s">
        <v>675</v>
      </c>
      <c r="Y129" s="304"/>
      <c r="Z129" s="235">
        <f>SUM(Z130:Z159)</f>
        <v>-180000</v>
      </c>
      <c r="AA129" s="235">
        <f>SUM(AA130:AA159)</f>
        <v>0</v>
      </c>
      <c r="AB129" s="235">
        <f>SUM(AB130:AB159)</f>
        <v>0</v>
      </c>
      <c r="AC129" s="235">
        <f>SUM(AC130:AC159)</f>
        <v>-180000</v>
      </c>
      <c r="AD129" s="236"/>
      <c r="AE129" s="235">
        <f>SUM(AE130:AE159)</f>
        <v>-348793243</v>
      </c>
      <c r="AF129" s="235">
        <f>SUM(AF130:AF159)</f>
        <v>0</v>
      </c>
      <c r="AG129" s="235">
        <f>SUM(AG130:AG159)</f>
        <v>0</v>
      </c>
      <c r="AH129" s="235">
        <f>SUM(AH130:AH159)</f>
        <v>-348793243</v>
      </c>
      <c r="AI129" s="236"/>
      <c r="AJ129" s="235">
        <f>SUM(AJ130:AJ159)</f>
        <v>0</v>
      </c>
      <c r="AK129" s="235">
        <f>SUM(AK130:AK159)</f>
        <v>0</v>
      </c>
      <c r="AL129" s="235">
        <f>SUM(AL130:AL159)</f>
        <v>0</v>
      </c>
      <c r="AM129" s="236"/>
      <c r="AN129" s="237">
        <f>SUM(AN130:AN159)</f>
        <v>-348973243</v>
      </c>
      <c r="AO129" s="237">
        <f>SUM(AO130:AO159)</f>
        <v>0</v>
      </c>
      <c r="AP129" s="237">
        <f>SUM(AP130:AP159)</f>
        <v>-348973243</v>
      </c>
      <c r="AQ129" s="236"/>
      <c r="AR129" s="235">
        <f>SUM(AR130:AR159)</f>
        <v>0</v>
      </c>
      <c r="AS129" s="235">
        <f>SUM(AS130:AS159)</f>
        <v>0</v>
      </c>
      <c r="AT129" s="235">
        <f>SUM(AT130:AT159)</f>
        <v>0</v>
      </c>
      <c r="AU129" s="236"/>
      <c r="AV129" s="238">
        <f>SUM(AV130:AV159)</f>
        <v>-1392982472794</v>
      </c>
      <c r="AW129" s="238">
        <f>SUM(AW130:AW159)</f>
        <v>16160183</v>
      </c>
      <c r="AX129" s="238">
        <f>SUM(AX130:AX159)</f>
        <v>-1392966312611</v>
      </c>
      <c r="AY129" s="614"/>
      <c r="AZ129" s="235">
        <f>SUM(AZ130:AZ159)</f>
        <v>-828000</v>
      </c>
      <c r="BA129" s="235">
        <f>SUM(BA130:BA159)</f>
        <v>0</v>
      </c>
      <c r="BB129" s="235">
        <f>SUM(BB130:BB159)</f>
        <v>-828000</v>
      </c>
      <c r="BC129" s="236"/>
      <c r="BD129" s="235">
        <f>SUM(BD130:BD159)</f>
        <v>-14399221</v>
      </c>
      <c r="BE129" s="235">
        <f>SUM(BE130:BE159)</f>
        <v>-582000</v>
      </c>
      <c r="BF129" s="235">
        <f>SUM(BF130:BF159)</f>
        <v>-14981221</v>
      </c>
      <c r="BG129" s="236"/>
      <c r="BH129" s="235">
        <f>SUM(BH130:BH159)</f>
        <v>0</v>
      </c>
      <c r="BI129" s="235">
        <f>SUM(BI130:BI159)</f>
        <v>0</v>
      </c>
      <c r="BJ129" s="235">
        <f>SUM(BJ130:BJ159)</f>
        <v>0</v>
      </c>
      <c r="BK129" s="236"/>
      <c r="BL129" s="235">
        <f>SUM(BL130:BL159)</f>
        <v>0</v>
      </c>
      <c r="BM129" s="235">
        <f>SUM(BM130:BM159)</f>
        <v>0</v>
      </c>
      <c r="BN129" s="235">
        <f>SUM(BN130:BN159)</f>
        <v>0</v>
      </c>
      <c r="BO129" s="236"/>
      <c r="BP129" s="443">
        <f>SUM(BP130:BP159)</f>
        <v>-1979596131091</v>
      </c>
      <c r="BQ129" s="443">
        <f>SUM(BQ130:BQ159)</f>
        <v>2674885117</v>
      </c>
      <c r="BR129" s="443">
        <f>SUM(BR130:BR159)</f>
        <v>-1976921245974</v>
      </c>
    </row>
    <row r="130" spans="1:70" ht="12.75">
      <c r="A130" s="850"/>
      <c r="B130" s="939">
        <v>319</v>
      </c>
      <c r="C130" s="940" t="s">
        <v>2330</v>
      </c>
      <c r="D130" s="941" t="s">
        <v>2330</v>
      </c>
      <c r="E130" s="928" t="s">
        <v>171</v>
      </c>
      <c r="F130" s="928" t="s">
        <v>2331</v>
      </c>
      <c r="G130" s="927" t="s">
        <v>2324</v>
      </c>
      <c r="H130" s="927" t="s">
        <v>2265</v>
      </c>
      <c r="I130" s="942">
        <f>SUMIFS('TB.CTy Me.FY2024'!I:I,'TB.CTy Me.FY2024'!A:A,'A0.LS'!E130)</f>
        <v>-2689262212</v>
      </c>
      <c r="J130" s="942">
        <f>ROUND(SUMIFS('A5.FY24'!K:K,'A5.FY24'!E:E,'A0.LS'!E130,'A5.FY24'!L:L,"Finhay",'A5.FY24'!M:M,"Posted"),0)</f>
        <v>0</v>
      </c>
      <c r="K130" s="942">
        <f>ROUND(SUMIFS('A5.FY24'!K:K,'A5.FY24'!E:E,'A0.LS'!E130,'A5.FY24'!L:L,"EY",'A5.FY24'!M:M,"Posted"),0)</f>
        <v>0</v>
      </c>
      <c r="L130" s="943">
        <f t="shared" ref="L130:L159" si="70">ROUND(SUM(I130:K130),0)</f>
        <v>-2689262212</v>
      </c>
      <c r="M130" s="930"/>
      <c r="N130" s="944">
        <f>SUMIFS('TB.CTM.YE23'!I:I,'TB.CTM.YE23'!A:A,'A0.LS'!E130)</f>
        <v>-3324591585</v>
      </c>
      <c r="O130" s="944">
        <v>0</v>
      </c>
      <c r="P130" s="944">
        <v>0</v>
      </c>
      <c r="Q130" s="945">
        <f t="shared" ref="Q130:Q159" si="71">ROUND(SUM(N130:P130),0)</f>
        <v>-3324591585</v>
      </c>
      <c r="R130" s="898"/>
      <c r="S130" s="848">
        <f t="shared" si="68"/>
        <v>635329373</v>
      </c>
      <c r="T130" s="946">
        <f t="shared" si="69"/>
        <v>-0.19109997626971675</v>
      </c>
      <c r="U130" s="850"/>
      <c r="V130" s="850" t="s">
        <v>2332</v>
      </c>
      <c r="W130" s="850"/>
      <c r="X130" s="947" t="s">
        <v>675</v>
      </c>
      <c r="Y130" s="947" t="s">
        <v>2324</v>
      </c>
      <c r="Z130" s="936">
        <f>ROUND(SUMIFS('TB.Cty Con.FY24'!I:I,'TB.Cty Con.FY24'!A:A,'A0.LS'!E130),0)</f>
        <v>0</v>
      </c>
      <c r="AA130" s="936">
        <f>ROUND(SUMIFS('A5.CTC FY24'!K:K,'A5.CTC FY24'!E:E,'A0.LS'!E130,'A5.CTC FY24'!A:A,'A0.LS'!$AA$5,'A5.CTC FY24'!L:L,"Finhay",'A5.CTC FY24'!M:M,"Posted"),0)</f>
        <v>0</v>
      </c>
      <c r="AB130" s="936">
        <f>ROUND(SUMIFS('A5.CTC FY24'!K:K,'A5.CTC FY24'!E:E,'A0.LS'!E130,'A5.CTC FY24'!A:A,'A0.LS'!$AB$5,'A5.CTC FY24'!L:L,"EY",'A5.CTC FY24'!M:M,"Posted"),0)</f>
        <v>0</v>
      </c>
      <c r="AC130" s="948">
        <f t="shared" ref="AC130:AC159" si="72">ROUND(SUM(Z130:AB130),0)</f>
        <v>0</v>
      </c>
      <c r="AD130" s="930"/>
      <c r="AE130" s="936">
        <f>ROUND(SUMIFS('TB VNSC FY24'!M:M,'TB VNSC FY24'!N:N,'A0.LS'!E130),0)</f>
        <v>0</v>
      </c>
      <c r="AF130" s="936">
        <f>SUMIFS('A5.CTC FY24'!K:K,'A5.CTC FY24'!E:E,'A0.LS'!E130,'A5.CTC FY24'!A:A,"VNSC",'A5.CTC FY24'!L:L,"VNSC",'A5.CTC FY24'!M:M,"Posted")</f>
        <v>0</v>
      </c>
      <c r="AG130" s="936">
        <f>ROUND(SUMIFS('A5.CTC FY24'!K:K,'A5.CTC FY24'!E:E,'A0.LS'!E130,'A5.CTC FY24'!A:A,"VNSC",'A5.CTC FY24'!L:L,"EY",'A5.CTC FY24'!M:M,"Posted"),0)</f>
        <v>0</v>
      </c>
      <c r="AH130" s="936">
        <f t="shared" ref="AH130:AH159" si="73">ROUND(SUM(AE130:AG130),0)</f>
        <v>0</v>
      </c>
      <c r="AI130" s="930"/>
      <c r="AJ130" s="936">
        <f>SUMIFS('TB.KCG.FY24'!I:I,'TB.KCG.FY24'!A:A,'A0.LS'!E130)</f>
        <v>0</v>
      </c>
      <c r="AK130" s="936">
        <f>ROUND(SUMIFS('A5.CTC FY24'!K:K,'A5.CTC FY24'!E:E,'A0.LS'!E130,'A5.CTC FY24'!A:A,'A0.LS'!$AK$5,'A5.CTC FY24'!L:L,"EY",'A5.CTC FY24'!M:M,"Posted"),0)</f>
        <v>0</v>
      </c>
      <c r="AL130" s="948">
        <f t="shared" ref="AL130:AL159" si="74">ROUND(SUM(AJ130:AK130),0)</f>
        <v>0</v>
      </c>
      <c r="AM130" s="930"/>
      <c r="AN130" s="949">
        <f t="shared" ref="AN130:AN159" si="75">ROUND(SUM(AT130,AH130,AC130),0)</f>
        <v>0</v>
      </c>
      <c r="AO130" s="950">
        <f>ROUND(SUMIFS('A5.Consol FY24'!L:L,'A5.Consol FY24'!M:M,"EY",'A5.Consol FY24'!N:N,"Posted",'A5.Consol FY24'!B:B,'A0.LS'!$AO$5,'A5.Consol FY24'!F:F,'A0.LS'!E130),0)</f>
        <v>0</v>
      </c>
      <c r="AP130" s="949">
        <f t="shared" ref="AP130:AP159" si="76">ROUND(SUM(AN130:AO130),0)</f>
        <v>0</v>
      </c>
      <c r="AQ130" s="930"/>
      <c r="AR130" s="936">
        <f>ROUND(SUMIFS('TB.XH.FY24'!I:I,'TB.XH.FY24'!J:J,'A0.LS'!E130),0)</f>
        <v>0</v>
      </c>
      <c r="AS130" s="936">
        <f>ROUND(SUMIFS('A5.CTC FY24'!K:K,'A5.CTC FY24'!E:E,'A0.LS'!E130,'A5.CTC FY24'!A:A,'A0.LS'!$AS$5,'A5.CTC FY24'!L:L,"EY",'A5.CTC FY24'!M:M,"Posted"),0)</f>
        <v>0</v>
      </c>
      <c r="AT130" s="948">
        <f t="shared" ref="AT130:AT159" si="77">ROUND(SUM(AR130:AS130),0)</f>
        <v>0</v>
      </c>
      <c r="AU130" s="930"/>
      <c r="AV130" s="951">
        <f t="shared" ref="AV130:AV159" si="78">ROUND(SUM(AP130,AL130,L130),0)</f>
        <v>-2689262212</v>
      </c>
      <c r="AW130" s="952">
        <f>SUMIFS('A5.Consol FY24'!L:L,'A5.Consol FY24'!B:B,'A0.LS'!$AW$5,'A5.Consol FY24'!M:M,"EY",'A5.Consol FY24'!N:N,"Posted",'A5.Consol FY24'!F:F,'A0.LS'!E130)</f>
        <v>0</v>
      </c>
      <c r="AX130" s="951">
        <f t="shared" ref="AX130:AX159" si="79">ROUND(SUM(AV130:AW130),0)</f>
        <v>-2689262212</v>
      </c>
      <c r="AY130" s="920"/>
      <c r="AZ130" s="936">
        <f>SUMIFS('TB.CTC.YE22'!Q:Q,'TB.CTC.YE22'!A:A,'A0.LS'!E130)</f>
        <v>0</v>
      </c>
      <c r="BA130" s="936">
        <f>ROUND(SUMIFS('A5.YE22'!J:J,'A5.YE22'!K:K,'A0.LS'!$BA$5,'A5.YE22'!L:L,"Posted",'A5.YE22'!D:D,'A0.LS'!E130),0)</f>
        <v>0</v>
      </c>
      <c r="BB130" s="936">
        <f t="shared" ref="BB130:BB159" si="80">ROUND(SUM(AZ130:BA130),0)</f>
        <v>0</v>
      </c>
      <c r="BC130" s="937"/>
      <c r="BD130" s="936">
        <f>ROUND(SUMIFS('TB.VNSC.YE22'!L:L,'TB.VNSC.YE22'!A:A,'A0.LS'!E130),0)</f>
        <v>0</v>
      </c>
      <c r="BE130" s="936">
        <f>ROUND(SUMIFS('A5.YE22'!J:J,'A5.YE22'!K:K,'A0.LS'!$BE$5,'A5.YE22'!L:L,"Posted",'A5.YE22'!D:D,'A0.LS'!E130),0)</f>
        <v>0</v>
      </c>
      <c r="BF130" s="936">
        <f t="shared" ref="BF130:BF159" si="81">ROUND(SUM(BD130:BE130),0)</f>
        <v>0</v>
      </c>
      <c r="BG130" s="937"/>
      <c r="BH130" s="936">
        <f>ROUND(SUMIFS('TB.XH.YE22'!P:P,'TB.XH.YE22'!A:A,'A0.LS'!E130),0)</f>
        <v>0</v>
      </c>
      <c r="BI130" s="936">
        <f>ROUND(SUMIFS('A5.YE22'!J:J,'A5.YE22'!K:K,"XH",'A5.YE22'!L:L,"Posted",'A5.YE22'!D:D,'A0.LS'!E130),0)</f>
        <v>0</v>
      </c>
      <c r="BJ130" s="936">
        <f t="shared" ref="BJ130:BJ159" si="82">ROUND(SUM(BH130:BI130),0)</f>
        <v>0</v>
      </c>
      <c r="BK130" s="937"/>
      <c r="BL130" s="936">
        <f>ROUND(SUMIFS('TB.KCG.YE22'!P:P,'TB.KCG.YE22'!A:A,'A0.LS'!E130),0)</f>
        <v>0</v>
      </c>
      <c r="BM130" s="936">
        <f>ROUND(SUMIFS('A5.YE22'!J:J,'A5.YE22'!K:K,'A0.LS'!$BM$5,'A5.YE22'!L:L,"Posted",'A5.YE22'!D:D,'A0.LS'!E130),0)</f>
        <v>0</v>
      </c>
      <c r="BN130" s="936">
        <f t="shared" ref="BN130:BN159" si="83">ROUND(SUM(BL130:BM130),0)</f>
        <v>0</v>
      </c>
      <c r="BO130" s="937"/>
      <c r="BP130" s="938">
        <v>-3324591585</v>
      </c>
      <c r="BQ130" s="938">
        <f>ROUND(SUMIFS('A5.YE22'!J:J,'A5.YE22'!K:K,'A0.LS'!$BQ$5,'A5.YE22'!L:L,"Posted",'A5.YE22'!D:D,'A0.LS'!E130),0)</f>
        <v>0</v>
      </c>
      <c r="BR130" s="938">
        <f t="shared" ref="BR130:BR159" si="84">ROUND(SUM(BP130:BQ130),0)</f>
        <v>-3324591585</v>
      </c>
    </row>
    <row r="131" spans="1:70" ht="12.75">
      <c r="A131" s="850" t="s">
        <v>681</v>
      </c>
      <c r="B131" s="939">
        <v>319</v>
      </c>
      <c r="C131" s="940" t="s">
        <v>2333</v>
      </c>
      <c r="D131" s="941" t="s">
        <v>2333</v>
      </c>
      <c r="E131" s="928" t="s">
        <v>173</v>
      </c>
      <c r="F131" s="928" t="s">
        <v>174</v>
      </c>
      <c r="G131" s="927" t="s">
        <v>2206</v>
      </c>
      <c r="H131" s="927" t="s">
        <v>675</v>
      </c>
      <c r="I131" s="942">
        <f>SUMIFS('TB.CTy Me.FY2024'!I:I,'TB.CTy Me.FY2024'!A:A,'A0.LS'!E131)</f>
        <v>-133110707484</v>
      </c>
      <c r="J131" s="942">
        <f>ROUND(SUMIFS('A5.FY24'!K:K,'A5.FY24'!E:E,'A0.LS'!E131,'A5.FY24'!L:L,"Finhay",'A5.FY24'!M:M,"Posted"),0)</f>
        <v>0</v>
      </c>
      <c r="K131" s="942">
        <f>ROUND(SUMIFS('A5.FY24'!K:K,'A5.FY24'!E:E,'A0.LS'!E131,'A5.FY24'!L:L,"EY",'A5.FY24'!M:M,"Posted"),0)</f>
        <v>-4674319791</v>
      </c>
      <c r="L131" s="943">
        <f>ROUND(SUM(I131:K131),0)</f>
        <v>-137785027275</v>
      </c>
      <c r="M131" s="930"/>
      <c r="N131" s="944">
        <f>SUMIFS('TB.CTM.YE23'!I:I,'TB.CTM.YE23'!A:A,'A0.LS'!E131)</f>
        <v>-312839154215</v>
      </c>
      <c r="O131" s="944">
        <v>545896355</v>
      </c>
      <c r="P131" s="944">
        <v>75626037400</v>
      </c>
      <c r="Q131" s="945">
        <f t="shared" si="71"/>
        <v>-236667220460</v>
      </c>
      <c r="R131" s="898"/>
      <c r="S131" s="848">
        <f t="shared" si="68"/>
        <v>98882193185</v>
      </c>
      <c r="T131" s="946">
        <f t="shared" si="69"/>
        <v>-0.41781110621406248</v>
      </c>
      <c r="U131" s="850"/>
      <c r="V131" s="850" t="s">
        <v>2334</v>
      </c>
      <c r="W131" s="850"/>
      <c r="X131" s="947" t="s">
        <v>675</v>
      </c>
      <c r="Y131" s="947" t="s">
        <v>2324</v>
      </c>
      <c r="Z131" s="936">
        <f>ROUND(SUMIFS('TB.Cty Con.FY24'!I:I,'TB.Cty Con.FY24'!A:A,'A0.LS'!E131),0)</f>
        <v>0</v>
      </c>
      <c r="AA131" s="936">
        <f>ROUND(SUMIFS('A5.CTC FY24'!K:K,'A5.CTC FY24'!E:E,'A0.LS'!E131,'A5.CTC FY24'!A:A,'A0.LS'!$AA$5,'A5.CTC FY24'!L:L,"Finhay",'A5.CTC FY24'!M:M,"Posted"),0)</f>
        <v>0</v>
      </c>
      <c r="AB131" s="936">
        <f>ROUND(SUMIFS('A5.CTC FY24'!K:K,'A5.CTC FY24'!E:E,'A0.LS'!E131,'A5.CTC FY24'!A:A,'A0.LS'!$AB$5,'A5.CTC FY24'!L:L,"EY",'A5.CTC FY24'!M:M,"Posted"),0)</f>
        <v>0</v>
      </c>
      <c r="AC131" s="948">
        <f t="shared" si="72"/>
        <v>0</v>
      </c>
      <c r="AD131" s="930"/>
      <c r="AE131" s="936">
        <f>ROUND(SUMIFS('TB VNSC FY24'!M:M,'TB VNSC FY24'!N:N,'A0.LS'!E131),0)</f>
        <v>0</v>
      </c>
      <c r="AF131" s="936">
        <f>SUMIFS('A5.CTC FY24'!K:K,'A5.CTC FY24'!E:E,'A0.LS'!E131,'A5.CTC FY24'!A:A,"VNSC",'A5.CTC FY24'!L:L,"VNSC",'A5.CTC FY24'!M:M,"Posted")</f>
        <v>0</v>
      </c>
      <c r="AG131" s="936">
        <f>ROUND(SUMIFS('A5.CTC FY24'!K:K,'A5.CTC FY24'!E:E,'A0.LS'!E131,'A5.CTC FY24'!A:A,"VNSC",'A5.CTC FY24'!L:L,"EY",'A5.CTC FY24'!M:M,"Posted"),0)</f>
        <v>0</v>
      </c>
      <c r="AH131" s="936">
        <f t="shared" si="73"/>
        <v>0</v>
      </c>
      <c r="AI131" s="930"/>
      <c r="AJ131" s="936">
        <f>SUMIFS('TB.KCG.FY24'!I:I,'TB.KCG.FY24'!A:A,'A0.LS'!E131)</f>
        <v>0</v>
      </c>
      <c r="AK131" s="936">
        <f>ROUND(SUMIFS('A5.CTC FY24'!K:K,'A5.CTC FY24'!E:E,'A0.LS'!E131,'A5.CTC FY24'!A:A,'A0.LS'!$AK$5,'A5.CTC FY24'!L:L,"EY",'A5.CTC FY24'!M:M,"Posted"),0)</f>
        <v>0</v>
      </c>
      <c r="AL131" s="948">
        <f t="shared" si="74"/>
        <v>0</v>
      </c>
      <c r="AM131" s="930"/>
      <c r="AN131" s="949">
        <f t="shared" si="75"/>
        <v>0</v>
      </c>
      <c r="AO131" s="950">
        <f>ROUND(SUMIFS('A5.Consol FY24'!L:L,'A5.Consol FY24'!M:M,"EY",'A5.Consol FY24'!N:N,"Posted",'A5.Consol FY24'!B:B,'A0.LS'!$AO$5,'A5.Consol FY24'!F:F,'A0.LS'!E131),0)</f>
        <v>0</v>
      </c>
      <c r="AP131" s="949">
        <f t="shared" si="76"/>
        <v>0</v>
      </c>
      <c r="AQ131" s="930"/>
      <c r="AR131" s="936">
        <f>ROUND(SUMIFS('TB.XH.FY24'!I:I,'TB.XH.FY24'!J:J,'A0.LS'!E131),0)</f>
        <v>0</v>
      </c>
      <c r="AS131" s="936">
        <f>ROUND(SUMIFS('A5.CTC FY24'!K:K,'A5.CTC FY24'!E:E,'A0.LS'!E131,'A5.CTC FY24'!A:A,'A0.LS'!$AS$5,'A5.CTC FY24'!L:L,"EY",'A5.CTC FY24'!M:M,"Posted"),0)</f>
        <v>0</v>
      </c>
      <c r="AT131" s="948">
        <f t="shared" si="77"/>
        <v>0</v>
      </c>
      <c r="AU131" s="930"/>
      <c r="AV131" s="951">
        <f t="shared" si="78"/>
        <v>-137785027275</v>
      </c>
      <c r="AW131" s="952">
        <f>SUMIFS('A5.Consol FY24'!L:L,'A5.Consol FY24'!B:B,'A0.LS'!$AW$5,'A5.Consol FY24'!M:M,"EY",'A5.Consol FY24'!N:N,"Posted",'A5.Consol FY24'!F:F,'A0.LS'!E131)</f>
        <v>0</v>
      </c>
      <c r="AX131" s="951">
        <f t="shared" si="79"/>
        <v>-137785027275</v>
      </c>
      <c r="AY131" s="920"/>
      <c r="AZ131" s="936">
        <f>SUMIFS('TB.CTC.YE22'!Q:Q,'TB.CTC.YE22'!A:A,'A0.LS'!E131)</f>
        <v>0</v>
      </c>
      <c r="BA131" s="936">
        <f>ROUND(SUMIFS('A5.YE22'!J:J,'A5.YE22'!K:K,'A0.LS'!$BA$5,'A5.YE22'!L:L,"Posted",'A5.YE22'!D:D,'A0.LS'!E131),0)</f>
        <v>0</v>
      </c>
      <c r="BB131" s="936">
        <f t="shared" si="80"/>
        <v>0</v>
      </c>
      <c r="BC131" s="937"/>
      <c r="BD131" s="936">
        <f>ROUND(SUMIFS('TB.VNSC.YE22'!L:L,'TB.VNSC.YE22'!A:A,'A0.LS'!E131),0)</f>
        <v>0</v>
      </c>
      <c r="BE131" s="936">
        <f>ROUND(SUMIFS('A5.YE22'!J:J,'A5.YE22'!K:K,'A0.LS'!$BE$5,'A5.YE22'!L:L,"Posted",'A5.YE22'!D:D,'A0.LS'!E131),0)</f>
        <v>0</v>
      </c>
      <c r="BF131" s="936">
        <f t="shared" si="81"/>
        <v>0</v>
      </c>
      <c r="BG131" s="937"/>
      <c r="BH131" s="936">
        <f>ROUND(SUMIFS('TB.XH.YE22'!P:P,'TB.XH.YE22'!A:A,'A0.LS'!E131),0)</f>
        <v>0</v>
      </c>
      <c r="BI131" s="936">
        <f>ROUND(SUMIFS('A5.YE22'!J:J,'A5.YE22'!K:K,"XH",'A5.YE22'!L:L,"Posted",'A5.YE22'!D:D,'A0.LS'!E131),0)</f>
        <v>0</v>
      </c>
      <c r="BJ131" s="936">
        <f t="shared" si="82"/>
        <v>0</v>
      </c>
      <c r="BK131" s="937"/>
      <c r="BL131" s="936">
        <f>ROUND(SUMIFS('TB.KCG.YE22'!P:P,'TB.KCG.YE22'!A:A,'A0.LS'!E131),0)</f>
        <v>0</v>
      </c>
      <c r="BM131" s="936">
        <f>ROUND(SUMIFS('A5.YE22'!J:J,'A5.YE22'!K:K,'A0.LS'!$BM$5,'A5.YE22'!L:L,"Posted",'A5.YE22'!D:D,'A0.LS'!E131),0)</f>
        <v>0</v>
      </c>
      <c r="BN131" s="936">
        <f t="shared" si="83"/>
        <v>0</v>
      </c>
      <c r="BO131" s="937"/>
      <c r="BP131" s="938">
        <v>-236667220460</v>
      </c>
      <c r="BQ131" s="938">
        <f>ROUND(SUMIFS('A5.YE22'!J:J,'A5.YE22'!K:K,'A0.LS'!$BQ$5,'A5.YE22'!L:L,"Posted",'A5.YE22'!D:D,'A0.LS'!E131),0)</f>
        <v>0</v>
      </c>
      <c r="BR131" s="938">
        <f t="shared" si="84"/>
        <v>-236667220460</v>
      </c>
    </row>
    <row r="132" spans="1:70" ht="12.75">
      <c r="A132" s="850" t="s">
        <v>681</v>
      </c>
      <c r="B132" s="939">
        <v>319</v>
      </c>
      <c r="C132" s="940" t="s">
        <v>2335</v>
      </c>
      <c r="D132" s="941" t="s">
        <v>2335</v>
      </c>
      <c r="E132" s="928" t="s">
        <v>177</v>
      </c>
      <c r="F132" s="928" t="s">
        <v>178</v>
      </c>
      <c r="G132" s="927" t="s">
        <v>2206</v>
      </c>
      <c r="H132" s="927" t="s">
        <v>675</v>
      </c>
      <c r="I132" s="942">
        <f>SUMIFS('TB.CTy Me.FY2024'!I:I,'TB.CTy Me.FY2024'!A:A,'A0.LS'!E132)</f>
        <v>-42683171389</v>
      </c>
      <c r="J132" s="942">
        <f>ROUND(SUMIFS('A5.FY24'!K:K,'A5.FY24'!E:E,'A0.LS'!E132,'A5.FY24'!L:L,"Finhay",'A5.FY24'!M:M,"Posted"),0)</f>
        <v>0</v>
      </c>
      <c r="K132" s="942">
        <f>ROUND(SUMIFS('A5.FY24'!K:K,'A5.FY24'!E:E,'A0.LS'!E132,'A5.FY24'!L:L,"EY",'A5.FY24'!M:M,"Posted"),0)</f>
        <v>1818849346</v>
      </c>
      <c r="L132" s="943">
        <f t="shared" si="70"/>
        <v>-40864322043</v>
      </c>
      <c r="M132" s="930"/>
      <c r="N132" s="944">
        <f>SUMIFS('TB.CTM.YE23'!I:I,'TB.CTM.YE23'!A:A,'A0.LS'!E132)</f>
        <v>-62663747872</v>
      </c>
      <c r="O132" s="944">
        <v>0</v>
      </c>
      <c r="P132" s="944">
        <v>-8395206023</v>
      </c>
      <c r="Q132" s="945">
        <f t="shared" si="71"/>
        <v>-71058953895</v>
      </c>
      <c r="R132" s="898"/>
      <c r="S132" s="848">
        <f t="shared" si="68"/>
        <v>30194631852</v>
      </c>
      <c r="T132" s="946">
        <f t="shared" si="69"/>
        <v>-0.42492367529948422</v>
      </c>
      <c r="U132" s="850"/>
      <c r="V132" s="850" t="s">
        <v>2334</v>
      </c>
      <c r="W132" s="850"/>
      <c r="X132" s="947" t="s">
        <v>675</v>
      </c>
      <c r="Y132" s="947" t="s">
        <v>2324</v>
      </c>
      <c r="Z132" s="936">
        <f>ROUND(SUMIFS('TB.Cty Con.FY24'!I:I,'TB.Cty Con.FY24'!A:A,'A0.LS'!E132),0)</f>
        <v>0</v>
      </c>
      <c r="AA132" s="936">
        <f>ROUND(SUMIFS('A5.CTC FY24'!K:K,'A5.CTC FY24'!E:E,'A0.LS'!E132,'A5.CTC FY24'!A:A,'A0.LS'!$AA$5,'A5.CTC FY24'!L:L,"Finhay",'A5.CTC FY24'!M:M,"Posted"),0)</f>
        <v>0</v>
      </c>
      <c r="AB132" s="936">
        <f>ROUND(SUMIFS('A5.CTC FY24'!K:K,'A5.CTC FY24'!E:E,'A0.LS'!E132,'A5.CTC FY24'!A:A,'A0.LS'!$AB$5,'A5.CTC FY24'!L:L,"EY",'A5.CTC FY24'!M:M,"Posted"),0)</f>
        <v>0</v>
      </c>
      <c r="AC132" s="948">
        <f t="shared" si="72"/>
        <v>0</v>
      </c>
      <c r="AD132" s="930"/>
      <c r="AE132" s="936">
        <f>ROUND(SUMIFS('TB VNSC FY24'!M:M,'TB VNSC FY24'!N:N,'A0.LS'!E132),0)</f>
        <v>0</v>
      </c>
      <c r="AF132" s="936">
        <f>SUMIFS('A5.CTC FY24'!K:K,'A5.CTC FY24'!E:E,'A0.LS'!E132,'A5.CTC FY24'!A:A,"VNSC",'A5.CTC FY24'!L:L,"VNSC",'A5.CTC FY24'!M:M,"Posted")</f>
        <v>0</v>
      </c>
      <c r="AG132" s="936">
        <f>ROUND(SUMIFS('A5.CTC FY24'!K:K,'A5.CTC FY24'!E:E,'A0.LS'!E132,'A5.CTC FY24'!A:A,"VNSC",'A5.CTC FY24'!L:L,"EY",'A5.CTC FY24'!M:M,"Posted"),0)</f>
        <v>0</v>
      </c>
      <c r="AH132" s="936">
        <f t="shared" si="73"/>
        <v>0</v>
      </c>
      <c r="AI132" s="930"/>
      <c r="AJ132" s="936">
        <f>SUMIFS('TB.KCG.FY24'!I:I,'TB.KCG.FY24'!A:A,'A0.LS'!E132)</f>
        <v>0</v>
      </c>
      <c r="AK132" s="936">
        <f>ROUND(SUMIFS('A5.CTC FY24'!K:K,'A5.CTC FY24'!E:E,'A0.LS'!E132,'A5.CTC FY24'!A:A,'A0.LS'!$AK$5,'A5.CTC FY24'!L:L,"EY",'A5.CTC FY24'!M:M,"Posted"),0)</f>
        <v>0</v>
      </c>
      <c r="AL132" s="948">
        <f t="shared" si="74"/>
        <v>0</v>
      </c>
      <c r="AM132" s="930"/>
      <c r="AN132" s="949">
        <f t="shared" si="75"/>
        <v>0</v>
      </c>
      <c r="AO132" s="950">
        <f>ROUND(SUMIFS('A5.Consol FY24'!L:L,'A5.Consol FY24'!M:M,"EY",'A5.Consol FY24'!N:N,"Posted",'A5.Consol FY24'!B:B,'A0.LS'!$AO$5,'A5.Consol FY24'!F:F,'A0.LS'!E132),0)</f>
        <v>0</v>
      </c>
      <c r="AP132" s="949">
        <f t="shared" si="76"/>
        <v>0</v>
      </c>
      <c r="AQ132" s="930"/>
      <c r="AR132" s="936">
        <f>ROUND(SUMIFS('TB.XH.FY24'!I:I,'TB.XH.FY24'!J:J,'A0.LS'!E132),0)</f>
        <v>0</v>
      </c>
      <c r="AS132" s="936">
        <f>ROUND(SUMIFS('A5.CTC FY24'!K:K,'A5.CTC FY24'!E:E,'A0.LS'!E132,'A5.CTC FY24'!A:A,'A0.LS'!$AS$5,'A5.CTC FY24'!L:L,"EY",'A5.CTC FY24'!M:M,"Posted"),0)</f>
        <v>0</v>
      </c>
      <c r="AT132" s="948">
        <f t="shared" si="77"/>
        <v>0</v>
      </c>
      <c r="AU132" s="930"/>
      <c r="AV132" s="951">
        <f t="shared" si="78"/>
        <v>-40864322043</v>
      </c>
      <c r="AW132" s="952">
        <f>SUMIFS('A5.Consol FY24'!L:L,'A5.Consol FY24'!B:B,'A0.LS'!$AW$5,'A5.Consol FY24'!M:M,"EY",'A5.Consol FY24'!N:N,"Posted",'A5.Consol FY24'!F:F,'A0.LS'!E132)</f>
        <v>0</v>
      </c>
      <c r="AX132" s="951">
        <f t="shared" si="79"/>
        <v>-40864322043</v>
      </c>
      <c r="AY132" s="920"/>
      <c r="AZ132" s="936">
        <f>SUMIFS('TB.CTC.YE22'!Q:Q,'TB.CTC.YE22'!A:A,'A0.LS'!E132)</f>
        <v>0</v>
      </c>
      <c r="BA132" s="936">
        <f>ROUND(SUMIFS('A5.YE22'!J:J,'A5.YE22'!K:K,'A0.LS'!$BA$5,'A5.YE22'!L:L,"Posted",'A5.YE22'!D:D,'A0.LS'!E132),0)</f>
        <v>0</v>
      </c>
      <c r="BB132" s="936">
        <f t="shared" si="80"/>
        <v>0</v>
      </c>
      <c r="BC132" s="937"/>
      <c r="BD132" s="936">
        <f>ROUND(SUMIFS('TB.VNSC.YE22'!L:L,'TB.VNSC.YE22'!A:A,'A0.LS'!E132),0)</f>
        <v>0</v>
      </c>
      <c r="BE132" s="936">
        <f>ROUND(SUMIFS('A5.YE22'!J:J,'A5.YE22'!K:K,'A0.LS'!$BE$5,'A5.YE22'!L:L,"Posted",'A5.YE22'!D:D,'A0.LS'!E132),0)</f>
        <v>0</v>
      </c>
      <c r="BF132" s="936">
        <f t="shared" si="81"/>
        <v>0</v>
      </c>
      <c r="BG132" s="937"/>
      <c r="BH132" s="936">
        <f>ROUND(SUMIFS('TB.XH.YE22'!P:P,'TB.XH.YE22'!A:A,'A0.LS'!E132),0)</f>
        <v>0</v>
      </c>
      <c r="BI132" s="936">
        <f>ROUND(SUMIFS('A5.YE22'!J:J,'A5.YE22'!K:K,"XH",'A5.YE22'!L:L,"Posted",'A5.YE22'!D:D,'A0.LS'!E132),0)</f>
        <v>0</v>
      </c>
      <c r="BJ132" s="936">
        <f t="shared" si="82"/>
        <v>0</v>
      </c>
      <c r="BK132" s="937"/>
      <c r="BL132" s="936">
        <f>ROUND(SUMIFS('TB.KCG.YE22'!P:P,'TB.KCG.YE22'!A:A,'A0.LS'!E132),0)</f>
        <v>0</v>
      </c>
      <c r="BM132" s="936">
        <f>ROUND(SUMIFS('A5.YE22'!J:J,'A5.YE22'!K:K,'A0.LS'!$BM$5,'A5.YE22'!L:L,"Posted",'A5.YE22'!D:D,'A0.LS'!E132),0)</f>
        <v>0</v>
      </c>
      <c r="BN132" s="936">
        <f t="shared" si="83"/>
        <v>0</v>
      </c>
      <c r="BO132" s="937"/>
      <c r="BP132" s="938">
        <v>-71058953895</v>
      </c>
      <c r="BQ132" s="938">
        <f>ROUND(SUMIFS('A5.YE22'!J:J,'A5.YE22'!K:K,'A0.LS'!$BQ$5,'A5.YE22'!L:L,"Posted",'A5.YE22'!D:D,'A0.LS'!E132),0)</f>
        <v>0</v>
      </c>
      <c r="BR132" s="938">
        <f t="shared" si="84"/>
        <v>-71058953895</v>
      </c>
    </row>
    <row r="133" spans="1:70" ht="12.75">
      <c r="A133" s="850"/>
      <c r="B133" s="939">
        <v>319</v>
      </c>
      <c r="C133" s="940" t="s">
        <v>2335</v>
      </c>
      <c r="D133" s="941" t="s">
        <v>2335</v>
      </c>
      <c r="E133" s="928" t="s">
        <v>179</v>
      </c>
      <c r="F133" s="928" t="s">
        <v>180</v>
      </c>
      <c r="G133" s="927" t="s">
        <v>2206</v>
      </c>
      <c r="H133" s="927" t="s">
        <v>675</v>
      </c>
      <c r="I133" s="942">
        <f>SUMIFS('TB.CTy Me.FY2024'!I:I,'TB.CTy Me.FY2024'!A:A,'A0.LS'!E133)</f>
        <v>-29308809</v>
      </c>
      <c r="J133" s="942">
        <f>ROUND(SUMIFS('A5.FY24'!K:K,'A5.FY24'!E:E,'A0.LS'!E133,'A5.FY24'!L:L,"Finhay",'A5.FY24'!M:M,"Posted"),0)</f>
        <v>0</v>
      </c>
      <c r="K133" s="942">
        <f>ROUND(SUMIFS('A5.FY24'!K:K,'A5.FY24'!E:E,'A0.LS'!E133,'A5.FY24'!L:L,"EY",'A5.FY24'!M:M,"Posted"),0)</f>
        <v>0</v>
      </c>
      <c r="L133" s="943">
        <f t="shared" si="70"/>
        <v>-29308809</v>
      </c>
      <c r="M133" s="930"/>
      <c r="N133" s="944">
        <f>SUMIFS('TB.CTM.YE23'!I:I,'TB.CTM.YE23'!A:A,'A0.LS'!E133)</f>
        <v>-55153781</v>
      </c>
      <c r="O133" s="944">
        <v>0</v>
      </c>
      <c r="P133" s="944">
        <v>0</v>
      </c>
      <c r="Q133" s="945">
        <f t="shared" si="71"/>
        <v>-55153781</v>
      </c>
      <c r="R133" s="898"/>
      <c r="S133" s="848">
        <f t="shared" si="68"/>
        <v>25844972</v>
      </c>
      <c r="T133" s="946">
        <f t="shared" si="69"/>
        <v>-0.4685983722494021</v>
      </c>
      <c r="U133" s="850"/>
      <c r="V133" s="850" t="s">
        <v>2332</v>
      </c>
      <c r="W133" s="850"/>
      <c r="X133" s="947" t="s">
        <v>675</v>
      </c>
      <c r="Y133" s="947" t="s">
        <v>2324</v>
      </c>
      <c r="Z133" s="936">
        <f>ROUND(SUMIFS('TB.Cty Con.FY24'!I:I,'TB.Cty Con.FY24'!A:A,'A0.LS'!E133),0)</f>
        <v>0</v>
      </c>
      <c r="AA133" s="936">
        <f>ROUND(SUMIFS('A5.CTC FY24'!K:K,'A5.CTC FY24'!E:E,'A0.LS'!E133,'A5.CTC FY24'!A:A,'A0.LS'!$AA$5,'A5.CTC FY24'!L:L,"Finhay",'A5.CTC FY24'!M:M,"Posted"),0)</f>
        <v>0</v>
      </c>
      <c r="AB133" s="936">
        <f>ROUND(SUMIFS('A5.CTC FY24'!K:K,'A5.CTC FY24'!E:E,'A0.LS'!E133,'A5.CTC FY24'!A:A,'A0.LS'!$AB$5,'A5.CTC FY24'!L:L,"EY",'A5.CTC FY24'!M:M,"Posted"),0)</f>
        <v>0</v>
      </c>
      <c r="AC133" s="948">
        <f t="shared" si="72"/>
        <v>0</v>
      </c>
      <c r="AD133" s="930"/>
      <c r="AE133" s="936">
        <f>ROUND(SUMIFS('TB VNSC FY24'!M:M,'TB VNSC FY24'!N:N,'A0.LS'!E133),0)</f>
        <v>0</v>
      </c>
      <c r="AF133" s="936">
        <f>SUMIFS('A5.CTC FY24'!K:K,'A5.CTC FY24'!E:E,'A0.LS'!E133,'A5.CTC FY24'!A:A,"VNSC",'A5.CTC FY24'!L:L,"VNSC",'A5.CTC FY24'!M:M,"Posted")</f>
        <v>0</v>
      </c>
      <c r="AG133" s="936">
        <f>ROUND(SUMIFS('A5.CTC FY24'!K:K,'A5.CTC FY24'!E:E,'A0.LS'!E133,'A5.CTC FY24'!A:A,"VNSC",'A5.CTC FY24'!L:L,"EY",'A5.CTC FY24'!M:M,"Posted"),0)</f>
        <v>0</v>
      </c>
      <c r="AH133" s="936">
        <f t="shared" si="73"/>
        <v>0</v>
      </c>
      <c r="AI133" s="930"/>
      <c r="AJ133" s="936">
        <f>SUMIFS('TB.KCG.FY24'!I:I,'TB.KCG.FY24'!A:A,'A0.LS'!E133)</f>
        <v>0</v>
      </c>
      <c r="AK133" s="936">
        <f>ROUND(SUMIFS('A5.CTC FY24'!K:K,'A5.CTC FY24'!E:E,'A0.LS'!E133,'A5.CTC FY24'!A:A,'A0.LS'!$AK$5,'A5.CTC FY24'!L:L,"EY",'A5.CTC FY24'!M:M,"Posted"),0)</f>
        <v>0</v>
      </c>
      <c r="AL133" s="948">
        <f t="shared" si="74"/>
        <v>0</v>
      </c>
      <c r="AM133" s="930"/>
      <c r="AN133" s="949">
        <f t="shared" si="75"/>
        <v>0</v>
      </c>
      <c r="AO133" s="950">
        <f>ROUND(SUMIFS('A5.Consol FY24'!L:L,'A5.Consol FY24'!M:M,"EY",'A5.Consol FY24'!N:N,"Posted",'A5.Consol FY24'!B:B,'A0.LS'!$AO$5,'A5.Consol FY24'!F:F,'A0.LS'!E133),0)</f>
        <v>0</v>
      </c>
      <c r="AP133" s="949">
        <f t="shared" si="76"/>
        <v>0</v>
      </c>
      <c r="AQ133" s="930"/>
      <c r="AR133" s="936">
        <f>ROUND(SUMIFS('TB.XH.FY24'!I:I,'TB.XH.FY24'!J:J,'A0.LS'!E133),0)</f>
        <v>0</v>
      </c>
      <c r="AS133" s="936">
        <f>ROUND(SUMIFS('A5.CTC FY24'!K:K,'A5.CTC FY24'!E:E,'A0.LS'!E133,'A5.CTC FY24'!A:A,'A0.LS'!$AS$5,'A5.CTC FY24'!L:L,"EY",'A5.CTC FY24'!M:M,"Posted"),0)</f>
        <v>0</v>
      </c>
      <c r="AT133" s="948">
        <f t="shared" si="77"/>
        <v>0</v>
      </c>
      <c r="AU133" s="930"/>
      <c r="AV133" s="951">
        <f t="shared" si="78"/>
        <v>-29308809</v>
      </c>
      <c r="AW133" s="952">
        <f>SUMIFS('A5.Consol FY24'!L:L,'A5.Consol FY24'!B:B,'A0.LS'!$AW$5,'A5.Consol FY24'!M:M,"EY",'A5.Consol FY24'!N:N,"Posted",'A5.Consol FY24'!F:F,'A0.LS'!E133)</f>
        <v>0</v>
      </c>
      <c r="AX133" s="951">
        <f t="shared" si="79"/>
        <v>-29308809</v>
      </c>
      <c r="AY133" s="920"/>
      <c r="AZ133" s="936">
        <f>SUMIFS('TB.CTC.YE22'!Q:Q,'TB.CTC.YE22'!A:A,'A0.LS'!E133)</f>
        <v>0</v>
      </c>
      <c r="BA133" s="936">
        <f>ROUND(SUMIFS('A5.YE22'!J:J,'A5.YE22'!K:K,'A0.LS'!$BA$5,'A5.YE22'!L:L,"Posted",'A5.YE22'!D:D,'A0.LS'!E133),0)</f>
        <v>0</v>
      </c>
      <c r="BB133" s="936">
        <f t="shared" si="80"/>
        <v>0</v>
      </c>
      <c r="BC133" s="937"/>
      <c r="BD133" s="936">
        <f>ROUND(SUMIFS('TB.VNSC.YE22'!L:L,'TB.VNSC.YE22'!A:A,'A0.LS'!E133),0)</f>
        <v>0</v>
      </c>
      <c r="BE133" s="936">
        <f>ROUND(SUMIFS('A5.YE22'!J:J,'A5.YE22'!K:K,'A0.LS'!$BE$5,'A5.YE22'!L:L,"Posted",'A5.YE22'!D:D,'A0.LS'!E133),0)</f>
        <v>0</v>
      </c>
      <c r="BF133" s="936">
        <f t="shared" si="81"/>
        <v>0</v>
      </c>
      <c r="BG133" s="937"/>
      <c r="BH133" s="936">
        <f>ROUND(SUMIFS('TB.XH.YE22'!P:P,'TB.XH.YE22'!A:A,'A0.LS'!E133),0)</f>
        <v>0</v>
      </c>
      <c r="BI133" s="936">
        <f>ROUND(SUMIFS('A5.YE22'!J:J,'A5.YE22'!K:K,"XH",'A5.YE22'!L:L,"Posted",'A5.YE22'!D:D,'A0.LS'!E133),0)</f>
        <v>0</v>
      </c>
      <c r="BJ133" s="936">
        <f t="shared" si="82"/>
        <v>0</v>
      </c>
      <c r="BK133" s="937"/>
      <c r="BL133" s="936">
        <f>ROUND(SUMIFS('TB.KCG.YE22'!P:P,'TB.KCG.YE22'!A:A,'A0.LS'!E133),0)</f>
        <v>0</v>
      </c>
      <c r="BM133" s="936">
        <f>ROUND(SUMIFS('A5.YE22'!J:J,'A5.YE22'!K:K,'A0.LS'!$BM$5,'A5.YE22'!L:L,"Posted",'A5.YE22'!D:D,'A0.LS'!E133),0)</f>
        <v>0</v>
      </c>
      <c r="BN133" s="936">
        <f t="shared" si="83"/>
        <v>0</v>
      </c>
      <c r="BO133" s="937"/>
      <c r="BP133" s="938">
        <v>-55153781</v>
      </c>
      <c r="BQ133" s="938">
        <f>ROUND(SUMIFS('A5.YE22'!J:J,'A5.YE22'!K:K,'A0.LS'!$BQ$5,'A5.YE22'!L:L,"Posted",'A5.YE22'!D:D,'A0.LS'!E133),0)</f>
        <v>0</v>
      </c>
      <c r="BR133" s="938">
        <f t="shared" si="84"/>
        <v>-55153781</v>
      </c>
    </row>
    <row r="134" spans="1:70" ht="12.75">
      <c r="A134" s="850"/>
      <c r="B134" s="939">
        <v>319</v>
      </c>
      <c r="C134" s="940" t="s">
        <v>2336</v>
      </c>
      <c r="D134" s="941" t="s">
        <v>2336</v>
      </c>
      <c r="E134" s="928" t="s">
        <v>183</v>
      </c>
      <c r="F134" s="928" t="s">
        <v>2337</v>
      </c>
      <c r="G134" s="927" t="s">
        <v>2324</v>
      </c>
      <c r="H134" s="927" t="s">
        <v>2265</v>
      </c>
      <c r="I134" s="942">
        <f>SUMIFS('TB.CTy Me.FY2024'!I:I,'TB.CTy Me.FY2024'!A:A,'A0.LS'!E134)</f>
        <v>-16160183</v>
      </c>
      <c r="J134" s="942">
        <f>ROUND(SUMIFS('A5.FY24'!K:K,'A5.FY24'!E:E,'A0.LS'!E134,'A5.FY24'!L:L,"Finhay",'A5.FY24'!M:M,"Posted"),0)</f>
        <v>0</v>
      </c>
      <c r="K134" s="942">
        <f>ROUND(SUMIFS('A5.FY24'!K:K,'A5.FY24'!E:E,'A0.LS'!E134,'A5.FY24'!L:L,"EY",'A5.FY24'!M:M,"Posted"),0)</f>
        <v>0</v>
      </c>
      <c r="L134" s="943">
        <f t="shared" si="70"/>
        <v>-16160183</v>
      </c>
      <c r="M134" s="930"/>
      <c r="N134" s="944">
        <f>SUMIFS('TB.CTM.YE23'!I:I,'TB.CTM.YE23'!A:A,'A0.LS'!E134)</f>
        <v>2674885117</v>
      </c>
      <c r="O134" s="944">
        <v>0</v>
      </c>
      <c r="P134" s="944">
        <v>-2674885117</v>
      </c>
      <c r="Q134" s="945">
        <f t="shared" si="71"/>
        <v>0</v>
      </c>
      <c r="R134" s="898"/>
      <c r="S134" s="848">
        <f t="shared" si="68"/>
        <v>-16160183</v>
      </c>
      <c r="T134" s="946" t="str">
        <f t="shared" si="69"/>
        <v>To check</v>
      </c>
      <c r="U134" s="850"/>
      <c r="V134" s="850" t="s">
        <v>2332</v>
      </c>
      <c r="W134" s="850"/>
      <c r="X134" s="933"/>
      <c r="Y134" s="947" t="s">
        <v>2324</v>
      </c>
      <c r="Z134" s="936">
        <f>ROUND(SUMIFS('TB.Cty Con.FY24'!I:I,'TB.Cty Con.FY24'!A:A,'A0.LS'!E134),0)</f>
        <v>0</v>
      </c>
      <c r="AA134" s="936">
        <f>ROUND(SUMIFS('A5.CTC FY24'!K:K,'A5.CTC FY24'!E:E,'A0.LS'!E134,'A5.CTC FY24'!A:A,'A0.LS'!$AA$5,'A5.CTC FY24'!L:L,"Finhay",'A5.CTC FY24'!M:M,"Posted"),0)</f>
        <v>0</v>
      </c>
      <c r="AB134" s="936">
        <f>ROUND(SUMIFS('A5.CTC FY24'!K:K,'A5.CTC FY24'!E:E,'A0.LS'!E134,'A5.CTC FY24'!A:A,'A0.LS'!$AB$5,'A5.CTC FY24'!L:L,"EY",'A5.CTC FY24'!M:M,"Posted"),0)</f>
        <v>0</v>
      </c>
      <c r="AC134" s="948">
        <f t="shared" si="72"/>
        <v>0</v>
      </c>
      <c r="AD134" s="930"/>
      <c r="AE134" s="936">
        <f>ROUND(SUMIFS('TB VNSC FY24'!M:M,'TB VNSC FY24'!N:N,'A0.LS'!E134),0)</f>
        <v>0</v>
      </c>
      <c r="AF134" s="936">
        <f>SUMIFS('A5.CTC FY24'!K:K,'A5.CTC FY24'!E:E,'A0.LS'!E134,'A5.CTC FY24'!A:A,"VNSC",'A5.CTC FY24'!L:L,"VNSC",'A5.CTC FY24'!M:M,"Posted")</f>
        <v>0</v>
      </c>
      <c r="AG134" s="936">
        <f>ROUND(SUMIFS('A5.CTC FY24'!K:K,'A5.CTC FY24'!E:E,'A0.LS'!E134,'A5.CTC FY24'!A:A,"VNSC",'A5.CTC FY24'!L:L,"EY",'A5.CTC FY24'!M:M,"Posted"),0)</f>
        <v>0</v>
      </c>
      <c r="AH134" s="936">
        <f t="shared" si="73"/>
        <v>0</v>
      </c>
      <c r="AI134" s="930"/>
      <c r="AJ134" s="936">
        <f>SUMIFS('TB.KCG.FY24'!I:I,'TB.KCG.FY24'!A:A,'A0.LS'!E134)</f>
        <v>0</v>
      </c>
      <c r="AK134" s="936">
        <f>ROUND(SUMIFS('A5.CTC FY24'!K:K,'A5.CTC FY24'!E:E,'A0.LS'!E134,'A5.CTC FY24'!A:A,'A0.LS'!$AK$5,'A5.CTC FY24'!L:L,"EY",'A5.CTC FY24'!M:M,"Posted"),0)</f>
        <v>0</v>
      </c>
      <c r="AL134" s="948">
        <f t="shared" si="74"/>
        <v>0</v>
      </c>
      <c r="AM134" s="930"/>
      <c r="AN134" s="949">
        <f t="shared" si="75"/>
        <v>0</v>
      </c>
      <c r="AO134" s="950">
        <f>ROUND(SUMIFS('A5.Consol FY24'!L:L,'A5.Consol FY24'!M:M,"EY",'A5.Consol FY24'!N:N,"Posted",'A5.Consol FY24'!B:B,'A0.LS'!$AO$5,'A5.Consol FY24'!F:F,'A0.LS'!E134),0)</f>
        <v>0</v>
      </c>
      <c r="AP134" s="949">
        <f t="shared" si="76"/>
        <v>0</v>
      </c>
      <c r="AQ134" s="930"/>
      <c r="AR134" s="936">
        <f>ROUND(SUMIFS('TB.XH.FY24'!I:I,'TB.XH.FY24'!J:J,'A0.LS'!E134),0)</f>
        <v>0</v>
      </c>
      <c r="AS134" s="936">
        <f>ROUND(SUMIFS('A5.CTC FY24'!K:K,'A5.CTC FY24'!E:E,'A0.LS'!E134,'A5.CTC FY24'!A:A,'A0.LS'!$AS$5,'A5.CTC FY24'!L:L,"EY",'A5.CTC FY24'!M:M,"Posted"),0)</f>
        <v>0</v>
      </c>
      <c r="AT134" s="948">
        <f t="shared" si="77"/>
        <v>0</v>
      </c>
      <c r="AU134" s="930"/>
      <c r="AV134" s="951">
        <f t="shared" si="78"/>
        <v>-16160183</v>
      </c>
      <c r="AW134" s="952">
        <f>SUMIFS('A5.Consol FY24'!L:L,'A5.Consol FY24'!B:B,'A0.LS'!$AW$5,'A5.Consol FY24'!M:M,"EY",'A5.Consol FY24'!N:N,"Posted",'A5.Consol FY24'!F:F,'A0.LS'!E134)</f>
        <v>16160183</v>
      </c>
      <c r="AX134" s="951">
        <f t="shared" si="79"/>
        <v>0</v>
      </c>
      <c r="AY134" s="920"/>
      <c r="AZ134" s="936">
        <f>SUMIFS('TB.CTC.YE22'!Q:Q,'TB.CTC.YE22'!A:A,'A0.LS'!E134)</f>
        <v>0</v>
      </c>
      <c r="BA134" s="936">
        <f>ROUND(SUMIFS('A5.YE22'!J:J,'A5.YE22'!K:K,'A0.LS'!$BA$5,'A5.YE22'!L:L,"Posted",'A5.YE22'!D:D,'A0.LS'!E134),0)</f>
        <v>0</v>
      </c>
      <c r="BB134" s="936">
        <f t="shared" si="80"/>
        <v>0</v>
      </c>
      <c r="BC134" s="937"/>
      <c r="BD134" s="936">
        <f>ROUND(SUMIFS('TB.VNSC.YE22'!L:L,'TB.VNSC.YE22'!A:A,'A0.LS'!E134),0)</f>
        <v>0</v>
      </c>
      <c r="BE134" s="936">
        <f>ROUND(SUMIFS('A5.YE22'!J:J,'A5.YE22'!K:K,'A0.LS'!$BE$5,'A5.YE22'!L:L,"Posted",'A5.YE22'!D:D,'A0.LS'!E134),0)</f>
        <v>0</v>
      </c>
      <c r="BF134" s="936">
        <f t="shared" si="81"/>
        <v>0</v>
      </c>
      <c r="BG134" s="937"/>
      <c r="BH134" s="936">
        <f>ROUND(SUMIFS('TB.XH.YE22'!P:P,'TB.XH.YE22'!A:A,'A0.LS'!E134),0)</f>
        <v>0</v>
      </c>
      <c r="BI134" s="936">
        <f>ROUND(SUMIFS('A5.YE22'!J:J,'A5.YE22'!K:K,"XH",'A5.YE22'!L:L,"Posted",'A5.YE22'!D:D,'A0.LS'!E134),0)</f>
        <v>0</v>
      </c>
      <c r="BJ134" s="936">
        <f t="shared" si="82"/>
        <v>0</v>
      </c>
      <c r="BK134" s="937"/>
      <c r="BL134" s="936">
        <f>ROUND(SUMIFS('TB.KCG.YE22'!P:P,'TB.KCG.YE22'!A:A,'A0.LS'!E134),0)</f>
        <v>0</v>
      </c>
      <c r="BM134" s="936">
        <f>ROUND(SUMIFS('A5.YE22'!J:J,'A5.YE22'!K:K,'A0.LS'!$BM$5,'A5.YE22'!L:L,"Posted",'A5.YE22'!D:D,'A0.LS'!E134),0)</f>
        <v>0</v>
      </c>
      <c r="BN134" s="936">
        <f t="shared" si="83"/>
        <v>0</v>
      </c>
      <c r="BO134" s="937"/>
      <c r="BP134" s="938">
        <v>-2674885133</v>
      </c>
      <c r="BQ134" s="938">
        <v>2674885117</v>
      </c>
      <c r="BR134" s="938">
        <f t="shared" si="84"/>
        <v>-16</v>
      </c>
    </row>
    <row r="135" spans="1:70" ht="12.75">
      <c r="A135" s="850"/>
      <c r="B135" s="939">
        <v>319</v>
      </c>
      <c r="C135" s="940" t="s">
        <v>2336</v>
      </c>
      <c r="D135" s="941" t="s">
        <v>2336</v>
      </c>
      <c r="E135" s="928" t="s">
        <v>185</v>
      </c>
      <c r="F135" s="928" t="s">
        <v>2338</v>
      </c>
      <c r="G135" s="927" t="s">
        <v>2324</v>
      </c>
      <c r="H135" s="927" t="s">
        <v>2265</v>
      </c>
      <c r="I135" s="942">
        <f>SUMIFS('TB.CTy Me.FY2024'!I:I,'TB.CTy Me.FY2024'!A:A,'A0.LS'!E135)</f>
        <v>-168945316</v>
      </c>
      <c r="J135" s="942">
        <f>ROUND(SUMIFS('A5.FY24'!K:K,'A5.FY24'!E:E,'A0.LS'!E135,'A5.FY24'!L:L,"Finhay",'A5.FY24'!M:M,"Posted"),0)</f>
        <v>-18691677</v>
      </c>
      <c r="K135" s="942">
        <f>ROUND(SUMIFS('A5.FY24'!K:K,'A5.FY24'!E:E,'A0.LS'!E135,'A5.FY24'!L:L,"EY",'A5.FY24'!M:M,"Posted"),0)</f>
        <v>0</v>
      </c>
      <c r="L135" s="943">
        <f t="shared" si="70"/>
        <v>-187636993</v>
      </c>
      <c r="M135" s="930"/>
      <c r="N135" s="944">
        <f>SUMIFS('TB.CTM.YE23'!I:I,'TB.CTM.YE23'!A:A,'A0.LS'!E135)</f>
        <v>-108793151</v>
      </c>
      <c r="O135" s="944">
        <v>0</v>
      </c>
      <c r="P135" s="944">
        <v>0</v>
      </c>
      <c r="Q135" s="945">
        <f t="shared" si="71"/>
        <v>-108793151</v>
      </c>
      <c r="R135" s="898"/>
      <c r="S135" s="848">
        <f t="shared" si="68"/>
        <v>-78843842</v>
      </c>
      <c r="T135" s="946">
        <f t="shared" si="69"/>
        <v>0.72471328640899457</v>
      </c>
      <c r="U135" s="850"/>
      <c r="V135" s="850" t="s">
        <v>2325</v>
      </c>
      <c r="W135" s="850"/>
      <c r="X135" s="304"/>
      <c r="Y135" s="947" t="s">
        <v>2324</v>
      </c>
      <c r="Z135" s="936">
        <f>ROUND(SUMIFS('TB.Cty Con.FY24'!I:I,'TB.Cty Con.FY24'!A:A,'A0.LS'!E135),0)</f>
        <v>0</v>
      </c>
      <c r="AA135" s="936">
        <f>ROUND(SUMIFS('A5.CTC FY24'!K:K,'A5.CTC FY24'!E:E,'A0.LS'!E135,'A5.CTC FY24'!A:A,'A0.LS'!$AA$5,'A5.CTC FY24'!L:L,"Finhay",'A5.CTC FY24'!M:M,"Posted"),0)</f>
        <v>0</v>
      </c>
      <c r="AB135" s="936">
        <f>ROUND(SUMIFS('A5.CTC FY24'!K:K,'A5.CTC FY24'!E:E,'A0.LS'!E135,'A5.CTC FY24'!A:A,'A0.LS'!$AB$5,'A5.CTC FY24'!L:L,"EY",'A5.CTC FY24'!M:M,"Posted"),0)</f>
        <v>0</v>
      </c>
      <c r="AC135" s="948">
        <f t="shared" si="72"/>
        <v>0</v>
      </c>
      <c r="AD135" s="930"/>
      <c r="AE135" s="936">
        <f>ROUND(SUMIFS('TB VNSC FY24'!M:M,'TB VNSC FY24'!N:N,'A0.LS'!E135),0)</f>
        <v>0</v>
      </c>
      <c r="AF135" s="936">
        <f>SUMIFS('A5.CTC FY24'!K:K,'A5.CTC FY24'!E:E,'A0.LS'!E135,'A5.CTC FY24'!A:A,"VNSC",'A5.CTC FY24'!L:L,"VNSC",'A5.CTC FY24'!M:M,"Posted")</f>
        <v>0</v>
      </c>
      <c r="AG135" s="936">
        <f>ROUND(SUMIFS('A5.CTC FY24'!K:K,'A5.CTC FY24'!E:E,'A0.LS'!E135,'A5.CTC FY24'!A:A,"VNSC",'A5.CTC FY24'!L:L,"EY",'A5.CTC FY24'!M:M,"Posted"),0)</f>
        <v>0</v>
      </c>
      <c r="AH135" s="936">
        <f t="shared" si="73"/>
        <v>0</v>
      </c>
      <c r="AI135" s="930"/>
      <c r="AJ135" s="936">
        <f>SUMIFS('TB.KCG.FY24'!I:I,'TB.KCG.FY24'!A:A,'A0.LS'!E135)</f>
        <v>0</v>
      </c>
      <c r="AK135" s="936">
        <f>ROUND(SUMIFS('A5.CTC FY24'!K:K,'A5.CTC FY24'!E:E,'A0.LS'!E135,'A5.CTC FY24'!A:A,'A0.LS'!$AK$5,'A5.CTC FY24'!L:L,"EY",'A5.CTC FY24'!M:M,"Posted"),0)</f>
        <v>0</v>
      </c>
      <c r="AL135" s="948">
        <f t="shared" si="74"/>
        <v>0</v>
      </c>
      <c r="AM135" s="930"/>
      <c r="AN135" s="949">
        <f t="shared" si="75"/>
        <v>0</v>
      </c>
      <c r="AO135" s="950">
        <f>ROUND(SUMIFS('A5.Consol FY24'!L:L,'A5.Consol FY24'!M:M,"EY",'A5.Consol FY24'!N:N,"Posted",'A5.Consol FY24'!B:B,'A0.LS'!$AO$5,'A5.Consol FY24'!F:F,'A0.LS'!E135),0)</f>
        <v>0</v>
      </c>
      <c r="AP135" s="949">
        <f t="shared" si="76"/>
        <v>0</v>
      </c>
      <c r="AQ135" s="930"/>
      <c r="AR135" s="936">
        <f>ROUND(SUMIFS('TB.XH.FY24'!I:I,'TB.XH.FY24'!J:J,'A0.LS'!E135),0)</f>
        <v>0</v>
      </c>
      <c r="AS135" s="936">
        <f>ROUND(SUMIFS('A5.CTC FY24'!K:K,'A5.CTC FY24'!E:E,'A0.LS'!E135,'A5.CTC FY24'!A:A,'A0.LS'!$AS$5,'A5.CTC FY24'!L:L,"EY",'A5.CTC FY24'!M:M,"Posted"),0)</f>
        <v>0</v>
      </c>
      <c r="AT135" s="948">
        <f t="shared" si="77"/>
        <v>0</v>
      </c>
      <c r="AU135" s="930"/>
      <c r="AV135" s="951">
        <f t="shared" si="78"/>
        <v>-187636993</v>
      </c>
      <c r="AW135" s="952">
        <f>SUMIFS('A5.Consol FY24'!L:L,'A5.Consol FY24'!B:B,'A0.LS'!$AW$5,'A5.Consol FY24'!M:M,"EY",'A5.Consol FY24'!N:N,"Posted",'A5.Consol FY24'!F:F,'A0.LS'!E135)</f>
        <v>0</v>
      </c>
      <c r="AX135" s="951">
        <f t="shared" si="79"/>
        <v>-187636993</v>
      </c>
      <c r="AY135" s="920"/>
      <c r="AZ135" s="936">
        <f>SUMIFS('TB.CTC.YE22'!Q:Q,'TB.CTC.YE22'!A:A,'A0.LS'!E135)</f>
        <v>0</v>
      </c>
      <c r="BA135" s="936">
        <f>ROUND(SUMIFS('A5.YE22'!J:J,'A5.YE22'!K:K,'A0.LS'!$BA$5,'A5.YE22'!L:L,"Posted",'A5.YE22'!D:D,'A0.LS'!E135),0)</f>
        <v>0</v>
      </c>
      <c r="BB135" s="936">
        <f t="shared" si="80"/>
        <v>0</v>
      </c>
      <c r="BC135" s="937"/>
      <c r="BD135" s="936">
        <f>ROUND(SUMIFS('TB.VNSC.YE22'!L:L,'TB.VNSC.YE22'!A:A,'A0.LS'!E135),0)</f>
        <v>0</v>
      </c>
      <c r="BE135" s="936">
        <f>ROUND(SUMIFS('A5.YE22'!J:J,'A5.YE22'!K:K,'A0.LS'!$BE$5,'A5.YE22'!L:L,"Posted",'A5.YE22'!D:D,'A0.LS'!E135),0)</f>
        <v>0</v>
      </c>
      <c r="BF135" s="936">
        <f t="shared" si="81"/>
        <v>0</v>
      </c>
      <c r="BG135" s="937"/>
      <c r="BH135" s="936">
        <f>ROUND(SUMIFS('TB.XH.YE22'!P:P,'TB.XH.YE22'!A:A,'A0.LS'!E135),0)</f>
        <v>0</v>
      </c>
      <c r="BI135" s="936">
        <f>ROUND(SUMIFS('A5.YE22'!J:J,'A5.YE22'!K:K,"XH",'A5.YE22'!L:L,"Posted",'A5.YE22'!D:D,'A0.LS'!E135),0)</f>
        <v>0</v>
      </c>
      <c r="BJ135" s="936">
        <f t="shared" si="82"/>
        <v>0</v>
      </c>
      <c r="BK135" s="937"/>
      <c r="BL135" s="936">
        <f>ROUND(SUMIFS('TB.KCG.YE22'!P:P,'TB.KCG.YE22'!A:A,'A0.LS'!E135),0)</f>
        <v>0</v>
      </c>
      <c r="BM135" s="936">
        <f>ROUND(SUMIFS('A5.YE22'!J:J,'A5.YE22'!K:K,'A0.LS'!$BM$5,'A5.YE22'!L:L,"Posted",'A5.YE22'!D:D,'A0.LS'!E135),0)</f>
        <v>0</v>
      </c>
      <c r="BN135" s="936">
        <f t="shared" si="83"/>
        <v>0</v>
      </c>
      <c r="BO135" s="937"/>
      <c r="BP135" s="938">
        <v>-108793151</v>
      </c>
      <c r="BQ135" s="938">
        <f>ROUND(SUMIFS('A5.YE22'!J:J,'A5.YE22'!K:K,'A0.LS'!$BQ$5,'A5.YE22'!L:L,"Posted",'A5.YE22'!D:D,'A0.LS'!E135),0)</f>
        <v>0</v>
      </c>
      <c r="BR135" s="938">
        <f t="shared" si="84"/>
        <v>-108793151</v>
      </c>
    </row>
    <row r="136" spans="1:70" ht="12.75">
      <c r="A136" s="850"/>
      <c r="B136" s="939">
        <v>319</v>
      </c>
      <c r="C136" s="940" t="s">
        <v>2339</v>
      </c>
      <c r="D136" s="941" t="s">
        <v>2339</v>
      </c>
      <c r="E136" s="928" t="s">
        <v>187</v>
      </c>
      <c r="F136" s="928" t="s">
        <v>188</v>
      </c>
      <c r="G136" s="927" t="s">
        <v>2324</v>
      </c>
      <c r="H136" s="927" t="s">
        <v>2265</v>
      </c>
      <c r="I136" s="942">
        <f>SUMIFS('TB.CTy Me.FY2024'!I:I,'TB.CTy Me.FY2024'!A:A,'A0.LS'!E136)</f>
        <v>-2112466</v>
      </c>
      <c r="J136" s="942">
        <f>ROUND(SUMIFS('A5.FY24'!K:K,'A5.FY24'!E:E,'A0.LS'!E136,'A5.FY24'!L:L,"Finhay",'A5.FY24'!M:M,"Posted"),0)</f>
        <v>0</v>
      </c>
      <c r="K136" s="942">
        <f>ROUND(SUMIFS('A5.FY24'!K:K,'A5.FY24'!E:E,'A0.LS'!E136,'A5.FY24'!L:L,"EY",'A5.FY24'!M:M,"Posted"),0)</f>
        <v>0</v>
      </c>
      <c r="L136" s="943">
        <f t="shared" si="70"/>
        <v>-2112466</v>
      </c>
      <c r="M136" s="930"/>
      <c r="N136" s="944">
        <f>SUMIFS('TB.CTM.YE23'!I:I,'TB.CTM.YE23'!A:A,'A0.LS'!E136)</f>
        <v>-2121003</v>
      </c>
      <c r="O136" s="944">
        <v>0</v>
      </c>
      <c r="P136" s="944">
        <v>0</v>
      </c>
      <c r="Q136" s="945">
        <f t="shared" si="71"/>
        <v>-2121003</v>
      </c>
      <c r="R136" s="898"/>
      <c r="S136" s="848">
        <f t="shared" si="68"/>
        <v>8537</v>
      </c>
      <c r="T136" s="946">
        <f t="shared" si="69"/>
        <v>-4.0249825200624418E-3</v>
      </c>
      <c r="U136" s="850"/>
      <c r="V136" s="850" t="s">
        <v>2340</v>
      </c>
      <c r="W136" s="850"/>
      <c r="X136" s="947" t="s">
        <v>675</v>
      </c>
      <c r="Y136" s="947" t="s">
        <v>2324</v>
      </c>
      <c r="Z136" s="936">
        <f>ROUND(SUMIFS('TB.Cty Con.FY24'!I:I,'TB.Cty Con.FY24'!A:A,'A0.LS'!E136),0)</f>
        <v>0</v>
      </c>
      <c r="AA136" s="936">
        <f>ROUND(SUMIFS('A5.CTC FY24'!K:K,'A5.CTC FY24'!E:E,'A0.LS'!E136,'A5.CTC FY24'!A:A,'A0.LS'!$AA$5,'A5.CTC FY24'!L:L,"Finhay",'A5.CTC FY24'!M:M,"Posted"),0)</f>
        <v>0</v>
      </c>
      <c r="AB136" s="936">
        <f>ROUND(SUMIFS('A5.CTC FY24'!K:K,'A5.CTC FY24'!E:E,'A0.LS'!E136,'A5.CTC FY24'!A:A,'A0.LS'!$AB$5,'A5.CTC FY24'!L:L,"EY",'A5.CTC FY24'!M:M,"Posted"),0)</f>
        <v>0</v>
      </c>
      <c r="AC136" s="948">
        <f t="shared" si="72"/>
        <v>0</v>
      </c>
      <c r="AD136" s="930"/>
      <c r="AE136" s="936">
        <f>ROUND(SUMIFS('TB VNSC FY24'!M:M,'TB VNSC FY24'!N:N,'A0.LS'!E136),0)</f>
        <v>0</v>
      </c>
      <c r="AF136" s="936">
        <f>SUMIFS('A5.CTC FY24'!K:K,'A5.CTC FY24'!E:E,'A0.LS'!E136,'A5.CTC FY24'!A:A,"VNSC",'A5.CTC FY24'!L:L,"VNSC",'A5.CTC FY24'!M:M,"Posted")</f>
        <v>0</v>
      </c>
      <c r="AG136" s="936">
        <f>ROUND(SUMIFS('A5.CTC FY24'!K:K,'A5.CTC FY24'!E:E,'A0.LS'!E136,'A5.CTC FY24'!A:A,"VNSC",'A5.CTC FY24'!L:L,"EY",'A5.CTC FY24'!M:M,"Posted"),0)</f>
        <v>0</v>
      </c>
      <c r="AH136" s="936">
        <f t="shared" si="73"/>
        <v>0</v>
      </c>
      <c r="AI136" s="930"/>
      <c r="AJ136" s="936">
        <f>SUMIFS('TB.KCG.FY24'!I:I,'TB.KCG.FY24'!A:A,'A0.LS'!E136)</f>
        <v>0</v>
      </c>
      <c r="AK136" s="936">
        <f>ROUND(SUMIFS('A5.CTC FY24'!K:K,'A5.CTC FY24'!E:E,'A0.LS'!E136,'A5.CTC FY24'!A:A,'A0.LS'!$AK$5,'A5.CTC FY24'!L:L,"EY",'A5.CTC FY24'!M:M,"Posted"),0)</f>
        <v>0</v>
      </c>
      <c r="AL136" s="948">
        <f t="shared" si="74"/>
        <v>0</v>
      </c>
      <c r="AM136" s="930"/>
      <c r="AN136" s="949">
        <f t="shared" si="75"/>
        <v>0</v>
      </c>
      <c r="AO136" s="950">
        <f>ROUND(SUMIFS('A5.Consol FY24'!L:L,'A5.Consol FY24'!M:M,"EY",'A5.Consol FY24'!N:N,"Posted",'A5.Consol FY24'!B:B,'A0.LS'!$AO$5,'A5.Consol FY24'!F:F,'A0.LS'!E136),0)</f>
        <v>0</v>
      </c>
      <c r="AP136" s="949">
        <f t="shared" si="76"/>
        <v>0</v>
      </c>
      <c r="AQ136" s="930"/>
      <c r="AR136" s="936">
        <f>ROUND(SUMIFS('TB.XH.FY24'!I:I,'TB.XH.FY24'!J:J,'A0.LS'!E136),0)</f>
        <v>0</v>
      </c>
      <c r="AS136" s="936">
        <f>ROUND(SUMIFS('A5.CTC FY24'!K:K,'A5.CTC FY24'!E:E,'A0.LS'!E136,'A5.CTC FY24'!A:A,'A0.LS'!$AS$5,'A5.CTC FY24'!L:L,"EY",'A5.CTC FY24'!M:M,"Posted"),0)</f>
        <v>0</v>
      </c>
      <c r="AT136" s="948">
        <f t="shared" si="77"/>
        <v>0</v>
      </c>
      <c r="AU136" s="930"/>
      <c r="AV136" s="951">
        <f t="shared" si="78"/>
        <v>-2112466</v>
      </c>
      <c r="AW136" s="952">
        <f>SUMIFS('A5.Consol FY24'!L:L,'A5.Consol FY24'!B:B,'A0.LS'!$AW$5,'A5.Consol FY24'!M:M,"EY",'A5.Consol FY24'!N:N,"Posted",'A5.Consol FY24'!F:F,'A0.LS'!E136)</f>
        <v>0</v>
      </c>
      <c r="AX136" s="951">
        <f t="shared" si="79"/>
        <v>-2112466</v>
      </c>
      <c r="AY136" s="920"/>
      <c r="AZ136" s="936">
        <f>SUMIFS('TB.CTC.YE22'!Q:Q,'TB.CTC.YE22'!A:A,'A0.LS'!E136)</f>
        <v>0</v>
      </c>
      <c r="BA136" s="936">
        <f>ROUND(SUMIFS('A5.YE22'!J:J,'A5.YE22'!K:K,'A0.LS'!$BA$5,'A5.YE22'!L:L,"Posted",'A5.YE22'!D:D,'A0.LS'!E136),0)</f>
        <v>0</v>
      </c>
      <c r="BB136" s="936">
        <f t="shared" si="80"/>
        <v>0</v>
      </c>
      <c r="BC136" s="937"/>
      <c r="BD136" s="936">
        <f>ROUND(SUMIFS('TB.VNSC.YE22'!L:L,'TB.VNSC.YE22'!A:A,'A0.LS'!E136),0)</f>
        <v>0</v>
      </c>
      <c r="BE136" s="936">
        <f>ROUND(SUMIFS('A5.YE22'!J:J,'A5.YE22'!K:K,'A0.LS'!$BE$5,'A5.YE22'!L:L,"Posted",'A5.YE22'!D:D,'A0.LS'!E136),0)</f>
        <v>0</v>
      </c>
      <c r="BF136" s="936">
        <f t="shared" si="81"/>
        <v>0</v>
      </c>
      <c r="BG136" s="937"/>
      <c r="BH136" s="936">
        <f>ROUND(SUMIFS('TB.XH.YE22'!P:P,'TB.XH.YE22'!A:A,'A0.LS'!E136),0)</f>
        <v>0</v>
      </c>
      <c r="BI136" s="936">
        <f>ROUND(SUMIFS('A5.YE22'!J:J,'A5.YE22'!K:K,"XH",'A5.YE22'!L:L,"Posted",'A5.YE22'!D:D,'A0.LS'!E136),0)</f>
        <v>0</v>
      </c>
      <c r="BJ136" s="936">
        <f t="shared" si="82"/>
        <v>0</v>
      </c>
      <c r="BK136" s="937"/>
      <c r="BL136" s="936">
        <f>ROUND(SUMIFS('TB.KCG.YE22'!P:P,'TB.KCG.YE22'!A:A,'A0.LS'!E136),0)</f>
        <v>0</v>
      </c>
      <c r="BM136" s="936">
        <f>ROUND(SUMIFS('A5.YE22'!J:J,'A5.YE22'!K:K,'A0.LS'!$BM$5,'A5.YE22'!L:L,"Posted",'A5.YE22'!D:D,'A0.LS'!E136),0)</f>
        <v>0</v>
      </c>
      <c r="BN136" s="936">
        <f t="shared" si="83"/>
        <v>0</v>
      </c>
      <c r="BO136" s="937"/>
      <c r="BP136" s="938">
        <v>-2121003</v>
      </c>
      <c r="BQ136" s="938">
        <f>ROUND(SUMIFS('A5.YE22'!J:J,'A5.YE22'!K:K,'A0.LS'!$BQ$5,'A5.YE22'!L:L,"Posted",'A5.YE22'!D:D,'A0.LS'!E136),0)</f>
        <v>0</v>
      </c>
      <c r="BR136" s="938">
        <f t="shared" si="84"/>
        <v>-2121003</v>
      </c>
    </row>
    <row r="137" spans="1:70" ht="12.75">
      <c r="A137" s="850"/>
      <c r="B137" s="939">
        <v>319</v>
      </c>
      <c r="C137" s="940" t="s">
        <v>2330</v>
      </c>
      <c r="D137" s="941" t="s">
        <v>2330</v>
      </c>
      <c r="E137" s="928" t="s">
        <v>2341</v>
      </c>
      <c r="F137" s="928" t="s">
        <v>2342</v>
      </c>
      <c r="G137" s="927" t="s">
        <v>2324</v>
      </c>
      <c r="H137" s="927" t="s">
        <v>2265</v>
      </c>
      <c r="I137" s="942">
        <f>SUMIFS('TB.CTy Me.FY2024'!I:I,'TB.CTy Me.FY2024'!A:A,'A0.LS'!E137)</f>
        <v>0</v>
      </c>
      <c r="J137" s="942">
        <f>ROUND(SUMIFS('A5.FY24'!K:K,'A5.FY24'!E:E,'A0.LS'!E137,'A5.FY24'!L:L,"Finhay",'A5.FY24'!M:M,"Posted"),0)</f>
        <v>0</v>
      </c>
      <c r="K137" s="942">
        <f>ROUND(SUMIFS('A5.FY24'!K:K,'A5.FY24'!E:E,'A0.LS'!E137,'A5.FY24'!L:L,"EY",'A5.FY24'!M:M,"Posted"),0)</f>
        <v>0</v>
      </c>
      <c r="L137" s="943">
        <f t="shared" si="70"/>
        <v>0</v>
      </c>
      <c r="M137" s="930"/>
      <c r="N137" s="944">
        <f>SUMIFS('TB.CTM.YE23'!I:I,'TB.CTM.YE23'!A:A,'A0.LS'!E137)</f>
        <v>0</v>
      </c>
      <c r="O137" s="944">
        <v>0</v>
      </c>
      <c r="P137" s="944">
        <v>0</v>
      </c>
      <c r="Q137" s="945">
        <f t="shared" si="71"/>
        <v>0</v>
      </c>
      <c r="R137" s="898"/>
      <c r="S137" s="848">
        <f t="shared" si="68"/>
        <v>0</v>
      </c>
      <c r="T137" s="946" t="str">
        <f t="shared" si="69"/>
        <v>To check</v>
      </c>
      <c r="U137" s="850"/>
      <c r="V137" s="850" t="s">
        <v>2325</v>
      </c>
      <c r="W137" s="850"/>
      <c r="X137" s="933"/>
      <c r="Y137" s="947" t="s">
        <v>2324</v>
      </c>
      <c r="Z137" s="936">
        <f>ROUND(SUMIFS('TB.Cty Con.FY24'!I:I,'TB.Cty Con.FY24'!A:A,'A0.LS'!E137),0)</f>
        <v>0</v>
      </c>
      <c r="AA137" s="936">
        <f>ROUND(SUMIFS('A5.CTC FY24'!K:K,'A5.CTC FY24'!E:E,'A0.LS'!E137,'A5.CTC FY24'!A:A,'A0.LS'!$AA$5,'A5.CTC FY24'!L:L,"Finhay",'A5.CTC FY24'!M:M,"Posted"),0)</f>
        <v>0</v>
      </c>
      <c r="AB137" s="936">
        <f>ROUND(SUMIFS('A5.CTC FY24'!K:K,'A5.CTC FY24'!E:E,'A0.LS'!E137,'A5.CTC FY24'!A:A,'A0.LS'!$AB$5,'A5.CTC FY24'!L:L,"EY",'A5.CTC FY24'!M:M,"Posted"),0)</f>
        <v>0</v>
      </c>
      <c r="AC137" s="948">
        <f t="shared" si="72"/>
        <v>0</v>
      </c>
      <c r="AD137" s="930"/>
      <c r="AE137" s="936">
        <f>ROUND(SUMIFS('TB VNSC FY24'!M:M,'TB VNSC FY24'!N:N,'A0.LS'!E137),0)</f>
        <v>0</v>
      </c>
      <c r="AF137" s="936">
        <f>SUMIFS('A5.CTC FY24'!K:K,'A5.CTC FY24'!E:E,'A0.LS'!E137,'A5.CTC FY24'!A:A,"VNSC",'A5.CTC FY24'!L:L,"VNSC",'A5.CTC FY24'!M:M,"Posted")</f>
        <v>0</v>
      </c>
      <c r="AG137" s="936">
        <f>ROUND(SUMIFS('A5.CTC FY24'!K:K,'A5.CTC FY24'!E:E,'A0.LS'!E137,'A5.CTC FY24'!A:A,"VNSC",'A5.CTC FY24'!L:L,"EY",'A5.CTC FY24'!M:M,"Posted"),0)</f>
        <v>0</v>
      </c>
      <c r="AH137" s="936">
        <f t="shared" si="73"/>
        <v>0</v>
      </c>
      <c r="AI137" s="930"/>
      <c r="AJ137" s="936">
        <f>SUMIFS('TB.KCG.FY24'!I:I,'TB.KCG.FY24'!A:A,'A0.LS'!E137)</f>
        <v>0</v>
      </c>
      <c r="AK137" s="936">
        <f>ROUND(SUMIFS('A5.CTC FY24'!K:K,'A5.CTC FY24'!E:E,'A0.LS'!E137,'A5.CTC FY24'!A:A,'A0.LS'!$AK$5,'A5.CTC FY24'!L:L,"EY",'A5.CTC FY24'!M:M,"Posted"),0)</f>
        <v>0</v>
      </c>
      <c r="AL137" s="948">
        <f t="shared" si="74"/>
        <v>0</v>
      </c>
      <c r="AM137" s="930"/>
      <c r="AN137" s="949">
        <f t="shared" si="75"/>
        <v>0</v>
      </c>
      <c r="AO137" s="950">
        <f>ROUND(SUMIFS('A5.Consol FY24'!L:L,'A5.Consol FY24'!M:M,"EY",'A5.Consol FY24'!N:N,"Posted",'A5.Consol FY24'!B:B,'A0.LS'!$AO$5,'A5.Consol FY24'!F:F,'A0.LS'!E137),0)</f>
        <v>0</v>
      </c>
      <c r="AP137" s="949">
        <f t="shared" si="76"/>
        <v>0</v>
      </c>
      <c r="AQ137" s="930"/>
      <c r="AR137" s="936">
        <f>ROUND(SUMIFS('TB.XH.FY24'!I:I,'TB.XH.FY24'!J:J,'A0.LS'!E137),0)</f>
        <v>0</v>
      </c>
      <c r="AS137" s="936">
        <f>ROUND(SUMIFS('A5.CTC FY24'!K:K,'A5.CTC FY24'!E:E,'A0.LS'!E137,'A5.CTC FY24'!A:A,'A0.LS'!$AS$5,'A5.CTC FY24'!L:L,"EY",'A5.CTC FY24'!M:M,"Posted"),0)</f>
        <v>0</v>
      </c>
      <c r="AT137" s="948">
        <f t="shared" si="77"/>
        <v>0</v>
      </c>
      <c r="AU137" s="930"/>
      <c r="AV137" s="951">
        <f t="shared" si="78"/>
        <v>0</v>
      </c>
      <c r="AW137" s="952">
        <f>SUMIFS('A5.Consol FY24'!L:L,'A5.Consol FY24'!B:B,'A0.LS'!$AW$5,'A5.Consol FY24'!M:M,"EY",'A5.Consol FY24'!N:N,"Posted",'A5.Consol FY24'!F:F,'A0.LS'!E137)</f>
        <v>0</v>
      </c>
      <c r="AX137" s="951">
        <f t="shared" si="79"/>
        <v>0</v>
      </c>
      <c r="AY137" s="920"/>
      <c r="AZ137" s="936">
        <f>SUMIFS('TB.CTC.YE22'!Q:Q,'TB.CTC.YE22'!A:A,'A0.LS'!E137)</f>
        <v>0</v>
      </c>
      <c r="BA137" s="936">
        <f>ROUND(SUMIFS('A5.YE22'!J:J,'A5.YE22'!K:K,'A0.LS'!$BA$5,'A5.YE22'!L:L,"Posted",'A5.YE22'!D:D,'A0.LS'!E137),0)</f>
        <v>0</v>
      </c>
      <c r="BB137" s="936">
        <f t="shared" si="80"/>
        <v>0</v>
      </c>
      <c r="BC137" s="937"/>
      <c r="BD137" s="936">
        <f>ROUND(SUMIFS('TB.VNSC.YE22'!L:L,'TB.VNSC.YE22'!A:A,'A0.LS'!E137),0)</f>
        <v>0</v>
      </c>
      <c r="BE137" s="936">
        <f>ROUND(SUMIFS('A5.YE22'!J:J,'A5.YE22'!K:K,'A0.LS'!$BE$5,'A5.YE22'!L:L,"Posted",'A5.YE22'!D:D,'A0.LS'!E137),0)</f>
        <v>0</v>
      </c>
      <c r="BF137" s="936">
        <f t="shared" si="81"/>
        <v>0</v>
      </c>
      <c r="BG137" s="937"/>
      <c r="BH137" s="936">
        <f>ROUND(SUMIFS('TB.XH.YE22'!P:P,'TB.XH.YE22'!A:A,'A0.LS'!E137),0)</f>
        <v>0</v>
      </c>
      <c r="BI137" s="936">
        <f>ROUND(SUMIFS('A5.YE22'!J:J,'A5.YE22'!K:K,"XH",'A5.YE22'!L:L,"Posted",'A5.YE22'!D:D,'A0.LS'!E137),0)</f>
        <v>0</v>
      </c>
      <c r="BJ137" s="936">
        <f t="shared" si="82"/>
        <v>0</v>
      </c>
      <c r="BK137" s="937"/>
      <c r="BL137" s="936">
        <f>ROUND(SUMIFS('TB.KCG.YE22'!P:P,'TB.KCG.YE22'!A:A,'A0.LS'!E137),0)</f>
        <v>0</v>
      </c>
      <c r="BM137" s="936">
        <f>ROUND(SUMIFS('A5.YE22'!J:J,'A5.YE22'!K:K,'A0.LS'!$BM$5,'A5.YE22'!L:L,"Posted",'A5.YE22'!D:D,'A0.LS'!E137),0)</f>
        <v>0</v>
      </c>
      <c r="BN137" s="936">
        <f t="shared" si="83"/>
        <v>0</v>
      </c>
      <c r="BO137" s="937"/>
      <c r="BP137" s="938">
        <v>0</v>
      </c>
      <c r="BQ137" s="938">
        <f>ROUND(SUMIFS('A5.YE22'!J:J,'A5.YE22'!K:K,'A0.LS'!$BQ$5,'A5.YE22'!L:L,"Posted",'A5.YE22'!D:D,'A0.LS'!E137),0)</f>
        <v>0</v>
      </c>
      <c r="BR137" s="938">
        <f t="shared" si="84"/>
        <v>0</v>
      </c>
    </row>
    <row r="138" spans="1:70" ht="12.75">
      <c r="A138" s="850"/>
      <c r="B138" s="939">
        <v>319</v>
      </c>
      <c r="C138" s="940" t="s">
        <v>2339</v>
      </c>
      <c r="D138" s="941" t="s">
        <v>2339</v>
      </c>
      <c r="E138" s="928" t="s">
        <v>2343</v>
      </c>
      <c r="F138" s="928" t="s">
        <v>196</v>
      </c>
      <c r="G138" s="927" t="s">
        <v>2324</v>
      </c>
      <c r="H138" s="927" t="s">
        <v>2265</v>
      </c>
      <c r="I138" s="942">
        <f>SUMIFS('TB.CTy Me.FY2024'!I:I,'TB.CTy Me.FY2024'!A:A,'A0.LS'!E138)</f>
        <v>0</v>
      </c>
      <c r="J138" s="942">
        <f>ROUND(SUMIFS('A5.FY24'!K:K,'A5.FY24'!E:E,'A0.LS'!E138,'A5.FY24'!L:L,"Finhay",'A5.FY24'!M:M,"Posted"),0)</f>
        <v>0</v>
      </c>
      <c r="K138" s="942">
        <f>ROUND(SUMIFS('A5.FY24'!K:K,'A5.FY24'!E:E,'A0.LS'!E138,'A5.FY24'!L:L,"EY",'A5.FY24'!M:M,"Posted"),0)</f>
        <v>0</v>
      </c>
      <c r="L138" s="943">
        <f t="shared" si="70"/>
        <v>0</v>
      </c>
      <c r="M138" s="930"/>
      <c r="N138" s="944">
        <f>SUMIFS('TB.CTM.YE23'!I:I,'TB.CTM.YE23'!A:A,'A0.LS'!E138)</f>
        <v>0</v>
      </c>
      <c r="O138" s="944">
        <v>0</v>
      </c>
      <c r="P138" s="944">
        <v>0</v>
      </c>
      <c r="Q138" s="945">
        <f t="shared" si="71"/>
        <v>0</v>
      </c>
      <c r="R138" s="898"/>
      <c r="S138" s="848">
        <f t="shared" si="68"/>
        <v>0</v>
      </c>
      <c r="T138" s="946" t="str">
        <f t="shared" si="69"/>
        <v>To check</v>
      </c>
      <c r="U138" s="850"/>
      <c r="V138" s="850" t="s">
        <v>2340</v>
      </c>
      <c r="W138" s="850"/>
      <c r="X138" s="304"/>
      <c r="Y138" s="947" t="s">
        <v>2324</v>
      </c>
      <c r="Z138" s="936">
        <f>ROUND(SUMIFS('TB.Cty Con.FY24'!I:I,'TB.Cty Con.FY24'!A:A,'A0.LS'!E138),0)</f>
        <v>0</v>
      </c>
      <c r="AA138" s="936">
        <f>ROUND(SUMIFS('A5.CTC FY24'!K:K,'A5.CTC FY24'!E:E,'A0.LS'!E138,'A5.CTC FY24'!A:A,'A0.LS'!$AA$5,'A5.CTC FY24'!L:L,"Finhay",'A5.CTC FY24'!M:M,"Posted"),0)</f>
        <v>0</v>
      </c>
      <c r="AB138" s="936">
        <f>ROUND(SUMIFS('A5.CTC FY24'!K:K,'A5.CTC FY24'!E:E,'A0.LS'!E138,'A5.CTC FY24'!A:A,'A0.LS'!$AB$5,'A5.CTC FY24'!L:L,"EY",'A5.CTC FY24'!M:M,"Posted"),0)</f>
        <v>0</v>
      </c>
      <c r="AC138" s="948">
        <f t="shared" si="72"/>
        <v>0</v>
      </c>
      <c r="AD138" s="930"/>
      <c r="AE138" s="936">
        <f>ROUND(SUMIFS('TB VNSC FY24'!M:M,'TB VNSC FY24'!N:N,'A0.LS'!E138),0)</f>
        <v>0</v>
      </c>
      <c r="AF138" s="936">
        <f>SUMIFS('A5.CTC FY24'!K:K,'A5.CTC FY24'!E:E,'A0.LS'!E138,'A5.CTC FY24'!A:A,"VNSC",'A5.CTC FY24'!L:L,"VNSC",'A5.CTC FY24'!M:M,"Posted")</f>
        <v>0</v>
      </c>
      <c r="AG138" s="936">
        <f>ROUND(SUMIFS('A5.CTC FY24'!K:K,'A5.CTC FY24'!E:E,'A0.LS'!E138,'A5.CTC FY24'!A:A,"VNSC",'A5.CTC FY24'!L:L,"EY",'A5.CTC FY24'!M:M,"Posted"),0)</f>
        <v>0</v>
      </c>
      <c r="AH138" s="936">
        <f t="shared" si="73"/>
        <v>0</v>
      </c>
      <c r="AI138" s="930"/>
      <c r="AJ138" s="936">
        <f>SUMIFS('TB.KCG.FY24'!I:I,'TB.KCG.FY24'!A:A,'A0.LS'!E138)</f>
        <v>0</v>
      </c>
      <c r="AK138" s="936">
        <f>ROUND(SUMIFS('A5.CTC FY24'!K:K,'A5.CTC FY24'!E:E,'A0.LS'!E138,'A5.CTC FY24'!A:A,'A0.LS'!$AK$5,'A5.CTC FY24'!L:L,"EY",'A5.CTC FY24'!M:M,"Posted"),0)</f>
        <v>0</v>
      </c>
      <c r="AL138" s="948">
        <f t="shared" si="74"/>
        <v>0</v>
      </c>
      <c r="AM138" s="930"/>
      <c r="AN138" s="949">
        <f t="shared" si="75"/>
        <v>0</v>
      </c>
      <c r="AO138" s="950">
        <f>ROUND(SUMIFS('A5.Consol FY24'!L:L,'A5.Consol FY24'!M:M,"EY",'A5.Consol FY24'!N:N,"Posted",'A5.Consol FY24'!B:B,'A0.LS'!$AO$5,'A5.Consol FY24'!F:F,'A0.LS'!E138),0)</f>
        <v>0</v>
      </c>
      <c r="AP138" s="949">
        <f t="shared" si="76"/>
        <v>0</v>
      </c>
      <c r="AQ138" s="930"/>
      <c r="AR138" s="936">
        <f>ROUND(SUMIFS('TB.XH.FY24'!I:I,'TB.XH.FY24'!J:J,'A0.LS'!E138),0)</f>
        <v>0</v>
      </c>
      <c r="AS138" s="936">
        <f>ROUND(SUMIFS('A5.CTC FY24'!K:K,'A5.CTC FY24'!E:E,'A0.LS'!E138,'A5.CTC FY24'!A:A,'A0.LS'!$AS$5,'A5.CTC FY24'!L:L,"EY",'A5.CTC FY24'!M:M,"Posted"),0)</f>
        <v>0</v>
      </c>
      <c r="AT138" s="948">
        <f t="shared" si="77"/>
        <v>0</v>
      </c>
      <c r="AU138" s="930"/>
      <c r="AV138" s="951">
        <f t="shared" si="78"/>
        <v>0</v>
      </c>
      <c r="AW138" s="952">
        <f>SUMIFS('A5.Consol FY24'!L:L,'A5.Consol FY24'!B:B,'A0.LS'!$AW$5,'A5.Consol FY24'!M:M,"EY",'A5.Consol FY24'!N:N,"Posted",'A5.Consol FY24'!F:F,'A0.LS'!E138)</f>
        <v>0</v>
      </c>
      <c r="AX138" s="951">
        <f t="shared" si="79"/>
        <v>0</v>
      </c>
      <c r="AY138" s="920"/>
      <c r="AZ138" s="936">
        <f>SUMIFS('TB.CTC.YE22'!Q:Q,'TB.CTC.YE22'!A:A,'A0.LS'!E138)</f>
        <v>0</v>
      </c>
      <c r="BA138" s="936">
        <f>ROUND(SUMIFS('A5.YE22'!J:J,'A5.YE22'!K:K,'A0.LS'!$BA$5,'A5.YE22'!L:L,"Posted",'A5.YE22'!D:D,'A0.LS'!E138),0)</f>
        <v>0</v>
      </c>
      <c r="BB138" s="936">
        <f t="shared" si="80"/>
        <v>0</v>
      </c>
      <c r="BC138" s="937"/>
      <c r="BD138" s="936">
        <f>ROUND(SUMIFS('TB.VNSC.YE22'!L:L,'TB.VNSC.YE22'!A:A,'A0.LS'!E138),0)</f>
        <v>0</v>
      </c>
      <c r="BE138" s="936">
        <f>ROUND(SUMIFS('A5.YE22'!J:J,'A5.YE22'!K:K,'A0.LS'!$BE$5,'A5.YE22'!L:L,"Posted",'A5.YE22'!D:D,'A0.LS'!E138),0)</f>
        <v>0</v>
      </c>
      <c r="BF138" s="936">
        <f t="shared" si="81"/>
        <v>0</v>
      </c>
      <c r="BG138" s="937"/>
      <c r="BH138" s="936">
        <f>ROUND(SUMIFS('TB.XH.YE22'!P:P,'TB.XH.YE22'!A:A,'A0.LS'!E138),0)</f>
        <v>0</v>
      </c>
      <c r="BI138" s="936">
        <f>ROUND(SUMIFS('A5.YE22'!J:J,'A5.YE22'!K:K,"XH",'A5.YE22'!L:L,"Posted",'A5.YE22'!D:D,'A0.LS'!E138),0)</f>
        <v>0</v>
      </c>
      <c r="BJ138" s="936">
        <f t="shared" si="82"/>
        <v>0</v>
      </c>
      <c r="BK138" s="937"/>
      <c r="BL138" s="936">
        <f>ROUND(SUMIFS('TB.KCG.YE22'!P:P,'TB.KCG.YE22'!A:A,'A0.LS'!E138),0)</f>
        <v>0</v>
      </c>
      <c r="BM138" s="936">
        <f>ROUND(SUMIFS('A5.YE22'!J:J,'A5.YE22'!K:K,'A0.LS'!$BM$5,'A5.YE22'!L:L,"Posted",'A5.YE22'!D:D,'A0.LS'!E138),0)</f>
        <v>0</v>
      </c>
      <c r="BN138" s="936">
        <f t="shared" si="83"/>
        <v>0</v>
      </c>
      <c r="BO138" s="937"/>
      <c r="BP138" s="938">
        <v>0</v>
      </c>
      <c r="BQ138" s="938">
        <f>ROUND(SUMIFS('A5.YE22'!J:J,'A5.YE22'!K:K,'A0.LS'!$BQ$5,'A5.YE22'!L:L,"Posted",'A5.YE22'!D:D,'A0.LS'!E138),0)</f>
        <v>0</v>
      </c>
      <c r="BR138" s="938">
        <f t="shared" si="84"/>
        <v>0</v>
      </c>
    </row>
    <row r="139" spans="1:70" ht="12.75">
      <c r="A139" s="850"/>
      <c r="B139" s="939">
        <v>319</v>
      </c>
      <c r="C139" s="940" t="s">
        <v>2330</v>
      </c>
      <c r="D139" s="941" t="s">
        <v>2330</v>
      </c>
      <c r="E139" s="928" t="s">
        <v>2344</v>
      </c>
      <c r="F139" s="928" t="s">
        <v>2345</v>
      </c>
      <c r="G139" s="927" t="s">
        <v>2324</v>
      </c>
      <c r="H139" s="927" t="s">
        <v>2265</v>
      </c>
      <c r="I139" s="942">
        <f>SUMIFS('TB.CTy Me.FY2024'!I:I,'TB.CTy Me.FY2024'!A:A,'A0.LS'!E139)</f>
        <v>0</v>
      </c>
      <c r="J139" s="942">
        <f>ROUND(SUMIFS('A5.FY24'!K:K,'A5.FY24'!E:E,'A0.LS'!E139,'A5.FY24'!L:L,"Finhay",'A5.FY24'!M:M,"Posted"),0)</f>
        <v>0</v>
      </c>
      <c r="K139" s="942">
        <f>ROUND(SUMIFS('A5.FY24'!K:K,'A5.FY24'!E:E,'A0.LS'!E139,'A5.FY24'!L:L,"EY",'A5.FY24'!M:M,"Posted"),0)</f>
        <v>0</v>
      </c>
      <c r="L139" s="943">
        <f t="shared" si="70"/>
        <v>0</v>
      </c>
      <c r="M139" s="930"/>
      <c r="N139" s="944">
        <f>SUMIFS('TB.CTM.YE23'!I:I,'TB.CTM.YE23'!A:A,'A0.LS'!E139)</f>
        <v>0</v>
      </c>
      <c r="O139" s="944">
        <v>0</v>
      </c>
      <c r="P139" s="944">
        <v>0</v>
      </c>
      <c r="Q139" s="945">
        <f t="shared" si="71"/>
        <v>0</v>
      </c>
      <c r="R139" s="898"/>
      <c r="S139" s="848">
        <f t="shared" si="68"/>
        <v>0</v>
      </c>
      <c r="T139" s="946" t="str">
        <f t="shared" si="69"/>
        <v>To check</v>
      </c>
      <c r="U139" s="850"/>
      <c r="V139" s="850" t="s">
        <v>2332</v>
      </c>
      <c r="W139" s="850"/>
      <c r="X139" s="947" t="s">
        <v>2227</v>
      </c>
      <c r="Y139" s="947" t="s">
        <v>2324</v>
      </c>
      <c r="Z139" s="936">
        <f>ROUND(SUMIFS('TB.Cty Con.FY24'!I:I,'TB.Cty Con.FY24'!A:A,'A0.LS'!E139),0)</f>
        <v>0</v>
      </c>
      <c r="AA139" s="936">
        <f>ROUND(SUMIFS('A5.CTC FY24'!K:K,'A5.CTC FY24'!E:E,'A0.LS'!E139,'A5.CTC FY24'!A:A,'A0.LS'!$AA$5,'A5.CTC FY24'!L:L,"Finhay",'A5.CTC FY24'!M:M,"Posted"),0)</f>
        <v>0</v>
      </c>
      <c r="AB139" s="936">
        <f>ROUND(SUMIFS('A5.CTC FY24'!K:K,'A5.CTC FY24'!E:E,'A0.LS'!E139,'A5.CTC FY24'!A:A,'A0.LS'!$AB$5,'A5.CTC FY24'!L:L,"EY",'A5.CTC FY24'!M:M,"Posted"),0)</f>
        <v>0</v>
      </c>
      <c r="AC139" s="948">
        <f t="shared" si="72"/>
        <v>0</v>
      </c>
      <c r="AD139" s="930"/>
      <c r="AE139" s="936">
        <f>ROUND(SUMIFS('TB VNSC FY24'!M:M,'TB VNSC FY24'!N:N,'A0.LS'!E139),0)</f>
        <v>0</v>
      </c>
      <c r="AF139" s="936">
        <f>SUMIFS('A5.CTC FY24'!K:K,'A5.CTC FY24'!E:E,'A0.LS'!E139,'A5.CTC FY24'!A:A,"VNSC",'A5.CTC FY24'!L:L,"VNSC",'A5.CTC FY24'!M:M,"Posted")</f>
        <v>0</v>
      </c>
      <c r="AG139" s="936">
        <f>ROUND(SUMIFS('A5.CTC FY24'!K:K,'A5.CTC FY24'!E:E,'A0.LS'!E139,'A5.CTC FY24'!A:A,"VNSC",'A5.CTC FY24'!L:L,"EY",'A5.CTC FY24'!M:M,"Posted"),0)</f>
        <v>0</v>
      </c>
      <c r="AH139" s="936">
        <f t="shared" si="73"/>
        <v>0</v>
      </c>
      <c r="AI139" s="930"/>
      <c r="AJ139" s="936">
        <f>SUMIFS('TB.KCG.FY24'!I:I,'TB.KCG.FY24'!A:A,'A0.LS'!E139)</f>
        <v>0</v>
      </c>
      <c r="AK139" s="936">
        <f>ROUND(SUMIFS('A5.CTC FY24'!K:K,'A5.CTC FY24'!E:E,'A0.LS'!E139,'A5.CTC FY24'!A:A,'A0.LS'!$AK$5,'A5.CTC FY24'!L:L,"EY",'A5.CTC FY24'!M:M,"Posted"),0)</f>
        <v>0</v>
      </c>
      <c r="AL139" s="948">
        <f t="shared" si="74"/>
        <v>0</v>
      </c>
      <c r="AM139" s="930"/>
      <c r="AN139" s="949">
        <f t="shared" si="75"/>
        <v>0</v>
      </c>
      <c r="AO139" s="950">
        <f>ROUND(SUMIFS('A5.Consol FY24'!L:L,'A5.Consol FY24'!M:M,"EY",'A5.Consol FY24'!N:N,"Posted",'A5.Consol FY24'!B:B,'A0.LS'!$AO$5,'A5.Consol FY24'!F:F,'A0.LS'!E139),0)</f>
        <v>0</v>
      </c>
      <c r="AP139" s="949">
        <f t="shared" si="76"/>
        <v>0</v>
      </c>
      <c r="AQ139" s="930"/>
      <c r="AR139" s="936">
        <f>ROUND(SUMIFS('TB.XH.FY24'!I:I,'TB.XH.FY24'!J:J,'A0.LS'!E139),0)</f>
        <v>0</v>
      </c>
      <c r="AS139" s="936">
        <f>ROUND(SUMIFS('A5.CTC FY24'!K:K,'A5.CTC FY24'!E:E,'A0.LS'!E139,'A5.CTC FY24'!A:A,'A0.LS'!$AS$5,'A5.CTC FY24'!L:L,"EY",'A5.CTC FY24'!M:M,"Posted"),0)</f>
        <v>0</v>
      </c>
      <c r="AT139" s="948">
        <f t="shared" si="77"/>
        <v>0</v>
      </c>
      <c r="AU139" s="930"/>
      <c r="AV139" s="951">
        <f t="shared" si="78"/>
        <v>0</v>
      </c>
      <c r="AW139" s="952">
        <f>SUMIFS('A5.Consol FY24'!L:L,'A5.Consol FY24'!B:B,'A0.LS'!$AW$5,'A5.Consol FY24'!M:M,"EY",'A5.Consol FY24'!N:N,"Posted",'A5.Consol FY24'!F:F,'A0.LS'!E139)</f>
        <v>0</v>
      </c>
      <c r="AX139" s="951">
        <f t="shared" si="79"/>
        <v>0</v>
      </c>
      <c r="AY139" s="920"/>
      <c r="AZ139" s="936">
        <f>SUMIFS('TB.CTC.YE22'!Q:Q,'TB.CTC.YE22'!A:A,'A0.LS'!E139)</f>
        <v>0</v>
      </c>
      <c r="BA139" s="936">
        <f>ROUND(SUMIFS('A5.YE22'!J:J,'A5.YE22'!K:K,'A0.LS'!$BA$5,'A5.YE22'!L:L,"Posted",'A5.YE22'!D:D,'A0.LS'!E139),0)</f>
        <v>0</v>
      </c>
      <c r="BB139" s="936">
        <f t="shared" si="80"/>
        <v>0</v>
      </c>
      <c r="BC139" s="937"/>
      <c r="BD139" s="936">
        <f>ROUND(SUMIFS('TB.VNSC.YE22'!L:L,'TB.VNSC.YE22'!A:A,'A0.LS'!E139),0)</f>
        <v>0</v>
      </c>
      <c r="BE139" s="936">
        <f>ROUND(SUMIFS('A5.YE22'!J:J,'A5.YE22'!K:K,'A0.LS'!$BE$5,'A5.YE22'!L:L,"Posted",'A5.YE22'!D:D,'A0.LS'!E139),0)</f>
        <v>0</v>
      </c>
      <c r="BF139" s="936">
        <f t="shared" si="81"/>
        <v>0</v>
      </c>
      <c r="BG139" s="937"/>
      <c r="BH139" s="936">
        <f>ROUND(SUMIFS('TB.XH.YE22'!P:P,'TB.XH.YE22'!A:A,'A0.LS'!E139),0)</f>
        <v>0</v>
      </c>
      <c r="BI139" s="936">
        <f>ROUND(SUMIFS('A5.YE22'!J:J,'A5.YE22'!K:K,"XH",'A5.YE22'!L:L,"Posted",'A5.YE22'!D:D,'A0.LS'!E139),0)</f>
        <v>0</v>
      </c>
      <c r="BJ139" s="936">
        <f t="shared" si="82"/>
        <v>0</v>
      </c>
      <c r="BK139" s="937"/>
      <c r="BL139" s="936">
        <f>ROUND(SUMIFS('TB.KCG.YE22'!P:P,'TB.KCG.YE22'!A:A,'A0.LS'!E139),0)</f>
        <v>0</v>
      </c>
      <c r="BM139" s="936">
        <f>ROUND(SUMIFS('A5.YE22'!J:J,'A5.YE22'!K:K,'A0.LS'!$BM$5,'A5.YE22'!L:L,"Posted",'A5.YE22'!D:D,'A0.LS'!E139),0)</f>
        <v>0</v>
      </c>
      <c r="BN139" s="936">
        <f t="shared" si="83"/>
        <v>0</v>
      </c>
      <c r="BO139" s="937"/>
      <c r="BP139" s="938">
        <v>0</v>
      </c>
      <c r="BQ139" s="938">
        <f>ROUND(SUMIFS('A5.YE22'!J:J,'A5.YE22'!K:K,'A0.LS'!$BQ$5,'A5.YE22'!L:L,"Posted",'A5.YE22'!D:D,'A0.LS'!E139),0)</f>
        <v>0</v>
      </c>
      <c r="BR139" s="938">
        <f t="shared" si="84"/>
        <v>0</v>
      </c>
    </row>
    <row r="140" spans="1:70" ht="12.75">
      <c r="A140" s="850"/>
      <c r="B140" s="939">
        <v>319</v>
      </c>
      <c r="C140" s="940" t="s">
        <v>2339</v>
      </c>
      <c r="D140" s="941" t="s">
        <v>2339</v>
      </c>
      <c r="E140" s="928" t="s">
        <v>2346</v>
      </c>
      <c r="F140" s="928" t="s">
        <v>2347</v>
      </c>
      <c r="G140" s="927" t="s">
        <v>2324</v>
      </c>
      <c r="H140" s="927" t="s">
        <v>2265</v>
      </c>
      <c r="I140" s="942">
        <f>SUMIFS('TB.CTy Me.FY2024'!I:I,'TB.CTy Me.FY2024'!A:A,'A0.LS'!E140)</f>
        <v>0</v>
      </c>
      <c r="J140" s="942">
        <f>ROUND(SUMIFS('A5.FY24'!K:K,'A5.FY24'!E:E,'A0.LS'!E140,'A5.FY24'!L:L,"Finhay",'A5.FY24'!M:M,"Posted"),0)</f>
        <v>0</v>
      </c>
      <c r="K140" s="942">
        <f>ROUND(SUMIFS('A5.FY24'!K:K,'A5.FY24'!E:E,'A0.LS'!E140,'A5.FY24'!L:L,"EY",'A5.FY24'!M:M,"Posted"),0)</f>
        <v>0</v>
      </c>
      <c r="L140" s="943">
        <f t="shared" si="70"/>
        <v>0</v>
      </c>
      <c r="M140" s="930"/>
      <c r="N140" s="944">
        <f>SUMIFS('TB.CTM.YE23'!I:I,'TB.CTM.YE23'!A:A,'A0.LS'!E140)</f>
        <v>0</v>
      </c>
      <c r="O140" s="944">
        <v>0</v>
      </c>
      <c r="P140" s="944">
        <v>0</v>
      </c>
      <c r="Q140" s="945">
        <f t="shared" si="71"/>
        <v>0</v>
      </c>
      <c r="R140" s="898"/>
      <c r="S140" s="848">
        <f t="shared" si="68"/>
        <v>0</v>
      </c>
      <c r="T140" s="946" t="str">
        <f t="shared" si="69"/>
        <v>To check</v>
      </c>
      <c r="U140" s="850"/>
      <c r="V140" s="850" t="s">
        <v>2340</v>
      </c>
      <c r="W140" s="850"/>
      <c r="X140" s="933"/>
      <c r="Y140" s="947" t="s">
        <v>2324</v>
      </c>
      <c r="Z140" s="936">
        <f>ROUND(SUMIFS('TB.Cty Con.FY24'!I:I,'TB.Cty Con.FY24'!A:A,'A0.LS'!E140),0)</f>
        <v>0</v>
      </c>
      <c r="AA140" s="936">
        <f>ROUND(SUMIFS('A5.CTC FY24'!K:K,'A5.CTC FY24'!E:E,'A0.LS'!E140,'A5.CTC FY24'!A:A,'A0.LS'!$AA$5,'A5.CTC FY24'!L:L,"Finhay",'A5.CTC FY24'!M:M,"Posted"),0)</f>
        <v>0</v>
      </c>
      <c r="AB140" s="936">
        <f>ROUND(SUMIFS('A5.CTC FY24'!K:K,'A5.CTC FY24'!E:E,'A0.LS'!E140,'A5.CTC FY24'!A:A,'A0.LS'!$AB$5,'A5.CTC FY24'!L:L,"EY",'A5.CTC FY24'!M:M,"Posted"),0)</f>
        <v>0</v>
      </c>
      <c r="AC140" s="948">
        <f t="shared" si="72"/>
        <v>0</v>
      </c>
      <c r="AD140" s="930"/>
      <c r="AE140" s="936">
        <f>ROUND(SUMIFS('TB VNSC FY24'!M:M,'TB VNSC FY24'!N:N,'A0.LS'!E140),0)</f>
        <v>0</v>
      </c>
      <c r="AF140" s="936">
        <f>SUMIFS('A5.CTC FY24'!K:K,'A5.CTC FY24'!E:E,'A0.LS'!E140,'A5.CTC FY24'!A:A,"VNSC",'A5.CTC FY24'!L:L,"VNSC",'A5.CTC FY24'!M:M,"Posted")</f>
        <v>0</v>
      </c>
      <c r="AG140" s="936">
        <f>ROUND(SUMIFS('A5.CTC FY24'!K:K,'A5.CTC FY24'!E:E,'A0.LS'!E140,'A5.CTC FY24'!A:A,"VNSC",'A5.CTC FY24'!L:L,"EY",'A5.CTC FY24'!M:M,"Posted"),0)</f>
        <v>0</v>
      </c>
      <c r="AH140" s="936">
        <f t="shared" si="73"/>
        <v>0</v>
      </c>
      <c r="AI140" s="930"/>
      <c r="AJ140" s="936">
        <f>SUMIFS('TB.KCG.FY24'!I:I,'TB.KCG.FY24'!A:A,'A0.LS'!E140)</f>
        <v>0</v>
      </c>
      <c r="AK140" s="936">
        <f>ROUND(SUMIFS('A5.CTC FY24'!K:K,'A5.CTC FY24'!E:E,'A0.LS'!E140,'A5.CTC FY24'!A:A,'A0.LS'!$AK$5,'A5.CTC FY24'!L:L,"EY",'A5.CTC FY24'!M:M,"Posted"),0)</f>
        <v>0</v>
      </c>
      <c r="AL140" s="948">
        <f t="shared" si="74"/>
        <v>0</v>
      </c>
      <c r="AM140" s="930"/>
      <c r="AN140" s="949">
        <f t="shared" si="75"/>
        <v>0</v>
      </c>
      <c r="AO140" s="950">
        <f>ROUND(SUMIFS('A5.Consol FY24'!L:L,'A5.Consol FY24'!M:M,"EY",'A5.Consol FY24'!N:N,"Posted",'A5.Consol FY24'!B:B,'A0.LS'!$AO$5,'A5.Consol FY24'!F:F,'A0.LS'!E140),0)</f>
        <v>0</v>
      </c>
      <c r="AP140" s="949">
        <f t="shared" si="76"/>
        <v>0</v>
      </c>
      <c r="AQ140" s="930"/>
      <c r="AR140" s="936">
        <f>ROUND(SUMIFS('TB.XH.FY24'!I:I,'TB.XH.FY24'!J:J,'A0.LS'!E140),0)</f>
        <v>0</v>
      </c>
      <c r="AS140" s="936">
        <f>ROUND(SUMIFS('A5.CTC FY24'!K:K,'A5.CTC FY24'!E:E,'A0.LS'!E140,'A5.CTC FY24'!A:A,'A0.LS'!$AS$5,'A5.CTC FY24'!L:L,"EY",'A5.CTC FY24'!M:M,"Posted"),0)</f>
        <v>0</v>
      </c>
      <c r="AT140" s="948">
        <f t="shared" si="77"/>
        <v>0</v>
      </c>
      <c r="AU140" s="930"/>
      <c r="AV140" s="951">
        <f t="shared" si="78"/>
        <v>0</v>
      </c>
      <c r="AW140" s="952">
        <f>SUMIFS('A5.Consol FY24'!L:L,'A5.Consol FY24'!B:B,'A0.LS'!$AW$5,'A5.Consol FY24'!M:M,"EY",'A5.Consol FY24'!N:N,"Posted",'A5.Consol FY24'!F:F,'A0.LS'!E140)</f>
        <v>0</v>
      </c>
      <c r="AX140" s="951">
        <f t="shared" si="79"/>
        <v>0</v>
      </c>
      <c r="AY140" s="920"/>
      <c r="AZ140" s="936">
        <f>SUMIFS('TB.CTC.YE22'!Q:Q,'TB.CTC.YE22'!A:A,'A0.LS'!E140)</f>
        <v>0</v>
      </c>
      <c r="BA140" s="936">
        <f>ROUND(SUMIFS('A5.YE22'!J:J,'A5.YE22'!K:K,'A0.LS'!$BA$5,'A5.YE22'!L:L,"Posted",'A5.YE22'!D:D,'A0.LS'!E140),0)</f>
        <v>0</v>
      </c>
      <c r="BB140" s="936">
        <f t="shared" si="80"/>
        <v>0</v>
      </c>
      <c r="BC140" s="937"/>
      <c r="BD140" s="936">
        <f>ROUND(SUMIFS('TB.VNSC.YE22'!L:L,'TB.VNSC.YE22'!A:A,'A0.LS'!E140),0)</f>
        <v>0</v>
      </c>
      <c r="BE140" s="936">
        <f>ROUND(SUMIFS('A5.YE22'!J:J,'A5.YE22'!K:K,'A0.LS'!$BE$5,'A5.YE22'!L:L,"Posted",'A5.YE22'!D:D,'A0.LS'!E140),0)</f>
        <v>0</v>
      </c>
      <c r="BF140" s="936">
        <f t="shared" si="81"/>
        <v>0</v>
      </c>
      <c r="BG140" s="937"/>
      <c r="BH140" s="936">
        <f>ROUND(SUMIFS('TB.XH.YE22'!P:P,'TB.XH.YE22'!A:A,'A0.LS'!E140),0)</f>
        <v>0</v>
      </c>
      <c r="BI140" s="936">
        <f>ROUND(SUMIFS('A5.YE22'!J:J,'A5.YE22'!K:K,"XH",'A5.YE22'!L:L,"Posted",'A5.YE22'!D:D,'A0.LS'!E140),0)</f>
        <v>0</v>
      </c>
      <c r="BJ140" s="936">
        <f t="shared" si="82"/>
        <v>0</v>
      </c>
      <c r="BK140" s="937"/>
      <c r="BL140" s="936">
        <f>ROUND(SUMIFS('TB.KCG.YE22'!P:P,'TB.KCG.YE22'!A:A,'A0.LS'!E140),0)</f>
        <v>0</v>
      </c>
      <c r="BM140" s="936">
        <f>ROUND(SUMIFS('A5.YE22'!J:J,'A5.YE22'!K:K,'A0.LS'!$BM$5,'A5.YE22'!L:L,"Posted",'A5.YE22'!D:D,'A0.LS'!E140),0)</f>
        <v>0</v>
      </c>
      <c r="BN140" s="936">
        <f t="shared" si="83"/>
        <v>0</v>
      </c>
      <c r="BO140" s="937"/>
      <c r="BP140" s="938">
        <v>0</v>
      </c>
      <c r="BQ140" s="938">
        <f>ROUND(SUMIFS('A5.YE22'!J:J,'A5.YE22'!K:K,'A0.LS'!$BQ$5,'A5.YE22'!L:L,"Posted",'A5.YE22'!D:D,'A0.LS'!E140),0)</f>
        <v>0</v>
      </c>
      <c r="BR140" s="938">
        <f t="shared" si="84"/>
        <v>0</v>
      </c>
    </row>
    <row r="141" spans="1:70" ht="12.75">
      <c r="A141" s="850"/>
      <c r="B141" s="939">
        <v>319</v>
      </c>
      <c r="C141" s="940" t="s">
        <v>2339</v>
      </c>
      <c r="D141" s="941" t="s">
        <v>2339</v>
      </c>
      <c r="E141" s="928" t="s">
        <v>195</v>
      </c>
      <c r="F141" s="928" t="s">
        <v>196</v>
      </c>
      <c r="G141" s="927" t="s">
        <v>2324</v>
      </c>
      <c r="H141" s="927" t="s">
        <v>2265</v>
      </c>
      <c r="I141" s="942">
        <f>SUMIFS('TB.CTy Me.FY2024'!I:I,'TB.CTy Me.FY2024'!A:A,'A0.LS'!E141)</f>
        <v>0</v>
      </c>
      <c r="J141" s="942">
        <f>ROUND(SUMIFS('A5.FY24'!K:K,'A5.FY24'!E:E,'A0.LS'!E141,'A5.FY24'!L:L,"Finhay",'A5.FY24'!M:M,"Posted"),0)</f>
        <v>0</v>
      </c>
      <c r="K141" s="942">
        <f>ROUND(SUMIFS('A5.FY24'!K:K,'A5.FY24'!E:E,'A0.LS'!E141,'A5.FY24'!L:L,"EY",'A5.FY24'!M:M,"Posted"),0)</f>
        <v>0</v>
      </c>
      <c r="L141" s="943">
        <f t="shared" si="70"/>
        <v>0</v>
      </c>
      <c r="M141" s="930"/>
      <c r="N141" s="944">
        <f>SUMIFS('TB.CTM.YE23'!I:I,'TB.CTM.YE23'!A:A,'A0.LS'!E141)</f>
        <v>-37695399</v>
      </c>
      <c r="O141" s="944">
        <v>0</v>
      </c>
      <c r="P141" s="944">
        <v>0</v>
      </c>
      <c r="Q141" s="945">
        <f t="shared" si="71"/>
        <v>-37695399</v>
      </c>
      <c r="R141" s="898"/>
      <c r="S141" s="848">
        <f t="shared" si="68"/>
        <v>37695399</v>
      </c>
      <c r="T141" s="946">
        <f t="shared" si="69"/>
        <v>-1</v>
      </c>
      <c r="U141" s="850"/>
      <c r="V141" s="850" t="s">
        <v>2340</v>
      </c>
      <c r="W141" s="850"/>
      <c r="X141" s="304"/>
      <c r="Y141" s="947" t="s">
        <v>2324</v>
      </c>
      <c r="Z141" s="936">
        <f>ROUND(SUMIFS('TB.Cty Con.FY24'!I:I,'TB.Cty Con.FY24'!A:A,'A0.LS'!E141),0)</f>
        <v>0</v>
      </c>
      <c r="AA141" s="936">
        <f>ROUND(SUMIFS('A5.CTC FY24'!K:K,'A5.CTC FY24'!E:E,'A0.LS'!E141,'A5.CTC FY24'!A:A,'A0.LS'!$AA$5,'A5.CTC FY24'!L:L,"Finhay",'A5.CTC FY24'!M:M,"Posted"),0)</f>
        <v>0</v>
      </c>
      <c r="AB141" s="936">
        <f>ROUND(SUMIFS('A5.CTC FY24'!K:K,'A5.CTC FY24'!E:E,'A0.LS'!E141,'A5.CTC FY24'!A:A,'A0.LS'!$AB$5,'A5.CTC FY24'!L:L,"EY",'A5.CTC FY24'!M:M,"Posted"),0)</f>
        <v>0</v>
      </c>
      <c r="AC141" s="948">
        <f t="shared" si="72"/>
        <v>0</v>
      </c>
      <c r="AD141" s="930"/>
      <c r="AE141" s="936">
        <f>ROUND(SUMIFS('TB VNSC FY24'!M:M,'TB VNSC FY24'!N:N,'A0.LS'!E141),0)</f>
        <v>0</v>
      </c>
      <c r="AF141" s="936">
        <f>SUMIFS('A5.CTC FY24'!K:K,'A5.CTC FY24'!E:E,'A0.LS'!E141,'A5.CTC FY24'!A:A,"VNSC",'A5.CTC FY24'!L:L,"VNSC",'A5.CTC FY24'!M:M,"Posted")</f>
        <v>0</v>
      </c>
      <c r="AG141" s="936">
        <f>ROUND(SUMIFS('A5.CTC FY24'!K:K,'A5.CTC FY24'!E:E,'A0.LS'!E141,'A5.CTC FY24'!A:A,"VNSC",'A5.CTC FY24'!L:L,"EY",'A5.CTC FY24'!M:M,"Posted"),0)</f>
        <v>0</v>
      </c>
      <c r="AH141" s="936">
        <f t="shared" si="73"/>
        <v>0</v>
      </c>
      <c r="AI141" s="930"/>
      <c r="AJ141" s="936">
        <f>SUMIFS('TB.KCG.FY24'!I:I,'TB.KCG.FY24'!A:A,'A0.LS'!E141)</f>
        <v>0</v>
      </c>
      <c r="AK141" s="936">
        <f>ROUND(SUMIFS('A5.CTC FY24'!K:K,'A5.CTC FY24'!E:E,'A0.LS'!E141,'A5.CTC FY24'!A:A,'A0.LS'!$AK$5,'A5.CTC FY24'!L:L,"EY",'A5.CTC FY24'!M:M,"Posted"),0)</f>
        <v>0</v>
      </c>
      <c r="AL141" s="948">
        <f t="shared" si="74"/>
        <v>0</v>
      </c>
      <c r="AM141" s="930"/>
      <c r="AN141" s="949">
        <f t="shared" si="75"/>
        <v>0</v>
      </c>
      <c r="AO141" s="950">
        <f>ROUND(SUMIFS('A5.Consol FY24'!L:L,'A5.Consol FY24'!M:M,"EY",'A5.Consol FY24'!N:N,"Posted",'A5.Consol FY24'!B:B,'A0.LS'!$AO$5,'A5.Consol FY24'!F:F,'A0.LS'!E141),0)</f>
        <v>0</v>
      </c>
      <c r="AP141" s="949">
        <f t="shared" si="76"/>
        <v>0</v>
      </c>
      <c r="AQ141" s="930"/>
      <c r="AR141" s="936">
        <f>ROUND(SUMIFS('TB.XH.FY24'!I:I,'TB.XH.FY24'!J:J,'A0.LS'!E141),0)</f>
        <v>0</v>
      </c>
      <c r="AS141" s="936">
        <f>ROUND(SUMIFS('A5.CTC FY24'!K:K,'A5.CTC FY24'!E:E,'A0.LS'!E141,'A5.CTC FY24'!A:A,'A0.LS'!$AS$5,'A5.CTC FY24'!L:L,"EY",'A5.CTC FY24'!M:M,"Posted"),0)</f>
        <v>0</v>
      </c>
      <c r="AT141" s="948">
        <f t="shared" si="77"/>
        <v>0</v>
      </c>
      <c r="AU141" s="930"/>
      <c r="AV141" s="951">
        <f t="shared" si="78"/>
        <v>0</v>
      </c>
      <c r="AW141" s="952">
        <f>SUMIFS('A5.Consol FY24'!L:L,'A5.Consol FY24'!B:B,'A0.LS'!$AW$5,'A5.Consol FY24'!M:M,"EY",'A5.Consol FY24'!N:N,"Posted",'A5.Consol FY24'!F:F,'A0.LS'!E141)</f>
        <v>0</v>
      </c>
      <c r="AX141" s="951">
        <f t="shared" si="79"/>
        <v>0</v>
      </c>
      <c r="AY141" s="920"/>
      <c r="AZ141" s="936">
        <f>SUMIFS('TB.CTC.YE22'!Q:Q,'TB.CTC.YE22'!A:A,'A0.LS'!E141)</f>
        <v>0</v>
      </c>
      <c r="BA141" s="936">
        <f>ROUND(SUMIFS('A5.YE22'!J:J,'A5.YE22'!K:K,'A0.LS'!$BA$5,'A5.YE22'!L:L,"Posted",'A5.YE22'!D:D,'A0.LS'!E141),0)</f>
        <v>0</v>
      </c>
      <c r="BB141" s="936">
        <f t="shared" si="80"/>
        <v>0</v>
      </c>
      <c r="BC141" s="937"/>
      <c r="BD141" s="936">
        <f>ROUND(SUMIFS('TB.VNSC.YE22'!L:L,'TB.VNSC.YE22'!A:A,'A0.LS'!E141),0)</f>
        <v>0</v>
      </c>
      <c r="BE141" s="936">
        <f>ROUND(SUMIFS('A5.YE22'!J:J,'A5.YE22'!K:K,'A0.LS'!$BE$5,'A5.YE22'!L:L,"Posted",'A5.YE22'!D:D,'A0.LS'!E141),0)</f>
        <v>0</v>
      </c>
      <c r="BF141" s="936">
        <f t="shared" si="81"/>
        <v>0</v>
      </c>
      <c r="BG141" s="937"/>
      <c r="BH141" s="936">
        <f>ROUND(SUMIFS('TB.XH.YE22'!P:P,'TB.XH.YE22'!A:A,'A0.LS'!E141),0)</f>
        <v>0</v>
      </c>
      <c r="BI141" s="936">
        <f>ROUND(SUMIFS('A5.YE22'!J:J,'A5.YE22'!K:K,"XH",'A5.YE22'!L:L,"Posted",'A5.YE22'!D:D,'A0.LS'!E141),0)</f>
        <v>0</v>
      </c>
      <c r="BJ141" s="936">
        <f t="shared" si="82"/>
        <v>0</v>
      </c>
      <c r="BK141" s="937"/>
      <c r="BL141" s="936">
        <f>ROUND(SUMIFS('TB.KCG.YE22'!P:P,'TB.KCG.YE22'!A:A,'A0.LS'!E141),0)</f>
        <v>0</v>
      </c>
      <c r="BM141" s="936">
        <f>ROUND(SUMIFS('A5.YE22'!J:J,'A5.YE22'!K:K,'A0.LS'!$BM$5,'A5.YE22'!L:L,"Posted",'A5.YE22'!D:D,'A0.LS'!E141),0)</f>
        <v>0</v>
      </c>
      <c r="BN141" s="936">
        <f t="shared" si="83"/>
        <v>0</v>
      </c>
      <c r="BO141" s="937"/>
      <c r="BP141" s="938">
        <v>-37695399</v>
      </c>
      <c r="BQ141" s="938">
        <f>ROUND(SUMIFS('A5.YE22'!J:J,'A5.YE22'!K:K,'A0.LS'!$BQ$5,'A5.YE22'!L:L,"Posted",'A5.YE22'!D:D,'A0.LS'!E141),0)</f>
        <v>0</v>
      </c>
      <c r="BR141" s="938">
        <f t="shared" si="84"/>
        <v>-37695399</v>
      </c>
    </row>
    <row r="142" spans="1:70" ht="12.75">
      <c r="A142" s="850"/>
      <c r="B142" s="939">
        <v>319</v>
      </c>
      <c r="C142" s="940" t="s">
        <v>2336</v>
      </c>
      <c r="D142" s="941" t="s">
        <v>2336</v>
      </c>
      <c r="E142" s="928" t="s">
        <v>169</v>
      </c>
      <c r="F142" s="928" t="s">
        <v>2348</v>
      </c>
      <c r="G142" s="927" t="s">
        <v>2324</v>
      </c>
      <c r="H142" s="927" t="s">
        <v>2265</v>
      </c>
      <c r="I142" s="942">
        <f>SUMIFS('TB.CTy Me.FY2024'!I:I,'TB.CTy Me.FY2024'!A:A,'A0.LS'!E142)</f>
        <v>-166664306</v>
      </c>
      <c r="J142" s="942">
        <f>ROUND(SUMIFS('A5.FY24'!K:K,'A5.FY24'!E:E,'A0.LS'!E142,'A5.FY24'!L:L,"Finhay",'A5.FY24'!M:M,"Posted"),0)</f>
        <v>0</v>
      </c>
      <c r="K142" s="942">
        <f>ROUND(SUMIFS('A5.FY24'!K:K,'A5.FY24'!E:E,'A0.LS'!E142,'A5.FY24'!L:L,"EY",'A5.FY24'!M:M,"Posted"),0)</f>
        <v>0</v>
      </c>
      <c r="L142" s="943">
        <f t="shared" si="70"/>
        <v>-166664306</v>
      </c>
      <c r="M142" s="930"/>
      <c r="N142" s="944">
        <f>SUMIFS('TB.CTM.YE23'!I:I,'TB.CTM.YE23'!A:A,'A0.LS'!E142)</f>
        <v>-92992241</v>
      </c>
      <c r="O142" s="944">
        <v>-10604100</v>
      </c>
      <c r="P142" s="944">
        <v>0</v>
      </c>
      <c r="Q142" s="945">
        <f t="shared" si="71"/>
        <v>-103596341</v>
      </c>
      <c r="R142" s="898"/>
      <c r="S142" s="848">
        <f t="shared" si="68"/>
        <v>-63067965</v>
      </c>
      <c r="T142" s="946">
        <f t="shared" si="69"/>
        <v>0.60878564234232946</v>
      </c>
      <c r="U142" s="850"/>
      <c r="V142" s="850" t="s">
        <v>2325</v>
      </c>
      <c r="W142" s="850"/>
      <c r="X142" s="947" t="s">
        <v>2227</v>
      </c>
      <c r="Y142" s="947" t="s">
        <v>2324</v>
      </c>
      <c r="Z142" s="936">
        <f>ROUND(SUMIFS('TB.Cty Con.FY24'!I:I,'TB.Cty Con.FY24'!A:A,'A0.LS'!E142),0)</f>
        <v>0</v>
      </c>
      <c r="AA142" s="936">
        <f>ROUND(SUMIFS('A5.CTC FY24'!K:K,'A5.CTC FY24'!E:E,'A0.LS'!E142,'A5.CTC FY24'!A:A,'A0.LS'!$AA$5,'A5.CTC FY24'!L:L,"Finhay",'A5.CTC FY24'!M:M,"Posted"),0)</f>
        <v>0</v>
      </c>
      <c r="AB142" s="936">
        <f>ROUND(SUMIFS('A5.CTC FY24'!K:K,'A5.CTC FY24'!E:E,'A0.LS'!E142,'A5.CTC FY24'!A:A,'A0.LS'!$AB$5,'A5.CTC FY24'!L:L,"EY",'A5.CTC FY24'!M:M,"Posted"),0)</f>
        <v>0</v>
      </c>
      <c r="AC142" s="948">
        <f t="shared" si="72"/>
        <v>0</v>
      </c>
      <c r="AD142" s="930"/>
      <c r="AE142" s="936">
        <f>ROUND(SUMIFS('TB VNSC FY24'!M:M,'TB VNSC FY24'!N:N,'A0.LS'!E142),0)</f>
        <v>0</v>
      </c>
      <c r="AF142" s="936">
        <f>SUMIFS('A5.CTC FY24'!K:K,'A5.CTC FY24'!E:E,'A0.LS'!E142,'A5.CTC FY24'!A:A,"VNSC",'A5.CTC FY24'!L:L,"VNSC",'A5.CTC FY24'!M:M,"Posted")</f>
        <v>0</v>
      </c>
      <c r="AG142" s="936">
        <f>ROUND(SUMIFS('A5.CTC FY24'!K:K,'A5.CTC FY24'!E:E,'A0.LS'!E142,'A5.CTC FY24'!A:A,"VNSC",'A5.CTC FY24'!L:L,"EY",'A5.CTC FY24'!M:M,"Posted"),0)</f>
        <v>0</v>
      </c>
      <c r="AH142" s="936">
        <f t="shared" si="73"/>
        <v>0</v>
      </c>
      <c r="AI142" s="930"/>
      <c r="AJ142" s="936">
        <f>SUMIFS('TB.KCG.FY24'!I:I,'TB.KCG.FY24'!A:A,'A0.LS'!E142)</f>
        <v>0</v>
      </c>
      <c r="AK142" s="936">
        <f>ROUND(SUMIFS('A5.CTC FY24'!K:K,'A5.CTC FY24'!E:E,'A0.LS'!E142,'A5.CTC FY24'!A:A,'A0.LS'!$AK$5,'A5.CTC FY24'!L:L,"EY",'A5.CTC FY24'!M:M,"Posted"),0)</f>
        <v>0</v>
      </c>
      <c r="AL142" s="948">
        <f t="shared" si="74"/>
        <v>0</v>
      </c>
      <c r="AM142" s="930"/>
      <c r="AN142" s="949">
        <f t="shared" si="75"/>
        <v>0</v>
      </c>
      <c r="AO142" s="950">
        <f>ROUND(SUMIFS('A5.Consol FY24'!L:L,'A5.Consol FY24'!M:M,"EY",'A5.Consol FY24'!N:N,"Posted",'A5.Consol FY24'!B:B,'A0.LS'!$AO$5,'A5.Consol FY24'!F:F,'A0.LS'!E142),0)</f>
        <v>0</v>
      </c>
      <c r="AP142" s="949">
        <f t="shared" si="76"/>
        <v>0</v>
      </c>
      <c r="AQ142" s="930"/>
      <c r="AR142" s="936">
        <f>ROUND(SUMIFS('TB.XH.FY24'!I:I,'TB.XH.FY24'!J:J,'A0.LS'!E142),0)</f>
        <v>0</v>
      </c>
      <c r="AS142" s="936">
        <f>ROUND(SUMIFS('A5.CTC FY24'!K:K,'A5.CTC FY24'!E:E,'A0.LS'!E142,'A5.CTC FY24'!A:A,'A0.LS'!$AS$5,'A5.CTC FY24'!L:L,"EY",'A5.CTC FY24'!M:M,"Posted"),0)</f>
        <v>0</v>
      </c>
      <c r="AT142" s="948">
        <f t="shared" si="77"/>
        <v>0</v>
      </c>
      <c r="AU142" s="930"/>
      <c r="AV142" s="951">
        <f t="shared" si="78"/>
        <v>-166664306</v>
      </c>
      <c r="AW142" s="952">
        <f>SUMIFS('A5.Consol FY24'!L:L,'A5.Consol FY24'!B:B,'A0.LS'!$AW$5,'A5.Consol FY24'!M:M,"EY",'A5.Consol FY24'!N:N,"Posted",'A5.Consol FY24'!F:F,'A0.LS'!E142)</f>
        <v>0</v>
      </c>
      <c r="AX142" s="951">
        <f t="shared" si="79"/>
        <v>-166664306</v>
      </c>
      <c r="AY142" s="920"/>
      <c r="AZ142" s="936">
        <f>SUMIFS('TB.CTC.YE22'!Q:Q,'TB.CTC.YE22'!A:A,'A0.LS'!E142)</f>
        <v>0</v>
      </c>
      <c r="BA142" s="936">
        <f>ROUND(SUMIFS('A5.YE22'!J:J,'A5.YE22'!K:K,'A0.LS'!$BA$5,'A5.YE22'!L:L,"Posted",'A5.YE22'!D:D,'A0.LS'!E142),0)</f>
        <v>0</v>
      </c>
      <c r="BB142" s="936">
        <f t="shared" si="80"/>
        <v>0</v>
      </c>
      <c r="BC142" s="937"/>
      <c r="BD142" s="936">
        <f>ROUND(SUMIFS('TB.VNSC.YE22'!L:L,'TB.VNSC.YE22'!A:A,'A0.LS'!E142),0)</f>
        <v>0</v>
      </c>
      <c r="BE142" s="936">
        <f>ROUND(SUMIFS('A5.YE22'!J:J,'A5.YE22'!K:K,'A0.LS'!$BE$5,'A5.YE22'!L:L,"Posted",'A5.YE22'!D:D,'A0.LS'!E142),0)</f>
        <v>0</v>
      </c>
      <c r="BF142" s="936">
        <f t="shared" si="81"/>
        <v>0</v>
      </c>
      <c r="BG142" s="937"/>
      <c r="BH142" s="936">
        <f>ROUND(SUMIFS('TB.XH.YE22'!P:P,'TB.XH.YE22'!A:A,'A0.LS'!E142),0)</f>
        <v>0</v>
      </c>
      <c r="BI142" s="936">
        <f>ROUND(SUMIFS('A5.YE22'!J:J,'A5.YE22'!K:K,"XH",'A5.YE22'!L:L,"Posted",'A5.YE22'!D:D,'A0.LS'!E142),0)</f>
        <v>0</v>
      </c>
      <c r="BJ142" s="936">
        <f t="shared" si="82"/>
        <v>0</v>
      </c>
      <c r="BK142" s="937"/>
      <c r="BL142" s="936">
        <f>ROUND(SUMIFS('TB.KCG.YE22'!P:P,'TB.KCG.YE22'!A:A,'A0.LS'!E142),0)</f>
        <v>0</v>
      </c>
      <c r="BM142" s="936">
        <f>ROUND(SUMIFS('A5.YE22'!J:J,'A5.YE22'!K:K,'A0.LS'!$BM$5,'A5.YE22'!L:L,"Posted",'A5.YE22'!D:D,'A0.LS'!E142),0)</f>
        <v>0</v>
      </c>
      <c r="BN142" s="936">
        <f t="shared" si="83"/>
        <v>0</v>
      </c>
      <c r="BO142" s="937"/>
      <c r="BP142" s="938">
        <v>-103596341</v>
      </c>
      <c r="BQ142" s="938">
        <f>ROUND(SUMIFS('A5.YE22'!J:J,'A5.YE22'!K:K,'A0.LS'!$BQ$5,'A5.YE22'!L:L,"Posted",'A5.YE22'!D:D,'A0.LS'!E142),0)</f>
        <v>0</v>
      </c>
      <c r="BR142" s="938">
        <f t="shared" si="84"/>
        <v>-103596341</v>
      </c>
    </row>
    <row r="143" spans="1:70" ht="12.75">
      <c r="A143" s="850"/>
      <c r="B143" s="939">
        <v>319</v>
      </c>
      <c r="C143" s="940" t="s">
        <v>2330</v>
      </c>
      <c r="D143" s="941" t="s">
        <v>2330</v>
      </c>
      <c r="E143" s="928" t="s">
        <v>2349</v>
      </c>
      <c r="F143" s="928" t="s">
        <v>2350</v>
      </c>
      <c r="G143" s="927" t="s">
        <v>2324</v>
      </c>
      <c r="H143" s="927" t="s">
        <v>2265</v>
      </c>
      <c r="I143" s="942">
        <f>SUMIFS('TB.CTy Me.FY2024'!I:I,'TB.CTy Me.FY2024'!A:A,'A0.LS'!E143)</f>
        <v>0</v>
      </c>
      <c r="J143" s="942">
        <f>ROUND(SUMIFS('A5.FY24'!K:K,'A5.FY24'!E:E,'A0.LS'!E143,'A5.FY24'!L:L,"Finhay",'A5.FY24'!M:M,"Posted"),0)</f>
        <v>0</v>
      </c>
      <c r="K143" s="942">
        <f>ROUND(SUMIFS('A5.FY24'!K:K,'A5.FY24'!E:E,'A0.LS'!E143,'A5.FY24'!L:L,"EY",'A5.FY24'!M:M,"Posted"),0)</f>
        <v>0</v>
      </c>
      <c r="L143" s="943">
        <f t="shared" si="70"/>
        <v>0</v>
      </c>
      <c r="M143" s="930"/>
      <c r="N143" s="944">
        <f>SUMIFS('TB.CTM.YE23'!I:I,'TB.CTM.YE23'!A:A,'A0.LS'!E143)</f>
        <v>0</v>
      </c>
      <c r="O143" s="944">
        <v>0</v>
      </c>
      <c r="P143" s="944">
        <v>0</v>
      </c>
      <c r="Q143" s="945">
        <f t="shared" si="71"/>
        <v>0</v>
      </c>
      <c r="R143" s="898"/>
      <c r="S143" s="848">
        <f t="shared" si="68"/>
        <v>0</v>
      </c>
      <c r="T143" s="946" t="str">
        <f t="shared" si="69"/>
        <v>To check</v>
      </c>
      <c r="U143" s="850"/>
      <c r="V143" s="850" t="s">
        <v>2325</v>
      </c>
      <c r="W143" s="850"/>
      <c r="X143" s="933"/>
      <c r="Y143" s="947" t="s">
        <v>2324</v>
      </c>
      <c r="Z143" s="936">
        <f>ROUND(SUMIFS('TB.Cty Con.FY24'!I:I,'TB.Cty Con.FY24'!A:A,'A0.LS'!E143),0)</f>
        <v>0</v>
      </c>
      <c r="AA143" s="936">
        <f>ROUND(SUMIFS('A5.CTC FY24'!K:K,'A5.CTC FY24'!E:E,'A0.LS'!E143,'A5.CTC FY24'!A:A,'A0.LS'!$AA$5,'A5.CTC FY24'!L:L,"Finhay",'A5.CTC FY24'!M:M,"Posted"),0)</f>
        <v>0</v>
      </c>
      <c r="AB143" s="936">
        <f>ROUND(SUMIFS('A5.CTC FY24'!K:K,'A5.CTC FY24'!E:E,'A0.LS'!E143,'A5.CTC FY24'!A:A,'A0.LS'!$AB$5,'A5.CTC FY24'!L:L,"EY",'A5.CTC FY24'!M:M,"Posted"),0)</f>
        <v>0</v>
      </c>
      <c r="AC143" s="948">
        <f t="shared" si="72"/>
        <v>0</v>
      </c>
      <c r="AD143" s="930"/>
      <c r="AE143" s="936">
        <f>ROUND(SUMIFS('TB VNSC FY24'!M:M,'TB VNSC FY24'!N:N,'A0.LS'!E143),0)</f>
        <v>0</v>
      </c>
      <c r="AF143" s="936">
        <f>SUMIFS('A5.CTC FY24'!K:K,'A5.CTC FY24'!E:E,'A0.LS'!E143,'A5.CTC FY24'!A:A,"VNSC",'A5.CTC FY24'!L:L,"VNSC",'A5.CTC FY24'!M:M,"Posted")</f>
        <v>0</v>
      </c>
      <c r="AG143" s="936">
        <f>ROUND(SUMIFS('A5.CTC FY24'!K:K,'A5.CTC FY24'!E:E,'A0.LS'!E143,'A5.CTC FY24'!A:A,"VNSC",'A5.CTC FY24'!L:L,"EY",'A5.CTC FY24'!M:M,"Posted"),0)</f>
        <v>0</v>
      </c>
      <c r="AH143" s="936">
        <f t="shared" si="73"/>
        <v>0</v>
      </c>
      <c r="AI143" s="930"/>
      <c r="AJ143" s="936">
        <f>SUMIFS('TB.KCG.FY24'!I:I,'TB.KCG.FY24'!A:A,'A0.LS'!E143)</f>
        <v>0</v>
      </c>
      <c r="AK143" s="936">
        <f>ROUND(SUMIFS('A5.CTC FY24'!K:K,'A5.CTC FY24'!E:E,'A0.LS'!E143,'A5.CTC FY24'!A:A,'A0.LS'!$AK$5,'A5.CTC FY24'!L:L,"EY",'A5.CTC FY24'!M:M,"Posted"),0)</f>
        <v>0</v>
      </c>
      <c r="AL143" s="948">
        <f t="shared" si="74"/>
        <v>0</v>
      </c>
      <c r="AM143" s="930"/>
      <c r="AN143" s="949">
        <f t="shared" si="75"/>
        <v>0</v>
      </c>
      <c r="AO143" s="950">
        <f>ROUND(SUMIFS('A5.Consol FY24'!L:L,'A5.Consol FY24'!M:M,"EY",'A5.Consol FY24'!N:N,"Posted",'A5.Consol FY24'!B:B,'A0.LS'!$AO$5,'A5.Consol FY24'!F:F,'A0.LS'!E143),0)</f>
        <v>0</v>
      </c>
      <c r="AP143" s="949">
        <f t="shared" si="76"/>
        <v>0</v>
      </c>
      <c r="AQ143" s="930"/>
      <c r="AR143" s="936">
        <f>ROUND(SUMIFS('TB.XH.FY24'!I:I,'TB.XH.FY24'!J:J,'A0.LS'!E143),0)</f>
        <v>0</v>
      </c>
      <c r="AS143" s="936">
        <f>ROUND(SUMIFS('A5.CTC FY24'!K:K,'A5.CTC FY24'!E:E,'A0.LS'!E143,'A5.CTC FY24'!A:A,'A0.LS'!$AS$5,'A5.CTC FY24'!L:L,"EY",'A5.CTC FY24'!M:M,"Posted"),0)</f>
        <v>0</v>
      </c>
      <c r="AT143" s="948">
        <f t="shared" si="77"/>
        <v>0</v>
      </c>
      <c r="AU143" s="930"/>
      <c r="AV143" s="951">
        <f t="shared" si="78"/>
        <v>0</v>
      </c>
      <c r="AW143" s="952">
        <f>SUMIFS('A5.Consol FY24'!L:L,'A5.Consol FY24'!B:B,'A0.LS'!$AW$5,'A5.Consol FY24'!M:M,"EY",'A5.Consol FY24'!N:N,"Posted",'A5.Consol FY24'!F:F,'A0.LS'!E143)</f>
        <v>0</v>
      </c>
      <c r="AX143" s="951">
        <f t="shared" si="79"/>
        <v>0</v>
      </c>
      <c r="AY143" s="920"/>
      <c r="AZ143" s="936">
        <f>SUMIFS('TB.CTC.YE22'!Q:Q,'TB.CTC.YE22'!A:A,'A0.LS'!E143)</f>
        <v>0</v>
      </c>
      <c r="BA143" s="936">
        <f>ROUND(SUMIFS('A5.YE22'!J:J,'A5.YE22'!K:K,'A0.LS'!$BA$5,'A5.YE22'!L:L,"Posted",'A5.YE22'!D:D,'A0.LS'!E143),0)</f>
        <v>0</v>
      </c>
      <c r="BB143" s="936">
        <f t="shared" si="80"/>
        <v>0</v>
      </c>
      <c r="BC143" s="937"/>
      <c r="BD143" s="936">
        <f>ROUND(SUMIFS('TB.VNSC.YE22'!L:L,'TB.VNSC.YE22'!A:A,'A0.LS'!E143),0)</f>
        <v>0</v>
      </c>
      <c r="BE143" s="936">
        <f>ROUND(SUMIFS('A5.YE22'!J:J,'A5.YE22'!K:K,'A0.LS'!$BE$5,'A5.YE22'!L:L,"Posted",'A5.YE22'!D:D,'A0.LS'!E143),0)</f>
        <v>0</v>
      </c>
      <c r="BF143" s="936">
        <f t="shared" si="81"/>
        <v>0</v>
      </c>
      <c r="BG143" s="937"/>
      <c r="BH143" s="936">
        <f>ROUND(SUMIFS('TB.XH.YE22'!P:P,'TB.XH.YE22'!A:A,'A0.LS'!E143),0)</f>
        <v>0</v>
      </c>
      <c r="BI143" s="936">
        <f>ROUND(SUMIFS('A5.YE22'!J:J,'A5.YE22'!K:K,"XH",'A5.YE22'!L:L,"Posted",'A5.YE22'!D:D,'A0.LS'!E143),0)</f>
        <v>0</v>
      </c>
      <c r="BJ143" s="936">
        <f t="shared" si="82"/>
        <v>0</v>
      </c>
      <c r="BK143" s="937"/>
      <c r="BL143" s="936">
        <f>ROUND(SUMIFS('TB.KCG.YE22'!P:P,'TB.KCG.YE22'!A:A,'A0.LS'!E143),0)</f>
        <v>0</v>
      </c>
      <c r="BM143" s="936">
        <f>ROUND(SUMIFS('A5.YE22'!J:J,'A5.YE22'!K:K,'A0.LS'!$BM$5,'A5.YE22'!L:L,"Posted",'A5.YE22'!D:D,'A0.LS'!E143),0)</f>
        <v>0</v>
      </c>
      <c r="BN143" s="936">
        <f t="shared" si="83"/>
        <v>0</v>
      </c>
      <c r="BO143" s="937"/>
      <c r="BP143" s="938">
        <v>0</v>
      </c>
      <c r="BQ143" s="938">
        <f>ROUND(SUMIFS('A5.YE22'!J:J,'A5.YE22'!K:K,'A0.LS'!$BQ$5,'A5.YE22'!L:L,"Posted",'A5.YE22'!D:D,'A0.LS'!E143),0)</f>
        <v>0</v>
      </c>
      <c r="BR143" s="938">
        <f t="shared" si="84"/>
        <v>0</v>
      </c>
    </row>
    <row r="144" spans="1:70" ht="12.75">
      <c r="A144" s="850"/>
      <c r="B144" s="939">
        <v>319</v>
      </c>
      <c r="C144" s="940" t="s">
        <v>2339</v>
      </c>
      <c r="D144" s="941" t="s">
        <v>2339</v>
      </c>
      <c r="E144" s="928" t="s">
        <v>175</v>
      </c>
      <c r="F144" s="928" t="s">
        <v>2351</v>
      </c>
      <c r="G144" s="927" t="s">
        <v>2324</v>
      </c>
      <c r="H144" s="927" t="s">
        <v>2265</v>
      </c>
      <c r="I144" s="942">
        <f>SUMIFS('TB.CTy Me.FY2024'!I:I,'TB.CTy Me.FY2024'!A:A,'A0.LS'!E144)</f>
        <v>-20205464066</v>
      </c>
      <c r="J144" s="942">
        <f>ROUND(SUMIFS('A5.FY24'!K:K,'A5.FY24'!E:E,'A0.LS'!E144,'A5.FY24'!L:L,"Finhay",'A5.FY24'!M:M,"Posted"),0)</f>
        <v>54885</v>
      </c>
      <c r="K144" s="942">
        <f>ROUND(SUMIFS('A5.FY24'!K:K,'A5.FY24'!E:E,'A0.LS'!E144,'A5.FY24'!L:L,"EY",'A5.FY24'!M:M,"Posted"),0)</f>
        <v>0</v>
      </c>
      <c r="L144" s="943">
        <f t="shared" si="70"/>
        <v>-20205409181</v>
      </c>
      <c r="M144" s="930"/>
      <c r="N144" s="944">
        <f>SUMIFS('TB.CTM.YE23'!I:I,'TB.CTM.YE23'!A:A,'A0.LS'!E144)</f>
        <v>-25848880790</v>
      </c>
      <c r="O144" s="944">
        <v>0</v>
      </c>
      <c r="P144" s="944">
        <v>0</v>
      </c>
      <c r="Q144" s="945">
        <f t="shared" si="71"/>
        <v>-25848880790</v>
      </c>
      <c r="R144" s="898"/>
      <c r="S144" s="848">
        <f t="shared" si="68"/>
        <v>5643471609</v>
      </c>
      <c r="T144" s="946">
        <f t="shared" si="69"/>
        <v>-0.21832556909710596</v>
      </c>
      <c r="U144" s="850"/>
      <c r="V144" s="850" t="s">
        <v>2340</v>
      </c>
      <c r="W144" s="850"/>
      <c r="X144" s="304"/>
      <c r="Y144" s="947" t="s">
        <v>2324</v>
      </c>
      <c r="Z144" s="936">
        <f>ROUND(SUMIFS('TB.Cty Con.FY24'!I:I,'TB.Cty Con.FY24'!A:A,'A0.LS'!E144),0)</f>
        <v>0</v>
      </c>
      <c r="AA144" s="936">
        <f>ROUND(SUMIFS('A5.CTC FY24'!K:K,'A5.CTC FY24'!E:E,'A0.LS'!E144,'A5.CTC FY24'!A:A,'A0.LS'!$AA$5,'A5.CTC FY24'!L:L,"Finhay",'A5.CTC FY24'!M:M,"Posted"),0)</f>
        <v>0</v>
      </c>
      <c r="AB144" s="936">
        <f>ROUND(SUMIFS('A5.CTC FY24'!K:K,'A5.CTC FY24'!E:E,'A0.LS'!E144,'A5.CTC FY24'!A:A,'A0.LS'!$AB$5,'A5.CTC FY24'!L:L,"EY",'A5.CTC FY24'!M:M,"Posted"),0)</f>
        <v>0</v>
      </c>
      <c r="AC144" s="948">
        <f t="shared" si="72"/>
        <v>0</v>
      </c>
      <c r="AD144" s="930"/>
      <c r="AE144" s="936">
        <f>ROUND(SUMIFS('TB VNSC FY24'!M:M,'TB VNSC FY24'!N:N,'A0.LS'!E144),0)</f>
        <v>0</v>
      </c>
      <c r="AF144" s="936">
        <f>SUMIFS('A5.CTC FY24'!K:K,'A5.CTC FY24'!E:E,'A0.LS'!E144,'A5.CTC FY24'!A:A,"VNSC",'A5.CTC FY24'!L:L,"VNSC",'A5.CTC FY24'!M:M,"Posted")</f>
        <v>0</v>
      </c>
      <c r="AG144" s="936">
        <f>ROUND(SUMIFS('A5.CTC FY24'!K:K,'A5.CTC FY24'!E:E,'A0.LS'!E144,'A5.CTC FY24'!A:A,"VNSC",'A5.CTC FY24'!L:L,"EY",'A5.CTC FY24'!M:M,"Posted"),0)</f>
        <v>0</v>
      </c>
      <c r="AH144" s="936">
        <f t="shared" si="73"/>
        <v>0</v>
      </c>
      <c r="AI144" s="930"/>
      <c r="AJ144" s="936">
        <f>SUMIFS('TB.KCG.FY24'!I:I,'TB.KCG.FY24'!A:A,'A0.LS'!E144)</f>
        <v>0</v>
      </c>
      <c r="AK144" s="936">
        <f>ROUND(SUMIFS('A5.CTC FY24'!K:K,'A5.CTC FY24'!E:E,'A0.LS'!E144,'A5.CTC FY24'!A:A,'A0.LS'!$AK$5,'A5.CTC FY24'!L:L,"EY",'A5.CTC FY24'!M:M,"Posted"),0)</f>
        <v>0</v>
      </c>
      <c r="AL144" s="948">
        <f t="shared" si="74"/>
        <v>0</v>
      </c>
      <c r="AM144" s="930"/>
      <c r="AN144" s="949">
        <f t="shared" si="75"/>
        <v>0</v>
      </c>
      <c r="AO144" s="950">
        <f>ROUND(SUMIFS('A5.Consol FY24'!L:L,'A5.Consol FY24'!M:M,"EY",'A5.Consol FY24'!N:N,"Posted",'A5.Consol FY24'!B:B,'A0.LS'!$AO$5,'A5.Consol FY24'!F:F,'A0.LS'!E144),0)</f>
        <v>0</v>
      </c>
      <c r="AP144" s="949">
        <f t="shared" si="76"/>
        <v>0</v>
      </c>
      <c r="AQ144" s="930"/>
      <c r="AR144" s="936">
        <f>ROUND(SUMIFS('TB.XH.FY24'!I:I,'TB.XH.FY24'!J:J,'A0.LS'!E144),0)</f>
        <v>0</v>
      </c>
      <c r="AS144" s="936">
        <f>ROUND(SUMIFS('A5.CTC FY24'!K:K,'A5.CTC FY24'!E:E,'A0.LS'!E144,'A5.CTC FY24'!A:A,'A0.LS'!$AS$5,'A5.CTC FY24'!L:L,"EY",'A5.CTC FY24'!M:M,"Posted"),0)</f>
        <v>0</v>
      </c>
      <c r="AT144" s="948">
        <f t="shared" si="77"/>
        <v>0</v>
      </c>
      <c r="AU144" s="930"/>
      <c r="AV144" s="951">
        <f t="shared" si="78"/>
        <v>-20205409181</v>
      </c>
      <c r="AW144" s="952">
        <f>SUMIFS('A5.Consol FY24'!L:L,'A5.Consol FY24'!B:B,'A0.LS'!$AW$5,'A5.Consol FY24'!M:M,"EY",'A5.Consol FY24'!N:N,"Posted",'A5.Consol FY24'!F:F,'A0.LS'!E144)</f>
        <v>0</v>
      </c>
      <c r="AX144" s="951">
        <f t="shared" si="79"/>
        <v>-20205409181</v>
      </c>
      <c r="AY144" s="920"/>
      <c r="AZ144" s="936">
        <f>SUMIFS('TB.CTC.YE22'!Q:Q,'TB.CTC.YE22'!A:A,'A0.LS'!E144)</f>
        <v>0</v>
      </c>
      <c r="BA144" s="936">
        <f>ROUND(SUMIFS('A5.YE22'!J:J,'A5.YE22'!K:K,'A0.LS'!$BA$5,'A5.YE22'!L:L,"Posted",'A5.YE22'!D:D,'A0.LS'!E144),0)</f>
        <v>0</v>
      </c>
      <c r="BB144" s="936">
        <f t="shared" si="80"/>
        <v>0</v>
      </c>
      <c r="BC144" s="937"/>
      <c r="BD144" s="936">
        <f>ROUND(SUMIFS('TB.VNSC.YE22'!L:L,'TB.VNSC.YE22'!A:A,'A0.LS'!E144),0)</f>
        <v>0</v>
      </c>
      <c r="BE144" s="936">
        <f>ROUND(SUMIFS('A5.YE22'!J:J,'A5.YE22'!K:K,'A0.LS'!$BE$5,'A5.YE22'!L:L,"Posted",'A5.YE22'!D:D,'A0.LS'!E144),0)</f>
        <v>0</v>
      </c>
      <c r="BF144" s="936">
        <f t="shared" si="81"/>
        <v>0</v>
      </c>
      <c r="BG144" s="937"/>
      <c r="BH144" s="936">
        <f>ROUND(SUMIFS('TB.XH.YE22'!P:P,'TB.XH.YE22'!A:A,'A0.LS'!E144),0)</f>
        <v>0</v>
      </c>
      <c r="BI144" s="936">
        <f>ROUND(SUMIFS('A5.YE22'!J:J,'A5.YE22'!K:K,"XH",'A5.YE22'!L:L,"Posted",'A5.YE22'!D:D,'A0.LS'!E144),0)</f>
        <v>0</v>
      </c>
      <c r="BJ144" s="936">
        <f t="shared" si="82"/>
        <v>0</v>
      </c>
      <c r="BK144" s="937"/>
      <c r="BL144" s="936">
        <f>ROUND(SUMIFS('TB.KCG.YE22'!P:P,'TB.KCG.YE22'!A:A,'A0.LS'!E144),0)</f>
        <v>0</v>
      </c>
      <c r="BM144" s="936">
        <f>ROUND(SUMIFS('A5.YE22'!J:J,'A5.YE22'!K:K,'A0.LS'!$BM$5,'A5.YE22'!L:L,"Posted",'A5.YE22'!D:D,'A0.LS'!E144),0)</f>
        <v>0</v>
      </c>
      <c r="BN144" s="936">
        <f t="shared" si="83"/>
        <v>0</v>
      </c>
      <c r="BO144" s="937"/>
      <c r="BP144" s="938">
        <v>-25848880790</v>
      </c>
      <c r="BQ144" s="938">
        <f>ROUND(SUMIFS('A5.YE22'!J:J,'A5.YE22'!K:K,'A0.LS'!$BQ$5,'A5.YE22'!L:L,"Posted",'A5.YE22'!D:D,'A0.LS'!E144),0)</f>
        <v>0</v>
      </c>
      <c r="BR144" s="938">
        <f t="shared" si="84"/>
        <v>-25848880790</v>
      </c>
    </row>
    <row r="145" spans="1:70" ht="12.75">
      <c r="A145" s="850"/>
      <c r="B145" s="939">
        <v>319</v>
      </c>
      <c r="C145" s="940" t="s">
        <v>2339</v>
      </c>
      <c r="D145" s="941" t="s">
        <v>2339</v>
      </c>
      <c r="E145" s="928" t="s">
        <v>2352</v>
      </c>
      <c r="F145" s="928" t="s">
        <v>2353</v>
      </c>
      <c r="G145" s="927" t="s">
        <v>2324</v>
      </c>
      <c r="H145" s="927" t="s">
        <v>2265</v>
      </c>
      <c r="I145" s="942">
        <f>SUMIFS('TB.CTy Me.FY2024'!I:I,'TB.CTy Me.FY2024'!A:A,'A0.LS'!E145)</f>
        <v>0</v>
      </c>
      <c r="J145" s="942">
        <f>ROUND(SUMIFS('A5.FY24'!K:K,'A5.FY24'!E:E,'A0.LS'!E145,'A5.FY24'!L:L,"Finhay",'A5.FY24'!M:M,"Posted"),0)</f>
        <v>0</v>
      </c>
      <c r="K145" s="942">
        <f>ROUND(SUMIFS('A5.FY24'!K:K,'A5.FY24'!E:E,'A0.LS'!E145,'A5.FY24'!L:L,"EY",'A5.FY24'!M:M,"Posted"),0)</f>
        <v>0</v>
      </c>
      <c r="L145" s="943">
        <f t="shared" si="70"/>
        <v>0</v>
      </c>
      <c r="M145" s="930"/>
      <c r="N145" s="944">
        <f>SUMIFS('TB.CTM.YE23'!I:I,'TB.CTM.YE23'!A:A,'A0.LS'!E145)</f>
        <v>0</v>
      </c>
      <c r="O145" s="944">
        <v>0</v>
      </c>
      <c r="P145" s="944">
        <v>0</v>
      </c>
      <c r="Q145" s="945">
        <f t="shared" si="71"/>
        <v>0</v>
      </c>
      <c r="R145" s="898"/>
      <c r="S145" s="848">
        <f t="shared" si="68"/>
        <v>0</v>
      </c>
      <c r="T145" s="946" t="str">
        <f t="shared" si="69"/>
        <v>To check</v>
      </c>
      <c r="U145" s="850"/>
      <c r="V145" s="850" t="s">
        <v>2340</v>
      </c>
      <c r="W145" s="850"/>
      <c r="X145" s="947" t="s">
        <v>2227</v>
      </c>
      <c r="Y145" s="947" t="s">
        <v>2324</v>
      </c>
      <c r="Z145" s="936">
        <f>ROUND(SUMIFS('TB.Cty Con.FY24'!I:I,'TB.Cty Con.FY24'!A:A,'A0.LS'!E145),0)</f>
        <v>0</v>
      </c>
      <c r="AA145" s="936">
        <f>ROUND(SUMIFS('A5.CTC FY24'!K:K,'A5.CTC FY24'!E:E,'A0.LS'!E145,'A5.CTC FY24'!A:A,'A0.LS'!$AA$5,'A5.CTC FY24'!L:L,"Finhay",'A5.CTC FY24'!M:M,"Posted"),0)</f>
        <v>0</v>
      </c>
      <c r="AB145" s="936">
        <f>ROUND(SUMIFS('A5.CTC FY24'!K:K,'A5.CTC FY24'!E:E,'A0.LS'!E145,'A5.CTC FY24'!A:A,'A0.LS'!$AB$5,'A5.CTC FY24'!L:L,"EY",'A5.CTC FY24'!M:M,"Posted"),0)</f>
        <v>0</v>
      </c>
      <c r="AC145" s="948">
        <f t="shared" si="72"/>
        <v>0</v>
      </c>
      <c r="AD145" s="930"/>
      <c r="AE145" s="936">
        <f>ROUND(SUMIFS('TB VNSC FY24'!M:M,'TB VNSC FY24'!N:N,'A0.LS'!E145),0)</f>
        <v>0</v>
      </c>
      <c r="AF145" s="936">
        <f>SUMIFS('A5.CTC FY24'!K:K,'A5.CTC FY24'!E:E,'A0.LS'!E145,'A5.CTC FY24'!A:A,"VNSC",'A5.CTC FY24'!L:L,"VNSC",'A5.CTC FY24'!M:M,"Posted")</f>
        <v>0</v>
      </c>
      <c r="AG145" s="936">
        <f>ROUND(SUMIFS('A5.CTC FY24'!K:K,'A5.CTC FY24'!E:E,'A0.LS'!E145,'A5.CTC FY24'!A:A,"VNSC",'A5.CTC FY24'!L:L,"EY",'A5.CTC FY24'!M:M,"Posted"),0)</f>
        <v>0</v>
      </c>
      <c r="AH145" s="936">
        <f t="shared" si="73"/>
        <v>0</v>
      </c>
      <c r="AI145" s="930"/>
      <c r="AJ145" s="936">
        <f>SUMIFS('TB.KCG.FY24'!I:I,'TB.KCG.FY24'!A:A,'A0.LS'!E145)</f>
        <v>0</v>
      </c>
      <c r="AK145" s="936">
        <f>ROUND(SUMIFS('A5.CTC FY24'!K:K,'A5.CTC FY24'!E:E,'A0.LS'!E145,'A5.CTC FY24'!A:A,'A0.LS'!$AK$5,'A5.CTC FY24'!L:L,"EY",'A5.CTC FY24'!M:M,"Posted"),0)</f>
        <v>0</v>
      </c>
      <c r="AL145" s="948">
        <f t="shared" si="74"/>
        <v>0</v>
      </c>
      <c r="AM145" s="930"/>
      <c r="AN145" s="949">
        <f t="shared" si="75"/>
        <v>0</v>
      </c>
      <c r="AO145" s="950">
        <f>ROUND(SUMIFS('A5.Consol FY24'!L:L,'A5.Consol FY24'!M:M,"EY",'A5.Consol FY24'!N:N,"Posted",'A5.Consol FY24'!B:B,'A0.LS'!$AO$5,'A5.Consol FY24'!F:F,'A0.LS'!E145),0)</f>
        <v>0</v>
      </c>
      <c r="AP145" s="949">
        <f t="shared" si="76"/>
        <v>0</v>
      </c>
      <c r="AQ145" s="930"/>
      <c r="AR145" s="936">
        <f>ROUND(SUMIFS('TB.XH.FY24'!I:I,'TB.XH.FY24'!J:J,'A0.LS'!E145),0)</f>
        <v>0</v>
      </c>
      <c r="AS145" s="936">
        <f>ROUND(SUMIFS('A5.CTC FY24'!K:K,'A5.CTC FY24'!E:E,'A0.LS'!E145,'A5.CTC FY24'!A:A,'A0.LS'!$AS$5,'A5.CTC FY24'!L:L,"EY",'A5.CTC FY24'!M:M,"Posted"),0)</f>
        <v>0</v>
      </c>
      <c r="AT145" s="948">
        <f t="shared" si="77"/>
        <v>0</v>
      </c>
      <c r="AU145" s="930"/>
      <c r="AV145" s="951">
        <f t="shared" si="78"/>
        <v>0</v>
      </c>
      <c r="AW145" s="952">
        <f>SUMIFS('A5.Consol FY24'!L:L,'A5.Consol FY24'!B:B,'A0.LS'!$AW$5,'A5.Consol FY24'!M:M,"EY",'A5.Consol FY24'!N:N,"Posted",'A5.Consol FY24'!F:F,'A0.LS'!E145)</f>
        <v>0</v>
      </c>
      <c r="AX145" s="951">
        <f t="shared" si="79"/>
        <v>0</v>
      </c>
      <c r="AY145" s="920"/>
      <c r="AZ145" s="936">
        <f>SUMIFS('TB.CTC.YE22'!Q:Q,'TB.CTC.YE22'!A:A,'A0.LS'!E145)</f>
        <v>0</v>
      </c>
      <c r="BA145" s="936">
        <f>ROUND(SUMIFS('A5.YE22'!J:J,'A5.YE22'!K:K,'A0.LS'!$BA$5,'A5.YE22'!L:L,"Posted",'A5.YE22'!D:D,'A0.LS'!E145),0)</f>
        <v>0</v>
      </c>
      <c r="BB145" s="936">
        <f t="shared" si="80"/>
        <v>0</v>
      </c>
      <c r="BC145" s="937"/>
      <c r="BD145" s="936">
        <f>ROUND(SUMIFS('TB.VNSC.YE22'!L:L,'TB.VNSC.YE22'!A:A,'A0.LS'!E145),0)</f>
        <v>0</v>
      </c>
      <c r="BE145" s="936">
        <f>ROUND(SUMIFS('A5.YE22'!J:J,'A5.YE22'!K:K,'A0.LS'!$BE$5,'A5.YE22'!L:L,"Posted",'A5.YE22'!D:D,'A0.LS'!E145),0)</f>
        <v>0</v>
      </c>
      <c r="BF145" s="936">
        <f t="shared" si="81"/>
        <v>0</v>
      </c>
      <c r="BG145" s="937"/>
      <c r="BH145" s="936">
        <f>ROUND(SUMIFS('TB.XH.YE22'!P:P,'TB.XH.YE22'!A:A,'A0.LS'!E145),0)</f>
        <v>0</v>
      </c>
      <c r="BI145" s="936">
        <f>ROUND(SUMIFS('A5.YE22'!J:J,'A5.YE22'!K:K,"XH",'A5.YE22'!L:L,"Posted",'A5.YE22'!D:D,'A0.LS'!E145),0)</f>
        <v>0</v>
      </c>
      <c r="BJ145" s="936">
        <f t="shared" si="82"/>
        <v>0</v>
      </c>
      <c r="BK145" s="937"/>
      <c r="BL145" s="936">
        <f>ROUND(SUMIFS('TB.KCG.YE22'!P:P,'TB.KCG.YE22'!A:A,'A0.LS'!E145),0)</f>
        <v>0</v>
      </c>
      <c r="BM145" s="936">
        <f>ROUND(SUMIFS('A5.YE22'!J:J,'A5.YE22'!K:K,'A0.LS'!$BM$5,'A5.YE22'!L:L,"Posted",'A5.YE22'!D:D,'A0.LS'!E145),0)</f>
        <v>0</v>
      </c>
      <c r="BN145" s="936">
        <f t="shared" si="83"/>
        <v>0</v>
      </c>
      <c r="BO145" s="937"/>
      <c r="BP145" s="938">
        <v>0</v>
      </c>
      <c r="BQ145" s="938">
        <f>ROUND(SUMIFS('A5.YE22'!J:J,'A5.YE22'!K:K,'A0.LS'!$BQ$5,'A5.YE22'!L:L,"Posted",'A5.YE22'!D:D,'A0.LS'!E145),0)</f>
        <v>0</v>
      </c>
      <c r="BR145" s="938">
        <f t="shared" si="84"/>
        <v>0</v>
      </c>
    </row>
    <row r="146" spans="1:70" ht="12.75">
      <c r="A146" s="850"/>
      <c r="B146" s="939">
        <v>319</v>
      </c>
      <c r="C146" s="940" t="s">
        <v>2339</v>
      </c>
      <c r="D146" s="941" t="s">
        <v>2339</v>
      </c>
      <c r="E146" s="928" t="s">
        <v>2354</v>
      </c>
      <c r="F146" s="928" t="s">
        <v>190</v>
      </c>
      <c r="G146" s="927" t="s">
        <v>2324</v>
      </c>
      <c r="H146" s="927" t="s">
        <v>2265</v>
      </c>
      <c r="I146" s="942">
        <f>SUMIFS('TB.CTy Me.FY2024'!I:I,'TB.CTy Me.FY2024'!A:A,'A0.LS'!E146)</f>
        <v>64779</v>
      </c>
      <c r="J146" s="942">
        <f>ROUND(SUMIFS('A5.FY24'!K:K,'A5.FY24'!E:E,'A0.LS'!E146,'A5.FY24'!L:L,"Finhay",'A5.FY24'!M:M,"Posted"),0)</f>
        <v>0</v>
      </c>
      <c r="K146" s="942">
        <f>ROUND(SUMIFS('A5.FY24'!K:K,'A5.FY24'!E:E,'A0.LS'!E146,'A5.FY24'!L:L,"EY",'A5.FY24'!M:M,"Posted"),0)</f>
        <v>-64779</v>
      </c>
      <c r="L146" s="943">
        <f t="shared" si="70"/>
        <v>0</v>
      </c>
      <c r="M146" s="930"/>
      <c r="N146" s="944">
        <f>SUMIFS('TB.CTM.YE23'!I:I,'TB.CTM.YE23'!A:A,'A0.LS'!E146)</f>
        <v>-14511095984</v>
      </c>
      <c r="O146" s="944">
        <v>0</v>
      </c>
      <c r="P146" s="944">
        <v>0</v>
      </c>
      <c r="Q146" s="945">
        <f t="shared" si="71"/>
        <v>-14511095984</v>
      </c>
      <c r="R146" s="898"/>
      <c r="S146" s="848">
        <f t="shared" si="68"/>
        <v>14511095984</v>
      </c>
      <c r="T146" s="946">
        <f t="shared" si="69"/>
        <v>-1</v>
      </c>
      <c r="U146" s="850"/>
      <c r="V146" s="850" t="e">
        <v>#N/A</v>
      </c>
      <c r="W146" s="850"/>
      <c r="X146" s="947" t="s">
        <v>2227</v>
      </c>
      <c r="Y146" s="947" t="s">
        <v>2324</v>
      </c>
      <c r="Z146" s="936">
        <f>ROUND(SUMIFS('TB.Cty Con.FY24'!I:I,'TB.Cty Con.FY24'!A:A,'A0.LS'!E146),0)</f>
        <v>0</v>
      </c>
      <c r="AA146" s="936">
        <f>ROUND(SUMIFS('A5.CTC FY24'!K:K,'A5.CTC FY24'!E:E,'A0.LS'!E146,'A5.CTC FY24'!A:A,'A0.LS'!$AA$5,'A5.CTC FY24'!L:L,"Finhay",'A5.CTC FY24'!M:M,"Posted"),0)</f>
        <v>0</v>
      </c>
      <c r="AB146" s="936">
        <f>ROUND(SUMIFS('A5.CTC FY24'!K:K,'A5.CTC FY24'!E:E,'A0.LS'!E146,'A5.CTC FY24'!A:A,'A0.LS'!$AB$5,'A5.CTC FY24'!L:L,"EY",'A5.CTC FY24'!M:M,"Posted"),0)</f>
        <v>0</v>
      </c>
      <c r="AC146" s="948">
        <f t="shared" si="72"/>
        <v>0</v>
      </c>
      <c r="AD146" s="930"/>
      <c r="AE146" s="936">
        <f>ROUND(SUMIFS('TB VNSC FY24'!M:M,'TB VNSC FY24'!N:N,'A0.LS'!E146),0)</f>
        <v>0</v>
      </c>
      <c r="AF146" s="936">
        <f>SUMIFS('A5.CTC FY24'!K:K,'A5.CTC FY24'!E:E,'A0.LS'!E146,'A5.CTC FY24'!A:A,"VNSC",'A5.CTC FY24'!L:L,"VNSC",'A5.CTC FY24'!M:M,"Posted")</f>
        <v>0</v>
      </c>
      <c r="AG146" s="936">
        <f>ROUND(SUMIFS('A5.CTC FY24'!K:K,'A5.CTC FY24'!E:E,'A0.LS'!E146,'A5.CTC FY24'!A:A,"VNSC",'A5.CTC FY24'!L:L,"EY",'A5.CTC FY24'!M:M,"Posted"),0)</f>
        <v>0</v>
      </c>
      <c r="AH146" s="936">
        <f t="shared" si="73"/>
        <v>0</v>
      </c>
      <c r="AI146" s="930"/>
      <c r="AJ146" s="936">
        <f>SUMIFS('TB.KCG.FY24'!I:I,'TB.KCG.FY24'!A:A,'A0.LS'!E146)</f>
        <v>0</v>
      </c>
      <c r="AK146" s="936">
        <f>ROUND(SUMIFS('A5.CTC FY24'!K:K,'A5.CTC FY24'!E:E,'A0.LS'!E146,'A5.CTC FY24'!A:A,'A0.LS'!$AK$5,'A5.CTC FY24'!L:L,"EY",'A5.CTC FY24'!M:M,"Posted"),0)</f>
        <v>0</v>
      </c>
      <c r="AL146" s="948">
        <f t="shared" si="74"/>
        <v>0</v>
      </c>
      <c r="AM146" s="930"/>
      <c r="AN146" s="949">
        <f t="shared" si="75"/>
        <v>0</v>
      </c>
      <c r="AO146" s="950">
        <f>ROUND(SUMIFS('A5.Consol FY24'!L:L,'A5.Consol FY24'!M:M,"EY",'A5.Consol FY24'!N:N,"Posted",'A5.Consol FY24'!B:B,'A0.LS'!$AO$5,'A5.Consol FY24'!F:F,'A0.LS'!E146),0)</f>
        <v>0</v>
      </c>
      <c r="AP146" s="949">
        <f t="shared" si="76"/>
        <v>0</v>
      </c>
      <c r="AQ146" s="930"/>
      <c r="AR146" s="936">
        <f>ROUND(SUMIFS('TB.XH.FY24'!I:I,'TB.XH.FY24'!J:J,'A0.LS'!E146),0)</f>
        <v>0</v>
      </c>
      <c r="AS146" s="936">
        <f>ROUND(SUMIFS('A5.CTC FY24'!K:K,'A5.CTC FY24'!E:E,'A0.LS'!E146,'A5.CTC FY24'!A:A,'A0.LS'!$AS$5,'A5.CTC FY24'!L:L,"EY",'A5.CTC FY24'!M:M,"Posted"),0)</f>
        <v>0</v>
      </c>
      <c r="AT146" s="948">
        <f t="shared" si="77"/>
        <v>0</v>
      </c>
      <c r="AU146" s="930"/>
      <c r="AV146" s="951">
        <f t="shared" si="78"/>
        <v>0</v>
      </c>
      <c r="AW146" s="952">
        <f>SUMIFS('A5.Consol FY24'!L:L,'A5.Consol FY24'!B:B,'A0.LS'!$AW$5,'A5.Consol FY24'!M:M,"EY",'A5.Consol FY24'!N:N,"Posted",'A5.Consol FY24'!F:F,'A0.LS'!E146)</f>
        <v>0</v>
      </c>
      <c r="AX146" s="951">
        <f t="shared" si="79"/>
        <v>0</v>
      </c>
      <c r="AY146" s="920"/>
      <c r="AZ146" s="936">
        <f>SUMIFS('TB.CTC.YE22'!Q:Q,'TB.CTC.YE22'!A:A,'A0.LS'!E146)</f>
        <v>0</v>
      </c>
      <c r="BA146" s="936">
        <f>ROUND(SUMIFS('A5.YE22'!J:J,'A5.YE22'!K:K,'A0.LS'!$BA$5,'A5.YE22'!L:L,"Posted",'A5.YE22'!D:D,'A0.LS'!E146),0)</f>
        <v>0</v>
      </c>
      <c r="BB146" s="936">
        <f t="shared" si="80"/>
        <v>0</v>
      </c>
      <c r="BC146" s="937"/>
      <c r="BD146" s="936">
        <f>ROUND(SUMIFS('TB.VNSC.YE22'!L:L,'TB.VNSC.YE22'!A:A,'A0.LS'!E146),0)</f>
        <v>0</v>
      </c>
      <c r="BE146" s="936">
        <f>ROUND(SUMIFS('A5.YE22'!J:J,'A5.YE22'!K:K,'A0.LS'!$BE$5,'A5.YE22'!L:L,"Posted",'A5.YE22'!D:D,'A0.LS'!E146),0)</f>
        <v>0</v>
      </c>
      <c r="BF146" s="936">
        <f t="shared" si="81"/>
        <v>0</v>
      </c>
      <c r="BG146" s="937"/>
      <c r="BH146" s="936">
        <f>ROUND(SUMIFS('TB.XH.YE22'!P:P,'TB.XH.YE22'!A:A,'A0.LS'!E146),0)</f>
        <v>0</v>
      </c>
      <c r="BI146" s="936">
        <f>ROUND(SUMIFS('A5.YE22'!J:J,'A5.YE22'!K:K,"XH",'A5.YE22'!L:L,"Posted",'A5.YE22'!D:D,'A0.LS'!E146),0)</f>
        <v>0</v>
      </c>
      <c r="BJ146" s="936">
        <f t="shared" si="82"/>
        <v>0</v>
      </c>
      <c r="BK146" s="937"/>
      <c r="BL146" s="936">
        <f>ROUND(SUMIFS('TB.KCG.YE22'!P:P,'TB.KCG.YE22'!A:A,'A0.LS'!E146),0)</f>
        <v>0</v>
      </c>
      <c r="BM146" s="936">
        <f>ROUND(SUMIFS('A5.YE22'!J:J,'A5.YE22'!K:K,'A0.LS'!$BM$5,'A5.YE22'!L:L,"Posted",'A5.YE22'!D:D,'A0.LS'!E146),0)</f>
        <v>0</v>
      </c>
      <c r="BN146" s="936">
        <f t="shared" si="83"/>
        <v>0</v>
      </c>
      <c r="BO146" s="937"/>
      <c r="BP146" s="938">
        <v>-14511095984</v>
      </c>
      <c r="BQ146" s="938">
        <f>ROUND(SUMIFS('A5.YE22'!J:J,'A5.YE22'!K:K,'A0.LS'!$BQ$5,'A5.YE22'!L:L,"Posted",'A5.YE22'!D:D,'A0.LS'!E146),0)</f>
        <v>0</v>
      </c>
      <c r="BR146" s="938">
        <f t="shared" si="84"/>
        <v>-14511095984</v>
      </c>
    </row>
    <row r="147" spans="1:70" ht="12.75">
      <c r="A147" s="850"/>
      <c r="B147" s="939">
        <v>319</v>
      </c>
      <c r="C147" s="940" t="s">
        <v>2339</v>
      </c>
      <c r="D147" s="941" t="s">
        <v>2339</v>
      </c>
      <c r="E147" s="928" t="s">
        <v>193</v>
      </c>
      <c r="F147" s="928" t="s">
        <v>194</v>
      </c>
      <c r="G147" s="927" t="s">
        <v>2324</v>
      </c>
      <c r="H147" s="927" t="s">
        <v>2265</v>
      </c>
      <c r="I147" s="942">
        <f>SUMIFS('TB.CTy Me.FY2024'!I:I,'TB.CTy Me.FY2024'!A:A,'A0.LS'!E147)</f>
        <v>-18486592972</v>
      </c>
      <c r="J147" s="942">
        <f>ROUND(SUMIFS('A5.FY24'!K:K,'A5.FY24'!E:E,'A0.LS'!E147,'A5.FY24'!L:L,"Finhay",'A5.FY24'!M:M,"Posted"),0)</f>
        <v>0</v>
      </c>
      <c r="K147" s="942">
        <f>ROUND(SUMIFS('A5.FY24'!K:K,'A5.FY24'!E:E,'A0.LS'!E147,'A5.FY24'!L:L,"EY",'A5.FY24'!M:M,"Posted"),0)</f>
        <v>0</v>
      </c>
      <c r="L147" s="943">
        <f t="shared" si="70"/>
        <v>-18486592972</v>
      </c>
      <c r="M147" s="930"/>
      <c r="N147" s="944">
        <f>SUMIFS('TB.CTM.YE23'!I:I,'TB.CTM.YE23'!A:A,'A0.LS'!E147)</f>
        <v>-64631660426</v>
      </c>
      <c r="O147" s="944">
        <v>0</v>
      </c>
      <c r="P147" s="944">
        <v>0</v>
      </c>
      <c r="Q147" s="945">
        <f t="shared" si="71"/>
        <v>-64631660426</v>
      </c>
      <c r="R147" s="898"/>
      <c r="S147" s="848">
        <f t="shared" si="68"/>
        <v>46145067454</v>
      </c>
      <c r="T147" s="946">
        <f t="shared" si="69"/>
        <v>-0.71397001330073795</v>
      </c>
      <c r="U147" s="850"/>
      <c r="V147" s="850" t="e">
        <v>#N/A</v>
      </c>
      <c r="W147" s="850"/>
      <c r="X147" s="947" t="s">
        <v>2227</v>
      </c>
      <c r="Y147" s="947" t="s">
        <v>2324</v>
      </c>
      <c r="Z147" s="936">
        <f>ROUND(SUMIFS('TB.Cty Con.FY24'!I:I,'TB.Cty Con.FY24'!A:A,'A0.LS'!E147),0)</f>
        <v>0</v>
      </c>
      <c r="AA147" s="936">
        <f>ROUND(SUMIFS('A5.CTC FY24'!K:K,'A5.CTC FY24'!E:E,'A0.LS'!E147,'A5.CTC FY24'!A:A,'A0.LS'!$AA$5,'A5.CTC FY24'!L:L,"Finhay",'A5.CTC FY24'!M:M,"Posted"),0)</f>
        <v>0</v>
      </c>
      <c r="AB147" s="936">
        <f>ROUND(SUMIFS('A5.CTC FY24'!K:K,'A5.CTC FY24'!E:E,'A0.LS'!E147,'A5.CTC FY24'!A:A,'A0.LS'!$AB$5,'A5.CTC FY24'!L:L,"EY",'A5.CTC FY24'!M:M,"Posted"),0)</f>
        <v>0</v>
      </c>
      <c r="AC147" s="948">
        <f t="shared" si="72"/>
        <v>0</v>
      </c>
      <c r="AD147" s="930"/>
      <c r="AE147" s="936">
        <f>ROUND(SUMIFS('TB VNSC FY24'!M:M,'TB VNSC FY24'!N:N,'A0.LS'!E147),0)</f>
        <v>0</v>
      </c>
      <c r="AF147" s="936">
        <f>SUMIFS('A5.CTC FY24'!K:K,'A5.CTC FY24'!E:E,'A0.LS'!E147,'A5.CTC FY24'!A:A,"VNSC",'A5.CTC FY24'!L:L,"VNSC",'A5.CTC FY24'!M:M,"Posted")</f>
        <v>0</v>
      </c>
      <c r="AG147" s="936">
        <f>ROUND(SUMIFS('A5.CTC FY24'!K:K,'A5.CTC FY24'!E:E,'A0.LS'!E147,'A5.CTC FY24'!A:A,"VNSC",'A5.CTC FY24'!L:L,"EY",'A5.CTC FY24'!M:M,"Posted"),0)</f>
        <v>0</v>
      </c>
      <c r="AH147" s="936">
        <f t="shared" si="73"/>
        <v>0</v>
      </c>
      <c r="AI147" s="930"/>
      <c r="AJ147" s="936">
        <f>SUMIFS('TB.KCG.FY24'!I:I,'TB.KCG.FY24'!A:A,'A0.LS'!E147)</f>
        <v>0</v>
      </c>
      <c r="AK147" s="936">
        <f>ROUND(SUMIFS('A5.CTC FY24'!K:K,'A5.CTC FY24'!E:E,'A0.LS'!E147,'A5.CTC FY24'!A:A,'A0.LS'!$AK$5,'A5.CTC FY24'!L:L,"EY",'A5.CTC FY24'!M:M,"Posted"),0)</f>
        <v>0</v>
      </c>
      <c r="AL147" s="948">
        <f t="shared" si="74"/>
        <v>0</v>
      </c>
      <c r="AM147" s="930"/>
      <c r="AN147" s="949">
        <f t="shared" si="75"/>
        <v>0</v>
      </c>
      <c r="AO147" s="950">
        <f>ROUND(SUMIFS('A5.Consol FY24'!L:L,'A5.Consol FY24'!M:M,"EY",'A5.Consol FY24'!N:N,"Posted",'A5.Consol FY24'!B:B,'A0.LS'!$AO$5,'A5.Consol FY24'!F:F,'A0.LS'!E147),0)</f>
        <v>0</v>
      </c>
      <c r="AP147" s="949">
        <f t="shared" si="76"/>
        <v>0</v>
      </c>
      <c r="AQ147" s="930"/>
      <c r="AR147" s="936">
        <f>ROUND(SUMIFS('TB.XH.FY24'!I:I,'TB.XH.FY24'!J:J,'A0.LS'!E147),0)</f>
        <v>0</v>
      </c>
      <c r="AS147" s="936">
        <f>ROUND(SUMIFS('A5.CTC FY24'!K:K,'A5.CTC FY24'!E:E,'A0.LS'!E147,'A5.CTC FY24'!A:A,'A0.LS'!$AS$5,'A5.CTC FY24'!L:L,"EY",'A5.CTC FY24'!M:M,"Posted"),0)</f>
        <v>0</v>
      </c>
      <c r="AT147" s="948">
        <f t="shared" si="77"/>
        <v>0</v>
      </c>
      <c r="AU147" s="930"/>
      <c r="AV147" s="951">
        <f t="shared" si="78"/>
        <v>-18486592972</v>
      </c>
      <c r="AW147" s="952">
        <f>SUMIFS('A5.Consol FY24'!L:L,'A5.Consol FY24'!B:B,'A0.LS'!$AW$5,'A5.Consol FY24'!M:M,"EY",'A5.Consol FY24'!N:N,"Posted",'A5.Consol FY24'!F:F,'A0.LS'!E147)</f>
        <v>0</v>
      </c>
      <c r="AX147" s="951">
        <f t="shared" si="79"/>
        <v>-18486592972</v>
      </c>
      <c r="AY147" s="920"/>
      <c r="AZ147" s="936">
        <f>SUMIFS('TB.CTC.YE22'!Q:Q,'TB.CTC.YE22'!A:A,'A0.LS'!E147)</f>
        <v>0</v>
      </c>
      <c r="BA147" s="936">
        <f>ROUND(SUMIFS('A5.YE22'!J:J,'A5.YE22'!K:K,'A0.LS'!$BA$5,'A5.YE22'!L:L,"Posted",'A5.YE22'!D:D,'A0.LS'!E147),0)</f>
        <v>0</v>
      </c>
      <c r="BB147" s="936">
        <f t="shared" si="80"/>
        <v>0</v>
      </c>
      <c r="BC147" s="937"/>
      <c r="BD147" s="936">
        <f>ROUND(SUMIFS('TB.VNSC.YE22'!L:L,'TB.VNSC.YE22'!A:A,'A0.LS'!E147),0)</f>
        <v>0</v>
      </c>
      <c r="BE147" s="936">
        <f>ROUND(SUMIFS('A5.YE22'!J:J,'A5.YE22'!K:K,'A0.LS'!$BE$5,'A5.YE22'!L:L,"Posted",'A5.YE22'!D:D,'A0.LS'!E147),0)</f>
        <v>0</v>
      </c>
      <c r="BF147" s="936">
        <f t="shared" si="81"/>
        <v>0</v>
      </c>
      <c r="BG147" s="937"/>
      <c r="BH147" s="936">
        <f>ROUND(SUMIFS('TB.XH.YE22'!P:P,'TB.XH.YE22'!A:A,'A0.LS'!E147),0)</f>
        <v>0</v>
      </c>
      <c r="BI147" s="936">
        <f>ROUND(SUMIFS('A5.YE22'!J:J,'A5.YE22'!K:K,"XH",'A5.YE22'!L:L,"Posted",'A5.YE22'!D:D,'A0.LS'!E147),0)</f>
        <v>0</v>
      </c>
      <c r="BJ147" s="936">
        <f t="shared" si="82"/>
        <v>0</v>
      </c>
      <c r="BK147" s="937"/>
      <c r="BL147" s="936">
        <f>ROUND(SUMIFS('TB.KCG.YE22'!P:P,'TB.KCG.YE22'!A:A,'A0.LS'!E147),0)</f>
        <v>0</v>
      </c>
      <c r="BM147" s="936">
        <f>ROUND(SUMIFS('A5.YE22'!J:J,'A5.YE22'!K:K,'A0.LS'!$BM$5,'A5.YE22'!L:L,"Posted",'A5.YE22'!D:D,'A0.LS'!E147),0)</f>
        <v>0</v>
      </c>
      <c r="BN147" s="936">
        <f t="shared" si="83"/>
        <v>0</v>
      </c>
      <c r="BO147" s="937"/>
      <c r="BP147" s="938">
        <v>-64631660426</v>
      </c>
      <c r="BQ147" s="938">
        <f>ROUND(SUMIFS('A5.YE22'!J:J,'A5.YE22'!K:K,'A0.LS'!$BQ$5,'A5.YE22'!L:L,"Posted",'A5.YE22'!D:D,'A0.LS'!E147),0)</f>
        <v>0</v>
      </c>
      <c r="BR147" s="938">
        <f t="shared" si="84"/>
        <v>-64631660426</v>
      </c>
    </row>
    <row r="148" spans="1:70" ht="12.75">
      <c r="A148" s="850" t="s">
        <v>681</v>
      </c>
      <c r="B148" s="939">
        <v>319</v>
      </c>
      <c r="C148" s="940" t="s">
        <v>2330</v>
      </c>
      <c r="D148" s="941" t="s">
        <v>2330</v>
      </c>
      <c r="E148" s="928" t="s">
        <v>191</v>
      </c>
      <c r="F148" s="928" t="s">
        <v>2355</v>
      </c>
      <c r="G148" s="927" t="s">
        <v>2324</v>
      </c>
      <c r="H148" s="927" t="s">
        <v>2265</v>
      </c>
      <c r="I148" s="942">
        <f>SUMIFS('TB.CTy Me.FY2024'!I:I,'TB.CTy Me.FY2024'!A:A,'A0.LS'!E148)</f>
        <v>-13994384717</v>
      </c>
      <c r="J148" s="942">
        <f>ROUND(SUMIFS('A5.FY24'!K:K,'A5.FY24'!E:E,'A0.LS'!E148,'A5.FY24'!L:L,"Finhay",'A5.FY24'!M:M,"Posted"),0)</f>
        <v>0</v>
      </c>
      <c r="K148" s="942">
        <f>ROUND(SUMIFS('A5.FY24'!K:K,'A5.FY24'!E:E,'A0.LS'!E148,'A5.FY24'!L:L,"EY",'A5.FY24'!M:M,"Posted"),0)</f>
        <v>7216827576</v>
      </c>
      <c r="L148" s="943">
        <f t="shared" si="70"/>
        <v>-6777557141</v>
      </c>
      <c r="M148" s="930"/>
      <c r="N148" s="944">
        <f>SUMIFS('TB.CTM.YE23'!I:I,'TB.CTM.YE23'!A:A,'A0.LS'!E148)</f>
        <v>-13432336393</v>
      </c>
      <c r="O148" s="944">
        <v>-535192255</v>
      </c>
      <c r="P148" s="944">
        <v>0</v>
      </c>
      <c r="Q148" s="945">
        <f t="shared" si="71"/>
        <v>-13967528648</v>
      </c>
      <c r="R148" s="898"/>
      <c r="S148" s="848">
        <f t="shared" si="68"/>
        <v>7189971507</v>
      </c>
      <c r="T148" s="946">
        <f t="shared" si="69"/>
        <v>-0.51476332629749266</v>
      </c>
      <c r="U148" s="850"/>
      <c r="V148" s="850" t="s">
        <v>2332</v>
      </c>
      <c r="W148" s="850"/>
      <c r="X148" s="947" t="s">
        <v>2227</v>
      </c>
      <c r="Y148" s="947" t="s">
        <v>2324</v>
      </c>
      <c r="Z148" s="936">
        <f>ROUND(SUMIFS('TB.Cty Con.FY24'!I:I,'TB.Cty Con.FY24'!A:A,'A0.LS'!E148),0)</f>
        <v>0</v>
      </c>
      <c r="AA148" s="936">
        <f>ROUND(SUMIFS('A5.CTC FY24'!K:K,'A5.CTC FY24'!E:E,'A0.LS'!E148,'A5.CTC FY24'!A:A,'A0.LS'!$AA$5,'A5.CTC FY24'!L:L,"Finhay",'A5.CTC FY24'!M:M,"Posted"),0)</f>
        <v>0</v>
      </c>
      <c r="AB148" s="936">
        <f>ROUND(SUMIFS('A5.CTC FY24'!K:K,'A5.CTC FY24'!E:E,'A0.LS'!E148,'A5.CTC FY24'!A:A,'A0.LS'!$AB$5,'A5.CTC FY24'!L:L,"EY",'A5.CTC FY24'!M:M,"Posted"),0)</f>
        <v>0</v>
      </c>
      <c r="AC148" s="948">
        <f t="shared" si="72"/>
        <v>0</v>
      </c>
      <c r="AD148" s="930"/>
      <c r="AE148" s="936">
        <f>ROUND(SUMIFS('TB VNSC FY24'!M:M,'TB VNSC FY24'!N:N,'A0.LS'!E148),0)</f>
        <v>0</v>
      </c>
      <c r="AF148" s="936">
        <f>SUMIFS('A5.CTC FY24'!K:K,'A5.CTC FY24'!E:E,'A0.LS'!E148,'A5.CTC FY24'!A:A,"VNSC",'A5.CTC FY24'!L:L,"VNSC",'A5.CTC FY24'!M:M,"Posted")</f>
        <v>0</v>
      </c>
      <c r="AG148" s="936">
        <f>ROUND(SUMIFS('A5.CTC FY24'!K:K,'A5.CTC FY24'!E:E,'A0.LS'!E148,'A5.CTC FY24'!A:A,"VNSC",'A5.CTC FY24'!L:L,"EY",'A5.CTC FY24'!M:M,"Posted"),0)</f>
        <v>0</v>
      </c>
      <c r="AH148" s="936">
        <f t="shared" si="73"/>
        <v>0</v>
      </c>
      <c r="AI148" s="930"/>
      <c r="AJ148" s="936">
        <f>SUMIFS('TB.KCG.FY24'!I:I,'TB.KCG.FY24'!A:A,'A0.LS'!E148)</f>
        <v>0</v>
      </c>
      <c r="AK148" s="936">
        <f>ROUND(SUMIFS('A5.CTC FY24'!K:K,'A5.CTC FY24'!E:E,'A0.LS'!E148,'A5.CTC FY24'!A:A,'A0.LS'!$AK$5,'A5.CTC FY24'!L:L,"EY",'A5.CTC FY24'!M:M,"Posted"),0)</f>
        <v>0</v>
      </c>
      <c r="AL148" s="948">
        <f t="shared" si="74"/>
        <v>0</v>
      </c>
      <c r="AM148" s="930"/>
      <c r="AN148" s="949">
        <f t="shared" si="75"/>
        <v>0</v>
      </c>
      <c r="AO148" s="950">
        <f>ROUND(SUMIFS('A5.Consol FY24'!L:L,'A5.Consol FY24'!M:M,"EY",'A5.Consol FY24'!N:N,"Posted",'A5.Consol FY24'!B:B,'A0.LS'!$AO$5,'A5.Consol FY24'!F:F,'A0.LS'!E148),0)</f>
        <v>0</v>
      </c>
      <c r="AP148" s="949">
        <f t="shared" si="76"/>
        <v>0</v>
      </c>
      <c r="AQ148" s="930"/>
      <c r="AR148" s="936">
        <f>ROUND(SUMIFS('TB.XH.FY24'!I:I,'TB.XH.FY24'!J:J,'A0.LS'!E148),0)</f>
        <v>0</v>
      </c>
      <c r="AS148" s="936">
        <f>ROUND(SUMIFS('A5.CTC FY24'!K:K,'A5.CTC FY24'!E:E,'A0.LS'!E148,'A5.CTC FY24'!A:A,'A0.LS'!$AS$5,'A5.CTC FY24'!L:L,"EY",'A5.CTC FY24'!M:M,"Posted"),0)</f>
        <v>0</v>
      </c>
      <c r="AT148" s="948">
        <f t="shared" si="77"/>
        <v>0</v>
      </c>
      <c r="AU148" s="930"/>
      <c r="AV148" s="951">
        <f t="shared" si="78"/>
        <v>-6777557141</v>
      </c>
      <c r="AW148" s="952">
        <f>SUMIFS('A5.Consol FY24'!L:L,'A5.Consol FY24'!B:B,'A0.LS'!$AW$5,'A5.Consol FY24'!M:M,"EY",'A5.Consol FY24'!N:N,"Posted",'A5.Consol FY24'!F:F,'A0.LS'!E148)</f>
        <v>0</v>
      </c>
      <c r="AX148" s="951">
        <f t="shared" si="79"/>
        <v>-6777557141</v>
      </c>
      <c r="AY148" s="920"/>
      <c r="AZ148" s="936">
        <f>SUMIFS('TB.CTC.YE22'!Q:Q,'TB.CTC.YE22'!A:A,'A0.LS'!E148)</f>
        <v>0</v>
      </c>
      <c r="BA148" s="936">
        <f>ROUND(SUMIFS('A5.YE22'!J:J,'A5.YE22'!K:K,'A0.LS'!$BA$5,'A5.YE22'!L:L,"Posted",'A5.YE22'!D:D,'A0.LS'!E148),0)</f>
        <v>0</v>
      </c>
      <c r="BB148" s="936">
        <f t="shared" si="80"/>
        <v>0</v>
      </c>
      <c r="BC148" s="937"/>
      <c r="BD148" s="936">
        <f>ROUND(SUMIFS('TB.VNSC.YE22'!L:L,'TB.VNSC.YE22'!A:A,'A0.LS'!E148),0)</f>
        <v>0</v>
      </c>
      <c r="BE148" s="936">
        <f>ROUND(SUMIFS('A5.YE22'!J:J,'A5.YE22'!K:K,'A0.LS'!$BE$5,'A5.YE22'!L:L,"Posted",'A5.YE22'!D:D,'A0.LS'!E148),0)</f>
        <v>0</v>
      </c>
      <c r="BF148" s="936">
        <f t="shared" si="81"/>
        <v>0</v>
      </c>
      <c r="BG148" s="937"/>
      <c r="BH148" s="936">
        <f>ROUND(SUMIFS('TB.XH.YE22'!P:P,'TB.XH.YE22'!A:A,'A0.LS'!E148),0)</f>
        <v>0</v>
      </c>
      <c r="BI148" s="936">
        <f>ROUND(SUMIFS('A5.YE22'!J:J,'A5.YE22'!K:K,"XH",'A5.YE22'!L:L,"Posted",'A5.YE22'!D:D,'A0.LS'!E148),0)</f>
        <v>0</v>
      </c>
      <c r="BJ148" s="936">
        <f t="shared" si="82"/>
        <v>0</v>
      </c>
      <c r="BK148" s="937"/>
      <c r="BL148" s="936">
        <f>ROUND(SUMIFS('TB.KCG.YE22'!P:P,'TB.KCG.YE22'!A:A,'A0.LS'!E148),0)</f>
        <v>0</v>
      </c>
      <c r="BM148" s="936">
        <f>ROUND(SUMIFS('A5.YE22'!J:J,'A5.YE22'!K:K,'A0.LS'!$BM$5,'A5.YE22'!L:L,"Posted",'A5.YE22'!D:D,'A0.LS'!E148),0)</f>
        <v>0</v>
      </c>
      <c r="BN148" s="936">
        <f t="shared" si="83"/>
        <v>0</v>
      </c>
      <c r="BO148" s="937"/>
      <c r="BP148" s="938">
        <v>-13967528648</v>
      </c>
      <c r="BQ148" s="938">
        <f>ROUND(SUMIFS('A5.YE22'!J:J,'A5.YE22'!K:K,'A0.LS'!$BQ$5,'A5.YE22'!L:L,"Posted",'A5.YE22'!D:D,'A0.LS'!E148),0)</f>
        <v>0</v>
      </c>
      <c r="BR148" s="938">
        <f t="shared" si="84"/>
        <v>-13967528648</v>
      </c>
    </row>
    <row r="149" spans="1:70" ht="12.75">
      <c r="A149" s="850"/>
      <c r="B149" s="939">
        <v>319</v>
      </c>
      <c r="C149" s="940" t="s">
        <v>2333</v>
      </c>
      <c r="D149" s="941" t="s">
        <v>2333</v>
      </c>
      <c r="E149" s="928" t="s">
        <v>2356</v>
      </c>
      <c r="F149" s="928" t="s">
        <v>2357</v>
      </c>
      <c r="G149" s="927" t="s">
        <v>2324</v>
      </c>
      <c r="H149" s="927" t="s">
        <v>2265</v>
      </c>
      <c r="I149" s="942">
        <f>SUMIFS('TB.CTy Me.FY2024'!I:I,'TB.CTy Me.FY2024'!A:A,'A0.LS'!E149)</f>
        <v>0</v>
      </c>
      <c r="J149" s="942">
        <f>ROUND(SUMIFS('A5.FY24'!K:K,'A5.FY24'!E:E,'A0.LS'!E149,'A5.FY24'!L:L,"Finhay",'A5.FY24'!M:M,"Posted"),0)</f>
        <v>0</v>
      </c>
      <c r="K149" s="942">
        <f>ROUND(SUMIFS('A5.FY24'!K:K,'A5.FY24'!E:E,'A0.LS'!E149,'A5.FY24'!L:L,"EY",'A5.FY24'!M:M,"Posted"),0)</f>
        <v>0</v>
      </c>
      <c r="L149" s="943">
        <f t="shared" si="70"/>
        <v>0</v>
      </c>
      <c r="M149" s="930"/>
      <c r="N149" s="944">
        <f>SUMIFS('TB.CTM.YE23'!I:I,'TB.CTM.YE23'!A:A,'A0.LS'!E149)</f>
        <v>0</v>
      </c>
      <c r="O149" s="944">
        <v>0</v>
      </c>
      <c r="P149" s="944">
        <v>0</v>
      </c>
      <c r="Q149" s="945">
        <f t="shared" si="71"/>
        <v>0</v>
      </c>
      <c r="R149" s="898"/>
      <c r="S149" s="848">
        <f t="shared" si="68"/>
        <v>0</v>
      </c>
      <c r="T149" s="946" t="str">
        <f t="shared" si="69"/>
        <v>To check</v>
      </c>
      <c r="U149" s="850"/>
      <c r="V149" s="850" t="s">
        <v>2334</v>
      </c>
      <c r="W149" s="850"/>
      <c r="X149" s="947" t="s">
        <v>2227</v>
      </c>
      <c r="Y149" s="947" t="s">
        <v>2324</v>
      </c>
      <c r="Z149" s="936">
        <f>ROUND(SUMIFS('TB.Cty Con.FY24'!I:I,'TB.Cty Con.FY24'!A:A,'A0.LS'!E149),0)</f>
        <v>0</v>
      </c>
      <c r="AA149" s="936">
        <f>ROUND(SUMIFS('A5.CTC FY24'!K:K,'A5.CTC FY24'!E:E,'A0.LS'!E149,'A5.CTC FY24'!A:A,'A0.LS'!$AA$5,'A5.CTC FY24'!L:L,"Finhay",'A5.CTC FY24'!M:M,"Posted"),0)</f>
        <v>0</v>
      </c>
      <c r="AB149" s="936">
        <f>ROUND(SUMIFS('A5.CTC FY24'!K:K,'A5.CTC FY24'!E:E,'A0.LS'!E149,'A5.CTC FY24'!A:A,'A0.LS'!$AB$5,'A5.CTC FY24'!L:L,"EY",'A5.CTC FY24'!M:M,"Posted"),0)</f>
        <v>0</v>
      </c>
      <c r="AC149" s="948">
        <f t="shared" si="72"/>
        <v>0</v>
      </c>
      <c r="AD149" s="930"/>
      <c r="AE149" s="936">
        <f>ROUND(SUMIFS('TB VNSC FY24'!M:M,'TB VNSC FY24'!N:N,'A0.LS'!E149),0)</f>
        <v>0</v>
      </c>
      <c r="AF149" s="936">
        <f>SUMIFS('A5.CTC FY24'!K:K,'A5.CTC FY24'!E:E,'A0.LS'!E149,'A5.CTC FY24'!A:A,"VNSC",'A5.CTC FY24'!L:L,"VNSC",'A5.CTC FY24'!M:M,"Posted")</f>
        <v>0</v>
      </c>
      <c r="AG149" s="936">
        <f>ROUND(SUMIFS('A5.CTC FY24'!K:K,'A5.CTC FY24'!E:E,'A0.LS'!E149,'A5.CTC FY24'!A:A,"VNSC",'A5.CTC FY24'!L:L,"EY",'A5.CTC FY24'!M:M,"Posted"),0)</f>
        <v>0</v>
      </c>
      <c r="AH149" s="936">
        <f t="shared" si="73"/>
        <v>0</v>
      </c>
      <c r="AI149" s="930"/>
      <c r="AJ149" s="936">
        <f>SUMIFS('TB.KCG.FY24'!I:I,'TB.KCG.FY24'!A:A,'A0.LS'!E149)</f>
        <v>0</v>
      </c>
      <c r="AK149" s="936">
        <f>ROUND(SUMIFS('A5.CTC FY24'!K:K,'A5.CTC FY24'!E:E,'A0.LS'!E149,'A5.CTC FY24'!A:A,'A0.LS'!$AK$5,'A5.CTC FY24'!L:L,"EY",'A5.CTC FY24'!M:M,"Posted"),0)</f>
        <v>0</v>
      </c>
      <c r="AL149" s="948">
        <f t="shared" si="74"/>
        <v>0</v>
      </c>
      <c r="AM149" s="930"/>
      <c r="AN149" s="949">
        <f t="shared" si="75"/>
        <v>0</v>
      </c>
      <c r="AO149" s="950">
        <f>ROUND(SUMIFS('A5.Consol FY24'!L:L,'A5.Consol FY24'!M:M,"EY",'A5.Consol FY24'!N:N,"Posted",'A5.Consol FY24'!B:B,'A0.LS'!$AO$5,'A5.Consol FY24'!F:F,'A0.LS'!E149),0)</f>
        <v>0</v>
      </c>
      <c r="AP149" s="949">
        <f t="shared" si="76"/>
        <v>0</v>
      </c>
      <c r="AQ149" s="930"/>
      <c r="AR149" s="936">
        <f>ROUND(SUMIFS('TB.XH.FY24'!I:I,'TB.XH.FY24'!J:J,'A0.LS'!E149),0)</f>
        <v>0</v>
      </c>
      <c r="AS149" s="936">
        <f>ROUND(SUMIFS('A5.CTC FY24'!K:K,'A5.CTC FY24'!E:E,'A0.LS'!E149,'A5.CTC FY24'!A:A,'A0.LS'!$AS$5,'A5.CTC FY24'!L:L,"EY",'A5.CTC FY24'!M:M,"Posted"),0)</f>
        <v>0</v>
      </c>
      <c r="AT149" s="948">
        <f t="shared" si="77"/>
        <v>0</v>
      </c>
      <c r="AU149" s="930"/>
      <c r="AV149" s="951">
        <f t="shared" si="78"/>
        <v>0</v>
      </c>
      <c r="AW149" s="952">
        <f>SUMIFS('A5.Consol FY24'!L:L,'A5.Consol FY24'!B:B,'A0.LS'!$AW$5,'A5.Consol FY24'!M:M,"EY",'A5.Consol FY24'!N:N,"Posted",'A5.Consol FY24'!F:F,'A0.LS'!E149)</f>
        <v>0</v>
      </c>
      <c r="AX149" s="951">
        <f t="shared" si="79"/>
        <v>0</v>
      </c>
      <c r="AY149" s="920"/>
      <c r="AZ149" s="936">
        <f>SUMIFS('TB.CTC.YE22'!Q:Q,'TB.CTC.YE22'!A:A,'A0.LS'!E149)</f>
        <v>0</v>
      </c>
      <c r="BA149" s="936">
        <f>ROUND(SUMIFS('A5.YE22'!J:J,'A5.YE22'!K:K,'A0.LS'!$BA$5,'A5.YE22'!L:L,"Posted",'A5.YE22'!D:D,'A0.LS'!E149),0)</f>
        <v>0</v>
      </c>
      <c r="BB149" s="936">
        <f t="shared" si="80"/>
        <v>0</v>
      </c>
      <c r="BC149" s="937"/>
      <c r="BD149" s="936">
        <f>ROUND(SUMIFS('TB.VNSC.YE22'!L:L,'TB.VNSC.YE22'!A:A,'A0.LS'!E149),0)</f>
        <v>0</v>
      </c>
      <c r="BE149" s="936">
        <f>ROUND(SUMIFS('A5.YE22'!J:J,'A5.YE22'!K:K,'A0.LS'!$BE$5,'A5.YE22'!L:L,"Posted",'A5.YE22'!D:D,'A0.LS'!E149),0)</f>
        <v>0</v>
      </c>
      <c r="BF149" s="936">
        <f t="shared" si="81"/>
        <v>0</v>
      </c>
      <c r="BG149" s="937"/>
      <c r="BH149" s="936">
        <f>ROUND(SUMIFS('TB.XH.YE22'!P:P,'TB.XH.YE22'!A:A,'A0.LS'!E149),0)</f>
        <v>0</v>
      </c>
      <c r="BI149" s="936">
        <f>ROUND(SUMIFS('A5.YE22'!J:J,'A5.YE22'!K:K,"XH",'A5.YE22'!L:L,"Posted",'A5.YE22'!D:D,'A0.LS'!E149),0)</f>
        <v>0</v>
      </c>
      <c r="BJ149" s="936">
        <f t="shared" si="82"/>
        <v>0</v>
      </c>
      <c r="BK149" s="937"/>
      <c r="BL149" s="936">
        <f>ROUND(SUMIFS('TB.KCG.YE22'!P:P,'TB.KCG.YE22'!A:A,'A0.LS'!E149),0)</f>
        <v>0</v>
      </c>
      <c r="BM149" s="936">
        <f>ROUND(SUMIFS('A5.YE22'!J:J,'A5.YE22'!K:K,'A0.LS'!$BM$5,'A5.YE22'!L:L,"Posted",'A5.YE22'!D:D,'A0.LS'!E149),0)</f>
        <v>0</v>
      </c>
      <c r="BN149" s="936">
        <f t="shared" si="83"/>
        <v>0</v>
      </c>
      <c r="BO149" s="937"/>
      <c r="BP149" s="938">
        <v>0</v>
      </c>
      <c r="BQ149" s="938">
        <f>ROUND(SUMIFS('A5.YE22'!J:J,'A5.YE22'!K:K,'A0.LS'!$BQ$5,'A5.YE22'!L:L,"Posted",'A5.YE22'!D:D,'A0.LS'!E149),0)</f>
        <v>0</v>
      </c>
      <c r="BR149" s="938">
        <f t="shared" si="84"/>
        <v>0</v>
      </c>
    </row>
    <row r="150" spans="1:70" ht="12.75">
      <c r="A150" s="850"/>
      <c r="B150" s="939">
        <v>319</v>
      </c>
      <c r="C150" s="940" t="s">
        <v>2336</v>
      </c>
      <c r="D150" s="941" t="s">
        <v>2336</v>
      </c>
      <c r="E150" s="928" t="s">
        <v>2358</v>
      </c>
      <c r="F150" s="928" t="s">
        <v>157</v>
      </c>
      <c r="G150" s="927" t="s">
        <v>2324</v>
      </c>
      <c r="H150" s="927" t="s">
        <v>2265</v>
      </c>
      <c r="I150" s="942">
        <f>SUMIFS('TB.CTy Me.FY2024'!I:I,'TB.CTy Me.FY2024'!A:A,'A0.LS'!E150)</f>
        <v>0</v>
      </c>
      <c r="J150" s="942">
        <f>ROUND(SUMIFS('A5.FY24'!K:K,'A5.FY24'!E:E,'A0.LS'!E150,'A5.FY24'!L:L,"Finhay",'A5.FY24'!M:M,"Posted"),0)</f>
        <v>0</v>
      </c>
      <c r="K150" s="942">
        <f>ROUND(SUMIFS('A5.FY24'!K:K,'A5.FY24'!E:E,'A0.LS'!E150,'A5.FY24'!L:L,"EY",'A5.FY24'!M:M,"Posted"),0)</f>
        <v>0</v>
      </c>
      <c r="L150" s="943">
        <f t="shared" si="70"/>
        <v>0</v>
      </c>
      <c r="M150" s="930"/>
      <c r="N150" s="944">
        <f>SUMIFS('TB.CTM.YE23'!I:I,'TB.CTM.YE23'!A:A,'A0.LS'!E150)</f>
        <v>0</v>
      </c>
      <c r="O150" s="944">
        <v>0</v>
      </c>
      <c r="P150" s="944">
        <v>0</v>
      </c>
      <c r="Q150" s="945">
        <f t="shared" si="71"/>
        <v>0</v>
      </c>
      <c r="R150" s="898"/>
      <c r="S150" s="848">
        <f t="shared" si="68"/>
        <v>0</v>
      </c>
      <c r="T150" s="946" t="str">
        <f t="shared" si="69"/>
        <v>To check</v>
      </c>
      <c r="U150" s="850"/>
      <c r="V150" s="850" t="s">
        <v>2325</v>
      </c>
      <c r="W150" s="850"/>
      <c r="X150" s="947" t="s">
        <v>2227</v>
      </c>
      <c r="Y150" s="947" t="s">
        <v>2324</v>
      </c>
      <c r="Z150" s="936">
        <f>ROUND(SUMIFS('TB.Cty Con.FY24'!I:I,'TB.Cty Con.FY24'!A:A,'A0.LS'!E150),0)</f>
        <v>0</v>
      </c>
      <c r="AA150" s="936">
        <f>ROUND(SUMIFS('A5.CTC FY24'!K:K,'A5.CTC FY24'!E:E,'A0.LS'!E150,'A5.CTC FY24'!A:A,'A0.LS'!$AA$5,'A5.CTC FY24'!L:L,"Finhay",'A5.CTC FY24'!M:M,"Posted"),0)</f>
        <v>0</v>
      </c>
      <c r="AB150" s="936">
        <f>ROUND(SUMIFS('A5.CTC FY24'!K:K,'A5.CTC FY24'!E:E,'A0.LS'!E150,'A5.CTC FY24'!A:A,'A0.LS'!$AB$5,'A5.CTC FY24'!L:L,"EY",'A5.CTC FY24'!M:M,"Posted"),0)</f>
        <v>0</v>
      </c>
      <c r="AC150" s="948">
        <f t="shared" si="72"/>
        <v>0</v>
      </c>
      <c r="AD150" s="930"/>
      <c r="AE150" s="936">
        <f>ROUND(SUMIFS('TB VNSC FY24'!M:M,'TB VNSC FY24'!N:N,'A0.LS'!E150),0)</f>
        <v>0</v>
      </c>
      <c r="AF150" s="936">
        <f>SUMIFS('A5.CTC FY24'!K:K,'A5.CTC FY24'!E:E,'A0.LS'!E150,'A5.CTC FY24'!A:A,"VNSC",'A5.CTC FY24'!L:L,"VNSC",'A5.CTC FY24'!M:M,"Posted")</f>
        <v>0</v>
      </c>
      <c r="AG150" s="936">
        <f>ROUND(SUMIFS('A5.CTC FY24'!K:K,'A5.CTC FY24'!E:E,'A0.LS'!E150,'A5.CTC FY24'!A:A,"VNSC",'A5.CTC FY24'!L:L,"EY",'A5.CTC FY24'!M:M,"Posted"),0)</f>
        <v>0</v>
      </c>
      <c r="AH150" s="936">
        <f t="shared" si="73"/>
        <v>0</v>
      </c>
      <c r="AI150" s="930"/>
      <c r="AJ150" s="936">
        <f>SUMIFS('TB.KCG.FY24'!I:I,'TB.KCG.FY24'!A:A,'A0.LS'!E150)</f>
        <v>0</v>
      </c>
      <c r="AK150" s="936">
        <f>ROUND(SUMIFS('A5.CTC FY24'!K:K,'A5.CTC FY24'!E:E,'A0.LS'!E150,'A5.CTC FY24'!A:A,'A0.LS'!$AK$5,'A5.CTC FY24'!L:L,"EY",'A5.CTC FY24'!M:M,"Posted"),0)</f>
        <v>0</v>
      </c>
      <c r="AL150" s="948">
        <f t="shared" si="74"/>
        <v>0</v>
      </c>
      <c r="AM150" s="930"/>
      <c r="AN150" s="949">
        <f t="shared" si="75"/>
        <v>0</v>
      </c>
      <c r="AO150" s="950">
        <f>ROUND(SUMIFS('A5.Consol FY24'!L:L,'A5.Consol FY24'!M:M,"EY",'A5.Consol FY24'!N:N,"Posted",'A5.Consol FY24'!B:B,'A0.LS'!$AO$5,'A5.Consol FY24'!F:F,'A0.LS'!E150),0)</f>
        <v>0</v>
      </c>
      <c r="AP150" s="949">
        <f t="shared" si="76"/>
        <v>0</v>
      </c>
      <c r="AQ150" s="930"/>
      <c r="AR150" s="936">
        <f>ROUND(SUMIFS('TB.XH.FY24'!I:I,'TB.XH.FY24'!J:J,'A0.LS'!E150),0)</f>
        <v>0</v>
      </c>
      <c r="AS150" s="936">
        <f>ROUND(SUMIFS('A5.CTC FY24'!K:K,'A5.CTC FY24'!E:E,'A0.LS'!E150,'A5.CTC FY24'!A:A,'A0.LS'!$AS$5,'A5.CTC FY24'!L:L,"EY",'A5.CTC FY24'!M:M,"Posted"),0)</f>
        <v>0</v>
      </c>
      <c r="AT150" s="948">
        <f t="shared" si="77"/>
        <v>0</v>
      </c>
      <c r="AU150" s="930"/>
      <c r="AV150" s="951">
        <f t="shared" si="78"/>
        <v>0</v>
      </c>
      <c r="AW150" s="952">
        <f>SUMIFS('A5.Consol FY24'!L:L,'A5.Consol FY24'!B:B,'A0.LS'!$AW$5,'A5.Consol FY24'!M:M,"EY",'A5.Consol FY24'!N:N,"Posted",'A5.Consol FY24'!F:F,'A0.LS'!E150)</f>
        <v>0</v>
      </c>
      <c r="AX150" s="951">
        <f t="shared" si="79"/>
        <v>0</v>
      </c>
      <c r="AY150" s="920"/>
      <c r="AZ150" s="936">
        <f>SUMIFS('TB.CTC.YE22'!Q:Q,'TB.CTC.YE22'!A:A,'A0.LS'!E150)</f>
        <v>0</v>
      </c>
      <c r="BA150" s="936">
        <f>ROUND(SUMIFS('A5.YE22'!J:J,'A5.YE22'!K:K,'A0.LS'!$BA$5,'A5.YE22'!L:L,"Posted",'A5.YE22'!D:D,'A0.LS'!E150),0)</f>
        <v>0</v>
      </c>
      <c r="BB150" s="936">
        <f t="shared" si="80"/>
        <v>0</v>
      </c>
      <c r="BC150" s="937"/>
      <c r="BD150" s="936">
        <f>ROUND(SUMIFS('TB.VNSC.YE22'!L:L,'TB.VNSC.YE22'!A:A,'A0.LS'!E150),0)</f>
        <v>0</v>
      </c>
      <c r="BE150" s="936">
        <f>ROUND(SUMIFS('A5.YE22'!J:J,'A5.YE22'!K:K,'A0.LS'!$BE$5,'A5.YE22'!L:L,"Posted",'A5.YE22'!D:D,'A0.LS'!E150),0)</f>
        <v>0</v>
      </c>
      <c r="BF150" s="936">
        <f t="shared" si="81"/>
        <v>0</v>
      </c>
      <c r="BG150" s="937"/>
      <c r="BH150" s="936">
        <f>ROUND(SUMIFS('TB.XH.YE22'!P:P,'TB.XH.YE22'!A:A,'A0.LS'!E150),0)</f>
        <v>0</v>
      </c>
      <c r="BI150" s="936">
        <f>ROUND(SUMIFS('A5.YE22'!J:J,'A5.YE22'!K:K,"XH",'A5.YE22'!L:L,"Posted",'A5.YE22'!D:D,'A0.LS'!E150),0)</f>
        <v>0</v>
      </c>
      <c r="BJ150" s="936">
        <f t="shared" si="82"/>
        <v>0</v>
      </c>
      <c r="BK150" s="937"/>
      <c r="BL150" s="936">
        <f>ROUND(SUMIFS('TB.KCG.YE22'!P:P,'TB.KCG.YE22'!A:A,'A0.LS'!E150),0)</f>
        <v>0</v>
      </c>
      <c r="BM150" s="936">
        <f>ROUND(SUMIFS('A5.YE22'!J:J,'A5.YE22'!K:K,'A0.LS'!$BM$5,'A5.YE22'!L:L,"Posted",'A5.YE22'!D:D,'A0.LS'!E150),0)</f>
        <v>0</v>
      </c>
      <c r="BN150" s="936">
        <f t="shared" si="83"/>
        <v>0</v>
      </c>
      <c r="BO150" s="937"/>
      <c r="BP150" s="938">
        <v>0</v>
      </c>
      <c r="BQ150" s="938">
        <f>ROUND(SUMIFS('A5.YE22'!J:J,'A5.YE22'!K:K,'A0.LS'!$BQ$5,'A5.YE22'!L:L,"Posted",'A5.YE22'!D:D,'A0.LS'!E150),0)</f>
        <v>0</v>
      </c>
      <c r="BR150" s="938">
        <f t="shared" si="84"/>
        <v>0</v>
      </c>
    </row>
    <row r="151" spans="1:70" ht="12.75">
      <c r="A151" s="850"/>
      <c r="B151" s="939">
        <v>319</v>
      </c>
      <c r="C151" s="940" t="s">
        <v>2336</v>
      </c>
      <c r="D151" s="941" t="s">
        <v>2336</v>
      </c>
      <c r="E151" s="928" t="s">
        <v>1729</v>
      </c>
      <c r="F151" s="928" t="s">
        <v>157</v>
      </c>
      <c r="G151" s="927" t="s">
        <v>2324</v>
      </c>
      <c r="H151" s="927" t="s">
        <v>2265</v>
      </c>
      <c r="I151" s="942">
        <f>SUMIFS('TB.CTy Me.FY2024'!I:I,'TB.CTy Me.FY2024'!A:A,'A0.LS'!E151)</f>
        <v>0</v>
      </c>
      <c r="J151" s="942">
        <f>ROUND(SUMIFS('A5.FY24'!K:K,'A5.FY24'!E:E,'A0.LS'!E151,'A5.FY24'!L:L,"Finhay",'A5.FY24'!M:M,"Posted"),0)</f>
        <v>0</v>
      </c>
      <c r="K151" s="942">
        <f>ROUND(SUMIFS('A5.FY24'!K:K,'A5.FY24'!E:E,'A0.LS'!E151,'A5.FY24'!L:L,"EY",'A5.FY24'!M:M,"Posted"),0)</f>
        <v>0</v>
      </c>
      <c r="L151" s="943">
        <f t="shared" si="70"/>
        <v>0</v>
      </c>
      <c r="M151" s="930"/>
      <c r="N151" s="944">
        <f>SUMIFS('TB.CTM.YE23'!I:I,'TB.CTM.YE23'!A:A,'A0.LS'!E151)</f>
        <v>0</v>
      </c>
      <c r="O151" s="944">
        <v>0</v>
      </c>
      <c r="P151" s="944">
        <v>0</v>
      </c>
      <c r="Q151" s="945">
        <f t="shared" si="71"/>
        <v>0</v>
      </c>
      <c r="R151" s="898"/>
      <c r="S151" s="848">
        <f t="shared" si="68"/>
        <v>0</v>
      </c>
      <c r="T151" s="946" t="str">
        <f t="shared" si="69"/>
        <v>To check</v>
      </c>
      <c r="U151" s="850"/>
      <c r="V151" s="850" t="s">
        <v>2325</v>
      </c>
      <c r="W151" s="850"/>
      <c r="X151" s="947" t="s">
        <v>2227</v>
      </c>
      <c r="Y151" s="947" t="s">
        <v>2324</v>
      </c>
      <c r="Z151" s="936">
        <f>ROUND(SUMIFS('TB.Cty Con.FY24'!I:I,'TB.Cty Con.FY24'!A:A,'A0.LS'!E151),0)</f>
        <v>0</v>
      </c>
      <c r="AA151" s="936">
        <f>ROUND(SUMIFS('A5.CTC FY24'!K:K,'A5.CTC FY24'!E:E,'A0.LS'!E151,'A5.CTC FY24'!A:A,'A0.LS'!$AA$5,'A5.CTC FY24'!L:L,"Finhay",'A5.CTC FY24'!M:M,"Posted"),0)</f>
        <v>0</v>
      </c>
      <c r="AB151" s="936">
        <f>ROUND(SUMIFS('A5.CTC FY24'!K:K,'A5.CTC FY24'!E:E,'A0.LS'!E151,'A5.CTC FY24'!A:A,'A0.LS'!$AB$5,'A5.CTC FY24'!L:L,"EY",'A5.CTC FY24'!M:M,"Posted"),0)</f>
        <v>0</v>
      </c>
      <c r="AC151" s="948">
        <f t="shared" si="72"/>
        <v>0</v>
      </c>
      <c r="AD151" s="930"/>
      <c r="AE151" s="936">
        <f>ROUND(SUMIFS('TB VNSC FY24'!M:M,'TB VNSC FY24'!N:N,'A0.LS'!E151),0)</f>
        <v>-89460625</v>
      </c>
      <c r="AF151" s="936">
        <f>SUMIFS('A5.CTC FY24'!K:K,'A5.CTC FY24'!E:E,'A0.LS'!E151,'A5.CTC FY24'!A:A,"VNSC",'A5.CTC FY24'!L:L,"VNSC",'A5.CTC FY24'!M:M,"Posted")</f>
        <v>0</v>
      </c>
      <c r="AG151" s="936">
        <f>ROUND(SUMIFS('A5.CTC FY24'!K:K,'A5.CTC FY24'!E:E,'A0.LS'!E151,'A5.CTC FY24'!A:A,"VNSC",'A5.CTC FY24'!L:L,"EY",'A5.CTC FY24'!M:M,"Posted"),0)</f>
        <v>0</v>
      </c>
      <c r="AH151" s="936">
        <f t="shared" si="73"/>
        <v>-89460625</v>
      </c>
      <c r="AI151" s="930"/>
      <c r="AJ151" s="936">
        <f>SUMIFS('TB.KCG.FY24'!I:I,'TB.KCG.FY24'!A:A,'A0.LS'!E151)</f>
        <v>0</v>
      </c>
      <c r="AK151" s="936">
        <f>ROUND(SUMIFS('A5.CTC FY24'!K:K,'A5.CTC FY24'!E:E,'A0.LS'!E151,'A5.CTC FY24'!A:A,'A0.LS'!$AK$5,'A5.CTC FY24'!L:L,"EY",'A5.CTC FY24'!M:M,"Posted"),0)</f>
        <v>0</v>
      </c>
      <c r="AL151" s="948">
        <f t="shared" si="74"/>
        <v>0</v>
      </c>
      <c r="AM151" s="930"/>
      <c r="AN151" s="949">
        <f t="shared" si="75"/>
        <v>-89460625</v>
      </c>
      <c r="AO151" s="950">
        <f>ROUND(SUMIFS('A5.Consol FY24'!L:L,'A5.Consol FY24'!M:M,"EY",'A5.Consol FY24'!N:N,"Posted",'A5.Consol FY24'!B:B,'A0.LS'!$AO$5,'A5.Consol FY24'!F:F,'A0.LS'!E151),0)</f>
        <v>0</v>
      </c>
      <c r="AP151" s="949">
        <f t="shared" si="76"/>
        <v>-89460625</v>
      </c>
      <c r="AQ151" s="930"/>
      <c r="AR151" s="936">
        <f>ROUND(SUMIFS('TB.XH.FY24'!I:I,'TB.XH.FY24'!J:J,'A0.LS'!E151),0)</f>
        <v>0</v>
      </c>
      <c r="AS151" s="936">
        <f>ROUND(SUMIFS('A5.CTC FY24'!K:K,'A5.CTC FY24'!E:E,'A0.LS'!E151,'A5.CTC FY24'!A:A,'A0.LS'!$AS$5,'A5.CTC FY24'!L:L,"EY",'A5.CTC FY24'!M:M,"Posted"),0)</f>
        <v>0</v>
      </c>
      <c r="AT151" s="948">
        <f t="shared" si="77"/>
        <v>0</v>
      </c>
      <c r="AU151" s="930"/>
      <c r="AV151" s="951">
        <f t="shared" si="78"/>
        <v>-89460625</v>
      </c>
      <c r="AW151" s="952">
        <f>SUMIFS('A5.Consol FY24'!L:L,'A5.Consol FY24'!B:B,'A0.LS'!$AW$5,'A5.Consol FY24'!M:M,"EY",'A5.Consol FY24'!N:N,"Posted",'A5.Consol FY24'!F:F,'A0.LS'!E151)</f>
        <v>0</v>
      </c>
      <c r="AX151" s="951">
        <f t="shared" si="79"/>
        <v>-89460625</v>
      </c>
      <c r="AY151" s="920"/>
      <c r="AZ151" s="936">
        <f>SUMIFS('TB.CTC.YE22'!Q:Q,'TB.CTC.YE22'!A:A,'A0.LS'!E151)</f>
        <v>0</v>
      </c>
      <c r="BA151" s="936">
        <f>ROUND(SUMIFS('A5.YE22'!J:J,'A5.YE22'!K:K,'A0.LS'!$BA$5,'A5.YE22'!L:L,"Posted",'A5.YE22'!D:D,'A0.LS'!E151),0)</f>
        <v>0</v>
      </c>
      <c r="BB151" s="936">
        <f t="shared" si="80"/>
        <v>0</v>
      </c>
      <c r="BC151" s="937"/>
      <c r="BD151" s="936">
        <f>ROUND(SUMIFS('TB.VNSC.YE22'!L:L,'TB.VNSC.YE22'!A:A,'A0.LS'!E151),0)</f>
        <v>-14981221</v>
      </c>
      <c r="BE151" s="936">
        <f>ROUND(SUMIFS('A5.YE22'!J:J,'A5.YE22'!K:K,'A0.LS'!$BE$5,'A5.YE22'!L:L,"Posted",'A5.YE22'!D:D,'A0.LS'!E151),0)</f>
        <v>0</v>
      </c>
      <c r="BF151" s="936">
        <f t="shared" si="81"/>
        <v>-14981221</v>
      </c>
      <c r="BG151" s="937"/>
      <c r="BH151" s="936">
        <f>ROUND(SUMIFS('TB.XH.YE22'!P:P,'TB.XH.YE22'!A:A,'A0.LS'!E151),0)</f>
        <v>0</v>
      </c>
      <c r="BI151" s="936">
        <f>ROUND(SUMIFS('A5.YE22'!J:J,'A5.YE22'!K:K,"XH",'A5.YE22'!L:L,"Posted",'A5.YE22'!D:D,'A0.LS'!E151),0)</f>
        <v>0</v>
      </c>
      <c r="BJ151" s="936">
        <f t="shared" si="82"/>
        <v>0</v>
      </c>
      <c r="BK151" s="937"/>
      <c r="BL151" s="936">
        <f>ROUND(SUMIFS('TB.KCG.YE22'!P:P,'TB.KCG.YE22'!A:A,'A0.LS'!E151),0)</f>
        <v>0</v>
      </c>
      <c r="BM151" s="936">
        <f>ROUND(SUMIFS('A5.YE22'!J:J,'A5.YE22'!K:K,'A0.LS'!$BM$5,'A5.YE22'!L:L,"Posted",'A5.YE22'!D:D,'A0.LS'!E151),0)</f>
        <v>0</v>
      </c>
      <c r="BN151" s="936">
        <f t="shared" si="83"/>
        <v>0</v>
      </c>
      <c r="BO151" s="937"/>
      <c r="BP151" s="938">
        <v>-14981221</v>
      </c>
      <c r="BQ151" s="938">
        <f>ROUND(SUMIFS('A5.YE22'!J:J,'A5.YE22'!K:K,'A0.LS'!$BQ$5,'A5.YE22'!L:L,"Posted",'A5.YE22'!D:D,'A0.LS'!E151),0)</f>
        <v>0</v>
      </c>
      <c r="BR151" s="938">
        <f t="shared" si="84"/>
        <v>-14981221</v>
      </c>
    </row>
    <row r="152" spans="1:70" ht="12.75">
      <c r="A152" s="850" t="s">
        <v>681</v>
      </c>
      <c r="B152" s="939">
        <v>319</v>
      </c>
      <c r="C152" s="940" t="s">
        <v>2359</v>
      </c>
      <c r="D152" s="941" t="s">
        <v>2359</v>
      </c>
      <c r="E152" s="928" t="s">
        <v>2360</v>
      </c>
      <c r="F152" s="928" t="s">
        <v>2361</v>
      </c>
      <c r="G152" s="927" t="s">
        <v>2324</v>
      </c>
      <c r="H152" s="927" t="s">
        <v>2265</v>
      </c>
      <c r="I152" s="102">
        <f>SUMIFS('TB.CTy Me.FY2024'!I:I,'TB.CTy Me.FY2024'!A:A,'A0.LS'!E152)</f>
        <v>0</v>
      </c>
      <c r="J152" s="942">
        <f>ROUND(SUMIFS('A5.FY24'!K:K,'A5.FY24'!E:E,'A0.LS'!E152,'A5.FY24'!L:L,"Finhay",'A5.FY24'!M:M,"Posted"),0)</f>
        <v>0</v>
      </c>
      <c r="K152" s="942">
        <f>ROUND(SUMIFS('A5.FY24'!K:K,'A5.FY24'!E:E,'A0.LS'!E152,'A5.FY24'!L:L,"EY",'A5.FY24'!M:M,"Posted"),0)</f>
        <v>0</v>
      </c>
      <c r="L152" s="108">
        <f t="shared" si="70"/>
        <v>0</v>
      </c>
      <c r="M152" s="930"/>
      <c r="N152" s="71">
        <f>SUMIFS('TB.CTM.YE23'!I:I,'TB.CTM.YE23'!A:A,'A0.LS'!E152)+1</f>
        <v>1</v>
      </c>
      <c r="O152" s="944">
        <v>0</v>
      </c>
      <c r="P152" s="944">
        <v>0</v>
      </c>
      <c r="Q152" s="72">
        <f t="shared" si="71"/>
        <v>1</v>
      </c>
      <c r="R152" s="898"/>
      <c r="S152" s="848">
        <f t="shared" si="68"/>
        <v>-1</v>
      </c>
      <c r="T152" s="946">
        <f t="shared" si="69"/>
        <v>-1</v>
      </c>
      <c r="U152" s="850"/>
      <c r="V152" s="850" t="s">
        <v>2325</v>
      </c>
      <c r="W152" s="850"/>
      <c r="X152" s="947" t="s">
        <v>2227</v>
      </c>
      <c r="Y152" s="947" t="s">
        <v>2324</v>
      </c>
      <c r="Z152" s="936">
        <f>ROUND(SUMIFS('TB.Cty Con.FY24'!I:I,'TB.Cty Con.FY24'!A:A,'A0.LS'!E152),0)</f>
        <v>0</v>
      </c>
      <c r="AA152" s="936">
        <f>ROUND(SUMIFS('A5.CTC FY24'!K:K,'A5.CTC FY24'!E:E,'A0.LS'!E152,'A5.CTC FY24'!A:A,'A0.LS'!$AA$5,'A5.CTC FY24'!L:L,"Finhay",'A5.CTC FY24'!M:M,"Posted"),0)</f>
        <v>0</v>
      </c>
      <c r="AB152" s="936">
        <f>ROUND(SUMIFS('A5.CTC FY24'!K:K,'A5.CTC FY24'!E:E,'A0.LS'!E152,'A5.CTC FY24'!A:A,'A0.LS'!$AB$5,'A5.CTC FY24'!L:L,"EY",'A5.CTC FY24'!M:M,"Posted"),0)</f>
        <v>0</v>
      </c>
      <c r="AC152" s="948">
        <f t="shared" si="72"/>
        <v>0</v>
      </c>
      <c r="AD152" s="930"/>
      <c r="AE152" s="936">
        <f>ROUND(SUMIFS('TB VNSC FY24'!M:M,'TB VNSC FY24'!N:N,'A0.LS'!E152),0)</f>
        <v>0</v>
      </c>
      <c r="AF152" s="936">
        <f>SUMIFS('A5.CTC FY24'!K:K,'A5.CTC FY24'!E:E,'A0.LS'!E152,'A5.CTC FY24'!A:A,"VNSC",'A5.CTC FY24'!L:L,"VNSC",'A5.CTC FY24'!M:M,"Posted")</f>
        <v>0</v>
      </c>
      <c r="AG152" s="936">
        <f>ROUND(SUMIFS('A5.CTC FY24'!K:K,'A5.CTC FY24'!E:E,'A0.LS'!E152,'A5.CTC FY24'!A:A,"VNSC",'A5.CTC FY24'!L:L,"EY",'A5.CTC FY24'!M:M,"Posted"),0)</f>
        <v>0</v>
      </c>
      <c r="AH152" s="936">
        <f t="shared" si="73"/>
        <v>0</v>
      </c>
      <c r="AI152" s="930"/>
      <c r="AJ152" s="936">
        <f>SUMIFS('TB.KCG.FY24'!I:I,'TB.KCG.FY24'!A:A,'A0.LS'!E152)</f>
        <v>0</v>
      </c>
      <c r="AK152" s="936">
        <f>ROUND(SUMIFS('A5.CTC FY24'!K:K,'A5.CTC FY24'!E:E,'A0.LS'!E152,'A5.CTC FY24'!A:A,'A0.LS'!$AK$5,'A5.CTC FY24'!L:L,"EY",'A5.CTC FY24'!M:M,"Posted"),0)</f>
        <v>0</v>
      </c>
      <c r="AL152" s="948">
        <f t="shared" si="74"/>
        <v>0</v>
      </c>
      <c r="AM152" s="930"/>
      <c r="AN152" s="949">
        <f t="shared" si="75"/>
        <v>0</v>
      </c>
      <c r="AO152" s="950">
        <f>ROUND(SUMIFS('A5.Consol FY24'!L:L,'A5.Consol FY24'!M:M,"EY",'A5.Consol FY24'!N:N,"Posted",'A5.Consol FY24'!B:B,'A0.LS'!$AO$5,'A5.Consol FY24'!F:F,'A0.LS'!E152),0)</f>
        <v>0</v>
      </c>
      <c r="AP152" s="949">
        <f t="shared" si="76"/>
        <v>0</v>
      </c>
      <c r="AQ152" s="930"/>
      <c r="AR152" s="936">
        <f>ROUND(SUMIFS('TB.XH.FY24'!I:I,'TB.XH.FY24'!J:J,'A0.LS'!E152),0)</f>
        <v>0</v>
      </c>
      <c r="AS152" s="936">
        <f>ROUND(SUMIFS('A5.CTC FY24'!K:K,'A5.CTC FY24'!E:E,'A0.LS'!E152,'A5.CTC FY24'!A:A,'A0.LS'!$AS$5,'A5.CTC FY24'!L:L,"EY",'A5.CTC FY24'!M:M,"Posted"),0)</f>
        <v>0</v>
      </c>
      <c r="AT152" s="948">
        <f t="shared" si="77"/>
        <v>0</v>
      </c>
      <c r="AU152" s="930"/>
      <c r="AV152" s="951">
        <f t="shared" si="78"/>
        <v>0</v>
      </c>
      <c r="AW152" s="952">
        <f>SUMIFS('A5.Consol FY24'!L:L,'A5.Consol FY24'!B:B,'A0.LS'!$AW$5,'A5.Consol FY24'!M:M,"EY",'A5.Consol FY24'!N:N,"Posted",'A5.Consol FY24'!F:F,'A0.LS'!E152)</f>
        <v>0</v>
      </c>
      <c r="AX152" s="951">
        <f t="shared" si="79"/>
        <v>0</v>
      </c>
      <c r="AY152" s="920"/>
      <c r="AZ152" s="936">
        <f>SUMIFS('TB.CTC.YE22'!Q:Q,'TB.CTC.YE22'!A:A,'A0.LS'!E152)</f>
        <v>0</v>
      </c>
      <c r="BA152" s="936">
        <f>ROUND(SUMIFS('A5.YE22'!J:J,'A5.YE22'!K:K,'A0.LS'!$BA$5,'A5.YE22'!L:L,"Posted",'A5.YE22'!D:D,'A0.LS'!E152),0)</f>
        <v>0</v>
      </c>
      <c r="BB152" s="936">
        <f t="shared" si="80"/>
        <v>0</v>
      </c>
      <c r="BC152" s="937"/>
      <c r="BD152" s="936">
        <f>ROUND(SUMIFS('TB.VNSC.YE22'!L:L,'TB.VNSC.YE22'!A:A,'A0.LS'!E152),0)</f>
        <v>0</v>
      </c>
      <c r="BE152" s="936">
        <f>ROUND(SUMIFS('A5.YE22'!J:J,'A5.YE22'!K:K,'A0.LS'!$BE$5,'A5.YE22'!L:L,"Posted",'A5.YE22'!D:D,'A0.LS'!E152),0)</f>
        <v>0</v>
      </c>
      <c r="BF152" s="936">
        <f t="shared" si="81"/>
        <v>0</v>
      </c>
      <c r="BG152" s="937"/>
      <c r="BH152" s="936">
        <f>ROUND(SUMIFS('TB.XH.YE22'!P:P,'TB.XH.YE22'!A:A,'A0.LS'!E152),0)</f>
        <v>0</v>
      </c>
      <c r="BI152" s="936">
        <f>ROUND(SUMIFS('A5.YE22'!J:J,'A5.YE22'!K:K,"XH",'A5.YE22'!L:L,"Posted",'A5.YE22'!D:D,'A0.LS'!E152),0)</f>
        <v>0</v>
      </c>
      <c r="BJ152" s="936">
        <f t="shared" si="82"/>
        <v>0</v>
      </c>
      <c r="BK152" s="937"/>
      <c r="BL152" s="936">
        <f>ROUND(SUMIFS('TB.KCG.YE22'!P:P,'TB.KCG.YE22'!A:A,'A0.LS'!E152),0)</f>
        <v>0</v>
      </c>
      <c r="BM152" s="936">
        <f>ROUND(SUMIFS('A5.YE22'!J:J,'A5.YE22'!K:K,'A0.LS'!$BM$5,'A5.YE22'!L:L,"Posted",'A5.YE22'!D:D,'A0.LS'!E152),0)</f>
        <v>0</v>
      </c>
      <c r="BN152" s="936">
        <f t="shared" si="83"/>
        <v>0</v>
      </c>
      <c r="BO152" s="937"/>
      <c r="BP152" s="938">
        <v>0</v>
      </c>
      <c r="BQ152" s="938">
        <f>ROUND(SUMIFS('A5.YE22'!J:J,'A5.YE22'!K:K,'A0.LS'!$BQ$5,'A5.YE22'!L:L,"Posted",'A5.YE22'!D:D,'A0.LS'!E152),0)</f>
        <v>0</v>
      </c>
      <c r="BR152" s="938">
        <f t="shared" si="84"/>
        <v>0</v>
      </c>
    </row>
    <row r="153" spans="1:70" ht="12.75">
      <c r="A153" s="850"/>
      <c r="B153" s="939">
        <v>319</v>
      </c>
      <c r="C153" s="940" t="s">
        <v>2336</v>
      </c>
      <c r="D153" s="941" t="s">
        <v>2330</v>
      </c>
      <c r="E153" s="928" t="s">
        <v>181</v>
      </c>
      <c r="F153" s="928" t="s">
        <v>182</v>
      </c>
      <c r="G153" s="927" t="s">
        <v>2324</v>
      </c>
      <c r="H153" s="927" t="s">
        <v>2265</v>
      </c>
      <c r="I153" s="942">
        <f>SUMIFS('TB.CTy Me.FY2024'!I:I,'TB.CTy Me.FY2024'!A:A,'A0.LS'!E153)</f>
        <v>0</v>
      </c>
      <c r="J153" s="942">
        <f>ROUND(SUMIFS('A5.FY24'!K:K,'A5.FY24'!E:E,'A0.LS'!E153,'A5.FY24'!L:L,"Finhay",'A5.FY24'!M:M,"Posted"),0)</f>
        <v>0</v>
      </c>
      <c r="K153" s="942">
        <f>ROUND(SUMIFS('A5.FY24'!K:K,'A5.FY24'!E:E,'A0.LS'!E153,'A5.FY24'!L:L,"EY",'A5.FY24'!M:M,"Posted"),0)</f>
        <v>0</v>
      </c>
      <c r="L153" s="943">
        <f t="shared" si="70"/>
        <v>0</v>
      </c>
      <c r="M153" s="930"/>
      <c r="N153" s="944">
        <f>SUMIFS('TB.CTM.YE23'!I:I,'TB.CTM.YE23'!A:A,'A0.LS'!E153)</f>
        <v>-1239739</v>
      </c>
      <c r="O153" s="944">
        <v>0</v>
      </c>
      <c r="P153" s="944">
        <v>0</v>
      </c>
      <c r="Q153" s="945">
        <f t="shared" si="71"/>
        <v>-1239739</v>
      </c>
      <c r="R153" s="898"/>
      <c r="S153" s="848">
        <f t="shared" si="68"/>
        <v>1239739</v>
      </c>
      <c r="T153" s="946">
        <f t="shared" si="69"/>
        <v>-1</v>
      </c>
      <c r="U153" s="850"/>
      <c r="V153" s="850" t="e">
        <v>#N/A</v>
      </c>
      <c r="W153" s="850"/>
      <c r="X153" s="947" t="s">
        <v>2227</v>
      </c>
      <c r="Y153" s="947" t="s">
        <v>2324</v>
      </c>
      <c r="Z153" s="936">
        <f>ROUND(SUMIFS('TB.Cty Con.FY24'!I:I,'TB.Cty Con.FY24'!A:A,'A0.LS'!E153),0)</f>
        <v>0</v>
      </c>
      <c r="AA153" s="936">
        <f>ROUND(SUMIFS('A5.CTC FY24'!K:K,'A5.CTC FY24'!E:E,'A0.LS'!E153,'A5.CTC FY24'!A:A,'A0.LS'!$AA$5,'A5.CTC FY24'!L:L,"Finhay",'A5.CTC FY24'!M:M,"Posted"),0)</f>
        <v>0</v>
      </c>
      <c r="AB153" s="936">
        <f>ROUND(SUMIFS('A5.CTC FY24'!K:K,'A5.CTC FY24'!E:E,'A0.LS'!E153,'A5.CTC FY24'!A:A,'A0.LS'!$AB$5,'A5.CTC FY24'!L:L,"EY",'A5.CTC FY24'!M:M,"Posted"),0)</f>
        <v>0</v>
      </c>
      <c r="AC153" s="948">
        <f t="shared" si="72"/>
        <v>0</v>
      </c>
      <c r="AD153" s="930"/>
      <c r="AE153" s="936">
        <f>ROUND(SUMIFS('TB VNSC FY24'!M:M,'TB VNSC FY24'!N:N,'A0.LS'!E153),0)</f>
        <v>0</v>
      </c>
      <c r="AF153" s="936">
        <f>SUMIFS('A5.CTC FY24'!K:K,'A5.CTC FY24'!E:E,'A0.LS'!E153,'A5.CTC FY24'!A:A,"VNSC",'A5.CTC FY24'!L:L,"VNSC",'A5.CTC FY24'!M:M,"Posted")</f>
        <v>0</v>
      </c>
      <c r="AG153" s="936">
        <f>ROUND(SUMIFS('A5.CTC FY24'!K:K,'A5.CTC FY24'!E:E,'A0.LS'!E153,'A5.CTC FY24'!A:A,"VNSC",'A5.CTC FY24'!L:L,"EY",'A5.CTC FY24'!M:M,"Posted"),0)</f>
        <v>0</v>
      </c>
      <c r="AH153" s="936">
        <f t="shared" si="73"/>
        <v>0</v>
      </c>
      <c r="AI153" s="930"/>
      <c r="AJ153" s="936">
        <f>SUMIFS('TB.KCG.FY24'!I:I,'TB.KCG.FY24'!A:A,'A0.LS'!E153)</f>
        <v>0</v>
      </c>
      <c r="AK153" s="936">
        <f>ROUND(SUMIFS('A5.CTC FY24'!K:K,'A5.CTC FY24'!E:E,'A0.LS'!E153,'A5.CTC FY24'!A:A,'A0.LS'!$AK$5,'A5.CTC FY24'!L:L,"EY",'A5.CTC FY24'!M:M,"Posted"),0)</f>
        <v>0</v>
      </c>
      <c r="AL153" s="948">
        <f t="shared" si="74"/>
        <v>0</v>
      </c>
      <c r="AM153" s="930"/>
      <c r="AN153" s="949">
        <f t="shared" si="75"/>
        <v>0</v>
      </c>
      <c r="AO153" s="950">
        <f>ROUND(SUMIFS('A5.Consol FY24'!L:L,'A5.Consol FY24'!M:M,"EY",'A5.Consol FY24'!N:N,"Posted",'A5.Consol FY24'!B:B,'A0.LS'!$AO$5,'A5.Consol FY24'!F:F,'A0.LS'!E153),0)</f>
        <v>0</v>
      </c>
      <c r="AP153" s="949">
        <f t="shared" si="76"/>
        <v>0</v>
      </c>
      <c r="AQ153" s="930"/>
      <c r="AR153" s="936">
        <f>ROUND(SUMIFS('TB.XH.FY24'!I:I,'TB.XH.FY24'!J:J,'A0.LS'!E153),0)</f>
        <v>0</v>
      </c>
      <c r="AS153" s="936">
        <f>ROUND(SUMIFS('A5.CTC FY24'!K:K,'A5.CTC FY24'!E:E,'A0.LS'!E153,'A5.CTC FY24'!A:A,'A0.LS'!$AS$5,'A5.CTC FY24'!L:L,"EY",'A5.CTC FY24'!M:M,"Posted"),0)</f>
        <v>0</v>
      </c>
      <c r="AT153" s="948">
        <f t="shared" si="77"/>
        <v>0</v>
      </c>
      <c r="AU153" s="930"/>
      <c r="AV153" s="951">
        <f t="shared" si="78"/>
        <v>0</v>
      </c>
      <c r="AW153" s="952">
        <f>SUMIFS('A5.Consol FY24'!L:L,'A5.Consol FY24'!B:B,'A0.LS'!$AW$5,'A5.Consol FY24'!M:M,"EY",'A5.Consol FY24'!N:N,"Posted",'A5.Consol FY24'!F:F,'A0.LS'!E153)</f>
        <v>0</v>
      </c>
      <c r="AX153" s="951">
        <f t="shared" si="79"/>
        <v>0</v>
      </c>
      <c r="AY153" s="920"/>
      <c r="AZ153" s="936">
        <f>SUMIFS('TB.CTC.YE22'!Q:Q,'TB.CTC.YE22'!A:A,'A0.LS'!E153)</f>
        <v>0</v>
      </c>
      <c r="BA153" s="936">
        <f>ROUND(SUMIFS('A5.YE22'!J:J,'A5.YE22'!K:K,'A0.LS'!$BA$5,'A5.YE22'!L:L,"Posted",'A5.YE22'!D:D,'A0.LS'!E153),0)</f>
        <v>0</v>
      </c>
      <c r="BB153" s="936">
        <f t="shared" si="80"/>
        <v>0</v>
      </c>
      <c r="BC153" s="937"/>
      <c r="BD153" s="936">
        <f>ROUND(SUMIFS('TB.VNSC.YE22'!L:L,'TB.VNSC.YE22'!A:A,'A0.LS'!E153),0)</f>
        <v>0</v>
      </c>
      <c r="BE153" s="936">
        <f>ROUND(SUMIFS('A5.YE22'!J:J,'A5.YE22'!K:K,'A0.LS'!$BE$5,'A5.YE22'!L:L,"Posted",'A5.YE22'!D:D,'A0.LS'!E153),0)</f>
        <v>0</v>
      </c>
      <c r="BF153" s="936">
        <f t="shared" si="81"/>
        <v>0</v>
      </c>
      <c r="BG153" s="937"/>
      <c r="BH153" s="936">
        <f>ROUND(SUMIFS('TB.XH.YE22'!P:P,'TB.XH.YE22'!A:A,'A0.LS'!E153),0)</f>
        <v>0</v>
      </c>
      <c r="BI153" s="936">
        <f>ROUND(SUMIFS('A5.YE22'!J:J,'A5.YE22'!K:K,"XH",'A5.YE22'!L:L,"Posted",'A5.YE22'!D:D,'A0.LS'!E153),0)</f>
        <v>0</v>
      </c>
      <c r="BJ153" s="936">
        <f t="shared" si="82"/>
        <v>0</v>
      </c>
      <c r="BK153" s="937"/>
      <c r="BL153" s="936">
        <f>ROUND(SUMIFS('TB.KCG.YE22'!P:P,'TB.KCG.YE22'!A:A,'A0.LS'!E153),0)</f>
        <v>0</v>
      </c>
      <c r="BM153" s="936">
        <f>ROUND(SUMIFS('A5.YE22'!J:J,'A5.YE22'!K:K,'A0.LS'!$BM$5,'A5.YE22'!L:L,"Posted",'A5.YE22'!D:D,'A0.LS'!E153),0)</f>
        <v>0</v>
      </c>
      <c r="BN153" s="936">
        <f t="shared" si="83"/>
        <v>0</v>
      </c>
      <c r="BO153" s="937"/>
      <c r="BP153" s="938">
        <v>-1239739</v>
      </c>
      <c r="BQ153" s="938">
        <f>ROUND(SUMIFS('A5.YE22'!J:J,'A5.YE22'!K:K,'A0.LS'!$BQ$5,'A5.YE22'!L:L,"Posted",'A5.YE22'!D:D,'A0.LS'!E153),0)</f>
        <v>0</v>
      </c>
      <c r="BR153" s="938">
        <f t="shared" si="84"/>
        <v>-1239739</v>
      </c>
    </row>
    <row r="154" spans="1:70" ht="12.75">
      <c r="A154" s="850"/>
      <c r="B154" s="939">
        <v>319</v>
      </c>
      <c r="C154" s="940" t="s">
        <v>2339</v>
      </c>
      <c r="D154" s="941" t="s">
        <v>2339</v>
      </c>
      <c r="E154" s="928" t="s">
        <v>197</v>
      </c>
      <c r="F154" s="928" t="s">
        <v>198</v>
      </c>
      <c r="G154" s="927" t="s">
        <v>2324</v>
      </c>
      <c r="H154" s="927" t="s">
        <v>2265</v>
      </c>
      <c r="I154" s="942">
        <f>SUMIFS('TB.CTy Me.FY2024'!I:I,'TB.CTy Me.FY2024'!A:A,'A0.LS'!E154)</f>
        <v>-1165419137970</v>
      </c>
      <c r="J154" s="942">
        <f>ROUND(SUMIFS('A5.FY24'!K:K,'A5.FY24'!E:E,'A0.LS'!E154,'A5.FY24'!L:L,"Finhay",'A5.FY24'!M:M,"Posted"),0)</f>
        <v>-54885</v>
      </c>
      <c r="K154" s="942">
        <f>ROUND(SUMIFS('A5.FY24'!K:K,'A5.FY24'!E:E,'A0.LS'!E154,'A5.FY24'!L:L,"EY",'A5.FY24'!M:M,"Posted"),0)</f>
        <v>54885</v>
      </c>
      <c r="L154" s="943">
        <f t="shared" si="70"/>
        <v>-1165419137970</v>
      </c>
      <c r="M154" s="930"/>
      <c r="N154" s="944">
        <f>SUMIFS('TB.CTM.YE23'!I:I,'TB.CTM.YE23'!A:A,'A0.LS'!E154)</f>
        <v>-1546426845336</v>
      </c>
      <c r="O154" s="944">
        <v>0</v>
      </c>
      <c r="P154" s="944">
        <v>0</v>
      </c>
      <c r="Q154" s="945">
        <f t="shared" si="71"/>
        <v>-1546426845336</v>
      </c>
      <c r="R154" s="898"/>
      <c r="S154" s="848">
        <f t="shared" si="68"/>
        <v>381007707366</v>
      </c>
      <c r="T154" s="946">
        <f t="shared" si="69"/>
        <v>-0.24637939293094496</v>
      </c>
      <c r="U154" s="850"/>
      <c r="V154" s="850" t="e">
        <v>#N/A</v>
      </c>
      <c r="W154" s="850"/>
      <c r="X154" s="947" t="s">
        <v>2227</v>
      </c>
      <c r="Y154" s="947" t="s">
        <v>2324</v>
      </c>
      <c r="Z154" s="936">
        <f>ROUND(SUMIFS('TB.Cty Con.FY24'!I:I,'TB.Cty Con.FY24'!A:A,'A0.LS'!E154),0)</f>
        <v>0</v>
      </c>
      <c r="AA154" s="936">
        <f>ROUND(SUMIFS('A5.CTC FY24'!K:K,'A5.CTC FY24'!E:E,'A0.LS'!E154,'A5.CTC FY24'!A:A,'A0.LS'!$AA$5,'A5.CTC FY24'!L:L,"Finhay",'A5.CTC FY24'!M:M,"Posted"),0)</f>
        <v>0</v>
      </c>
      <c r="AB154" s="936">
        <f>ROUND(SUMIFS('A5.CTC FY24'!K:K,'A5.CTC FY24'!E:E,'A0.LS'!E154,'A5.CTC FY24'!A:A,'A0.LS'!$AB$5,'A5.CTC FY24'!L:L,"EY",'A5.CTC FY24'!M:M,"Posted"),0)</f>
        <v>0</v>
      </c>
      <c r="AC154" s="948">
        <f t="shared" si="72"/>
        <v>0</v>
      </c>
      <c r="AD154" s="930"/>
      <c r="AE154" s="936">
        <f>ROUND(SUMIFS('TB VNSC FY24'!M:M,'TB VNSC FY24'!N:N,'A0.LS'!E154),0)</f>
        <v>0</v>
      </c>
      <c r="AF154" s="936">
        <f>SUMIFS('A5.CTC FY24'!K:K,'A5.CTC FY24'!E:E,'A0.LS'!E154,'A5.CTC FY24'!A:A,"VNSC",'A5.CTC FY24'!L:L,"VNSC",'A5.CTC FY24'!M:M,"Posted")</f>
        <v>0</v>
      </c>
      <c r="AG154" s="936">
        <f>ROUND(SUMIFS('A5.CTC FY24'!K:K,'A5.CTC FY24'!E:E,'A0.LS'!E154,'A5.CTC FY24'!A:A,"VNSC",'A5.CTC FY24'!L:L,"EY",'A5.CTC FY24'!M:M,"Posted"),0)</f>
        <v>0</v>
      </c>
      <c r="AH154" s="936">
        <f t="shared" si="73"/>
        <v>0</v>
      </c>
      <c r="AI154" s="930"/>
      <c r="AJ154" s="936">
        <f>SUMIFS('TB.KCG.FY24'!I:I,'TB.KCG.FY24'!A:A,'A0.LS'!E154)</f>
        <v>0</v>
      </c>
      <c r="AK154" s="936">
        <f>ROUND(SUMIFS('A5.CTC FY24'!K:K,'A5.CTC FY24'!E:E,'A0.LS'!E154,'A5.CTC FY24'!A:A,'A0.LS'!$AK$5,'A5.CTC FY24'!L:L,"EY",'A5.CTC FY24'!M:M,"Posted"),0)</f>
        <v>0</v>
      </c>
      <c r="AL154" s="948">
        <f t="shared" si="74"/>
        <v>0</v>
      </c>
      <c r="AM154" s="930"/>
      <c r="AN154" s="949">
        <f t="shared" si="75"/>
        <v>0</v>
      </c>
      <c r="AO154" s="950">
        <f>ROUND(SUMIFS('A5.Consol FY24'!L:L,'A5.Consol FY24'!M:M,"EY",'A5.Consol FY24'!N:N,"Posted",'A5.Consol FY24'!B:B,'A0.LS'!$AO$5,'A5.Consol FY24'!F:F,'A0.LS'!E154),0)</f>
        <v>0</v>
      </c>
      <c r="AP154" s="949">
        <f t="shared" si="76"/>
        <v>0</v>
      </c>
      <c r="AQ154" s="930"/>
      <c r="AR154" s="936">
        <f>ROUND(SUMIFS('TB.XH.FY24'!I:I,'TB.XH.FY24'!J:J,'A0.LS'!E154),0)</f>
        <v>0</v>
      </c>
      <c r="AS154" s="936">
        <f>ROUND(SUMIFS('A5.CTC FY24'!K:K,'A5.CTC FY24'!E:E,'A0.LS'!E154,'A5.CTC FY24'!A:A,'A0.LS'!$AS$5,'A5.CTC FY24'!L:L,"EY",'A5.CTC FY24'!M:M,"Posted"),0)</f>
        <v>0</v>
      </c>
      <c r="AT154" s="948">
        <f t="shared" si="77"/>
        <v>0</v>
      </c>
      <c r="AU154" s="930"/>
      <c r="AV154" s="951">
        <f t="shared" si="78"/>
        <v>-1165419137970</v>
      </c>
      <c r="AW154" s="952">
        <f>SUMIFS('A5.Consol FY24'!L:L,'A5.Consol FY24'!B:B,'A0.LS'!$AW$5,'A5.Consol FY24'!M:M,"EY",'A5.Consol FY24'!N:N,"Posted",'A5.Consol FY24'!F:F,'A0.LS'!E154)</f>
        <v>0</v>
      </c>
      <c r="AX154" s="951">
        <f t="shared" si="79"/>
        <v>-1165419137970</v>
      </c>
      <c r="AY154" s="920"/>
      <c r="AZ154" s="936">
        <f>SUMIFS('TB.CTC.YE22'!Q:Q,'TB.CTC.YE22'!A:A,'A0.LS'!E154)</f>
        <v>0</v>
      </c>
      <c r="BA154" s="936">
        <f>ROUND(SUMIFS('A5.YE22'!J:J,'A5.YE22'!K:K,'A0.LS'!$BA$5,'A5.YE22'!L:L,"Posted",'A5.YE22'!D:D,'A0.LS'!E154),0)</f>
        <v>0</v>
      </c>
      <c r="BB154" s="936">
        <f t="shared" si="80"/>
        <v>0</v>
      </c>
      <c r="BC154" s="937"/>
      <c r="BD154" s="936">
        <f>ROUND(SUMIFS('TB.VNSC.YE22'!L:L,'TB.VNSC.YE22'!A:A,'A0.LS'!E154),0)</f>
        <v>0</v>
      </c>
      <c r="BE154" s="936">
        <f>ROUND(SUMIFS('A5.YE22'!J:J,'A5.YE22'!K:K,'A0.LS'!$BE$5,'A5.YE22'!L:L,"Posted",'A5.YE22'!D:D,'A0.LS'!E154),0)</f>
        <v>0</v>
      </c>
      <c r="BF154" s="936">
        <f t="shared" si="81"/>
        <v>0</v>
      </c>
      <c r="BG154" s="937"/>
      <c r="BH154" s="936">
        <f>ROUND(SUMIFS('TB.XH.YE22'!P:P,'TB.XH.YE22'!A:A,'A0.LS'!E154),0)</f>
        <v>0</v>
      </c>
      <c r="BI154" s="936">
        <f>ROUND(SUMIFS('A5.YE22'!J:J,'A5.YE22'!K:K,"XH",'A5.YE22'!L:L,"Posted",'A5.YE22'!D:D,'A0.LS'!E154),0)</f>
        <v>0</v>
      </c>
      <c r="BJ154" s="936">
        <f t="shared" si="82"/>
        <v>0</v>
      </c>
      <c r="BK154" s="937"/>
      <c r="BL154" s="936">
        <f>ROUND(SUMIFS('TB.KCG.YE22'!P:P,'TB.KCG.YE22'!A:A,'A0.LS'!E154),0)</f>
        <v>0</v>
      </c>
      <c r="BM154" s="936">
        <f>ROUND(SUMIFS('A5.YE22'!J:J,'A5.YE22'!K:K,'A0.LS'!$BM$5,'A5.YE22'!L:L,"Posted",'A5.YE22'!D:D,'A0.LS'!E154),0)</f>
        <v>0</v>
      </c>
      <c r="BN154" s="936">
        <f t="shared" si="83"/>
        <v>0</v>
      </c>
      <c r="BO154" s="937"/>
      <c r="BP154" s="938">
        <v>-1546426845336</v>
      </c>
      <c r="BQ154" s="938">
        <f>ROUND(SUMIFS('A5.YE22'!J:J,'A5.YE22'!K:K,'A0.LS'!$BQ$5,'A5.YE22'!L:L,"Posted",'A5.YE22'!D:D,'A0.LS'!E154),0)</f>
        <v>0</v>
      </c>
      <c r="BR154" s="938">
        <f t="shared" si="84"/>
        <v>-1546426845336</v>
      </c>
    </row>
    <row r="155" spans="1:70" ht="12.75">
      <c r="A155" s="850"/>
      <c r="B155" s="939">
        <v>319</v>
      </c>
      <c r="C155" s="940"/>
      <c r="D155" s="941"/>
      <c r="E155" s="928" t="s">
        <v>1659</v>
      </c>
      <c r="F155" s="928" t="s">
        <v>2362</v>
      </c>
      <c r="G155" s="927" t="s">
        <v>2324</v>
      </c>
      <c r="H155" s="927" t="s">
        <v>2265</v>
      </c>
      <c r="I155" s="942">
        <f>SUMIFS('TB.CTy Me.FY2024'!I:I,'TB.CTy Me.FY2024'!A:A,'A0.LS'!E155)</f>
        <v>0</v>
      </c>
      <c r="J155" s="942">
        <f>ROUND(SUMIFS('A5.FY24'!K:K,'A5.FY24'!E:E,'A0.LS'!E155,'A5.FY24'!L:L,"Finhay",'A5.FY24'!M:M,"Posted"),0)</f>
        <v>0</v>
      </c>
      <c r="K155" s="942">
        <f>ROUND(SUMIFS('A5.FY24'!K:K,'A5.FY24'!E:E,'A0.LS'!E155,'A5.FY24'!L:L,"EY",'A5.FY24'!M:M,"Posted"),0)</f>
        <v>0</v>
      </c>
      <c r="L155" s="943">
        <f t="shared" si="70"/>
        <v>0</v>
      </c>
      <c r="M155" s="930"/>
      <c r="N155" s="944">
        <f>SUMIFS('TB.CTM.YE23'!I:I,'TB.CTM.YE23'!A:A,'A0.LS'!E155)</f>
        <v>0</v>
      </c>
      <c r="O155" s="944">
        <v>0</v>
      </c>
      <c r="P155" s="944">
        <v>0</v>
      </c>
      <c r="Q155" s="945">
        <f t="shared" si="71"/>
        <v>0</v>
      </c>
      <c r="R155" s="898"/>
      <c r="S155" s="848">
        <f t="shared" si="68"/>
        <v>0</v>
      </c>
      <c r="T155" s="946" t="str">
        <f t="shared" si="69"/>
        <v>To check</v>
      </c>
      <c r="U155" s="850"/>
      <c r="V155" s="850"/>
      <c r="W155" s="850"/>
      <c r="X155" s="947" t="s">
        <v>2227</v>
      </c>
      <c r="Y155" s="947" t="s">
        <v>2324</v>
      </c>
      <c r="Z155" s="936">
        <f>ROUND(SUMIFS('TB.Cty Con.FY24'!I:I,'TB.Cty Con.FY24'!A:A,'A0.LS'!E155),0)</f>
        <v>0</v>
      </c>
      <c r="AA155" s="936">
        <f>ROUND(SUMIFS('A5.CTC FY24'!K:K,'A5.CTC FY24'!E:E,'A0.LS'!E155,'A5.CTC FY24'!A:A,'A0.LS'!$AA$5,'A5.CTC FY24'!L:L,"Finhay",'A5.CTC FY24'!M:M,"Posted"),0)</f>
        <v>0</v>
      </c>
      <c r="AB155" s="936">
        <f>ROUND(SUMIFS('A5.CTC FY24'!K:K,'A5.CTC FY24'!E:E,'A0.LS'!E155,'A5.CTC FY24'!A:A,'A0.LS'!$AB$5,'A5.CTC FY24'!L:L,"EY",'A5.CTC FY24'!M:M,"Posted"),0)</f>
        <v>0</v>
      </c>
      <c r="AC155" s="948">
        <f t="shared" si="72"/>
        <v>0</v>
      </c>
      <c r="AD155" s="930"/>
      <c r="AE155" s="936">
        <f>ROUND(SUMIFS('TB VNSC FY24'!M:M,'TB VNSC FY24'!N:N,'A0.LS'!E155),0)</f>
        <v>-213282618</v>
      </c>
      <c r="AF155" s="936">
        <f>SUMIFS('A5.CTC FY24'!K:K,'A5.CTC FY24'!E:E,'A0.LS'!E155,'A5.CTC FY24'!A:A,"VNSC",'A5.CTC FY24'!L:L,"VNSC",'A5.CTC FY24'!M:M,"Posted")</f>
        <v>0</v>
      </c>
      <c r="AG155" s="936">
        <f>ROUND(SUMIFS('A5.CTC FY24'!K:K,'A5.CTC FY24'!E:E,'A0.LS'!E155,'A5.CTC FY24'!A:A,"VNSC",'A5.CTC FY24'!L:L,"EY",'A5.CTC FY24'!M:M,"Posted"),0)</f>
        <v>0</v>
      </c>
      <c r="AH155" s="936">
        <f t="shared" si="73"/>
        <v>-213282618</v>
      </c>
      <c r="AI155" s="930"/>
      <c r="AJ155" s="936">
        <f>SUMIFS('TB.KCG.FY24'!I:I,'TB.KCG.FY24'!A:A,'A0.LS'!E155)</f>
        <v>0</v>
      </c>
      <c r="AK155" s="936">
        <f>ROUND(SUMIFS('A5.CTC FY24'!K:K,'A5.CTC FY24'!E:E,'A0.LS'!E155,'A5.CTC FY24'!A:A,'A0.LS'!$AK$5,'A5.CTC FY24'!L:L,"EY",'A5.CTC FY24'!M:M,"Posted"),0)</f>
        <v>0</v>
      </c>
      <c r="AL155" s="948">
        <f t="shared" si="74"/>
        <v>0</v>
      </c>
      <c r="AM155" s="930"/>
      <c r="AN155" s="949">
        <f t="shared" si="75"/>
        <v>-213282618</v>
      </c>
      <c r="AO155" s="950">
        <f>ROUND(SUMIFS('A5.Consol FY24'!L:L,'A5.Consol FY24'!M:M,"EY",'A5.Consol FY24'!N:N,"Posted",'A5.Consol FY24'!B:B,'A0.LS'!$AO$5,'A5.Consol FY24'!F:F,'A0.LS'!E155),0)</f>
        <v>0</v>
      </c>
      <c r="AP155" s="949">
        <f t="shared" si="76"/>
        <v>-213282618</v>
      </c>
      <c r="AQ155" s="930"/>
      <c r="AR155" s="936">
        <f>ROUND(SUMIFS('TB.XH.FY24'!I:I,'TB.XH.FY24'!J:J,'A0.LS'!E155),0)</f>
        <v>0</v>
      </c>
      <c r="AS155" s="936">
        <f>ROUND(SUMIFS('A5.CTC FY24'!K:K,'A5.CTC FY24'!E:E,'A0.LS'!E155,'A5.CTC FY24'!A:A,'A0.LS'!$AS$5,'A5.CTC FY24'!L:L,"EY",'A5.CTC FY24'!M:M,"Posted"),0)</f>
        <v>0</v>
      </c>
      <c r="AT155" s="948">
        <f t="shared" si="77"/>
        <v>0</v>
      </c>
      <c r="AU155" s="930"/>
      <c r="AV155" s="951">
        <f t="shared" si="78"/>
        <v>-213282618</v>
      </c>
      <c r="AW155" s="952">
        <f>SUMIFS('A5.Consol FY24'!L:L,'A5.Consol FY24'!B:B,'A0.LS'!$AW$5,'A5.Consol FY24'!M:M,"EY",'A5.Consol FY24'!N:N,"Posted",'A5.Consol FY24'!F:F,'A0.LS'!E155)</f>
        <v>0</v>
      </c>
      <c r="AX155" s="951">
        <f t="shared" si="79"/>
        <v>-213282618</v>
      </c>
      <c r="AY155" s="920"/>
      <c r="AZ155" s="936">
        <f>SUMIFS('TB.CTC.YE22'!Q:Q,'TB.CTC.YE22'!A:A,'A0.LS'!E155)</f>
        <v>0</v>
      </c>
      <c r="BA155" s="936">
        <f>ROUND(SUMIFS('A5.YE22'!J:J,'A5.YE22'!K:K,'A0.LS'!$BA$5,'A5.YE22'!L:L,"Posted",'A5.YE22'!D:D,'A0.LS'!E155),0)</f>
        <v>0</v>
      </c>
      <c r="BB155" s="936">
        <f t="shared" si="80"/>
        <v>0</v>
      </c>
      <c r="BC155" s="937"/>
      <c r="BD155" s="936">
        <f>ROUND(SUMIFS('TB.VNSC.YE22'!L:L,'TB.VNSC.YE22'!A:A,'A0.LS'!E155),0)</f>
        <v>0</v>
      </c>
      <c r="BE155" s="936">
        <f>ROUND(SUMIFS('A5.YE22'!J:J,'A5.YE22'!K:K,'A0.LS'!$BE$5,'A5.YE22'!L:L,"Posted",'A5.YE22'!D:D,'A0.LS'!E155),0)</f>
        <v>0</v>
      </c>
      <c r="BF155" s="936">
        <f t="shared" si="81"/>
        <v>0</v>
      </c>
      <c r="BG155" s="937"/>
      <c r="BH155" s="936">
        <f>ROUND(SUMIFS('TB.XH.YE22'!P:P,'TB.XH.YE22'!A:A,'A0.LS'!E155),0)</f>
        <v>0</v>
      </c>
      <c r="BI155" s="936">
        <f>ROUND(SUMIFS('A5.YE22'!J:J,'A5.YE22'!K:K,"XH",'A5.YE22'!L:L,"Posted",'A5.YE22'!D:D,'A0.LS'!E155),0)</f>
        <v>0</v>
      </c>
      <c r="BJ155" s="936">
        <f t="shared" si="82"/>
        <v>0</v>
      </c>
      <c r="BK155" s="937"/>
      <c r="BL155" s="936">
        <f>ROUND(SUMIFS('TB.KCG.YE22'!P:P,'TB.KCG.YE22'!A:A,'A0.LS'!E155),0)</f>
        <v>0</v>
      </c>
      <c r="BM155" s="936">
        <f>ROUND(SUMIFS('A5.YE22'!J:J,'A5.YE22'!K:K,'A0.LS'!$BM$5,'A5.YE22'!L:L,"Posted",'A5.YE22'!D:D,'A0.LS'!E155),0)</f>
        <v>0</v>
      </c>
      <c r="BN155" s="936">
        <f t="shared" si="83"/>
        <v>0</v>
      </c>
      <c r="BO155" s="937"/>
      <c r="BP155" s="938">
        <v>-128584199</v>
      </c>
      <c r="BQ155" s="938">
        <f>ROUND(SUMIFS('A5.YE22'!J:J,'A5.YE22'!K:K,'A0.LS'!$BQ$5,'A5.YE22'!L:L,"Posted",'A5.YE22'!D:D,'A0.LS'!E155),0)</f>
        <v>0</v>
      </c>
      <c r="BR155" s="938">
        <f t="shared" si="84"/>
        <v>-128584199</v>
      </c>
    </row>
    <row r="156" spans="1:70" ht="12.75">
      <c r="A156" s="850"/>
      <c r="B156" s="939">
        <v>319</v>
      </c>
      <c r="C156" s="940" t="s">
        <v>2363</v>
      </c>
      <c r="D156" s="941" t="s">
        <v>2363</v>
      </c>
      <c r="E156" s="928" t="s">
        <v>158</v>
      </c>
      <c r="F156" s="928" t="s">
        <v>159</v>
      </c>
      <c r="G156" s="927" t="s">
        <v>2312</v>
      </c>
      <c r="H156" s="927" t="s">
        <v>2222</v>
      </c>
      <c r="I156" s="942">
        <f>SUMIFS('TB.CTy Me.FY2024'!I:I,'TB.CTy Me.FY2024'!A:A,'A0.LS'!E156)</f>
        <v>-4308000</v>
      </c>
      <c r="J156" s="942">
        <f>ROUND(SUMIFS('A5.FY24'!K:K,'A5.FY24'!E:E,'A0.LS'!E156,'A5.FY24'!L:L,"Finhay",'A5.FY24'!M:M,"Posted"),0)</f>
        <v>0</v>
      </c>
      <c r="K156" s="942">
        <f>ROUND(SUMIFS('A5.FY24'!K:K,'A5.FY24'!E:E,'A0.LS'!E156,'A5.FY24'!L:L,"EY",'A5.FY24'!M:M,"Posted"),0)</f>
        <v>0</v>
      </c>
      <c r="L156" s="943">
        <f t="shared" si="70"/>
        <v>-4308000</v>
      </c>
      <c r="M156" s="930"/>
      <c r="N156" s="944">
        <f>SUMIFS('TB.CTM.YE23'!I:I,'TB.CTM.YE23'!A:A,'A0.LS'!E156)</f>
        <v>-17532000</v>
      </c>
      <c r="O156" s="944">
        <v>0</v>
      </c>
      <c r="P156" s="944">
        <v>0</v>
      </c>
      <c r="Q156" s="945">
        <f t="shared" si="71"/>
        <v>-17532000</v>
      </c>
      <c r="R156" s="898"/>
      <c r="S156" s="848">
        <f t="shared" si="68"/>
        <v>13224000</v>
      </c>
      <c r="T156" s="946">
        <f t="shared" si="69"/>
        <v>-0.75427789185489391</v>
      </c>
      <c r="U156" s="850"/>
      <c r="V156" s="850" t="s">
        <v>2325</v>
      </c>
      <c r="W156" s="850"/>
      <c r="X156" s="947" t="s">
        <v>2227</v>
      </c>
      <c r="Y156" s="947" t="s">
        <v>2312</v>
      </c>
      <c r="Z156" s="936">
        <f>ROUND(SUMIFS('TB.Cty Con.FY24'!I:I,'TB.Cty Con.FY24'!A:A,'A0.LS'!E156),0)</f>
        <v>-180000</v>
      </c>
      <c r="AA156" s="936">
        <f>ROUND(SUMIFS('A5.CTC FY24'!K:K,'A5.CTC FY24'!E:E,'A0.LS'!E156,'A5.CTC FY24'!A:A,'A0.LS'!$AA$5,'A5.CTC FY24'!L:L,"Finhay",'A5.CTC FY24'!M:M,"Posted"),0)</f>
        <v>0</v>
      </c>
      <c r="AB156" s="936">
        <f>ROUND(SUMIFS('A5.CTC FY24'!K:K,'A5.CTC FY24'!E:E,'A0.LS'!E156,'A5.CTC FY24'!A:A,'A0.LS'!$AB$5,'A5.CTC FY24'!L:L,"EY",'A5.CTC FY24'!M:M,"Posted"),0)</f>
        <v>0</v>
      </c>
      <c r="AC156" s="948">
        <f t="shared" si="72"/>
        <v>-180000</v>
      </c>
      <c r="AD156" s="930"/>
      <c r="AE156" s="936">
        <f>ROUND(SUMIFS('TB VNSC FY24'!M:M,'TB VNSC FY24'!N:N,'A0.LS'!E156),0)</f>
        <v>-46050000</v>
      </c>
      <c r="AF156" s="936">
        <f>SUMIFS('A5.CTC FY24'!K:K,'A5.CTC FY24'!E:E,'A0.LS'!E156,'A5.CTC FY24'!A:A,"VNSC",'A5.CTC FY24'!L:L,"VNSC",'A5.CTC FY24'!M:M,"Posted")</f>
        <v>0</v>
      </c>
      <c r="AG156" s="936">
        <f>ROUND(SUMIFS('A5.CTC FY24'!K:K,'A5.CTC FY24'!E:E,'A0.LS'!E156,'A5.CTC FY24'!A:A,"VNSC",'A5.CTC FY24'!L:L,"EY",'A5.CTC FY24'!M:M,"Posted"),0)</f>
        <v>0</v>
      </c>
      <c r="AH156" s="936">
        <f t="shared" si="73"/>
        <v>-46050000</v>
      </c>
      <c r="AI156" s="930"/>
      <c r="AJ156" s="936">
        <f>SUMIFS('TB.KCG.FY24'!I:I,'TB.KCG.FY24'!A:A,'A0.LS'!E156)</f>
        <v>0</v>
      </c>
      <c r="AK156" s="936">
        <f>ROUND(SUMIFS('A5.CTC FY24'!K:K,'A5.CTC FY24'!E:E,'A0.LS'!E156,'A5.CTC FY24'!A:A,'A0.LS'!$AK$5,'A5.CTC FY24'!L:L,"EY",'A5.CTC FY24'!M:M,"Posted"),0)</f>
        <v>0</v>
      </c>
      <c r="AL156" s="948">
        <f t="shared" si="74"/>
        <v>0</v>
      </c>
      <c r="AM156" s="930"/>
      <c r="AN156" s="949">
        <f t="shared" si="75"/>
        <v>-46230000</v>
      </c>
      <c r="AO156" s="950">
        <f>ROUND(SUMIFS('A5.Consol FY24'!L:L,'A5.Consol FY24'!M:M,"EY",'A5.Consol FY24'!N:N,"Posted",'A5.Consol FY24'!B:B,'A0.LS'!$AO$5,'A5.Consol FY24'!F:F,'A0.LS'!E156),0)</f>
        <v>0</v>
      </c>
      <c r="AP156" s="949">
        <f t="shared" si="76"/>
        <v>-46230000</v>
      </c>
      <c r="AQ156" s="930"/>
      <c r="AR156" s="936">
        <f>ROUND(SUMIFS('TB.XH.FY24'!I:I,'TB.XH.FY24'!J:J,'A0.LS'!E156),0)</f>
        <v>0</v>
      </c>
      <c r="AS156" s="936">
        <f>ROUND(SUMIFS('A5.CTC FY24'!K:K,'A5.CTC FY24'!E:E,'A0.LS'!E156,'A5.CTC FY24'!A:A,'A0.LS'!$AS$5,'A5.CTC FY24'!L:L,"EY",'A5.CTC FY24'!M:M,"Posted"),0)</f>
        <v>0</v>
      </c>
      <c r="AT156" s="948">
        <f t="shared" si="77"/>
        <v>0</v>
      </c>
      <c r="AU156" s="930"/>
      <c r="AV156" s="951">
        <f t="shared" si="78"/>
        <v>-50538000</v>
      </c>
      <c r="AW156" s="952">
        <f>SUMIFS('A5.Consol FY24'!L:L,'A5.Consol FY24'!B:B,'A0.LS'!$AW$5,'A5.Consol FY24'!M:M,"EY",'A5.Consol FY24'!N:N,"Posted",'A5.Consol FY24'!F:F,'A0.LS'!E156)</f>
        <v>0</v>
      </c>
      <c r="AX156" s="951">
        <f t="shared" si="79"/>
        <v>-50538000</v>
      </c>
      <c r="AY156" s="920"/>
      <c r="AZ156" s="936">
        <f>SUMIFS('TB.CTC.YE22'!Q:Q,'TB.CTC.YE22'!A:A,'A0.LS'!E156)</f>
        <v>-828000</v>
      </c>
      <c r="BA156" s="936">
        <f>ROUND(SUMIFS('A5.YE22'!J:J,'A5.YE22'!K:K,'A0.LS'!$BA$5,'A5.YE22'!L:L,"Posted",'A5.YE22'!D:D,'A0.LS'!E156),0)</f>
        <v>0</v>
      </c>
      <c r="BB156" s="936">
        <f t="shared" si="80"/>
        <v>-828000</v>
      </c>
      <c r="BC156" s="937"/>
      <c r="BD156" s="936">
        <f>ROUND(SUMIFS('TB.VNSC.YE22'!L:L,'TB.VNSC.YE22'!A:A,'A0.LS'!E156),0)</f>
        <v>0</v>
      </c>
      <c r="BE156" s="936">
        <f>ROUND(SUMIFS('A5.YE22'!J:J,'A5.YE22'!K:K,'A0.LS'!$BE$5,'A5.YE22'!L:L,"Posted",'A5.YE22'!D:D,'A0.LS'!E156),0)</f>
        <v>0</v>
      </c>
      <c r="BF156" s="936">
        <f t="shared" si="81"/>
        <v>0</v>
      </c>
      <c r="BG156" s="937"/>
      <c r="BH156" s="936">
        <f>ROUND(SUMIFS('TB.XH.YE22'!P:P,'TB.XH.YE22'!A:A,'A0.LS'!E156),0)</f>
        <v>0</v>
      </c>
      <c r="BI156" s="936">
        <f>ROUND(SUMIFS('A5.YE22'!J:J,'A5.YE22'!K:K,"XH",'A5.YE22'!L:L,"Posted",'A5.YE22'!D:D,'A0.LS'!E156),0)</f>
        <v>0</v>
      </c>
      <c r="BJ156" s="936">
        <f t="shared" si="82"/>
        <v>0</v>
      </c>
      <c r="BK156" s="937"/>
      <c r="BL156" s="936">
        <f>ROUND(SUMIFS('TB.KCG.YE22'!P:P,'TB.KCG.YE22'!A:A,'A0.LS'!E156),0)</f>
        <v>0</v>
      </c>
      <c r="BM156" s="936">
        <f>ROUND(SUMIFS('A5.YE22'!J:J,'A5.YE22'!K:K,'A0.LS'!$BM$5,'A5.YE22'!L:L,"Posted",'A5.YE22'!D:D,'A0.LS'!E156),0)</f>
        <v>0</v>
      </c>
      <c r="BN156" s="936">
        <f t="shared" si="83"/>
        <v>0</v>
      </c>
      <c r="BO156" s="937"/>
      <c r="BP156" s="938">
        <v>-32304000</v>
      </c>
      <c r="BQ156" s="938">
        <f>ROUND(SUMIFS('A5.YE22'!J:J,'A5.YE22'!K:K,'A0.LS'!$BQ$5,'A5.YE22'!L:L,"Posted",'A5.YE22'!D:D,'A0.LS'!E156),0)</f>
        <v>0</v>
      </c>
      <c r="BR156" s="938">
        <f t="shared" si="84"/>
        <v>-32304000</v>
      </c>
    </row>
    <row r="157" spans="1:70" ht="12.75">
      <c r="A157" s="850"/>
      <c r="B157" s="939">
        <v>319</v>
      </c>
      <c r="C157" s="940" t="s">
        <v>2363</v>
      </c>
      <c r="D157" s="941" t="s">
        <v>2363</v>
      </c>
      <c r="E157" s="928" t="s">
        <v>160</v>
      </c>
      <c r="F157" s="928" t="s">
        <v>161</v>
      </c>
      <c r="G157" s="927" t="s">
        <v>2312</v>
      </c>
      <c r="H157" s="927" t="s">
        <v>2222</v>
      </c>
      <c r="I157" s="942">
        <f>SUMIFS('TB.CTy Me.FY2024'!I:I,'TB.CTy Me.FY2024'!A:A,'A0.LS'!E157)</f>
        <v>0</v>
      </c>
      <c r="J157" s="942">
        <f>ROUND(SUMIFS('A5.FY24'!K:K,'A5.FY24'!E:E,'A0.LS'!E157,'A5.FY24'!L:L,"Finhay",'A5.FY24'!M:M,"Posted"),0)</f>
        <v>0</v>
      </c>
      <c r="K157" s="942">
        <f>ROUND(SUMIFS('A5.FY24'!K:K,'A5.FY24'!E:E,'A0.LS'!E157,'A5.FY24'!L:L,"EY",'A5.FY24'!M:M,"Posted"),0)</f>
        <v>0</v>
      </c>
      <c r="L157" s="943">
        <f t="shared" si="70"/>
        <v>0</v>
      </c>
      <c r="M157" s="930"/>
      <c r="N157" s="944">
        <f>SUMIFS('TB.CTM.YE23'!I:I,'TB.CTM.YE23'!A:A,'A0.LS'!E157)</f>
        <v>-1938000</v>
      </c>
      <c r="O157" s="944">
        <v>1938000</v>
      </c>
      <c r="P157" s="944">
        <v>0</v>
      </c>
      <c r="Q157" s="945">
        <f t="shared" si="71"/>
        <v>0</v>
      </c>
      <c r="R157" s="898"/>
      <c r="S157" s="848">
        <f t="shared" si="68"/>
        <v>0</v>
      </c>
      <c r="T157" s="946" t="str">
        <f t="shared" si="69"/>
        <v>To check</v>
      </c>
      <c r="U157" s="850"/>
      <c r="V157" s="850" t="s">
        <v>2325</v>
      </c>
      <c r="W157" s="850"/>
      <c r="X157" s="947" t="s">
        <v>2227</v>
      </c>
      <c r="Y157" s="947" t="s">
        <v>2312</v>
      </c>
      <c r="Z157" s="936">
        <f>ROUND(SUMIFS('TB.Cty Con.FY24'!I:I,'TB.Cty Con.FY24'!A:A,'A0.LS'!E157),0)</f>
        <v>0</v>
      </c>
      <c r="AA157" s="936">
        <f>ROUND(SUMIFS('A5.CTC FY24'!K:K,'A5.CTC FY24'!E:E,'A0.LS'!E157,'A5.CTC FY24'!A:A,'A0.LS'!$AA$5,'A5.CTC FY24'!L:L,"Finhay",'A5.CTC FY24'!M:M,"Posted"),0)</f>
        <v>0</v>
      </c>
      <c r="AB157" s="936">
        <f>ROUND(SUMIFS('A5.CTC FY24'!K:K,'A5.CTC FY24'!E:E,'A0.LS'!E157,'A5.CTC FY24'!A:A,'A0.LS'!$AB$5,'A5.CTC FY24'!L:L,"EY",'A5.CTC FY24'!M:M,"Posted"),0)</f>
        <v>0</v>
      </c>
      <c r="AC157" s="948">
        <f t="shared" si="72"/>
        <v>0</v>
      </c>
      <c r="AD157" s="930"/>
      <c r="AE157" s="936">
        <f>ROUND(SUMIFS('TB VNSC FY24'!M:M,'TB VNSC FY24'!N:N,'A0.LS'!E157),0)</f>
        <v>0</v>
      </c>
      <c r="AF157" s="936">
        <f>SUMIFS('A5.CTC FY24'!K:K,'A5.CTC FY24'!E:E,'A0.LS'!E157,'A5.CTC FY24'!A:A,"VNSC",'A5.CTC FY24'!L:L,"VNSC",'A5.CTC FY24'!M:M,"Posted")</f>
        <v>0</v>
      </c>
      <c r="AG157" s="936">
        <f>ROUND(SUMIFS('A5.CTC FY24'!K:K,'A5.CTC FY24'!E:E,'A0.LS'!E157,'A5.CTC FY24'!A:A,"VNSC",'A5.CTC FY24'!L:L,"EY",'A5.CTC FY24'!M:M,"Posted"),0)</f>
        <v>0</v>
      </c>
      <c r="AH157" s="936">
        <f t="shared" si="73"/>
        <v>0</v>
      </c>
      <c r="AI157" s="930"/>
      <c r="AJ157" s="936">
        <f>SUMIFS('TB.KCG.FY24'!I:I,'TB.KCG.FY24'!A:A,'A0.LS'!E157)</f>
        <v>0</v>
      </c>
      <c r="AK157" s="936">
        <f>ROUND(SUMIFS('A5.CTC FY24'!K:K,'A5.CTC FY24'!E:E,'A0.LS'!E157,'A5.CTC FY24'!A:A,'A0.LS'!$AK$5,'A5.CTC FY24'!L:L,"EY",'A5.CTC FY24'!M:M,"Posted"),0)</f>
        <v>0</v>
      </c>
      <c r="AL157" s="948">
        <f t="shared" si="74"/>
        <v>0</v>
      </c>
      <c r="AM157" s="930"/>
      <c r="AN157" s="949">
        <f t="shared" si="75"/>
        <v>0</v>
      </c>
      <c r="AO157" s="950">
        <f>ROUND(SUMIFS('A5.Consol FY24'!L:L,'A5.Consol FY24'!M:M,"EY",'A5.Consol FY24'!N:N,"Posted",'A5.Consol FY24'!B:B,'A0.LS'!$AO$5,'A5.Consol FY24'!F:F,'A0.LS'!E157),0)</f>
        <v>0</v>
      </c>
      <c r="AP157" s="949">
        <f t="shared" si="76"/>
        <v>0</v>
      </c>
      <c r="AQ157" s="930"/>
      <c r="AR157" s="936">
        <f>ROUND(SUMIFS('TB.XH.FY24'!I:I,'TB.XH.FY24'!J:J,'A0.LS'!E157),0)</f>
        <v>0</v>
      </c>
      <c r="AS157" s="936">
        <f>ROUND(SUMIFS('A5.CTC FY24'!K:K,'A5.CTC FY24'!E:E,'A0.LS'!E157,'A5.CTC FY24'!A:A,'A0.LS'!$AS$5,'A5.CTC FY24'!L:L,"EY",'A5.CTC FY24'!M:M,"Posted"),0)</f>
        <v>0</v>
      </c>
      <c r="AT157" s="948">
        <f t="shared" si="77"/>
        <v>0</v>
      </c>
      <c r="AU157" s="930"/>
      <c r="AV157" s="951">
        <f t="shared" si="78"/>
        <v>0</v>
      </c>
      <c r="AW157" s="952">
        <f>SUMIFS('A5.Consol FY24'!L:L,'A5.Consol FY24'!B:B,'A0.LS'!$AW$5,'A5.Consol FY24'!M:M,"EY",'A5.Consol FY24'!N:N,"Posted",'A5.Consol FY24'!F:F,'A0.LS'!E157)</f>
        <v>0</v>
      </c>
      <c r="AX157" s="951">
        <f t="shared" si="79"/>
        <v>0</v>
      </c>
      <c r="AY157" s="920"/>
      <c r="AZ157" s="936">
        <f>SUMIFS('TB.CTC.YE22'!Q:Q,'TB.CTC.YE22'!A:A,'A0.LS'!E157)</f>
        <v>0</v>
      </c>
      <c r="BA157" s="936">
        <f>ROUND(SUMIFS('A5.YE22'!J:J,'A5.YE22'!K:K,'A0.LS'!$BA$5,'A5.YE22'!L:L,"Posted",'A5.YE22'!D:D,'A0.LS'!E157),0)</f>
        <v>0</v>
      </c>
      <c r="BB157" s="936">
        <f t="shared" si="80"/>
        <v>0</v>
      </c>
      <c r="BC157" s="937"/>
      <c r="BD157" s="936">
        <f>ROUND(SUMIFS('TB.VNSC.YE22'!L:L,'TB.VNSC.YE22'!A:A,'A0.LS'!E157),0)</f>
        <v>582000</v>
      </c>
      <c r="BE157" s="936">
        <f>ROUND(SUMIFS('A5.YE22'!J:J,'A5.YE22'!K:K,'A0.LS'!$BE$5,'A5.YE22'!L:L,"Posted",'A5.YE22'!D:D,'A0.LS'!E157),0)</f>
        <v>-582000</v>
      </c>
      <c r="BF157" s="936">
        <f t="shared" si="81"/>
        <v>0</v>
      </c>
      <c r="BG157" s="937"/>
      <c r="BH157" s="936">
        <f>ROUND(SUMIFS('TB.XH.YE22'!P:P,'TB.XH.YE22'!A:A,'A0.LS'!E157),0)</f>
        <v>0</v>
      </c>
      <c r="BI157" s="936">
        <f>ROUND(SUMIFS('A5.YE22'!J:J,'A5.YE22'!K:K,"XH",'A5.YE22'!L:L,"Posted",'A5.YE22'!D:D,'A0.LS'!E157),0)</f>
        <v>0</v>
      </c>
      <c r="BJ157" s="936">
        <f t="shared" si="82"/>
        <v>0</v>
      </c>
      <c r="BK157" s="937"/>
      <c r="BL157" s="936">
        <f>ROUND(SUMIFS('TB.KCG.YE22'!P:P,'TB.KCG.YE22'!A:A,'A0.LS'!E157),0)</f>
        <v>0</v>
      </c>
      <c r="BM157" s="936">
        <f>ROUND(SUMIFS('A5.YE22'!J:J,'A5.YE22'!K:K,'A0.LS'!$BM$5,'A5.YE22'!L:L,"Posted",'A5.YE22'!D:D,'A0.LS'!E157),0)</f>
        <v>0</v>
      </c>
      <c r="BN157" s="936">
        <f t="shared" si="83"/>
        <v>0</v>
      </c>
      <c r="BO157" s="937"/>
      <c r="BP157" s="938">
        <v>0</v>
      </c>
      <c r="BQ157" s="938">
        <f>ROUND(SUMIFS('A5.YE22'!J:J,'A5.YE22'!K:K,'A0.LS'!$BQ$5,'A5.YE22'!L:L,"Posted",'A5.YE22'!D:D,'A0.LS'!E157),0)</f>
        <v>0</v>
      </c>
      <c r="BR157" s="938">
        <f t="shared" si="84"/>
        <v>0</v>
      </c>
    </row>
    <row r="158" spans="1:70" ht="12.75">
      <c r="A158" s="850"/>
      <c r="B158" s="939">
        <v>319</v>
      </c>
      <c r="C158" s="940" t="s">
        <v>2363</v>
      </c>
      <c r="D158" s="941" t="s">
        <v>2363</v>
      </c>
      <c r="E158" s="928" t="s">
        <v>162</v>
      </c>
      <c r="F158" s="928" t="s">
        <v>163</v>
      </c>
      <c r="G158" s="927" t="s">
        <v>2312</v>
      </c>
      <c r="H158" s="927" t="s">
        <v>2222</v>
      </c>
      <c r="I158" s="942">
        <f>SUMIFS('TB.CTy Me.FY2024'!I:I,'TB.CTy Me.FY2024'!A:A,'A0.LS'!E158)</f>
        <v>0</v>
      </c>
      <c r="J158" s="942">
        <f>ROUND(SUMIFS('A5.FY24'!K:K,'A5.FY24'!E:E,'A0.LS'!E158,'A5.FY24'!L:L,"Finhay",'A5.FY24'!M:M,"Posted"),0)</f>
        <v>0</v>
      </c>
      <c r="K158" s="942">
        <f>ROUND(SUMIFS('A5.FY24'!K:K,'A5.FY24'!E:E,'A0.LS'!E158,'A5.FY24'!L:L,"EY",'A5.FY24'!M:M,"Posted"),0)</f>
        <v>0</v>
      </c>
      <c r="L158" s="943">
        <f t="shared" si="70"/>
        <v>0</v>
      </c>
      <c r="M158" s="930"/>
      <c r="N158" s="944">
        <f>SUMIFS('TB.CTM.YE23'!I:I,'TB.CTM.YE23'!A:A,'A0.LS'!E158)</f>
        <v>-342000</v>
      </c>
      <c r="O158" s="944">
        <v>342000</v>
      </c>
      <c r="P158" s="944">
        <v>0</v>
      </c>
      <c r="Q158" s="945">
        <f t="shared" si="71"/>
        <v>0</v>
      </c>
      <c r="R158" s="898"/>
      <c r="S158" s="848">
        <f t="shared" si="68"/>
        <v>0</v>
      </c>
      <c r="T158" s="946" t="str">
        <f t="shared" si="69"/>
        <v>To check</v>
      </c>
      <c r="U158" s="850"/>
      <c r="V158" s="850" t="s">
        <v>2325</v>
      </c>
      <c r="W158" s="850"/>
      <c r="X158" s="947" t="s">
        <v>2227</v>
      </c>
      <c r="Y158" s="947" t="s">
        <v>2312</v>
      </c>
      <c r="Z158" s="936">
        <f>ROUND(SUMIFS('TB.Cty Con.FY24'!I:I,'TB.Cty Con.FY24'!A:A,'A0.LS'!E158),0)</f>
        <v>0</v>
      </c>
      <c r="AA158" s="936">
        <f>ROUND(SUMIFS('A5.CTC FY24'!K:K,'A5.CTC FY24'!E:E,'A0.LS'!E158,'A5.CTC FY24'!A:A,'A0.LS'!$AA$5,'A5.CTC FY24'!L:L,"Finhay",'A5.CTC FY24'!M:M,"Posted"),0)</f>
        <v>0</v>
      </c>
      <c r="AB158" s="936">
        <f>ROUND(SUMIFS('A5.CTC FY24'!K:K,'A5.CTC FY24'!E:E,'A0.LS'!E158,'A5.CTC FY24'!A:A,'A0.LS'!$AB$5,'A5.CTC FY24'!L:L,"EY",'A5.CTC FY24'!M:M,"Posted"),0)</f>
        <v>0</v>
      </c>
      <c r="AC158" s="948">
        <f t="shared" si="72"/>
        <v>0</v>
      </c>
      <c r="AD158" s="930"/>
      <c r="AE158" s="936">
        <f>ROUND(SUMIFS('TB VNSC FY24'!M:M,'TB VNSC FY24'!N:N,'A0.LS'!E158),0)</f>
        <v>0</v>
      </c>
      <c r="AF158" s="936">
        <f>SUMIFS('A5.CTC FY24'!K:K,'A5.CTC FY24'!E:E,'A0.LS'!E158,'A5.CTC FY24'!A:A,"VNSC",'A5.CTC FY24'!L:L,"VNSC",'A5.CTC FY24'!M:M,"Posted")</f>
        <v>0</v>
      </c>
      <c r="AG158" s="936">
        <f>ROUND(SUMIFS('A5.CTC FY24'!K:K,'A5.CTC FY24'!E:E,'A0.LS'!E158,'A5.CTC FY24'!A:A,"VNSC",'A5.CTC FY24'!L:L,"EY",'A5.CTC FY24'!M:M,"Posted"),0)</f>
        <v>0</v>
      </c>
      <c r="AH158" s="936">
        <f t="shared" si="73"/>
        <v>0</v>
      </c>
      <c r="AI158" s="930"/>
      <c r="AJ158" s="936">
        <f>SUMIFS('TB.KCG.FY24'!I:I,'TB.KCG.FY24'!A:A,'A0.LS'!E158)</f>
        <v>0</v>
      </c>
      <c r="AK158" s="936">
        <f>ROUND(SUMIFS('A5.CTC FY24'!K:K,'A5.CTC FY24'!E:E,'A0.LS'!E158,'A5.CTC FY24'!A:A,'A0.LS'!$AK$5,'A5.CTC FY24'!L:L,"EY",'A5.CTC FY24'!M:M,"Posted"),0)</f>
        <v>0</v>
      </c>
      <c r="AL158" s="948">
        <f t="shared" si="74"/>
        <v>0</v>
      </c>
      <c r="AM158" s="930"/>
      <c r="AN158" s="949">
        <f t="shared" si="75"/>
        <v>0</v>
      </c>
      <c r="AO158" s="950">
        <f>ROUND(SUMIFS('A5.Consol FY24'!L:L,'A5.Consol FY24'!M:M,"EY",'A5.Consol FY24'!N:N,"Posted",'A5.Consol FY24'!B:B,'A0.LS'!$AO$5,'A5.Consol FY24'!F:F,'A0.LS'!E158),0)</f>
        <v>0</v>
      </c>
      <c r="AP158" s="949">
        <f t="shared" si="76"/>
        <v>0</v>
      </c>
      <c r="AQ158" s="930"/>
      <c r="AR158" s="936">
        <f>ROUND(SUMIFS('TB.XH.FY24'!I:I,'TB.XH.FY24'!J:J,'A0.LS'!E158),0)</f>
        <v>0</v>
      </c>
      <c r="AS158" s="936">
        <f>ROUND(SUMIFS('A5.CTC FY24'!K:K,'A5.CTC FY24'!E:E,'A0.LS'!E158,'A5.CTC FY24'!A:A,'A0.LS'!$AS$5,'A5.CTC FY24'!L:L,"EY",'A5.CTC FY24'!M:M,"Posted"),0)</f>
        <v>0</v>
      </c>
      <c r="AT158" s="948">
        <f t="shared" si="77"/>
        <v>0</v>
      </c>
      <c r="AU158" s="930"/>
      <c r="AV158" s="951">
        <f t="shared" si="78"/>
        <v>0</v>
      </c>
      <c r="AW158" s="952">
        <f>SUMIFS('A5.Consol FY24'!L:L,'A5.Consol FY24'!B:B,'A0.LS'!$AW$5,'A5.Consol FY24'!M:M,"EY",'A5.Consol FY24'!N:N,"Posted",'A5.Consol FY24'!F:F,'A0.LS'!E158)</f>
        <v>0</v>
      </c>
      <c r="AX158" s="951">
        <f t="shared" si="79"/>
        <v>0</v>
      </c>
      <c r="AY158" s="920"/>
      <c r="AZ158" s="936">
        <f>SUMIFS('TB.CTC.YE22'!Q:Q,'TB.CTC.YE22'!A:A,'A0.LS'!E158)</f>
        <v>0</v>
      </c>
      <c r="BA158" s="936">
        <f>ROUND(SUMIFS('A5.YE22'!J:J,'A5.YE22'!K:K,'A0.LS'!$BA$5,'A5.YE22'!L:L,"Posted",'A5.YE22'!D:D,'A0.LS'!E158),0)</f>
        <v>0</v>
      </c>
      <c r="BB158" s="936">
        <f t="shared" si="80"/>
        <v>0</v>
      </c>
      <c r="BC158" s="937"/>
      <c r="BD158" s="936">
        <f>ROUND(SUMIFS('TB.VNSC.YE22'!L:L,'TB.VNSC.YE22'!A:A,'A0.LS'!E158),0)</f>
        <v>0</v>
      </c>
      <c r="BE158" s="936">
        <f>ROUND(SUMIFS('A5.YE22'!J:J,'A5.YE22'!K:K,'A0.LS'!$BE$5,'A5.YE22'!L:L,"Posted",'A5.YE22'!D:D,'A0.LS'!E158),0)</f>
        <v>0</v>
      </c>
      <c r="BF158" s="936">
        <f t="shared" si="81"/>
        <v>0</v>
      </c>
      <c r="BG158" s="937"/>
      <c r="BH158" s="936">
        <f>ROUND(SUMIFS('TB.XH.YE22'!P:P,'TB.XH.YE22'!A:A,'A0.LS'!E158),0)</f>
        <v>0</v>
      </c>
      <c r="BI158" s="936">
        <f>ROUND(SUMIFS('A5.YE22'!J:J,'A5.YE22'!K:K,"XH",'A5.YE22'!L:L,"Posted",'A5.YE22'!D:D,'A0.LS'!E158),0)</f>
        <v>0</v>
      </c>
      <c r="BJ158" s="936">
        <f t="shared" si="82"/>
        <v>0</v>
      </c>
      <c r="BK158" s="937"/>
      <c r="BL158" s="936">
        <f>ROUND(SUMIFS('TB.KCG.YE22'!P:P,'TB.KCG.YE22'!A:A,'A0.LS'!E158),0)</f>
        <v>0</v>
      </c>
      <c r="BM158" s="936">
        <f>ROUND(SUMIFS('A5.YE22'!J:J,'A5.YE22'!K:K,'A0.LS'!$BM$5,'A5.YE22'!L:L,"Posted",'A5.YE22'!D:D,'A0.LS'!E158),0)</f>
        <v>0</v>
      </c>
      <c r="BN158" s="936">
        <f t="shared" si="83"/>
        <v>0</v>
      </c>
      <c r="BO158" s="937"/>
      <c r="BP158" s="938">
        <v>0</v>
      </c>
      <c r="BQ158" s="938">
        <f>ROUND(SUMIFS('A5.YE22'!J:J,'A5.YE22'!K:K,'A0.LS'!$BQ$5,'A5.YE22'!L:L,"Posted",'A5.YE22'!D:D,'A0.LS'!E158),0)</f>
        <v>0</v>
      </c>
      <c r="BR158" s="938">
        <f t="shared" si="84"/>
        <v>0</v>
      </c>
    </row>
    <row r="159" spans="1:70" ht="12.75">
      <c r="A159" s="850"/>
      <c r="B159" s="939">
        <v>319</v>
      </c>
      <c r="C159" s="940" t="s">
        <v>2363</v>
      </c>
      <c r="D159" s="941" t="s">
        <v>2363</v>
      </c>
      <c r="E159" s="928" t="s">
        <v>164</v>
      </c>
      <c r="F159" s="928" t="s">
        <v>165</v>
      </c>
      <c r="G159" s="927" t="s">
        <v>2312</v>
      </c>
      <c r="H159" s="927" t="s">
        <v>2222</v>
      </c>
      <c r="I159" s="942">
        <f>SUMIFS('TB.CTy Me.FY2024'!I:I,'TB.CTy Me.FY2024'!A:A,'A0.LS'!E159)</f>
        <v>0</v>
      </c>
      <c r="J159" s="942">
        <f>ROUND(SUMIFS('A5.FY24'!K:K,'A5.FY24'!E:E,'A0.LS'!E159,'A5.FY24'!L:L,"Finhay",'A5.FY24'!M:M,"Posted"),0)</f>
        <v>0</v>
      </c>
      <c r="K159" s="942">
        <f>ROUND(SUMIFS('A5.FY24'!K:K,'A5.FY24'!E:E,'A0.LS'!E159,'A5.FY24'!L:L,"EY",'A5.FY24'!M:M,"Posted"),0)</f>
        <v>0</v>
      </c>
      <c r="L159" s="943">
        <f t="shared" si="70"/>
        <v>0</v>
      </c>
      <c r="M159" s="930"/>
      <c r="N159" s="944">
        <f>SUMIFS('TB.CTM.YE23'!I:I,'TB.CTM.YE23'!A:A,'A0.LS'!E159)</f>
        <v>-152000</v>
      </c>
      <c r="O159" s="944">
        <v>152000</v>
      </c>
      <c r="P159" s="944">
        <v>0</v>
      </c>
      <c r="Q159" s="945">
        <f t="shared" si="71"/>
        <v>0</v>
      </c>
      <c r="R159" s="898"/>
      <c r="S159" s="848">
        <f t="shared" si="68"/>
        <v>0</v>
      </c>
      <c r="T159" s="946" t="str">
        <f t="shared" si="69"/>
        <v>To check</v>
      </c>
      <c r="U159" s="850"/>
      <c r="V159" s="850" t="s">
        <v>2325</v>
      </c>
      <c r="W159" s="850"/>
      <c r="X159" s="947" t="s">
        <v>2227</v>
      </c>
      <c r="Y159" s="947" t="s">
        <v>2312</v>
      </c>
      <c r="Z159" s="936">
        <f>ROUND(SUMIFS('TB.Cty Con.FY24'!I:I,'TB.Cty Con.FY24'!A:A,'A0.LS'!E159),0)</f>
        <v>0</v>
      </c>
      <c r="AA159" s="936">
        <f>ROUND(SUMIFS('A5.CTC FY24'!K:K,'A5.CTC FY24'!E:E,'A0.LS'!E159,'A5.CTC FY24'!A:A,'A0.LS'!$AA$5,'A5.CTC FY24'!L:L,"Finhay",'A5.CTC FY24'!M:M,"Posted"),0)</f>
        <v>0</v>
      </c>
      <c r="AB159" s="936">
        <f>ROUND(SUMIFS('A5.CTC FY24'!K:K,'A5.CTC FY24'!E:E,'A0.LS'!E159,'A5.CTC FY24'!A:A,'A0.LS'!$AB$5,'A5.CTC FY24'!L:L,"EY",'A5.CTC FY24'!M:M,"Posted"),0)</f>
        <v>0</v>
      </c>
      <c r="AC159" s="948">
        <f t="shared" si="72"/>
        <v>0</v>
      </c>
      <c r="AD159" s="930"/>
      <c r="AE159" s="936">
        <f>ROUND(SUMIFS('TB VNSC FY24'!M:M,'TB VNSC FY24'!N:N,'A0.LS'!E159),0)</f>
        <v>0</v>
      </c>
      <c r="AF159" s="936">
        <f>SUMIFS('A5.CTC FY24'!K:K,'A5.CTC FY24'!E:E,'A0.LS'!E159,'A5.CTC FY24'!A:A,"VNSC",'A5.CTC FY24'!L:L,"VNSC",'A5.CTC FY24'!M:M,"Posted")</f>
        <v>0</v>
      </c>
      <c r="AG159" s="936">
        <f>ROUND(SUMIFS('A5.CTC FY24'!K:K,'A5.CTC FY24'!E:E,'A0.LS'!E159,'A5.CTC FY24'!A:A,"VNSC",'A5.CTC FY24'!L:L,"EY",'A5.CTC FY24'!M:M,"Posted"),0)</f>
        <v>0</v>
      </c>
      <c r="AH159" s="936">
        <f t="shared" si="73"/>
        <v>0</v>
      </c>
      <c r="AI159" s="930"/>
      <c r="AJ159" s="936">
        <f>SUMIFS('TB.KCG.FY24'!I:I,'TB.KCG.FY24'!A:A,'A0.LS'!E159)</f>
        <v>0</v>
      </c>
      <c r="AK159" s="936">
        <f>ROUND(SUMIFS('A5.CTC FY24'!K:K,'A5.CTC FY24'!E:E,'A0.LS'!E159,'A5.CTC FY24'!A:A,'A0.LS'!$AK$5,'A5.CTC FY24'!L:L,"EY",'A5.CTC FY24'!M:M,"Posted"),0)</f>
        <v>0</v>
      </c>
      <c r="AL159" s="948">
        <f t="shared" si="74"/>
        <v>0</v>
      </c>
      <c r="AM159" s="930"/>
      <c r="AN159" s="949">
        <f t="shared" si="75"/>
        <v>0</v>
      </c>
      <c r="AO159" s="950">
        <f>ROUND(SUMIFS('A5.Consol FY24'!L:L,'A5.Consol FY24'!M:M,"EY",'A5.Consol FY24'!N:N,"Posted",'A5.Consol FY24'!B:B,'A0.LS'!$AO$5,'A5.Consol FY24'!F:F,'A0.LS'!E159),0)</f>
        <v>0</v>
      </c>
      <c r="AP159" s="949">
        <f t="shared" si="76"/>
        <v>0</v>
      </c>
      <c r="AQ159" s="930"/>
      <c r="AR159" s="936">
        <f>ROUND(SUMIFS('TB.XH.FY24'!I:I,'TB.XH.FY24'!J:J,'A0.LS'!E159),0)</f>
        <v>0</v>
      </c>
      <c r="AS159" s="936">
        <f>ROUND(SUMIFS('A5.CTC FY24'!K:K,'A5.CTC FY24'!E:E,'A0.LS'!E159,'A5.CTC FY24'!A:A,'A0.LS'!$AS$5,'A5.CTC FY24'!L:L,"EY",'A5.CTC FY24'!M:M,"Posted"),0)</f>
        <v>0</v>
      </c>
      <c r="AT159" s="948">
        <f t="shared" si="77"/>
        <v>0</v>
      </c>
      <c r="AU159" s="930"/>
      <c r="AV159" s="951">
        <f t="shared" si="78"/>
        <v>0</v>
      </c>
      <c r="AW159" s="952">
        <f>SUMIFS('A5.Consol FY24'!L:L,'A5.Consol FY24'!B:B,'A0.LS'!$AW$5,'A5.Consol FY24'!M:M,"EY",'A5.Consol FY24'!N:N,"Posted",'A5.Consol FY24'!F:F,'A0.LS'!E159)</f>
        <v>0</v>
      </c>
      <c r="AX159" s="951">
        <f t="shared" si="79"/>
        <v>0</v>
      </c>
      <c r="AY159" s="920"/>
      <c r="AZ159" s="936">
        <f>SUMIFS('TB.CTC.YE22'!Q:Q,'TB.CTC.YE22'!A:A,'A0.LS'!E159)</f>
        <v>0</v>
      </c>
      <c r="BA159" s="936">
        <f>ROUND(SUMIFS('A5.YE22'!J:J,'A5.YE22'!K:K,'A0.LS'!$BA$5,'A5.YE22'!L:L,"Posted",'A5.YE22'!D:D,'A0.LS'!E159),0)</f>
        <v>0</v>
      </c>
      <c r="BB159" s="936">
        <f t="shared" si="80"/>
        <v>0</v>
      </c>
      <c r="BC159" s="937"/>
      <c r="BD159" s="936">
        <f>ROUND(SUMIFS('TB.VNSC.YE22'!L:L,'TB.VNSC.YE22'!A:A,'A0.LS'!E159),0)</f>
        <v>0</v>
      </c>
      <c r="BE159" s="936">
        <f>ROUND(SUMIFS('A5.YE22'!J:J,'A5.YE22'!K:K,'A0.LS'!$BE$5,'A5.YE22'!L:L,"Posted",'A5.YE22'!D:D,'A0.LS'!E159),0)</f>
        <v>0</v>
      </c>
      <c r="BF159" s="936">
        <f t="shared" si="81"/>
        <v>0</v>
      </c>
      <c r="BG159" s="937"/>
      <c r="BH159" s="936">
        <f>ROUND(SUMIFS('TB.XH.YE22'!P:P,'TB.XH.YE22'!A:A,'A0.LS'!E159),0)</f>
        <v>0</v>
      </c>
      <c r="BI159" s="936">
        <f>ROUND(SUMIFS('A5.YE22'!J:J,'A5.YE22'!K:K,"XH",'A5.YE22'!L:L,"Posted",'A5.YE22'!D:D,'A0.LS'!E159),0)</f>
        <v>0</v>
      </c>
      <c r="BJ159" s="936">
        <f t="shared" si="82"/>
        <v>0</v>
      </c>
      <c r="BK159" s="937"/>
      <c r="BL159" s="936">
        <f>ROUND(SUMIFS('TB.KCG.YE22'!P:P,'TB.KCG.YE22'!A:A,'A0.LS'!E159),0)</f>
        <v>0</v>
      </c>
      <c r="BM159" s="936">
        <f>ROUND(SUMIFS('A5.YE22'!J:J,'A5.YE22'!K:K,'A0.LS'!$BM$5,'A5.YE22'!L:L,"Posted",'A5.YE22'!D:D,'A0.LS'!E159),0)</f>
        <v>0</v>
      </c>
      <c r="BN159" s="936">
        <f t="shared" si="83"/>
        <v>0</v>
      </c>
      <c r="BO159" s="937"/>
      <c r="BP159" s="938">
        <v>0</v>
      </c>
      <c r="BQ159" s="938">
        <f>ROUND(SUMIFS('A5.YE22'!J:J,'A5.YE22'!K:K,'A0.LS'!$BQ$5,'A5.YE22'!L:L,"Posted",'A5.YE22'!D:D,'A0.LS'!E159),0)</f>
        <v>0</v>
      </c>
      <c r="BR159" s="938">
        <f t="shared" si="84"/>
        <v>0</v>
      </c>
    </row>
    <row r="160" spans="1:70" ht="12.75">
      <c r="A160" s="850"/>
      <c r="B160" s="925"/>
      <c r="C160" s="926"/>
      <c r="D160" s="927"/>
      <c r="E160" s="928"/>
      <c r="F160" s="928"/>
      <c r="G160" s="928"/>
      <c r="H160" s="927"/>
      <c r="I160" s="929"/>
      <c r="J160" s="929"/>
      <c r="K160" s="929"/>
      <c r="L160" s="929"/>
      <c r="M160" s="930"/>
      <c r="N160" s="931"/>
      <c r="O160" s="931"/>
      <c r="P160" s="931"/>
      <c r="Q160" s="932"/>
      <c r="R160" s="898"/>
      <c r="S160" s="850"/>
      <c r="T160" s="850"/>
      <c r="U160" s="850"/>
      <c r="V160" s="850"/>
      <c r="W160" s="850"/>
      <c r="X160" s="947" t="s">
        <v>2227</v>
      </c>
      <c r="Y160" s="933"/>
      <c r="Z160" s="934"/>
      <c r="AA160" s="934"/>
      <c r="AB160" s="934"/>
      <c r="AC160" s="934"/>
      <c r="AD160" s="930"/>
      <c r="AE160" s="934"/>
      <c r="AF160" s="934"/>
      <c r="AG160" s="934"/>
      <c r="AH160" s="934"/>
      <c r="AI160" s="930"/>
      <c r="AJ160" s="934"/>
      <c r="AK160" s="934"/>
      <c r="AL160" s="934"/>
      <c r="AM160" s="930"/>
      <c r="AN160" s="935"/>
      <c r="AO160" s="935"/>
      <c r="AP160" s="935"/>
      <c r="AQ160" s="930"/>
      <c r="AR160" s="934"/>
      <c r="AS160" s="934"/>
      <c r="AT160" s="934"/>
      <c r="AU160" s="930"/>
      <c r="AV160" s="909"/>
      <c r="AW160" s="909"/>
      <c r="AX160" s="909"/>
      <c r="AY160" s="920"/>
      <c r="AZ160" s="936"/>
      <c r="BA160" s="936"/>
      <c r="BB160" s="936"/>
      <c r="BC160" s="937"/>
      <c r="BD160" s="936"/>
      <c r="BE160" s="936"/>
      <c r="BF160" s="936"/>
      <c r="BG160" s="937"/>
      <c r="BH160" s="936"/>
      <c r="BI160" s="936"/>
      <c r="BJ160" s="936"/>
      <c r="BK160" s="937"/>
      <c r="BL160" s="936"/>
      <c r="BM160" s="936"/>
      <c r="BN160" s="936"/>
      <c r="BO160" s="937"/>
      <c r="BP160" s="938"/>
      <c r="BQ160" s="938"/>
      <c r="BR160" s="938"/>
    </row>
    <row r="161" spans="2:72" s="1" customFormat="1" ht="12.75">
      <c r="B161" s="293"/>
      <c r="C161" s="294"/>
      <c r="D161" s="295"/>
      <c r="E161" s="75"/>
      <c r="F161" s="75" t="s">
        <v>2364</v>
      </c>
      <c r="G161" s="75"/>
      <c r="H161" s="295"/>
      <c r="I161" s="68">
        <f t="shared" ref="I161:L162" si="85">I162</f>
        <v>0</v>
      </c>
      <c r="J161" s="68">
        <f t="shared" si="85"/>
        <v>0</v>
      </c>
      <c r="K161" s="68">
        <f t="shared" si="85"/>
        <v>-30336000000</v>
      </c>
      <c r="L161" s="68">
        <f t="shared" si="85"/>
        <v>-30336000000</v>
      </c>
      <c r="M161" s="296"/>
      <c r="N161" s="69">
        <f t="shared" ref="N161:Q162" si="86">N162</f>
        <v>0</v>
      </c>
      <c r="O161" s="92">
        <f t="shared" si="86"/>
        <v>0</v>
      </c>
      <c r="P161" s="92">
        <f t="shared" si="86"/>
        <v>-34128000000</v>
      </c>
      <c r="Q161" s="297">
        <f t="shared" si="86"/>
        <v>-34128000000</v>
      </c>
      <c r="R161" s="298"/>
      <c r="X161" s="947" t="s">
        <v>2227</v>
      </c>
      <c r="Y161" s="304"/>
      <c r="Z161" s="235">
        <f t="shared" ref="Z161:AC162" si="87">Z162</f>
        <v>0</v>
      </c>
      <c r="AA161" s="235">
        <f t="shared" si="87"/>
        <v>0</v>
      </c>
      <c r="AB161" s="235">
        <f t="shared" si="87"/>
        <v>0</v>
      </c>
      <c r="AC161" s="235">
        <f t="shared" si="87"/>
        <v>0</v>
      </c>
      <c r="AD161" s="236"/>
      <c r="AE161" s="235">
        <f t="shared" ref="AE161:AH162" si="88">AE162</f>
        <v>0</v>
      </c>
      <c r="AF161" s="235">
        <f t="shared" si="88"/>
        <v>0</v>
      </c>
      <c r="AG161" s="235">
        <f t="shared" si="88"/>
        <v>0</v>
      </c>
      <c r="AH161" s="235">
        <f t="shared" si="88"/>
        <v>0</v>
      </c>
      <c r="AI161" s="236"/>
      <c r="AJ161" s="235">
        <f t="shared" ref="AJ161:AL162" si="89">AJ162</f>
        <v>0</v>
      </c>
      <c r="AK161" s="235">
        <f t="shared" si="89"/>
        <v>0</v>
      </c>
      <c r="AL161" s="235">
        <f t="shared" si="89"/>
        <v>0</v>
      </c>
      <c r="AM161" s="236"/>
      <c r="AN161" s="237">
        <f t="shared" ref="AN161:AP162" si="90">AN162</f>
        <v>0</v>
      </c>
      <c r="AO161" s="237">
        <f t="shared" si="90"/>
        <v>0</v>
      </c>
      <c r="AP161" s="237">
        <f t="shared" si="90"/>
        <v>0</v>
      </c>
      <c r="AQ161" s="236"/>
      <c r="AR161" s="235">
        <f t="shared" ref="AR161:AT162" si="91">AR162</f>
        <v>0</v>
      </c>
      <c r="AS161" s="235">
        <f t="shared" si="91"/>
        <v>0</v>
      </c>
      <c r="AT161" s="235">
        <f t="shared" si="91"/>
        <v>0</v>
      </c>
      <c r="AU161" s="236"/>
      <c r="AV161" s="238">
        <f t="shared" ref="AV161:AX162" si="92">AV162</f>
        <v>-30336000000</v>
      </c>
      <c r="AW161" s="238">
        <f t="shared" si="92"/>
        <v>30336000000</v>
      </c>
      <c r="AX161" s="238">
        <f t="shared" si="92"/>
        <v>0</v>
      </c>
      <c r="AY161" s="614"/>
      <c r="AZ161" s="235">
        <f t="shared" ref="AZ161:BB162" si="93">AZ162</f>
        <v>0</v>
      </c>
      <c r="BA161" s="235">
        <f t="shared" si="93"/>
        <v>0</v>
      </c>
      <c r="BB161" s="235">
        <f t="shared" si="93"/>
        <v>0</v>
      </c>
      <c r="BC161" s="236"/>
      <c r="BD161" s="235">
        <f t="shared" ref="BD161:BF162" si="94">BD162</f>
        <v>0</v>
      </c>
      <c r="BE161" s="235">
        <f t="shared" si="94"/>
        <v>0</v>
      </c>
      <c r="BF161" s="235">
        <f t="shared" si="94"/>
        <v>0</v>
      </c>
      <c r="BG161" s="236"/>
      <c r="BH161" s="235">
        <f t="shared" ref="BH161:BJ162" si="95">BH162</f>
        <v>0</v>
      </c>
      <c r="BI161" s="235">
        <f t="shared" si="95"/>
        <v>0</v>
      </c>
      <c r="BJ161" s="235">
        <f t="shared" si="95"/>
        <v>0</v>
      </c>
      <c r="BK161" s="236"/>
      <c r="BL161" s="235">
        <f t="shared" ref="BL161:BN162" si="96">BL162</f>
        <v>0</v>
      </c>
      <c r="BM161" s="235">
        <f t="shared" si="96"/>
        <v>0</v>
      </c>
      <c r="BN161" s="235">
        <f t="shared" si="96"/>
        <v>0</v>
      </c>
      <c r="BO161" s="236"/>
      <c r="BP161" s="443">
        <f t="shared" ref="BP161:BR162" si="97">BP162</f>
        <v>-34128000000</v>
      </c>
      <c r="BQ161" s="443">
        <f t="shared" si="97"/>
        <v>34128000000</v>
      </c>
      <c r="BR161" s="443">
        <f t="shared" si="97"/>
        <v>0</v>
      </c>
    </row>
    <row r="162" spans="2:72" s="1" customFormat="1" ht="12.75">
      <c r="B162" s="293"/>
      <c r="C162" s="294"/>
      <c r="D162" s="295"/>
      <c r="E162" s="75"/>
      <c r="F162" s="75" t="s">
        <v>2365</v>
      </c>
      <c r="G162" s="75"/>
      <c r="H162" s="295"/>
      <c r="I162" s="68">
        <f t="shared" si="85"/>
        <v>0</v>
      </c>
      <c r="J162" s="68">
        <f t="shared" si="85"/>
        <v>0</v>
      </c>
      <c r="K162" s="68">
        <f t="shared" si="85"/>
        <v>-30336000000</v>
      </c>
      <c r="L162" s="68">
        <f t="shared" si="85"/>
        <v>-30336000000</v>
      </c>
      <c r="M162" s="296"/>
      <c r="N162" s="69">
        <f t="shared" si="86"/>
        <v>0</v>
      </c>
      <c r="O162" s="69">
        <f t="shared" si="86"/>
        <v>0</v>
      </c>
      <c r="P162" s="69">
        <f t="shared" si="86"/>
        <v>-34128000000</v>
      </c>
      <c r="Q162" s="297">
        <f t="shared" si="86"/>
        <v>-34128000000</v>
      </c>
      <c r="R162" s="298"/>
      <c r="X162" s="947" t="s">
        <v>2227</v>
      </c>
      <c r="Y162" s="304"/>
      <c r="Z162" s="235">
        <f t="shared" si="87"/>
        <v>0</v>
      </c>
      <c r="AA162" s="235">
        <f t="shared" si="87"/>
        <v>0</v>
      </c>
      <c r="AB162" s="235">
        <f t="shared" si="87"/>
        <v>0</v>
      </c>
      <c r="AC162" s="235">
        <f t="shared" si="87"/>
        <v>0</v>
      </c>
      <c r="AD162" s="236"/>
      <c r="AE162" s="235">
        <f t="shared" si="88"/>
        <v>0</v>
      </c>
      <c r="AF162" s="235">
        <f t="shared" si="88"/>
        <v>0</v>
      </c>
      <c r="AG162" s="235">
        <f t="shared" si="88"/>
        <v>0</v>
      </c>
      <c r="AH162" s="235">
        <f t="shared" si="88"/>
        <v>0</v>
      </c>
      <c r="AI162" s="236"/>
      <c r="AJ162" s="235">
        <f t="shared" si="89"/>
        <v>0</v>
      </c>
      <c r="AK162" s="235">
        <f t="shared" si="89"/>
        <v>0</v>
      </c>
      <c r="AL162" s="235">
        <f t="shared" si="89"/>
        <v>0</v>
      </c>
      <c r="AM162" s="236"/>
      <c r="AN162" s="237">
        <f t="shared" si="90"/>
        <v>0</v>
      </c>
      <c r="AO162" s="237">
        <f t="shared" si="90"/>
        <v>0</v>
      </c>
      <c r="AP162" s="237">
        <f t="shared" si="90"/>
        <v>0</v>
      </c>
      <c r="AQ162" s="236"/>
      <c r="AR162" s="235">
        <f t="shared" si="91"/>
        <v>0</v>
      </c>
      <c r="AS162" s="235">
        <f t="shared" si="91"/>
        <v>0</v>
      </c>
      <c r="AT162" s="235">
        <f t="shared" si="91"/>
        <v>0</v>
      </c>
      <c r="AU162" s="236"/>
      <c r="AV162" s="238">
        <f t="shared" si="92"/>
        <v>-30336000000</v>
      </c>
      <c r="AW162" s="238">
        <f t="shared" si="92"/>
        <v>30336000000</v>
      </c>
      <c r="AX162" s="238">
        <f t="shared" si="92"/>
        <v>0</v>
      </c>
      <c r="AY162" s="614"/>
      <c r="AZ162" s="235">
        <f t="shared" si="93"/>
        <v>0</v>
      </c>
      <c r="BA162" s="235">
        <f t="shared" si="93"/>
        <v>0</v>
      </c>
      <c r="BB162" s="235">
        <f t="shared" si="93"/>
        <v>0</v>
      </c>
      <c r="BC162" s="236"/>
      <c r="BD162" s="235">
        <f t="shared" si="94"/>
        <v>0</v>
      </c>
      <c r="BE162" s="235">
        <f t="shared" si="94"/>
        <v>0</v>
      </c>
      <c r="BF162" s="235">
        <f t="shared" si="94"/>
        <v>0</v>
      </c>
      <c r="BG162" s="236"/>
      <c r="BH162" s="235">
        <f t="shared" si="95"/>
        <v>0</v>
      </c>
      <c r="BI162" s="235">
        <f t="shared" si="95"/>
        <v>0</v>
      </c>
      <c r="BJ162" s="235">
        <f t="shared" si="95"/>
        <v>0</v>
      </c>
      <c r="BK162" s="236"/>
      <c r="BL162" s="235">
        <f t="shared" si="96"/>
        <v>0</v>
      </c>
      <c r="BM162" s="235">
        <f t="shared" si="96"/>
        <v>0</v>
      </c>
      <c r="BN162" s="235">
        <f t="shared" si="96"/>
        <v>0</v>
      </c>
      <c r="BO162" s="236"/>
      <c r="BP162" s="443">
        <f t="shared" si="97"/>
        <v>-34128000000</v>
      </c>
      <c r="BQ162" s="443">
        <f t="shared" si="97"/>
        <v>34128000000</v>
      </c>
      <c r="BR162" s="443">
        <f t="shared" si="97"/>
        <v>0</v>
      </c>
    </row>
    <row r="163" spans="2:72" ht="12.75">
      <c r="B163" s="939">
        <v>336</v>
      </c>
      <c r="C163" s="940" t="s">
        <v>2366</v>
      </c>
      <c r="D163" s="941" t="s">
        <v>2366</v>
      </c>
      <c r="E163" s="954" t="s">
        <v>1261</v>
      </c>
      <c r="F163" s="928" t="s">
        <v>2367</v>
      </c>
      <c r="G163" s="927" t="s">
        <v>2324</v>
      </c>
      <c r="H163" s="927" t="s">
        <v>2265</v>
      </c>
      <c r="I163" s="942">
        <f>SUMIFS('TB.CTy Me.FY2024'!I:I,'TB.CTy Me.FY2024'!A:A,'A0.LS'!E163)</f>
        <v>0</v>
      </c>
      <c r="J163" s="942">
        <f>ROUND(SUMIFS('A5.FY24'!K:K,'A5.FY24'!E:E,'A0.LS'!E163,'A5.FY24'!L:L,"Finhay",'A5.FY24'!M:M,"Posted"),0)</f>
        <v>0</v>
      </c>
      <c r="K163" s="942">
        <f>ROUND(SUMIFS('A5.FY24'!K:K,'A5.FY24'!E:E,'A0.LS'!E163,'A5.FY24'!L:L,"EY",'A5.FY24'!M:M,"Posted"),0)</f>
        <v>-30336000000</v>
      </c>
      <c r="L163" s="943">
        <f>ROUND(SUM(I163:K163),0)</f>
        <v>-30336000000</v>
      </c>
      <c r="M163" s="930"/>
      <c r="N163" s="944">
        <f>SUMIFS('TB.CTM.YE23'!I:I,'TB.CTM.YE23'!A:A,'A0.LS'!E163)</f>
        <v>0</v>
      </c>
      <c r="O163" s="944">
        <v>0</v>
      </c>
      <c r="P163" s="944">
        <v>-34128000000</v>
      </c>
      <c r="Q163" s="945">
        <f>ROUND(SUM(N163:P163),0)</f>
        <v>-34128000000</v>
      </c>
      <c r="R163" s="898"/>
      <c r="S163" s="850"/>
      <c r="T163" s="850"/>
      <c r="U163" s="850"/>
      <c r="V163" s="850"/>
      <c r="W163" s="850"/>
      <c r="X163" s="947" t="s">
        <v>2227</v>
      </c>
      <c r="Y163" s="947" t="s">
        <v>2324</v>
      </c>
      <c r="Z163" s="936">
        <f>ROUND(SUMIFS('TB.Cty Con.FY24'!I:I,'TB.Cty Con.FY24'!A:A,'A0.LS'!E163),0)</f>
        <v>0</v>
      </c>
      <c r="AA163" s="936">
        <f>ROUND(SUMIFS('A5.CTC FY24'!K:K,'A5.CTC FY24'!E:E,'A0.LS'!E163,'A5.CTC FY24'!A:A,'A0.LS'!$AA$5,'A5.CTC FY24'!L:L,"Finhay",'A5.CTC FY24'!M:M,"Posted"),0)</f>
        <v>0</v>
      </c>
      <c r="AB163" s="936">
        <f>ROUND(SUMIFS('A5.CTC FY24'!K:K,'A5.CTC FY24'!E:E,'A0.LS'!E163,'A5.CTC FY24'!A:A,'A0.LS'!$AB$5,'A5.CTC FY24'!L:L,"EY",'A5.CTC FY24'!M:M,"Posted"),0)</f>
        <v>0</v>
      </c>
      <c r="AC163" s="948">
        <f>ROUND(SUM(Z163:AB163),0)</f>
        <v>0</v>
      </c>
      <c r="AD163" s="930"/>
      <c r="AE163" s="936">
        <f>ROUND(SUMIFS('TB VNSC FY24'!M:M,'TB VNSC FY24'!N:N,'A0.LS'!E163),0)</f>
        <v>0</v>
      </c>
      <c r="AF163" s="936">
        <f>SUMIFS('A5.CTC FY24'!K:K,'A5.CTC FY24'!E:E,'A0.LS'!E163,'A5.CTC FY24'!A:A,"VNSC",'A5.CTC FY24'!L:L,"VNSC",'A5.CTC FY24'!M:M,"Posted")</f>
        <v>0</v>
      </c>
      <c r="AG163" s="936">
        <f>ROUND(SUMIFS('A5.CTC FY24'!K:K,'A5.CTC FY24'!E:E,'A0.LS'!E163,'A5.CTC FY24'!A:A,"VNSC",'A5.CTC FY24'!L:L,"EY",'A5.CTC FY24'!M:M,"Posted"),0)</f>
        <v>0</v>
      </c>
      <c r="AH163" s="936">
        <f>ROUND(SUM(AE163:AG163),0)</f>
        <v>0</v>
      </c>
      <c r="AI163" s="930"/>
      <c r="AJ163" s="936">
        <f>SUMIFS('TB.KCG.FY24'!I:I,'TB.KCG.FY24'!A:A,'A0.LS'!E163)</f>
        <v>0</v>
      </c>
      <c r="AK163" s="936">
        <f>ROUND(SUMIFS('A5.CTC FY24'!K:K,'A5.CTC FY24'!E:E,'A0.LS'!E163,'A5.CTC FY24'!A:A,'A0.LS'!$AK$5,'A5.CTC FY24'!L:L,"EY",'A5.CTC FY24'!M:M,"Posted"),0)</f>
        <v>0</v>
      </c>
      <c r="AL163" s="948">
        <f>ROUND(SUM(AJ163:AK163),0)</f>
        <v>0</v>
      </c>
      <c r="AM163" s="930"/>
      <c r="AN163" s="949">
        <f>ROUND(SUM(AT163,AH163,AC163),0)</f>
        <v>0</v>
      </c>
      <c r="AO163" s="950">
        <f>ROUND(SUMIFS('A5.Consol FY24'!L:L,'A5.Consol FY24'!M:M,"EY",'A5.Consol FY24'!N:N,"Posted",'A5.Consol FY24'!B:B,'A0.LS'!$AO$5,'A5.Consol FY24'!F:F,'A0.LS'!E163),0)</f>
        <v>0</v>
      </c>
      <c r="AP163" s="949">
        <f>ROUND(SUM(AN163:AO163),0)</f>
        <v>0</v>
      </c>
      <c r="AQ163" s="930"/>
      <c r="AR163" s="936">
        <f>ROUND(SUMIFS('TB.XH.FY24'!I:I,'TB.XH.FY24'!J:J,'A0.LS'!E163),0)</f>
        <v>0</v>
      </c>
      <c r="AS163" s="936">
        <f>ROUND(SUMIFS('A5.CTC FY24'!K:K,'A5.CTC FY24'!E:E,'A0.LS'!E163,'A5.CTC FY24'!A:A,'A0.LS'!$AS$5,'A5.CTC FY24'!L:L,"EY",'A5.CTC FY24'!M:M,"Posted"),0)</f>
        <v>0</v>
      </c>
      <c r="AT163" s="948">
        <f>ROUND(SUM(AR163:AS163),0)</f>
        <v>0</v>
      </c>
      <c r="AU163" s="930"/>
      <c r="AV163" s="951">
        <f>ROUND(SUM(AP163,AL163,L163),0)</f>
        <v>-30336000000</v>
      </c>
      <c r="AW163" s="952">
        <f>SUMIFS('A5.Consol FY24'!L:L,'A5.Consol FY24'!B:B,'A0.LS'!$AW$5,'A5.Consol FY24'!M:M,"EY",'A5.Consol FY24'!N:N,"Posted",'A5.Consol FY24'!F:F,'A0.LS'!E163)</f>
        <v>30336000000</v>
      </c>
      <c r="AX163" s="951">
        <f>ROUND(SUM(AV163:AW163),0)</f>
        <v>0</v>
      </c>
      <c r="AY163" s="920"/>
      <c r="AZ163" s="936">
        <f>SUMIFS('TB.CTC.YE22'!Q:Q,'TB.CTC.YE22'!A:A,'A0.LS'!E163)</f>
        <v>0</v>
      </c>
      <c r="BA163" s="936">
        <f>ROUND(SUMIFS('A5.YE22'!J:J,'A5.YE22'!K:K,'A0.LS'!$BA$5,'A5.YE22'!L:L,"Posted",'A5.YE22'!D:D,'A0.LS'!E163),0)</f>
        <v>0</v>
      </c>
      <c r="BB163" s="936">
        <f>ROUND(SUM(AZ163:BA163),0)</f>
        <v>0</v>
      </c>
      <c r="BC163" s="937"/>
      <c r="BD163" s="936">
        <f>ROUND(SUMIFS('TB.VNSC.YE22'!L:L,'TB.VNSC.YE22'!A:A,'A0.LS'!E163),0)</f>
        <v>0</v>
      </c>
      <c r="BE163" s="936">
        <f>ROUND(SUMIFS('A5.YE22'!J:J,'A5.YE22'!K:K,'A0.LS'!$BE$5,'A5.YE22'!L:L,"Posted",'A5.YE22'!D:D,'A0.LS'!E163),0)</f>
        <v>0</v>
      </c>
      <c r="BF163" s="936">
        <f>ROUND(SUM(BD163:BE163),0)</f>
        <v>0</v>
      </c>
      <c r="BG163" s="937"/>
      <c r="BH163" s="936">
        <f>ROUND(SUMIFS('TB.XH.YE22'!P:P,'TB.XH.YE22'!A:A,'A0.LS'!E163),0)</f>
        <v>0</v>
      </c>
      <c r="BI163" s="936">
        <f>ROUND(SUMIFS('A5.YE22'!J:J,'A5.YE22'!K:K,"XH",'A5.YE22'!L:L,"Posted",'A5.YE22'!D:D,'A0.LS'!E163),0)</f>
        <v>0</v>
      </c>
      <c r="BJ163" s="936">
        <f>ROUND(SUM(BH163:BI163),0)</f>
        <v>0</v>
      </c>
      <c r="BK163" s="937"/>
      <c r="BL163" s="936">
        <f>ROUND(SUMIFS('TB.KCG.YE22'!P:P,'TB.KCG.YE22'!A:A,'A0.LS'!E163),0)</f>
        <v>0</v>
      </c>
      <c r="BM163" s="936">
        <f>ROUND(SUMIFS('A5.YE22'!J:J,'A5.YE22'!K:K,'A0.LS'!$BM$5,'A5.YE22'!L:L,"Posted",'A5.YE22'!D:D,'A0.LS'!E163),0)</f>
        <v>0</v>
      </c>
      <c r="BN163" s="936">
        <f>ROUND(SUM(BL163:BM163),0)</f>
        <v>0</v>
      </c>
      <c r="BO163" s="937"/>
      <c r="BP163" s="938">
        <f>ROUND(SUM(Q163,BB163,BF163,BJ163,BN163),0)</f>
        <v>-34128000000</v>
      </c>
      <c r="BQ163" s="938">
        <v>34128000000</v>
      </c>
      <c r="BR163" s="938">
        <f>ROUND(SUM(BP163:BQ163),0)</f>
        <v>0</v>
      </c>
      <c r="BS163" s="850"/>
      <c r="BT163" s="850"/>
    </row>
    <row r="164" spans="2:72" ht="12.75">
      <c r="B164" s="925"/>
      <c r="C164" s="926"/>
      <c r="D164" s="927"/>
      <c r="E164" s="928"/>
      <c r="F164" s="928"/>
      <c r="G164" s="928"/>
      <c r="H164" s="927"/>
      <c r="I164" s="929"/>
      <c r="J164" s="929"/>
      <c r="K164" s="929"/>
      <c r="L164" s="929"/>
      <c r="M164" s="930"/>
      <c r="N164" s="931"/>
      <c r="O164" s="931"/>
      <c r="P164" s="931"/>
      <c r="Q164" s="932"/>
      <c r="R164" s="898"/>
      <c r="S164" s="850"/>
      <c r="T164" s="850"/>
      <c r="U164" s="850"/>
      <c r="V164" s="850"/>
      <c r="W164" s="850"/>
      <c r="X164" s="947" t="s">
        <v>2227</v>
      </c>
      <c r="Y164" s="933"/>
      <c r="Z164" s="934"/>
      <c r="AA164" s="934"/>
      <c r="AB164" s="934"/>
      <c r="AC164" s="934"/>
      <c r="AD164" s="930"/>
      <c r="AE164" s="934"/>
      <c r="AF164" s="934"/>
      <c r="AG164" s="934"/>
      <c r="AH164" s="934"/>
      <c r="AI164" s="930"/>
      <c r="AJ164" s="934"/>
      <c r="AK164" s="934"/>
      <c r="AL164" s="934"/>
      <c r="AM164" s="930"/>
      <c r="AN164" s="935"/>
      <c r="AO164" s="935"/>
      <c r="AP164" s="935"/>
      <c r="AQ164" s="930"/>
      <c r="AR164" s="934"/>
      <c r="AS164" s="934"/>
      <c r="AT164" s="934"/>
      <c r="AU164" s="930"/>
      <c r="AV164" s="909"/>
      <c r="AW164" s="909"/>
      <c r="AX164" s="909"/>
      <c r="AY164" s="920"/>
      <c r="AZ164" s="936"/>
      <c r="BA164" s="936"/>
      <c r="BB164" s="936"/>
      <c r="BC164" s="937"/>
      <c r="BD164" s="936"/>
      <c r="BE164" s="936"/>
      <c r="BF164" s="936"/>
      <c r="BG164" s="937"/>
      <c r="BH164" s="936"/>
      <c r="BI164" s="936"/>
      <c r="BJ164" s="936"/>
      <c r="BK164" s="937"/>
      <c r="BL164" s="936"/>
      <c r="BM164" s="936"/>
      <c r="BN164" s="936"/>
      <c r="BO164" s="937"/>
      <c r="BP164" s="938"/>
      <c r="BQ164" s="938"/>
      <c r="BR164" s="938"/>
      <c r="BS164" s="850"/>
      <c r="BT164" s="850"/>
    </row>
    <row r="165" spans="2:72" ht="12.75">
      <c r="B165" s="925"/>
      <c r="C165" s="926"/>
      <c r="D165" s="927"/>
      <c r="E165" s="928"/>
      <c r="F165" s="928"/>
      <c r="G165" s="928"/>
      <c r="H165" s="927"/>
      <c r="I165" s="929"/>
      <c r="J165" s="929"/>
      <c r="K165" s="929"/>
      <c r="L165" s="929"/>
      <c r="M165" s="930"/>
      <c r="N165" s="931"/>
      <c r="O165" s="931"/>
      <c r="P165" s="931"/>
      <c r="Q165" s="932"/>
      <c r="R165" s="898"/>
      <c r="S165" s="850"/>
      <c r="T165" s="850"/>
      <c r="U165" s="850"/>
      <c r="V165" s="850"/>
      <c r="W165" s="850"/>
      <c r="X165" s="947" t="s">
        <v>2227</v>
      </c>
      <c r="Y165" s="933"/>
      <c r="Z165" s="934"/>
      <c r="AA165" s="934"/>
      <c r="AB165" s="934"/>
      <c r="AC165" s="934"/>
      <c r="AD165" s="930"/>
      <c r="AE165" s="934"/>
      <c r="AF165" s="934"/>
      <c r="AG165" s="934"/>
      <c r="AH165" s="934"/>
      <c r="AI165" s="930"/>
      <c r="AJ165" s="934"/>
      <c r="AK165" s="934"/>
      <c r="AL165" s="934"/>
      <c r="AM165" s="930"/>
      <c r="AN165" s="935"/>
      <c r="AO165" s="935"/>
      <c r="AP165" s="935"/>
      <c r="AQ165" s="930"/>
      <c r="AR165" s="934"/>
      <c r="AS165" s="934"/>
      <c r="AT165" s="934"/>
      <c r="AU165" s="930"/>
      <c r="AV165" s="909"/>
      <c r="AW165" s="909"/>
      <c r="AX165" s="909"/>
      <c r="AY165" s="920"/>
      <c r="AZ165" s="936"/>
      <c r="BA165" s="936"/>
      <c r="BB165" s="936"/>
      <c r="BC165" s="937"/>
      <c r="BD165" s="936"/>
      <c r="BE165" s="936"/>
      <c r="BF165" s="936"/>
      <c r="BG165" s="937"/>
      <c r="BH165" s="936"/>
      <c r="BI165" s="936"/>
      <c r="BJ165" s="936"/>
      <c r="BK165" s="937"/>
      <c r="BL165" s="936"/>
      <c r="BM165" s="936"/>
      <c r="BN165" s="936"/>
      <c r="BO165" s="937"/>
      <c r="BP165" s="938"/>
      <c r="BQ165" s="938"/>
      <c r="BR165" s="938"/>
      <c r="BS165" s="850"/>
      <c r="BT165" s="850"/>
    </row>
    <row r="166" spans="2:72" s="1" customFormat="1" ht="12.75">
      <c r="B166" s="293"/>
      <c r="C166" s="294"/>
      <c r="D166" s="295"/>
      <c r="E166" s="75"/>
      <c r="F166" s="75" t="s">
        <v>2368</v>
      </c>
      <c r="G166" s="75"/>
      <c r="H166" s="295"/>
      <c r="I166" s="68">
        <f>I167</f>
        <v>-4500000000</v>
      </c>
      <c r="J166" s="68">
        <f>J167</f>
        <v>0</v>
      </c>
      <c r="K166" s="68">
        <f>K167</f>
        <v>0</v>
      </c>
      <c r="L166" s="68">
        <f>L167</f>
        <v>-4500000000</v>
      </c>
      <c r="M166" s="296"/>
      <c r="N166" s="69">
        <f>N167</f>
        <v>0</v>
      </c>
      <c r="O166" s="69">
        <f>O167</f>
        <v>0</v>
      </c>
      <c r="P166" s="69">
        <f>P167</f>
        <v>0</v>
      </c>
      <c r="Q166" s="70">
        <f>Q167</f>
        <v>0</v>
      </c>
      <c r="R166" s="298"/>
      <c r="S166" s="175">
        <f>L166-Q166</f>
        <v>-4500000000</v>
      </c>
      <c r="T166" s="176" t="str">
        <f>IFERROR(S166/Q166,"To check")</f>
        <v>To check</v>
      </c>
      <c r="X166" s="947" t="s">
        <v>2227</v>
      </c>
      <c r="Y166" s="304"/>
      <c r="Z166" s="235">
        <f>Z167</f>
        <v>0</v>
      </c>
      <c r="AA166" s="235">
        <f>AA167</f>
        <v>0</v>
      </c>
      <c r="AB166" s="235">
        <f>ROUND(SUMIFS('A5.CTC FY24'!K:K,'A5.CTC FY24'!E:E,'A0.LS'!E166,'A5.CTC FY24'!A:A,'A0.LS'!$AB$5,'A5.CTC FY24'!L:L,"EY",'A5.CTC FY24'!M:M,"Posted"),0)</f>
        <v>0</v>
      </c>
      <c r="AC166" s="235">
        <f>AC167</f>
        <v>0</v>
      </c>
      <c r="AD166" s="236"/>
      <c r="AE166" s="235">
        <f>AE167</f>
        <v>-49000000000</v>
      </c>
      <c r="AF166" s="235">
        <f>AF167</f>
        <v>0</v>
      </c>
      <c r="AG166" s="235">
        <f>AG167</f>
        <v>0</v>
      </c>
      <c r="AH166" s="235">
        <f>AH167</f>
        <v>-49000000000</v>
      </c>
      <c r="AI166" s="236"/>
      <c r="AJ166" s="235">
        <f>AJ167</f>
        <v>0</v>
      </c>
      <c r="AK166" s="235">
        <f>AK167</f>
        <v>0</v>
      </c>
      <c r="AL166" s="235">
        <f>AL167</f>
        <v>0</v>
      </c>
      <c r="AM166" s="236"/>
      <c r="AN166" s="237">
        <f>AN167</f>
        <v>-49000000000</v>
      </c>
      <c r="AO166" s="237">
        <f>AO167</f>
        <v>0</v>
      </c>
      <c r="AP166" s="237">
        <f>AP167</f>
        <v>-49000000000</v>
      </c>
      <c r="AQ166" s="236"/>
      <c r="AR166" s="235">
        <f>AR167</f>
        <v>0</v>
      </c>
      <c r="AS166" s="235">
        <f>AS167</f>
        <v>0</v>
      </c>
      <c r="AT166" s="235">
        <f>AT167</f>
        <v>0</v>
      </c>
      <c r="AU166" s="236"/>
      <c r="AV166" s="238">
        <f>AV167</f>
        <v>-53500000000</v>
      </c>
      <c r="AW166" s="238">
        <f>AW167</f>
        <v>4500000000</v>
      </c>
      <c r="AX166" s="238">
        <f>AX167</f>
        <v>-49000000000</v>
      </c>
      <c r="AY166" s="614"/>
      <c r="AZ166" s="235">
        <f>AZ167</f>
        <v>0</v>
      </c>
      <c r="BA166" s="235">
        <f>BA167</f>
        <v>0</v>
      </c>
      <c r="BB166" s="235">
        <f>BB167</f>
        <v>0</v>
      </c>
      <c r="BC166" s="236"/>
      <c r="BD166" s="235">
        <f>BD167</f>
        <v>0</v>
      </c>
      <c r="BE166" s="235">
        <f>BE167</f>
        <v>0</v>
      </c>
      <c r="BF166" s="235">
        <f>BF167</f>
        <v>0</v>
      </c>
      <c r="BG166" s="236"/>
      <c r="BH166" s="235">
        <f>BH167</f>
        <v>0</v>
      </c>
      <c r="BI166" s="235">
        <f>BI167</f>
        <v>0</v>
      </c>
      <c r="BJ166" s="235">
        <f>BJ167</f>
        <v>0</v>
      </c>
      <c r="BK166" s="236"/>
      <c r="BL166" s="235">
        <f>BL167</f>
        <v>0</v>
      </c>
      <c r="BM166" s="235">
        <f>BM167</f>
        <v>0</v>
      </c>
      <c r="BN166" s="235">
        <f>BN167</f>
        <v>0</v>
      </c>
      <c r="BO166" s="236"/>
      <c r="BP166" s="443">
        <f>BP167</f>
        <v>0</v>
      </c>
      <c r="BQ166" s="443">
        <f>BQ167</f>
        <v>0</v>
      </c>
      <c r="BR166" s="443">
        <f>BR167</f>
        <v>0</v>
      </c>
    </row>
    <row r="167" spans="2:72" ht="12.75">
      <c r="B167" s="939">
        <v>320</v>
      </c>
      <c r="C167" s="940"/>
      <c r="D167" s="927"/>
      <c r="E167" s="928" t="s">
        <v>201</v>
      </c>
      <c r="F167" s="928" t="s">
        <v>202</v>
      </c>
      <c r="G167" s="927" t="s">
        <v>2303</v>
      </c>
      <c r="H167" s="927" t="s">
        <v>2265</v>
      </c>
      <c r="I167" s="942">
        <f>SUMIFS('TB.CTy Me.FY2024'!I:I,'TB.CTy Me.FY2024'!A:A,'A0.LS'!E167)</f>
        <v>-4500000000</v>
      </c>
      <c r="J167" s="942">
        <f>ROUND(SUMIFS('A5.FY24'!K:K,'A5.FY24'!E:E,'A0.LS'!E167,'A5.FY24'!L:L,"Finhay",'A5.FY24'!M:M,"Posted"),0)</f>
        <v>0</v>
      </c>
      <c r="K167" s="942">
        <f>ROUND(SUMIFS('A5.FY24'!K:K,'A5.FY24'!E:E,'A0.LS'!E167,'A5.FY24'!L:L,"EY",'A5.FY24'!M:M,"Posted"),0)</f>
        <v>0</v>
      </c>
      <c r="L167" s="943">
        <f>ROUND(SUM(I167:K167),0)</f>
        <v>-4500000000</v>
      </c>
      <c r="M167" s="930"/>
      <c r="N167" s="944">
        <f>SUMIFS('TB.CTM.YE23'!I:I,'TB.CTM.YE23'!A:A,'A0.LS'!E167)</f>
        <v>0</v>
      </c>
      <c r="O167" s="944">
        <v>0</v>
      </c>
      <c r="P167" s="944">
        <v>0</v>
      </c>
      <c r="Q167" s="945">
        <f>ROUND(SUM(N167:P167),0)</f>
        <v>0</v>
      </c>
      <c r="R167" s="898"/>
      <c r="S167" s="848">
        <f>L167-Q167</f>
        <v>-4500000000</v>
      </c>
      <c r="T167" s="946" t="str">
        <f>IFERROR(S167/Q167,"To check")</f>
        <v>To check</v>
      </c>
      <c r="U167" s="850"/>
      <c r="V167" s="850" t="s">
        <v>2369</v>
      </c>
      <c r="W167" s="850"/>
      <c r="X167" s="947" t="s">
        <v>2227</v>
      </c>
      <c r="Y167" s="947" t="s">
        <v>2303</v>
      </c>
      <c r="Z167" s="936">
        <f>ROUND(SUMIFS('TB.Cty Con.FY24'!I:I,'TB.Cty Con.FY24'!A:A,'A0.LS'!E167),0)</f>
        <v>0</v>
      </c>
      <c r="AA167" s="934"/>
      <c r="AB167" s="934"/>
      <c r="AC167" s="934"/>
      <c r="AD167" s="930"/>
      <c r="AE167" s="936">
        <f>ROUND(SUMIFS('TB VNSC FY24'!M:M,'TB VNSC FY24'!N:N,'A0.LS'!E167),0)</f>
        <v>-49000000000</v>
      </c>
      <c r="AF167" s="936">
        <f>SUMIFS('A5.CTC FY24'!K:K,'A5.CTC FY24'!E:E,'A0.LS'!E167,'A5.CTC FY24'!A:A,"VNSC",'A5.CTC FY24'!L:L,"VNSC",'A5.CTC FY24'!M:M,"Posted")</f>
        <v>0</v>
      </c>
      <c r="AG167" s="936">
        <f>ROUND(SUMIFS('A5.CTC FY24'!K:K,'A5.CTC FY24'!E:E,'A0.LS'!E167,'A5.CTC FY24'!A:A,"VNSC",'A5.CTC FY24'!L:L,"EY",'A5.CTC FY24'!M:M,"Posted"),0)</f>
        <v>0</v>
      </c>
      <c r="AH167" s="936">
        <f>ROUND(SUM(AE167:AG167),0)</f>
        <v>-49000000000</v>
      </c>
      <c r="AI167" s="930"/>
      <c r="AJ167" s="936">
        <f>SUMIFS('TB.KCG.FY24'!I:I,'TB.KCG.FY24'!A:A,'A0.LS'!E167)</f>
        <v>0</v>
      </c>
      <c r="AK167" s="936">
        <f>ROUND(SUMIFS('A5.CTC FY24'!K:K,'A5.CTC FY24'!E:E,'A0.LS'!E167,'A5.CTC FY24'!A:A,'A0.LS'!$AK$5,'A5.CTC FY24'!L:L,"EY",'A5.CTC FY24'!M:M,"Posted"),0)</f>
        <v>0</v>
      </c>
      <c r="AL167" s="948">
        <f>ROUND(SUM(AJ167:AK167),0)</f>
        <v>0</v>
      </c>
      <c r="AM167" s="930"/>
      <c r="AN167" s="949">
        <f>ROUND(SUM(AT167,AH167,AC167),0)</f>
        <v>-49000000000</v>
      </c>
      <c r="AO167" s="950">
        <f>ROUND(SUMIFS('A5.Consol FY24'!L:L,'A5.Consol FY24'!M:M,"EY",'A5.Consol FY24'!N:N,"Posted",'A5.Consol FY24'!B:B,'A0.LS'!$AO$5,'A5.Consol FY24'!F:F,'A0.LS'!E167),0)</f>
        <v>0</v>
      </c>
      <c r="AP167" s="949">
        <f>ROUND(SUM(AN167:AO167),0)</f>
        <v>-49000000000</v>
      </c>
      <c r="AQ167" s="930"/>
      <c r="AR167" s="936">
        <f>ROUND(SUMIFS('TB.XH.FY24'!I:I,'TB.XH.FY24'!J:J,'A0.LS'!E167),0)</f>
        <v>0</v>
      </c>
      <c r="AS167" s="936">
        <f>ROUND(SUMIFS('A5.CTC FY24'!K:K,'A5.CTC FY24'!E:E,'A0.LS'!E167,'A5.CTC FY24'!A:A,'A0.LS'!$AS$5,'A5.CTC FY24'!L:L,"EY",'A5.CTC FY24'!M:M,"Posted"),0)</f>
        <v>0</v>
      </c>
      <c r="AT167" s="948">
        <f>ROUND(SUM(AR167:AS167),0)</f>
        <v>0</v>
      </c>
      <c r="AU167" s="930"/>
      <c r="AV167" s="951">
        <f>ROUND(SUM(AP167,AL167,L167),0)</f>
        <v>-53500000000</v>
      </c>
      <c r="AW167" s="952">
        <f>SUMIFS('A5.Consol FY24'!L:L,'A5.Consol FY24'!B:B,'A0.LS'!$AW$5,'A5.Consol FY24'!M:M,"EY",'A5.Consol FY24'!N:N,"Posted",'A5.Consol FY24'!F:F,'A0.LS'!E167)</f>
        <v>4500000000</v>
      </c>
      <c r="AX167" s="951">
        <f>ROUND(SUM(AV167:AW167),0)</f>
        <v>-49000000000</v>
      </c>
      <c r="AY167" s="920"/>
      <c r="AZ167" s="936">
        <f>SUMIFS('TB.CTC.YE22'!Q:Q,'TB.CTC.YE22'!A:A,'A0.LS'!E167)</f>
        <v>0</v>
      </c>
      <c r="BA167" s="936">
        <f>ROUND(SUMIFS('A5.YE22'!J:J,'A5.YE22'!K:K,'A0.LS'!$BA$5,'A5.YE22'!L:L,"Posted",'A5.YE22'!D:D,'A0.LS'!E167),0)</f>
        <v>0</v>
      </c>
      <c r="BB167" s="936">
        <f>ROUND(SUM(AZ167:BA167),0)</f>
        <v>0</v>
      </c>
      <c r="BC167" s="937"/>
      <c r="BD167" s="936">
        <f>ROUND(SUMIFS('TB.VNSC.YE22'!L:L,'TB.VNSC.YE22'!A:A,'A0.LS'!E167),0)</f>
        <v>0</v>
      </c>
      <c r="BE167" s="936">
        <f>ROUND(SUMIFS('A5.YE22'!J:J,'A5.YE22'!K:K,'A0.LS'!$BE$5,'A5.YE22'!L:L,"Posted",'A5.YE22'!D:D,'A0.LS'!E167),0)</f>
        <v>0</v>
      </c>
      <c r="BF167" s="936">
        <f>ROUND(SUM(BD167:BE167),0)</f>
        <v>0</v>
      </c>
      <c r="BG167" s="937"/>
      <c r="BH167" s="936">
        <f>ROUND(SUMIFS('TB.XH.YE22'!P:P,'TB.XH.YE22'!A:A,'A0.LS'!E167),0)</f>
        <v>0</v>
      </c>
      <c r="BI167" s="936">
        <f>ROUND(SUMIFS('A5.YE22'!J:J,'A5.YE22'!K:K,"XH",'A5.YE22'!L:L,"Posted",'A5.YE22'!D:D,'A0.LS'!E167),0)</f>
        <v>0</v>
      </c>
      <c r="BJ167" s="936">
        <f>ROUND(SUM(BH167:BI167),0)</f>
        <v>0</v>
      </c>
      <c r="BK167" s="937"/>
      <c r="BL167" s="936">
        <f>ROUND(SUMIFS('TB.KCG.YE22'!P:P,'TB.KCG.YE22'!A:A,'A0.LS'!E167),0)</f>
        <v>0</v>
      </c>
      <c r="BM167" s="936">
        <f>ROUND(SUMIFS('A5.YE22'!J:J,'A5.YE22'!K:K,'A0.LS'!$BM$5,'A5.YE22'!L:L,"Posted",'A5.YE22'!D:D,'A0.LS'!E167),0)</f>
        <v>0</v>
      </c>
      <c r="BN167" s="936">
        <f>ROUND(SUM(BL167:BM167),0)</f>
        <v>0</v>
      </c>
      <c r="BO167" s="937"/>
      <c r="BP167" s="938">
        <f>ROUND(SUM(Q167,BB167,BF167,BJ167,BN167),0)</f>
        <v>0</v>
      </c>
      <c r="BQ167" s="938">
        <f>ROUND(SUMIFS('A5.YE22'!J:J,'A5.YE22'!K:K,'A0.LS'!$BQ$5,'A5.YE22'!L:L,"Posted",'A5.YE22'!D:D,'A0.LS'!E167),0)</f>
        <v>0</v>
      </c>
      <c r="BR167" s="938">
        <f>ROUND(SUM(BP167:BQ167),0)</f>
        <v>0</v>
      </c>
      <c r="BS167" s="850"/>
      <c r="BT167" s="850"/>
    </row>
    <row r="168" spans="2:72" ht="12.75">
      <c r="B168" s="925"/>
      <c r="C168" s="926"/>
      <c r="D168" s="927"/>
      <c r="E168" s="928"/>
      <c r="F168" s="928"/>
      <c r="G168" s="928"/>
      <c r="H168" s="927"/>
      <c r="I168" s="929"/>
      <c r="J168" s="929"/>
      <c r="K168" s="929"/>
      <c r="L168" s="929"/>
      <c r="M168" s="930"/>
      <c r="N168" s="931"/>
      <c r="O168" s="931"/>
      <c r="P168" s="931"/>
      <c r="Q168" s="932"/>
      <c r="R168" s="898"/>
      <c r="S168" s="850"/>
      <c r="T168" s="850"/>
      <c r="U168" s="850"/>
      <c r="V168" s="850"/>
      <c r="W168" s="850"/>
      <c r="X168" s="947" t="s">
        <v>2227</v>
      </c>
      <c r="Y168" s="933"/>
      <c r="Z168" s="934"/>
      <c r="AA168" s="934"/>
      <c r="AB168" s="934"/>
      <c r="AC168" s="934"/>
      <c r="AD168" s="930"/>
      <c r="AE168" s="934"/>
      <c r="AF168" s="934"/>
      <c r="AG168" s="934"/>
      <c r="AH168" s="934"/>
      <c r="AI168" s="930"/>
      <c r="AJ168" s="934"/>
      <c r="AK168" s="934"/>
      <c r="AL168" s="934"/>
      <c r="AM168" s="930"/>
      <c r="AN168" s="935"/>
      <c r="AO168" s="935"/>
      <c r="AP168" s="935"/>
      <c r="AQ168" s="930"/>
      <c r="AR168" s="934"/>
      <c r="AS168" s="934"/>
      <c r="AT168" s="934"/>
      <c r="AU168" s="930"/>
      <c r="AV168" s="909"/>
      <c r="AW168" s="909"/>
      <c r="AX168" s="909"/>
      <c r="AY168" s="920"/>
      <c r="AZ168" s="936"/>
      <c r="BA168" s="936"/>
      <c r="BB168" s="936"/>
      <c r="BC168" s="937"/>
      <c r="BD168" s="936"/>
      <c r="BE168" s="936"/>
      <c r="BF168" s="936"/>
      <c r="BG168" s="937"/>
      <c r="BH168" s="936"/>
      <c r="BI168" s="936"/>
      <c r="BJ168" s="936"/>
      <c r="BK168" s="937"/>
      <c r="BL168" s="936"/>
      <c r="BM168" s="936"/>
      <c r="BN168" s="936"/>
      <c r="BO168" s="937"/>
      <c r="BP168" s="938"/>
      <c r="BQ168" s="938"/>
      <c r="BR168" s="938"/>
      <c r="BS168" s="850"/>
      <c r="BT168" s="850"/>
    </row>
    <row r="169" spans="2:72" s="1" customFormat="1" ht="12.75">
      <c r="B169" s="293"/>
      <c r="C169" s="294"/>
      <c r="D169" s="295"/>
      <c r="E169" s="75"/>
      <c r="F169" s="75" t="s">
        <v>2370</v>
      </c>
      <c r="G169" s="75"/>
      <c r="H169" s="295"/>
      <c r="I169" s="68">
        <f>SUM(I170:I177)</f>
        <v>-407876062601</v>
      </c>
      <c r="J169" s="68">
        <f>SUM(J170:J177)</f>
        <v>-30436257</v>
      </c>
      <c r="K169" s="68">
        <f>SUM(K170:K177)</f>
        <v>20236173072</v>
      </c>
      <c r="L169" s="68">
        <f>SUM(L170:L177)</f>
        <v>-387670325786</v>
      </c>
      <c r="M169" s="296"/>
      <c r="N169" s="69">
        <f>SUM(N170:N177)</f>
        <v>-84117327046</v>
      </c>
      <c r="O169" s="69">
        <f>SUM(O170:O177)</f>
        <v>1149996666</v>
      </c>
      <c r="P169" s="69">
        <f>SUM(P170:P177)</f>
        <v>-302896693289</v>
      </c>
      <c r="Q169" s="70">
        <f>SUM(Q170:Q177)</f>
        <v>-385864023669</v>
      </c>
      <c r="R169" s="298"/>
      <c r="S169" s="175">
        <f t="shared" ref="S169:S177" si="98">L169-Q169</f>
        <v>-1806302117</v>
      </c>
      <c r="T169" s="176">
        <f t="shared" ref="T169:T177" si="99">IFERROR(S169/Q169,"To check")</f>
        <v>4.6811882067281643E-3</v>
      </c>
      <c r="X169" s="947" t="s">
        <v>2227</v>
      </c>
      <c r="Y169" s="304"/>
      <c r="Z169" s="235">
        <f>SUM(Z170:Z177)</f>
        <v>-182179336577</v>
      </c>
      <c r="AA169" s="235">
        <f>SUM(AA170:AA177)</f>
        <v>600000</v>
      </c>
      <c r="AB169" s="235">
        <f>SUM(AB170:AB177)</f>
        <v>25717389728</v>
      </c>
      <c r="AC169" s="235">
        <f>SUM(AC170:AC177)</f>
        <v>-156461346849</v>
      </c>
      <c r="AD169" s="236"/>
      <c r="AE169" s="235">
        <f>SUM(AE170:AE177)</f>
        <v>-277984636249</v>
      </c>
      <c r="AF169" s="235">
        <f>SUM(AF170:AF177)</f>
        <v>0</v>
      </c>
      <c r="AG169" s="235">
        <f>SUM(AG170:AG177)</f>
        <v>549161594</v>
      </c>
      <c r="AH169" s="235">
        <f>SUM(AH170:AH177)</f>
        <v>-277435474655</v>
      </c>
      <c r="AI169" s="236"/>
      <c r="AJ169" s="235">
        <f>SUM(AJ170:AJ177)</f>
        <v>-11903389</v>
      </c>
      <c r="AK169" s="235">
        <f>SUM(AK170:AK177)</f>
        <v>0</v>
      </c>
      <c r="AL169" s="235">
        <f>SUM(AL170:AL177)</f>
        <v>-11903389</v>
      </c>
      <c r="AM169" s="236"/>
      <c r="AN169" s="237">
        <f>SUM(AN170:AN177)</f>
        <v>-438017381420</v>
      </c>
      <c r="AO169" s="237">
        <f>SUM(AO170:AO177)</f>
        <v>71401518530</v>
      </c>
      <c r="AP169" s="237">
        <f>SUM(AP170:AP177)</f>
        <v>-366615862890</v>
      </c>
      <c r="AQ169" s="236"/>
      <c r="AR169" s="235">
        <f>SUM(AR170:AR177)</f>
        <v>-4851587630</v>
      </c>
      <c r="AS169" s="235">
        <f>SUM(AS170:AS177)</f>
        <v>731027714</v>
      </c>
      <c r="AT169" s="235">
        <f>SUM(AT170:AT177)</f>
        <v>-4120559916</v>
      </c>
      <c r="AU169" s="236"/>
      <c r="AV169" s="238">
        <f>SUM(AV170:AV177)</f>
        <v>-754298092065</v>
      </c>
      <c r="AW169" s="238">
        <f>SUM(AW170:AW177)</f>
        <v>370579914059</v>
      </c>
      <c r="AX169" s="238">
        <f>SUM(AX170:AX177)</f>
        <v>-383718178006</v>
      </c>
      <c r="AY169" s="614"/>
      <c r="AZ169" s="235">
        <f>SUM(AZ170:AZ177)</f>
        <v>-180519695104</v>
      </c>
      <c r="BA169" s="235">
        <f>SUM(BA170:BA177)</f>
        <v>36508333</v>
      </c>
      <c r="BB169" s="235">
        <f>SUM(BB170:BB177)</f>
        <v>-180483186771</v>
      </c>
      <c r="BC169" s="236"/>
      <c r="BD169" s="235">
        <f>SUM(BD170:BD177)</f>
        <v>-297043753161</v>
      </c>
      <c r="BE169" s="235">
        <f>SUM(BE170:BE177)</f>
        <v>0</v>
      </c>
      <c r="BF169" s="235">
        <f>SUM(BF170:BF177)</f>
        <v>-297043753161</v>
      </c>
      <c r="BG169" s="236"/>
      <c r="BH169" s="235">
        <f>SUM(BH170:BH177)</f>
        <v>-66972078</v>
      </c>
      <c r="BI169" s="235">
        <f>SUM(BI170:BI177)</f>
        <v>0</v>
      </c>
      <c r="BJ169" s="235">
        <f>SUM(BJ170:BJ177)</f>
        <v>-66972078</v>
      </c>
      <c r="BK169" s="236"/>
      <c r="BL169" s="235">
        <f>SUM(BL170:BL177)</f>
        <v>-19842717</v>
      </c>
      <c r="BM169" s="235">
        <f>SUM(BM170:BM177)</f>
        <v>0</v>
      </c>
      <c r="BN169" s="235">
        <f>SUM(BN170:BN177)</f>
        <v>-19842717</v>
      </c>
      <c r="BO169" s="236"/>
      <c r="BP169" s="443">
        <f>SUM(BP170:BP177)</f>
        <v>-787451779727</v>
      </c>
      <c r="BQ169" s="443">
        <f>SUM(BQ170:BQ177)</f>
        <v>401584761183</v>
      </c>
      <c r="BR169" s="443">
        <f>SUM(BR170:BR177)</f>
        <v>-385867018544</v>
      </c>
    </row>
    <row r="170" spans="2:72" ht="12.75">
      <c r="B170" s="939">
        <v>411</v>
      </c>
      <c r="C170" s="940"/>
      <c r="D170" s="927"/>
      <c r="E170" s="928" t="s">
        <v>207</v>
      </c>
      <c r="F170" s="928" t="s">
        <v>208</v>
      </c>
      <c r="G170" s="927" t="s">
        <v>2371</v>
      </c>
      <c r="H170" s="927" t="s">
        <v>675</v>
      </c>
      <c r="I170" s="942">
        <f>SUMIFS('TB.CTy Me.FY2024'!I:I,'TB.CTy Me.FY2024'!A:A,'A0.LS'!E170)</f>
        <v>-102116430000</v>
      </c>
      <c r="J170" s="942">
        <f>ROUND(SUMIFS('A5.FY24'!K:K,'A5.FY24'!E:E,'A0.LS'!E170,'A5.FY24'!L:L,"Finhay",'A5.FY24'!M:M,"Posted"),0)</f>
        <v>0</v>
      </c>
      <c r="K170" s="942">
        <f>ROUND(SUMIFS('A5.FY24'!K:K,'A5.FY24'!E:E,'A0.LS'!E170,'A5.FY24'!L:L,"EY",'A5.FY24'!M:M,"Posted"),0)</f>
        <v>0</v>
      </c>
      <c r="L170" s="943">
        <f t="shared" ref="L170:L177" si="100">ROUND(SUM(I170:K170),0)</f>
        <v>-102116430000</v>
      </c>
      <c r="M170" s="930"/>
      <c r="N170" s="944">
        <f>SUMIFS('TB.CTM.YE23'!I:I,'TB.CTM.YE23'!A:A,'A0.LS'!E170)</f>
        <v>-102116430000</v>
      </c>
      <c r="O170" s="944">
        <v>0</v>
      </c>
      <c r="P170" s="944">
        <v>0</v>
      </c>
      <c r="Q170" s="945">
        <f t="shared" ref="Q170:Q177" si="101">ROUND(SUM(N170:P170),0)</f>
        <v>-102116430000</v>
      </c>
      <c r="R170" s="898"/>
      <c r="S170" s="848">
        <f t="shared" si="98"/>
        <v>0</v>
      </c>
      <c r="T170" s="946">
        <f t="shared" si="99"/>
        <v>0</v>
      </c>
      <c r="U170" s="850"/>
      <c r="V170" s="850">
        <v>0</v>
      </c>
      <c r="W170" s="850"/>
      <c r="X170" s="947" t="s">
        <v>2227</v>
      </c>
      <c r="Y170" s="947" t="s">
        <v>2371</v>
      </c>
      <c r="Z170" s="936">
        <f>ROUND(SUMIFS('TB.Cty Con.FY24'!I:I,'TB.Cty Con.FY24'!A:A,'A0.LS'!E170),0)</f>
        <v>-440000000000</v>
      </c>
      <c r="AA170" s="936">
        <f>ROUND(SUMIFS('A5.CTC FY24'!K:K,'A5.CTC FY24'!E:E,'A0.LS'!E170,'A5.CTC FY24'!A:A,'A0.LS'!$AA$5,'A5.CTC FY24'!L:L,"Finhay",'A5.CTC FY24'!M:M,"Posted"),0)</f>
        <v>0</v>
      </c>
      <c r="AB170" s="936">
        <f>ROUND(SUMIFS('A5.CTC FY24'!K:K,'A5.CTC FY24'!E:E,'A0.LS'!E170,'A5.CTC FY24'!A:A,'A0.LS'!$AB$5,'A5.CTC FY24'!L:L,"EY",'A5.CTC FY24'!M:M,"Posted"),0)</f>
        <v>0</v>
      </c>
      <c r="AC170" s="948">
        <f t="shared" ref="AC170:AC177" si="102">ROUND(SUM(Z170:AB170),0)</f>
        <v>-440000000000</v>
      </c>
      <c r="AD170" s="930"/>
      <c r="AE170" s="936">
        <f>ROUND(SUMIFS('TB VNSC FY24'!M:M,'TB VNSC FY24'!N:N,'A0.LS'!E170),0)</f>
        <v>-558599980000</v>
      </c>
      <c r="AF170" s="936">
        <f>SUMIFS('A5.CTC FY24'!K:K,'A5.CTC FY24'!E:E,'A0.LS'!E170,'A5.CTC FY24'!A:A,"VNSC",'A5.CTC FY24'!L:L,"VNSC",'A5.CTC FY24'!M:M,"Posted")</f>
        <v>0</v>
      </c>
      <c r="AG170" s="936">
        <f>ROUND(SUMIFS('A5.CTC FY24'!K:K,'A5.CTC FY24'!E:E,'A0.LS'!E170,'A5.CTC FY24'!A:A,"VNSC",'A5.CTC FY24'!L:L,"EY",'A5.CTC FY24'!M:M,"Posted"),0)</f>
        <v>0</v>
      </c>
      <c r="AH170" s="936">
        <f t="shared" ref="AH170:AH177" si="103">ROUND(SUM(AE170:AG170),0)</f>
        <v>-558599980000</v>
      </c>
      <c r="AI170" s="930"/>
      <c r="AJ170" s="936">
        <f>SUMIFS('TB.KCG.FY24'!I:I,'TB.KCG.FY24'!A:A,'A0.LS'!E170)</f>
        <v>-20000000</v>
      </c>
      <c r="AK170" s="936">
        <f>ROUND(SUMIFS('A5.CTC FY24'!K:K,'A5.CTC FY24'!E:E,'A0.LS'!E170,'A5.CTC FY24'!A:A,'A0.LS'!$AK$5,'A5.CTC FY24'!L:L,"EY",'A5.CTC FY24'!M:M,"Posted"),0)</f>
        <v>0</v>
      </c>
      <c r="AL170" s="948">
        <f t="shared" ref="AL170:AL177" si="104">ROUND(SUM(AJ170:AK170),0)</f>
        <v>-20000000</v>
      </c>
      <c r="AM170" s="930"/>
      <c r="AN170" s="949">
        <f t="shared" ref="AN170:AN177" si="105">ROUND(SUM(AT170,AH170,AC170),0)</f>
        <v>-1003499980000</v>
      </c>
      <c r="AO170" s="950">
        <f>ROUND(SUMIFS('A5.Consol FY24'!L:L,'A5.Consol FY24'!M:M,"EY",'A5.Consol FY24'!N:N,"Posted",'A5.Consol FY24'!B:B,'A0.LS'!$AO$5,'A5.Consol FY24'!F:F,'A0.LS'!E170),0)</f>
        <v>563499980000</v>
      </c>
      <c r="AP170" s="949">
        <f>ROUND(SUM(AN170:AO170),0)</f>
        <v>-440000000000</v>
      </c>
      <c r="AQ170" s="930"/>
      <c r="AR170" s="936">
        <f>ROUND(SUMIFS('TB.XH.FY24'!I:I,'TB.XH.FY24'!J:J,'A0.LS'!E170),0)</f>
        <v>-4900000000</v>
      </c>
      <c r="AS170" s="936">
        <f>ROUND(SUMIFS('A5.CTC FY24'!K:K,'A5.CTC FY24'!A:A,'A0.LS'!$AS$5,'A5.CTC FY24'!L:L,"EY",'A5.CTC FY24'!M:M,"Posted"),0)</f>
        <v>0</v>
      </c>
      <c r="AT170" s="948">
        <f t="shared" ref="AT170:AT177" si="106">ROUND(SUM(AR170:AS170),0)</f>
        <v>-4900000000</v>
      </c>
      <c r="AU170" s="930"/>
      <c r="AV170" s="951">
        <f t="shared" ref="AV170:AV177" si="107">ROUND(SUM(AP170,AL170,L170),0)</f>
        <v>-542136430000</v>
      </c>
      <c r="AW170" s="952">
        <f>SUMIFS('A5.Consol FY24'!L:L,'A5.Consol FY24'!B:B,'A0.LS'!$AW$5,'A5.Consol FY24'!M:M,"EY",'A5.Consol FY24'!N:N,"Posted",'A5.Consol FY24'!F:F,'A0.LS'!E170)</f>
        <v>440020000000</v>
      </c>
      <c r="AX170" s="951">
        <f t="shared" ref="AX170:AX177" si="108">ROUND(SUM(AV170:AW170),0)</f>
        <v>-102116430000</v>
      </c>
      <c r="AY170" s="969">
        <f>AP170-AC170</f>
        <v>0</v>
      </c>
      <c r="AZ170" s="936">
        <f>SUMIFS('TB.CTC.YE22'!Q:Q,'TB.CTC.YE22'!A:A,'A0.LS'!E170)</f>
        <v>-440000000000</v>
      </c>
      <c r="BA170" s="936">
        <f>ROUND(SUMIFS('A5.YE22'!J:J,'A5.YE22'!K:K,'A0.LS'!$BA$5,'A5.YE22'!L:L,"Posted",'A5.YE22'!D:D,'A0.LS'!E170),0)</f>
        <v>0</v>
      </c>
      <c r="BB170" s="936">
        <f t="shared" ref="BB170:BB177" si="109">ROUND(SUM(AZ170:BA170),0)</f>
        <v>-440000000000</v>
      </c>
      <c r="BC170" s="937"/>
      <c r="BD170" s="936">
        <f>ROUND(SUMIFS('TB.VNSC.YE22'!L:L,'TB.VNSC.YE22'!A:A,'A0.LS'!E170),0)</f>
        <v>-558599980000</v>
      </c>
      <c r="BE170" s="936">
        <f>ROUND(SUMIFS('A5.YE22'!J:J,'A5.YE22'!K:K,'A0.LS'!$BE$5,'A5.YE22'!L:L,"Posted",'A5.YE22'!D:D,'A0.LS'!E170),0)</f>
        <v>0</v>
      </c>
      <c r="BF170" s="936">
        <f t="shared" ref="BF170:BF177" si="110">ROUND(SUM(BD170:BE170),0)</f>
        <v>-558599980000</v>
      </c>
      <c r="BG170" s="937"/>
      <c r="BH170" s="936">
        <f>ROUND(SUMIFS('TB.XH.YE22'!P:P,'TB.XH.YE22'!A:A,'A0.LS'!E170),0)</f>
        <v>-100000000</v>
      </c>
      <c r="BI170" s="936">
        <f>ROUND(SUMIFS('A5.YE22'!J:J,'A5.YE22'!K:K,"XH",'A5.YE22'!L:L,"Posted",'A5.YE22'!D:D,'A0.LS'!E170),0)</f>
        <v>0</v>
      </c>
      <c r="BJ170" s="936">
        <f t="shared" ref="BJ170:BJ177" si="111">ROUND(SUM(BH170:BI170),0)</f>
        <v>-100000000</v>
      </c>
      <c r="BK170" s="937"/>
      <c r="BL170" s="936">
        <f>ROUND(SUMIFS('TB.KCG.YE22'!P:P,'TB.KCG.YE22'!A:A,'A0.LS'!E170),0)</f>
        <v>-20000000</v>
      </c>
      <c r="BM170" s="936">
        <f>ROUND(SUMIFS('A5.YE22'!J:J,'A5.YE22'!K:K,'A0.LS'!$BM$5,'A5.YE22'!L:L,"Posted",'A5.YE22'!D:D,'A0.LS'!E170),0)</f>
        <v>0</v>
      </c>
      <c r="BN170" s="936">
        <f t="shared" ref="BN170:BN177" si="112">ROUND(SUM(BL170:BM170),0)</f>
        <v>-20000000</v>
      </c>
      <c r="BO170" s="937"/>
      <c r="BP170" s="938">
        <v>-542136430000</v>
      </c>
      <c r="BQ170" s="938">
        <v>440020000000</v>
      </c>
      <c r="BR170" s="938">
        <f t="shared" ref="BR170:BR177" si="113">ROUND(SUM(BP170:BQ170),0)</f>
        <v>-102116430000</v>
      </c>
      <c r="BS170" s="850"/>
      <c r="BT170" s="850"/>
    </row>
    <row r="171" spans="2:72" ht="12.75">
      <c r="B171" s="939">
        <v>411</v>
      </c>
      <c r="C171" s="940"/>
      <c r="D171" s="927"/>
      <c r="E171" s="928" t="s">
        <v>209</v>
      </c>
      <c r="F171" s="928" t="s">
        <v>210</v>
      </c>
      <c r="G171" s="927" t="s">
        <v>2371</v>
      </c>
      <c r="H171" s="927" t="s">
        <v>675</v>
      </c>
      <c r="I171" s="942">
        <f>SUMIFS('TB.CTy Me.FY2024'!I:I,'TB.CTy Me.FY2024'!A:A,'A0.LS'!E171)</f>
        <v>-32524680000</v>
      </c>
      <c r="J171" s="942">
        <f>ROUND(SUMIFS('A5.FY24'!K:K,'A5.FY24'!E:E,'A0.LS'!E171,'A5.FY24'!L:L,"Finhay",'A5.FY24'!M:M,"Posted"),0)</f>
        <v>0</v>
      </c>
      <c r="K171" s="942">
        <f>ROUND(SUMIFS('A5.FY24'!K:K,'A5.FY24'!E:E,'A0.LS'!E171,'A5.FY24'!L:L,"EY",'A5.FY24'!M:M,"Posted"),0)</f>
        <v>0</v>
      </c>
      <c r="L171" s="943">
        <f t="shared" si="100"/>
        <v>-32524680000</v>
      </c>
      <c r="M171" s="930"/>
      <c r="N171" s="944">
        <f>SUMIFS('TB.CTM.YE23'!I:I,'TB.CTM.YE23'!A:A,'A0.LS'!E171)</f>
        <v>-32524680000</v>
      </c>
      <c r="O171" s="944">
        <v>0</v>
      </c>
      <c r="P171" s="944">
        <v>0</v>
      </c>
      <c r="Q171" s="945">
        <f t="shared" si="101"/>
        <v>-32524680000</v>
      </c>
      <c r="R171" s="898"/>
      <c r="S171" s="848">
        <f t="shared" si="98"/>
        <v>0</v>
      </c>
      <c r="T171" s="946">
        <f t="shared" si="99"/>
        <v>0</v>
      </c>
      <c r="U171" s="850"/>
      <c r="V171" s="850">
        <v>0</v>
      </c>
      <c r="W171" s="850"/>
      <c r="X171" s="947" t="s">
        <v>675</v>
      </c>
      <c r="Y171" s="947" t="s">
        <v>2371</v>
      </c>
      <c r="Z171" s="936">
        <f>ROUND(SUMIFS('TB.Cty Con.FY24'!I:I,'TB.Cty Con.FY24'!A:A,'A0.LS'!E171),0)</f>
        <v>0</v>
      </c>
      <c r="AA171" s="936">
        <f>ROUND(SUMIFS('A5.CTC FY24'!K:K,'A5.CTC FY24'!E:E,'A0.LS'!E171,'A5.CTC FY24'!A:A,'A0.LS'!$AA$5,'A5.CTC FY24'!L:L,"Finhay",'A5.CTC FY24'!M:M,"Posted"),0)</f>
        <v>0</v>
      </c>
      <c r="AB171" s="936">
        <f>ROUND(SUMIFS('A5.CTC FY24'!K:K,'A5.CTC FY24'!E:E,'A0.LS'!E171,'A5.CTC FY24'!A:A,'A0.LS'!$AB$5,'A5.CTC FY24'!L:L,"EY",'A5.CTC FY24'!M:M,"Posted"),0)</f>
        <v>0</v>
      </c>
      <c r="AC171" s="948">
        <f t="shared" si="102"/>
        <v>0</v>
      </c>
      <c r="AD171" s="930"/>
      <c r="AE171" s="936">
        <f>ROUND(SUMIFS('TB VNSC FY24'!M:M,'TB VNSC FY24'!N:N,'A0.LS'!E171),0)</f>
        <v>0</v>
      </c>
      <c r="AF171" s="936">
        <f>SUMIFS('A5.CTC FY24'!K:K,'A5.CTC FY24'!E:E,'A0.LS'!E171,'A5.CTC FY24'!A:A,"VNSC",'A5.CTC FY24'!L:L,"VNSC",'A5.CTC FY24'!M:M,"Posted")</f>
        <v>0</v>
      </c>
      <c r="AG171" s="936">
        <f>ROUND(SUMIFS('A5.CTC FY24'!K:K,'A5.CTC FY24'!E:E,'A0.LS'!E171,'A5.CTC FY24'!A:A,"VNSC",'A5.CTC FY24'!L:L,"EY",'A5.CTC FY24'!M:M,"Posted"),0)</f>
        <v>0</v>
      </c>
      <c r="AH171" s="936">
        <f t="shared" si="103"/>
        <v>0</v>
      </c>
      <c r="AI171" s="930"/>
      <c r="AJ171" s="936">
        <f>SUMIFS('TB.KCG.FY24'!I:I,'TB.KCG.FY24'!A:A,'A0.LS'!E171)</f>
        <v>0</v>
      </c>
      <c r="AK171" s="936">
        <f>ROUND(SUMIFS('A5.CTC FY24'!K:K,'A5.CTC FY24'!E:E,'A0.LS'!E171,'A5.CTC FY24'!A:A,'A0.LS'!$AK$5,'A5.CTC FY24'!L:L,"EY",'A5.CTC FY24'!M:M,"Posted"),0)</f>
        <v>0</v>
      </c>
      <c r="AL171" s="948">
        <f t="shared" si="104"/>
        <v>0</v>
      </c>
      <c r="AM171" s="930"/>
      <c r="AN171" s="949">
        <f t="shared" si="105"/>
        <v>0</v>
      </c>
      <c r="AO171" s="950">
        <f>ROUND(SUMIFS('A5.Consol FY24'!L:L,'A5.Consol FY24'!M:M,"EY",'A5.Consol FY24'!N:N,"Posted",'A5.Consol FY24'!B:B,'A0.LS'!$AO$5,'A5.Consol FY24'!F:F,'A0.LS'!E171),0)</f>
        <v>0</v>
      </c>
      <c r="AP171" s="949">
        <f t="shared" ref="AP171:AP177" si="114">ROUND(SUM(AN171:AO171),0)</f>
        <v>0</v>
      </c>
      <c r="AQ171" s="930"/>
      <c r="AR171" s="936">
        <f>ROUND(SUMIFS('TB.XH.FY24'!I:I,'TB.XH.FY24'!J:J,'A0.LS'!E171),0)</f>
        <v>0</v>
      </c>
      <c r="AS171" s="936">
        <f>ROUND(SUMIFS('A5.CTC FY24'!K:K,'A5.CTC FY24'!E:E,'A0.LS'!E171,'A5.CTC FY24'!A:A,'A0.LS'!$AS$5,'A5.CTC FY24'!L:L,"EY",'A5.CTC FY24'!M:M,"Posted"),0)</f>
        <v>0</v>
      </c>
      <c r="AT171" s="948">
        <f t="shared" si="106"/>
        <v>0</v>
      </c>
      <c r="AU171" s="930"/>
      <c r="AV171" s="951">
        <f t="shared" si="107"/>
        <v>-32524680000</v>
      </c>
      <c r="AW171" s="952">
        <f>SUMIFS('A5.Consol FY24'!L:L,'A5.Consol FY24'!B:B,'A0.LS'!$AW$5,'A5.Consol FY24'!M:M,"EY",'A5.Consol FY24'!N:N,"Posted",'A5.Consol FY24'!F:F,'A0.LS'!E171)</f>
        <v>0</v>
      </c>
      <c r="AX171" s="951">
        <f t="shared" si="108"/>
        <v>-32524680000</v>
      </c>
      <c r="AY171" s="920"/>
      <c r="AZ171" s="936">
        <f>SUMIFS('TB.CTC.YE22'!Q:Q,'TB.CTC.YE22'!A:A,'A0.LS'!E171)</f>
        <v>0</v>
      </c>
      <c r="BA171" s="936">
        <f>ROUND(SUMIFS('A5.YE22'!J:J,'A5.YE22'!K:K,'A0.LS'!$BA$5,'A5.YE22'!L:L,"Posted",'A5.YE22'!D:D,'A0.LS'!E171),0)</f>
        <v>0</v>
      </c>
      <c r="BB171" s="936">
        <f t="shared" si="109"/>
        <v>0</v>
      </c>
      <c r="BC171" s="937"/>
      <c r="BD171" s="936">
        <f>ROUND(SUMIFS('TB.VNSC.YE22'!L:L,'TB.VNSC.YE22'!A:A,'A0.LS'!E171),0)</f>
        <v>0</v>
      </c>
      <c r="BE171" s="936">
        <f>ROUND(SUMIFS('A5.YE22'!J:J,'A5.YE22'!K:K,'A0.LS'!$BE$5,'A5.YE22'!L:L,"Posted",'A5.YE22'!D:D,'A0.LS'!E171),0)</f>
        <v>0</v>
      </c>
      <c r="BF171" s="936">
        <f t="shared" si="110"/>
        <v>0</v>
      </c>
      <c r="BG171" s="937"/>
      <c r="BH171" s="936">
        <f>ROUND(SUMIFS('TB.XH.YE22'!P:P,'TB.XH.YE22'!A:A,'A0.LS'!E171),0)</f>
        <v>0</v>
      </c>
      <c r="BI171" s="936">
        <f>ROUND(SUMIFS('A5.YE22'!J:J,'A5.YE22'!K:K,"XH",'A5.YE22'!L:L,"Posted",'A5.YE22'!D:D,'A0.LS'!E171),0)</f>
        <v>0</v>
      </c>
      <c r="BJ171" s="936">
        <f t="shared" si="111"/>
        <v>0</v>
      </c>
      <c r="BK171" s="937"/>
      <c r="BL171" s="936">
        <f>ROUND(SUMIFS('TB.KCG.YE22'!P:P,'TB.KCG.YE22'!A:A,'A0.LS'!E171),0)</f>
        <v>0</v>
      </c>
      <c r="BM171" s="936">
        <f>ROUND(SUMIFS('A5.YE22'!J:J,'A5.YE22'!K:K,'A0.LS'!$BM$5,'A5.YE22'!L:L,"Posted",'A5.YE22'!D:D,'A0.LS'!E171),0)</f>
        <v>0</v>
      </c>
      <c r="BN171" s="936">
        <f t="shared" si="112"/>
        <v>0</v>
      </c>
      <c r="BO171" s="937"/>
      <c r="BP171" s="938">
        <v>-32524680000</v>
      </c>
      <c r="BQ171" s="938">
        <v>0</v>
      </c>
      <c r="BR171" s="938">
        <f t="shared" si="113"/>
        <v>-32524680000</v>
      </c>
      <c r="BS171" s="850"/>
      <c r="BT171" s="850"/>
    </row>
    <row r="172" spans="2:72" ht="12.75">
      <c r="B172" s="939">
        <v>412</v>
      </c>
      <c r="C172" s="940"/>
      <c r="D172" s="927"/>
      <c r="E172" s="928" t="s">
        <v>211</v>
      </c>
      <c r="F172" s="928" t="s">
        <v>212</v>
      </c>
      <c r="G172" s="927" t="s">
        <v>2371</v>
      </c>
      <c r="H172" s="927" t="s">
        <v>675</v>
      </c>
      <c r="I172" s="942">
        <f>SUMIFS('TB.CTy Me.FY2024'!I:I,'TB.CTy Me.FY2024'!A:A,'A0.LS'!E172)</f>
        <v>-515310808868</v>
      </c>
      <c r="J172" s="942">
        <f>ROUND(SUMIFS('A5.FY24'!K:K,'A5.FY24'!E:E,'A0.LS'!E172,'A5.FY24'!L:L,"Finhay",'A5.FY24'!M:M,"Posted"),0)</f>
        <v>0</v>
      </c>
      <c r="K172" s="942">
        <f>ROUND(SUMIFS('A5.FY24'!K:K,'A5.FY24'!E:E,'A0.LS'!E172,'A5.FY24'!L:L,"EY",'A5.FY24'!M:M,"Posted"),0)</f>
        <v>0</v>
      </c>
      <c r="L172" s="943">
        <f t="shared" si="100"/>
        <v>-515310808868</v>
      </c>
      <c r="M172" s="930"/>
      <c r="N172" s="944">
        <f>SUMIFS('TB.CTM.YE23'!I:I,'TB.CTM.YE23'!A:A,'A0.LS'!E172)</f>
        <v>-515310808868</v>
      </c>
      <c r="O172" s="944">
        <v>0</v>
      </c>
      <c r="P172" s="944">
        <v>0</v>
      </c>
      <c r="Q172" s="945">
        <f t="shared" si="101"/>
        <v>-515310808868</v>
      </c>
      <c r="R172" s="898"/>
      <c r="S172" s="848">
        <f t="shared" si="98"/>
        <v>0</v>
      </c>
      <c r="T172" s="946">
        <f t="shared" si="99"/>
        <v>0</v>
      </c>
      <c r="U172" s="850"/>
      <c r="V172" s="850">
        <v>0</v>
      </c>
      <c r="W172" s="850"/>
      <c r="X172" s="947" t="s">
        <v>675</v>
      </c>
      <c r="Y172" s="947" t="s">
        <v>2371</v>
      </c>
      <c r="Z172" s="936">
        <f>ROUND(SUMIFS('TB.Cty Con.FY24'!I:I,'TB.Cty Con.FY24'!A:A,'A0.LS'!E172),0)</f>
        <v>0</v>
      </c>
      <c r="AA172" s="936">
        <f>ROUND(SUMIFS('A5.CTC FY24'!K:K,'A5.CTC FY24'!E:E,'A0.LS'!E172,'A5.CTC FY24'!A:A,'A0.LS'!$AA$5,'A5.CTC FY24'!L:L,"Finhay",'A5.CTC FY24'!M:M,"Posted"),0)</f>
        <v>0</v>
      </c>
      <c r="AB172" s="936">
        <f>ROUND(SUMIFS('A5.CTC FY24'!K:K,'A5.CTC FY24'!E:E,'A0.LS'!E172,'A5.CTC FY24'!A:A,'A0.LS'!$AB$5,'A5.CTC FY24'!L:L,"EY",'A5.CTC FY24'!M:M,"Posted"),0)</f>
        <v>0</v>
      </c>
      <c r="AC172" s="948">
        <f t="shared" si="102"/>
        <v>0</v>
      </c>
      <c r="AD172" s="930"/>
      <c r="AE172" s="936">
        <f>ROUND(SUMIFS('TB VNSC FY24'!M:M,'TB VNSC FY24'!N:N,'A0.LS'!E172),0)</f>
        <v>0</v>
      </c>
      <c r="AF172" s="936">
        <f>SUMIFS('A5.CTC FY24'!K:K,'A5.CTC FY24'!E:E,'A0.LS'!E172,'A5.CTC FY24'!A:A,"VNSC",'A5.CTC FY24'!L:L,"VNSC",'A5.CTC FY24'!M:M,"Posted")</f>
        <v>0</v>
      </c>
      <c r="AG172" s="936">
        <f>ROUND(SUMIFS('A5.CTC FY24'!K:K,'A5.CTC FY24'!E:E,'A0.LS'!E172,'A5.CTC FY24'!A:A,"VNSC",'A5.CTC FY24'!L:L,"EY",'A5.CTC FY24'!M:M,"Posted"),0)</f>
        <v>0</v>
      </c>
      <c r="AH172" s="936">
        <f t="shared" si="103"/>
        <v>0</v>
      </c>
      <c r="AI172" s="930"/>
      <c r="AJ172" s="936">
        <f>SUMIFS('TB.KCG.FY24'!I:I,'TB.KCG.FY24'!A:A,'A0.LS'!E172)</f>
        <v>0</v>
      </c>
      <c r="AK172" s="936">
        <f>ROUND(SUMIFS('A5.CTC FY24'!K:K,'A5.CTC FY24'!E:E,'A0.LS'!E172,'A5.CTC FY24'!A:A,'A0.LS'!$AK$5,'A5.CTC FY24'!L:L,"EY",'A5.CTC FY24'!M:M,"Posted"),0)</f>
        <v>0</v>
      </c>
      <c r="AL172" s="948">
        <f t="shared" si="104"/>
        <v>0</v>
      </c>
      <c r="AM172" s="930"/>
      <c r="AN172" s="949">
        <f t="shared" si="105"/>
        <v>0</v>
      </c>
      <c r="AO172" s="950">
        <f>ROUND(SUMIFS('A5.Consol FY24'!L:L,'A5.Consol FY24'!M:M,"EY",'A5.Consol FY24'!N:N,"Posted",'A5.Consol FY24'!B:B,'A0.LS'!$AO$5,'A5.Consol FY24'!F:F,'A0.LS'!E172),0)</f>
        <v>0</v>
      </c>
      <c r="AP172" s="949">
        <f t="shared" si="114"/>
        <v>0</v>
      </c>
      <c r="AQ172" s="930"/>
      <c r="AR172" s="936">
        <f>ROUND(SUMIFS('TB.XH.FY24'!I:I,'TB.XH.FY24'!J:J,'A0.LS'!E172),0)</f>
        <v>0</v>
      </c>
      <c r="AS172" s="936">
        <f>ROUND(SUMIFS('A5.CTC FY24'!K:K,'A5.CTC FY24'!E:E,'A0.LS'!E172,'A5.CTC FY24'!A:A,'A0.LS'!$AS$5,'A5.CTC FY24'!L:L,"EY",'A5.CTC FY24'!M:M,"Posted"),0)</f>
        <v>0</v>
      </c>
      <c r="AT172" s="948">
        <f t="shared" si="106"/>
        <v>0</v>
      </c>
      <c r="AU172" s="930"/>
      <c r="AV172" s="951">
        <f t="shared" si="107"/>
        <v>-515310808868</v>
      </c>
      <c r="AW172" s="952">
        <f>SUMIFS('A5.Consol FY24'!L:L,'A5.Consol FY24'!B:B,'A0.LS'!$AW$5,'A5.Consol FY24'!M:M,"EY",'A5.Consol FY24'!N:N,"Posted",'A5.Consol FY24'!F:F,'A0.LS'!E172)</f>
        <v>0</v>
      </c>
      <c r="AX172" s="951">
        <f t="shared" si="108"/>
        <v>-515310808868</v>
      </c>
      <c r="AY172" s="920"/>
      <c r="AZ172" s="936">
        <f>SUMIFS('TB.CTC.YE22'!Q:Q,'TB.CTC.YE22'!A:A,'A0.LS'!E172)</f>
        <v>0</v>
      </c>
      <c r="BA172" s="936">
        <f>ROUND(SUMIFS('A5.YE22'!J:J,'A5.YE22'!K:K,'A0.LS'!$BA$5,'A5.YE22'!L:L,"Posted",'A5.YE22'!D:D,'A0.LS'!E172),0)</f>
        <v>0</v>
      </c>
      <c r="BB172" s="936">
        <f t="shared" si="109"/>
        <v>0</v>
      </c>
      <c r="BC172" s="937"/>
      <c r="BD172" s="936">
        <f>ROUND(SUMIFS('TB.VNSC.YE22'!L:L,'TB.VNSC.YE22'!A:A,'A0.LS'!E172),0)</f>
        <v>0</v>
      </c>
      <c r="BE172" s="936">
        <f>ROUND(SUMIFS('A5.YE22'!J:J,'A5.YE22'!K:K,'A0.LS'!$BE$5,'A5.YE22'!L:L,"Posted",'A5.YE22'!D:D,'A0.LS'!E172),0)</f>
        <v>0</v>
      </c>
      <c r="BF172" s="936">
        <f t="shared" si="110"/>
        <v>0</v>
      </c>
      <c r="BG172" s="937"/>
      <c r="BH172" s="936">
        <f>ROUND(SUMIFS('TB.XH.YE22'!P:P,'TB.XH.YE22'!A:A,'A0.LS'!E172),0)</f>
        <v>0</v>
      </c>
      <c r="BI172" s="936">
        <f>ROUND(SUMIFS('A5.YE22'!J:J,'A5.YE22'!K:K,"XH",'A5.YE22'!L:L,"Posted",'A5.YE22'!D:D,'A0.LS'!E172),0)</f>
        <v>0</v>
      </c>
      <c r="BJ172" s="936">
        <f t="shared" si="111"/>
        <v>0</v>
      </c>
      <c r="BK172" s="937"/>
      <c r="BL172" s="936">
        <f>ROUND(SUMIFS('TB.KCG.YE22'!P:P,'TB.KCG.YE22'!A:A,'A0.LS'!E172),0)</f>
        <v>0</v>
      </c>
      <c r="BM172" s="936">
        <f>ROUND(SUMIFS('A5.YE22'!J:J,'A5.YE22'!K:K,'A0.LS'!$BM$5,'A5.YE22'!L:L,"Posted",'A5.YE22'!D:D,'A0.LS'!E172),0)</f>
        <v>0</v>
      </c>
      <c r="BN172" s="936">
        <f t="shared" si="112"/>
        <v>0</v>
      </c>
      <c r="BO172" s="937"/>
      <c r="BP172" s="938">
        <v>-515310808868</v>
      </c>
      <c r="BQ172" s="938">
        <v>0</v>
      </c>
      <c r="BR172" s="938">
        <f t="shared" si="113"/>
        <v>-515310808868</v>
      </c>
      <c r="BS172" s="850"/>
      <c r="BT172" s="850"/>
    </row>
    <row r="173" spans="2:72" ht="12.75">
      <c r="B173" s="970" t="s">
        <v>2372</v>
      </c>
      <c r="C173" s="940"/>
      <c r="D173" s="927"/>
      <c r="E173" s="954" t="s">
        <v>1201</v>
      </c>
      <c r="F173" s="928" t="s">
        <v>2373</v>
      </c>
      <c r="G173" s="927" t="s">
        <v>2371</v>
      </c>
      <c r="H173" s="927" t="s">
        <v>675</v>
      </c>
      <c r="I173" s="942">
        <f>SUMIFS('TB.CTy Me.FY2024'!I:I,'TB.CTy Me.FY2024'!A:A,'A0.LS'!E173)</f>
        <v>0</v>
      </c>
      <c r="J173" s="942">
        <f>ROUND(SUMIFS('A5.FY24'!K:K,'A5.FY24'!E:E,'A0.LS'!E173,'A5.FY24'!L:L,"Finhay",'A5.FY24'!M:M,"Posted"),0)</f>
        <v>0</v>
      </c>
      <c r="K173" s="942">
        <f>ROUND(SUMIFS('A5.FY24'!K:K,'A5.FY24'!E:E,'A0.LS'!E173,'A5.FY24'!L:L,"EY",'A5.FY24'!M:M,"Posted"),0)</f>
        <v>0</v>
      </c>
      <c r="L173" s="943">
        <f t="shared" si="100"/>
        <v>0</v>
      </c>
      <c r="M173" s="930"/>
      <c r="N173" s="944">
        <f>SUMIFS('TB.CTM.YE23'!I:I,'TB.CTM.YE23'!A:A,'A0.LS'!E173)</f>
        <v>0</v>
      </c>
      <c r="O173" s="944">
        <v>0</v>
      </c>
      <c r="P173" s="944">
        <v>0</v>
      </c>
      <c r="Q173" s="945">
        <f t="shared" si="101"/>
        <v>0</v>
      </c>
      <c r="R173" s="898"/>
      <c r="S173" s="848">
        <f t="shared" si="98"/>
        <v>0</v>
      </c>
      <c r="T173" s="946" t="str">
        <f t="shared" si="99"/>
        <v>To check</v>
      </c>
      <c r="U173" s="850"/>
      <c r="V173" s="850"/>
      <c r="W173" s="850"/>
      <c r="X173" s="947" t="s">
        <v>675</v>
      </c>
      <c r="Y173" s="947" t="s">
        <v>2371</v>
      </c>
      <c r="Z173" s="936">
        <f>ROUND(SUMIFS('TB.Cty Con.FY24'!I:I,'TB.Cty Con.FY24'!A:A,'A0.LS'!E173),0)</f>
        <v>0</v>
      </c>
      <c r="AA173" s="936">
        <f>ROUND(SUMIFS('A5.CTC FY24'!K:K,'A5.CTC FY24'!E:E,'A0.LS'!E173,'A5.CTC FY24'!A:A,'A0.LS'!$AA$5,'A5.CTC FY24'!L:L,"Finhay",'A5.CTC FY24'!M:M,"Posted"),0)</f>
        <v>0</v>
      </c>
      <c r="AB173" s="936">
        <f>ROUND(SUMIFS('A5.CTC FY24'!K:K,'A5.CTC FY24'!E:E,'A0.LS'!E173,'A5.CTC FY24'!A:A,'A0.LS'!$AB$5,'A5.CTC FY24'!L:L,"EY",'A5.CTC FY24'!M:M,"Posted"),0)</f>
        <v>0</v>
      </c>
      <c r="AC173" s="948">
        <f t="shared" si="102"/>
        <v>0</v>
      </c>
      <c r="AD173" s="930"/>
      <c r="AE173" s="936">
        <f>ROUND(SUMIFS('TB VNSC FY24'!M:M,'TB VNSC FY24'!N:N,'A0.LS'!E173),0)</f>
        <v>-254998000</v>
      </c>
      <c r="AF173" s="936">
        <f>SUMIFS('A5.CTC FY24'!K:K,'A5.CTC FY24'!E:E,'A0.LS'!E173,'A5.CTC FY24'!A:A,"VNSC",'A5.CTC FY24'!L:L,"VNSC",'A5.CTC FY24'!M:M,"Posted")</f>
        <v>0</v>
      </c>
      <c r="AG173" s="936">
        <f>ROUND(SUMIFS('A5.CTC FY24'!K:K,'A5.CTC FY24'!E:E,'A0.LS'!E173,'A5.CTC FY24'!A:A,"VNSC",'A5.CTC FY24'!L:L,"EY",'A5.CTC FY24'!M:M,"Posted"),0)</f>
        <v>0</v>
      </c>
      <c r="AH173" s="936">
        <f t="shared" si="103"/>
        <v>-254998000</v>
      </c>
      <c r="AI173" s="930"/>
      <c r="AJ173" s="936">
        <f>SUMIFS('TB.KCG.FY24'!I:I,'TB.KCG.FY24'!A:A,'A0.LS'!E173)</f>
        <v>0</v>
      </c>
      <c r="AK173" s="936">
        <f>ROUND(SUMIFS('A5.CTC FY24'!K:K,'A5.CTC FY24'!E:E,'A0.LS'!E173,'A5.CTC FY24'!A:A,'A0.LS'!$AK$5,'A5.CTC FY24'!L:L,"EY",'A5.CTC FY24'!M:M,"Posted"),0)</f>
        <v>0</v>
      </c>
      <c r="AL173" s="948">
        <f t="shared" si="104"/>
        <v>0</v>
      </c>
      <c r="AM173" s="930"/>
      <c r="AN173" s="949">
        <f t="shared" si="105"/>
        <v>-254998000</v>
      </c>
      <c r="AO173" s="950">
        <f>ROUND(SUMIFS('A5.Consol FY24'!L:L,'A5.Consol FY24'!M:M,"EY",'A5.Consol FY24'!N:N,"Posted",'A5.Consol FY24'!B:B,'A0.LS'!$AO$5,'A5.Consol FY24'!F:F,'A0.LS'!E173),0)</f>
        <v>254998000</v>
      </c>
      <c r="AP173" s="949">
        <f t="shared" si="114"/>
        <v>0</v>
      </c>
      <c r="AQ173" s="930"/>
      <c r="AR173" s="936">
        <f>ROUND(SUMIFS('TB.XH.FY24'!I:I,'TB.XH.FY24'!J:J,'A0.LS'!E173),0)</f>
        <v>0</v>
      </c>
      <c r="AS173" s="936">
        <f>ROUND(SUMIFS('A5.CTC FY24'!K:K,'A5.CTC FY24'!E:E,'A0.LS'!E173,'A5.CTC FY24'!A:A,'A0.LS'!$AS$5,'A5.CTC FY24'!L:L,"EY",'A5.CTC FY24'!M:M,"Posted"),0)</f>
        <v>0</v>
      </c>
      <c r="AT173" s="948">
        <f t="shared" si="106"/>
        <v>0</v>
      </c>
      <c r="AU173" s="930"/>
      <c r="AV173" s="951">
        <f t="shared" si="107"/>
        <v>0</v>
      </c>
      <c r="AW173" s="952">
        <f>SUMIFS('A5.Consol FY24'!L:L,'A5.Consol FY24'!B:B,'A0.LS'!$AW$5,'A5.Consol FY24'!M:M,"EY",'A5.Consol FY24'!N:N,"Posted",'A5.Consol FY24'!F:F,'A0.LS'!E173)</f>
        <v>0</v>
      </c>
      <c r="AX173" s="951">
        <f t="shared" si="108"/>
        <v>0</v>
      </c>
      <c r="AY173" s="920"/>
      <c r="AZ173" s="936">
        <f>SUMIFS('TB.CTC.YE22'!Q:Q,'TB.CTC.YE22'!A:A,'A0.LS'!E173)</f>
        <v>0</v>
      </c>
      <c r="BA173" s="936">
        <f>ROUND(SUMIFS('A5.YE22'!J:J,'A5.YE22'!K:K,'A0.LS'!$BA$5,'A5.YE22'!L:L,"Posted",'A5.YE22'!D:D,'A0.LS'!E173),0)</f>
        <v>0</v>
      </c>
      <c r="BB173" s="936">
        <f t="shared" si="109"/>
        <v>0</v>
      </c>
      <c r="BC173" s="937"/>
      <c r="BD173" s="936">
        <f>ROUND(SUMIFS('TB.VNSC.YE22'!L:L,'TB.VNSC.YE22'!A:A,'A0.LS'!E173),0)</f>
        <v>-254998000</v>
      </c>
      <c r="BE173" s="936">
        <f>ROUND(SUMIFS('A5.YE22'!J:J,'A5.YE22'!K:K,'A0.LS'!$BE$5,'A5.YE22'!L:L,"Posted",'A5.YE22'!D:D,'A0.LS'!E173),0)</f>
        <v>0</v>
      </c>
      <c r="BF173" s="936">
        <f t="shared" si="110"/>
        <v>-254998000</v>
      </c>
      <c r="BG173" s="937"/>
      <c r="BH173" s="936">
        <f>ROUND(SUMIFS('TB.XH.YE22'!P:P,'TB.XH.YE22'!A:A,'A0.LS'!E173),0)</f>
        <v>0</v>
      </c>
      <c r="BI173" s="936">
        <f>ROUND(SUMIFS('A5.YE22'!J:J,'A5.YE22'!K:K,"XH",'A5.YE22'!L:L,"Posted",'A5.YE22'!D:D,'A0.LS'!E173),0)</f>
        <v>0</v>
      </c>
      <c r="BJ173" s="936">
        <f t="shared" si="111"/>
        <v>0</v>
      </c>
      <c r="BK173" s="937"/>
      <c r="BL173" s="936">
        <f>ROUND(SUMIFS('TB.KCG.YE22'!P:P,'TB.KCG.YE22'!A:A,'A0.LS'!E173),0)</f>
        <v>0</v>
      </c>
      <c r="BM173" s="936">
        <f>ROUND(SUMIFS('A5.YE22'!J:J,'A5.YE22'!K:K,'A0.LS'!$BM$5,'A5.YE22'!L:L,"Posted",'A5.YE22'!D:D,'A0.LS'!E173),0)</f>
        <v>0</v>
      </c>
      <c r="BN173" s="936">
        <f t="shared" si="112"/>
        <v>0</v>
      </c>
      <c r="BO173" s="937"/>
      <c r="BP173" s="938">
        <v>0</v>
      </c>
      <c r="BQ173" s="938">
        <v>0</v>
      </c>
      <c r="BR173" s="938">
        <f t="shared" si="113"/>
        <v>0</v>
      </c>
      <c r="BS173" s="850"/>
      <c r="BT173" s="850"/>
    </row>
    <row r="174" spans="2:72" ht="12.75">
      <c r="B174" s="970" t="s">
        <v>2372</v>
      </c>
      <c r="C174" s="940"/>
      <c r="D174" s="927"/>
      <c r="E174" s="954" t="s">
        <v>2372</v>
      </c>
      <c r="F174" s="928" t="s">
        <v>2374</v>
      </c>
      <c r="G174" s="927" t="s">
        <v>2371</v>
      </c>
      <c r="H174" s="927" t="s">
        <v>675</v>
      </c>
      <c r="I174" s="942">
        <f>SUMIFS('TB.CTy Me.FY2024'!I:I,'TB.CTy Me.FY2024'!A:A,'A0.LS'!E174)</f>
        <v>0</v>
      </c>
      <c r="J174" s="942">
        <f>ROUND(SUMIFS('A5.FY24'!K:K,'A5.FY24'!E:E,'A0.LS'!E174,'A5.FY24'!L:L,"Finhay",'A5.FY24'!M:M,"Posted"),0)</f>
        <v>0</v>
      </c>
      <c r="K174" s="942">
        <f>ROUND(SUMIFS('A5.FY24'!K:K,'A5.FY24'!E:E,'A0.LS'!E174,'A5.FY24'!L:L,"EY",'A5.FY24'!M:M,"Posted"),0)</f>
        <v>0</v>
      </c>
      <c r="L174" s="943">
        <f t="shared" si="100"/>
        <v>0</v>
      </c>
      <c r="M174" s="930"/>
      <c r="N174" s="944">
        <f>SUMIFS('TB.CTM.YE23'!I:I,'TB.CTM.YE23'!A:A,'A0.LS'!E174)</f>
        <v>0</v>
      </c>
      <c r="O174" s="944">
        <v>0</v>
      </c>
      <c r="P174" s="944">
        <v>0</v>
      </c>
      <c r="Q174" s="945">
        <f t="shared" si="101"/>
        <v>0</v>
      </c>
      <c r="R174" s="898"/>
      <c r="S174" s="848">
        <f t="shared" si="98"/>
        <v>0</v>
      </c>
      <c r="T174" s="946" t="str">
        <f t="shared" si="99"/>
        <v>To check</v>
      </c>
      <c r="U174" s="850"/>
      <c r="V174" s="850"/>
      <c r="W174" s="850"/>
      <c r="X174" s="947" t="s">
        <v>675</v>
      </c>
      <c r="Y174" s="947" t="s">
        <v>2371</v>
      </c>
      <c r="Z174" s="936">
        <f>ROUND(SUMIFS('TB.Cty Con.FY24'!I:I,'TB.Cty Con.FY24'!A:A,'A0.LS'!E174),0)</f>
        <v>0</v>
      </c>
      <c r="AA174" s="936">
        <f>ROUND(SUMIFS('A5.CTC FY24'!K:K,'A5.CTC FY24'!E:E,'A0.LS'!E174,'A5.CTC FY24'!A:A,'A0.LS'!$AA$5,'A5.CTC FY24'!L:L,"Finhay",'A5.CTC FY24'!M:M,"Posted"),0)</f>
        <v>0</v>
      </c>
      <c r="AB174" s="936">
        <f>ROUND(SUMIFS('A5.CTC FY24'!K:K,'A5.CTC FY24'!E:E,'A0.LS'!E174,'A5.CTC FY24'!A:A,'A0.LS'!$AB$5,'A5.CTC FY24'!L:L,"EY",'A5.CTC FY24'!M:M,"Posted"),0)</f>
        <v>0</v>
      </c>
      <c r="AC174" s="948">
        <f t="shared" si="102"/>
        <v>0</v>
      </c>
      <c r="AD174" s="930"/>
      <c r="AE174" s="936">
        <f>ROUND(SUMIFS('TB VNSC FY24'!M:M,'TB VNSC FY24'!N:N,'A0.LS'!E174),0)</f>
        <v>0</v>
      </c>
      <c r="AF174" s="936">
        <f>SUMIFS('A5.CTC FY24'!K:K,'A5.CTC FY24'!E:E,'A0.LS'!E174,'A5.CTC FY24'!A:A,"VNSC",'A5.CTC FY24'!L:L,"VNSC",'A5.CTC FY24'!M:M,"Posted")</f>
        <v>0</v>
      </c>
      <c r="AG174" s="936">
        <f>ROUND(SUMIFS('A5.CTC FY24'!K:K,'A5.CTC FY24'!E:E,'A0.LS'!E174,'A5.CTC FY24'!A:A,"VNSC",'A5.CTC FY24'!L:L,"EY",'A5.CTC FY24'!M:M,"Posted"),0)</f>
        <v>0</v>
      </c>
      <c r="AH174" s="936">
        <f t="shared" si="103"/>
        <v>0</v>
      </c>
      <c r="AI174" s="930"/>
      <c r="AJ174" s="936">
        <f>SUMIFS('TB.KCG.FY24'!I:I,'TB.KCG.FY24'!A:A,'A0.LS'!E174)</f>
        <v>0</v>
      </c>
      <c r="AK174" s="936">
        <f>ROUND(SUMIFS('A5.CTC FY24'!K:K,'A5.CTC FY24'!E:E,'A0.LS'!E174,'A5.CTC FY24'!A:A,'A0.LS'!$AK$5,'A5.CTC FY24'!L:L,"EY",'A5.CTC FY24'!M:M,"Posted"),0)</f>
        <v>0</v>
      </c>
      <c r="AL174" s="948">
        <f t="shared" si="104"/>
        <v>0</v>
      </c>
      <c r="AM174" s="930"/>
      <c r="AN174" s="949">
        <f t="shared" si="105"/>
        <v>0</v>
      </c>
      <c r="AO174" s="950">
        <f>ROUND(SUMIFS('A5.Consol FY24'!L:L,'A5.Consol FY24'!M:M,"EY",'A5.Consol FY24'!N:N,"Posted",'A5.Consol FY24'!B:B,'A0.LS'!$AO$5,'A5.Consol FY24'!F:F,'A0.LS'!E174),0)</f>
        <v>0</v>
      </c>
      <c r="AP174" s="949">
        <f t="shared" si="114"/>
        <v>0</v>
      </c>
      <c r="AQ174" s="930"/>
      <c r="AR174" s="936">
        <f>ROUND(SUMIFS('TB.XH.FY24'!I:I,'TB.XH.FY24'!J:J,'A0.LS'!E174),0)</f>
        <v>0</v>
      </c>
      <c r="AS174" s="936">
        <f>ROUND(SUMIFS('A5.CTC FY24'!K:K,'A5.CTC FY24'!E:E,'A0.LS'!E174,'A5.CTC FY24'!A:A,'A0.LS'!$AS$5,'A5.CTC FY24'!L:L,"EY",'A5.CTC FY24'!M:M,"Posted"),0)</f>
        <v>0</v>
      </c>
      <c r="AT174" s="948">
        <f t="shared" si="106"/>
        <v>0</v>
      </c>
      <c r="AU174" s="930"/>
      <c r="AV174" s="951">
        <f t="shared" si="107"/>
        <v>0</v>
      </c>
      <c r="AW174" s="952">
        <f>SUMIFS('A5.Consol FY24'!L:L,'A5.Consol FY24'!B:B,'A0.LS'!$AW$5,'A5.Consol FY24'!M:M,"EY",'A5.Consol FY24'!N:N,"Posted",'A5.Consol FY24'!F:F,'A0.LS'!E174)</f>
        <v>0</v>
      </c>
      <c r="AX174" s="951">
        <f t="shared" si="108"/>
        <v>0</v>
      </c>
      <c r="AY174" s="920"/>
      <c r="AZ174" s="936">
        <f>SUMIFS('TB.CTC.YE22'!Q:Q,'TB.CTC.YE22'!A:A,'A0.LS'!E174)</f>
        <v>0</v>
      </c>
      <c r="BA174" s="936">
        <f>ROUND(SUMIFS('A5.YE22'!J:J,'A5.YE22'!K:K,'A0.LS'!$BA$5,'A5.YE22'!L:L,"Posted",'A5.YE22'!D:D,'A0.LS'!E174),0)</f>
        <v>0</v>
      </c>
      <c r="BB174" s="936">
        <f t="shared" si="109"/>
        <v>0</v>
      </c>
      <c r="BC174" s="937"/>
      <c r="BD174" s="936">
        <f>ROUND(SUMIFS('TB.VNSC.YE22'!L:L,'TB.VNSC.YE22'!A:A,'A0.LS'!E174),0)</f>
        <v>0</v>
      </c>
      <c r="BE174" s="936">
        <f>ROUND(SUMIFS('A5.YE22'!J:J,'A5.YE22'!K:K,'A0.LS'!$BE$5,'A5.YE22'!L:L,"Posted",'A5.YE22'!D:D,'A0.LS'!E174),0)</f>
        <v>0</v>
      </c>
      <c r="BF174" s="936">
        <f t="shared" si="110"/>
        <v>0</v>
      </c>
      <c r="BG174" s="937"/>
      <c r="BH174" s="936">
        <f>ROUND(SUMIFS('TB.XH.YE22'!P:P,'TB.XH.YE22'!A:A,'A0.LS'!E174),0)</f>
        <v>0</v>
      </c>
      <c r="BI174" s="936">
        <f>ROUND(SUMIFS('A5.YE22'!J:J,'A5.YE22'!K:K,"XH",'A5.YE22'!L:L,"Posted",'A5.YE22'!D:D,'A0.LS'!E174),0)</f>
        <v>0</v>
      </c>
      <c r="BJ174" s="936">
        <f t="shared" si="111"/>
        <v>0</v>
      </c>
      <c r="BK174" s="937"/>
      <c r="BL174" s="936">
        <f>ROUND(SUMIFS('TB.KCG.YE22'!P:P,'TB.KCG.YE22'!A:A,'A0.LS'!E174),0)</f>
        <v>0</v>
      </c>
      <c r="BM174" s="936">
        <f>ROUND(SUMIFS('A5.YE22'!J:J,'A5.YE22'!K:K,'A0.LS'!$BM$5,'A5.YE22'!L:L,"Posted",'A5.YE22'!D:D,'A0.LS'!E174),0)</f>
        <v>0</v>
      </c>
      <c r="BN174" s="936">
        <f t="shared" si="112"/>
        <v>0</v>
      </c>
      <c r="BO174" s="937"/>
      <c r="BP174" s="938">
        <f t="shared" ref="BP174" si="115">ROUND(SUM(Q174,BB174,BF174,BJ174,BN174),0)</f>
        <v>0</v>
      </c>
      <c r="BQ174" s="938">
        <f>ROUND(SUMIFS('A5.YE22'!J:J,'A5.YE22'!K:K,'A0.LS'!$BQ$5,'A5.YE22'!L:L,"Posted",'A5.YE22'!D:D,'A0.LS'!E174),0)</f>
        <v>0</v>
      </c>
      <c r="BR174" s="938">
        <f t="shared" si="113"/>
        <v>0</v>
      </c>
      <c r="BS174" s="850"/>
      <c r="BT174" s="850"/>
    </row>
    <row r="175" spans="2:72" ht="12.75">
      <c r="B175" s="939" t="s">
        <v>1960</v>
      </c>
      <c r="C175" s="940"/>
      <c r="D175" s="927"/>
      <c r="E175" s="928" t="s">
        <v>215</v>
      </c>
      <c r="F175" s="928" t="s">
        <v>216</v>
      </c>
      <c r="G175" s="927" t="s">
        <v>2371</v>
      </c>
      <c r="H175" s="927" t="s">
        <v>675</v>
      </c>
      <c r="I175" s="942">
        <f>SUMIFS('TB.CTy Me.FY2024'!I:I,'TB.CTy Me.FY2024'!A:A,'A0.LS'!E175)</f>
        <v>264087895199</v>
      </c>
      <c r="J175" s="942">
        <f>ROUND(SUMIFS('A5.FY24'!K:K,'A5.FY24'!E:E,'A0.LS'!E175,'A5.FY24'!L:L,"Finhay",'A5.FY24'!M:M,"Posted"),0)</f>
        <v>0</v>
      </c>
      <c r="K175" s="942">
        <f>ROUND(SUMIFS('A5.FY24'!K:K,'A5.FY24'!E:E,'A0.LS'!E175,'A5.FY24'!L:L,"EY",'A5.FY24'!M:M,"Posted"),0)</f>
        <v>0</v>
      </c>
      <c r="L175" s="943">
        <f t="shared" si="100"/>
        <v>264087895199</v>
      </c>
      <c r="M175" s="930"/>
      <c r="N175" s="944">
        <f>SUMIFS('TB.CTM.YE23'!I:I,'TB.CTM.YE23'!A:A,'A0.LS'!E175)</f>
        <v>206961721096</v>
      </c>
      <c r="O175" s="944">
        <v>0</v>
      </c>
      <c r="P175" s="944">
        <v>0</v>
      </c>
      <c r="Q175" s="945">
        <f t="shared" si="101"/>
        <v>206961721096</v>
      </c>
      <c r="R175" s="898"/>
      <c r="S175" s="848">
        <f t="shared" si="98"/>
        <v>57126174103</v>
      </c>
      <c r="T175" s="946">
        <f t="shared" si="99"/>
        <v>0.27602289834312793</v>
      </c>
      <c r="U175" s="850"/>
      <c r="V175" s="850">
        <v>0</v>
      </c>
      <c r="W175" s="850"/>
      <c r="X175" s="933"/>
      <c r="Y175" s="947" t="s">
        <v>2371</v>
      </c>
      <c r="Z175" s="936">
        <f>ROUND(SUMIFS('TB.Cty Con.FY24'!I:I,'TB.Cty Con.FY24'!A:A,'A0.LS'!E175),0)</f>
        <v>258229403592</v>
      </c>
      <c r="AA175" s="936">
        <f>ROUND(SUMIFS('A5.CTC FY24'!K:K,'A5.CTC FY24'!E:E,'A0.LS'!E175,'A5.CTC FY24'!A:A,'A0.LS'!$AA$5,'A5.CTC FY24'!L:L,"Finhay",'A5.CTC FY24'!M:M,"Posted"),0)</f>
        <v>0</v>
      </c>
      <c r="AB175" s="936">
        <f>ROUND(SUMIFS('A5.CTC FY24'!K:K,'A5.CTC FY24'!E:E,'A0.LS'!E175,'A5.CTC FY24'!A:A,'A0.LS'!$AB$5,'A5.CTC FY24'!L:L,"EY",'A5.CTC FY24'!M:M,"Posted"),0)</f>
        <v>3723065792</v>
      </c>
      <c r="AC175" s="948">
        <f>ROUND(SUM(Z175:AB175),0)</f>
        <v>261952469384</v>
      </c>
      <c r="AD175" s="930"/>
      <c r="AE175" s="936">
        <f>ROUND(SUMIFS('TB VNSC FY24'!M:M,'TB VNSC FY24'!N:N,'A0.LS'!E175),0)</f>
        <v>259305681911</v>
      </c>
      <c r="AF175" s="936">
        <f>SUMIFS('A5.CTC FY24'!K:K,'A5.CTC FY24'!E:E,'A0.LS'!E175,'A5.CTC FY24'!A:A,"VNSC",'A5.CTC FY24'!L:L,"VNSC",'A5.CTC FY24'!M:M,"Posted")</f>
        <v>0</v>
      </c>
      <c r="AG175" s="936">
        <f>ROUND(SUMIFS('A5.CTC FY24'!K:K,'A5.CTC FY24'!E:E,'A0.LS'!E175,'A5.CTC FY24'!A:A,"VNSC",'A5.CTC FY24'!L:L,"EY",'A5.CTC FY24'!M:M,"Posted"),0)</f>
        <v>0</v>
      </c>
      <c r="AH175" s="936">
        <f t="shared" si="103"/>
        <v>259305681911</v>
      </c>
      <c r="AI175" s="930"/>
      <c r="AJ175" s="936">
        <f>SUMIFS('TB.KCG.FY24'!I:I,'TB.KCG.FY24'!A:A,'A0.LS'!E175)</f>
        <v>4020500</v>
      </c>
      <c r="AK175" s="936">
        <f>ROUND(SUMIFS('A5.CTC FY24'!K:K,'A5.CTC FY24'!E:E,'A0.LS'!E175,'A5.CTC FY24'!A:A,'A0.LS'!$AK$5,'A5.CTC FY24'!L:L,"EY",'A5.CTC FY24'!M:M,"Posted"),0)</f>
        <v>0</v>
      </c>
      <c r="AL175" s="948">
        <f t="shared" si="104"/>
        <v>4020500</v>
      </c>
      <c r="AM175" s="930"/>
      <c r="AN175" s="949">
        <f>ROUND(SUM(AT175,AH175,AC175),0)</f>
        <v>521311391163</v>
      </c>
      <c r="AO175" s="950">
        <f>ROUND(SUMIFS('A5.Consol FY24'!L:L,'A5.Consol FY24'!M:M,"EY",'A5.Consol FY24'!N:N,"Posted",'A5.Consol FY24'!B:B,'A0.LS'!$AO$5,'A5.Consol FY24'!F:F,'A0.LS'!E175),0)</f>
        <v>-481761903222</v>
      </c>
      <c r="AP175" s="949">
        <f>ROUND(SUM(AN175:AO175),0)</f>
        <v>39549487941</v>
      </c>
      <c r="AQ175" s="930"/>
      <c r="AR175" s="936">
        <f>ROUND(SUMIFS('TB.XH.FY24'!I:I,'TB.XH.FY24'!J:J,'A0.LS'!E175),0)</f>
        <v>53239868</v>
      </c>
      <c r="AS175" s="936">
        <f>ROUND(SUMIFS('A5.CTC FY24'!K:K,'A5.CTC FY24'!E:E,'A0.LS'!E175,'A5.CTC FY24'!A:A,'A0.LS'!$AS$5,'A5.CTC FY24'!L:L,"EY",'A5.CTC FY24'!M:M,"Posted"),0)</f>
        <v>0</v>
      </c>
      <c r="AT175" s="948">
        <f t="shared" si="106"/>
        <v>53239868</v>
      </c>
      <c r="AU175" s="930"/>
      <c r="AV175" s="951">
        <f>ROUND(SUM(AP175,AL175,L175),0)</f>
        <v>303641403640</v>
      </c>
      <c r="AW175" s="952">
        <f>SUMIFS('A5.Consol FY24'!L:L,'A5.Consol FY24'!B:B,'A0.LS'!$AW$5,'A5.Consol FY24'!M:M,"EY",'A5.Consol FY24'!N:N,"Posted",'A5.Consol FY24'!F:F,'A0.LS'!E175)</f>
        <v>-38431230732</v>
      </c>
      <c r="AX175" s="951">
        <f>ROUND(SUM(AV175:AW175),0)</f>
        <v>265210172908</v>
      </c>
      <c r="AY175" s="920"/>
      <c r="AZ175" s="936">
        <f>SUMIFS('TB.CTC.YE22'!Q:Q,'TB.CTC.YE22'!A:A,'A0.LS'!E175)</f>
        <v>133619980800</v>
      </c>
      <c r="BA175" s="936">
        <f>ROUND(SUMIFS('A5.YE22'!J:J,'A5.YE22'!K:K,'A0.LS'!$BA$5,'A5.YE22'!L:L,"Posted",'A5.YE22'!D:D,'A0.LS'!E175),0)</f>
        <v>0</v>
      </c>
      <c r="BB175" s="936">
        <f t="shared" si="109"/>
        <v>133619980800</v>
      </c>
      <c r="BC175" s="937"/>
      <c r="BD175" s="936">
        <f>ROUND(SUMIFS('TB.VNSC.YE22'!L:L,'TB.VNSC.YE22'!A:A,'A0.LS'!E175),0)</f>
        <v>264737846772</v>
      </c>
      <c r="BE175" s="936">
        <f>ROUND(SUMIFS('A5.YE22'!J:J,'A5.YE22'!K:K,'A0.LS'!$BE$5,'A5.YE22'!L:L,"Posted",'A5.YE22'!D:D,'A0.LS'!E175),0)</f>
        <v>0</v>
      </c>
      <c r="BF175" s="936">
        <f t="shared" si="110"/>
        <v>264737846772</v>
      </c>
      <c r="BG175" s="937"/>
      <c r="BH175" s="936">
        <f>ROUND(SUMIFS('TB.XH.YE22'!P:P,'TB.XH.YE22'!A:A,'A0.LS'!E175),0)</f>
        <v>0</v>
      </c>
      <c r="BI175" s="936">
        <f>ROUND(SUMIFS('A5.YE22'!J:J,'A5.YE22'!K:K,"XH",'A5.YE22'!L:L,"Posted",'A5.YE22'!D:D,'A0.LS'!E175),0)</f>
        <v>0</v>
      </c>
      <c r="BJ175" s="936">
        <f t="shared" si="111"/>
        <v>0</v>
      </c>
      <c r="BK175" s="937"/>
      <c r="BL175" s="936">
        <f>ROUND(SUMIFS('TB.KCG.YE22'!P:P,'TB.KCG.YE22'!A:A,'A0.LS'!E175),0)</f>
        <v>0</v>
      </c>
      <c r="BM175" s="936">
        <f>ROUND(SUMIFS('A5.YE22'!J:J,'A5.YE22'!K:K,'A0.LS'!$BM$5,'A5.YE22'!L:L,"Posted",'A5.YE22'!D:D,'A0.LS'!E175),0)</f>
        <v>0</v>
      </c>
      <c r="BN175" s="936">
        <f t="shared" si="112"/>
        <v>0</v>
      </c>
      <c r="BO175" s="937"/>
      <c r="BP175" s="938">
        <v>230069311002</v>
      </c>
      <c r="BQ175" s="938">
        <v>-8848393142</v>
      </c>
      <c r="BR175" s="938">
        <f t="shared" si="113"/>
        <v>221220917860</v>
      </c>
      <c r="BS175" s="850"/>
      <c r="BT175" s="857"/>
    </row>
    <row r="176" spans="2:72" ht="12.75">
      <c r="B176" s="939" t="s">
        <v>1962</v>
      </c>
      <c r="C176" s="940"/>
      <c r="D176" s="927"/>
      <c r="E176" s="928" t="s">
        <v>217</v>
      </c>
      <c r="F176" s="928" t="s">
        <v>218</v>
      </c>
      <c r="G176" s="927" t="s">
        <v>2371</v>
      </c>
      <c r="H176" s="927" t="s">
        <v>675</v>
      </c>
      <c r="I176" s="942">
        <f>SUMIFS('TB.CTy Me.FY2024'!I:I,'TB.CTy Me.FY2024'!A:A,'A0.LS'!E176)</f>
        <v>-22012038932</v>
      </c>
      <c r="J176" s="61">
        <f>ROUND(SUMIFS('A5.FY24'!K:K,'A5.FY24'!E:E,'A0.LS'!E176,'A5.FY24'!L:L,"Finhay",'A5.FY24'!M:M,"Posted"),0)+J358</f>
        <v>-30436257</v>
      </c>
      <c r="K176" s="61">
        <f>ROUND(SUMIFS('A5.FY24'!K:K,'A5.FY24'!E:E,'A0.LS'!E176,'A5.FY24'!L:L,"EY",'A5.FY24'!M:M,"Posted"),0)+K358</f>
        <v>20236173072</v>
      </c>
      <c r="L176" s="943">
        <f t="shared" si="100"/>
        <v>-1806302117</v>
      </c>
      <c r="M176" s="930"/>
      <c r="N176" s="944">
        <f>SUMIFS('TB.CTM.YE23'!I:I,'TB.CTM.YE23'!A:A,'A0.LS'!E176)</f>
        <v>358872870726</v>
      </c>
      <c r="O176" s="61">
        <v>1149996666</v>
      </c>
      <c r="P176" s="61">
        <v>-302896693289</v>
      </c>
      <c r="Q176" s="945">
        <f t="shared" si="101"/>
        <v>57126174103</v>
      </c>
      <c r="R176" s="898"/>
      <c r="S176" s="848">
        <f t="shared" si="98"/>
        <v>-58932476220</v>
      </c>
      <c r="T176" s="946">
        <f t="shared" si="99"/>
        <v>-1.0316195184670198</v>
      </c>
      <c r="U176" s="850"/>
      <c r="V176" s="850">
        <v>0</v>
      </c>
      <c r="W176" s="850"/>
      <c r="X176" s="622"/>
      <c r="Y176" s="947" t="s">
        <v>2371</v>
      </c>
      <c r="Z176" s="936">
        <f>ROUND(SUMIFS('TB.Cty Con.FY24'!I:I,'TB.Cty Con.FY24'!A:A,'A0.LS'!E176),0)</f>
        <v>-408740169</v>
      </c>
      <c r="AA176" s="289">
        <f>ROUND(SUMIFS('A5.CTC FY24'!K:K,'A5.CTC FY24'!E:E,'A0.LS'!E176,'A5.CTC FY24'!A:A,'A0.LS'!$AA$5,'A5.CTC FY24'!L:L,"Finhay",'A5.CTC FY24'!M:M,"Posted"),0)+AA358</f>
        <v>600000</v>
      </c>
      <c r="AB176" s="289">
        <f>ROUND(SUMIFS('A5.CTC FY24'!K:K,'A5.CTC FY24'!E:E,'A0.LS'!E176,'A5.CTC FY24'!A:A,'A0.LS'!$AB$5,'A5.CTC FY24'!L:L,"EY",'A5.CTC FY24'!M:M,"Posted"),0)+AB358</f>
        <v>21994323936</v>
      </c>
      <c r="AC176" s="948">
        <f>ROUND(SUM(Z176:AB176),0)</f>
        <v>21586183767</v>
      </c>
      <c r="AD176" s="930"/>
      <c r="AE176" s="936">
        <f>ROUND(SUMIFS('TB VNSC FY24'!M:M,'TB VNSC FY24'!N:N,'A0.LS'!E176),0)</f>
        <v>21564659840</v>
      </c>
      <c r="AF176" s="289">
        <f>SUMIFS('A5.CTC FY24'!K:K,'A5.CTC FY24'!E:E,'A0.LS'!E176,'A5.CTC FY24'!A:A,"VNSC",'A5.CTC FY24'!L:L,"VNSC",'A5.CTC FY24'!M:M,"Posted")+AF358</f>
        <v>0</v>
      </c>
      <c r="AG176" s="289">
        <f>ROUND(SUMIFS('A5.CTC FY24'!K:K,'A5.CTC FY24'!E:E,'A0.LS'!E176,'A5.CTC FY24'!A:A,"VNSC",'A5.CTC FY24'!L:L,"EY",'A5.CTC FY24'!M:M,"Posted"),0)+AG358</f>
        <v>549161594</v>
      </c>
      <c r="AH176" s="936">
        <f t="shared" si="103"/>
        <v>22113821434</v>
      </c>
      <c r="AI176" s="930"/>
      <c r="AJ176" s="936">
        <f>SUMIFS('TB.KCG.FY24'!I:I,'TB.KCG.FY24'!A:A,'A0.LS'!E176)</f>
        <v>4076111</v>
      </c>
      <c r="AK176" s="289">
        <f>ROUND(SUMIFS('A5.CTC FY24'!K:K,'A5.CTC FY24'!E:E,'A0.LS'!E176,'A5.CTC FY24'!A:A,'A0.LS'!$AK$5,'A5.CTC FY24'!L:L,"EY",'A5.CTC FY24'!M:M,"Posted"),0)+AK358</f>
        <v>0</v>
      </c>
      <c r="AL176" s="948">
        <f t="shared" si="104"/>
        <v>4076111</v>
      </c>
      <c r="AM176" s="930"/>
      <c r="AN176" s="949">
        <f t="shared" si="105"/>
        <v>44426205417</v>
      </c>
      <c r="AO176" s="343">
        <f>ROUND(SUMIFS('A5.Consol FY24'!L:L,'A5.Consol FY24'!M:M,"EY",'A5.Consol FY24'!N:N,"Posted",'A5.Consol FY24'!B:B,'A0.LS'!$AO$5,'A5.Consol FY24'!F:F,'A0.LS'!E176),0)+AO358</f>
        <v>-10202955458</v>
      </c>
      <c r="AP176" s="949">
        <f t="shared" si="114"/>
        <v>34223249959</v>
      </c>
      <c r="AQ176" s="930"/>
      <c r="AR176" s="936">
        <f>ROUND(SUMIFS('TB.XH.FY24'!I:I,'TB.XH.FY24'!J:J,'A0.LS'!E176),0)</f>
        <v>-4827498</v>
      </c>
      <c r="AS176" s="936">
        <f>ROUND(SUMIFS('A5.CTC FY24'!K:K,'A5.CTC FY24'!E:E,'A0.LS'!E176,'A5.CTC FY24'!A:A,'A0.LS'!$AS$5,'A5.CTC FY24'!L:L,"EY",'A5.CTC FY24'!M:M,"Posted"),0)+AS358</f>
        <v>731027714</v>
      </c>
      <c r="AT176" s="948">
        <f t="shared" si="106"/>
        <v>726200216</v>
      </c>
      <c r="AU176" s="930"/>
      <c r="AV176" s="951">
        <f t="shared" si="107"/>
        <v>32421023953</v>
      </c>
      <c r="AW176" s="399">
        <f>SUMIFS('A5.Consol FY24'!L:L,'A5.Consol FY24'!B:B,'A0.LS'!$AW$5,'A5.Consol FY24'!M:M,"EY",'A5.Consol FY24'!N:N,"Posted",'A5.Consol FY24'!F:F,'A0.LS'!E176)+AW358</f>
        <v>-31006871277</v>
      </c>
      <c r="AX176" s="951">
        <f t="shared" si="108"/>
        <v>1414152676</v>
      </c>
      <c r="AY176" s="920"/>
      <c r="AZ176" s="936">
        <f>SUMIFS('TB.CTC.YE22'!Q:Q,'TB.CTC.YE22'!A:A,'A0.LS'!E176)</f>
        <v>125860324096</v>
      </c>
      <c r="BA176" s="936">
        <f>ROUND(SUMIFS('A5.YE22'!J:J,'A5.YE22'!K:K,'A0.LS'!$BA$5,'A5.YE22'!L:L,"Posted",'A5.YE22'!D:D,'A0.LS'!E176),0)+BA358</f>
        <v>36508333</v>
      </c>
      <c r="BB176" s="936">
        <f t="shared" si="109"/>
        <v>125896832429</v>
      </c>
      <c r="BC176" s="937"/>
      <c r="BD176" s="936">
        <f>ROUND(SUMIFS('TB.VNSC.YE22'!L:L,'TB.VNSC.YE22'!A:A,'A0.LS'!E176),0)</f>
        <v>-2926621933</v>
      </c>
      <c r="BE176" s="936">
        <f>ROUND(SUMIFS('A5.YE22'!J:J,'A5.YE22'!K:K,'A0.LS'!$BE$5,'A5.YE22'!L:L,"Posted",'A5.YE22'!D:D,'A0.LS'!E176),0)+BE358</f>
        <v>0</v>
      </c>
      <c r="BF176" s="936">
        <f t="shared" si="110"/>
        <v>-2926621933</v>
      </c>
      <c r="BG176" s="937"/>
      <c r="BH176" s="936">
        <f>ROUND(SUMIFS('TB.XH.YE22'!P:P,'TB.XH.YE22'!A:A,'A0.LS'!E176),0)</f>
        <v>33027922</v>
      </c>
      <c r="BI176" s="936">
        <f>ROUND(SUMIFS('A5.YE22'!J:J,'A5.YE22'!K:K,"XH",'A5.YE22'!L:L,"Posted",'A5.YE22'!D:D,'A0.LS'!E176),0)+BI358</f>
        <v>0</v>
      </c>
      <c r="BJ176" s="936">
        <f t="shared" si="111"/>
        <v>33027922</v>
      </c>
      <c r="BK176" s="937"/>
      <c r="BL176" s="936">
        <f>ROUND(SUMIFS('TB.KCG.YE22'!P:P,'TB.KCG.YE22'!A:A,'A0.LS'!E176),0)</f>
        <v>157283</v>
      </c>
      <c r="BM176" s="936">
        <f>ROUND(SUMIFS('A5.YE22'!J:J,'A5.YE22'!K:K,'A0.LS'!$BM$5,'A5.YE22'!L:L,"Posted",'A5.YE22'!D:D,'A0.LS'!E176),0)</f>
        <v>0</v>
      </c>
      <c r="BN176" s="936">
        <f t="shared" si="112"/>
        <v>157283</v>
      </c>
      <c r="BO176" s="937"/>
      <c r="BP176" s="938">
        <v>73573097763</v>
      </c>
      <c r="BQ176" s="938">
        <v>-29583842714</v>
      </c>
      <c r="BR176" s="938">
        <f t="shared" si="113"/>
        <v>43989255049</v>
      </c>
      <c r="BS176" s="850"/>
      <c r="BT176" s="850"/>
    </row>
    <row r="177" spans="2:70" ht="12.75">
      <c r="B177" s="939">
        <v>429</v>
      </c>
      <c r="C177" s="940"/>
      <c r="D177" s="927"/>
      <c r="E177" s="928" t="s">
        <v>1203</v>
      </c>
      <c r="F177" s="928" t="s">
        <v>2375</v>
      </c>
      <c r="G177" s="927" t="s">
        <v>2371</v>
      </c>
      <c r="H177" s="927" t="s">
        <v>675</v>
      </c>
      <c r="I177" s="942">
        <f>SUMIFS('TB.CTy Me.FY2024'!I:I,'TB.CTy Me.FY2024'!A:A,'A0.LS'!E177)</f>
        <v>0</v>
      </c>
      <c r="J177" s="942">
        <f>ROUND(SUMIFS('A5.FY24'!K:K,'A5.FY24'!E:E,'A0.LS'!E177,'A5.FY24'!L:L,"Finhay",'A5.FY24'!M:M,"Posted"),0)</f>
        <v>0</v>
      </c>
      <c r="K177" s="942">
        <f>ROUND(SUMIFS('A5.FY24'!K:K,'A5.FY24'!E:E,'A0.LS'!E177,'A5.FY24'!L:L,"EY",'A5.FY24'!M:M,"Posted"),0)</f>
        <v>0</v>
      </c>
      <c r="L177" s="943">
        <f t="shared" si="100"/>
        <v>0</v>
      </c>
      <c r="M177" s="930"/>
      <c r="N177" s="944">
        <f>SUMIFS('TB.CTM.YE23'!I:I,'TB.CTM.YE23'!A:A,'A0.LS'!E177)</f>
        <v>0</v>
      </c>
      <c r="O177" s="944">
        <v>0</v>
      </c>
      <c r="P177" s="944">
        <v>0</v>
      </c>
      <c r="Q177" s="945">
        <f t="shared" si="101"/>
        <v>0</v>
      </c>
      <c r="R177" s="898"/>
      <c r="S177" s="848">
        <f t="shared" si="98"/>
        <v>0</v>
      </c>
      <c r="T177" s="946" t="str">
        <f t="shared" si="99"/>
        <v>To check</v>
      </c>
      <c r="U177" s="850"/>
      <c r="V177" s="850"/>
      <c r="W177" s="850"/>
      <c r="X177" s="933"/>
      <c r="Y177" s="947" t="s">
        <v>2371</v>
      </c>
      <c r="Z177" s="936">
        <f>ROUND(SUMIFS('TB.Cty Con.FY24'!I:I,'TB.Cty Con.FY24'!A:A,'A0.LS'!E177),0)</f>
        <v>0</v>
      </c>
      <c r="AA177" s="936">
        <f>ROUND(SUMIFS('A5.CTC FY24'!K:K,'A5.CTC FY24'!E:E,'A0.LS'!E177,'A5.CTC FY24'!A:A,'A0.LS'!$AA$5,'A5.CTC FY24'!L:L,"Finhay",'A5.CTC FY24'!M:M,"Posted"),0)</f>
        <v>0</v>
      </c>
      <c r="AB177" s="936">
        <f>ROUND(SUMIFS('A5.CTC FY24'!K:K,'A5.CTC FY24'!E:E,'A0.LS'!E177,'A5.CTC FY24'!A:A,'A0.LS'!$AB$5,'A5.CTC FY24'!L:L,"EY",'A5.CTC FY24'!M:M,"Posted"),0)</f>
        <v>0</v>
      </c>
      <c r="AC177" s="948">
        <f t="shared" si="102"/>
        <v>0</v>
      </c>
      <c r="AD177" s="930"/>
      <c r="AE177" s="936">
        <f>ROUND(SUMIFS('TB VNSC FY24'!M:M,'TB VNSC FY24'!N:N,'A0.LS'!E177),0)</f>
        <v>0</v>
      </c>
      <c r="AF177" s="936">
        <f>SUMIFS('A5.CTC FY24'!K:K,'A5.CTC FY24'!E:E,'A0.LS'!E177,'A5.CTC FY24'!A:A,"VNSC",'A5.CTC FY24'!L:L,"VNSC",'A5.CTC FY24'!M:M,"Posted")</f>
        <v>0</v>
      </c>
      <c r="AG177" s="936">
        <f>ROUND(SUMIFS('A5.CTC FY24'!K:K,'A5.CTC FY24'!E:E,'A0.LS'!E177,'A5.CTC FY24'!A:A,"VNSC",'A5.CTC FY24'!L:L,"EY",'A5.CTC FY24'!M:M,"Posted"),0)</f>
        <v>0</v>
      </c>
      <c r="AH177" s="936">
        <f t="shared" si="103"/>
        <v>0</v>
      </c>
      <c r="AI177" s="930"/>
      <c r="AJ177" s="936">
        <f>SUMIFS('TB.KCG.FY24'!I:I,'TB.KCG.FY24'!A:A,'A0.LS'!E177)</f>
        <v>0</v>
      </c>
      <c r="AK177" s="936">
        <f>ROUND(SUMIFS('A5.CTC FY24'!K:K,'A5.CTC FY24'!E:E,'A0.LS'!E177,'A5.CTC FY24'!A:A,'A0.LS'!$AK$5,'A5.CTC FY24'!L:L,"EY",'A5.CTC FY24'!M:M,"Posted"),0)</f>
        <v>0</v>
      </c>
      <c r="AL177" s="948">
        <f t="shared" si="104"/>
        <v>0</v>
      </c>
      <c r="AM177" s="930"/>
      <c r="AN177" s="949">
        <f t="shared" si="105"/>
        <v>0</v>
      </c>
      <c r="AO177" s="950">
        <f>ROUND(SUMIFS('A5.Consol FY24'!L:L,'A5.Consol FY24'!M:M,"EY",'A5.Consol FY24'!N:N,"Posted",'A5.Consol FY24'!B:B,'A0.LS'!$AO$5,'A5.Consol FY24'!F:F,'A0.LS'!E177),0)</f>
        <v>-388600790</v>
      </c>
      <c r="AP177" s="949">
        <f t="shared" si="114"/>
        <v>-388600790</v>
      </c>
      <c r="AQ177" s="930"/>
      <c r="AR177" s="936">
        <f>ROUND(SUMIFS('TB.XH.FY24'!I:I,'TB.XH.FY24'!J:J,'A0.LS'!E177),0)</f>
        <v>0</v>
      </c>
      <c r="AS177" s="936">
        <f>ROUND(SUMIFS('A5.CTC FY24'!K:K,'A5.CTC FY24'!E:E,'A0.LS'!E177,'A5.CTC FY24'!A:A,'A0.LS'!$AS$5,'A5.CTC FY24'!L:L,"EY",'A5.CTC FY24'!M:M,"Posted"),0)</f>
        <v>0</v>
      </c>
      <c r="AT177" s="948">
        <f t="shared" si="106"/>
        <v>0</v>
      </c>
      <c r="AU177" s="930"/>
      <c r="AV177" s="951">
        <f t="shared" si="107"/>
        <v>-388600790</v>
      </c>
      <c r="AW177" s="952">
        <f>SUMIFS('A5.Consol FY24'!L:L,'A5.Consol FY24'!B:B,'A0.LS'!$AW$5,'A5.Consol FY24'!M:M,"EY",'A5.Consol FY24'!N:N,"Posted",'A5.Consol FY24'!F:F,'A0.LS'!E177)</f>
        <v>-1983932</v>
      </c>
      <c r="AX177" s="951">
        <f t="shared" si="108"/>
        <v>-390584722</v>
      </c>
      <c r="AY177" s="920"/>
      <c r="AZ177" s="936">
        <f>SUMIFS('TB.CTC.YE22'!Q:Q,'TB.CTC.YE22'!A:A,'A0.LS'!E177)</f>
        <v>0</v>
      </c>
      <c r="BA177" s="936">
        <f>ROUND(SUMIFS('A5.YE22'!J:J,'A5.YE22'!K:K,'A0.LS'!$BA$5,'A5.YE22'!L:L,"Posted",'A5.YE22'!D:D,'A0.LS'!E177),0)</f>
        <v>0</v>
      </c>
      <c r="BB177" s="936">
        <f t="shared" si="109"/>
        <v>0</v>
      </c>
      <c r="BC177" s="937"/>
      <c r="BD177" s="936">
        <f>ROUND(SUMIFS('TB.VNSC.YE22'!L:L,'TB.VNSC.YE22'!A:A,'A0.LS'!E177),0)</f>
        <v>0</v>
      </c>
      <c r="BE177" s="936">
        <f>ROUND(SUMIFS('A5.YE22'!J:J,'A5.YE22'!K:K,'A0.LS'!$BE$5,'A5.YE22'!L:L,"Posted",'A5.YE22'!D:D,'A0.LS'!E177),0)</f>
        <v>0</v>
      </c>
      <c r="BF177" s="936">
        <f t="shared" si="110"/>
        <v>0</v>
      </c>
      <c r="BG177" s="937"/>
      <c r="BH177" s="936">
        <f>ROUND(SUMIFS('TB.XH.YE22'!P:P,'TB.XH.YE22'!A:A,'A0.LS'!E177),0)</f>
        <v>0</v>
      </c>
      <c r="BI177" s="936">
        <f>ROUND(SUMIFS('A5.YE22'!J:J,'A5.YE22'!K:K,"XH",'A5.YE22'!L:L,"Posted",'A5.YE22'!D:D,'A0.LS'!E177),0)</f>
        <v>0</v>
      </c>
      <c r="BJ177" s="936">
        <f t="shared" si="111"/>
        <v>0</v>
      </c>
      <c r="BK177" s="937"/>
      <c r="BL177" s="936">
        <f>ROUND(SUMIFS('TB.KCG.YE22'!P:P,'TB.KCG.YE22'!A:A,'A0.LS'!E177),0)</f>
        <v>0</v>
      </c>
      <c r="BM177" s="936">
        <f>ROUND(SUMIFS('A5.YE22'!J:J,'A5.YE22'!K:K,'A0.LS'!$BM$5,'A5.YE22'!L:L,"Posted",'A5.YE22'!D:D,'A0.LS'!E177),0)</f>
        <v>0</v>
      </c>
      <c r="BN177" s="936">
        <f t="shared" si="112"/>
        <v>0</v>
      </c>
      <c r="BO177" s="937"/>
      <c r="BP177" s="938">
        <v>-1122269624</v>
      </c>
      <c r="BQ177" s="938">
        <v>-3002961</v>
      </c>
      <c r="BR177" s="938">
        <f t="shared" si="113"/>
        <v>-1125272585</v>
      </c>
    </row>
    <row r="178" spans="2:70" ht="12.75">
      <c r="B178" s="925"/>
      <c r="C178" s="926"/>
      <c r="D178" s="927"/>
      <c r="E178" s="928"/>
      <c r="F178" s="928"/>
      <c r="G178" s="928"/>
      <c r="H178" s="927"/>
      <c r="I178" s="929"/>
      <c r="J178" s="929"/>
      <c r="K178" s="929"/>
      <c r="L178" s="929"/>
      <c r="M178" s="930"/>
      <c r="N178" s="931"/>
      <c r="O178" s="931"/>
      <c r="P178" s="931"/>
      <c r="Q178" s="932"/>
      <c r="R178" s="898"/>
      <c r="S178" s="850"/>
      <c r="T178" s="850"/>
      <c r="U178" s="850"/>
      <c r="V178" s="850"/>
      <c r="W178" s="850"/>
      <c r="X178" s="933"/>
      <c r="Y178" s="933"/>
      <c r="Z178" s="934"/>
      <c r="AA178" s="934"/>
      <c r="AB178" s="934"/>
      <c r="AC178" s="934"/>
      <c r="AD178" s="930"/>
      <c r="AE178" s="934"/>
      <c r="AF178" s="934"/>
      <c r="AG178" s="934"/>
      <c r="AH178" s="934"/>
      <c r="AI178" s="930"/>
      <c r="AJ178" s="934"/>
      <c r="AK178" s="934"/>
      <c r="AL178" s="934"/>
      <c r="AM178" s="930"/>
      <c r="AN178" s="935"/>
      <c r="AO178" s="935"/>
      <c r="AP178" s="935"/>
      <c r="AQ178" s="930"/>
      <c r="AR178" s="934"/>
      <c r="AS178" s="934"/>
      <c r="AT178" s="934"/>
      <c r="AU178" s="930"/>
      <c r="AV178" s="909"/>
      <c r="AW178" s="909"/>
      <c r="AX178" s="909"/>
      <c r="AY178" s="920"/>
      <c r="AZ178" s="936"/>
      <c r="BA178" s="936"/>
      <c r="BB178" s="936"/>
      <c r="BC178" s="937"/>
      <c r="BD178" s="936"/>
      <c r="BE178" s="936"/>
      <c r="BF178" s="936"/>
      <c r="BG178" s="937"/>
      <c r="BH178" s="936"/>
      <c r="BI178" s="936"/>
      <c r="BJ178" s="936"/>
      <c r="BK178" s="937"/>
      <c r="BL178" s="936"/>
      <c r="BM178" s="936"/>
      <c r="BN178" s="936"/>
      <c r="BO178" s="937"/>
      <c r="BP178" s="938"/>
      <c r="BQ178" s="938"/>
      <c r="BR178" s="938"/>
    </row>
    <row r="179" spans="2:70" s="1" customFormat="1" ht="12.75">
      <c r="B179" s="293"/>
      <c r="C179" s="294"/>
      <c r="D179" s="295"/>
      <c r="E179" s="75"/>
      <c r="F179" s="75" t="s">
        <v>2376</v>
      </c>
      <c r="G179" s="75"/>
      <c r="H179" s="295"/>
      <c r="I179" s="68">
        <f>SUM(I104,I169)</f>
        <v>-1847666338311</v>
      </c>
      <c r="J179" s="68">
        <f>SUM(J104,J169)</f>
        <v>-83545996</v>
      </c>
      <c r="K179" s="68">
        <f>SUM(K104,K169)</f>
        <v>24597520309</v>
      </c>
      <c r="L179" s="68">
        <f>SUM(L104,L169)</f>
        <v>-1823152363998</v>
      </c>
      <c r="M179" s="296"/>
      <c r="N179" s="69">
        <f>SUM(N104,N169)</f>
        <v>-2178059955270</v>
      </c>
      <c r="O179" s="69">
        <f>SUM(O104,O169)</f>
        <v>1157187016</v>
      </c>
      <c r="P179" s="69">
        <f>SUM(P104,P169)</f>
        <v>-238065485995</v>
      </c>
      <c r="Q179" s="70">
        <f>SUM(Q104,Q169)</f>
        <v>-2414968254249</v>
      </c>
      <c r="R179" s="298"/>
      <c r="S179" s="175">
        <f>L179-Q179</f>
        <v>591815890251</v>
      </c>
      <c r="T179" s="176">
        <f>IFERROR(S179/Q179,"To check")</f>
        <v>-0.24506156104111657</v>
      </c>
      <c r="X179" s="304"/>
      <c r="Y179" s="304"/>
      <c r="Z179" s="235">
        <f>SUM(Z104,Z169)</f>
        <v>-182219127409</v>
      </c>
      <c r="AA179" s="235">
        <f>SUM(AA104,AA169)</f>
        <v>100000</v>
      </c>
      <c r="AB179" s="235">
        <f>SUM(AB104,AB169)</f>
        <v>25717389728</v>
      </c>
      <c r="AC179" s="235">
        <f>SUM(AC104,AC169)</f>
        <v>-156501637681</v>
      </c>
      <c r="AD179" s="236"/>
      <c r="AE179" s="235">
        <f>SUM(AE104,AE169)</f>
        <v>-338133066168</v>
      </c>
      <c r="AF179" s="235">
        <f>SUM(AF104,AF169)</f>
        <v>0</v>
      </c>
      <c r="AG179" s="235">
        <f>SUM(AG104,AG169)</f>
        <v>-1601321931</v>
      </c>
      <c r="AH179" s="235">
        <f>SUM(AH104,AH169)</f>
        <v>-339734388099</v>
      </c>
      <c r="AI179" s="236"/>
      <c r="AJ179" s="235">
        <f>SUM(AJ104,AJ169)</f>
        <v>-11903389</v>
      </c>
      <c r="AK179" s="235">
        <f>SUM(AK104,AK169)</f>
        <v>0</v>
      </c>
      <c r="AL179" s="235">
        <f>SUM(AL104,AL169)</f>
        <v>-11903389</v>
      </c>
      <c r="AM179" s="236"/>
      <c r="AN179" s="237">
        <f>SUM(AN104,AN169)</f>
        <v>-500356585696</v>
      </c>
      <c r="AO179" s="237">
        <f>SUM(AO104,AO169)</f>
        <v>71401518530</v>
      </c>
      <c r="AP179" s="237">
        <f>SUM(AP104,AP169)</f>
        <v>-428955067166</v>
      </c>
      <c r="AQ179" s="236"/>
      <c r="AR179" s="235">
        <f>SUM(AR104,AR169)</f>
        <v>-4851587630</v>
      </c>
      <c r="AS179" s="235">
        <f>SUM(AS104,AS169)</f>
        <v>731027714</v>
      </c>
      <c r="AT179" s="235">
        <f>SUM(AT104,AT169)</f>
        <v>-4120559916</v>
      </c>
      <c r="AU179" s="236"/>
      <c r="AV179" s="238">
        <f>SUM(AV104,AV169)</f>
        <v>-2252119334553</v>
      </c>
      <c r="AW179" s="238">
        <f>SUM(AW104,AW169)</f>
        <v>405434914996</v>
      </c>
      <c r="AX179" s="238">
        <f>SUM(AX104,AX169)</f>
        <v>-1846684419557</v>
      </c>
      <c r="AY179" s="614"/>
      <c r="AZ179" s="235">
        <f>SUM(AZ104,AZ169)</f>
        <v>-180589249724</v>
      </c>
      <c r="BA179" s="235">
        <f>SUM(BA104,BA169)</f>
        <v>0</v>
      </c>
      <c r="BB179" s="235">
        <f>SUM(BB104,BB169)</f>
        <v>-180589249724</v>
      </c>
      <c r="BC179" s="236"/>
      <c r="BD179" s="235">
        <f>SUM(BD104,BD169)</f>
        <v>-297701463051</v>
      </c>
      <c r="BE179" s="235">
        <f>SUM(BE104,BE169)</f>
        <v>-582000</v>
      </c>
      <c r="BF179" s="235">
        <f>SUM(BF104,BF169)</f>
        <v>-297702045051</v>
      </c>
      <c r="BG179" s="236"/>
      <c r="BH179" s="235">
        <f>SUM(BH104,BH169)</f>
        <v>-66972078</v>
      </c>
      <c r="BI179" s="235">
        <f>SUM(BI104,BI169)</f>
        <v>0</v>
      </c>
      <c r="BJ179" s="235">
        <f>SUM(BJ104,BJ169)</f>
        <v>-66972078</v>
      </c>
      <c r="BK179" s="236"/>
      <c r="BL179" s="235">
        <f>SUM(BL104,BL169)</f>
        <v>-19842717</v>
      </c>
      <c r="BM179" s="235">
        <f>SUM(BM104,BM169)</f>
        <v>0</v>
      </c>
      <c r="BN179" s="235">
        <f>SUM(BN104,BN169)</f>
        <v>-19842717</v>
      </c>
      <c r="BO179" s="236"/>
      <c r="BP179" s="443">
        <f>SUM(BP104,BP169)</f>
        <v>-2822439739908</v>
      </c>
      <c r="BQ179" s="443">
        <f>SUM(BQ104,BQ169)</f>
        <v>438389876392</v>
      </c>
      <c r="BR179" s="443">
        <f>SUM(BR104,BR169)</f>
        <v>-2384049863516</v>
      </c>
    </row>
    <row r="180" spans="2:70" ht="12.75">
      <c r="B180" s="925"/>
      <c r="C180" s="926"/>
      <c r="D180" s="927"/>
      <c r="E180" s="928"/>
      <c r="F180" s="928"/>
      <c r="G180" s="928"/>
      <c r="H180" s="927"/>
      <c r="I180" s="929"/>
      <c r="J180" s="929"/>
      <c r="K180" s="929"/>
      <c r="L180" s="929"/>
      <c r="M180" s="930"/>
      <c r="N180" s="931"/>
      <c r="O180" s="931"/>
      <c r="P180" s="931"/>
      <c r="Q180" s="932"/>
      <c r="R180" s="898"/>
      <c r="S180" s="850"/>
      <c r="T180" s="850"/>
      <c r="U180" s="850"/>
      <c r="V180" s="850"/>
      <c r="W180" s="850"/>
      <c r="X180" s="304"/>
      <c r="Y180" s="933"/>
      <c r="Z180" s="934"/>
      <c r="AA180" s="934"/>
      <c r="AB180" s="934"/>
      <c r="AC180" s="934"/>
      <c r="AD180" s="930"/>
      <c r="AE180" s="934"/>
      <c r="AF180" s="934"/>
      <c r="AG180" s="934"/>
      <c r="AH180" s="934"/>
      <c r="AI180" s="930"/>
      <c r="AJ180" s="934"/>
      <c r="AK180" s="934"/>
      <c r="AL180" s="934"/>
      <c r="AM180" s="930"/>
      <c r="AN180" s="935"/>
      <c r="AO180" s="935"/>
      <c r="AP180" s="935"/>
      <c r="AQ180" s="930"/>
      <c r="AR180" s="934"/>
      <c r="AS180" s="934"/>
      <c r="AT180" s="934"/>
      <c r="AU180" s="930"/>
      <c r="AV180" s="909"/>
      <c r="AW180" s="909"/>
      <c r="AX180" s="909"/>
      <c r="AY180" s="920"/>
      <c r="AZ180" s="936"/>
      <c r="BA180" s="936"/>
      <c r="BB180" s="936"/>
      <c r="BC180" s="937"/>
      <c r="BD180" s="936"/>
      <c r="BE180" s="936"/>
      <c r="BF180" s="936"/>
      <c r="BG180" s="937"/>
      <c r="BH180" s="936"/>
      <c r="BI180" s="936"/>
      <c r="BJ180" s="936"/>
      <c r="BK180" s="937"/>
      <c r="BL180" s="936"/>
      <c r="BM180" s="936"/>
      <c r="BN180" s="936"/>
      <c r="BO180" s="937"/>
      <c r="BP180" s="938"/>
      <c r="BQ180" s="938"/>
      <c r="BR180" s="938"/>
    </row>
    <row r="181" spans="2:70" s="275" customFormat="1" ht="13.35" customHeight="1">
      <c r="B181" s="276"/>
      <c r="C181" s="277"/>
      <c r="D181" s="105"/>
      <c r="E181" s="104"/>
      <c r="F181" s="278" t="s">
        <v>1970</v>
      </c>
      <c r="G181" s="278"/>
      <c r="H181" s="279"/>
      <c r="I181" s="280">
        <f>I179+I102</f>
        <v>0</v>
      </c>
      <c r="J181" s="280">
        <f>J179+J102</f>
        <v>0</v>
      </c>
      <c r="K181" s="280">
        <f>K179+K102</f>
        <v>0</v>
      </c>
      <c r="L181" s="280">
        <f>L179+L102</f>
        <v>0</v>
      </c>
      <c r="M181" s="281"/>
      <c r="N181" s="282">
        <f>N179+N102</f>
        <v>0</v>
      </c>
      <c r="O181" s="282">
        <f>O179+O102</f>
        <v>0</v>
      </c>
      <c r="P181" s="282">
        <f>P179+P102</f>
        <v>1</v>
      </c>
      <c r="Q181" s="283">
        <f>Q179+Q102</f>
        <v>1</v>
      </c>
      <c r="R181" s="284"/>
      <c r="S181" s="3"/>
      <c r="T181" s="3"/>
      <c r="U181" s="3"/>
      <c r="V181" s="3"/>
      <c r="W181" s="3"/>
      <c r="X181" s="947" t="s">
        <v>2227</v>
      </c>
      <c r="Y181" s="305"/>
      <c r="Z181" s="285">
        <f>Z179+Z102</f>
        <v>0</v>
      </c>
      <c r="AA181" s="285">
        <f>AA179+AA102</f>
        <v>0</v>
      </c>
      <c r="AB181" s="285">
        <f>AB179+AB102</f>
        <v>0</v>
      </c>
      <c r="AC181" s="285">
        <f>AC179+AC102</f>
        <v>0</v>
      </c>
      <c r="AD181" s="286"/>
      <c r="AE181" s="285">
        <f>AE179+AE102</f>
        <v>0</v>
      </c>
      <c r="AF181" s="285">
        <f>AF179+AF102</f>
        <v>0</v>
      </c>
      <c r="AG181" s="285">
        <f>AG179+AG102</f>
        <v>0</v>
      </c>
      <c r="AH181" s="285">
        <f>AH179+AH102</f>
        <v>0</v>
      </c>
      <c r="AI181" s="286"/>
      <c r="AJ181" s="285">
        <f>AJ179+AJ102</f>
        <v>0</v>
      </c>
      <c r="AK181" s="285">
        <f>AK179+AK102</f>
        <v>0</v>
      </c>
      <c r="AL181" s="285">
        <f>AL179+AL102</f>
        <v>0</v>
      </c>
      <c r="AM181" s="286"/>
      <c r="AN181" s="287">
        <f>AN179+AN102</f>
        <v>0</v>
      </c>
      <c r="AO181" s="287">
        <f>AO179+AO102</f>
        <v>0</v>
      </c>
      <c r="AP181" s="287">
        <f>AP179+AP102</f>
        <v>0</v>
      </c>
      <c r="AQ181" s="286"/>
      <c r="AR181" s="285">
        <f>AR179+AR102</f>
        <v>0</v>
      </c>
      <c r="AS181" s="285">
        <f>AS179+AS102</f>
        <v>0</v>
      </c>
      <c r="AT181" s="285">
        <f>AT179+AT102</f>
        <v>0</v>
      </c>
      <c r="AU181" s="286"/>
      <c r="AV181" s="288">
        <f>AV179+AV102</f>
        <v>0</v>
      </c>
      <c r="AW181" s="288">
        <f>AW179+AW102</f>
        <v>0</v>
      </c>
      <c r="AX181" s="288">
        <f>AX179+AX102</f>
        <v>0</v>
      </c>
      <c r="AY181" s="616"/>
      <c r="AZ181" s="289">
        <f>AZ179+AZ102</f>
        <v>3084286800</v>
      </c>
      <c r="BA181" s="289">
        <f>BA179+BA102</f>
        <v>-9145280659</v>
      </c>
      <c r="BB181" s="289">
        <f>BB179+BB102</f>
        <v>-6060993859</v>
      </c>
      <c r="BC181" s="286"/>
      <c r="BD181" s="289">
        <f>BD179+BD102</f>
        <v>-796782840</v>
      </c>
      <c r="BE181" s="289">
        <f>BE179+BE102</f>
        <v>0</v>
      </c>
      <c r="BF181" s="289">
        <f>BF179+BF102</f>
        <v>-796782840</v>
      </c>
      <c r="BG181" s="286"/>
      <c r="BH181" s="289">
        <f>BH179+BH102</f>
        <v>-12271875</v>
      </c>
      <c r="BI181" s="289">
        <f>BI179+BI102</f>
        <v>0</v>
      </c>
      <c r="BJ181" s="289">
        <f>BJ179+BJ102</f>
        <v>-12271875</v>
      </c>
      <c r="BK181" s="286"/>
      <c r="BL181" s="289">
        <f>BL179+BL102</f>
        <v>-1815917</v>
      </c>
      <c r="BM181" s="289">
        <f>BM179+BM102</f>
        <v>0</v>
      </c>
      <c r="BN181" s="289">
        <f>BN179+BN102</f>
        <v>-1815917</v>
      </c>
      <c r="BO181" s="286"/>
      <c r="BP181" s="444">
        <f>BP179+BP102</f>
        <v>0</v>
      </c>
      <c r="BQ181" s="444">
        <f>BQ179+BQ102</f>
        <v>0</v>
      </c>
      <c r="BR181" s="444">
        <f>BR179+BR102</f>
        <v>0</v>
      </c>
    </row>
    <row r="182" spans="2:70" ht="12.75">
      <c r="B182" s="925"/>
      <c r="C182" s="926"/>
      <c r="D182" s="927"/>
      <c r="E182" s="928"/>
      <c r="F182" s="928"/>
      <c r="G182" s="928"/>
      <c r="H182" s="927"/>
      <c r="I182" s="929"/>
      <c r="J182" s="929"/>
      <c r="K182" s="929"/>
      <c r="L182" s="943">
        <f>L175-SUM(Q175:Q176)</f>
        <v>0</v>
      </c>
      <c r="M182" s="930"/>
      <c r="N182" s="931"/>
      <c r="O182" s="931"/>
      <c r="P182" s="931"/>
      <c r="Q182" s="932"/>
      <c r="R182" s="898"/>
      <c r="S182" s="850"/>
      <c r="T182" s="850"/>
      <c r="U182" s="850"/>
      <c r="V182" s="850"/>
      <c r="W182" s="850"/>
      <c r="X182" s="933"/>
      <c r="Y182" s="933"/>
      <c r="Z182" s="934"/>
      <c r="AA182" s="934"/>
      <c r="AB182" s="934"/>
      <c r="AC182" s="934"/>
      <c r="AD182" s="930"/>
      <c r="AE182" s="934"/>
      <c r="AF182" s="934"/>
      <c r="AG182" s="948"/>
      <c r="AH182" s="934"/>
      <c r="AI182" s="930"/>
      <c r="AJ182" s="934"/>
      <c r="AK182" s="934"/>
      <c r="AL182" s="934"/>
      <c r="AM182" s="930"/>
      <c r="AN182" s="935"/>
      <c r="AO182" s="935"/>
      <c r="AP182" s="935"/>
      <c r="AQ182" s="930"/>
      <c r="AR182" s="934"/>
      <c r="AS182" s="934"/>
      <c r="AT182" s="934"/>
      <c r="AU182" s="930"/>
      <c r="AV182" s="909"/>
      <c r="AW182" s="909"/>
      <c r="AX182" s="909"/>
      <c r="AY182" s="920"/>
      <c r="AZ182" s="936"/>
      <c r="BA182" s="936"/>
      <c r="BB182" s="936"/>
      <c r="BC182" s="937"/>
      <c r="BD182" s="936"/>
      <c r="BE182" s="936"/>
      <c r="BF182" s="936"/>
      <c r="BG182" s="937"/>
      <c r="BH182" s="936"/>
      <c r="BI182" s="936"/>
      <c r="BJ182" s="936"/>
      <c r="BK182" s="937"/>
      <c r="BL182" s="936"/>
      <c r="BM182" s="936"/>
      <c r="BN182" s="936"/>
      <c r="BO182" s="937"/>
      <c r="BP182" s="938"/>
      <c r="BQ182" s="938"/>
      <c r="BR182" s="938"/>
    </row>
    <row r="183" spans="2:70" ht="13.35" customHeight="1">
      <c r="B183" s="925"/>
      <c r="C183" s="926"/>
      <c r="D183" s="927"/>
      <c r="E183" s="928"/>
      <c r="F183" s="75" t="s">
        <v>2377</v>
      </c>
      <c r="G183" s="928"/>
      <c r="H183" s="927"/>
      <c r="I183" s="929"/>
      <c r="J183" s="929"/>
      <c r="K183" s="929"/>
      <c r="L183" s="929"/>
      <c r="M183" s="930"/>
      <c r="N183" s="931"/>
      <c r="O183" s="931"/>
      <c r="P183" s="931"/>
      <c r="Q183" s="932"/>
      <c r="R183" s="898"/>
      <c r="S183" s="850"/>
      <c r="T183" s="850"/>
      <c r="U183" s="850"/>
      <c r="V183" s="850"/>
      <c r="W183" s="850"/>
      <c r="X183" s="304"/>
      <c r="Y183" s="933"/>
      <c r="Z183" s="934"/>
      <c r="AA183" s="934"/>
      <c r="AB183" s="934"/>
      <c r="AC183" s="934"/>
      <c r="AD183" s="930"/>
      <c r="AE183" s="934"/>
      <c r="AF183" s="934"/>
      <c r="AG183" s="934"/>
      <c r="AH183" s="934"/>
      <c r="AI183" s="930"/>
      <c r="AJ183" s="934"/>
      <c r="AK183" s="934"/>
      <c r="AL183" s="934"/>
      <c r="AM183" s="930"/>
      <c r="AN183" s="935"/>
      <c r="AO183" s="935"/>
      <c r="AP183" s="935"/>
      <c r="AQ183" s="930"/>
      <c r="AR183" s="934"/>
      <c r="AS183" s="934"/>
      <c r="AT183" s="934"/>
      <c r="AU183" s="930"/>
      <c r="AV183" s="909"/>
      <c r="AW183" s="909"/>
      <c r="AX183" s="909"/>
      <c r="AY183" s="920"/>
      <c r="AZ183" s="936"/>
      <c r="BA183" s="936"/>
      <c r="BB183" s="936"/>
      <c r="BC183" s="937"/>
      <c r="BD183" s="936"/>
      <c r="BE183" s="936"/>
      <c r="BF183" s="936"/>
      <c r="BG183" s="937"/>
      <c r="BH183" s="936"/>
      <c r="BI183" s="936"/>
      <c r="BJ183" s="936"/>
      <c r="BK183" s="937"/>
      <c r="BL183" s="936"/>
      <c r="BM183" s="936"/>
      <c r="BN183" s="936"/>
      <c r="BO183" s="937"/>
      <c r="BP183" s="938"/>
      <c r="BQ183" s="938"/>
      <c r="BR183" s="938"/>
    </row>
    <row r="184" spans="2:70" ht="12.75">
      <c r="B184" s="925"/>
      <c r="C184" s="926"/>
      <c r="D184" s="927"/>
      <c r="E184" s="928"/>
      <c r="F184" s="928"/>
      <c r="G184" s="928"/>
      <c r="H184" s="927"/>
      <c r="I184" s="929"/>
      <c r="J184" s="929"/>
      <c r="K184" s="929"/>
      <c r="L184" s="929"/>
      <c r="M184" s="930"/>
      <c r="N184" s="931"/>
      <c r="O184" s="931"/>
      <c r="P184" s="931"/>
      <c r="Q184" s="932"/>
      <c r="R184" s="898"/>
      <c r="S184" s="850"/>
      <c r="T184" s="850"/>
      <c r="U184" s="850"/>
      <c r="V184" s="850"/>
      <c r="W184" s="850"/>
      <c r="X184" s="947" t="s">
        <v>2227</v>
      </c>
      <c r="Y184" s="933"/>
      <c r="Z184" s="934"/>
      <c r="AA184" s="934"/>
      <c r="AB184" s="934"/>
      <c r="AC184" s="934"/>
      <c r="AD184" s="930"/>
      <c r="AE184" s="934"/>
      <c r="AF184" s="934"/>
      <c r="AG184" s="934"/>
      <c r="AH184" s="934"/>
      <c r="AI184" s="930"/>
      <c r="AJ184" s="934"/>
      <c r="AK184" s="934"/>
      <c r="AL184" s="934"/>
      <c r="AM184" s="930"/>
      <c r="AN184" s="935"/>
      <c r="AO184" s="935"/>
      <c r="AP184" s="935"/>
      <c r="AQ184" s="930"/>
      <c r="AR184" s="934"/>
      <c r="AS184" s="934"/>
      <c r="AT184" s="934"/>
      <c r="AU184" s="930"/>
      <c r="AV184" s="909"/>
      <c r="AW184" s="909"/>
      <c r="AX184" s="909"/>
      <c r="AY184" s="920"/>
      <c r="AZ184" s="936"/>
      <c r="BA184" s="936"/>
      <c r="BB184" s="936"/>
      <c r="BC184" s="937"/>
      <c r="BD184" s="936"/>
      <c r="BE184" s="936"/>
      <c r="BF184" s="936"/>
      <c r="BG184" s="937"/>
      <c r="BH184" s="936"/>
      <c r="BI184" s="936"/>
      <c r="BJ184" s="936"/>
      <c r="BK184" s="937"/>
      <c r="BL184" s="936"/>
      <c r="BM184" s="936"/>
      <c r="BN184" s="936"/>
      <c r="BO184" s="937"/>
      <c r="BP184" s="938"/>
      <c r="BQ184" s="938"/>
      <c r="BR184" s="938"/>
    </row>
    <row r="185" spans="2:70" s="1" customFormat="1" ht="12.75">
      <c r="B185" s="293"/>
      <c r="C185" s="294"/>
      <c r="D185" s="295"/>
      <c r="E185" s="75"/>
      <c r="F185" s="75" t="s">
        <v>2378</v>
      </c>
      <c r="G185" s="75"/>
      <c r="H185" s="295"/>
      <c r="I185" s="68">
        <f>SUM(I186:I207)</f>
        <v>-9450962213</v>
      </c>
      <c r="J185" s="68">
        <f>SUM(J186:J207)</f>
        <v>-51180627</v>
      </c>
      <c r="K185" s="68">
        <f>SUM(K186:K207)</f>
        <v>0</v>
      </c>
      <c r="L185" s="68">
        <f>SUM(L186:L207)</f>
        <v>-9502142840</v>
      </c>
      <c r="M185" s="296"/>
      <c r="N185" s="69">
        <f>SUM(N186:N207)</f>
        <v>-7675439424</v>
      </c>
      <c r="O185" s="69">
        <f>SUM(O186:O207)</f>
        <v>0</v>
      </c>
      <c r="P185" s="69">
        <f>SUM(P186:P207)</f>
        <v>0</v>
      </c>
      <c r="Q185" s="70">
        <f>SUM(Q186:Q207)</f>
        <v>-7675439424</v>
      </c>
      <c r="R185" s="298"/>
      <c r="S185" s="175">
        <f>L185-Q185</f>
        <v>-1826703416</v>
      </c>
      <c r="T185" s="176">
        <f>IFERROR(S185/Q185,"To check")</f>
        <v>0.23799333368304099</v>
      </c>
      <c r="X185" s="933"/>
      <c r="Y185" s="304"/>
      <c r="Z185" s="235">
        <f>SUM(Z186:Z207)</f>
        <v>-40602301947</v>
      </c>
      <c r="AA185" s="235">
        <f>SUM(AA186:AA207)</f>
        <v>0</v>
      </c>
      <c r="AB185" s="235">
        <f>SUM(AB186:AB207)</f>
        <v>0</v>
      </c>
      <c r="AC185" s="235">
        <f>SUM(AC186:AC207)</f>
        <v>-40602301947</v>
      </c>
      <c r="AD185" s="236"/>
      <c r="AE185" s="235">
        <f>SUM(AE186:AE207)</f>
        <v>-17831023954</v>
      </c>
      <c r="AF185" s="235">
        <f>SUM(AF186:AF207)</f>
        <v>0</v>
      </c>
      <c r="AG185" s="235">
        <f>SUM(AG186:AG207)</f>
        <v>-439572463</v>
      </c>
      <c r="AH185" s="235">
        <f>SUM(AH186:AH207)</f>
        <v>-18270596417</v>
      </c>
      <c r="AI185" s="236"/>
      <c r="AJ185" s="235">
        <f>SUM(AJ186:AJ207)</f>
        <v>0</v>
      </c>
      <c r="AK185" s="235">
        <f>SUM(AK186:AK207)</f>
        <v>0</v>
      </c>
      <c r="AL185" s="235">
        <f>SUM(AL186:AL207)</f>
        <v>0</v>
      </c>
      <c r="AM185" s="236"/>
      <c r="AN185" s="237">
        <f>SUM(AN186:AN207)</f>
        <v>-58872952536</v>
      </c>
      <c r="AO185" s="237">
        <f>SUM(AO186:AO207)</f>
        <v>0</v>
      </c>
      <c r="AP185" s="237">
        <f>SUM(AP186:AP207)</f>
        <v>-58872952536</v>
      </c>
      <c r="AQ185" s="236"/>
      <c r="AR185" s="235">
        <f>SUM(AR186:AR207)</f>
        <v>-54172</v>
      </c>
      <c r="AS185" s="235">
        <f>SUM(AS186:AS207)</f>
        <v>0</v>
      </c>
      <c r="AT185" s="235">
        <f>SUM(AT186:AT207)</f>
        <v>-54172</v>
      </c>
      <c r="AU185" s="236"/>
      <c r="AV185" s="238">
        <f>SUM(AV186:AV207)</f>
        <v>-68375095376</v>
      </c>
      <c r="AW185" s="238">
        <f>SUM(AW186:AW207)</f>
        <v>4366393847</v>
      </c>
      <c r="AX185" s="238">
        <f>SUM(AX186:AX207)</f>
        <v>-64008701529</v>
      </c>
      <c r="AY185" s="614"/>
      <c r="AZ185" s="235">
        <f>SUM(AZ186:AZ207)</f>
        <v>-154549629034</v>
      </c>
      <c r="BA185" s="235">
        <f>SUM(BA186:BA207)</f>
        <v>0</v>
      </c>
      <c r="BB185" s="235">
        <f>SUM(BB186:BB207)</f>
        <v>-154549629034</v>
      </c>
      <c r="BC185" s="236"/>
      <c r="BD185" s="235">
        <f>SUM(BD186:BD207)</f>
        <v>-10678648775</v>
      </c>
      <c r="BE185" s="235">
        <f>SUM(BE186:BE207)</f>
        <v>0</v>
      </c>
      <c r="BF185" s="235">
        <f>SUM(BF186:BF207)</f>
        <v>-10678648775</v>
      </c>
      <c r="BG185" s="236"/>
      <c r="BH185" s="235">
        <f>SUM(BH186:BH207)</f>
        <v>0</v>
      </c>
      <c r="BI185" s="235">
        <f>SUM(BI186:BI207)</f>
        <v>0</v>
      </c>
      <c r="BJ185" s="235">
        <f>SUM(BJ186:BJ207)</f>
        <v>0</v>
      </c>
      <c r="BK185" s="236"/>
      <c r="BL185" s="235">
        <f>SUM(BL186:BL207)</f>
        <v>0</v>
      </c>
      <c r="BM185" s="235">
        <f>SUM(BM186:BM207)</f>
        <v>0</v>
      </c>
      <c r="BN185" s="235">
        <f>SUM(BN186:BN207)</f>
        <v>0</v>
      </c>
      <c r="BO185" s="236"/>
      <c r="BP185" s="443">
        <f>SUM(BP186:BP207)</f>
        <v>-52713921512</v>
      </c>
      <c r="BQ185" s="443">
        <f>SUM(BQ186:BQ207)</f>
        <v>1051644416</v>
      </c>
      <c r="BR185" s="443">
        <f>SUM(BR186:BR207)</f>
        <v>-51662277096</v>
      </c>
    </row>
    <row r="186" spans="2:70" ht="12.75">
      <c r="B186" s="939">
        <v>1</v>
      </c>
      <c r="C186" s="940" t="s">
        <v>2379</v>
      </c>
      <c r="D186" s="941" t="s">
        <v>2380</v>
      </c>
      <c r="E186" s="953" t="s">
        <v>720</v>
      </c>
      <c r="F186" s="928" t="s">
        <v>2381</v>
      </c>
      <c r="G186" s="927" t="s">
        <v>2382</v>
      </c>
      <c r="H186" s="927" t="s">
        <v>2265</v>
      </c>
      <c r="I186" s="942">
        <f>SUMIFS('GL911.Cty Me.FY24'!T:T,'GL911.Cty Me.FY24'!H:H,'A0.LS'!E186)</f>
        <v>-2888000001</v>
      </c>
      <c r="J186" s="942">
        <f>ROUND(SUMIFS('A5.FY24'!K:K,'A5.FY24'!E:E,'A0.LS'!E186,'A5.FY24'!L:L,"Finhay",'A5.FY24'!M:M,"Posted"),0)</f>
        <v>0</v>
      </c>
      <c r="K186" s="942">
        <f>ROUND(SUMIFS('A5.FY24'!K:K,'A5.FY24'!E:E,'A0.LS'!E186,'A5.FY24'!L:L,"EY",'A5.FY24'!M:M,"Posted"),0)</f>
        <v>0</v>
      </c>
      <c r="L186" s="943">
        <f>ROUND(SUM(I186:K186),0)</f>
        <v>-2888000001</v>
      </c>
      <c r="M186" s="930"/>
      <c r="N186" s="944">
        <v>0</v>
      </c>
      <c r="O186" s="944">
        <v>0</v>
      </c>
      <c r="P186" s="944">
        <v>0</v>
      </c>
      <c r="Q186" s="945">
        <v>0</v>
      </c>
      <c r="R186" s="898"/>
      <c r="S186" s="848">
        <f>L186-Q186</f>
        <v>-2888000001</v>
      </c>
      <c r="T186" s="946" t="str">
        <f>IFERROR(S186/Q186,"To check")</f>
        <v>To check</v>
      </c>
      <c r="U186" s="850"/>
      <c r="V186" s="850" t="s">
        <v>2383</v>
      </c>
      <c r="W186" s="850"/>
      <c r="X186" s="304"/>
      <c r="Y186" s="947" t="s">
        <v>2382</v>
      </c>
      <c r="Z186" s="936">
        <f>ROUND(SUMIFS('GL911.CtyCon.FY24'!N:N,'GL911.CtyCon.FY24'!G:G,'A0.LS'!E186),0)</f>
        <v>-40602301947</v>
      </c>
      <c r="AA186" s="936">
        <f>ROUND(SUMIFS('A5.CTC FY24'!K:K,'A5.CTC FY24'!E:E,'A0.LS'!E186,'A5.CTC FY24'!A:A,'A0.LS'!$AA$5,'A5.CTC FY24'!L:L,"Finhay",'A5.CTC FY24'!M:M,"Posted"),0)</f>
        <v>0</v>
      </c>
      <c r="AB186" s="936">
        <f>ROUND(SUMIFS('A5.CTC FY24'!K:K,'A5.CTC FY24'!E:E,'A0.LS'!E186,'A5.CTC FY24'!A:A,'A0.LS'!$AB$5,'A5.CTC FY24'!L:L,"EY",'A5.CTC FY24'!M:M,"Posted"),0)</f>
        <v>0</v>
      </c>
      <c r="AC186" s="948">
        <f t="shared" ref="AC186:AC207" si="116">ROUND(SUM(Z186:AB186),0)</f>
        <v>-40602301947</v>
      </c>
      <c r="AD186" s="930"/>
      <c r="AE186" s="936">
        <f>SUMIFS('GL911 VNSC FY24'!T:T,'GL911 VNSC FY24'!AG:AG,'A0.LS'!E186)</f>
        <v>0</v>
      </c>
      <c r="AF186" s="936">
        <f>SUMIFS('A5.CTC FY24'!K:K,'A5.CTC FY24'!E:E,'A0.LS'!E186,'A5.CTC FY24'!A:A,"VNSC",'A5.CTC FY24'!L:L,"VNSC",'A5.CTC FY24'!M:M,"Posted")</f>
        <v>0</v>
      </c>
      <c r="AG186" s="936">
        <f>ROUND(SUMIFS('A5.CTC FY24'!K:K,'A5.CTC FY24'!E:E,'A0.LS'!E186,'A5.CTC FY24'!A:A,"VNSC",'A5.CTC FY24'!L:L,"EY",'A5.CTC FY24'!M:M,"Posted"),0)</f>
        <v>0</v>
      </c>
      <c r="AH186" s="936">
        <f t="shared" ref="AH186:AH207" si="117">ROUND(SUM(AE186:AG186),0)</f>
        <v>0</v>
      </c>
      <c r="AI186" s="930"/>
      <c r="AJ186" s="936">
        <f>ROUND(SUMIFS('GL911.KCG.FY24'!T:T,'GL911.KCG.FY24'!U:U,'A0.LS'!E186),0)</f>
        <v>0</v>
      </c>
      <c r="AK186" s="936">
        <f>ROUND(SUMIFS('A5.CTC FY24'!K:K,'A5.CTC FY24'!E:E,'A0.LS'!E186,'A5.CTC FY24'!A:A,'A0.LS'!$AK$5,'A5.CTC FY24'!L:L,"EY",'A5.CTC FY24'!M:M,"Posted"),0)</f>
        <v>0</v>
      </c>
      <c r="AL186" s="948">
        <f t="shared" ref="AL186:AL207" si="118">ROUND(SUM(AJ186:AK186),0)</f>
        <v>0</v>
      </c>
      <c r="AM186" s="930"/>
      <c r="AN186" s="949">
        <f t="shared" ref="AN186:AN207" si="119">ROUND(SUM(AT186,AH186,AC186),0)</f>
        <v>-40602301947</v>
      </c>
      <c r="AO186" s="950">
        <f>ROUND(SUMIFS('A5.Consol FY24'!L:L,'A5.Consol FY24'!M:M,"EY",'A5.Consol FY24'!N:N,"Posted",'A5.Consol FY24'!B:B,'A0.LS'!$AO$5,'A5.Consol FY24'!F:F,'A0.LS'!E186),0)</f>
        <v>0</v>
      </c>
      <c r="AP186" s="949">
        <f t="shared" ref="AP186:AP207" si="120">ROUND(SUM(AN186:AO186),0)</f>
        <v>-40602301947</v>
      </c>
      <c r="AQ186" s="930"/>
      <c r="AR186" s="936">
        <f>ROUND(SUMIFS('GL911.XH.FY24'!L:L,'GL911.XH.FY24'!F:F,'A0.LS'!E186),0)</f>
        <v>0</v>
      </c>
      <c r="AS186" s="936">
        <f>ROUND(SUMIFS('A5.CTC FY24'!K:K,'A5.CTC FY24'!E:E,'A0.LS'!E186,'A5.CTC FY24'!A:A,'A0.LS'!$AS$5,'A5.CTC FY24'!L:L,"EY",'A5.CTC FY24'!M:M,"Posted"),0)</f>
        <v>0</v>
      </c>
      <c r="AT186" s="948">
        <f t="shared" ref="AT186:AT207" si="121">ROUND(SUM(AR186:AS186),0)</f>
        <v>0</v>
      </c>
      <c r="AU186" s="930"/>
      <c r="AV186" s="951">
        <f t="shared" ref="AV186:AV207" si="122">ROUND(SUM(AP186,AL186,L186),0)</f>
        <v>-43490301948</v>
      </c>
      <c r="AW186" s="952">
        <f>SUMIFS('A5.Consol FY24'!L:L,'A5.Consol FY24'!B:B,'A0.LS'!$AW$5,'A5.Consol FY24'!M:M,"EY",'A5.Consol FY24'!N:N,"Posted",'A5.Consol FY24'!F:F,'A0.LS'!E186)</f>
        <v>0</v>
      </c>
      <c r="AX186" s="951">
        <f t="shared" ref="AX186:AX207" si="123">ROUND(SUM(AV186:AW186),0)</f>
        <v>-43490301948</v>
      </c>
      <c r="AY186" s="920"/>
      <c r="AZ186" s="936">
        <f>SUMIFS('911.CTC.YE22'!U:U,'911.CTC.YE22'!R:R,'A0.LS'!E186)</f>
        <v>-154539190198</v>
      </c>
      <c r="BA186" s="936">
        <f>ROUND(SUMIFS('A5.YE22'!J:J,'A5.YE22'!K:K,'A0.LS'!$BA$5,'A5.YE22'!L:L,"Posted",'A5.YE22'!D:D,'A0.LS'!E186),0)</f>
        <v>0</v>
      </c>
      <c r="BB186" s="936">
        <f t="shared" ref="BB186:BB207" si="124">ROUND(SUM(AZ186:BA186),0)</f>
        <v>-154539190198</v>
      </c>
      <c r="BC186" s="937"/>
      <c r="BD186" s="936">
        <f>ROUND(SUMIFS('911.VNSC.YE22'!R:R,'911.VNSC.YE22'!L:L,'A0.LS'!E186),0)</f>
        <v>0</v>
      </c>
      <c r="BE186" s="936">
        <f>ROUND(SUMIFS('A5.YE22'!J:J,'A5.YE22'!K:K,'A0.LS'!$BE$5,'A5.YE22'!L:L,"Posted",'A5.YE22'!D:D,'A0.LS'!E186),0)</f>
        <v>0</v>
      </c>
      <c r="BF186" s="936">
        <f t="shared" ref="BF186:BF207" si="125">ROUND(SUM(BD186:BE186),0)</f>
        <v>0</v>
      </c>
      <c r="BG186" s="937"/>
      <c r="BH186" s="936">
        <f>ROUND(SUMIFS('911.XH.YE22'!T:T,'911.XH.YE22'!P:P,'A0.LS'!E186),0)</f>
        <v>0</v>
      </c>
      <c r="BI186" s="936">
        <f>ROUND(SUMIFS('A5.YE22'!J:J,'A5.YE22'!K:K,"XH",'A5.YE22'!L:L,"Posted",'A5.YE22'!D:D,'A0.LS'!E186),0)</f>
        <v>0</v>
      </c>
      <c r="BJ186" s="936">
        <f t="shared" ref="BJ186:BJ207" si="126">ROUND(SUM(BH186:BI186),0)</f>
        <v>0</v>
      </c>
      <c r="BK186" s="937"/>
      <c r="BL186" s="936">
        <f>ROUND(SUMIFS('911.KCG.YE22'!T:T,'911.KCG.YE22'!P:P,'A0.LS'!E186),0)</f>
        <v>0</v>
      </c>
      <c r="BM186" s="936">
        <f>ROUND(SUMIFS('A5.YE22'!J:J,'A5.YE22'!K:K,'A0.LS'!$BM$5,'A5.YE22'!L:L,"Posted",'A5.YE22'!D:D,'A0.LS'!E186),0)</f>
        <v>0</v>
      </c>
      <c r="BN186" s="936">
        <f t="shared" ref="BN186:BN207" si="127">ROUND(SUM(BL186:BM186),0)</f>
        <v>0</v>
      </c>
      <c r="BO186" s="937"/>
      <c r="BP186" s="938">
        <v>-42377669111</v>
      </c>
      <c r="BQ186" s="938">
        <v>0</v>
      </c>
      <c r="BR186" s="938">
        <f t="shared" ref="BR186:BR207" si="128">ROUND(SUM(BP186:BQ186),0)</f>
        <v>-42377669111</v>
      </c>
    </row>
    <row r="187" spans="2:70" ht="12.75">
      <c r="B187" s="939">
        <v>1</v>
      </c>
      <c r="C187" s="940" t="s">
        <v>2384</v>
      </c>
      <c r="D187" s="941"/>
      <c r="E187" s="953" t="s">
        <v>221</v>
      </c>
      <c r="F187" s="928" t="s">
        <v>222</v>
      </c>
      <c r="G187" s="927"/>
      <c r="H187" s="927"/>
      <c r="I187" s="942"/>
      <c r="J187" s="942"/>
      <c r="K187" s="942"/>
      <c r="L187" s="943"/>
      <c r="M187" s="930"/>
      <c r="N187" s="944"/>
      <c r="O187" s="944"/>
      <c r="P187" s="944"/>
      <c r="Q187" s="945"/>
      <c r="R187" s="898"/>
      <c r="S187" s="848"/>
      <c r="T187" s="946"/>
      <c r="U187" s="850"/>
      <c r="V187" s="850"/>
      <c r="W187" s="850"/>
      <c r="X187" s="947" t="s">
        <v>676</v>
      </c>
      <c r="Y187" s="947" t="s">
        <v>2382</v>
      </c>
      <c r="Z187" s="936">
        <f>ROUND(SUMIFS('GL911.CtyCon.FY24'!N:N,'GL911.CtyCon.FY24'!G:G,'A0.LS'!E187),0)</f>
        <v>0</v>
      </c>
      <c r="AA187" s="936">
        <f>ROUND(SUMIFS('A5.CTC FY24'!K:K,'A5.CTC FY24'!E:E,'A0.LS'!E187,'A5.CTC FY24'!A:A,'A0.LS'!$AA$5,'A5.CTC FY24'!L:L,"Finhay",'A5.CTC FY24'!M:M,"Posted"),0)</f>
        <v>0</v>
      </c>
      <c r="AB187" s="936">
        <f>ROUND(SUMIFS('A5.CTC FY24'!K:K,'A5.CTC FY24'!E:E,'A0.LS'!E187,'A5.CTC FY24'!A:A,'A0.LS'!$AB$5,'A5.CTC FY24'!L:L,"EY",'A5.CTC FY24'!M:M,"Posted"),0)</f>
        <v>0</v>
      </c>
      <c r="AC187" s="948">
        <f t="shared" si="116"/>
        <v>0</v>
      </c>
      <c r="AD187" s="930"/>
      <c r="AE187" s="936">
        <f>SUMIFS('GL911 VNSC FY24'!T:T,'GL911 VNSC FY24'!AG:AG,'A0.LS'!E187)</f>
        <v>0</v>
      </c>
      <c r="AF187" s="936">
        <f>SUMIFS('A5.CTC FY24'!K:K,'A5.CTC FY24'!E:E,'A0.LS'!E187,'A5.CTC FY24'!A:A,"VNSC",'A5.CTC FY24'!L:L,"VNSC",'A5.CTC FY24'!M:M,"Posted")</f>
        <v>0</v>
      </c>
      <c r="AG187" s="936">
        <f>ROUND(SUMIFS('A5.CTC FY24'!K:K,'A5.CTC FY24'!E:E,'A0.LS'!E187,'A5.CTC FY24'!A:A,"VNSC",'A5.CTC FY24'!L:L,"EY",'A5.CTC FY24'!M:M,"Posted"),0)</f>
        <v>0</v>
      </c>
      <c r="AH187" s="936">
        <f t="shared" si="117"/>
        <v>0</v>
      </c>
      <c r="AI187" s="930"/>
      <c r="AJ187" s="936">
        <f>ROUND(SUMIFS('GL911.KCG.FY24'!T:T,'GL911.KCG.FY24'!U:U,'A0.LS'!E187),0)</f>
        <v>0</v>
      </c>
      <c r="AK187" s="936">
        <f>ROUND(SUMIFS('A5.CTC FY24'!K:K,'A5.CTC FY24'!E:E,'A0.LS'!E187,'A5.CTC FY24'!A:A,'A0.LS'!$AK$5,'A5.CTC FY24'!L:L,"EY",'A5.CTC FY24'!M:M,"Posted"),0)</f>
        <v>0</v>
      </c>
      <c r="AL187" s="948">
        <f t="shared" si="118"/>
        <v>0</v>
      </c>
      <c r="AM187" s="930"/>
      <c r="AN187" s="949">
        <f t="shared" si="119"/>
        <v>-54172</v>
      </c>
      <c r="AO187" s="950">
        <f>ROUND(SUMIFS('A5.Consol FY24'!L:L,'A5.Consol FY24'!M:M,"EY",'A5.Consol FY24'!N:N,"Posted",'A5.Consol FY24'!B:B,'A0.LS'!$AO$5,'A5.Consol FY24'!F:F,'A0.LS'!E187),0)</f>
        <v>0</v>
      </c>
      <c r="AP187" s="949">
        <f t="shared" si="120"/>
        <v>-54172</v>
      </c>
      <c r="AQ187" s="930"/>
      <c r="AR187" s="936">
        <f>ROUND(SUMIFS('GL911.XH.FY24'!L:L,'GL911.XH.FY24'!F:F,'A0.LS'!E187),0)</f>
        <v>-54172</v>
      </c>
      <c r="AS187" s="936">
        <f>ROUND(SUMIFS('A5.CTC FY24'!K:K,'A5.CTC FY24'!E:E,'A0.LS'!E187,'A5.CTC FY24'!A:A,'A0.LS'!$AS$5,'A5.CTC FY24'!L:L,"EY",'A5.CTC FY24'!M:M,"Posted"),0)</f>
        <v>0</v>
      </c>
      <c r="AT187" s="948">
        <f t="shared" si="121"/>
        <v>-54172</v>
      </c>
      <c r="AU187" s="930"/>
      <c r="AV187" s="951">
        <f t="shared" si="122"/>
        <v>-54172</v>
      </c>
      <c r="AW187" s="952">
        <f>SUMIFS('A5.Consol FY24'!L:L,'A5.Consol FY24'!B:B,'A0.LS'!$AW$5,'A5.Consol FY24'!M:M,"EY",'A5.Consol FY24'!N:N,"Posted",'A5.Consol FY24'!F:F,'A0.LS'!E187)</f>
        <v>0</v>
      </c>
      <c r="AX187" s="951">
        <f t="shared" si="123"/>
        <v>-54172</v>
      </c>
      <c r="AY187" s="920"/>
      <c r="AZ187" s="936">
        <f>SUMIFS('911.CTC.YE22'!U:U,'911.CTC.YE22'!R:R,'A0.LS'!E187)</f>
        <v>-10438836</v>
      </c>
      <c r="BA187" s="936">
        <f>ROUND(SUMIFS('A5.YE22'!J:J,'A5.YE22'!K:K,'A0.LS'!$BA$5,'A5.YE22'!L:L,"Posted",'A5.YE22'!D:D,'A0.LS'!E187),0)</f>
        <v>0</v>
      </c>
      <c r="BB187" s="936">
        <f t="shared" si="124"/>
        <v>-10438836</v>
      </c>
      <c r="BC187" s="937"/>
      <c r="BD187" s="936">
        <f>ROUND(SUMIFS('911.VNSC.YE22'!R:R,'911.VNSC.YE22'!L:L,'A0.LS'!E187),0)</f>
        <v>-10678648775</v>
      </c>
      <c r="BE187" s="936">
        <f>ROUND(SUMIFS('A5.YE22'!J:J,'A5.YE22'!K:K,'A0.LS'!$BE$5,'A5.YE22'!L:L,"Posted",'A5.YE22'!D:D,'A0.LS'!E187),0)</f>
        <v>0</v>
      </c>
      <c r="BF187" s="936">
        <f t="shared" si="125"/>
        <v>-10678648775</v>
      </c>
      <c r="BG187" s="937"/>
      <c r="BH187" s="936">
        <f>ROUND(SUMIFS('911.XH.YE22'!T:T,'911.XH.YE22'!P:P,'A0.LS'!E187),0)</f>
        <v>0</v>
      </c>
      <c r="BI187" s="936">
        <f>ROUND(SUMIFS('A5.YE22'!J:J,'A5.YE22'!K:K,"XH",'A5.YE22'!L:L,"Posted",'A5.YE22'!D:D,'A0.LS'!E187),0)</f>
        <v>0</v>
      </c>
      <c r="BJ187" s="936">
        <f t="shared" si="126"/>
        <v>0</v>
      </c>
      <c r="BK187" s="937"/>
      <c r="BL187" s="936">
        <f>ROUND(SUMIFS('911.KCG.YE22'!T:T,'911.KCG.YE22'!P:P,'A0.LS'!E187),0)</f>
        <v>0</v>
      </c>
      <c r="BM187" s="936">
        <f>ROUND(SUMIFS('A5.YE22'!J:J,'A5.YE22'!K:K,'A0.LS'!$BM$5,'A5.YE22'!L:L,"Posted",'A5.YE22'!D:D,'A0.LS'!E187),0)</f>
        <v>0</v>
      </c>
      <c r="BN187" s="936">
        <f t="shared" si="127"/>
        <v>0</v>
      </c>
      <c r="BO187" s="937"/>
      <c r="BP187" s="938">
        <v>0</v>
      </c>
      <c r="BQ187" s="938">
        <v>0</v>
      </c>
      <c r="BR187" s="938">
        <f t="shared" si="128"/>
        <v>0</v>
      </c>
    </row>
    <row r="188" spans="2:70" ht="12.75">
      <c r="B188" s="939">
        <v>1</v>
      </c>
      <c r="C188" s="940" t="s">
        <v>2385</v>
      </c>
      <c r="D188" s="941" t="s">
        <v>2385</v>
      </c>
      <c r="E188" s="928" t="s">
        <v>223</v>
      </c>
      <c r="F188" s="928" t="s">
        <v>224</v>
      </c>
      <c r="G188" s="927" t="s">
        <v>2382</v>
      </c>
      <c r="H188" s="927" t="s">
        <v>2265</v>
      </c>
      <c r="I188" s="942">
        <f>SUMIFS('GL911.Cty Me.FY24'!T:T,'GL911.Cty Me.FY24'!H:H,'A0.LS'!E188)</f>
        <v>-595167</v>
      </c>
      <c r="J188" s="942">
        <f>ROUND(SUMIFS('A5.FY24'!K:K,'A5.FY24'!E:E,'A0.LS'!E188,'A5.FY24'!L:L,"Finhay",'A5.FY24'!M:M,"Posted"),0)</f>
        <v>0</v>
      </c>
      <c r="K188" s="942">
        <f>ROUND(SUMIFS('A5.FY24'!K:K,'A5.FY24'!E:E,'A0.LS'!E188,'A5.FY24'!L:L,"EY",'A5.FY24'!M:M,"Posted"),0)</f>
        <v>0</v>
      </c>
      <c r="L188" s="943">
        <f t="shared" ref="L188:L207" si="129">ROUND(SUM(I188:K188),0)</f>
        <v>-595167</v>
      </c>
      <c r="M188" s="930"/>
      <c r="N188" s="944">
        <v>-88497596</v>
      </c>
      <c r="O188" s="944">
        <v>0</v>
      </c>
      <c r="P188" s="944">
        <v>0</v>
      </c>
      <c r="Q188" s="945">
        <v>-88497596</v>
      </c>
      <c r="R188" s="898"/>
      <c r="S188" s="848">
        <f t="shared" ref="S188:S207" si="130">L188-Q188</f>
        <v>87902429</v>
      </c>
      <c r="T188" s="946">
        <f t="shared" ref="T188:T207" si="131">IFERROR(S188/Q188,"To check")</f>
        <v>-0.99327476646936264</v>
      </c>
      <c r="U188" s="850"/>
      <c r="V188" s="850" t="s">
        <v>2386</v>
      </c>
      <c r="W188" s="850"/>
      <c r="X188" s="947" t="s">
        <v>676</v>
      </c>
      <c r="Y188" s="947" t="s">
        <v>2382</v>
      </c>
      <c r="Z188" s="936">
        <f>ROUND(SUMIFS('GL911.CtyCon.FY24'!N:N,'GL911.CtyCon.FY24'!G:G,'A0.LS'!E188),0)</f>
        <v>0</v>
      </c>
      <c r="AA188" s="936">
        <f>ROUND(SUMIFS('A5.CTC FY24'!K:K,'A5.CTC FY24'!E:E,'A0.LS'!E188,'A5.CTC FY24'!A:A,'A0.LS'!$AA$5,'A5.CTC FY24'!L:L,"Finhay",'A5.CTC FY24'!M:M,"Posted"),0)</f>
        <v>0</v>
      </c>
      <c r="AB188" s="936">
        <f>ROUND(SUMIFS('A5.CTC FY24'!K:K,'A5.CTC FY24'!E:E,'A0.LS'!E188,'A5.CTC FY24'!A:A,'A0.LS'!$AB$5,'A5.CTC FY24'!L:L,"EY",'A5.CTC FY24'!M:M,"Posted"),0)</f>
        <v>0</v>
      </c>
      <c r="AC188" s="948">
        <f t="shared" si="116"/>
        <v>0</v>
      </c>
      <c r="AD188" s="930"/>
      <c r="AE188" s="936">
        <f>SUMIFS('GL911 VNSC FY24'!T:T,'GL911 VNSC FY24'!AG:AG,'A0.LS'!E188)</f>
        <v>0</v>
      </c>
      <c r="AF188" s="936">
        <f>SUMIFS('A5.CTC FY24'!K:K,'A5.CTC FY24'!E:E,'A0.LS'!E188,'A5.CTC FY24'!A:A,"VNSC",'A5.CTC FY24'!L:L,"VNSC",'A5.CTC FY24'!M:M,"Posted")</f>
        <v>0</v>
      </c>
      <c r="AG188" s="936">
        <f>ROUND(SUMIFS('A5.CTC FY24'!K:K,'A5.CTC FY24'!E:E,'A0.LS'!E188,'A5.CTC FY24'!A:A,"VNSC",'A5.CTC FY24'!L:L,"EY",'A5.CTC FY24'!M:M,"Posted"),0)</f>
        <v>0</v>
      </c>
      <c r="AH188" s="936">
        <f t="shared" si="117"/>
        <v>0</v>
      </c>
      <c r="AI188" s="930"/>
      <c r="AJ188" s="936">
        <f>ROUND(SUMIFS('GL911.KCG.FY24'!T:T,'GL911.KCG.FY24'!U:U,'A0.LS'!E188),0)</f>
        <v>0</v>
      </c>
      <c r="AK188" s="936">
        <f>ROUND(SUMIFS('A5.CTC FY24'!K:K,'A5.CTC FY24'!E:E,'A0.LS'!E188,'A5.CTC FY24'!A:A,'A0.LS'!$AK$5,'A5.CTC FY24'!L:L,"EY",'A5.CTC FY24'!M:M,"Posted"),0)</f>
        <v>0</v>
      </c>
      <c r="AL188" s="948">
        <f t="shared" si="118"/>
        <v>0</v>
      </c>
      <c r="AM188" s="930"/>
      <c r="AN188" s="949">
        <f t="shared" si="119"/>
        <v>0</v>
      </c>
      <c r="AO188" s="950">
        <f>ROUND(SUMIFS('A5.Consol FY24'!L:L,'A5.Consol FY24'!M:M,"EY",'A5.Consol FY24'!N:N,"Posted",'A5.Consol FY24'!B:B,'A0.LS'!$AO$5,'A5.Consol FY24'!F:F,'A0.LS'!E188),0)</f>
        <v>0</v>
      </c>
      <c r="AP188" s="949">
        <f t="shared" si="120"/>
        <v>0</v>
      </c>
      <c r="AQ188" s="930"/>
      <c r="AR188" s="936">
        <f>ROUND(SUMIFS('GL911.XH.FY24'!L:L,'GL911.XH.FY24'!F:F,'A0.LS'!E188),0)</f>
        <v>0</v>
      </c>
      <c r="AS188" s="936">
        <f>ROUND(SUMIFS('A5.CTC FY24'!K:K,'A5.CTC FY24'!E:E,'A0.LS'!E188,'A5.CTC FY24'!A:A,'A0.LS'!$AS$5,'A5.CTC FY24'!L:L,"EY",'A5.CTC FY24'!M:M,"Posted"),0)</f>
        <v>0</v>
      </c>
      <c r="AT188" s="948">
        <f t="shared" si="121"/>
        <v>0</v>
      </c>
      <c r="AU188" s="930"/>
      <c r="AV188" s="951">
        <f t="shared" si="122"/>
        <v>-595167</v>
      </c>
      <c r="AW188" s="952">
        <f>SUMIFS('A5.Consol FY24'!L:L,'A5.Consol FY24'!B:B,'A0.LS'!$AW$5,'A5.Consol FY24'!M:M,"EY",'A5.Consol FY24'!N:N,"Posted",'A5.Consol FY24'!F:F,'A0.LS'!E188)</f>
        <v>0</v>
      </c>
      <c r="AX188" s="951">
        <f t="shared" si="123"/>
        <v>-595167</v>
      </c>
      <c r="AY188" s="920"/>
      <c r="AZ188" s="936">
        <f>SUMIFS('911.CTC.YE22'!U:U,'911.CTC.YE22'!R:R,'A0.LS'!E188)</f>
        <v>0</v>
      </c>
      <c r="BA188" s="936">
        <f>ROUND(SUMIFS('A5.YE22'!J:J,'A5.YE22'!K:K,'A0.LS'!$BA$5,'A5.YE22'!L:L,"Posted",'A5.YE22'!D:D,'A0.LS'!E188),0)</f>
        <v>0</v>
      </c>
      <c r="BB188" s="936">
        <f t="shared" si="124"/>
        <v>0</v>
      </c>
      <c r="BC188" s="937"/>
      <c r="BD188" s="936">
        <f>ROUND(SUMIFS('911.VNSC.YE22'!R:R,'911.VNSC.YE22'!L:L,'A0.LS'!E188),0)</f>
        <v>0</v>
      </c>
      <c r="BE188" s="936">
        <f>ROUND(SUMIFS('A5.YE22'!J:J,'A5.YE22'!K:K,'A0.LS'!$BE$5,'A5.YE22'!L:L,"Posted",'A5.YE22'!D:D,'A0.LS'!E188),0)</f>
        <v>0</v>
      </c>
      <c r="BF188" s="936">
        <f t="shared" si="125"/>
        <v>0</v>
      </c>
      <c r="BG188" s="937"/>
      <c r="BH188" s="936">
        <f>ROUND(SUMIFS('911.XH.YE22'!T:T,'911.XH.YE22'!P:P,'A0.LS'!E188),0)</f>
        <v>0</v>
      </c>
      <c r="BI188" s="936">
        <f>ROUND(SUMIFS('A5.YE22'!J:J,'A5.YE22'!K:K,"XH",'A5.YE22'!L:L,"Posted",'A5.YE22'!D:D,'A0.LS'!E188),0)</f>
        <v>0</v>
      </c>
      <c r="BJ188" s="936">
        <f t="shared" si="126"/>
        <v>0</v>
      </c>
      <c r="BK188" s="937"/>
      <c r="BL188" s="936">
        <f>ROUND(SUMIFS('911.KCG.YE22'!T:T,'911.KCG.YE22'!P:P,'A0.LS'!E188),0)</f>
        <v>0</v>
      </c>
      <c r="BM188" s="936">
        <f>ROUND(SUMIFS('A5.YE22'!J:J,'A5.YE22'!K:K,'A0.LS'!$BM$5,'A5.YE22'!L:L,"Posted",'A5.YE22'!D:D,'A0.LS'!E188),0)</f>
        <v>0</v>
      </c>
      <c r="BN188" s="936">
        <f t="shared" si="127"/>
        <v>0</v>
      </c>
      <c r="BO188" s="937"/>
      <c r="BP188" s="938">
        <v>-88497596</v>
      </c>
      <c r="BQ188" s="938">
        <v>0</v>
      </c>
      <c r="BR188" s="938">
        <f t="shared" si="128"/>
        <v>-88497596</v>
      </c>
    </row>
    <row r="189" spans="2:70" ht="12.75">
      <c r="B189" s="939">
        <v>1</v>
      </c>
      <c r="C189" s="940" t="s">
        <v>2387</v>
      </c>
      <c r="D189" s="927" t="s">
        <v>2387</v>
      </c>
      <c r="E189" s="928" t="s">
        <v>225</v>
      </c>
      <c r="F189" s="928" t="s">
        <v>226</v>
      </c>
      <c r="G189" s="927" t="s">
        <v>2382</v>
      </c>
      <c r="H189" s="927" t="s">
        <v>2265</v>
      </c>
      <c r="I189" s="942">
        <f>SUMIFS('GL911.Cty Me.FY24'!T:T,'GL911.Cty Me.FY24'!H:H,'A0.LS'!E189)</f>
        <v>-27549000</v>
      </c>
      <c r="J189" s="942">
        <f>ROUND(SUMIFS('A5.FY24'!K:K,'A5.FY24'!E:E,'A0.LS'!E189,'A5.FY24'!L:L,"Finhay",'A5.FY24'!M:M,"Posted"),0)</f>
        <v>0</v>
      </c>
      <c r="K189" s="942">
        <f>ROUND(SUMIFS('A5.FY24'!K:K,'A5.FY24'!E:E,'A0.LS'!E189,'A5.FY24'!L:L,"EY",'A5.FY24'!M:M,"Posted"),0)</f>
        <v>0</v>
      </c>
      <c r="L189" s="943">
        <f t="shared" si="129"/>
        <v>-27549000</v>
      </c>
      <c r="M189" s="930"/>
      <c r="N189" s="944">
        <v>-86751000</v>
      </c>
      <c r="O189" s="944">
        <v>0</v>
      </c>
      <c r="P189" s="944">
        <v>0</v>
      </c>
      <c r="Q189" s="945">
        <v>-86751000</v>
      </c>
      <c r="R189" s="898"/>
      <c r="S189" s="848">
        <f t="shared" si="130"/>
        <v>59202000</v>
      </c>
      <c r="T189" s="946">
        <f t="shared" si="131"/>
        <v>-0.68243593733789809</v>
      </c>
      <c r="U189" s="850"/>
      <c r="V189" s="850" t="s">
        <v>2388</v>
      </c>
      <c r="W189" s="850"/>
      <c r="X189" s="947" t="s">
        <v>676</v>
      </c>
      <c r="Y189" s="947" t="s">
        <v>2382</v>
      </c>
      <c r="Z189" s="936">
        <f>ROUND(SUMIFS('GL911.CtyCon.FY24'!N:N,'GL911.CtyCon.FY24'!G:G,'A0.LS'!E189),0)</f>
        <v>0</v>
      </c>
      <c r="AA189" s="936">
        <f>ROUND(SUMIFS('A5.CTC FY24'!K:K,'A5.CTC FY24'!E:E,'A0.LS'!E189,'A5.CTC FY24'!A:A,'A0.LS'!$AA$5,'A5.CTC FY24'!L:L,"Finhay",'A5.CTC FY24'!M:M,"Posted"),0)</f>
        <v>0</v>
      </c>
      <c r="AB189" s="936">
        <f>ROUND(SUMIFS('A5.CTC FY24'!K:K,'A5.CTC FY24'!E:E,'A0.LS'!E189,'A5.CTC FY24'!A:A,'A0.LS'!$AB$5,'A5.CTC FY24'!L:L,"EY",'A5.CTC FY24'!M:M,"Posted"),0)</f>
        <v>0</v>
      </c>
      <c r="AC189" s="948">
        <f t="shared" si="116"/>
        <v>0</v>
      </c>
      <c r="AD189" s="930"/>
      <c r="AE189" s="936">
        <f>SUMIFS('GL911 VNSC FY24'!T:T,'GL911 VNSC FY24'!AG:AG,'A0.LS'!E189)</f>
        <v>0</v>
      </c>
      <c r="AF189" s="936">
        <f>SUMIFS('A5.CTC FY24'!K:K,'A5.CTC FY24'!E:E,'A0.LS'!E189,'A5.CTC FY24'!A:A,"VNSC",'A5.CTC FY24'!L:L,"VNSC",'A5.CTC FY24'!M:M,"Posted")</f>
        <v>0</v>
      </c>
      <c r="AG189" s="936">
        <f>ROUND(SUMIFS('A5.CTC FY24'!K:K,'A5.CTC FY24'!E:E,'A0.LS'!E189,'A5.CTC FY24'!A:A,"VNSC",'A5.CTC FY24'!L:L,"EY",'A5.CTC FY24'!M:M,"Posted"),0)</f>
        <v>0</v>
      </c>
      <c r="AH189" s="936">
        <f t="shared" si="117"/>
        <v>0</v>
      </c>
      <c r="AI189" s="930"/>
      <c r="AJ189" s="936">
        <f>ROUND(SUMIFS('GL911.KCG.FY24'!T:T,'GL911.KCG.FY24'!U:U,'A0.LS'!E189),0)</f>
        <v>0</v>
      </c>
      <c r="AK189" s="936">
        <f>ROUND(SUMIFS('A5.CTC FY24'!K:K,'A5.CTC FY24'!E:E,'A0.LS'!E189,'A5.CTC FY24'!A:A,'A0.LS'!$AK$5,'A5.CTC FY24'!L:L,"EY",'A5.CTC FY24'!M:M,"Posted"),0)</f>
        <v>0</v>
      </c>
      <c r="AL189" s="948">
        <f t="shared" si="118"/>
        <v>0</v>
      </c>
      <c r="AM189" s="930"/>
      <c r="AN189" s="949">
        <f t="shared" si="119"/>
        <v>0</v>
      </c>
      <c r="AO189" s="950">
        <f>ROUND(SUMIFS('A5.Consol FY24'!L:L,'A5.Consol FY24'!M:M,"EY",'A5.Consol FY24'!N:N,"Posted",'A5.Consol FY24'!B:B,'A0.LS'!$AO$5,'A5.Consol FY24'!F:F,'A0.LS'!E189),0)</f>
        <v>0</v>
      </c>
      <c r="AP189" s="949">
        <f t="shared" si="120"/>
        <v>0</v>
      </c>
      <c r="AQ189" s="930"/>
      <c r="AR189" s="936">
        <f>ROUND(SUMIFS('GL911.XH.FY24'!L:L,'GL911.XH.FY24'!F:F,'A0.LS'!E189),0)</f>
        <v>0</v>
      </c>
      <c r="AS189" s="936">
        <f>ROUND(SUMIFS('A5.CTC FY24'!K:K,'A5.CTC FY24'!E:E,'A0.LS'!E189,'A5.CTC FY24'!A:A,'A0.LS'!$AS$5,'A5.CTC FY24'!L:L,"EY",'A5.CTC FY24'!M:M,"Posted"),0)</f>
        <v>0</v>
      </c>
      <c r="AT189" s="948">
        <f t="shared" si="121"/>
        <v>0</v>
      </c>
      <c r="AU189" s="930"/>
      <c r="AV189" s="951">
        <f t="shared" si="122"/>
        <v>-27549000</v>
      </c>
      <c r="AW189" s="952">
        <f>SUMIFS('A5.Consol FY24'!L:L,'A5.Consol FY24'!B:B,'A0.LS'!$AW$5,'A5.Consol FY24'!M:M,"EY",'A5.Consol FY24'!N:N,"Posted",'A5.Consol FY24'!F:F,'A0.LS'!E189)</f>
        <v>0</v>
      </c>
      <c r="AX189" s="951">
        <f t="shared" si="123"/>
        <v>-27549000</v>
      </c>
      <c r="AY189" s="920"/>
      <c r="AZ189" s="936">
        <f>SUMIFS('911.CTC.YE22'!U:U,'911.CTC.YE22'!R:R,'A0.LS'!E189)</f>
        <v>0</v>
      </c>
      <c r="BA189" s="936">
        <f>ROUND(SUMIFS('A5.YE22'!J:J,'A5.YE22'!K:K,'A0.LS'!$BA$5,'A5.YE22'!L:L,"Posted",'A5.YE22'!D:D,'A0.LS'!E189),0)</f>
        <v>0</v>
      </c>
      <c r="BB189" s="936">
        <f t="shared" si="124"/>
        <v>0</v>
      </c>
      <c r="BC189" s="937"/>
      <c r="BD189" s="936">
        <f>ROUND(SUMIFS('911.VNSC.YE22'!R:R,'911.VNSC.YE22'!L:L,'A0.LS'!E189),0)</f>
        <v>0</v>
      </c>
      <c r="BE189" s="936">
        <f>ROUND(SUMIFS('A5.YE22'!J:J,'A5.YE22'!K:K,'A0.LS'!$BE$5,'A5.YE22'!L:L,"Posted",'A5.YE22'!D:D,'A0.LS'!E189),0)</f>
        <v>0</v>
      </c>
      <c r="BF189" s="936">
        <f t="shared" si="125"/>
        <v>0</v>
      </c>
      <c r="BG189" s="937"/>
      <c r="BH189" s="936">
        <f>ROUND(SUMIFS('911.XH.YE22'!T:T,'911.XH.YE22'!P:P,'A0.LS'!E189),0)</f>
        <v>0</v>
      </c>
      <c r="BI189" s="936">
        <f>ROUND(SUMIFS('A5.YE22'!J:J,'A5.YE22'!K:K,"XH",'A5.YE22'!L:L,"Posted",'A5.YE22'!D:D,'A0.LS'!E189),0)</f>
        <v>0</v>
      </c>
      <c r="BJ189" s="936">
        <f t="shared" si="126"/>
        <v>0</v>
      </c>
      <c r="BK189" s="937"/>
      <c r="BL189" s="936">
        <f>ROUND(SUMIFS('911.KCG.YE22'!T:T,'911.KCG.YE22'!P:P,'A0.LS'!E189),0)</f>
        <v>0</v>
      </c>
      <c r="BM189" s="936">
        <f>ROUND(SUMIFS('A5.YE22'!J:J,'A5.YE22'!K:K,'A0.LS'!$BM$5,'A5.YE22'!L:L,"Posted",'A5.YE22'!D:D,'A0.LS'!E189),0)</f>
        <v>0</v>
      </c>
      <c r="BN189" s="936">
        <f t="shared" si="127"/>
        <v>0</v>
      </c>
      <c r="BO189" s="937"/>
      <c r="BP189" s="938">
        <v>-86751000</v>
      </c>
      <c r="BQ189" s="938">
        <v>0</v>
      </c>
      <c r="BR189" s="938">
        <f t="shared" si="128"/>
        <v>-86751000</v>
      </c>
    </row>
    <row r="190" spans="2:70" ht="12.75">
      <c r="B190" s="939">
        <v>1</v>
      </c>
      <c r="C190" s="940" t="s">
        <v>2387</v>
      </c>
      <c r="D190" s="927" t="s">
        <v>2387</v>
      </c>
      <c r="E190" s="928" t="s">
        <v>227</v>
      </c>
      <c r="F190" s="928" t="s">
        <v>228</v>
      </c>
      <c r="G190" s="927" t="s">
        <v>2382</v>
      </c>
      <c r="H190" s="927" t="s">
        <v>2265</v>
      </c>
      <c r="I190" s="942">
        <f>SUMIFS('GL911.Cty Me.FY24'!T:T,'GL911.Cty Me.FY24'!H:H,'A0.LS'!E190)</f>
        <v>-86310000</v>
      </c>
      <c r="J190" s="942">
        <f>ROUND(SUMIFS('A5.FY24'!K:K,'A5.FY24'!E:E,'A0.LS'!E190,'A5.FY24'!L:L,"Finhay",'A5.FY24'!M:M,"Posted"),0)</f>
        <v>0</v>
      </c>
      <c r="K190" s="942">
        <f>ROUND(SUMIFS('A5.FY24'!K:K,'A5.FY24'!E:E,'A0.LS'!E190,'A5.FY24'!L:L,"EY",'A5.FY24'!M:M,"Posted"),0)</f>
        <v>0</v>
      </c>
      <c r="L190" s="943">
        <f t="shared" si="129"/>
        <v>-86310000</v>
      </c>
      <c r="M190" s="930"/>
      <c r="N190" s="944">
        <v>-277056000</v>
      </c>
      <c r="O190" s="944">
        <v>0</v>
      </c>
      <c r="P190" s="944">
        <v>0</v>
      </c>
      <c r="Q190" s="945">
        <v>-277056000</v>
      </c>
      <c r="R190" s="898"/>
      <c r="S190" s="848">
        <f t="shared" si="130"/>
        <v>190746000</v>
      </c>
      <c r="T190" s="946">
        <f t="shared" si="131"/>
        <v>-0.68847453222453225</v>
      </c>
      <c r="U190" s="850"/>
      <c r="V190" s="850" t="s">
        <v>2388</v>
      </c>
      <c r="W190" s="850"/>
      <c r="X190" s="947" t="s">
        <v>676</v>
      </c>
      <c r="Y190" s="947" t="s">
        <v>2382</v>
      </c>
      <c r="Z190" s="936">
        <f>ROUND(SUMIFS('GL911.CtyCon.FY24'!N:N,'GL911.CtyCon.FY24'!G:G,'A0.LS'!E190),0)</f>
        <v>0</v>
      </c>
      <c r="AA190" s="936">
        <f>ROUND(SUMIFS('A5.CTC FY24'!K:K,'A5.CTC FY24'!E:E,'A0.LS'!E190,'A5.CTC FY24'!A:A,'A0.LS'!$AA$5,'A5.CTC FY24'!L:L,"Finhay",'A5.CTC FY24'!M:M,"Posted"),0)</f>
        <v>0</v>
      </c>
      <c r="AB190" s="936">
        <f>ROUND(SUMIFS('A5.CTC FY24'!K:K,'A5.CTC FY24'!E:E,'A0.LS'!E190,'A5.CTC FY24'!A:A,'A0.LS'!$AB$5,'A5.CTC FY24'!L:L,"EY",'A5.CTC FY24'!M:M,"Posted"),0)</f>
        <v>0</v>
      </c>
      <c r="AC190" s="948">
        <f t="shared" si="116"/>
        <v>0</v>
      </c>
      <c r="AD190" s="930"/>
      <c r="AE190" s="936">
        <f>SUMIFS('GL911 VNSC FY24'!T:T,'GL911 VNSC FY24'!AG:AG,'A0.LS'!E190)</f>
        <v>0</v>
      </c>
      <c r="AF190" s="936">
        <f>SUMIFS('A5.CTC FY24'!K:K,'A5.CTC FY24'!E:E,'A0.LS'!E190,'A5.CTC FY24'!A:A,"VNSC",'A5.CTC FY24'!L:L,"VNSC",'A5.CTC FY24'!M:M,"Posted")</f>
        <v>0</v>
      </c>
      <c r="AG190" s="936">
        <f>ROUND(SUMIFS('A5.CTC FY24'!K:K,'A5.CTC FY24'!E:E,'A0.LS'!E190,'A5.CTC FY24'!A:A,"VNSC",'A5.CTC FY24'!L:L,"EY",'A5.CTC FY24'!M:M,"Posted"),0)</f>
        <v>0</v>
      </c>
      <c r="AH190" s="936">
        <f t="shared" si="117"/>
        <v>0</v>
      </c>
      <c r="AI190" s="930"/>
      <c r="AJ190" s="936">
        <f>ROUND(SUMIFS('GL911.KCG.FY24'!T:T,'GL911.KCG.FY24'!U:U,'A0.LS'!E190),0)</f>
        <v>0</v>
      </c>
      <c r="AK190" s="936">
        <f>ROUND(SUMIFS('A5.CTC FY24'!K:K,'A5.CTC FY24'!E:E,'A0.LS'!E190,'A5.CTC FY24'!A:A,'A0.LS'!$AK$5,'A5.CTC FY24'!L:L,"EY",'A5.CTC FY24'!M:M,"Posted"),0)</f>
        <v>0</v>
      </c>
      <c r="AL190" s="948">
        <f t="shared" si="118"/>
        <v>0</v>
      </c>
      <c r="AM190" s="930"/>
      <c r="AN190" s="949">
        <f t="shared" si="119"/>
        <v>0</v>
      </c>
      <c r="AO190" s="950">
        <f>ROUND(SUMIFS('A5.Consol FY24'!L:L,'A5.Consol FY24'!M:M,"EY",'A5.Consol FY24'!N:N,"Posted",'A5.Consol FY24'!B:B,'A0.LS'!$AO$5,'A5.Consol FY24'!F:F,'A0.LS'!E190),0)</f>
        <v>0</v>
      </c>
      <c r="AP190" s="949">
        <f t="shared" si="120"/>
        <v>0</v>
      </c>
      <c r="AQ190" s="930"/>
      <c r="AR190" s="936">
        <f>ROUND(SUMIFS('GL911.XH.FY24'!L:L,'GL911.XH.FY24'!F:F,'A0.LS'!E190),0)</f>
        <v>0</v>
      </c>
      <c r="AS190" s="936">
        <f>ROUND(SUMIFS('A5.CTC FY24'!K:K,'A5.CTC FY24'!E:E,'A0.LS'!E190,'A5.CTC FY24'!A:A,'A0.LS'!$AS$5,'A5.CTC FY24'!L:L,"EY",'A5.CTC FY24'!M:M,"Posted"),0)</f>
        <v>0</v>
      </c>
      <c r="AT190" s="948">
        <f t="shared" si="121"/>
        <v>0</v>
      </c>
      <c r="AU190" s="930"/>
      <c r="AV190" s="951">
        <f t="shared" si="122"/>
        <v>-86310000</v>
      </c>
      <c r="AW190" s="952">
        <f>SUMIFS('A5.Consol FY24'!L:L,'A5.Consol FY24'!B:B,'A0.LS'!$AW$5,'A5.Consol FY24'!M:M,"EY",'A5.Consol FY24'!N:N,"Posted",'A5.Consol FY24'!F:F,'A0.LS'!E190)</f>
        <v>0</v>
      </c>
      <c r="AX190" s="951">
        <f t="shared" si="123"/>
        <v>-86310000</v>
      </c>
      <c r="AY190" s="920"/>
      <c r="AZ190" s="936">
        <f>SUMIFS('911.CTC.YE22'!U:U,'911.CTC.YE22'!R:R,'A0.LS'!E190)</f>
        <v>0</v>
      </c>
      <c r="BA190" s="936">
        <f>ROUND(SUMIFS('A5.YE22'!J:J,'A5.YE22'!K:K,'A0.LS'!$BA$5,'A5.YE22'!L:L,"Posted",'A5.YE22'!D:D,'A0.LS'!E190),0)</f>
        <v>0</v>
      </c>
      <c r="BB190" s="936">
        <f t="shared" si="124"/>
        <v>0</v>
      </c>
      <c r="BC190" s="937"/>
      <c r="BD190" s="936">
        <f>ROUND(SUMIFS('911.VNSC.YE22'!R:R,'911.VNSC.YE22'!L:L,'A0.LS'!E190),0)</f>
        <v>0</v>
      </c>
      <c r="BE190" s="936">
        <f>ROUND(SUMIFS('A5.YE22'!J:J,'A5.YE22'!K:K,'A0.LS'!$BE$5,'A5.YE22'!L:L,"Posted",'A5.YE22'!D:D,'A0.LS'!E190),0)</f>
        <v>0</v>
      </c>
      <c r="BF190" s="936">
        <f t="shared" si="125"/>
        <v>0</v>
      </c>
      <c r="BG190" s="937"/>
      <c r="BH190" s="936">
        <f>ROUND(SUMIFS('911.XH.YE22'!T:T,'911.XH.YE22'!P:P,'A0.LS'!E190),0)</f>
        <v>0</v>
      </c>
      <c r="BI190" s="936">
        <f>ROUND(SUMIFS('A5.YE22'!J:J,'A5.YE22'!K:K,"XH",'A5.YE22'!L:L,"Posted",'A5.YE22'!D:D,'A0.LS'!E190),0)</f>
        <v>0</v>
      </c>
      <c r="BJ190" s="936">
        <f t="shared" si="126"/>
        <v>0</v>
      </c>
      <c r="BK190" s="937"/>
      <c r="BL190" s="936">
        <f>ROUND(SUMIFS('911.KCG.YE22'!T:T,'911.KCG.YE22'!P:P,'A0.LS'!E190),0)</f>
        <v>0</v>
      </c>
      <c r="BM190" s="936">
        <f>ROUND(SUMIFS('A5.YE22'!J:J,'A5.YE22'!K:K,'A0.LS'!$BM$5,'A5.YE22'!L:L,"Posted",'A5.YE22'!D:D,'A0.LS'!E190),0)</f>
        <v>0</v>
      </c>
      <c r="BN190" s="936">
        <f t="shared" si="127"/>
        <v>0</v>
      </c>
      <c r="BO190" s="937"/>
      <c r="BP190" s="938">
        <v>-277056000</v>
      </c>
      <c r="BQ190" s="938">
        <v>0</v>
      </c>
      <c r="BR190" s="938">
        <f t="shared" si="128"/>
        <v>-277056000</v>
      </c>
    </row>
    <row r="191" spans="2:70" ht="12.75">
      <c r="B191" s="939">
        <v>1</v>
      </c>
      <c r="C191" s="940" t="s">
        <v>2389</v>
      </c>
      <c r="D191" s="941" t="s">
        <v>2389</v>
      </c>
      <c r="E191" s="928" t="s">
        <v>2390</v>
      </c>
      <c r="F191" s="928" t="s">
        <v>2391</v>
      </c>
      <c r="G191" s="927" t="s">
        <v>2382</v>
      </c>
      <c r="H191" s="927" t="s">
        <v>2265</v>
      </c>
      <c r="I191" s="942">
        <f>SUMIFS('GL911.Cty Me.FY24'!T:T,'GL911.Cty Me.FY24'!H:H,'A0.LS'!E191)</f>
        <v>0</v>
      </c>
      <c r="J191" s="942">
        <f>ROUND(SUMIFS('A5.FY24'!K:K,'A5.FY24'!E:E,'A0.LS'!E191,'A5.FY24'!L:L,"Finhay",'A5.FY24'!M:M,"Posted"),0)</f>
        <v>0</v>
      </c>
      <c r="K191" s="942">
        <f>ROUND(SUMIFS('A5.FY24'!K:K,'A5.FY24'!E:E,'A0.LS'!E191,'A5.FY24'!L:L,"EY",'A5.FY24'!M:M,"Posted"),0)</f>
        <v>0</v>
      </c>
      <c r="L191" s="943">
        <f t="shared" si="129"/>
        <v>0</v>
      </c>
      <c r="M191" s="930"/>
      <c r="N191" s="944">
        <v>0</v>
      </c>
      <c r="O191" s="944">
        <v>0</v>
      </c>
      <c r="P191" s="944">
        <v>0</v>
      </c>
      <c r="Q191" s="945">
        <v>0</v>
      </c>
      <c r="R191" s="898"/>
      <c r="S191" s="848">
        <f t="shared" si="130"/>
        <v>0</v>
      </c>
      <c r="T191" s="946" t="str">
        <f t="shared" si="131"/>
        <v>To check</v>
      </c>
      <c r="U191" s="850"/>
      <c r="V191" s="850" t="s">
        <v>2392</v>
      </c>
      <c r="W191" s="850"/>
      <c r="X191" s="947" t="s">
        <v>676</v>
      </c>
      <c r="Y191" s="947" t="s">
        <v>2382</v>
      </c>
      <c r="Z191" s="936">
        <f>ROUND(SUMIFS('GL911.CtyCon.FY24'!N:N,'GL911.CtyCon.FY24'!G:G,'A0.LS'!E191),0)</f>
        <v>0</v>
      </c>
      <c r="AA191" s="936">
        <f>ROUND(SUMIFS('A5.CTC FY24'!K:K,'A5.CTC FY24'!E:E,'A0.LS'!E191,'A5.CTC FY24'!A:A,'A0.LS'!$AA$5,'A5.CTC FY24'!L:L,"Finhay",'A5.CTC FY24'!M:M,"Posted"),0)</f>
        <v>0</v>
      </c>
      <c r="AB191" s="936">
        <f>ROUND(SUMIFS('A5.CTC FY24'!K:K,'A5.CTC FY24'!E:E,'A0.LS'!E191,'A5.CTC FY24'!A:A,'A0.LS'!$AB$5,'A5.CTC FY24'!L:L,"EY",'A5.CTC FY24'!M:M,"Posted"),0)</f>
        <v>0</v>
      </c>
      <c r="AC191" s="948">
        <f t="shared" si="116"/>
        <v>0</v>
      </c>
      <c r="AD191" s="930"/>
      <c r="AE191" s="936">
        <f>SUMIFS('GL911 VNSC FY24'!T:T,'GL911 VNSC FY24'!AG:AG,'A0.LS'!E191)</f>
        <v>0</v>
      </c>
      <c r="AF191" s="936">
        <f>SUMIFS('A5.CTC FY24'!K:K,'A5.CTC FY24'!E:E,'A0.LS'!E191,'A5.CTC FY24'!A:A,"VNSC",'A5.CTC FY24'!L:L,"VNSC",'A5.CTC FY24'!M:M,"Posted")</f>
        <v>0</v>
      </c>
      <c r="AG191" s="936">
        <f>ROUND(SUMIFS('A5.CTC FY24'!K:K,'A5.CTC FY24'!E:E,'A0.LS'!E191,'A5.CTC FY24'!A:A,"VNSC",'A5.CTC FY24'!L:L,"EY",'A5.CTC FY24'!M:M,"Posted"),0)</f>
        <v>0</v>
      </c>
      <c r="AH191" s="936">
        <f t="shared" si="117"/>
        <v>0</v>
      </c>
      <c r="AI191" s="930"/>
      <c r="AJ191" s="936">
        <f>ROUND(SUMIFS('GL911.KCG.FY24'!T:T,'GL911.KCG.FY24'!U:U,'A0.LS'!E191),0)</f>
        <v>0</v>
      </c>
      <c r="AK191" s="936">
        <f>ROUND(SUMIFS('A5.CTC FY24'!K:K,'A5.CTC FY24'!E:E,'A0.LS'!E191,'A5.CTC FY24'!A:A,'A0.LS'!$AK$5,'A5.CTC FY24'!L:L,"EY",'A5.CTC FY24'!M:M,"Posted"),0)</f>
        <v>0</v>
      </c>
      <c r="AL191" s="948">
        <f t="shared" si="118"/>
        <v>0</v>
      </c>
      <c r="AM191" s="930"/>
      <c r="AN191" s="949">
        <f t="shared" si="119"/>
        <v>0</v>
      </c>
      <c r="AO191" s="950">
        <f>ROUND(SUMIFS('A5.Consol FY24'!L:L,'A5.Consol FY24'!M:M,"EY",'A5.Consol FY24'!N:N,"Posted",'A5.Consol FY24'!B:B,'A0.LS'!$AO$5,'A5.Consol FY24'!F:F,'A0.LS'!E191),0)</f>
        <v>0</v>
      </c>
      <c r="AP191" s="949">
        <f t="shared" si="120"/>
        <v>0</v>
      </c>
      <c r="AQ191" s="930"/>
      <c r="AR191" s="936">
        <f>ROUND(SUMIFS('GL911.XH.FY24'!L:L,'GL911.XH.FY24'!F:F,'A0.LS'!E191),0)</f>
        <v>0</v>
      </c>
      <c r="AS191" s="936">
        <f>ROUND(SUMIFS('A5.CTC FY24'!K:K,'A5.CTC FY24'!E:E,'A0.LS'!E191,'A5.CTC FY24'!A:A,'A0.LS'!$AS$5,'A5.CTC FY24'!L:L,"EY",'A5.CTC FY24'!M:M,"Posted"),0)</f>
        <v>0</v>
      </c>
      <c r="AT191" s="948">
        <f t="shared" si="121"/>
        <v>0</v>
      </c>
      <c r="AU191" s="930"/>
      <c r="AV191" s="951">
        <f t="shared" si="122"/>
        <v>0</v>
      </c>
      <c r="AW191" s="952">
        <f>SUMIFS('A5.Consol FY24'!L:L,'A5.Consol FY24'!B:B,'A0.LS'!$AW$5,'A5.Consol FY24'!M:M,"EY",'A5.Consol FY24'!N:N,"Posted",'A5.Consol FY24'!F:F,'A0.LS'!E191)</f>
        <v>0</v>
      </c>
      <c r="AX191" s="951">
        <f t="shared" si="123"/>
        <v>0</v>
      </c>
      <c r="AY191" s="920"/>
      <c r="AZ191" s="936">
        <f>SUMIFS('911.CTC.YE22'!U:U,'911.CTC.YE22'!R:R,'A0.LS'!E191)</f>
        <v>0</v>
      </c>
      <c r="BA191" s="936">
        <f>ROUND(SUMIFS('A5.YE22'!J:J,'A5.YE22'!K:K,'A0.LS'!$BA$5,'A5.YE22'!L:L,"Posted",'A5.YE22'!D:D,'A0.LS'!E191),0)</f>
        <v>0</v>
      </c>
      <c r="BB191" s="936">
        <f t="shared" si="124"/>
        <v>0</v>
      </c>
      <c r="BC191" s="937"/>
      <c r="BD191" s="936">
        <f>ROUND(SUMIFS('911.VNSC.YE22'!R:R,'911.VNSC.YE22'!L:L,'A0.LS'!E191),0)</f>
        <v>0</v>
      </c>
      <c r="BE191" s="936">
        <f>ROUND(SUMIFS('A5.YE22'!J:J,'A5.YE22'!K:K,'A0.LS'!$BE$5,'A5.YE22'!L:L,"Posted",'A5.YE22'!D:D,'A0.LS'!E191),0)</f>
        <v>0</v>
      </c>
      <c r="BF191" s="936">
        <f t="shared" si="125"/>
        <v>0</v>
      </c>
      <c r="BG191" s="937"/>
      <c r="BH191" s="936">
        <f>ROUND(SUMIFS('911.XH.YE22'!T:T,'911.XH.YE22'!P:P,'A0.LS'!E191),0)</f>
        <v>0</v>
      </c>
      <c r="BI191" s="936">
        <f>ROUND(SUMIFS('A5.YE22'!J:J,'A5.YE22'!K:K,"XH",'A5.YE22'!L:L,"Posted",'A5.YE22'!D:D,'A0.LS'!E191),0)</f>
        <v>0</v>
      </c>
      <c r="BJ191" s="936">
        <f t="shared" si="126"/>
        <v>0</v>
      </c>
      <c r="BK191" s="937"/>
      <c r="BL191" s="936">
        <f>ROUND(SUMIFS('911.KCG.YE22'!T:T,'911.KCG.YE22'!P:P,'A0.LS'!E191),0)</f>
        <v>0</v>
      </c>
      <c r="BM191" s="936">
        <f>ROUND(SUMIFS('A5.YE22'!J:J,'A5.YE22'!K:K,'A0.LS'!$BM$5,'A5.YE22'!L:L,"Posted",'A5.YE22'!D:D,'A0.LS'!E191),0)</f>
        <v>0</v>
      </c>
      <c r="BN191" s="936">
        <f t="shared" si="127"/>
        <v>0</v>
      </c>
      <c r="BO191" s="937"/>
      <c r="BP191" s="938">
        <v>0</v>
      </c>
      <c r="BQ191" s="938">
        <v>0</v>
      </c>
      <c r="BR191" s="938">
        <f t="shared" si="128"/>
        <v>0</v>
      </c>
    </row>
    <row r="192" spans="2:70" ht="12.75">
      <c r="B192" s="939">
        <v>1</v>
      </c>
      <c r="C192" s="940" t="s">
        <v>2393</v>
      </c>
      <c r="D192" s="941" t="s">
        <v>2393</v>
      </c>
      <c r="E192" s="928" t="s">
        <v>229</v>
      </c>
      <c r="F192" s="928" t="s">
        <v>230</v>
      </c>
      <c r="G192" s="927" t="s">
        <v>2382</v>
      </c>
      <c r="H192" s="927" t="s">
        <v>2265</v>
      </c>
      <c r="I192" s="942">
        <f>SUMIFS('GL911.Cty Me.FY24'!T:T,'GL911.Cty Me.FY24'!H:H,'A0.LS'!E192)</f>
        <v>-688343171</v>
      </c>
      <c r="J192" s="942">
        <f>ROUND(SUMIFS('A5.FY24'!K:K,'A5.FY24'!E:E,'A0.LS'!E192,'A5.FY24'!L:L,"Finhay",'A5.FY24'!M:M,"Posted"),0)</f>
        <v>-51180627</v>
      </c>
      <c r="K192" s="942">
        <f>ROUND(SUMIFS('A5.FY24'!K:K,'A5.FY24'!E:E,'A0.LS'!E192,'A5.FY24'!L:L,"EY",'A5.FY24'!M:M,"Posted"),0)</f>
        <v>0</v>
      </c>
      <c r="L192" s="943">
        <f t="shared" si="129"/>
        <v>-739523798</v>
      </c>
      <c r="M192" s="930"/>
      <c r="N192" s="944">
        <v>-1542894807</v>
      </c>
      <c r="O192" s="944">
        <v>0</v>
      </c>
      <c r="P192" s="944">
        <v>0</v>
      </c>
      <c r="Q192" s="945">
        <v>-1542894807</v>
      </c>
      <c r="R192" s="898"/>
      <c r="S192" s="848">
        <f t="shared" si="130"/>
        <v>803371009</v>
      </c>
      <c r="T192" s="946">
        <f t="shared" si="131"/>
        <v>-0.52069072068631317</v>
      </c>
      <c r="U192" s="850"/>
      <c r="V192" s="850" t="s">
        <v>2394</v>
      </c>
      <c r="W192" s="850"/>
      <c r="X192" s="947"/>
      <c r="Y192" s="947" t="s">
        <v>2382</v>
      </c>
      <c r="Z192" s="936">
        <f>ROUND(SUMIFS('GL911.CtyCon.FY24'!N:N,'GL911.CtyCon.FY24'!G:G,'A0.LS'!E192),0)</f>
        <v>0</v>
      </c>
      <c r="AA192" s="936">
        <f>ROUND(SUMIFS('A5.CTC FY24'!K:K,'A5.CTC FY24'!E:E,'A0.LS'!E192,'A5.CTC FY24'!A:A,'A0.LS'!$AA$5,'A5.CTC FY24'!L:L,"Finhay",'A5.CTC FY24'!M:M,"Posted"),0)</f>
        <v>0</v>
      </c>
      <c r="AB192" s="936">
        <f>ROUND(SUMIFS('A5.CTC FY24'!K:K,'A5.CTC FY24'!E:E,'A0.LS'!E192,'A5.CTC FY24'!A:A,'A0.LS'!$AB$5,'A5.CTC FY24'!L:L,"EY",'A5.CTC FY24'!M:M,"Posted"),0)</f>
        <v>0</v>
      </c>
      <c r="AC192" s="948">
        <f t="shared" si="116"/>
        <v>0</v>
      </c>
      <c r="AD192" s="930"/>
      <c r="AE192" s="936">
        <f>SUMIFS('GL911 VNSC FY24'!T:T,'GL911 VNSC FY24'!AG:AG,'A0.LS'!E192)</f>
        <v>0</v>
      </c>
      <c r="AF192" s="936">
        <f>SUMIFS('A5.CTC FY24'!K:K,'A5.CTC FY24'!E:E,'A0.LS'!E192,'A5.CTC FY24'!A:A,"VNSC",'A5.CTC FY24'!L:L,"VNSC",'A5.CTC FY24'!M:M,"Posted")</f>
        <v>0</v>
      </c>
      <c r="AG192" s="936">
        <f>ROUND(SUMIFS('A5.CTC FY24'!K:K,'A5.CTC FY24'!E:E,'A0.LS'!E192,'A5.CTC FY24'!A:A,"VNSC",'A5.CTC FY24'!L:L,"EY",'A5.CTC FY24'!M:M,"Posted"),0)</f>
        <v>0</v>
      </c>
      <c r="AH192" s="936">
        <f t="shared" si="117"/>
        <v>0</v>
      </c>
      <c r="AI192" s="930"/>
      <c r="AJ192" s="936">
        <f>ROUND(SUMIFS('GL911.KCG.FY24'!T:T,'GL911.KCG.FY24'!U:U,'A0.LS'!E192),0)</f>
        <v>0</v>
      </c>
      <c r="AK192" s="936">
        <f>ROUND(SUMIFS('A5.CTC FY24'!K:K,'A5.CTC FY24'!E:E,'A0.LS'!E192,'A5.CTC FY24'!A:A,'A0.LS'!$AK$5,'A5.CTC FY24'!L:L,"EY",'A5.CTC FY24'!M:M,"Posted"),0)</f>
        <v>0</v>
      </c>
      <c r="AL192" s="948">
        <f t="shared" si="118"/>
        <v>0</v>
      </c>
      <c r="AM192" s="930"/>
      <c r="AN192" s="949">
        <f t="shared" si="119"/>
        <v>0</v>
      </c>
      <c r="AO192" s="950">
        <f>ROUND(SUMIFS('A5.Consol FY24'!L:L,'A5.Consol FY24'!M:M,"EY",'A5.Consol FY24'!N:N,"Posted",'A5.Consol FY24'!B:B,'A0.LS'!$AO$5,'A5.Consol FY24'!F:F,'A0.LS'!E192),0)</f>
        <v>0</v>
      </c>
      <c r="AP192" s="949">
        <f t="shared" si="120"/>
        <v>0</v>
      </c>
      <c r="AQ192" s="930"/>
      <c r="AR192" s="936">
        <f>ROUND(SUMIFS('GL911.XH.FY24'!L:L,'GL911.XH.FY24'!F:F,'A0.LS'!E192),0)</f>
        <v>0</v>
      </c>
      <c r="AS192" s="936">
        <f>ROUND(SUMIFS('A5.CTC FY24'!K:K,'A5.CTC FY24'!E:E,'A0.LS'!E192,'A5.CTC FY24'!A:A,'A0.LS'!$AS$5,'A5.CTC FY24'!L:L,"EY",'A5.CTC FY24'!M:M,"Posted"),0)</f>
        <v>0</v>
      </c>
      <c r="AT192" s="948">
        <f t="shared" si="121"/>
        <v>0</v>
      </c>
      <c r="AU192" s="930"/>
      <c r="AV192" s="951">
        <f t="shared" si="122"/>
        <v>-739523798</v>
      </c>
      <c r="AW192" s="952">
        <f>SUMIFS('A5.Consol FY24'!L:L,'A5.Consol FY24'!B:B,'A0.LS'!$AW$5,'A5.Consol FY24'!M:M,"EY",'A5.Consol FY24'!N:N,"Posted",'A5.Consol FY24'!F:F,'A0.LS'!E192)</f>
        <v>0</v>
      </c>
      <c r="AX192" s="951">
        <f t="shared" si="123"/>
        <v>-739523798</v>
      </c>
      <c r="AY192" s="920"/>
      <c r="AZ192" s="936">
        <f>SUMIFS('911.CTC.YE22'!U:U,'911.CTC.YE22'!R:R,'A0.LS'!E192)</f>
        <v>0</v>
      </c>
      <c r="BA192" s="936">
        <f>ROUND(SUMIFS('A5.YE22'!J:J,'A5.YE22'!K:K,'A0.LS'!$BA$5,'A5.YE22'!L:L,"Posted",'A5.YE22'!D:D,'A0.LS'!E192),0)</f>
        <v>0</v>
      </c>
      <c r="BB192" s="936">
        <f t="shared" si="124"/>
        <v>0</v>
      </c>
      <c r="BC192" s="937"/>
      <c r="BD192" s="936">
        <f>ROUND(SUMIFS('911.VNSC.YE22'!R:R,'911.VNSC.YE22'!L:L,'A0.LS'!E192),0)</f>
        <v>0</v>
      </c>
      <c r="BE192" s="936">
        <f>ROUND(SUMIFS('A5.YE22'!J:J,'A5.YE22'!K:K,'A0.LS'!$BE$5,'A5.YE22'!L:L,"Posted",'A5.YE22'!D:D,'A0.LS'!E192),0)</f>
        <v>0</v>
      </c>
      <c r="BF192" s="936">
        <f t="shared" si="125"/>
        <v>0</v>
      </c>
      <c r="BG192" s="937"/>
      <c r="BH192" s="936">
        <f>ROUND(SUMIFS('911.XH.YE22'!T:T,'911.XH.YE22'!P:P,'A0.LS'!E192),0)</f>
        <v>0</v>
      </c>
      <c r="BI192" s="936">
        <f>ROUND(SUMIFS('A5.YE22'!J:J,'A5.YE22'!K:K,"XH",'A5.YE22'!L:L,"Posted",'A5.YE22'!D:D,'A0.LS'!E192),0)</f>
        <v>0</v>
      </c>
      <c r="BJ192" s="936">
        <f t="shared" si="126"/>
        <v>0</v>
      </c>
      <c r="BK192" s="937"/>
      <c r="BL192" s="936">
        <f>ROUND(SUMIFS('911.KCG.YE22'!T:T,'911.KCG.YE22'!P:P,'A0.LS'!E192),0)</f>
        <v>0</v>
      </c>
      <c r="BM192" s="936">
        <f>ROUND(SUMIFS('A5.YE22'!J:J,'A5.YE22'!K:K,'A0.LS'!$BM$5,'A5.YE22'!L:L,"Posted",'A5.YE22'!D:D,'A0.LS'!E192),0)</f>
        <v>0</v>
      </c>
      <c r="BN192" s="936">
        <f t="shared" si="127"/>
        <v>0</v>
      </c>
      <c r="BO192" s="937"/>
      <c r="BP192" s="938">
        <v>-1542894807</v>
      </c>
      <c r="BQ192" s="938">
        <v>0</v>
      </c>
      <c r="BR192" s="938">
        <f t="shared" si="128"/>
        <v>-1542894807</v>
      </c>
    </row>
    <row r="193" spans="2:70" ht="12.75">
      <c r="B193" s="939">
        <v>1</v>
      </c>
      <c r="C193" s="940" t="s">
        <v>2395</v>
      </c>
      <c r="D193" s="927" t="s">
        <v>2395</v>
      </c>
      <c r="E193" s="928" t="s">
        <v>2396</v>
      </c>
      <c r="F193" s="928" t="s">
        <v>2397</v>
      </c>
      <c r="G193" s="927" t="s">
        <v>2382</v>
      </c>
      <c r="H193" s="927" t="s">
        <v>2265</v>
      </c>
      <c r="I193" s="942">
        <f>SUMIFS('GL911.Cty Me.FY24'!T:T,'GL911.Cty Me.FY24'!H:H,'A0.LS'!E193)</f>
        <v>0</v>
      </c>
      <c r="J193" s="942">
        <f>ROUND(SUMIFS('A5.FY24'!K:K,'A5.FY24'!E:E,'A0.LS'!E193,'A5.FY24'!L:L,"Finhay",'A5.FY24'!M:M,"Posted"),0)</f>
        <v>0</v>
      </c>
      <c r="K193" s="942">
        <f>ROUND(SUMIFS('A5.FY24'!K:K,'A5.FY24'!E:E,'A0.LS'!E193,'A5.FY24'!L:L,"EY",'A5.FY24'!M:M,"Posted"),0)</f>
        <v>0</v>
      </c>
      <c r="L193" s="943">
        <f t="shared" si="129"/>
        <v>0</v>
      </c>
      <c r="M193" s="930"/>
      <c r="N193" s="944">
        <v>0</v>
      </c>
      <c r="O193" s="944">
        <v>0</v>
      </c>
      <c r="P193" s="944">
        <v>0</v>
      </c>
      <c r="Q193" s="945">
        <v>0</v>
      </c>
      <c r="R193" s="898"/>
      <c r="S193" s="848">
        <f t="shared" si="130"/>
        <v>0</v>
      </c>
      <c r="T193" s="946" t="str">
        <f t="shared" si="131"/>
        <v>To check</v>
      </c>
      <c r="U193" s="850"/>
      <c r="V193" s="850" t="s">
        <v>2398</v>
      </c>
      <c r="W193" s="850"/>
      <c r="X193" s="947" t="s">
        <v>676</v>
      </c>
      <c r="Y193" s="947" t="s">
        <v>2382</v>
      </c>
      <c r="Z193" s="936">
        <f>ROUND(SUMIFS('GL911.CtyCon.FY24'!N:N,'GL911.CtyCon.FY24'!G:G,'A0.LS'!E193),0)</f>
        <v>0</v>
      </c>
      <c r="AA193" s="936">
        <f>ROUND(SUMIFS('A5.CTC FY24'!K:K,'A5.CTC FY24'!E:E,'A0.LS'!E193,'A5.CTC FY24'!A:A,'A0.LS'!$AA$5,'A5.CTC FY24'!L:L,"Finhay",'A5.CTC FY24'!M:M,"Posted"),0)</f>
        <v>0</v>
      </c>
      <c r="AB193" s="936">
        <f>ROUND(SUMIFS('A5.CTC FY24'!K:K,'A5.CTC FY24'!E:E,'A0.LS'!E193,'A5.CTC FY24'!A:A,'A0.LS'!$AB$5,'A5.CTC FY24'!L:L,"EY",'A5.CTC FY24'!M:M,"Posted"),0)</f>
        <v>0</v>
      </c>
      <c r="AC193" s="948">
        <f t="shared" si="116"/>
        <v>0</v>
      </c>
      <c r="AD193" s="930"/>
      <c r="AE193" s="936">
        <f>SUMIFS('GL911 VNSC FY24'!T:T,'GL911 VNSC FY24'!AG:AG,'A0.LS'!E193)</f>
        <v>0</v>
      </c>
      <c r="AF193" s="936">
        <f>SUMIFS('A5.CTC FY24'!K:K,'A5.CTC FY24'!E:E,'A0.LS'!E193,'A5.CTC FY24'!A:A,"VNSC",'A5.CTC FY24'!L:L,"VNSC",'A5.CTC FY24'!M:M,"Posted")</f>
        <v>0</v>
      </c>
      <c r="AG193" s="936">
        <f>ROUND(SUMIFS('A5.CTC FY24'!K:K,'A5.CTC FY24'!E:E,'A0.LS'!E193,'A5.CTC FY24'!A:A,"VNSC",'A5.CTC FY24'!L:L,"EY",'A5.CTC FY24'!M:M,"Posted"),0)</f>
        <v>0</v>
      </c>
      <c r="AH193" s="936">
        <f t="shared" si="117"/>
        <v>0</v>
      </c>
      <c r="AI193" s="930"/>
      <c r="AJ193" s="936">
        <f>ROUND(SUMIFS('GL911.KCG.FY24'!T:T,'GL911.KCG.FY24'!U:U,'A0.LS'!E193),0)</f>
        <v>0</v>
      </c>
      <c r="AK193" s="936">
        <f>ROUND(SUMIFS('A5.CTC FY24'!K:K,'A5.CTC FY24'!E:E,'A0.LS'!E193,'A5.CTC FY24'!A:A,'A0.LS'!$AK$5,'A5.CTC FY24'!L:L,"EY",'A5.CTC FY24'!M:M,"Posted"),0)</f>
        <v>0</v>
      </c>
      <c r="AL193" s="948">
        <f t="shared" si="118"/>
        <v>0</v>
      </c>
      <c r="AM193" s="930"/>
      <c r="AN193" s="949">
        <f t="shared" si="119"/>
        <v>0</v>
      </c>
      <c r="AO193" s="950">
        <f>ROUND(SUMIFS('A5.Consol FY24'!L:L,'A5.Consol FY24'!M:M,"EY",'A5.Consol FY24'!N:N,"Posted",'A5.Consol FY24'!B:B,'A0.LS'!$AO$5,'A5.Consol FY24'!F:F,'A0.LS'!E193),0)</f>
        <v>0</v>
      </c>
      <c r="AP193" s="949">
        <f t="shared" si="120"/>
        <v>0</v>
      </c>
      <c r="AQ193" s="930"/>
      <c r="AR193" s="936">
        <f>ROUND(SUMIFS('GL911.XH.FY24'!L:L,'GL911.XH.FY24'!F:F,'A0.LS'!E193),0)</f>
        <v>0</v>
      </c>
      <c r="AS193" s="936">
        <f>ROUND(SUMIFS('A5.CTC FY24'!K:K,'A5.CTC FY24'!E:E,'A0.LS'!E193,'A5.CTC FY24'!A:A,'A0.LS'!$AS$5,'A5.CTC FY24'!L:L,"EY",'A5.CTC FY24'!M:M,"Posted"),0)</f>
        <v>0</v>
      </c>
      <c r="AT193" s="948">
        <f t="shared" si="121"/>
        <v>0</v>
      </c>
      <c r="AU193" s="930"/>
      <c r="AV193" s="951">
        <f t="shared" si="122"/>
        <v>0</v>
      </c>
      <c r="AW193" s="952">
        <f>SUMIFS('A5.Consol FY24'!L:L,'A5.Consol FY24'!B:B,'A0.LS'!$AW$5,'A5.Consol FY24'!M:M,"EY",'A5.Consol FY24'!N:N,"Posted",'A5.Consol FY24'!F:F,'A0.LS'!E193)</f>
        <v>0</v>
      </c>
      <c r="AX193" s="951">
        <f t="shared" si="123"/>
        <v>0</v>
      </c>
      <c r="AY193" s="920"/>
      <c r="AZ193" s="936">
        <f>SUMIFS('911.CTC.YE22'!U:U,'911.CTC.YE22'!R:R,'A0.LS'!E193)</f>
        <v>0</v>
      </c>
      <c r="BA193" s="936">
        <f>ROUND(SUMIFS('A5.YE22'!J:J,'A5.YE22'!K:K,'A0.LS'!$BA$5,'A5.YE22'!L:L,"Posted",'A5.YE22'!D:D,'A0.LS'!E193),0)</f>
        <v>0</v>
      </c>
      <c r="BB193" s="936">
        <f t="shared" si="124"/>
        <v>0</v>
      </c>
      <c r="BC193" s="937"/>
      <c r="BD193" s="936">
        <f>ROUND(SUMIFS('911.VNSC.YE22'!R:R,'911.VNSC.YE22'!L:L,'A0.LS'!E193),0)</f>
        <v>0</v>
      </c>
      <c r="BE193" s="936">
        <f>ROUND(SUMIFS('A5.YE22'!J:J,'A5.YE22'!K:K,'A0.LS'!$BE$5,'A5.YE22'!L:L,"Posted",'A5.YE22'!D:D,'A0.LS'!E193),0)</f>
        <v>0</v>
      </c>
      <c r="BF193" s="936">
        <f t="shared" si="125"/>
        <v>0</v>
      </c>
      <c r="BG193" s="937"/>
      <c r="BH193" s="936">
        <f>ROUND(SUMIFS('911.XH.YE22'!T:T,'911.XH.YE22'!P:P,'A0.LS'!E193),0)</f>
        <v>0</v>
      </c>
      <c r="BI193" s="936">
        <f>ROUND(SUMIFS('A5.YE22'!J:J,'A5.YE22'!K:K,"XH",'A5.YE22'!L:L,"Posted",'A5.YE22'!D:D,'A0.LS'!E193),0)</f>
        <v>0</v>
      </c>
      <c r="BJ193" s="936">
        <f t="shared" si="126"/>
        <v>0</v>
      </c>
      <c r="BK193" s="937"/>
      <c r="BL193" s="936">
        <f>ROUND(SUMIFS('911.KCG.YE22'!T:T,'911.KCG.YE22'!P:P,'A0.LS'!E193),0)</f>
        <v>0</v>
      </c>
      <c r="BM193" s="936">
        <f>ROUND(SUMIFS('A5.YE22'!J:J,'A5.YE22'!K:K,'A0.LS'!$BM$5,'A5.YE22'!L:L,"Posted",'A5.YE22'!D:D,'A0.LS'!E193),0)</f>
        <v>0</v>
      </c>
      <c r="BN193" s="936">
        <f t="shared" si="127"/>
        <v>0</v>
      </c>
      <c r="BO193" s="937"/>
      <c r="BP193" s="938">
        <v>0</v>
      </c>
      <c r="BQ193" s="938">
        <v>0</v>
      </c>
      <c r="BR193" s="938">
        <f t="shared" si="128"/>
        <v>0</v>
      </c>
    </row>
    <row r="194" spans="2:70" ht="12.75">
      <c r="B194" s="939">
        <v>1</v>
      </c>
      <c r="C194" s="940" t="s">
        <v>2399</v>
      </c>
      <c r="D194" s="927" t="s">
        <v>2399</v>
      </c>
      <c r="E194" s="928" t="s">
        <v>2400</v>
      </c>
      <c r="F194" s="928" t="s">
        <v>2401</v>
      </c>
      <c r="G194" s="927" t="s">
        <v>2382</v>
      </c>
      <c r="H194" s="927" t="s">
        <v>2265</v>
      </c>
      <c r="I194" s="942">
        <f>SUMIFS('GL911.Cty Me.FY24'!T:T,'GL911.Cty Me.FY24'!H:H,'A0.LS'!E194)</f>
        <v>0</v>
      </c>
      <c r="J194" s="942">
        <f>ROUND(SUMIFS('A5.FY24'!K:K,'A5.FY24'!E:E,'A0.LS'!E194,'A5.FY24'!L:L,"Finhay",'A5.FY24'!M:M,"Posted"),0)</f>
        <v>0</v>
      </c>
      <c r="K194" s="942">
        <f>ROUND(SUMIFS('A5.FY24'!K:K,'A5.FY24'!E:E,'A0.LS'!E194,'A5.FY24'!L:L,"EY",'A5.FY24'!M:M,"Posted"),0)</f>
        <v>0</v>
      </c>
      <c r="L194" s="943">
        <f t="shared" si="129"/>
        <v>0</v>
      </c>
      <c r="M194" s="930"/>
      <c r="N194" s="944">
        <v>0</v>
      </c>
      <c r="O194" s="944">
        <v>0</v>
      </c>
      <c r="P194" s="944">
        <v>0</v>
      </c>
      <c r="Q194" s="945">
        <v>0</v>
      </c>
      <c r="R194" s="898"/>
      <c r="S194" s="848">
        <f t="shared" si="130"/>
        <v>0</v>
      </c>
      <c r="T194" s="946" t="str">
        <f t="shared" si="131"/>
        <v>To check</v>
      </c>
      <c r="U194" s="850"/>
      <c r="V194" s="850" t="s">
        <v>2402</v>
      </c>
      <c r="W194" s="850"/>
      <c r="X194" s="947" t="s">
        <v>676</v>
      </c>
      <c r="Y194" s="947" t="s">
        <v>2382</v>
      </c>
      <c r="Z194" s="936">
        <f>ROUND(SUMIFS('GL911.CtyCon.FY24'!N:N,'GL911.CtyCon.FY24'!G:G,'A0.LS'!E194),0)</f>
        <v>0</v>
      </c>
      <c r="AA194" s="936">
        <f>ROUND(SUMIFS('A5.CTC FY24'!K:K,'A5.CTC FY24'!E:E,'A0.LS'!E194,'A5.CTC FY24'!A:A,'A0.LS'!$AA$5,'A5.CTC FY24'!L:L,"Finhay",'A5.CTC FY24'!M:M,"Posted"),0)</f>
        <v>0</v>
      </c>
      <c r="AB194" s="936">
        <f>ROUND(SUMIFS('A5.CTC FY24'!K:K,'A5.CTC FY24'!E:E,'A0.LS'!E194,'A5.CTC FY24'!A:A,'A0.LS'!$AB$5,'A5.CTC FY24'!L:L,"EY",'A5.CTC FY24'!M:M,"Posted"),0)</f>
        <v>0</v>
      </c>
      <c r="AC194" s="948">
        <f t="shared" si="116"/>
        <v>0</v>
      </c>
      <c r="AD194" s="930"/>
      <c r="AE194" s="936">
        <f>SUMIFS('GL911 VNSC FY24'!T:T,'GL911 VNSC FY24'!AG:AG,'A0.LS'!E194)</f>
        <v>0</v>
      </c>
      <c r="AF194" s="936">
        <f>SUMIFS('A5.CTC FY24'!K:K,'A5.CTC FY24'!E:E,'A0.LS'!E194,'A5.CTC FY24'!A:A,"VNSC",'A5.CTC FY24'!L:L,"VNSC",'A5.CTC FY24'!M:M,"Posted")</f>
        <v>0</v>
      </c>
      <c r="AG194" s="936">
        <f>ROUND(SUMIFS('A5.CTC FY24'!K:K,'A5.CTC FY24'!E:E,'A0.LS'!E194,'A5.CTC FY24'!A:A,"VNSC",'A5.CTC FY24'!L:L,"EY",'A5.CTC FY24'!M:M,"Posted"),0)</f>
        <v>0</v>
      </c>
      <c r="AH194" s="936">
        <f t="shared" si="117"/>
        <v>0</v>
      </c>
      <c r="AI194" s="930"/>
      <c r="AJ194" s="936">
        <f>ROUND(SUMIFS('GL911.KCG.FY24'!T:T,'GL911.KCG.FY24'!U:U,'A0.LS'!E194),0)</f>
        <v>0</v>
      </c>
      <c r="AK194" s="936">
        <f>ROUND(SUMIFS('A5.CTC FY24'!K:K,'A5.CTC FY24'!E:E,'A0.LS'!E194,'A5.CTC FY24'!A:A,'A0.LS'!$AK$5,'A5.CTC FY24'!L:L,"EY",'A5.CTC FY24'!M:M,"Posted"),0)</f>
        <v>0</v>
      </c>
      <c r="AL194" s="948">
        <f t="shared" si="118"/>
        <v>0</v>
      </c>
      <c r="AM194" s="930"/>
      <c r="AN194" s="949">
        <f t="shared" si="119"/>
        <v>0</v>
      </c>
      <c r="AO194" s="950">
        <f>ROUND(SUMIFS('A5.Consol FY24'!L:L,'A5.Consol FY24'!M:M,"EY",'A5.Consol FY24'!N:N,"Posted",'A5.Consol FY24'!B:B,'A0.LS'!$AO$5,'A5.Consol FY24'!F:F,'A0.LS'!E194),0)</f>
        <v>0</v>
      </c>
      <c r="AP194" s="949">
        <f t="shared" si="120"/>
        <v>0</v>
      </c>
      <c r="AQ194" s="930"/>
      <c r="AR194" s="936">
        <f>ROUND(SUMIFS('GL911.XH.FY24'!L:L,'GL911.XH.FY24'!F:F,'A0.LS'!E194),0)</f>
        <v>0</v>
      </c>
      <c r="AS194" s="936">
        <f>ROUND(SUMIFS('A5.CTC FY24'!K:K,'A5.CTC FY24'!E:E,'A0.LS'!E194,'A5.CTC FY24'!A:A,'A0.LS'!$AS$5,'A5.CTC FY24'!L:L,"EY",'A5.CTC FY24'!M:M,"Posted"),0)</f>
        <v>0</v>
      </c>
      <c r="AT194" s="948">
        <f t="shared" si="121"/>
        <v>0</v>
      </c>
      <c r="AU194" s="930"/>
      <c r="AV194" s="951">
        <f t="shared" si="122"/>
        <v>0</v>
      </c>
      <c r="AW194" s="952">
        <f>SUMIFS('A5.Consol FY24'!L:L,'A5.Consol FY24'!B:B,'A0.LS'!$AW$5,'A5.Consol FY24'!M:M,"EY",'A5.Consol FY24'!N:N,"Posted",'A5.Consol FY24'!F:F,'A0.LS'!E194)</f>
        <v>0</v>
      </c>
      <c r="AX194" s="951">
        <f t="shared" si="123"/>
        <v>0</v>
      </c>
      <c r="AY194" s="920"/>
      <c r="AZ194" s="936">
        <f>SUMIFS('911.CTC.YE22'!U:U,'911.CTC.YE22'!R:R,'A0.LS'!E194)</f>
        <v>0</v>
      </c>
      <c r="BA194" s="936">
        <f>ROUND(SUMIFS('A5.YE22'!J:J,'A5.YE22'!K:K,'A0.LS'!$BA$5,'A5.YE22'!L:L,"Posted",'A5.YE22'!D:D,'A0.LS'!E194),0)</f>
        <v>0</v>
      </c>
      <c r="BB194" s="936">
        <f t="shared" si="124"/>
        <v>0</v>
      </c>
      <c r="BC194" s="937"/>
      <c r="BD194" s="936">
        <f>ROUND(SUMIFS('911.VNSC.YE22'!R:R,'911.VNSC.YE22'!L:L,'A0.LS'!E194),0)</f>
        <v>0</v>
      </c>
      <c r="BE194" s="936">
        <f>ROUND(SUMIFS('A5.YE22'!J:J,'A5.YE22'!K:K,'A0.LS'!$BE$5,'A5.YE22'!L:L,"Posted",'A5.YE22'!D:D,'A0.LS'!E194),0)</f>
        <v>0</v>
      </c>
      <c r="BF194" s="936">
        <f t="shared" si="125"/>
        <v>0</v>
      </c>
      <c r="BG194" s="937"/>
      <c r="BH194" s="936">
        <f>ROUND(SUMIFS('911.XH.YE22'!T:T,'911.XH.YE22'!P:P,'A0.LS'!E194),0)</f>
        <v>0</v>
      </c>
      <c r="BI194" s="936">
        <f>ROUND(SUMIFS('A5.YE22'!J:J,'A5.YE22'!K:K,"XH",'A5.YE22'!L:L,"Posted",'A5.YE22'!D:D,'A0.LS'!E194),0)</f>
        <v>0</v>
      </c>
      <c r="BJ194" s="936">
        <f t="shared" si="126"/>
        <v>0</v>
      </c>
      <c r="BK194" s="937"/>
      <c r="BL194" s="936">
        <f>ROUND(SUMIFS('911.KCG.YE22'!T:T,'911.KCG.YE22'!P:P,'A0.LS'!E194),0)</f>
        <v>0</v>
      </c>
      <c r="BM194" s="936">
        <f>ROUND(SUMIFS('A5.YE22'!J:J,'A5.YE22'!K:K,'A0.LS'!$BM$5,'A5.YE22'!L:L,"Posted",'A5.YE22'!D:D,'A0.LS'!E194),0)</f>
        <v>0</v>
      </c>
      <c r="BN194" s="936">
        <f t="shared" si="127"/>
        <v>0</v>
      </c>
      <c r="BO194" s="937"/>
      <c r="BP194" s="938">
        <v>0</v>
      </c>
      <c r="BQ194" s="938">
        <v>0</v>
      </c>
      <c r="BR194" s="938">
        <f t="shared" si="128"/>
        <v>0</v>
      </c>
    </row>
    <row r="195" spans="2:70" ht="12.75">
      <c r="B195" s="939">
        <v>1</v>
      </c>
      <c r="C195" s="940" t="s">
        <v>2389</v>
      </c>
      <c r="D195" s="941" t="s">
        <v>2389</v>
      </c>
      <c r="E195" s="928" t="s">
        <v>231</v>
      </c>
      <c r="F195" s="928" t="s">
        <v>232</v>
      </c>
      <c r="G195" s="927" t="s">
        <v>2382</v>
      </c>
      <c r="H195" s="927" t="s">
        <v>2265</v>
      </c>
      <c r="I195" s="942">
        <f>SUMIFS('GL911.Cty Me.FY24'!T:T,'GL911.Cty Me.FY24'!H:H,'A0.LS'!E195)</f>
        <v>-1595917632</v>
      </c>
      <c r="J195" s="942">
        <f>ROUND(SUMIFS('A5.FY24'!K:K,'A5.FY24'!E:E,'A0.LS'!E195,'A5.FY24'!L:L,"Finhay",'A5.FY24'!M:M,"Posted"),0)</f>
        <v>0</v>
      </c>
      <c r="K195" s="942">
        <f>ROUND(SUMIFS('A5.FY24'!K:K,'A5.FY24'!E:E,'A0.LS'!E195,'A5.FY24'!L:L,"EY",'A5.FY24'!M:M,"Posted"),0)</f>
        <v>0</v>
      </c>
      <c r="L195" s="943">
        <f t="shared" si="129"/>
        <v>-1595917632</v>
      </c>
      <c r="M195" s="930"/>
      <c r="N195" s="944">
        <v>-3869919155</v>
      </c>
      <c r="O195" s="944">
        <v>0</v>
      </c>
      <c r="P195" s="944">
        <v>0</v>
      </c>
      <c r="Q195" s="945">
        <v>-3869919155</v>
      </c>
      <c r="R195" s="898"/>
      <c r="S195" s="848">
        <f t="shared" si="130"/>
        <v>2274001523</v>
      </c>
      <c r="T195" s="946">
        <f t="shared" si="131"/>
        <v>-0.58760956803502007</v>
      </c>
      <c r="U195" s="850"/>
      <c r="V195" s="850" t="s">
        <v>2392</v>
      </c>
      <c r="W195" s="850"/>
      <c r="X195" s="947" t="s">
        <v>676</v>
      </c>
      <c r="Y195" s="947" t="s">
        <v>2382</v>
      </c>
      <c r="Z195" s="936">
        <f>ROUND(SUMIFS('GL911.CtyCon.FY24'!N:N,'GL911.CtyCon.FY24'!G:G,'A0.LS'!E195),0)</f>
        <v>0</v>
      </c>
      <c r="AA195" s="936">
        <f>ROUND(SUMIFS('A5.CTC FY24'!K:K,'A5.CTC FY24'!E:E,'A0.LS'!E195,'A5.CTC FY24'!A:A,'A0.LS'!$AA$5,'A5.CTC FY24'!L:L,"Finhay",'A5.CTC FY24'!M:M,"Posted"),0)</f>
        <v>0</v>
      </c>
      <c r="AB195" s="936">
        <f>ROUND(SUMIFS('A5.CTC FY24'!K:K,'A5.CTC FY24'!E:E,'A0.LS'!E195,'A5.CTC FY24'!A:A,'A0.LS'!$AB$5,'A5.CTC FY24'!L:L,"EY",'A5.CTC FY24'!M:M,"Posted"),0)</f>
        <v>0</v>
      </c>
      <c r="AC195" s="948">
        <f t="shared" si="116"/>
        <v>0</v>
      </c>
      <c r="AD195" s="930"/>
      <c r="AE195" s="936">
        <f>SUMIFS('GL911 VNSC FY24'!T:T,'GL911 VNSC FY24'!AG:AG,'A0.LS'!E195)</f>
        <v>0</v>
      </c>
      <c r="AF195" s="936">
        <f>SUMIFS('A5.CTC FY24'!K:K,'A5.CTC FY24'!E:E,'A0.LS'!E195,'A5.CTC FY24'!A:A,"VNSC",'A5.CTC FY24'!L:L,"VNSC",'A5.CTC FY24'!M:M,"Posted")</f>
        <v>0</v>
      </c>
      <c r="AG195" s="936">
        <f>ROUND(SUMIFS('A5.CTC FY24'!K:K,'A5.CTC FY24'!E:E,'A0.LS'!E195,'A5.CTC FY24'!A:A,"VNSC",'A5.CTC FY24'!L:L,"EY",'A5.CTC FY24'!M:M,"Posted"),0)</f>
        <v>0</v>
      </c>
      <c r="AH195" s="936">
        <f t="shared" si="117"/>
        <v>0</v>
      </c>
      <c r="AI195" s="930"/>
      <c r="AJ195" s="936">
        <f>ROUND(SUMIFS('GL911.KCG.FY24'!T:T,'GL911.KCG.FY24'!U:U,'A0.LS'!E195),0)</f>
        <v>0</v>
      </c>
      <c r="AK195" s="936">
        <f>ROUND(SUMIFS('A5.CTC FY24'!K:K,'A5.CTC FY24'!E:E,'A0.LS'!E195,'A5.CTC FY24'!A:A,'A0.LS'!$AK$5,'A5.CTC FY24'!L:L,"EY",'A5.CTC FY24'!M:M,"Posted"),0)</f>
        <v>0</v>
      </c>
      <c r="AL195" s="948">
        <f t="shared" si="118"/>
        <v>0</v>
      </c>
      <c r="AM195" s="930"/>
      <c r="AN195" s="949">
        <f t="shared" si="119"/>
        <v>0</v>
      </c>
      <c r="AO195" s="950">
        <f>ROUND(SUMIFS('A5.Consol FY24'!L:L,'A5.Consol FY24'!M:M,"EY",'A5.Consol FY24'!N:N,"Posted",'A5.Consol FY24'!B:B,'A0.LS'!$AO$5,'A5.Consol FY24'!F:F,'A0.LS'!E195),0)</f>
        <v>0</v>
      </c>
      <c r="AP195" s="949">
        <f t="shared" si="120"/>
        <v>0</v>
      </c>
      <c r="AQ195" s="930"/>
      <c r="AR195" s="936">
        <f>ROUND(SUMIFS('GL911.XH.FY24'!L:L,'GL911.XH.FY24'!F:F,'A0.LS'!E195),0)</f>
        <v>0</v>
      </c>
      <c r="AS195" s="936">
        <f>ROUND(SUMIFS('A5.CTC FY24'!K:K,'A5.CTC FY24'!E:E,'A0.LS'!E195,'A5.CTC FY24'!A:A,'A0.LS'!$AS$5,'A5.CTC FY24'!L:L,"EY",'A5.CTC FY24'!M:M,"Posted"),0)</f>
        <v>0</v>
      </c>
      <c r="AT195" s="948">
        <f t="shared" si="121"/>
        <v>0</v>
      </c>
      <c r="AU195" s="930"/>
      <c r="AV195" s="951">
        <f t="shared" si="122"/>
        <v>-1595917632</v>
      </c>
      <c r="AW195" s="952">
        <f>SUMIFS('A5.Consol FY24'!L:L,'A5.Consol FY24'!B:B,'A0.LS'!$AW$5,'A5.Consol FY24'!M:M,"EY",'A5.Consol FY24'!N:N,"Posted",'A5.Consol FY24'!F:F,'A0.LS'!E195)</f>
        <v>0</v>
      </c>
      <c r="AX195" s="951">
        <f t="shared" si="123"/>
        <v>-1595917632</v>
      </c>
      <c r="AY195" s="920"/>
      <c r="AZ195" s="936">
        <f>SUMIFS('911.CTC.YE22'!U:U,'911.CTC.YE22'!R:R,'A0.LS'!E195)</f>
        <v>0</v>
      </c>
      <c r="BA195" s="936">
        <f>ROUND(SUMIFS('A5.YE22'!J:J,'A5.YE22'!K:K,'A0.LS'!$BA$5,'A5.YE22'!L:L,"Posted",'A5.YE22'!D:D,'A0.LS'!E195),0)</f>
        <v>0</v>
      </c>
      <c r="BB195" s="936">
        <f t="shared" si="124"/>
        <v>0</v>
      </c>
      <c r="BC195" s="937"/>
      <c r="BD195" s="936">
        <f>ROUND(SUMIFS('911.VNSC.YE22'!R:R,'911.VNSC.YE22'!L:L,'A0.LS'!E195),0)</f>
        <v>0</v>
      </c>
      <c r="BE195" s="936">
        <f>ROUND(SUMIFS('A5.YE22'!J:J,'A5.YE22'!K:K,'A0.LS'!$BE$5,'A5.YE22'!L:L,"Posted",'A5.YE22'!D:D,'A0.LS'!E195),0)</f>
        <v>0</v>
      </c>
      <c r="BF195" s="936">
        <f t="shared" si="125"/>
        <v>0</v>
      </c>
      <c r="BG195" s="937"/>
      <c r="BH195" s="936">
        <f>ROUND(SUMIFS('911.XH.YE22'!T:T,'911.XH.YE22'!P:P,'A0.LS'!E195),0)</f>
        <v>0</v>
      </c>
      <c r="BI195" s="936">
        <f>ROUND(SUMIFS('A5.YE22'!J:J,'A5.YE22'!K:K,"XH",'A5.YE22'!L:L,"Posted",'A5.YE22'!D:D,'A0.LS'!E195),0)</f>
        <v>0</v>
      </c>
      <c r="BJ195" s="936">
        <f t="shared" si="126"/>
        <v>0</v>
      </c>
      <c r="BK195" s="937"/>
      <c r="BL195" s="936">
        <f>ROUND(SUMIFS('911.KCG.YE22'!T:T,'911.KCG.YE22'!P:P,'A0.LS'!E195),0)</f>
        <v>0</v>
      </c>
      <c r="BM195" s="936">
        <f>ROUND(SUMIFS('A5.YE22'!J:J,'A5.YE22'!K:K,'A0.LS'!$BM$5,'A5.YE22'!L:L,"Posted",'A5.YE22'!D:D,'A0.LS'!E195),0)</f>
        <v>0</v>
      </c>
      <c r="BN195" s="936">
        <f t="shared" si="127"/>
        <v>0</v>
      </c>
      <c r="BO195" s="937"/>
      <c r="BP195" s="938">
        <v>-3869919155</v>
      </c>
      <c r="BQ195" s="938">
        <v>0</v>
      </c>
      <c r="BR195" s="938">
        <f t="shared" si="128"/>
        <v>-3869919155</v>
      </c>
    </row>
    <row r="196" spans="2:70" ht="12.75">
      <c r="B196" s="939">
        <v>1</v>
      </c>
      <c r="C196" s="940" t="s">
        <v>2387</v>
      </c>
      <c r="D196" s="927" t="s">
        <v>2387</v>
      </c>
      <c r="E196" s="928" t="s">
        <v>2403</v>
      </c>
      <c r="F196" s="928" t="s">
        <v>2404</v>
      </c>
      <c r="G196" s="927" t="s">
        <v>2382</v>
      </c>
      <c r="H196" s="927" t="s">
        <v>2265</v>
      </c>
      <c r="I196" s="942">
        <f>SUMIFS('GL911.Cty Me.FY24'!T:T,'GL911.Cty Me.FY24'!H:H,'A0.LS'!E196)</f>
        <v>0</v>
      </c>
      <c r="J196" s="942">
        <f>ROUND(SUMIFS('A5.FY24'!K:K,'A5.FY24'!E:E,'A0.LS'!E196,'A5.FY24'!L:L,"Finhay",'A5.FY24'!M:M,"Posted"),0)</f>
        <v>0</v>
      </c>
      <c r="K196" s="942">
        <f>ROUND(SUMIFS('A5.FY24'!K:K,'A5.FY24'!E:E,'A0.LS'!E196,'A5.FY24'!L:L,"EY",'A5.FY24'!M:M,"Posted"),0)</f>
        <v>0</v>
      </c>
      <c r="L196" s="943">
        <f t="shared" si="129"/>
        <v>0</v>
      </c>
      <c r="M196" s="930"/>
      <c r="N196" s="944">
        <v>0</v>
      </c>
      <c r="O196" s="944">
        <v>0</v>
      </c>
      <c r="P196" s="944">
        <v>0</v>
      </c>
      <c r="Q196" s="945">
        <v>0</v>
      </c>
      <c r="R196" s="898"/>
      <c r="S196" s="848">
        <f t="shared" si="130"/>
        <v>0</v>
      </c>
      <c r="T196" s="946" t="str">
        <f t="shared" si="131"/>
        <v>To check</v>
      </c>
      <c r="U196" s="850"/>
      <c r="V196" s="850" t="s">
        <v>2388</v>
      </c>
      <c r="W196" s="850"/>
      <c r="X196" s="933"/>
      <c r="Y196" s="947" t="s">
        <v>2382</v>
      </c>
      <c r="Z196" s="936">
        <f>ROUND(SUMIFS('GL911.CtyCon.FY24'!N:N,'GL911.CtyCon.FY24'!G:G,'A0.LS'!E196),0)</f>
        <v>0</v>
      </c>
      <c r="AA196" s="936">
        <f>ROUND(SUMIFS('A5.CTC FY24'!K:K,'A5.CTC FY24'!E:E,'A0.LS'!E196,'A5.CTC FY24'!A:A,'A0.LS'!$AA$5,'A5.CTC FY24'!L:L,"Finhay",'A5.CTC FY24'!M:M,"Posted"),0)</f>
        <v>0</v>
      </c>
      <c r="AB196" s="936">
        <f>ROUND(SUMIFS('A5.CTC FY24'!K:K,'A5.CTC FY24'!E:E,'A0.LS'!E196,'A5.CTC FY24'!A:A,'A0.LS'!$AB$5,'A5.CTC FY24'!L:L,"EY",'A5.CTC FY24'!M:M,"Posted"),0)</f>
        <v>0</v>
      </c>
      <c r="AC196" s="948">
        <f t="shared" si="116"/>
        <v>0</v>
      </c>
      <c r="AD196" s="930"/>
      <c r="AE196" s="936">
        <f>SUMIFS('GL911 VNSC FY24'!T:T,'GL911 VNSC FY24'!AG:AG,'A0.LS'!E196)</f>
        <v>0</v>
      </c>
      <c r="AF196" s="936">
        <f>SUMIFS('A5.CTC FY24'!K:K,'A5.CTC FY24'!E:E,'A0.LS'!E196,'A5.CTC FY24'!A:A,"VNSC",'A5.CTC FY24'!L:L,"VNSC",'A5.CTC FY24'!M:M,"Posted")</f>
        <v>0</v>
      </c>
      <c r="AG196" s="936">
        <f>ROUND(SUMIFS('A5.CTC FY24'!K:K,'A5.CTC FY24'!E:E,'A0.LS'!E196,'A5.CTC FY24'!A:A,"VNSC",'A5.CTC FY24'!L:L,"EY",'A5.CTC FY24'!M:M,"Posted"),0)</f>
        <v>0</v>
      </c>
      <c r="AH196" s="936">
        <f t="shared" si="117"/>
        <v>0</v>
      </c>
      <c r="AI196" s="930"/>
      <c r="AJ196" s="936">
        <f>ROUND(SUMIFS('GL911.KCG.FY24'!T:T,'GL911.KCG.FY24'!U:U,'A0.LS'!E196),0)</f>
        <v>0</v>
      </c>
      <c r="AK196" s="936">
        <f>ROUND(SUMIFS('A5.CTC FY24'!K:K,'A5.CTC FY24'!E:E,'A0.LS'!E196,'A5.CTC FY24'!A:A,'A0.LS'!$AK$5,'A5.CTC FY24'!L:L,"EY",'A5.CTC FY24'!M:M,"Posted"),0)</f>
        <v>0</v>
      </c>
      <c r="AL196" s="948">
        <f t="shared" si="118"/>
        <v>0</v>
      </c>
      <c r="AM196" s="930"/>
      <c r="AN196" s="949">
        <f t="shared" si="119"/>
        <v>0</v>
      </c>
      <c r="AO196" s="950">
        <f>ROUND(SUMIFS('A5.Consol FY24'!L:L,'A5.Consol FY24'!M:M,"EY",'A5.Consol FY24'!N:N,"Posted",'A5.Consol FY24'!B:B,'A0.LS'!$AO$5,'A5.Consol FY24'!F:F,'A0.LS'!E196),0)</f>
        <v>0</v>
      </c>
      <c r="AP196" s="949">
        <f t="shared" si="120"/>
        <v>0</v>
      </c>
      <c r="AQ196" s="930"/>
      <c r="AR196" s="936">
        <f>ROUND(SUMIFS('GL911.XH.FY24'!L:L,'GL911.XH.FY24'!F:F,'A0.LS'!E196),0)</f>
        <v>0</v>
      </c>
      <c r="AS196" s="936">
        <f>ROUND(SUMIFS('A5.CTC FY24'!K:K,'A5.CTC FY24'!E:E,'A0.LS'!E196,'A5.CTC FY24'!A:A,'A0.LS'!$AS$5,'A5.CTC FY24'!L:L,"EY",'A5.CTC FY24'!M:M,"Posted"),0)</f>
        <v>0</v>
      </c>
      <c r="AT196" s="948">
        <f t="shared" si="121"/>
        <v>0</v>
      </c>
      <c r="AU196" s="930"/>
      <c r="AV196" s="951">
        <f t="shared" si="122"/>
        <v>0</v>
      </c>
      <c r="AW196" s="952">
        <f>SUMIFS('A5.Consol FY24'!L:L,'A5.Consol FY24'!B:B,'A0.LS'!$AW$5,'A5.Consol FY24'!M:M,"EY",'A5.Consol FY24'!N:N,"Posted",'A5.Consol FY24'!F:F,'A0.LS'!E196)</f>
        <v>0</v>
      </c>
      <c r="AX196" s="951">
        <f t="shared" si="123"/>
        <v>0</v>
      </c>
      <c r="AY196" s="920"/>
      <c r="AZ196" s="936">
        <f>SUMIFS('911.CTC.YE22'!U:U,'911.CTC.YE22'!R:R,'A0.LS'!E196)</f>
        <v>0</v>
      </c>
      <c r="BA196" s="936">
        <f>ROUND(SUMIFS('A5.YE22'!J:J,'A5.YE22'!K:K,'A0.LS'!$BA$5,'A5.YE22'!L:L,"Posted",'A5.YE22'!D:D,'A0.LS'!E196),0)</f>
        <v>0</v>
      </c>
      <c r="BB196" s="936">
        <f t="shared" si="124"/>
        <v>0</v>
      </c>
      <c r="BC196" s="937"/>
      <c r="BD196" s="936">
        <f>ROUND(SUMIFS('911.VNSC.YE22'!R:R,'911.VNSC.YE22'!L:L,'A0.LS'!E196),0)</f>
        <v>0</v>
      </c>
      <c r="BE196" s="936">
        <f>ROUND(SUMIFS('A5.YE22'!J:J,'A5.YE22'!K:K,'A0.LS'!$BE$5,'A5.YE22'!L:L,"Posted",'A5.YE22'!D:D,'A0.LS'!E196),0)</f>
        <v>0</v>
      </c>
      <c r="BF196" s="936">
        <f t="shared" si="125"/>
        <v>0</v>
      </c>
      <c r="BG196" s="937"/>
      <c r="BH196" s="936">
        <f>ROUND(SUMIFS('911.XH.YE22'!T:T,'911.XH.YE22'!P:P,'A0.LS'!E196),0)</f>
        <v>0</v>
      </c>
      <c r="BI196" s="936">
        <f>ROUND(SUMIFS('A5.YE22'!J:J,'A5.YE22'!K:K,"XH",'A5.YE22'!L:L,"Posted",'A5.YE22'!D:D,'A0.LS'!E196),0)</f>
        <v>0</v>
      </c>
      <c r="BJ196" s="936">
        <f t="shared" si="126"/>
        <v>0</v>
      </c>
      <c r="BK196" s="937"/>
      <c r="BL196" s="936">
        <f>ROUND(SUMIFS('911.KCG.YE22'!T:T,'911.KCG.YE22'!P:P,'A0.LS'!E196),0)</f>
        <v>0</v>
      </c>
      <c r="BM196" s="936">
        <f>ROUND(SUMIFS('A5.YE22'!J:J,'A5.YE22'!K:K,'A0.LS'!$BM$5,'A5.YE22'!L:L,"Posted",'A5.YE22'!D:D,'A0.LS'!E196),0)</f>
        <v>0</v>
      </c>
      <c r="BN196" s="936">
        <f t="shared" si="127"/>
        <v>0</v>
      </c>
      <c r="BO196" s="937"/>
      <c r="BP196" s="938">
        <v>0</v>
      </c>
      <c r="BQ196" s="938">
        <v>0</v>
      </c>
      <c r="BR196" s="938">
        <f t="shared" si="128"/>
        <v>0</v>
      </c>
    </row>
    <row r="197" spans="2:70" ht="12.75">
      <c r="B197" s="939">
        <v>1</v>
      </c>
      <c r="C197" s="940" t="s">
        <v>2405</v>
      </c>
      <c r="D197" s="927" t="s">
        <v>2405</v>
      </c>
      <c r="E197" s="928" t="s">
        <v>233</v>
      </c>
      <c r="F197" s="928" t="s">
        <v>234</v>
      </c>
      <c r="G197" s="927" t="s">
        <v>2382</v>
      </c>
      <c r="H197" s="927" t="s">
        <v>2265</v>
      </c>
      <c r="I197" s="942">
        <f>SUMIFS('GL911.Cty Me.FY24'!T:T,'GL911.Cty Me.FY24'!H:H,'A0.LS'!E197)</f>
        <v>-12880000</v>
      </c>
      <c r="J197" s="942">
        <f>ROUND(SUMIFS('A5.FY24'!K:K,'A5.FY24'!E:E,'A0.LS'!E197,'A5.FY24'!L:L,"Finhay",'A5.FY24'!M:M,"Posted"),0)</f>
        <v>0</v>
      </c>
      <c r="K197" s="942">
        <f>ROUND(SUMIFS('A5.FY24'!K:K,'A5.FY24'!E:E,'A0.LS'!E197,'A5.FY24'!L:L,"EY",'A5.FY24'!M:M,"Posted"),0)</f>
        <v>0</v>
      </c>
      <c r="L197" s="943">
        <f t="shared" si="129"/>
        <v>-12880000</v>
      </c>
      <c r="M197" s="930"/>
      <c r="N197" s="944">
        <v>-14017000</v>
      </c>
      <c r="O197" s="944">
        <v>0</v>
      </c>
      <c r="P197" s="944">
        <v>0</v>
      </c>
      <c r="Q197" s="945">
        <v>-14017000</v>
      </c>
      <c r="R197" s="898"/>
      <c r="S197" s="848">
        <f t="shared" si="130"/>
        <v>1137000</v>
      </c>
      <c r="T197" s="946">
        <f t="shared" si="131"/>
        <v>-8.1115787971748593E-2</v>
      </c>
      <c r="U197" s="850"/>
      <c r="V197" s="850" t="s">
        <v>2406</v>
      </c>
      <c r="W197" s="850"/>
      <c r="X197" s="304"/>
      <c r="Y197" s="947" t="s">
        <v>2382</v>
      </c>
      <c r="Z197" s="936">
        <f>ROUND(SUMIFS('GL911.CtyCon.FY24'!N:N,'GL911.CtyCon.FY24'!G:G,'A0.LS'!E197),0)</f>
        <v>0</v>
      </c>
      <c r="AA197" s="936">
        <f>ROUND(SUMIFS('A5.CTC FY24'!K:K,'A5.CTC FY24'!E:E,'A0.LS'!E197,'A5.CTC FY24'!A:A,'A0.LS'!$AA$5,'A5.CTC FY24'!L:L,"Finhay",'A5.CTC FY24'!M:M,"Posted"),0)</f>
        <v>0</v>
      </c>
      <c r="AB197" s="936">
        <f>ROUND(SUMIFS('A5.CTC FY24'!K:K,'A5.CTC FY24'!E:E,'A0.LS'!E197,'A5.CTC FY24'!A:A,'A0.LS'!$AB$5,'A5.CTC FY24'!L:L,"EY",'A5.CTC FY24'!M:M,"Posted"),0)</f>
        <v>0</v>
      </c>
      <c r="AC197" s="948">
        <f t="shared" si="116"/>
        <v>0</v>
      </c>
      <c r="AD197" s="930"/>
      <c r="AE197" s="936">
        <f>SUMIFS('GL911 VNSC FY24'!T:T,'GL911 VNSC FY24'!AG:AG,'A0.LS'!E197)</f>
        <v>0</v>
      </c>
      <c r="AF197" s="936">
        <f>SUMIFS('A5.CTC FY24'!K:K,'A5.CTC FY24'!E:E,'A0.LS'!E197,'A5.CTC FY24'!A:A,"VNSC",'A5.CTC FY24'!L:L,"VNSC",'A5.CTC FY24'!M:M,"Posted")</f>
        <v>0</v>
      </c>
      <c r="AG197" s="936">
        <f>ROUND(SUMIFS('A5.CTC FY24'!K:K,'A5.CTC FY24'!E:E,'A0.LS'!E197,'A5.CTC FY24'!A:A,"VNSC",'A5.CTC FY24'!L:L,"EY",'A5.CTC FY24'!M:M,"Posted"),0)</f>
        <v>0</v>
      </c>
      <c r="AH197" s="936">
        <f t="shared" si="117"/>
        <v>0</v>
      </c>
      <c r="AI197" s="930"/>
      <c r="AJ197" s="936">
        <f>ROUND(SUMIFS('GL911.KCG.FY24'!T:T,'GL911.KCG.FY24'!U:U,'A0.LS'!E197),0)</f>
        <v>0</v>
      </c>
      <c r="AK197" s="936">
        <f>ROUND(SUMIFS('A5.CTC FY24'!K:K,'A5.CTC FY24'!E:E,'A0.LS'!E197,'A5.CTC FY24'!A:A,'A0.LS'!$AK$5,'A5.CTC FY24'!L:L,"EY",'A5.CTC FY24'!M:M,"Posted"),0)</f>
        <v>0</v>
      </c>
      <c r="AL197" s="948">
        <f t="shared" si="118"/>
        <v>0</v>
      </c>
      <c r="AM197" s="930"/>
      <c r="AN197" s="949">
        <f t="shared" si="119"/>
        <v>0</v>
      </c>
      <c r="AO197" s="950">
        <f>ROUND(SUMIFS('A5.Consol FY24'!L:L,'A5.Consol FY24'!M:M,"EY",'A5.Consol FY24'!N:N,"Posted",'A5.Consol FY24'!B:B,'A0.LS'!$AO$5,'A5.Consol FY24'!F:F,'A0.LS'!E197),0)</f>
        <v>0</v>
      </c>
      <c r="AP197" s="949">
        <f t="shared" si="120"/>
        <v>0</v>
      </c>
      <c r="AQ197" s="930"/>
      <c r="AR197" s="936">
        <f>ROUND(SUMIFS('GL911.XH.FY24'!L:L,'GL911.XH.FY24'!F:F,'A0.LS'!E197),0)</f>
        <v>0</v>
      </c>
      <c r="AS197" s="936">
        <f>ROUND(SUMIFS('A5.CTC FY24'!K:K,'A5.CTC FY24'!E:E,'A0.LS'!E197,'A5.CTC FY24'!A:A,'A0.LS'!$AS$5,'A5.CTC FY24'!L:L,"EY",'A5.CTC FY24'!M:M,"Posted"),0)</f>
        <v>0</v>
      </c>
      <c r="AT197" s="948">
        <f t="shared" si="121"/>
        <v>0</v>
      </c>
      <c r="AU197" s="930"/>
      <c r="AV197" s="951">
        <f t="shared" si="122"/>
        <v>-12880000</v>
      </c>
      <c r="AW197" s="952">
        <f>SUMIFS('A5.Consol FY24'!L:L,'A5.Consol FY24'!B:B,'A0.LS'!$AW$5,'A5.Consol FY24'!M:M,"EY",'A5.Consol FY24'!N:N,"Posted",'A5.Consol FY24'!F:F,'A0.LS'!E197)</f>
        <v>12880000</v>
      </c>
      <c r="AX197" s="951">
        <f t="shared" si="123"/>
        <v>0</v>
      </c>
      <c r="AY197" s="920"/>
      <c r="AZ197" s="936">
        <f>SUMIFS('911.CTC.YE22'!U:U,'911.CTC.YE22'!R:R,'A0.LS'!E197)</f>
        <v>0</v>
      </c>
      <c r="BA197" s="936">
        <f>ROUND(SUMIFS('A5.YE22'!J:J,'A5.YE22'!K:K,'A0.LS'!$BA$5,'A5.YE22'!L:L,"Posted",'A5.YE22'!D:D,'A0.LS'!E197),0)</f>
        <v>0</v>
      </c>
      <c r="BB197" s="936">
        <f t="shared" si="124"/>
        <v>0</v>
      </c>
      <c r="BC197" s="937"/>
      <c r="BD197" s="936">
        <f>ROUND(SUMIFS('911.VNSC.YE22'!R:R,'911.VNSC.YE22'!L:L,'A0.LS'!E197),0)</f>
        <v>0</v>
      </c>
      <c r="BE197" s="936">
        <f>ROUND(SUMIFS('A5.YE22'!J:J,'A5.YE22'!K:K,'A0.LS'!$BE$5,'A5.YE22'!L:L,"Posted",'A5.YE22'!D:D,'A0.LS'!E197),0)</f>
        <v>0</v>
      </c>
      <c r="BF197" s="936">
        <f t="shared" si="125"/>
        <v>0</v>
      </c>
      <c r="BG197" s="937"/>
      <c r="BH197" s="936">
        <f>ROUND(SUMIFS('911.XH.YE22'!T:T,'911.XH.YE22'!P:P,'A0.LS'!E197),0)</f>
        <v>0</v>
      </c>
      <c r="BI197" s="936">
        <f>ROUND(SUMIFS('A5.YE22'!J:J,'A5.YE22'!K:K,"XH",'A5.YE22'!L:L,"Posted",'A5.YE22'!D:D,'A0.LS'!E197),0)</f>
        <v>0</v>
      </c>
      <c r="BJ197" s="936">
        <f t="shared" si="126"/>
        <v>0</v>
      </c>
      <c r="BK197" s="937"/>
      <c r="BL197" s="936">
        <f>ROUND(SUMIFS('911.KCG.YE22'!T:T,'911.KCG.YE22'!P:P,'A0.LS'!E197),0)</f>
        <v>0</v>
      </c>
      <c r="BM197" s="936">
        <f>ROUND(SUMIFS('A5.YE22'!J:J,'A5.YE22'!K:K,'A0.LS'!$BM$5,'A5.YE22'!L:L,"Posted",'A5.YE22'!D:D,'A0.LS'!E197),0)</f>
        <v>0</v>
      </c>
      <c r="BN197" s="936">
        <f t="shared" si="127"/>
        <v>0</v>
      </c>
      <c r="BO197" s="937"/>
      <c r="BP197" s="938">
        <v>-14017000</v>
      </c>
      <c r="BQ197" s="938">
        <v>14017000</v>
      </c>
      <c r="BR197" s="938">
        <f t="shared" si="128"/>
        <v>0</v>
      </c>
    </row>
    <row r="198" spans="2:70" ht="12.75">
      <c r="B198" s="939">
        <v>1</v>
      </c>
      <c r="C198" s="940" t="s">
        <v>2389</v>
      </c>
      <c r="D198" s="941" t="s">
        <v>2389</v>
      </c>
      <c r="E198" s="928" t="s">
        <v>2407</v>
      </c>
      <c r="F198" s="928" t="s">
        <v>2408</v>
      </c>
      <c r="G198" s="927" t="s">
        <v>2382</v>
      </c>
      <c r="H198" s="927" t="s">
        <v>2265</v>
      </c>
      <c r="I198" s="942">
        <f>SUMIFS('GL911.Cty Me.FY24'!T:T,'GL911.Cty Me.FY24'!H:H,'A0.LS'!E198)</f>
        <v>0</v>
      </c>
      <c r="J198" s="942">
        <f>ROUND(SUMIFS('A5.FY24'!K:K,'A5.FY24'!E:E,'A0.LS'!E198,'A5.FY24'!L:L,"Finhay",'A5.FY24'!M:M,"Posted"),0)</f>
        <v>0</v>
      </c>
      <c r="K198" s="942">
        <f>ROUND(SUMIFS('A5.FY24'!K:K,'A5.FY24'!E:E,'A0.LS'!E198,'A5.FY24'!L:L,"EY",'A5.FY24'!M:M,"Posted"),0)</f>
        <v>0</v>
      </c>
      <c r="L198" s="943">
        <f t="shared" si="129"/>
        <v>0</v>
      </c>
      <c r="M198" s="930"/>
      <c r="N198" s="944">
        <v>0</v>
      </c>
      <c r="O198" s="944">
        <v>0</v>
      </c>
      <c r="P198" s="944">
        <v>0</v>
      </c>
      <c r="Q198" s="945">
        <v>0</v>
      </c>
      <c r="R198" s="898"/>
      <c r="S198" s="848">
        <f t="shared" si="130"/>
        <v>0</v>
      </c>
      <c r="T198" s="946" t="str">
        <f t="shared" si="131"/>
        <v>To check</v>
      </c>
      <c r="U198" s="850"/>
      <c r="V198" s="850" t="s">
        <v>2392</v>
      </c>
      <c r="W198" s="850"/>
      <c r="X198" s="933"/>
      <c r="Y198" s="947" t="s">
        <v>2382</v>
      </c>
      <c r="Z198" s="936">
        <f>ROUND(SUMIFS('GL911.CtyCon.FY24'!N:N,'GL911.CtyCon.FY24'!G:G,'A0.LS'!E198),0)</f>
        <v>0</v>
      </c>
      <c r="AA198" s="936">
        <f>ROUND(SUMIFS('A5.CTC FY24'!K:K,'A5.CTC FY24'!E:E,'A0.LS'!E198,'A5.CTC FY24'!A:A,'A0.LS'!$AA$5,'A5.CTC FY24'!L:L,"Finhay",'A5.CTC FY24'!M:M,"Posted"),0)</f>
        <v>0</v>
      </c>
      <c r="AB198" s="936">
        <f>ROUND(SUMIFS('A5.CTC FY24'!K:K,'A5.CTC FY24'!E:E,'A0.LS'!E198,'A5.CTC FY24'!A:A,'A0.LS'!$AB$5,'A5.CTC FY24'!L:L,"EY",'A5.CTC FY24'!M:M,"Posted"),0)</f>
        <v>0</v>
      </c>
      <c r="AC198" s="948">
        <f t="shared" si="116"/>
        <v>0</v>
      </c>
      <c r="AD198" s="930"/>
      <c r="AE198" s="936">
        <f>SUMIFS('GL911 VNSC FY24'!T:T,'GL911 VNSC FY24'!AG:AG,'A0.LS'!E198)</f>
        <v>0</v>
      </c>
      <c r="AF198" s="936">
        <f>SUMIFS('A5.CTC FY24'!K:K,'A5.CTC FY24'!E:E,'A0.LS'!E198,'A5.CTC FY24'!A:A,"VNSC",'A5.CTC FY24'!L:L,"VNSC",'A5.CTC FY24'!M:M,"Posted")</f>
        <v>0</v>
      </c>
      <c r="AG198" s="936">
        <f>ROUND(SUMIFS('A5.CTC FY24'!K:K,'A5.CTC FY24'!E:E,'A0.LS'!E198,'A5.CTC FY24'!A:A,"VNSC",'A5.CTC FY24'!L:L,"EY",'A5.CTC FY24'!M:M,"Posted"),0)</f>
        <v>0</v>
      </c>
      <c r="AH198" s="936">
        <f t="shared" si="117"/>
        <v>0</v>
      </c>
      <c r="AI198" s="930"/>
      <c r="AJ198" s="936">
        <f>ROUND(SUMIFS('GL911.KCG.FY24'!T:T,'GL911.KCG.FY24'!U:U,'A0.LS'!E198),0)</f>
        <v>0</v>
      </c>
      <c r="AK198" s="936">
        <f>ROUND(SUMIFS('A5.CTC FY24'!K:K,'A5.CTC FY24'!E:E,'A0.LS'!E198,'A5.CTC FY24'!A:A,'A0.LS'!$AK$5,'A5.CTC FY24'!L:L,"EY",'A5.CTC FY24'!M:M,"Posted"),0)</f>
        <v>0</v>
      </c>
      <c r="AL198" s="948">
        <f t="shared" si="118"/>
        <v>0</v>
      </c>
      <c r="AM198" s="930"/>
      <c r="AN198" s="949">
        <f t="shared" si="119"/>
        <v>0</v>
      </c>
      <c r="AO198" s="950">
        <f>ROUND(SUMIFS('A5.Consol FY24'!L:L,'A5.Consol FY24'!M:M,"EY",'A5.Consol FY24'!N:N,"Posted",'A5.Consol FY24'!B:B,'A0.LS'!$AO$5,'A5.Consol FY24'!F:F,'A0.LS'!E198),0)</f>
        <v>0</v>
      </c>
      <c r="AP198" s="949">
        <f t="shared" si="120"/>
        <v>0</v>
      </c>
      <c r="AQ198" s="930"/>
      <c r="AR198" s="936">
        <f>ROUND(SUMIFS('GL911.XH.FY24'!L:L,'GL911.XH.FY24'!F:F,'A0.LS'!E198),0)</f>
        <v>0</v>
      </c>
      <c r="AS198" s="936">
        <f>ROUND(SUMIFS('A5.CTC FY24'!K:K,'A5.CTC FY24'!E:E,'A0.LS'!E198,'A5.CTC FY24'!A:A,'A0.LS'!$AS$5,'A5.CTC FY24'!L:L,"EY",'A5.CTC FY24'!M:M,"Posted"),0)</f>
        <v>0</v>
      </c>
      <c r="AT198" s="948">
        <f t="shared" si="121"/>
        <v>0</v>
      </c>
      <c r="AU198" s="930"/>
      <c r="AV198" s="951">
        <f t="shared" si="122"/>
        <v>0</v>
      </c>
      <c r="AW198" s="952">
        <f>SUMIFS('A5.Consol FY24'!L:L,'A5.Consol FY24'!B:B,'A0.LS'!$AW$5,'A5.Consol FY24'!M:M,"EY",'A5.Consol FY24'!N:N,"Posted",'A5.Consol FY24'!F:F,'A0.LS'!E198)</f>
        <v>0</v>
      </c>
      <c r="AX198" s="951">
        <f t="shared" si="123"/>
        <v>0</v>
      </c>
      <c r="AY198" s="920"/>
      <c r="AZ198" s="936">
        <f>SUMIFS('911.CTC.YE22'!U:U,'911.CTC.YE22'!R:R,'A0.LS'!E198)</f>
        <v>0</v>
      </c>
      <c r="BA198" s="936">
        <f>ROUND(SUMIFS('A5.YE22'!J:J,'A5.YE22'!K:K,'A0.LS'!$BA$5,'A5.YE22'!L:L,"Posted",'A5.YE22'!D:D,'A0.LS'!E198),0)</f>
        <v>0</v>
      </c>
      <c r="BB198" s="936">
        <f t="shared" si="124"/>
        <v>0</v>
      </c>
      <c r="BC198" s="937"/>
      <c r="BD198" s="936">
        <f>ROUND(SUMIFS('911.VNSC.YE22'!R:R,'911.VNSC.YE22'!L:L,'A0.LS'!E198),0)</f>
        <v>0</v>
      </c>
      <c r="BE198" s="936">
        <f>ROUND(SUMIFS('A5.YE22'!J:J,'A5.YE22'!K:K,'A0.LS'!$BE$5,'A5.YE22'!L:L,"Posted",'A5.YE22'!D:D,'A0.LS'!E198),0)</f>
        <v>0</v>
      </c>
      <c r="BF198" s="936">
        <f t="shared" si="125"/>
        <v>0</v>
      </c>
      <c r="BG198" s="937"/>
      <c r="BH198" s="936">
        <f>ROUND(SUMIFS('911.XH.YE22'!T:T,'911.XH.YE22'!P:P,'A0.LS'!E198),0)</f>
        <v>0</v>
      </c>
      <c r="BI198" s="936">
        <f>ROUND(SUMIFS('A5.YE22'!J:J,'A5.YE22'!K:K,"XH",'A5.YE22'!L:L,"Posted",'A5.YE22'!D:D,'A0.LS'!E198),0)</f>
        <v>0</v>
      </c>
      <c r="BJ198" s="936">
        <f t="shared" si="126"/>
        <v>0</v>
      </c>
      <c r="BK198" s="937"/>
      <c r="BL198" s="936">
        <f>ROUND(SUMIFS('911.KCG.YE22'!T:T,'911.KCG.YE22'!P:P,'A0.LS'!E198),0)</f>
        <v>0</v>
      </c>
      <c r="BM198" s="936">
        <f>ROUND(SUMIFS('A5.YE22'!J:J,'A5.YE22'!K:K,'A0.LS'!$BM$5,'A5.YE22'!L:L,"Posted",'A5.YE22'!D:D,'A0.LS'!E198),0)</f>
        <v>0</v>
      </c>
      <c r="BN198" s="936">
        <f t="shared" si="127"/>
        <v>0</v>
      </c>
      <c r="BO198" s="937"/>
      <c r="BP198" s="938">
        <v>0</v>
      </c>
      <c r="BQ198" s="938">
        <v>0</v>
      </c>
      <c r="BR198" s="938">
        <f t="shared" si="128"/>
        <v>0</v>
      </c>
    </row>
    <row r="199" spans="2:70" ht="12.75">
      <c r="B199" s="939">
        <v>1</v>
      </c>
      <c r="C199" s="940" t="s">
        <v>2389</v>
      </c>
      <c r="D199" s="941" t="s">
        <v>2389</v>
      </c>
      <c r="E199" s="928" t="s">
        <v>235</v>
      </c>
      <c r="F199" s="928" t="s">
        <v>236</v>
      </c>
      <c r="G199" s="927" t="s">
        <v>2382</v>
      </c>
      <c r="H199" s="927" t="s">
        <v>2265</v>
      </c>
      <c r="I199" s="942">
        <f>SUMIFS('GL911.Cty Me.FY24'!T:T,'GL911.Cty Me.FY24'!H:H,'A0.LS'!E199)</f>
        <v>-132788516</v>
      </c>
      <c r="J199" s="942">
        <f>ROUND(SUMIFS('A5.FY24'!K:K,'A5.FY24'!E:E,'A0.LS'!E199,'A5.FY24'!L:L,"Finhay",'A5.FY24'!M:M,"Posted"),0)</f>
        <v>0</v>
      </c>
      <c r="K199" s="942">
        <f>ROUND(SUMIFS('A5.FY24'!K:K,'A5.FY24'!E:E,'A0.LS'!E199,'A5.FY24'!L:L,"EY",'A5.FY24'!M:M,"Posted"),0)</f>
        <v>0</v>
      </c>
      <c r="L199" s="943">
        <f t="shared" si="129"/>
        <v>-132788516</v>
      </c>
      <c r="M199" s="930"/>
      <c r="N199" s="944">
        <v>-245854407</v>
      </c>
      <c r="O199" s="944">
        <v>0</v>
      </c>
      <c r="P199" s="944">
        <v>0</v>
      </c>
      <c r="Q199" s="945">
        <v>-245854407</v>
      </c>
      <c r="R199" s="898"/>
      <c r="S199" s="848">
        <f t="shared" si="130"/>
        <v>113065891</v>
      </c>
      <c r="T199" s="946">
        <f t="shared" si="131"/>
        <v>-0.45988962483800422</v>
      </c>
      <c r="U199" s="850"/>
      <c r="V199" s="850" t="s">
        <v>2392</v>
      </c>
      <c r="W199" s="850"/>
      <c r="X199" s="305"/>
      <c r="Y199" s="947" t="s">
        <v>2382</v>
      </c>
      <c r="Z199" s="936">
        <f>ROUND(SUMIFS('GL911.CtyCon.FY24'!N:N,'GL911.CtyCon.FY24'!G:G,'A0.LS'!E199),0)</f>
        <v>0</v>
      </c>
      <c r="AA199" s="936">
        <f>ROUND(SUMIFS('A5.CTC FY24'!K:K,'A5.CTC FY24'!E:E,'A0.LS'!E199,'A5.CTC FY24'!A:A,'A0.LS'!$AA$5,'A5.CTC FY24'!L:L,"Finhay",'A5.CTC FY24'!M:M,"Posted"),0)</f>
        <v>0</v>
      </c>
      <c r="AB199" s="936">
        <f>ROUND(SUMIFS('A5.CTC FY24'!K:K,'A5.CTC FY24'!E:E,'A0.LS'!E199,'A5.CTC FY24'!A:A,'A0.LS'!$AB$5,'A5.CTC FY24'!L:L,"EY",'A5.CTC FY24'!M:M,"Posted"),0)</f>
        <v>0</v>
      </c>
      <c r="AC199" s="948">
        <f t="shared" si="116"/>
        <v>0</v>
      </c>
      <c r="AD199" s="930"/>
      <c r="AE199" s="936">
        <f>SUMIFS('GL911 VNSC FY24'!T:T,'GL911 VNSC FY24'!AG:AG,'A0.LS'!E199)</f>
        <v>0</v>
      </c>
      <c r="AF199" s="936">
        <f>SUMIFS('A5.CTC FY24'!K:K,'A5.CTC FY24'!E:E,'A0.LS'!E199,'A5.CTC FY24'!A:A,"VNSC",'A5.CTC FY24'!L:L,"VNSC",'A5.CTC FY24'!M:M,"Posted")</f>
        <v>0</v>
      </c>
      <c r="AG199" s="936">
        <f>ROUND(SUMIFS('A5.CTC FY24'!K:K,'A5.CTC FY24'!E:E,'A0.LS'!E199,'A5.CTC FY24'!A:A,"VNSC",'A5.CTC FY24'!L:L,"EY",'A5.CTC FY24'!M:M,"Posted"),0)</f>
        <v>0</v>
      </c>
      <c r="AH199" s="936">
        <f t="shared" si="117"/>
        <v>0</v>
      </c>
      <c r="AI199" s="930"/>
      <c r="AJ199" s="936">
        <f>ROUND(SUMIFS('GL911.KCG.FY24'!T:T,'GL911.KCG.FY24'!U:U,'A0.LS'!E199),0)</f>
        <v>0</v>
      </c>
      <c r="AK199" s="936">
        <f>ROUND(SUMIFS('A5.CTC FY24'!K:K,'A5.CTC FY24'!E:E,'A0.LS'!E199,'A5.CTC FY24'!A:A,'A0.LS'!$AK$5,'A5.CTC FY24'!L:L,"EY",'A5.CTC FY24'!M:M,"Posted"),0)</f>
        <v>0</v>
      </c>
      <c r="AL199" s="948">
        <f t="shared" si="118"/>
        <v>0</v>
      </c>
      <c r="AM199" s="930"/>
      <c r="AN199" s="949">
        <f t="shared" si="119"/>
        <v>0</v>
      </c>
      <c r="AO199" s="950">
        <f>ROUND(SUMIFS('A5.Consol FY24'!L:L,'A5.Consol FY24'!M:M,"EY",'A5.Consol FY24'!N:N,"Posted",'A5.Consol FY24'!B:B,'A0.LS'!$AO$5,'A5.Consol FY24'!F:F,'A0.LS'!E199),0)</f>
        <v>0</v>
      </c>
      <c r="AP199" s="949">
        <f t="shared" si="120"/>
        <v>0</v>
      </c>
      <c r="AQ199" s="930"/>
      <c r="AR199" s="936">
        <f>ROUND(SUMIFS('GL911.XH.FY24'!L:L,'GL911.XH.FY24'!F:F,'A0.LS'!E199),0)</f>
        <v>0</v>
      </c>
      <c r="AS199" s="936">
        <f>ROUND(SUMIFS('A5.CTC FY24'!K:K,'A5.CTC FY24'!E:E,'A0.LS'!E199,'A5.CTC FY24'!A:A,'A0.LS'!$AS$5,'A5.CTC FY24'!L:L,"EY",'A5.CTC FY24'!M:M,"Posted"),0)</f>
        <v>0</v>
      </c>
      <c r="AT199" s="948">
        <f t="shared" si="121"/>
        <v>0</v>
      </c>
      <c r="AU199" s="930"/>
      <c r="AV199" s="951">
        <f t="shared" si="122"/>
        <v>-132788516</v>
      </c>
      <c r="AW199" s="952">
        <f>SUMIFS('A5.Consol FY24'!L:L,'A5.Consol FY24'!B:B,'A0.LS'!$AW$5,'A5.Consol FY24'!M:M,"EY",'A5.Consol FY24'!N:N,"Posted",'A5.Consol FY24'!F:F,'A0.LS'!E199)</f>
        <v>0</v>
      </c>
      <c r="AX199" s="951">
        <f t="shared" si="123"/>
        <v>-132788516</v>
      </c>
      <c r="AY199" s="920"/>
      <c r="AZ199" s="936">
        <f>SUMIFS('911.CTC.YE22'!U:U,'911.CTC.YE22'!R:R,'A0.LS'!E199)</f>
        <v>0</v>
      </c>
      <c r="BA199" s="936">
        <f>ROUND(SUMIFS('A5.YE22'!J:J,'A5.YE22'!K:K,'A0.LS'!$BA$5,'A5.YE22'!L:L,"Posted",'A5.YE22'!D:D,'A0.LS'!E199),0)</f>
        <v>0</v>
      </c>
      <c r="BB199" s="936">
        <f t="shared" si="124"/>
        <v>0</v>
      </c>
      <c r="BC199" s="937"/>
      <c r="BD199" s="936">
        <f>ROUND(SUMIFS('911.VNSC.YE22'!R:R,'911.VNSC.YE22'!L:L,'A0.LS'!E199),0)</f>
        <v>0</v>
      </c>
      <c r="BE199" s="936">
        <f>ROUND(SUMIFS('A5.YE22'!J:J,'A5.YE22'!K:K,'A0.LS'!$BE$5,'A5.YE22'!L:L,"Posted",'A5.YE22'!D:D,'A0.LS'!E199),0)</f>
        <v>0</v>
      </c>
      <c r="BF199" s="936">
        <f t="shared" si="125"/>
        <v>0</v>
      </c>
      <c r="BG199" s="937"/>
      <c r="BH199" s="936">
        <f>ROUND(SUMIFS('911.XH.YE22'!T:T,'911.XH.YE22'!P:P,'A0.LS'!E199),0)</f>
        <v>0</v>
      </c>
      <c r="BI199" s="936">
        <f>ROUND(SUMIFS('A5.YE22'!J:J,'A5.YE22'!K:K,"XH",'A5.YE22'!L:L,"Posted",'A5.YE22'!D:D,'A0.LS'!E199),0)</f>
        <v>0</v>
      </c>
      <c r="BJ199" s="936">
        <f t="shared" si="126"/>
        <v>0</v>
      </c>
      <c r="BK199" s="937"/>
      <c r="BL199" s="936">
        <f>ROUND(SUMIFS('911.KCG.YE22'!T:T,'911.KCG.YE22'!P:P,'A0.LS'!E199),0)</f>
        <v>0</v>
      </c>
      <c r="BM199" s="936">
        <f>ROUND(SUMIFS('A5.YE22'!J:J,'A5.YE22'!K:K,'A0.LS'!$BM$5,'A5.YE22'!L:L,"Posted",'A5.YE22'!D:D,'A0.LS'!E199),0)</f>
        <v>0</v>
      </c>
      <c r="BN199" s="936">
        <f t="shared" si="127"/>
        <v>0</v>
      </c>
      <c r="BO199" s="937"/>
      <c r="BP199" s="938">
        <v>-245854407</v>
      </c>
      <c r="BQ199" s="938">
        <v>0</v>
      </c>
      <c r="BR199" s="938">
        <f t="shared" si="128"/>
        <v>-245854407</v>
      </c>
    </row>
    <row r="200" spans="2:70" ht="12.75">
      <c r="B200" s="939">
        <v>1</v>
      </c>
      <c r="C200" s="940" t="s">
        <v>2389</v>
      </c>
      <c r="D200" s="941" t="s">
        <v>2389</v>
      </c>
      <c r="E200" s="928" t="s">
        <v>237</v>
      </c>
      <c r="F200" s="928" t="s">
        <v>238</v>
      </c>
      <c r="G200" s="927" t="s">
        <v>2382</v>
      </c>
      <c r="H200" s="927" t="s">
        <v>2265</v>
      </c>
      <c r="I200" s="942">
        <f>SUMIFS('GL911.Cty Me.FY24'!T:T,'GL911.Cty Me.FY24'!H:H,'A0.LS'!E200)</f>
        <v>-189177755</v>
      </c>
      <c r="J200" s="942">
        <f>ROUND(SUMIFS('A5.FY24'!K:K,'A5.FY24'!E:E,'A0.LS'!E200,'A5.FY24'!L:L,"Finhay",'A5.FY24'!M:M,"Posted"),0)</f>
        <v>0</v>
      </c>
      <c r="K200" s="942">
        <f>ROUND(SUMIFS('A5.FY24'!K:K,'A5.FY24'!E:E,'A0.LS'!E200,'A5.FY24'!L:L,"EY",'A5.FY24'!M:M,"Posted"),0)</f>
        <v>0</v>
      </c>
      <c r="L200" s="943">
        <f t="shared" si="129"/>
        <v>-189177755</v>
      </c>
      <c r="M200" s="930"/>
      <c r="N200" s="944">
        <v>-1928576</v>
      </c>
      <c r="O200" s="944">
        <v>0</v>
      </c>
      <c r="P200" s="944">
        <v>0</v>
      </c>
      <c r="Q200" s="945">
        <v>-1928576</v>
      </c>
      <c r="R200" s="898"/>
      <c r="S200" s="848">
        <f t="shared" si="130"/>
        <v>-187249179</v>
      </c>
      <c r="T200" s="946">
        <f t="shared" si="131"/>
        <v>97.091936745038822</v>
      </c>
      <c r="U200" s="850"/>
      <c r="V200" s="850" t="s">
        <v>2392</v>
      </c>
      <c r="W200" s="850"/>
      <c r="X200" s="933"/>
      <c r="Y200" s="947" t="s">
        <v>2382</v>
      </c>
      <c r="Z200" s="936">
        <f>ROUND(SUMIFS('GL911.CtyCon.FY24'!N:N,'GL911.CtyCon.FY24'!G:G,'A0.LS'!E200),0)</f>
        <v>0</v>
      </c>
      <c r="AA200" s="936">
        <f>ROUND(SUMIFS('A5.CTC FY24'!K:K,'A5.CTC FY24'!E:E,'A0.LS'!E200,'A5.CTC FY24'!A:A,'A0.LS'!$AA$5,'A5.CTC FY24'!L:L,"Finhay",'A5.CTC FY24'!M:M,"Posted"),0)</f>
        <v>0</v>
      </c>
      <c r="AB200" s="936">
        <f>ROUND(SUMIFS('A5.CTC FY24'!K:K,'A5.CTC FY24'!E:E,'A0.LS'!E200,'A5.CTC FY24'!A:A,'A0.LS'!$AB$5,'A5.CTC FY24'!L:L,"EY",'A5.CTC FY24'!M:M,"Posted"),0)</f>
        <v>0</v>
      </c>
      <c r="AC200" s="948">
        <f t="shared" si="116"/>
        <v>0</v>
      </c>
      <c r="AD200" s="930"/>
      <c r="AE200" s="936">
        <f>SUMIFS('GL911 VNSC FY24'!T:T,'GL911 VNSC FY24'!AG:AG,'A0.LS'!E200)</f>
        <v>0</v>
      </c>
      <c r="AF200" s="936">
        <f>SUMIFS('A5.CTC FY24'!K:K,'A5.CTC FY24'!E:E,'A0.LS'!E200,'A5.CTC FY24'!A:A,"VNSC",'A5.CTC FY24'!L:L,"VNSC",'A5.CTC FY24'!M:M,"Posted")</f>
        <v>0</v>
      </c>
      <c r="AG200" s="936">
        <f>ROUND(SUMIFS('A5.CTC FY24'!K:K,'A5.CTC FY24'!E:E,'A0.LS'!E200,'A5.CTC FY24'!A:A,"VNSC",'A5.CTC FY24'!L:L,"EY",'A5.CTC FY24'!M:M,"Posted"),0)</f>
        <v>0</v>
      </c>
      <c r="AH200" s="936">
        <f t="shared" si="117"/>
        <v>0</v>
      </c>
      <c r="AI200" s="930"/>
      <c r="AJ200" s="936">
        <f>ROUND(SUMIFS('GL911.KCG.FY24'!T:T,'GL911.KCG.FY24'!U:U,'A0.LS'!E200),0)</f>
        <v>0</v>
      </c>
      <c r="AK200" s="936">
        <f>ROUND(SUMIFS('A5.CTC FY24'!K:K,'A5.CTC FY24'!E:E,'A0.LS'!E200,'A5.CTC FY24'!A:A,'A0.LS'!$AK$5,'A5.CTC FY24'!L:L,"EY",'A5.CTC FY24'!M:M,"Posted"),0)</f>
        <v>0</v>
      </c>
      <c r="AL200" s="948">
        <f t="shared" si="118"/>
        <v>0</v>
      </c>
      <c r="AM200" s="930"/>
      <c r="AN200" s="949">
        <f t="shared" si="119"/>
        <v>0</v>
      </c>
      <c r="AO200" s="950">
        <f>ROUND(SUMIFS('A5.Consol FY24'!L:L,'A5.Consol FY24'!M:M,"EY",'A5.Consol FY24'!N:N,"Posted",'A5.Consol FY24'!B:B,'A0.LS'!$AO$5,'A5.Consol FY24'!F:F,'A0.LS'!E200),0)</f>
        <v>0</v>
      </c>
      <c r="AP200" s="949">
        <f t="shared" si="120"/>
        <v>0</v>
      </c>
      <c r="AQ200" s="930"/>
      <c r="AR200" s="936">
        <f>ROUND(SUMIFS('GL911.XH.FY24'!L:L,'GL911.XH.FY24'!F:F,'A0.LS'!E200),0)</f>
        <v>0</v>
      </c>
      <c r="AS200" s="936">
        <f>ROUND(SUMIFS('A5.CTC FY24'!K:K,'A5.CTC FY24'!E:E,'A0.LS'!E200,'A5.CTC FY24'!A:A,'A0.LS'!$AS$5,'A5.CTC FY24'!L:L,"EY",'A5.CTC FY24'!M:M,"Posted"),0)</f>
        <v>0</v>
      </c>
      <c r="AT200" s="948">
        <f t="shared" si="121"/>
        <v>0</v>
      </c>
      <c r="AU200" s="930"/>
      <c r="AV200" s="951">
        <f t="shared" si="122"/>
        <v>-189177755</v>
      </c>
      <c r="AW200" s="952">
        <f>SUMIFS('A5.Consol FY24'!L:L,'A5.Consol FY24'!B:B,'A0.LS'!$AW$5,'A5.Consol FY24'!M:M,"EY",'A5.Consol FY24'!N:N,"Posted",'A5.Consol FY24'!F:F,'A0.LS'!E200)</f>
        <v>0</v>
      </c>
      <c r="AX200" s="951">
        <f t="shared" si="123"/>
        <v>-189177755</v>
      </c>
      <c r="AY200" s="920"/>
      <c r="AZ200" s="936">
        <f>SUMIFS('911.CTC.YE22'!U:U,'911.CTC.YE22'!R:R,'A0.LS'!E200)</f>
        <v>0</v>
      </c>
      <c r="BA200" s="936">
        <f>ROUND(SUMIFS('A5.YE22'!J:J,'A5.YE22'!K:K,'A0.LS'!$BA$5,'A5.YE22'!L:L,"Posted",'A5.YE22'!D:D,'A0.LS'!E200),0)</f>
        <v>0</v>
      </c>
      <c r="BB200" s="936">
        <f t="shared" si="124"/>
        <v>0</v>
      </c>
      <c r="BC200" s="937"/>
      <c r="BD200" s="936">
        <f>ROUND(SUMIFS('911.VNSC.YE22'!R:R,'911.VNSC.YE22'!L:L,'A0.LS'!E200),0)</f>
        <v>0</v>
      </c>
      <c r="BE200" s="936">
        <f>ROUND(SUMIFS('A5.YE22'!J:J,'A5.YE22'!K:K,'A0.LS'!$BE$5,'A5.YE22'!L:L,"Posted",'A5.YE22'!D:D,'A0.LS'!E200),0)</f>
        <v>0</v>
      </c>
      <c r="BF200" s="936">
        <f t="shared" si="125"/>
        <v>0</v>
      </c>
      <c r="BG200" s="937"/>
      <c r="BH200" s="936">
        <f>ROUND(SUMIFS('911.XH.YE22'!T:T,'911.XH.YE22'!P:P,'A0.LS'!E200),0)</f>
        <v>0</v>
      </c>
      <c r="BI200" s="936">
        <f>ROUND(SUMIFS('A5.YE22'!J:J,'A5.YE22'!K:K,"XH",'A5.YE22'!L:L,"Posted",'A5.YE22'!D:D,'A0.LS'!E200),0)</f>
        <v>0</v>
      </c>
      <c r="BJ200" s="936">
        <f t="shared" si="126"/>
        <v>0</v>
      </c>
      <c r="BK200" s="937"/>
      <c r="BL200" s="936">
        <f>ROUND(SUMIFS('911.KCG.YE22'!T:T,'911.KCG.YE22'!P:P,'A0.LS'!E200),0)</f>
        <v>0</v>
      </c>
      <c r="BM200" s="936">
        <f>ROUND(SUMIFS('A5.YE22'!J:J,'A5.YE22'!K:K,'A0.LS'!$BM$5,'A5.YE22'!L:L,"Posted",'A5.YE22'!D:D,'A0.LS'!E200),0)</f>
        <v>0</v>
      </c>
      <c r="BN200" s="936">
        <f t="shared" si="127"/>
        <v>0</v>
      </c>
      <c r="BO200" s="937"/>
      <c r="BP200" s="938">
        <v>-1928576</v>
      </c>
      <c r="BQ200" s="938">
        <v>0</v>
      </c>
      <c r="BR200" s="938">
        <f t="shared" si="128"/>
        <v>-1928576</v>
      </c>
    </row>
    <row r="201" spans="2:70" ht="12.75">
      <c r="B201" s="939">
        <v>1</v>
      </c>
      <c r="C201" s="940" t="s">
        <v>2389</v>
      </c>
      <c r="D201" s="941" t="s">
        <v>2389</v>
      </c>
      <c r="E201" s="928" t="s">
        <v>2409</v>
      </c>
      <c r="F201" s="928" t="s">
        <v>2410</v>
      </c>
      <c r="G201" s="927" t="s">
        <v>2382</v>
      </c>
      <c r="H201" s="927" t="s">
        <v>2265</v>
      </c>
      <c r="I201" s="942">
        <f>SUMIFS('GL911.Cty Me.FY24'!T:T,'GL911.Cty Me.FY24'!H:H,'A0.LS'!E201)</f>
        <v>0</v>
      </c>
      <c r="J201" s="942">
        <f>ROUND(SUMIFS('A5.FY24'!K:K,'A5.FY24'!E:E,'A0.LS'!E201,'A5.FY24'!L:L,"Finhay",'A5.FY24'!M:M,"Posted"),0)</f>
        <v>0</v>
      </c>
      <c r="K201" s="942">
        <f>ROUND(SUMIFS('A5.FY24'!K:K,'A5.FY24'!E:E,'A0.LS'!E201,'A5.FY24'!L:L,"EY",'A5.FY24'!M:M,"Posted"),0)</f>
        <v>0</v>
      </c>
      <c r="L201" s="943">
        <f t="shared" si="129"/>
        <v>0</v>
      </c>
      <c r="M201" s="930"/>
      <c r="N201" s="944">
        <v>0</v>
      </c>
      <c r="O201" s="944">
        <v>0</v>
      </c>
      <c r="P201" s="944">
        <v>0</v>
      </c>
      <c r="Q201" s="945">
        <v>0</v>
      </c>
      <c r="R201" s="898"/>
      <c r="S201" s="848">
        <f t="shared" si="130"/>
        <v>0</v>
      </c>
      <c r="T201" s="946" t="str">
        <f t="shared" si="131"/>
        <v>To check</v>
      </c>
      <c r="U201" s="850"/>
      <c r="V201" s="850" t="s">
        <v>2392</v>
      </c>
      <c r="W201" s="850"/>
      <c r="X201" s="933"/>
      <c r="Y201" s="947" t="s">
        <v>2382</v>
      </c>
      <c r="Z201" s="936">
        <f>ROUND(SUMIFS('GL911.CtyCon.FY24'!N:N,'GL911.CtyCon.FY24'!G:G,'A0.LS'!E201),0)</f>
        <v>0</v>
      </c>
      <c r="AA201" s="936">
        <f>ROUND(SUMIFS('A5.CTC FY24'!K:K,'A5.CTC FY24'!E:E,'A0.LS'!E201,'A5.CTC FY24'!A:A,'A0.LS'!$AA$5,'A5.CTC FY24'!L:L,"Finhay",'A5.CTC FY24'!M:M,"Posted"),0)</f>
        <v>0</v>
      </c>
      <c r="AB201" s="936">
        <f>ROUND(SUMIFS('A5.CTC FY24'!K:K,'A5.CTC FY24'!E:E,'A0.LS'!E201,'A5.CTC FY24'!A:A,'A0.LS'!$AB$5,'A5.CTC FY24'!L:L,"EY",'A5.CTC FY24'!M:M,"Posted"),0)</f>
        <v>0</v>
      </c>
      <c r="AC201" s="948">
        <f t="shared" si="116"/>
        <v>0</v>
      </c>
      <c r="AD201" s="930"/>
      <c r="AE201" s="936">
        <f>SUMIFS('GL911 VNSC FY24'!T:T,'GL911 VNSC FY24'!AG:AG,'A0.LS'!E201)</f>
        <v>0</v>
      </c>
      <c r="AF201" s="936">
        <f>SUMIFS('A5.CTC FY24'!K:K,'A5.CTC FY24'!E:E,'A0.LS'!E201,'A5.CTC FY24'!A:A,"VNSC",'A5.CTC FY24'!L:L,"VNSC",'A5.CTC FY24'!M:M,"Posted")</f>
        <v>0</v>
      </c>
      <c r="AG201" s="936">
        <f>ROUND(SUMIFS('A5.CTC FY24'!K:K,'A5.CTC FY24'!E:E,'A0.LS'!E201,'A5.CTC FY24'!A:A,"VNSC",'A5.CTC FY24'!L:L,"EY",'A5.CTC FY24'!M:M,"Posted"),0)</f>
        <v>0</v>
      </c>
      <c r="AH201" s="936">
        <f t="shared" si="117"/>
        <v>0</v>
      </c>
      <c r="AI201" s="930"/>
      <c r="AJ201" s="936">
        <f>ROUND(SUMIFS('GL911.KCG.FY24'!T:T,'GL911.KCG.FY24'!U:U,'A0.LS'!E201),0)</f>
        <v>0</v>
      </c>
      <c r="AK201" s="936">
        <f>ROUND(SUMIFS('A5.CTC FY24'!K:K,'A5.CTC FY24'!E:E,'A0.LS'!E201,'A5.CTC FY24'!A:A,'A0.LS'!$AK$5,'A5.CTC FY24'!L:L,"EY",'A5.CTC FY24'!M:M,"Posted"),0)</f>
        <v>0</v>
      </c>
      <c r="AL201" s="948">
        <f t="shared" si="118"/>
        <v>0</v>
      </c>
      <c r="AM201" s="930"/>
      <c r="AN201" s="949">
        <f t="shared" si="119"/>
        <v>0</v>
      </c>
      <c r="AO201" s="950">
        <f>ROUND(SUMIFS('A5.Consol FY24'!L:L,'A5.Consol FY24'!M:M,"EY",'A5.Consol FY24'!N:N,"Posted",'A5.Consol FY24'!B:B,'A0.LS'!$AO$5,'A5.Consol FY24'!F:F,'A0.LS'!E201),0)</f>
        <v>0</v>
      </c>
      <c r="AP201" s="949">
        <f t="shared" si="120"/>
        <v>0</v>
      </c>
      <c r="AQ201" s="930"/>
      <c r="AR201" s="936">
        <f>ROUND(SUMIFS('GL911.XH.FY24'!L:L,'GL911.XH.FY24'!F:F,'A0.LS'!E201),0)</f>
        <v>0</v>
      </c>
      <c r="AS201" s="936">
        <f>ROUND(SUMIFS('A5.CTC FY24'!K:K,'A5.CTC FY24'!E:E,'A0.LS'!E201,'A5.CTC FY24'!A:A,'A0.LS'!$AS$5,'A5.CTC FY24'!L:L,"EY",'A5.CTC FY24'!M:M,"Posted"),0)</f>
        <v>0</v>
      </c>
      <c r="AT201" s="948">
        <f t="shared" si="121"/>
        <v>0</v>
      </c>
      <c r="AU201" s="930"/>
      <c r="AV201" s="951">
        <f t="shared" si="122"/>
        <v>0</v>
      </c>
      <c r="AW201" s="952">
        <f>SUMIFS('A5.Consol FY24'!L:L,'A5.Consol FY24'!B:B,'A0.LS'!$AW$5,'A5.Consol FY24'!M:M,"EY",'A5.Consol FY24'!N:N,"Posted",'A5.Consol FY24'!F:F,'A0.LS'!E201)</f>
        <v>0</v>
      </c>
      <c r="AX201" s="951">
        <f t="shared" si="123"/>
        <v>0</v>
      </c>
      <c r="AY201" s="920"/>
      <c r="AZ201" s="936">
        <f>SUMIFS('911.CTC.YE22'!U:U,'911.CTC.YE22'!R:R,'A0.LS'!E201)</f>
        <v>0</v>
      </c>
      <c r="BA201" s="936">
        <f>ROUND(SUMIFS('A5.YE22'!J:J,'A5.YE22'!K:K,'A0.LS'!$BA$5,'A5.YE22'!L:L,"Posted",'A5.YE22'!D:D,'A0.LS'!E201),0)</f>
        <v>0</v>
      </c>
      <c r="BB201" s="936">
        <f t="shared" si="124"/>
        <v>0</v>
      </c>
      <c r="BC201" s="937"/>
      <c r="BD201" s="936">
        <f>ROUND(SUMIFS('911.VNSC.YE22'!R:R,'911.VNSC.YE22'!L:L,'A0.LS'!E201),0)</f>
        <v>0</v>
      </c>
      <c r="BE201" s="936">
        <f>ROUND(SUMIFS('A5.YE22'!J:J,'A5.YE22'!K:K,'A0.LS'!$BE$5,'A5.YE22'!L:L,"Posted",'A5.YE22'!D:D,'A0.LS'!E201),0)</f>
        <v>0</v>
      </c>
      <c r="BF201" s="936">
        <f t="shared" si="125"/>
        <v>0</v>
      </c>
      <c r="BG201" s="937"/>
      <c r="BH201" s="936">
        <f>ROUND(SUMIFS('911.XH.YE22'!T:T,'911.XH.YE22'!P:P,'A0.LS'!E201),0)</f>
        <v>0</v>
      </c>
      <c r="BI201" s="936">
        <f>ROUND(SUMIFS('A5.YE22'!J:J,'A5.YE22'!K:K,"XH",'A5.YE22'!L:L,"Posted",'A5.YE22'!D:D,'A0.LS'!E201),0)</f>
        <v>0</v>
      </c>
      <c r="BJ201" s="936">
        <f t="shared" si="126"/>
        <v>0</v>
      </c>
      <c r="BK201" s="937"/>
      <c r="BL201" s="936">
        <f>ROUND(SUMIFS('911.KCG.YE22'!T:T,'911.KCG.YE22'!P:P,'A0.LS'!E201),0)</f>
        <v>0</v>
      </c>
      <c r="BM201" s="936">
        <f>ROUND(SUMIFS('A5.YE22'!J:J,'A5.YE22'!K:K,'A0.LS'!$BM$5,'A5.YE22'!L:L,"Posted",'A5.YE22'!D:D,'A0.LS'!E201),0)</f>
        <v>0</v>
      </c>
      <c r="BN201" s="936">
        <f t="shared" si="127"/>
        <v>0</v>
      </c>
      <c r="BO201" s="937"/>
      <c r="BP201" s="938">
        <v>0</v>
      </c>
      <c r="BQ201" s="938">
        <v>0</v>
      </c>
      <c r="BR201" s="938">
        <f t="shared" si="128"/>
        <v>0</v>
      </c>
    </row>
    <row r="202" spans="2:70" ht="12.75">
      <c r="B202" s="939">
        <v>1</v>
      </c>
      <c r="C202" s="940" t="s">
        <v>2389</v>
      </c>
      <c r="D202" s="941" t="s">
        <v>2389</v>
      </c>
      <c r="E202" s="928" t="s">
        <v>239</v>
      </c>
      <c r="F202" s="928" t="s">
        <v>240</v>
      </c>
      <c r="G202" s="927" t="s">
        <v>2382</v>
      </c>
      <c r="H202" s="927" t="s">
        <v>2265</v>
      </c>
      <c r="I202" s="942">
        <f>SUMIFS('GL911.Cty Me.FY24'!T:T,'GL911.Cty Me.FY24'!H:H,'A0.LS'!E202)</f>
        <v>-747919</v>
      </c>
      <c r="J202" s="942">
        <f>ROUND(SUMIFS('A5.FY24'!K:K,'A5.FY24'!E:E,'A0.LS'!E202,'A5.FY24'!L:L,"Finhay",'A5.FY24'!M:M,"Posted"),0)</f>
        <v>0</v>
      </c>
      <c r="K202" s="942">
        <f>ROUND(SUMIFS('A5.FY24'!K:K,'A5.FY24'!E:E,'A0.LS'!E202,'A5.FY24'!L:L,"EY",'A5.FY24'!M:M,"Posted"),0)</f>
        <v>0</v>
      </c>
      <c r="L202" s="943">
        <f t="shared" si="129"/>
        <v>-747919</v>
      </c>
      <c r="M202" s="930"/>
      <c r="N202" s="944">
        <v>-5998805</v>
      </c>
      <c r="O202" s="944">
        <v>0</v>
      </c>
      <c r="P202" s="944">
        <v>0</v>
      </c>
      <c r="Q202" s="945">
        <v>-5998805</v>
      </c>
      <c r="R202" s="898"/>
      <c r="S202" s="848">
        <f t="shared" si="130"/>
        <v>5250886</v>
      </c>
      <c r="T202" s="946">
        <f t="shared" si="131"/>
        <v>-0.8753220016319917</v>
      </c>
      <c r="U202" s="850"/>
      <c r="V202" s="850" t="s">
        <v>2392</v>
      </c>
      <c r="W202" s="850"/>
      <c r="X202" s="933"/>
      <c r="Y202" s="947" t="s">
        <v>2382</v>
      </c>
      <c r="Z202" s="936">
        <f>ROUND(SUMIFS('GL911.CtyCon.FY24'!N:N,'GL911.CtyCon.FY24'!G:G,'A0.LS'!E202),0)</f>
        <v>0</v>
      </c>
      <c r="AA202" s="936">
        <f>ROUND(SUMIFS('A5.CTC FY24'!K:K,'A5.CTC FY24'!E:E,'A0.LS'!E202,'A5.CTC FY24'!A:A,'A0.LS'!$AA$5,'A5.CTC FY24'!L:L,"Finhay",'A5.CTC FY24'!M:M,"Posted"),0)</f>
        <v>0</v>
      </c>
      <c r="AB202" s="936">
        <f>ROUND(SUMIFS('A5.CTC FY24'!K:K,'A5.CTC FY24'!E:E,'A0.LS'!E202,'A5.CTC FY24'!A:A,'A0.LS'!$AB$5,'A5.CTC FY24'!L:L,"EY",'A5.CTC FY24'!M:M,"Posted"),0)</f>
        <v>0</v>
      </c>
      <c r="AC202" s="948">
        <f t="shared" si="116"/>
        <v>0</v>
      </c>
      <c r="AD202" s="930"/>
      <c r="AE202" s="936">
        <f>SUMIFS('GL911 VNSC FY24'!T:T,'GL911 VNSC FY24'!AG:AG,'A0.LS'!E202)</f>
        <v>0</v>
      </c>
      <c r="AF202" s="936">
        <f>SUMIFS('A5.CTC FY24'!K:K,'A5.CTC FY24'!E:E,'A0.LS'!E202,'A5.CTC FY24'!A:A,"VNSC",'A5.CTC FY24'!L:L,"VNSC",'A5.CTC FY24'!M:M,"Posted")</f>
        <v>0</v>
      </c>
      <c r="AG202" s="936">
        <f>ROUND(SUMIFS('A5.CTC FY24'!K:K,'A5.CTC FY24'!E:E,'A0.LS'!E202,'A5.CTC FY24'!A:A,"VNSC",'A5.CTC FY24'!L:L,"EY",'A5.CTC FY24'!M:M,"Posted"),0)</f>
        <v>0</v>
      </c>
      <c r="AH202" s="936">
        <f t="shared" si="117"/>
        <v>0</v>
      </c>
      <c r="AI202" s="930"/>
      <c r="AJ202" s="936">
        <f>ROUND(SUMIFS('GL911.KCG.FY24'!T:T,'GL911.KCG.FY24'!U:U,'A0.LS'!E202),0)</f>
        <v>0</v>
      </c>
      <c r="AK202" s="936">
        <f>ROUND(SUMIFS('A5.CTC FY24'!K:K,'A5.CTC FY24'!E:E,'A0.LS'!E202,'A5.CTC FY24'!A:A,'A0.LS'!$AK$5,'A5.CTC FY24'!L:L,"EY",'A5.CTC FY24'!M:M,"Posted"),0)</f>
        <v>0</v>
      </c>
      <c r="AL202" s="948">
        <f t="shared" si="118"/>
        <v>0</v>
      </c>
      <c r="AM202" s="930"/>
      <c r="AN202" s="949">
        <f t="shared" si="119"/>
        <v>0</v>
      </c>
      <c r="AO202" s="950">
        <f>ROUND(SUMIFS('A5.Consol FY24'!L:L,'A5.Consol FY24'!M:M,"EY",'A5.Consol FY24'!N:N,"Posted",'A5.Consol FY24'!B:B,'A0.LS'!$AO$5,'A5.Consol FY24'!F:F,'A0.LS'!E202),0)</f>
        <v>0</v>
      </c>
      <c r="AP202" s="949">
        <f t="shared" si="120"/>
        <v>0</v>
      </c>
      <c r="AQ202" s="930"/>
      <c r="AR202" s="936">
        <f>ROUND(SUMIFS('GL911.XH.FY24'!L:L,'GL911.XH.FY24'!F:F,'A0.LS'!E202),0)</f>
        <v>0</v>
      </c>
      <c r="AS202" s="936">
        <f>ROUND(SUMIFS('A5.CTC FY24'!K:K,'A5.CTC FY24'!E:E,'A0.LS'!E202,'A5.CTC FY24'!A:A,'A0.LS'!$AS$5,'A5.CTC FY24'!L:L,"EY",'A5.CTC FY24'!M:M,"Posted"),0)</f>
        <v>0</v>
      </c>
      <c r="AT202" s="948">
        <f t="shared" si="121"/>
        <v>0</v>
      </c>
      <c r="AU202" s="930"/>
      <c r="AV202" s="951">
        <f t="shared" si="122"/>
        <v>-747919</v>
      </c>
      <c r="AW202" s="952">
        <f>SUMIFS('A5.Consol FY24'!L:L,'A5.Consol FY24'!B:B,'A0.LS'!$AW$5,'A5.Consol FY24'!M:M,"EY",'A5.Consol FY24'!N:N,"Posted",'A5.Consol FY24'!F:F,'A0.LS'!E202)</f>
        <v>0</v>
      </c>
      <c r="AX202" s="951">
        <f t="shared" si="123"/>
        <v>-747919</v>
      </c>
      <c r="AY202" s="920"/>
      <c r="AZ202" s="936">
        <f>SUMIFS('911.CTC.YE22'!U:U,'911.CTC.YE22'!R:R,'A0.LS'!E202)</f>
        <v>0</v>
      </c>
      <c r="BA202" s="936">
        <f>ROUND(SUMIFS('A5.YE22'!J:J,'A5.YE22'!K:K,'A0.LS'!$BA$5,'A5.YE22'!L:L,"Posted",'A5.YE22'!D:D,'A0.LS'!E202),0)</f>
        <v>0</v>
      </c>
      <c r="BB202" s="936">
        <f t="shared" si="124"/>
        <v>0</v>
      </c>
      <c r="BC202" s="937"/>
      <c r="BD202" s="936">
        <f>ROUND(SUMIFS('911.VNSC.YE22'!R:R,'911.VNSC.YE22'!L:L,'A0.LS'!E202),0)</f>
        <v>0</v>
      </c>
      <c r="BE202" s="936">
        <f>ROUND(SUMIFS('A5.YE22'!J:J,'A5.YE22'!K:K,'A0.LS'!$BE$5,'A5.YE22'!L:L,"Posted",'A5.YE22'!D:D,'A0.LS'!E202),0)</f>
        <v>0</v>
      </c>
      <c r="BF202" s="936">
        <f t="shared" si="125"/>
        <v>0</v>
      </c>
      <c r="BG202" s="937"/>
      <c r="BH202" s="936">
        <f>ROUND(SUMIFS('911.XH.YE22'!T:T,'911.XH.YE22'!P:P,'A0.LS'!E202),0)</f>
        <v>0</v>
      </c>
      <c r="BI202" s="936">
        <f>ROUND(SUMIFS('A5.YE22'!J:J,'A5.YE22'!K:K,"XH",'A5.YE22'!L:L,"Posted",'A5.YE22'!D:D,'A0.LS'!E202),0)</f>
        <v>0</v>
      </c>
      <c r="BJ202" s="936">
        <f t="shared" si="126"/>
        <v>0</v>
      </c>
      <c r="BK202" s="937"/>
      <c r="BL202" s="936">
        <f>ROUND(SUMIFS('911.KCG.YE22'!T:T,'911.KCG.YE22'!P:P,'A0.LS'!E202),0)</f>
        <v>0</v>
      </c>
      <c r="BM202" s="936">
        <f>ROUND(SUMIFS('A5.YE22'!J:J,'A5.YE22'!K:K,'A0.LS'!$BM$5,'A5.YE22'!L:L,"Posted",'A5.YE22'!D:D,'A0.LS'!E202),0)</f>
        <v>0</v>
      </c>
      <c r="BN202" s="936">
        <f t="shared" si="127"/>
        <v>0</v>
      </c>
      <c r="BO202" s="937"/>
      <c r="BP202" s="938">
        <v>-5998805</v>
      </c>
      <c r="BQ202" s="938">
        <v>0</v>
      </c>
      <c r="BR202" s="938">
        <f t="shared" si="128"/>
        <v>-5998805</v>
      </c>
    </row>
    <row r="203" spans="2:70" ht="12.75">
      <c r="B203" s="939">
        <v>1</v>
      </c>
      <c r="C203" s="940" t="s">
        <v>2385</v>
      </c>
      <c r="D203" s="941" t="s">
        <v>2385</v>
      </c>
      <c r="E203" s="953" t="s">
        <v>241</v>
      </c>
      <c r="F203" s="928" t="s">
        <v>242</v>
      </c>
      <c r="G203" s="927" t="s">
        <v>2382</v>
      </c>
      <c r="H203" s="927" t="s">
        <v>2265</v>
      </c>
      <c r="I203" s="942">
        <f>SUMIFS('GL911.Cty Me.FY24'!T:T,'GL911.Cty Me.FY24'!H:H,'A0.LS'!E203)</f>
        <v>-31753052</v>
      </c>
      <c r="J203" s="942">
        <f>ROUND(SUMIFS('A5.FY24'!K:K,'A5.FY24'!E:E,'A0.LS'!E203,'A5.FY24'!L:L,"Finhay",'A5.FY24'!M:M,"Posted"),0)</f>
        <v>0</v>
      </c>
      <c r="K203" s="942">
        <f>ROUND(SUMIFS('A5.FY24'!K:K,'A5.FY24'!E:E,'A0.LS'!E203,'A5.FY24'!L:L,"EY",'A5.FY24'!M:M,"Posted"),0)</f>
        <v>0</v>
      </c>
      <c r="L203" s="943">
        <f t="shared" si="129"/>
        <v>-31753052</v>
      </c>
      <c r="M203" s="930"/>
      <c r="N203" s="944">
        <v>-641722078</v>
      </c>
      <c r="O203" s="944">
        <v>0</v>
      </c>
      <c r="P203" s="944">
        <v>0</v>
      </c>
      <c r="Q203" s="945">
        <v>-641722078</v>
      </c>
      <c r="R203" s="898"/>
      <c r="S203" s="848">
        <f t="shared" si="130"/>
        <v>609969026</v>
      </c>
      <c r="T203" s="946">
        <f t="shared" si="131"/>
        <v>-0.95051899710391452</v>
      </c>
      <c r="U203" s="850"/>
      <c r="V203" s="850" t="s">
        <v>2386</v>
      </c>
      <c r="W203" s="850"/>
      <c r="X203" s="304"/>
      <c r="Y203" s="947" t="s">
        <v>2382</v>
      </c>
      <c r="Z203" s="936">
        <f>ROUND(SUMIFS('GL911.CtyCon.FY24'!N:N,'GL911.CtyCon.FY24'!G:G,'A0.LS'!E203),0)</f>
        <v>0</v>
      </c>
      <c r="AA203" s="936">
        <f>ROUND(SUMIFS('A5.CTC FY24'!K:K,'A5.CTC FY24'!E:E,'A0.LS'!E203,'A5.CTC FY24'!A:A,'A0.LS'!$AA$5,'A5.CTC FY24'!L:L,"Finhay",'A5.CTC FY24'!M:M,"Posted"),0)</f>
        <v>0</v>
      </c>
      <c r="AB203" s="936">
        <f>ROUND(SUMIFS('A5.CTC FY24'!K:K,'A5.CTC FY24'!E:E,'A0.LS'!E203,'A5.CTC FY24'!A:A,'A0.LS'!$AB$5,'A5.CTC FY24'!L:L,"EY",'A5.CTC FY24'!M:M,"Posted"),0)</f>
        <v>0</v>
      </c>
      <c r="AC203" s="948">
        <f t="shared" si="116"/>
        <v>0</v>
      </c>
      <c r="AD203" s="930"/>
      <c r="AE203" s="936">
        <f>SUMIFS('GL911 VNSC FY24'!T:T,'GL911 VNSC FY24'!AG:AG,'A0.LS'!E203)</f>
        <v>0</v>
      </c>
      <c r="AF203" s="936">
        <f>SUMIFS('A5.CTC FY24'!K:K,'A5.CTC FY24'!E:E,'A0.LS'!E203,'A5.CTC FY24'!A:A,"VNSC",'A5.CTC FY24'!L:L,"VNSC",'A5.CTC FY24'!M:M,"Posted")</f>
        <v>0</v>
      </c>
      <c r="AG203" s="936">
        <f>ROUND(SUMIFS('A5.CTC FY24'!K:K,'A5.CTC FY24'!E:E,'A0.LS'!E203,'A5.CTC FY24'!A:A,"VNSC",'A5.CTC FY24'!L:L,"EY",'A5.CTC FY24'!M:M,"Posted"),0)</f>
        <v>0</v>
      </c>
      <c r="AH203" s="936">
        <f t="shared" si="117"/>
        <v>0</v>
      </c>
      <c r="AI203" s="930"/>
      <c r="AJ203" s="936">
        <f>ROUND(SUMIFS('GL911.KCG.FY24'!T:T,'GL911.KCG.FY24'!U:U,'A0.LS'!E203),0)</f>
        <v>0</v>
      </c>
      <c r="AK203" s="936">
        <f>ROUND(SUMIFS('A5.CTC FY24'!K:K,'A5.CTC FY24'!E:E,'A0.LS'!E203,'A5.CTC FY24'!A:A,'A0.LS'!$AK$5,'A5.CTC FY24'!L:L,"EY",'A5.CTC FY24'!M:M,"Posted"),0)</f>
        <v>0</v>
      </c>
      <c r="AL203" s="948">
        <f t="shared" si="118"/>
        <v>0</v>
      </c>
      <c r="AM203" s="930"/>
      <c r="AN203" s="949">
        <f t="shared" si="119"/>
        <v>0</v>
      </c>
      <c r="AO203" s="950">
        <f>ROUND(SUMIFS('A5.Consol FY24'!L:L,'A5.Consol FY24'!M:M,"EY",'A5.Consol FY24'!N:N,"Posted",'A5.Consol FY24'!B:B,'A0.LS'!$AO$5,'A5.Consol FY24'!F:F,'A0.LS'!E203),0)</f>
        <v>0</v>
      </c>
      <c r="AP203" s="949">
        <f t="shared" si="120"/>
        <v>0</v>
      </c>
      <c r="AQ203" s="930"/>
      <c r="AR203" s="936">
        <f>ROUND(SUMIFS('GL911.XH.FY24'!L:L,'GL911.XH.FY24'!F:F,'A0.LS'!E203),0)</f>
        <v>0</v>
      </c>
      <c r="AS203" s="936">
        <f>ROUND(SUMIFS('A5.CTC FY24'!K:K,'A5.CTC FY24'!E:E,'A0.LS'!E203,'A5.CTC FY24'!A:A,'A0.LS'!$AS$5,'A5.CTC FY24'!L:L,"EY",'A5.CTC FY24'!M:M,"Posted"),0)</f>
        <v>0</v>
      </c>
      <c r="AT203" s="948">
        <f t="shared" si="121"/>
        <v>0</v>
      </c>
      <c r="AU203" s="930"/>
      <c r="AV203" s="951">
        <f t="shared" si="122"/>
        <v>-31753052</v>
      </c>
      <c r="AW203" s="952">
        <f>SUMIFS('A5.Consol FY24'!L:L,'A5.Consol FY24'!B:B,'A0.LS'!$AW$5,'A5.Consol FY24'!M:M,"EY",'A5.Consol FY24'!N:N,"Posted",'A5.Consol FY24'!F:F,'A0.LS'!E203)</f>
        <v>0</v>
      </c>
      <c r="AX203" s="951">
        <f t="shared" si="123"/>
        <v>-31753052</v>
      </c>
      <c r="AY203" s="920"/>
      <c r="AZ203" s="936">
        <f>SUMIFS('911.CTC.YE22'!U:U,'911.CTC.YE22'!R:R,'A0.LS'!E203)</f>
        <v>0</v>
      </c>
      <c r="BA203" s="936">
        <f>ROUND(SUMIFS('A5.YE22'!J:J,'A5.YE22'!K:K,'A0.LS'!$BA$5,'A5.YE22'!L:L,"Posted",'A5.YE22'!D:D,'A0.LS'!E203),0)</f>
        <v>0</v>
      </c>
      <c r="BB203" s="936">
        <f t="shared" si="124"/>
        <v>0</v>
      </c>
      <c r="BC203" s="937"/>
      <c r="BD203" s="936">
        <f>ROUND(SUMIFS('911.VNSC.YE22'!R:R,'911.VNSC.YE22'!L:L,'A0.LS'!E203),0)</f>
        <v>0</v>
      </c>
      <c r="BE203" s="936">
        <f>ROUND(SUMIFS('A5.YE22'!J:J,'A5.YE22'!K:K,'A0.LS'!$BE$5,'A5.YE22'!L:L,"Posted",'A5.YE22'!D:D,'A0.LS'!E203),0)</f>
        <v>0</v>
      </c>
      <c r="BF203" s="936">
        <f t="shared" si="125"/>
        <v>0</v>
      </c>
      <c r="BG203" s="937"/>
      <c r="BH203" s="936">
        <f>ROUND(SUMIFS('911.XH.YE22'!T:T,'911.XH.YE22'!P:P,'A0.LS'!E203),0)</f>
        <v>0</v>
      </c>
      <c r="BI203" s="936">
        <f>ROUND(SUMIFS('A5.YE22'!J:J,'A5.YE22'!K:K,"XH",'A5.YE22'!L:L,"Posted",'A5.YE22'!D:D,'A0.LS'!E203),0)</f>
        <v>0</v>
      </c>
      <c r="BJ203" s="936">
        <f t="shared" si="126"/>
        <v>0</v>
      </c>
      <c r="BK203" s="937"/>
      <c r="BL203" s="936">
        <f>ROUND(SUMIFS('911.KCG.YE22'!T:T,'911.KCG.YE22'!P:P,'A0.LS'!E203),0)</f>
        <v>0</v>
      </c>
      <c r="BM203" s="936">
        <f>ROUND(SUMIFS('A5.YE22'!J:J,'A5.YE22'!K:K,'A0.LS'!$BM$5,'A5.YE22'!L:L,"Posted",'A5.YE22'!D:D,'A0.LS'!E203),0)</f>
        <v>0</v>
      </c>
      <c r="BN203" s="936">
        <f t="shared" si="127"/>
        <v>0</v>
      </c>
      <c r="BO203" s="937"/>
      <c r="BP203" s="938">
        <v>-641722078</v>
      </c>
      <c r="BQ203" s="938">
        <v>0</v>
      </c>
      <c r="BR203" s="938">
        <f t="shared" si="128"/>
        <v>-641722078</v>
      </c>
    </row>
    <row r="204" spans="2:70" ht="12.75">
      <c r="B204" s="939">
        <v>1</v>
      </c>
      <c r="C204" s="940" t="s">
        <v>2411</v>
      </c>
      <c r="D204" s="941" t="s">
        <v>2411</v>
      </c>
      <c r="E204" s="953" t="s">
        <v>243</v>
      </c>
      <c r="F204" s="928" t="s">
        <v>244</v>
      </c>
      <c r="G204" s="927" t="s">
        <v>2382</v>
      </c>
      <c r="H204" s="927" t="s">
        <v>2265</v>
      </c>
      <c r="I204" s="942">
        <f>SUMIFS('GL911.Cty Me.FY24'!T:T,'GL911.Cty Me.FY24'!H:H,'A0.LS'!E204)</f>
        <v>-3792000000</v>
      </c>
      <c r="J204" s="942">
        <f>ROUND(SUMIFS('A5.FY24'!K:K,'A5.FY24'!E:E,'A0.LS'!E204,'A5.FY24'!L:L,"Finhay",'A5.FY24'!M:M,"Posted"),0)</f>
        <v>0</v>
      </c>
      <c r="K204" s="942">
        <f>ROUND(SUMIFS('A5.FY24'!K:K,'A5.FY24'!E:E,'A0.LS'!E204,'A5.FY24'!L:L,"EY",'A5.FY24'!M:M,"Posted"),0)</f>
        <v>0</v>
      </c>
      <c r="L204" s="943">
        <f t="shared" si="129"/>
        <v>-3792000000</v>
      </c>
      <c r="M204" s="930"/>
      <c r="N204" s="944">
        <v>-900000000</v>
      </c>
      <c r="O204" s="944">
        <v>0</v>
      </c>
      <c r="P204" s="944">
        <v>0</v>
      </c>
      <c r="Q204" s="945">
        <v>-900000000</v>
      </c>
      <c r="R204" s="898"/>
      <c r="S204" s="848">
        <f t="shared" si="130"/>
        <v>-2892000000</v>
      </c>
      <c r="T204" s="946">
        <f t="shared" si="131"/>
        <v>3.2133333333333334</v>
      </c>
      <c r="U204" s="850"/>
      <c r="V204" s="850" t="e">
        <v>#N/A</v>
      </c>
      <c r="W204" s="850"/>
      <c r="X204" s="947" t="s">
        <v>676</v>
      </c>
      <c r="Y204" s="947" t="s">
        <v>2382</v>
      </c>
      <c r="Z204" s="936">
        <f>ROUND(SUMIFS('GL911.CtyCon.FY24'!N:N,'GL911.CtyCon.FY24'!G:G,'A0.LS'!E204),0)</f>
        <v>0</v>
      </c>
      <c r="AA204" s="936">
        <f>ROUND(SUMIFS('A5.CTC FY24'!K:K,'A5.CTC FY24'!E:E,'A0.LS'!E204,'A5.CTC FY24'!A:A,'A0.LS'!$AA$5,'A5.CTC FY24'!L:L,"Finhay",'A5.CTC FY24'!M:M,"Posted"),0)</f>
        <v>0</v>
      </c>
      <c r="AB204" s="936">
        <f>ROUND(SUMIFS('A5.CTC FY24'!K:K,'A5.CTC FY24'!E:E,'A0.LS'!E204,'A5.CTC FY24'!A:A,'A0.LS'!$AB$5,'A5.CTC FY24'!L:L,"EY",'A5.CTC FY24'!M:M,"Posted"),0)</f>
        <v>0</v>
      </c>
      <c r="AC204" s="948">
        <f t="shared" si="116"/>
        <v>0</v>
      </c>
      <c r="AD204" s="930"/>
      <c r="AE204" s="936">
        <f>SUMIFS('GL911 VNSC FY24'!T:T,'GL911 VNSC FY24'!AG:AG,'A0.LS'!E204)</f>
        <v>0</v>
      </c>
      <c r="AF204" s="936">
        <f>SUMIFS('A5.CTC FY24'!K:K,'A5.CTC FY24'!E:E,'A0.LS'!E204,'A5.CTC FY24'!A:A,"VNSC",'A5.CTC FY24'!L:L,"VNSC",'A5.CTC FY24'!M:M,"Posted")</f>
        <v>0</v>
      </c>
      <c r="AG204" s="936">
        <f>ROUND(SUMIFS('A5.CTC FY24'!K:K,'A5.CTC FY24'!E:E,'A0.LS'!E204,'A5.CTC FY24'!A:A,"VNSC",'A5.CTC FY24'!L:L,"EY",'A5.CTC FY24'!M:M,"Posted"),0)</f>
        <v>0</v>
      </c>
      <c r="AH204" s="936">
        <f t="shared" si="117"/>
        <v>0</v>
      </c>
      <c r="AI204" s="930"/>
      <c r="AJ204" s="936">
        <f>ROUND(SUMIFS('GL911.KCG.FY24'!T:T,'GL911.KCG.FY24'!U:U,'A0.LS'!E204),0)</f>
        <v>0</v>
      </c>
      <c r="AK204" s="936">
        <f>ROUND(SUMIFS('A5.CTC FY24'!K:K,'A5.CTC FY24'!E:E,'A0.LS'!E204,'A5.CTC FY24'!A:A,'A0.LS'!$AK$5,'A5.CTC FY24'!L:L,"EY",'A5.CTC FY24'!M:M,"Posted"),0)</f>
        <v>0</v>
      </c>
      <c r="AL204" s="948">
        <f t="shared" si="118"/>
        <v>0</v>
      </c>
      <c r="AM204" s="930"/>
      <c r="AN204" s="949">
        <f t="shared" si="119"/>
        <v>0</v>
      </c>
      <c r="AO204" s="950">
        <f>ROUND(SUMIFS('A5.Consol FY24'!L:L,'A5.Consol FY24'!M:M,"EY",'A5.Consol FY24'!N:N,"Posted",'A5.Consol FY24'!B:B,'A0.LS'!$AO$5,'A5.Consol FY24'!F:F,'A0.LS'!E204),0)</f>
        <v>0</v>
      </c>
      <c r="AP204" s="949">
        <f t="shared" si="120"/>
        <v>0</v>
      </c>
      <c r="AQ204" s="930"/>
      <c r="AR204" s="936">
        <f>ROUND(SUMIFS('GL911.XH.FY24'!L:L,'GL911.XH.FY24'!F:F,'A0.LS'!E204),0)</f>
        <v>0</v>
      </c>
      <c r="AS204" s="936">
        <f>ROUND(SUMIFS('A5.CTC FY24'!K:K,'A5.CTC FY24'!E:E,'A0.LS'!E204,'A5.CTC FY24'!A:A,'A0.LS'!$AS$5,'A5.CTC FY24'!L:L,"EY",'A5.CTC FY24'!M:M,"Posted"),0)</f>
        <v>0</v>
      </c>
      <c r="AT204" s="948">
        <f t="shared" si="121"/>
        <v>0</v>
      </c>
      <c r="AU204" s="930"/>
      <c r="AV204" s="951">
        <f t="shared" si="122"/>
        <v>-3792000000</v>
      </c>
      <c r="AW204" s="952">
        <f>SUMIFS('A5.Consol FY24'!L:L,'A5.Consol FY24'!B:B,'A0.LS'!$AW$5,'A5.Consol FY24'!M:M,"EY",'A5.Consol FY24'!N:N,"Posted",'A5.Consol FY24'!F:F,'A0.LS'!E204)</f>
        <v>3792000000</v>
      </c>
      <c r="AX204" s="951">
        <f t="shared" si="123"/>
        <v>0</v>
      </c>
      <c r="AY204" s="920"/>
      <c r="AZ204" s="936">
        <f>SUMIFS('911.CTC.YE22'!U:U,'911.CTC.YE22'!R:R,'A0.LS'!E204)</f>
        <v>0</v>
      </c>
      <c r="BA204" s="936">
        <f>ROUND(SUMIFS('A5.YE22'!J:J,'A5.YE22'!K:K,'A0.LS'!$BA$5,'A5.YE22'!L:L,"Posted",'A5.YE22'!D:D,'A0.LS'!E204),0)</f>
        <v>0</v>
      </c>
      <c r="BB204" s="936">
        <f t="shared" si="124"/>
        <v>0</v>
      </c>
      <c r="BC204" s="937"/>
      <c r="BD204" s="936">
        <f>ROUND(SUMIFS('911.VNSC.YE22'!R:R,'911.VNSC.YE22'!L:L,'A0.LS'!E204),0)</f>
        <v>0</v>
      </c>
      <c r="BE204" s="936">
        <f>ROUND(SUMIFS('A5.YE22'!J:J,'A5.YE22'!K:K,'A0.LS'!$BE$5,'A5.YE22'!L:L,"Posted",'A5.YE22'!D:D,'A0.LS'!E204),0)</f>
        <v>0</v>
      </c>
      <c r="BF204" s="936">
        <f t="shared" si="125"/>
        <v>0</v>
      </c>
      <c r="BG204" s="937"/>
      <c r="BH204" s="936">
        <f>ROUND(SUMIFS('911.XH.YE22'!T:T,'911.XH.YE22'!P:P,'A0.LS'!E204),0)</f>
        <v>0</v>
      </c>
      <c r="BI204" s="936">
        <f>ROUND(SUMIFS('A5.YE22'!J:J,'A5.YE22'!K:K,"XH",'A5.YE22'!L:L,"Posted",'A5.YE22'!D:D,'A0.LS'!E204),0)</f>
        <v>0</v>
      </c>
      <c r="BJ204" s="936">
        <f t="shared" si="126"/>
        <v>0</v>
      </c>
      <c r="BK204" s="937"/>
      <c r="BL204" s="936">
        <f>ROUND(SUMIFS('911.KCG.YE22'!T:T,'911.KCG.YE22'!P:P,'A0.LS'!E204),0)</f>
        <v>0</v>
      </c>
      <c r="BM204" s="936">
        <f>ROUND(SUMIFS('A5.YE22'!J:J,'A5.YE22'!K:K,'A0.LS'!$BM$5,'A5.YE22'!L:L,"Posted",'A5.YE22'!D:D,'A0.LS'!E204),0)</f>
        <v>0</v>
      </c>
      <c r="BN204" s="936">
        <f t="shared" si="127"/>
        <v>0</v>
      </c>
      <c r="BO204" s="937"/>
      <c r="BP204" s="938">
        <v>-900000000</v>
      </c>
      <c r="BQ204" s="938">
        <v>900000000</v>
      </c>
      <c r="BR204" s="938">
        <f t="shared" si="128"/>
        <v>0</v>
      </c>
    </row>
    <row r="205" spans="2:70" ht="12.75">
      <c r="B205" s="939">
        <v>1</v>
      </c>
      <c r="C205" s="940" t="s">
        <v>2380</v>
      </c>
      <c r="D205" s="941" t="s">
        <v>2380</v>
      </c>
      <c r="E205" s="953" t="s">
        <v>245</v>
      </c>
      <c r="F205" s="928" t="s">
        <v>246</v>
      </c>
      <c r="G205" s="927" t="s">
        <v>2382</v>
      </c>
      <c r="H205" s="927" t="s">
        <v>2265</v>
      </c>
      <c r="I205" s="942">
        <f>SUMIFS('GL911.Cty Me.FY24'!T:T,'GL911.Cty Me.FY24'!H:H,'A0.LS'!E205)</f>
        <v>-4900000</v>
      </c>
      <c r="J205" s="942">
        <f>ROUND(SUMIFS('A5.FY24'!K:K,'A5.FY24'!E:E,'A0.LS'!E205,'A5.FY24'!L:L,"Finhay",'A5.FY24'!M:M,"Posted"),0)</f>
        <v>0</v>
      </c>
      <c r="K205" s="942">
        <f>ROUND(SUMIFS('A5.FY24'!K:K,'A5.FY24'!E:E,'A0.LS'!E205,'A5.FY24'!L:L,"EY",'A5.FY24'!M:M,"Posted"),0)</f>
        <v>0</v>
      </c>
      <c r="L205" s="943">
        <f t="shared" si="129"/>
        <v>-4900000</v>
      </c>
      <c r="M205" s="930"/>
      <c r="N205" s="944">
        <v>-800000</v>
      </c>
      <c r="O205" s="944">
        <v>0</v>
      </c>
      <c r="P205" s="944">
        <v>0</v>
      </c>
      <c r="Q205" s="945">
        <v>-800000</v>
      </c>
      <c r="R205" s="898"/>
      <c r="S205" s="848">
        <f t="shared" si="130"/>
        <v>-4100000</v>
      </c>
      <c r="T205" s="946">
        <f t="shared" si="131"/>
        <v>5.125</v>
      </c>
      <c r="U205" s="850"/>
      <c r="V205" s="850" t="e">
        <v>#N/A</v>
      </c>
      <c r="W205" s="850"/>
      <c r="X205" s="947" t="s">
        <v>676</v>
      </c>
      <c r="Y205" s="947" t="s">
        <v>2382</v>
      </c>
      <c r="Z205" s="936">
        <f>ROUND(SUMIFS('GL911.CtyCon.FY24'!N:N,'GL911.CtyCon.FY24'!G:G,'A0.LS'!E205),0)</f>
        <v>0</v>
      </c>
      <c r="AA205" s="936">
        <f>ROUND(SUMIFS('A5.CTC FY24'!K:K,'A5.CTC FY24'!E:E,'A0.LS'!E205,'A5.CTC FY24'!A:A,'A0.LS'!$AA$5,'A5.CTC FY24'!L:L,"Finhay",'A5.CTC FY24'!M:M,"Posted"),0)</f>
        <v>0</v>
      </c>
      <c r="AB205" s="936">
        <f>ROUND(SUMIFS('A5.CTC FY24'!K:K,'A5.CTC FY24'!E:E,'A0.LS'!E205,'A5.CTC FY24'!A:A,'A0.LS'!$AB$5,'A5.CTC FY24'!L:L,"EY",'A5.CTC FY24'!M:M,"Posted"),0)</f>
        <v>0</v>
      </c>
      <c r="AC205" s="948">
        <f t="shared" si="116"/>
        <v>0</v>
      </c>
      <c r="AD205" s="930"/>
      <c r="AE205" s="936">
        <f>SUMIFS('GL911 VNSC FY24'!T:T,'GL911 VNSC FY24'!AG:AG,'A0.LS'!E205)</f>
        <v>-9887740004</v>
      </c>
      <c r="AF205" s="936">
        <f>SUMIFS('A5.CTC FY24'!K:K,'A5.CTC FY24'!E:E,'A0.LS'!E205,'A5.CTC FY24'!A:A,"VNSC",'A5.CTC FY24'!L:L,"VNSC",'A5.CTC FY24'!M:M,"Posted")</f>
        <v>0</v>
      </c>
      <c r="AG205" s="936">
        <f>ROUND(SUMIFS('A5.CTC FY24'!K:K,'A5.CTC FY24'!E:E,'A0.LS'!E205,'A5.CTC FY24'!A:A,"VNSC",'A5.CTC FY24'!L:L,"EY",'A5.CTC FY24'!M:M,"Posted"),0)</f>
        <v>9442245719</v>
      </c>
      <c r="AH205" s="936">
        <f t="shared" si="117"/>
        <v>-445494285</v>
      </c>
      <c r="AI205" s="930"/>
      <c r="AJ205" s="936">
        <f>ROUND(SUMIFS('GL911.KCG.FY24'!T:T,'GL911.KCG.FY24'!U:U,'A0.LS'!E205),0)</f>
        <v>0</v>
      </c>
      <c r="AK205" s="936">
        <f>ROUND(SUMIFS('A5.CTC FY24'!K:K,'A5.CTC FY24'!E:E,'A0.LS'!E205,'A5.CTC FY24'!A:A,'A0.LS'!$AK$5,'A5.CTC FY24'!L:L,"EY",'A5.CTC FY24'!M:M,"Posted"),0)</f>
        <v>0</v>
      </c>
      <c r="AL205" s="948">
        <f t="shared" si="118"/>
        <v>0</v>
      </c>
      <c r="AM205" s="930"/>
      <c r="AN205" s="949">
        <f t="shared" si="119"/>
        <v>-445494285</v>
      </c>
      <c r="AO205" s="950">
        <f>ROUND(SUMIFS('A5.Consol FY24'!L:L,'A5.Consol FY24'!M:M,"EY",'A5.Consol FY24'!N:N,"Posted",'A5.Consol FY24'!B:B,'A0.LS'!$AO$5,'A5.Consol FY24'!F:F,'A0.LS'!E205),0)</f>
        <v>0</v>
      </c>
      <c r="AP205" s="949">
        <f t="shared" si="120"/>
        <v>-445494285</v>
      </c>
      <c r="AQ205" s="930"/>
      <c r="AR205" s="936">
        <f>ROUND(SUMIFS('GL911.XH.FY24'!L:L,'GL911.XH.FY24'!F:F,'A0.LS'!E205),0)</f>
        <v>0</v>
      </c>
      <c r="AS205" s="936">
        <f>ROUND(SUMIFS('A5.CTC FY24'!K:K,'A5.CTC FY24'!E:E,'A0.LS'!E205,'A5.CTC FY24'!A:A,'A0.LS'!$AS$5,'A5.CTC FY24'!L:L,"EY",'A5.CTC FY24'!M:M,"Posted"),0)</f>
        <v>0</v>
      </c>
      <c r="AT205" s="948">
        <f t="shared" si="121"/>
        <v>0</v>
      </c>
      <c r="AU205" s="930"/>
      <c r="AV205" s="951">
        <f t="shared" si="122"/>
        <v>-450394285</v>
      </c>
      <c r="AW205" s="952">
        <f>SUMIFS('A5.Consol FY24'!L:L,'A5.Consol FY24'!B:B,'A0.LS'!$AW$5,'A5.Consol FY24'!M:M,"EY",'A5.Consol FY24'!N:N,"Posted",'A5.Consol FY24'!F:F,'A0.LS'!E205)</f>
        <v>0</v>
      </c>
      <c r="AX205" s="951">
        <f t="shared" si="123"/>
        <v>-450394285</v>
      </c>
      <c r="AY205" s="920"/>
      <c r="AZ205" s="936">
        <f>SUMIFS('911.CTC.YE22'!U:U,'911.CTC.YE22'!R:R,'A0.LS'!E205)</f>
        <v>0</v>
      </c>
      <c r="BA205" s="936">
        <f>ROUND(SUMIFS('A5.YE22'!J:J,'A5.YE22'!K:K,'A0.LS'!$BA$5,'A5.YE22'!L:L,"Posted",'A5.YE22'!D:D,'A0.LS'!E205),0)</f>
        <v>0</v>
      </c>
      <c r="BB205" s="936">
        <f t="shared" si="124"/>
        <v>0</v>
      </c>
      <c r="BC205" s="937"/>
      <c r="BD205" s="936">
        <f>ROUND(SUMIFS('911.VNSC.YE22'!R:R,'911.VNSC.YE22'!L:L,'A0.LS'!E205),0)</f>
        <v>0</v>
      </c>
      <c r="BE205" s="936">
        <f>ROUND(SUMIFS('A5.YE22'!J:J,'A5.YE22'!K:K,'A0.LS'!$BE$5,'A5.YE22'!L:L,"Posted",'A5.YE22'!D:D,'A0.LS'!E205),0)</f>
        <v>0</v>
      </c>
      <c r="BF205" s="936">
        <f t="shared" si="125"/>
        <v>0</v>
      </c>
      <c r="BG205" s="937"/>
      <c r="BH205" s="936">
        <f>ROUND(SUMIFS('911.XH.YE22'!T:T,'911.XH.YE22'!P:P,'A0.LS'!E205),0)</f>
        <v>0</v>
      </c>
      <c r="BI205" s="936">
        <f>ROUND(SUMIFS('A5.YE22'!J:J,'A5.YE22'!K:K,"XH",'A5.YE22'!L:L,"Posted",'A5.YE22'!D:D,'A0.LS'!E205),0)</f>
        <v>0</v>
      </c>
      <c r="BJ205" s="936">
        <f t="shared" si="126"/>
        <v>0</v>
      </c>
      <c r="BK205" s="937"/>
      <c r="BL205" s="936">
        <f>ROUND(SUMIFS('911.KCG.YE22'!T:T,'911.KCG.YE22'!P:P,'A0.LS'!E205),0)</f>
        <v>0</v>
      </c>
      <c r="BM205" s="936">
        <f>ROUND(SUMIFS('A5.YE22'!J:J,'A5.YE22'!K:K,'A0.LS'!$BM$5,'A5.YE22'!L:L,"Posted",'A5.YE22'!D:D,'A0.LS'!E205),0)</f>
        <v>0</v>
      </c>
      <c r="BN205" s="936">
        <f t="shared" si="127"/>
        <v>0</v>
      </c>
      <c r="BO205" s="937"/>
      <c r="BP205" s="938">
        <v>-941095</v>
      </c>
      <c r="BQ205" s="938">
        <v>0</v>
      </c>
      <c r="BR205" s="938">
        <f t="shared" si="128"/>
        <v>-941095</v>
      </c>
    </row>
    <row r="206" spans="2:70" ht="12.75">
      <c r="B206" s="939">
        <v>1</v>
      </c>
      <c r="C206" s="940" t="s">
        <v>2412</v>
      </c>
      <c r="D206" s="941"/>
      <c r="E206" s="953" t="s">
        <v>942</v>
      </c>
      <c r="F206" s="928" t="s">
        <v>1268</v>
      </c>
      <c r="G206" s="927" t="s">
        <v>2382</v>
      </c>
      <c r="H206" s="927" t="s">
        <v>2265</v>
      </c>
      <c r="I206" s="942">
        <f>SUMIFS('GL911.Cty Me.FY24'!T:T,'GL911.Cty Me.FY24'!H:H,'A0.LS'!E206)</f>
        <v>0</v>
      </c>
      <c r="J206" s="942">
        <f>ROUND(SUMIFS('A5.FY24'!K:K,'A5.FY24'!E:E,'A0.LS'!E206,'A5.FY24'!L:L,"Finhay",'A5.FY24'!M:M,"Posted"),0)</f>
        <v>0</v>
      </c>
      <c r="K206" s="942">
        <f>ROUND(SUMIFS('A5.FY24'!K:K,'A5.FY24'!E:E,'A0.LS'!E206,'A5.FY24'!L:L,"EY",'A5.FY24'!M:M,"Posted"),0)</f>
        <v>0</v>
      </c>
      <c r="L206" s="943">
        <f t="shared" si="129"/>
        <v>0</v>
      </c>
      <c r="M206" s="930"/>
      <c r="N206" s="944">
        <v>0</v>
      </c>
      <c r="O206" s="944">
        <v>0</v>
      </c>
      <c r="P206" s="944">
        <v>0</v>
      </c>
      <c r="Q206" s="945">
        <v>0</v>
      </c>
      <c r="R206" s="898"/>
      <c r="S206" s="848">
        <f t="shared" si="130"/>
        <v>0</v>
      </c>
      <c r="T206" s="946" t="str">
        <f t="shared" si="131"/>
        <v>To check</v>
      </c>
      <c r="U206" s="850"/>
      <c r="V206" s="850"/>
      <c r="W206" s="850"/>
      <c r="X206" s="947" t="s">
        <v>676</v>
      </c>
      <c r="Y206" s="947" t="s">
        <v>2382</v>
      </c>
      <c r="Z206" s="936">
        <f>ROUND(SUMIFS('GL911.CtyCon.FY24'!N:N,'GL911.CtyCon.FY24'!G:G,'A0.LS'!E206),0)</f>
        <v>0</v>
      </c>
      <c r="AA206" s="936">
        <f>ROUND(SUMIFS('A5.CTC FY24'!K:K,'A5.CTC FY24'!E:E,'A0.LS'!E206,'A5.CTC FY24'!A:A,'A0.LS'!$AA$5,'A5.CTC FY24'!L:L,"Finhay",'A5.CTC FY24'!M:M,"Posted"),0)</f>
        <v>0</v>
      </c>
      <c r="AB206" s="936">
        <f>ROUND(SUMIFS('A5.CTC FY24'!K:K,'A5.CTC FY24'!E:E,'A0.LS'!E206,'A5.CTC FY24'!A:A,'A0.LS'!$AB$5,'A5.CTC FY24'!L:L,"EY",'A5.CTC FY24'!M:M,"Posted"),0)</f>
        <v>0</v>
      </c>
      <c r="AC206" s="948">
        <f t="shared" si="116"/>
        <v>0</v>
      </c>
      <c r="AD206" s="930"/>
      <c r="AE206" s="936">
        <f>SUMIFS('GL911 VNSC FY24'!T:T,'GL911 VNSC FY24'!AG:AG,'A0.LS'!E206)</f>
        <v>-7707520743</v>
      </c>
      <c r="AF206" s="936">
        <f>SUMIFS('A5.CTC FY24'!K:K,'A5.CTC FY24'!E:E,'A0.LS'!E206,'A5.CTC FY24'!A:A,"VNSC",'A5.CTC FY24'!L:L,"VNSC",'A5.CTC FY24'!M:M,"Posted")</f>
        <v>0</v>
      </c>
      <c r="AG206" s="936">
        <f>ROUND(SUMIFS('A5.CTC FY24'!K:K,'A5.CTC FY24'!E:E,'A0.LS'!E206,'A5.CTC FY24'!A:A,"VNSC",'A5.CTC FY24'!L:L,"EY",'A5.CTC FY24'!M:M,"Posted"),0)</f>
        <v>-9881818182</v>
      </c>
      <c r="AH206" s="936">
        <f t="shared" si="117"/>
        <v>-17589338925</v>
      </c>
      <c r="AI206" s="930"/>
      <c r="AJ206" s="936">
        <f>ROUND(SUMIFS('GL911.KCG.FY24'!T:T,'GL911.KCG.FY24'!U:U,'A0.LS'!E206),0)</f>
        <v>0</v>
      </c>
      <c r="AK206" s="936">
        <f>ROUND(SUMIFS('A5.CTC FY24'!K:K,'A5.CTC FY24'!E:E,'A0.LS'!E206,'A5.CTC FY24'!A:A,'A0.LS'!$AK$5,'A5.CTC FY24'!L:L,"EY",'A5.CTC FY24'!M:M,"Posted"),0)</f>
        <v>0</v>
      </c>
      <c r="AL206" s="948">
        <f t="shared" si="118"/>
        <v>0</v>
      </c>
      <c r="AM206" s="930"/>
      <c r="AN206" s="949">
        <f t="shared" si="119"/>
        <v>-17589338925</v>
      </c>
      <c r="AO206" s="950">
        <f>ROUND(SUMIFS('A5.Consol FY24'!L:L,'A5.Consol FY24'!M:M,"EY",'A5.Consol FY24'!N:N,"Posted",'A5.Consol FY24'!B:B,'A0.LS'!$AO$5,'A5.Consol FY24'!F:F,'A0.LS'!E206),0)</f>
        <v>0</v>
      </c>
      <c r="AP206" s="949">
        <f t="shared" si="120"/>
        <v>-17589338925</v>
      </c>
      <c r="AQ206" s="930"/>
      <c r="AR206" s="936">
        <f>ROUND(SUMIFS('GL911.XH.FY24'!L:L,'GL911.XH.FY24'!F:F,'A0.LS'!E206),0)</f>
        <v>0</v>
      </c>
      <c r="AS206" s="936">
        <f>ROUND(SUMIFS('A5.CTC FY24'!K:K,'A5.CTC FY24'!E:E,'A0.LS'!E206,'A5.CTC FY24'!A:A,'A0.LS'!$AS$5,'A5.CTC FY24'!L:L,"EY",'A5.CTC FY24'!M:M,"Posted"),0)</f>
        <v>0</v>
      </c>
      <c r="AT206" s="948">
        <f t="shared" si="121"/>
        <v>0</v>
      </c>
      <c r="AU206" s="930"/>
      <c r="AV206" s="951">
        <f t="shared" si="122"/>
        <v>-17589338925</v>
      </c>
      <c r="AW206" s="952">
        <f>SUMIFS('A5.Consol FY24'!L:L,'A5.Consol FY24'!B:B,'A0.LS'!$AW$5,'A5.Consol FY24'!M:M,"EY",'A5.Consol FY24'!N:N,"Posted",'A5.Consol FY24'!F:F,'A0.LS'!E206)</f>
        <v>561513847</v>
      </c>
      <c r="AX206" s="951">
        <f t="shared" si="123"/>
        <v>-17027825078</v>
      </c>
      <c r="AY206" s="920"/>
      <c r="AZ206" s="936">
        <f>SUMIFS('911.CTC.YE22'!U:U,'911.CTC.YE22'!R:R,'A0.LS'!E206)</f>
        <v>0</v>
      </c>
      <c r="BA206" s="936">
        <f>ROUND(SUMIFS('A5.YE22'!J:J,'A5.YE22'!K:K,'A0.LS'!$BA$5,'A5.YE22'!L:L,"Posted",'A5.YE22'!D:D,'A0.LS'!E206),0)</f>
        <v>0</v>
      </c>
      <c r="BB206" s="936">
        <f t="shared" si="124"/>
        <v>0</v>
      </c>
      <c r="BC206" s="937"/>
      <c r="BD206" s="936">
        <f>ROUND(SUMIFS('911.VNSC.YE22'!R:R,'911.VNSC.YE22'!L:L,'A0.LS'!E206),0)</f>
        <v>0</v>
      </c>
      <c r="BE206" s="936">
        <f>ROUND(SUMIFS('A5.YE22'!J:J,'A5.YE22'!K:K,'A0.LS'!$BE$5,'A5.YE22'!L:L,"Posted",'A5.YE22'!D:D,'A0.LS'!E206),0)</f>
        <v>0</v>
      </c>
      <c r="BF206" s="936">
        <f t="shared" si="125"/>
        <v>0</v>
      </c>
      <c r="BG206" s="937"/>
      <c r="BH206" s="936">
        <f>ROUND(SUMIFS('911.XH.YE22'!T:T,'911.XH.YE22'!P:P,'A0.LS'!E206),0)</f>
        <v>0</v>
      </c>
      <c r="BI206" s="936">
        <f>ROUND(SUMIFS('A5.YE22'!J:J,'A5.YE22'!K:K,"XH",'A5.YE22'!L:L,"Posted",'A5.YE22'!D:D,'A0.LS'!E206),0)</f>
        <v>0</v>
      </c>
      <c r="BJ206" s="936">
        <f t="shared" si="126"/>
        <v>0</v>
      </c>
      <c r="BK206" s="937"/>
      <c r="BL206" s="936">
        <f>ROUND(SUMIFS('911.KCG.YE22'!T:T,'911.KCG.YE22'!P:P,'A0.LS'!E206),0)</f>
        <v>0</v>
      </c>
      <c r="BM206" s="936">
        <f>ROUND(SUMIFS('A5.YE22'!J:J,'A5.YE22'!K:K,'A0.LS'!$BM$5,'A5.YE22'!L:L,"Posted",'A5.YE22'!D:D,'A0.LS'!E206),0)</f>
        <v>0</v>
      </c>
      <c r="BN206" s="936">
        <f t="shared" si="127"/>
        <v>0</v>
      </c>
      <c r="BO206" s="937"/>
      <c r="BP206" s="938">
        <v>-2585344790</v>
      </c>
      <c r="BQ206" s="938">
        <v>119237639</v>
      </c>
      <c r="BR206" s="938">
        <f t="shared" si="128"/>
        <v>-2466107151</v>
      </c>
    </row>
    <row r="207" spans="2:70" ht="12.75">
      <c r="B207" s="939">
        <v>1</v>
      </c>
      <c r="C207" s="940" t="s">
        <v>2413</v>
      </c>
      <c r="D207" s="941"/>
      <c r="E207" s="953" t="s">
        <v>948</v>
      </c>
      <c r="F207" s="928" t="s">
        <v>2414</v>
      </c>
      <c r="G207" s="927" t="s">
        <v>2382</v>
      </c>
      <c r="H207" s="927" t="s">
        <v>2265</v>
      </c>
      <c r="I207" s="942">
        <f>SUMIFS('GL911.Cty Me.FY24'!T:T,'GL911.Cty Me.FY24'!H:H,'A0.LS'!E207)</f>
        <v>0</v>
      </c>
      <c r="J207" s="942">
        <f>ROUND(SUMIFS('A5.FY24'!K:K,'A5.FY24'!E:E,'A0.LS'!E207,'A5.FY24'!L:L,"Finhay",'A5.FY24'!M:M,"Posted"),0)</f>
        <v>0</v>
      </c>
      <c r="K207" s="942">
        <f>ROUND(SUMIFS('A5.FY24'!K:K,'A5.FY24'!E:E,'A0.LS'!E207,'A5.FY24'!L:L,"EY",'A5.FY24'!M:M,"Posted"),0)</f>
        <v>0</v>
      </c>
      <c r="L207" s="943">
        <f t="shared" si="129"/>
        <v>0</v>
      </c>
      <c r="M207" s="930"/>
      <c r="N207" s="944">
        <v>0</v>
      </c>
      <c r="O207" s="944">
        <v>0</v>
      </c>
      <c r="P207" s="944">
        <v>0</v>
      </c>
      <c r="Q207" s="945">
        <v>0</v>
      </c>
      <c r="R207" s="898"/>
      <c r="S207" s="848">
        <f t="shared" si="130"/>
        <v>0</v>
      </c>
      <c r="T207" s="946" t="str">
        <f t="shared" si="131"/>
        <v>To check</v>
      </c>
      <c r="U207" s="850"/>
      <c r="V207" s="850"/>
      <c r="W207" s="850"/>
      <c r="X207" s="947" t="s">
        <v>676</v>
      </c>
      <c r="Y207" s="947" t="s">
        <v>2382</v>
      </c>
      <c r="Z207" s="936">
        <f>ROUND(SUMIFS('GL911.CtyCon.FY24'!N:N,'GL911.CtyCon.FY24'!G:G,'A0.LS'!E207),0)</f>
        <v>0</v>
      </c>
      <c r="AA207" s="936">
        <f>ROUND(SUMIFS('A5.CTC FY24'!K:K,'A5.CTC FY24'!E:E,'A0.LS'!E207,'A5.CTC FY24'!A:A,'A0.LS'!$AA$5,'A5.CTC FY24'!L:L,"Finhay",'A5.CTC FY24'!M:M,"Posted"),0)</f>
        <v>0</v>
      </c>
      <c r="AB207" s="936">
        <f>ROUND(SUMIFS('A5.CTC FY24'!K:K,'A5.CTC FY24'!E:E,'A0.LS'!E207,'A5.CTC FY24'!A:A,'A0.LS'!$AB$5,'A5.CTC FY24'!L:L,"EY",'A5.CTC FY24'!M:M,"Posted"),0)</f>
        <v>0</v>
      </c>
      <c r="AC207" s="948">
        <f t="shared" si="116"/>
        <v>0</v>
      </c>
      <c r="AD207" s="930"/>
      <c r="AE207" s="936">
        <f>SUMIFS('GL911 VNSC FY24'!T:T,'GL911 VNSC FY24'!AG:AG,'A0.LS'!E207)</f>
        <v>-235763207</v>
      </c>
      <c r="AF207" s="936">
        <f>SUMIFS('A5.CTC FY24'!K:K,'A5.CTC FY24'!E:E,'A0.LS'!E207,'A5.CTC FY24'!A:A,"VNSC",'A5.CTC FY24'!L:L,"VNSC",'A5.CTC FY24'!M:M,"Posted")</f>
        <v>0</v>
      </c>
      <c r="AG207" s="936">
        <f>ROUND(SUMIFS('A5.CTC FY24'!K:K,'A5.CTC FY24'!E:E,'A0.LS'!E207,'A5.CTC FY24'!A:A,"VNSC",'A5.CTC FY24'!L:L,"EY",'A5.CTC FY24'!M:M,"Posted"),0)</f>
        <v>0</v>
      </c>
      <c r="AH207" s="936">
        <f t="shared" si="117"/>
        <v>-235763207</v>
      </c>
      <c r="AI207" s="930"/>
      <c r="AJ207" s="936">
        <f>ROUND(SUMIFS('GL911.KCG.FY24'!T:T,'GL911.KCG.FY24'!U:U,'A0.LS'!E207),0)</f>
        <v>0</v>
      </c>
      <c r="AK207" s="936">
        <f>ROUND(SUMIFS('A5.CTC FY24'!K:K,'A5.CTC FY24'!E:E,'A0.LS'!E207,'A5.CTC FY24'!A:A,'A0.LS'!$AK$5,'A5.CTC FY24'!L:L,"EY",'A5.CTC FY24'!M:M,"Posted"),0)</f>
        <v>0</v>
      </c>
      <c r="AL207" s="948">
        <f t="shared" si="118"/>
        <v>0</v>
      </c>
      <c r="AM207" s="930"/>
      <c r="AN207" s="949">
        <f t="shared" si="119"/>
        <v>-235763207</v>
      </c>
      <c r="AO207" s="950">
        <f>ROUND(SUMIFS('A5.Consol FY24'!L:L,'A5.Consol FY24'!M:M,"EY",'A5.Consol FY24'!N:N,"Posted",'A5.Consol FY24'!B:B,'A0.LS'!$AO$5,'A5.Consol FY24'!F:F,'A0.LS'!E207),0)</f>
        <v>0</v>
      </c>
      <c r="AP207" s="949">
        <f t="shared" si="120"/>
        <v>-235763207</v>
      </c>
      <c r="AQ207" s="930"/>
      <c r="AR207" s="936">
        <f>ROUND(SUMIFS('GL911.XH.FY24'!L:L,'GL911.XH.FY24'!F:F,'A0.LS'!E207),0)</f>
        <v>0</v>
      </c>
      <c r="AS207" s="936">
        <f>ROUND(SUMIFS('A5.CTC FY24'!K:K,'A5.CTC FY24'!E:E,'A0.LS'!E207,'A5.CTC FY24'!A:A,'A0.LS'!$AS$5,'A5.CTC FY24'!L:L,"EY",'A5.CTC FY24'!M:M,"Posted"),0)</f>
        <v>0</v>
      </c>
      <c r="AT207" s="948">
        <f t="shared" si="121"/>
        <v>0</v>
      </c>
      <c r="AU207" s="930"/>
      <c r="AV207" s="951">
        <f t="shared" si="122"/>
        <v>-235763207</v>
      </c>
      <c r="AW207" s="952">
        <f>SUMIFS('A5.Consol FY24'!L:L,'A5.Consol FY24'!B:B,'A0.LS'!$AW$5,'A5.Consol FY24'!M:M,"EY",'A5.Consol FY24'!N:N,"Posted",'A5.Consol FY24'!F:F,'A0.LS'!E207)</f>
        <v>0</v>
      </c>
      <c r="AX207" s="951">
        <f t="shared" si="123"/>
        <v>-235763207</v>
      </c>
      <c r="AY207" s="920"/>
      <c r="AZ207" s="936">
        <f>SUMIFS('911.CTC.YE22'!U:U,'911.CTC.YE22'!R:R,'A0.LS'!E207)</f>
        <v>0</v>
      </c>
      <c r="BA207" s="936">
        <f>ROUND(SUMIFS('A5.YE22'!J:J,'A5.YE22'!K:K,'A0.LS'!$BA$5,'A5.YE22'!L:L,"Posted",'A5.YE22'!D:D,'A0.LS'!E207),0)</f>
        <v>0</v>
      </c>
      <c r="BB207" s="936">
        <f t="shared" si="124"/>
        <v>0</v>
      </c>
      <c r="BC207" s="937"/>
      <c r="BD207" s="936">
        <f>ROUND(SUMIFS('911.VNSC.YE22'!R:R,'911.VNSC.YE22'!L:L,'A0.LS'!E207),0)</f>
        <v>0</v>
      </c>
      <c r="BE207" s="936">
        <f>ROUND(SUMIFS('A5.YE22'!J:J,'A5.YE22'!K:K,'A0.LS'!$BE$5,'A5.YE22'!L:L,"Posted",'A5.YE22'!D:D,'A0.LS'!E207),0)</f>
        <v>0</v>
      </c>
      <c r="BF207" s="936">
        <f t="shared" si="125"/>
        <v>0</v>
      </c>
      <c r="BG207" s="937"/>
      <c r="BH207" s="936">
        <f>ROUND(SUMIFS('911.XH.YE22'!T:T,'911.XH.YE22'!P:P,'A0.LS'!E207),0)</f>
        <v>0</v>
      </c>
      <c r="BI207" s="936">
        <f>ROUND(SUMIFS('A5.YE22'!J:J,'A5.YE22'!K:K,"XH",'A5.YE22'!L:L,"Posted",'A5.YE22'!D:D,'A0.LS'!E207),0)</f>
        <v>0</v>
      </c>
      <c r="BJ207" s="936">
        <f t="shared" si="126"/>
        <v>0</v>
      </c>
      <c r="BK207" s="937"/>
      <c r="BL207" s="936">
        <f>ROUND(SUMIFS('911.KCG.YE22'!T:T,'911.KCG.YE22'!P:P,'A0.LS'!E207),0)</f>
        <v>0</v>
      </c>
      <c r="BM207" s="936">
        <f>ROUND(SUMIFS('A5.YE22'!J:J,'A5.YE22'!K:K,'A0.LS'!$BM$5,'A5.YE22'!L:L,"Posted",'A5.YE22'!D:D,'A0.LS'!E207),0)</f>
        <v>0</v>
      </c>
      <c r="BN207" s="936">
        <f t="shared" si="127"/>
        <v>0</v>
      </c>
      <c r="BO207" s="937"/>
      <c r="BP207" s="938">
        <v>-75327092</v>
      </c>
      <c r="BQ207" s="938">
        <v>18389777</v>
      </c>
      <c r="BR207" s="938">
        <f t="shared" si="128"/>
        <v>-56937315</v>
      </c>
    </row>
    <row r="208" spans="2:70" ht="12.75">
      <c r="B208" s="925"/>
      <c r="C208" s="926"/>
      <c r="D208" s="927"/>
      <c r="E208" s="928"/>
      <c r="F208" s="928"/>
      <c r="G208" s="928"/>
      <c r="H208" s="927"/>
      <c r="I208" s="943"/>
      <c r="J208" s="929"/>
      <c r="K208" s="929"/>
      <c r="L208" s="929"/>
      <c r="M208" s="930"/>
      <c r="N208" s="931"/>
      <c r="O208" s="931"/>
      <c r="P208" s="931"/>
      <c r="Q208" s="932"/>
      <c r="R208" s="898"/>
      <c r="S208" s="850"/>
      <c r="T208" s="850"/>
      <c r="U208" s="850"/>
      <c r="V208" s="850"/>
      <c r="W208" s="850"/>
      <c r="X208" s="947" t="s">
        <v>676</v>
      </c>
      <c r="Y208" s="933"/>
      <c r="Z208" s="934"/>
      <c r="AA208" s="934"/>
      <c r="AB208" s="934"/>
      <c r="AC208" s="934"/>
      <c r="AD208" s="930"/>
      <c r="AE208" s="934"/>
      <c r="AF208" s="934"/>
      <c r="AG208" s="934"/>
      <c r="AH208" s="934"/>
      <c r="AI208" s="930"/>
      <c r="AJ208" s="934"/>
      <c r="AK208" s="934"/>
      <c r="AL208" s="934"/>
      <c r="AM208" s="930"/>
      <c r="AN208" s="935"/>
      <c r="AO208" s="935"/>
      <c r="AP208" s="935"/>
      <c r="AQ208" s="930"/>
      <c r="AR208" s="934"/>
      <c r="AS208" s="934"/>
      <c r="AT208" s="934"/>
      <c r="AU208" s="930"/>
      <c r="AV208" s="909"/>
      <c r="AW208" s="909"/>
      <c r="AX208" s="909"/>
      <c r="AY208" s="920"/>
      <c r="AZ208" s="936"/>
      <c r="BA208" s="936"/>
      <c r="BB208" s="936"/>
      <c r="BC208" s="937"/>
      <c r="BD208" s="936"/>
      <c r="BE208" s="936"/>
      <c r="BF208" s="936"/>
      <c r="BG208" s="937"/>
      <c r="BH208" s="936"/>
      <c r="BI208" s="936"/>
      <c r="BJ208" s="936"/>
      <c r="BK208" s="937"/>
      <c r="BL208" s="936"/>
      <c r="BM208" s="936"/>
      <c r="BN208" s="936"/>
      <c r="BO208" s="937"/>
      <c r="BP208" s="938"/>
      <c r="BQ208" s="938"/>
      <c r="BR208" s="938"/>
    </row>
    <row r="209" spans="2:70" s="1" customFormat="1" ht="12.75">
      <c r="B209" s="293"/>
      <c r="C209" s="294"/>
      <c r="D209" s="295"/>
      <c r="E209" s="75"/>
      <c r="F209" s="75" t="s">
        <v>2415</v>
      </c>
      <c r="G209" s="75"/>
      <c r="H209" s="295"/>
      <c r="I209" s="68">
        <f>SUM(I210:I233)</f>
        <v>13380800114</v>
      </c>
      <c r="J209" s="68">
        <f>SUM(J210:J233)</f>
        <v>417227</v>
      </c>
      <c r="K209" s="68">
        <f>SUM(K210:K233)</f>
        <v>0</v>
      </c>
      <c r="L209" s="68">
        <f>SUM(L210:L233)</f>
        <v>13381217341</v>
      </c>
      <c r="M209" s="296"/>
      <c r="N209" s="69">
        <f>SUM(N210:N233)</f>
        <v>15178017047</v>
      </c>
      <c r="O209" s="69">
        <f>SUM(O210:O233)</f>
        <v>173965310</v>
      </c>
      <c r="P209" s="69">
        <f>SUM(P210:P233)</f>
        <v>0</v>
      </c>
      <c r="Q209" s="70">
        <f>SUM(Q210:Q233)</f>
        <v>15351982357</v>
      </c>
      <c r="R209" s="298"/>
      <c r="S209" s="175">
        <f t="shared" ref="S209:S229" si="132">L209-Q209</f>
        <v>-1970765016</v>
      </c>
      <c r="T209" s="176">
        <f t="shared" ref="T209:T229" si="133">IFERROR(S209/Q209,"To check")</f>
        <v>-0.12837202194291189</v>
      </c>
      <c r="X209" s="947" t="s">
        <v>676</v>
      </c>
      <c r="Y209" s="304"/>
      <c r="Z209" s="235">
        <f>SUM(Z210:Z233)</f>
        <v>39720549947</v>
      </c>
      <c r="AA209" s="235">
        <f>SUM(AA210:AA233)</f>
        <v>0</v>
      </c>
      <c r="AB209" s="235">
        <f>SUM(AB210:AB233)</f>
        <v>0</v>
      </c>
      <c r="AC209" s="235">
        <f>SUM(AC210:AC233)</f>
        <v>39720549947</v>
      </c>
      <c r="AD209" s="236"/>
      <c r="AE209" s="235">
        <f>SUM(AE210:AE233)</f>
        <v>35914139347</v>
      </c>
      <c r="AF209" s="235">
        <f>SUM(AF210:AF233)</f>
        <v>0</v>
      </c>
      <c r="AG209" s="235">
        <f>SUM(AG210:AG233)</f>
        <v>426840330</v>
      </c>
      <c r="AH209" s="235">
        <f>SUM(AH210:AH233)</f>
        <v>36340979677</v>
      </c>
      <c r="AI209" s="236"/>
      <c r="AJ209" s="235">
        <f>SUM(AJ210:AJ233)</f>
        <v>0</v>
      </c>
      <c r="AK209" s="235">
        <f>SUM(AK210:AK233)</f>
        <v>0</v>
      </c>
      <c r="AL209" s="235">
        <f>SUM(AL210:AL233)</f>
        <v>0</v>
      </c>
      <c r="AM209" s="236"/>
      <c r="AN209" s="237">
        <f>SUM(AN210:AN233)</f>
        <v>76061529624</v>
      </c>
      <c r="AO209" s="237">
        <f>SUM(AO210:AO233)</f>
        <v>0</v>
      </c>
      <c r="AP209" s="237">
        <f>SUM(AP210:AP233)</f>
        <v>76061529624</v>
      </c>
      <c r="AQ209" s="236"/>
      <c r="AR209" s="235">
        <f>SUM(AR210:AR233)</f>
        <v>0</v>
      </c>
      <c r="AS209" s="235">
        <f>SUM(AS210:AS233)</f>
        <v>0</v>
      </c>
      <c r="AT209" s="235">
        <f>SUM(AT210:AT233)</f>
        <v>0</v>
      </c>
      <c r="AU209" s="236"/>
      <c r="AV209" s="238">
        <f>SUM(AV210:AV233)</f>
        <v>89442746965</v>
      </c>
      <c r="AW209" s="238">
        <f>SUM(AW210:AW233)</f>
        <v>-6953898879</v>
      </c>
      <c r="AX209" s="238">
        <f>SUM(AX210:AX233)</f>
        <v>82488848086</v>
      </c>
      <c r="AY209" s="614"/>
      <c r="AZ209" s="235">
        <f>SUM(AZ210:AZ233)</f>
        <v>153392839350</v>
      </c>
      <c r="BA209" s="235">
        <f>SUM(BA210:BA233)</f>
        <v>0</v>
      </c>
      <c r="BB209" s="235">
        <f>SUM(BB210:BB233)</f>
        <v>153392839350</v>
      </c>
      <c r="BC209" s="236"/>
      <c r="BD209" s="235">
        <f>SUM(BD210:BD233)</f>
        <v>0</v>
      </c>
      <c r="BE209" s="235">
        <f>SUM(BE210:BE233)</f>
        <v>0</v>
      </c>
      <c r="BF209" s="235">
        <f>SUM(BF210:BF233)</f>
        <v>0</v>
      </c>
      <c r="BG209" s="236"/>
      <c r="BH209" s="235">
        <f>SUM(BH210:BH233)</f>
        <v>0</v>
      </c>
      <c r="BI209" s="235">
        <f>SUM(BI210:BI233)</f>
        <v>0</v>
      </c>
      <c r="BJ209" s="235">
        <f>SUM(BJ210:BJ233)</f>
        <v>0</v>
      </c>
      <c r="BK209" s="236"/>
      <c r="BL209" s="235">
        <f>SUM(BL210:BL233)</f>
        <v>0</v>
      </c>
      <c r="BM209" s="235">
        <f>SUM(BM210:BM233)</f>
        <v>0</v>
      </c>
      <c r="BN209" s="235">
        <f>SUM(BN210:BN233)</f>
        <v>0</v>
      </c>
      <c r="BO209" s="236"/>
      <c r="BP209" s="443">
        <f>SUM(BP210:BP233)</f>
        <v>67345449328</v>
      </c>
      <c r="BQ209" s="443">
        <f>SUM(BQ210:BQ233)</f>
        <v>-1754901717</v>
      </c>
      <c r="BR209" s="443">
        <f>SUM(BR210:BR233)</f>
        <v>65590547611</v>
      </c>
    </row>
    <row r="210" spans="2:70" ht="12.75">
      <c r="B210" s="939">
        <v>11</v>
      </c>
      <c r="C210" s="940" t="s">
        <v>2416</v>
      </c>
      <c r="D210" s="941" t="s">
        <v>2416</v>
      </c>
      <c r="E210" s="928" t="s">
        <v>267</v>
      </c>
      <c r="F210" s="928" t="s">
        <v>268</v>
      </c>
      <c r="G210" s="927" t="s">
        <v>2417</v>
      </c>
      <c r="H210" s="927" t="s">
        <v>2265</v>
      </c>
      <c r="I210" s="942">
        <f>SUMIFS('GL154.Cty Me.FY24'!S:S,'GL154.Cty Me.FY24'!H:H,'A0.LS'!E210)</f>
        <v>4227259</v>
      </c>
      <c r="J210" s="942">
        <f>ROUND(SUMIFS('A5.FY24'!K:K,'A5.FY24'!E:E,'A0.LS'!E210,'A5.FY24'!L:L,"Finhay",'A5.FY24'!M:M,"Posted"),0)</f>
        <v>0</v>
      </c>
      <c r="K210" s="942">
        <f>ROUND(SUMIFS('A5.FY24'!K:K,'A5.FY24'!E:E,'A0.LS'!E210,'A5.FY24'!L:L,"EY",'A5.FY24'!M:M,"Posted"),0)</f>
        <v>0</v>
      </c>
      <c r="L210" s="943">
        <f t="shared" ref="L210:L233" si="134">ROUND(SUM(I210:K210),0)</f>
        <v>4227259</v>
      </c>
      <c r="M210" s="930"/>
      <c r="N210" s="944">
        <v>26863644</v>
      </c>
      <c r="O210" s="944">
        <v>1353150</v>
      </c>
      <c r="P210" s="944">
        <v>0</v>
      </c>
      <c r="Q210" s="945">
        <v>28216794</v>
      </c>
      <c r="R210" s="898"/>
      <c r="S210" s="848">
        <f t="shared" si="132"/>
        <v>-23989535</v>
      </c>
      <c r="T210" s="971">
        <f t="shared" si="133"/>
        <v>-0.85018641735131217</v>
      </c>
      <c r="U210" s="850" t="s">
        <v>2418</v>
      </c>
      <c r="V210" s="850" t="s">
        <v>2419</v>
      </c>
      <c r="W210" s="850"/>
      <c r="X210" s="947" t="s">
        <v>676</v>
      </c>
      <c r="Y210" s="947" t="s">
        <v>2417</v>
      </c>
      <c r="Z210" s="936">
        <f>ROUND(SUMIFS('GL911.CtyCon.FY24'!N:N,'GL911.CtyCon.FY24'!G:G,'A0.LS'!E210),0)</f>
        <v>0</v>
      </c>
      <c r="AA210" s="936">
        <f>ROUND(SUMIFS('A5.CTC FY24'!K:K,'A5.CTC FY24'!E:E,'A0.LS'!E210,'A5.CTC FY24'!A:A,'A0.LS'!$AA$5,'A5.CTC FY24'!L:L,"Finhay",'A5.CTC FY24'!M:M,"Posted"),0)</f>
        <v>0</v>
      </c>
      <c r="AB210" s="936">
        <f>ROUND(SUMIFS('A5.CTC FY24'!K:K,'A5.CTC FY24'!E:E,'A0.LS'!E210,'A5.CTC FY24'!A:A,'A0.LS'!$AB$5,'A5.CTC FY24'!L:L,"EY",'A5.CTC FY24'!M:M,"Posted"),0)</f>
        <v>0</v>
      </c>
      <c r="AC210" s="948">
        <f t="shared" ref="AC210:AC233" si="135">ROUND(SUM(Z210:AB210),0)</f>
        <v>0</v>
      </c>
      <c r="AD210" s="930"/>
      <c r="AE210" s="936">
        <f>SUMIFS('GL911 VNSC FY24'!T:T,'GL911 VNSC FY24'!AG:AG,'A0.LS'!E210)</f>
        <v>0</v>
      </c>
      <c r="AF210" s="936">
        <f>SUMIFS('A5.CTC FY24'!K:K,'A5.CTC FY24'!E:E,'A0.LS'!E210,'A5.CTC FY24'!A:A,"VNSC",'A5.CTC FY24'!L:L,"VNSC",'A5.CTC FY24'!M:M,"Posted")</f>
        <v>0</v>
      </c>
      <c r="AG210" s="936">
        <f>ROUND(SUMIFS('A5.CTC FY24'!K:K,'A5.CTC FY24'!E:E,'A0.LS'!E210,'A5.CTC FY24'!A:A,"VNSC",'A5.CTC FY24'!L:L,"EY",'A5.CTC FY24'!M:M,"Posted"),0)</f>
        <v>0</v>
      </c>
      <c r="AH210" s="936">
        <f t="shared" ref="AH210:AH233" si="136">ROUND(SUM(AE210:AG210),0)</f>
        <v>0</v>
      </c>
      <c r="AI210" s="930"/>
      <c r="AJ210" s="936">
        <f>ROUND(SUMIFS('GL911.KCG.FY24'!T:T,'GL911.KCG.FY24'!U:U,'A0.LS'!E210),0)</f>
        <v>0</v>
      </c>
      <c r="AK210" s="936">
        <f>ROUND(SUMIFS('A5.CTC FY24'!K:K,'A5.CTC FY24'!E:E,'A0.LS'!E210,'A5.CTC FY24'!A:A,'A0.LS'!$AK$5,'A5.CTC FY24'!L:L,"EY",'A5.CTC FY24'!M:M,"Posted"),0)</f>
        <v>0</v>
      </c>
      <c r="AL210" s="948">
        <f t="shared" ref="AL210:AL233" si="137">ROUND(SUM(AJ210:AK210),0)</f>
        <v>0</v>
      </c>
      <c r="AM210" s="930"/>
      <c r="AN210" s="949">
        <f t="shared" ref="AN210:AN229" si="138">ROUND(SUM(AT210,AH210,AC210),0)</f>
        <v>0</v>
      </c>
      <c r="AO210" s="950">
        <f>ROUND(SUMIFS('A5.Consol FY24'!L:L,'A5.Consol FY24'!M:M,"EY",'A5.Consol FY24'!N:N,"Posted",'A5.Consol FY24'!B:B,'A0.LS'!$AO$5,'A5.Consol FY24'!F:F,'A0.LS'!E210),0)</f>
        <v>0</v>
      </c>
      <c r="AP210" s="949">
        <f t="shared" ref="AP210:AP233" si="139">ROUND(SUM(AN210:AO210),0)</f>
        <v>0</v>
      </c>
      <c r="AQ210" s="930"/>
      <c r="AR210" s="936">
        <f>ROUND(SUMIFS('GL911.XH.FY24'!L:L,'GL911.XH.FY24'!F:F,'A0.LS'!E210),0)</f>
        <v>0</v>
      </c>
      <c r="AS210" s="936">
        <f>ROUND(SUMIFS('A5.CTC FY24'!K:K,'A5.CTC FY24'!E:E,'A0.LS'!E210,'A5.CTC FY24'!A:A,'A0.LS'!$AS$5,'A5.CTC FY24'!L:L,"EY",'A5.CTC FY24'!M:M,"Posted"),0)</f>
        <v>0</v>
      </c>
      <c r="AT210" s="948">
        <f t="shared" ref="AT210:AT233" si="140">ROUND(SUM(AR210:AS210),0)</f>
        <v>0</v>
      </c>
      <c r="AU210" s="930"/>
      <c r="AV210" s="951">
        <f t="shared" ref="AV210:AV233" si="141">ROUND(SUM(AP210,AL210,L210),0)</f>
        <v>4227259</v>
      </c>
      <c r="AW210" s="952">
        <f>SUMIFS('A5.Consol FY24'!L:L,'A5.Consol FY24'!B:B,'A0.LS'!$AW$5,'A5.Consol FY24'!M:M,"EY",'A5.Consol FY24'!N:N,"Posted",'A5.Consol FY24'!F:F,'A0.LS'!E210)</f>
        <v>0</v>
      </c>
      <c r="AX210" s="951">
        <f t="shared" ref="AX210:AX233" si="142">ROUND(SUM(AV210:AW210),0)</f>
        <v>4227259</v>
      </c>
      <c r="AY210" s="920"/>
      <c r="AZ210" s="936">
        <f>SUMIFS('911.CTC.YE22'!U:U,'911.CTC.YE22'!R:R,'A0.LS'!E210)</f>
        <v>0</v>
      </c>
      <c r="BA210" s="936">
        <f>ROUND(SUMIFS('A5.YE22'!J:J,'A5.YE22'!K:K,'A0.LS'!$BA$5,'A5.YE22'!L:L,"Posted",'A5.YE22'!D:D,'A0.LS'!E210),0)</f>
        <v>0</v>
      </c>
      <c r="BB210" s="936">
        <f t="shared" ref="BB210:BB229" si="143">ROUND(SUM(AZ210:BA210),0)</f>
        <v>0</v>
      </c>
      <c r="BC210" s="937"/>
      <c r="BD210" s="936">
        <f>ROUND(SUMIFS('911.VNSC.YE22'!R:R,'911.VNSC.YE22'!L:L,'A0.LS'!E210),0)</f>
        <v>0</v>
      </c>
      <c r="BE210" s="936">
        <f>ROUND(SUMIFS('A5.YE22'!J:J,'A5.YE22'!K:K,'A0.LS'!$BE$5,'A5.YE22'!L:L,"Posted",'A5.YE22'!D:D,'A0.LS'!E210),0)</f>
        <v>0</v>
      </c>
      <c r="BF210" s="936">
        <f t="shared" ref="BF210:BF229" si="144">ROUND(SUM(BD210:BE210),0)</f>
        <v>0</v>
      </c>
      <c r="BG210" s="937"/>
      <c r="BH210" s="936">
        <f>ROUND(SUMIFS('911.XH.YE22'!T:T,'911.XH.YE22'!P:P,'A0.LS'!E210),0)</f>
        <v>0</v>
      </c>
      <c r="BI210" s="936">
        <f>ROUND(SUMIFS('A5.YE22'!J:J,'A5.YE22'!K:K,"XH",'A5.YE22'!L:L,"Posted",'A5.YE22'!D:D,'A0.LS'!E210),0)</f>
        <v>0</v>
      </c>
      <c r="BJ210" s="936">
        <f t="shared" ref="BJ210:BJ229" si="145">ROUND(SUM(BH210:BI210),0)</f>
        <v>0</v>
      </c>
      <c r="BK210" s="937"/>
      <c r="BL210" s="936">
        <f>ROUND(SUMIFS('911.KCG.YE22'!T:T,'911.KCG.YE22'!P:P,'A0.LS'!E210),0)</f>
        <v>0</v>
      </c>
      <c r="BM210" s="936">
        <f>ROUND(SUMIFS('A5.YE22'!J:J,'A5.YE22'!K:K,'A0.LS'!$BM$5,'A5.YE22'!L:L,"Posted",'A5.YE22'!D:D,'A0.LS'!E210),0)</f>
        <v>0</v>
      </c>
      <c r="BN210" s="936">
        <f t="shared" ref="BN210:BN229" si="146">ROUND(SUM(BL210:BM210),0)</f>
        <v>0</v>
      </c>
      <c r="BO210" s="937"/>
      <c r="BP210" s="938">
        <v>28216794</v>
      </c>
      <c r="BQ210" s="938">
        <f>ROUND(SUMIFS('A5.YE22'!J:J,'A5.YE22'!K:K,'A0.LS'!$BQ$5,'A5.YE22'!L:L,"Posted",'A5.YE22'!D:D,'A0.LS'!E210),0)</f>
        <v>0</v>
      </c>
      <c r="BR210" s="938">
        <f t="shared" ref="BR210:BR231" si="147">ROUND(SUM(BP210:BQ210),0)</f>
        <v>28216794</v>
      </c>
    </row>
    <row r="211" spans="2:70" ht="12.75">
      <c r="B211" s="939">
        <v>11</v>
      </c>
      <c r="C211" s="940" t="s">
        <v>2416</v>
      </c>
      <c r="D211" s="941" t="s">
        <v>2416</v>
      </c>
      <c r="E211" s="928" t="s">
        <v>269</v>
      </c>
      <c r="F211" s="928" t="s">
        <v>270</v>
      </c>
      <c r="G211" s="927" t="s">
        <v>2417</v>
      </c>
      <c r="H211" s="927" t="s">
        <v>2265</v>
      </c>
      <c r="I211" s="942">
        <f>SUMIFS('GL154.Cty Me.FY24'!S:S,'GL154.Cty Me.FY24'!H:H,'A0.LS'!E211)</f>
        <v>3471510390</v>
      </c>
      <c r="J211" s="942">
        <f>ROUND(SUMIFS('A5.FY24'!K:K,'A5.FY24'!E:E,'A0.LS'!E211,'A5.FY24'!L:L,"Finhay",'A5.FY24'!M:M,"Posted"),0)</f>
        <v>0</v>
      </c>
      <c r="K211" s="942">
        <f>ROUND(SUMIFS('A5.FY24'!K:K,'A5.FY24'!E:E,'A0.LS'!E211,'A5.FY24'!L:L,"EY",'A5.FY24'!M:M,"Posted"),0)</f>
        <v>0</v>
      </c>
      <c r="L211" s="943">
        <f>ROUND(SUM(I211:K211),0)</f>
        <v>3471510390</v>
      </c>
      <c r="M211" s="930"/>
      <c r="N211" s="944">
        <v>2263551354</v>
      </c>
      <c r="O211" s="944">
        <v>-4891767</v>
      </c>
      <c r="P211" s="944">
        <v>0</v>
      </c>
      <c r="Q211" s="945">
        <v>2258659587</v>
      </c>
      <c r="R211" s="898"/>
      <c r="S211" s="848">
        <f t="shared" si="132"/>
        <v>1212850803</v>
      </c>
      <c r="T211" s="972">
        <f t="shared" si="133"/>
        <v>0.53697813073767986</v>
      </c>
      <c r="U211" s="850" t="s">
        <v>2420</v>
      </c>
      <c r="V211" s="850">
        <v>0</v>
      </c>
      <c r="W211" s="850"/>
      <c r="X211" s="947" t="s">
        <v>676</v>
      </c>
      <c r="Y211" s="947" t="s">
        <v>2417</v>
      </c>
      <c r="Z211" s="936">
        <f>ROUND(SUMIFS('GL911.CtyCon.FY24'!N:N,'GL911.CtyCon.FY24'!G:G,'A0.LS'!E211),0)</f>
        <v>0</v>
      </c>
      <c r="AA211" s="936">
        <f>ROUND(SUMIFS('A5.CTC FY24'!K:K,'A5.CTC FY24'!E:E,'A0.LS'!E211,'A5.CTC FY24'!A:A,'A0.LS'!$AA$5,'A5.CTC FY24'!L:L,"Finhay",'A5.CTC FY24'!M:M,"Posted"),0)</f>
        <v>0</v>
      </c>
      <c r="AB211" s="936">
        <f>ROUND(SUMIFS('A5.CTC FY24'!K:K,'A5.CTC FY24'!E:E,'A0.LS'!E211,'A5.CTC FY24'!A:A,'A0.LS'!$AB$5,'A5.CTC FY24'!L:L,"EY",'A5.CTC FY24'!M:M,"Posted"),0)</f>
        <v>0</v>
      </c>
      <c r="AC211" s="948">
        <f t="shared" si="135"/>
        <v>0</v>
      </c>
      <c r="AD211" s="930"/>
      <c r="AE211" s="936">
        <f>SUMIFS('GL911 VNSC FY24'!T:T,'GL911 VNSC FY24'!AG:AG,'A0.LS'!E211)</f>
        <v>0</v>
      </c>
      <c r="AF211" s="936">
        <f>SUMIFS('A5.CTC FY24'!K:K,'A5.CTC FY24'!E:E,'A0.LS'!E211,'A5.CTC FY24'!A:A,"VNSC",'A5.CTC FY24'!L:L,"VNSC",'A5.CTC FY24'!M:M,"Posted")</f>
        <v>0</v>
      </c>
      <c r="AG211" s="936">
        <f>ROUND(SUMIFS('A5.CTC FY24'!K:K,'A5.CTC FY24'!E:E,'A0.LS'!E211,'A5.CTC FY24'!A:A,"VNSC",'A5.CTC FY24'!L:L,"EY",'A5.CTC FY24'!M:M,"Posted"),0)</f>
        <v>0</v>
      </c>
      <c r="AH211" s="936">
        <f t="shared" si="136"/>
        <v>0</v>
      </c>
      <c r="AI211" s="930"/>
      <c r="AJ211" s="936">
        <f>ROUND(SUMIFS('GL911.KCG.FY24'!T:T,'GL911.KCG.FY24'!U:U,'A0.LS'!E211),0)</f>
        <v>0</v>
      </c>
      <c r="AK211" s="936">
        <f>ROUND(SUMIFS('A5.CTC FY24'!K:K,'A5.CTC FY24'!E:E,'A0.LS'!E211,'A5.CTC FY24'!A:A,'A0.LS'!$AK$5,'A5.CTC FY24'!L:L,"EY",'A5.CTC FY24'!M:M,"Posted"),0)</f>
        <v>0</v>
      </c>
      <c r="AL211" s="948">
        <f t="shared" si="137"/>
        <v>0</v>
      </c>
      <c r="AM211" s="930"/>
      <c r="AN211" s="949">
        <f t="shared" si="138"/>
        <v>0</v>
      </c>
      <c r="AO211" s="950">
        <f>ROUND(SUMIFS('A5.Consol FY24'!L:L,'A5.Consol FY24'!M:M,"EY",'A5.Consol FY24'!N:N,"Posted",'A5.Consol FY24'!B:B,'A0.LS'!$AO$5,'A5.Consol FY24'!F:F,'A0.LS'!E211),0)</f>
        <v>0</v>
      </c>
      <c r="AP211" s="949">
        <f t="shared" si="139"/>
        <v>0</v>
      </c>
      <c r="AQ211" s="930"/>
      <c r="AR211" s="936">
        <f>ROUND(SUMIFS('GL911.XH.FY24'!L:L,'GL911.XH.FY24'!F:F,'A0.LS'!E211),0)</f>
        <v>0</v>
      </c>
      <c r="AS211" s="936">
        <f>ROUND(SUMIFS('A5.CTC FY24'!K:K,'A5.CTC FY24'!E:E,'A0.LS'!E211,'A5.CTC FY24'!A:A,'A0.LS'!$AS$5,'A5.CTC FY24'!L:L,"EY",'A5.CTC FY24'!M:M,"Posted"),0)</f>
        <v>0</v>
      </c>
      <c r="AT211" s="948">
        <f t="shared" si="140"/>
        <v>0</v>
      </c>
      <c r="AU211" s="930"/>
      <c r="AV211" s="951">
        <f t="shared" si="141"/>
        <v>3471510390</v>
      </c>
      <c r="AW211" s="952">
        <f>SUMIFS('A5.Consol FY24'!L:L,'A5.Consol FY24'!B:B,'A0.LS'!$AW$5,'A5.Consol FY24'!M:M,"EY",'A5.Consol FY24'!N:N,"Posted",'A5.Consol FY24'!F:F,'A0.LS'!E211)</f>
        <v>0</v>
      </c>
      <c r="AX211" s="951">
        <f t="shared" si="142"/>
        <v>3471510390</v>
      </c>
      <c r="AY211" s="920"/>
      <c r="AZ211" s="936">
        <f>SUMIFS('911.CTC.YE22'!U:U,'911.CTC.YE22'!R:R,'A0.LS'!E211)</f>
        <v>0</v>
      </c>
      <c r="BA211" s="936">
        <f>ROUND(SUMIFS('A5.YE22'!J:J,'A5.YE22'!K:K,'A0.LS'!$BA$5,'A5.YE22'!L:L,"Posted",'A5.YE22'!D:D,'A0.LS'!E211),0)</f>
        <v>0</v>
      </c>
      <c r="BB211" s="936">
        <f t="shared" si="143"/>
        <v>0</v>
      </c>
      <c r="BC211" s="937"/>
      <c r="BD211" s="936">
        <f>ROUND(SUMIFS('911.VNSC.YE22'!R:R,'911.VNSC.YE22'!L:L,'A0.LS'!E211),0)</f>
        <v>0</v>
      </c>
      <c r="BE211" s="936">
        <f>ROUND(SUMIFS('A5.YE22'!J:J,'A5.YE22'!K:K,'A0.LS'!$BE$5,'A5.YE22'!L:L,"Posted",'A5.YE22'!D:D,'A0.LS'!E211),0)</f>
        <v>0</v>
      </c>
      <c r="BF211" s="936">
        <f t="shared" si="144"/>
        <v>0</v>
      </c>
      <c r="BG211" s="937"/>
      <c r="BH211" s="936">
        <f>ROUND(SUMIFS('911.XH.YE22'!T:T,'911.XH.YE22'!P:P,'A0.LS'!E211),0)</f>
        <v>0</v>
      </c>
      <c r="BI211" s="936">
        <f>ROUND(SUMIFS('A5.YE22'!J:J,'A5.YE22'!K:K,"XH",'A5.YE22'!L:L,"Posted",'A5.YE22'!D:D,'A0.LS'!E211),0)</f>
        <v>0</v>
      </c>
      <c r="BJ211" s="936">
        <f t="shared" si="145"/>
        <v>0</v>
      </c>
      <c r="BK211" s="937"/>
      <c r="BL211" s="936">
        <f>ROUND(SUMIFS('911.KCG.YE22'!T:T,'911.KCG.YE22'!P:P,'A0.LS'!E211),0)</f>
        <v>0</v>
      </c>
      <c r="BM211" s="936">
        <f>ROUND(SUMIFS('A5.YE22'!J:J,'A5.YE22'!K:K,'A0.LS'!$BM$5,'A5.YE22'!L:L,"Posted",'A5.YE22'!D:D,'A0.LS'!E211),0)</f>
        <v>0</v>
      </c>
      <c r="BN211" s="936">
        <f t="shared" si="146"/>
        <v>0</v>
      </c>
      <c r="BO211" s="937"/>
      <c r="BP211" s="938">
        <v>2258659587</v>
      </c>
      <c r="BQ211" s="938">
        <f>ROUND(SUMIFS('A5.YE22'!J:J,'A5.YE22'!K:K,'A0.LS'!$BQ$5,'A5.YE22'!L:L,"Posted",'A5.YE22'!D:D,'A0.LS'!E211),0)</f>
        <v>0</v>
      </c>
      <c r="BR211" s="938">
        <f t="shared" si="147"/>
        <v>2258659587</v>
      </c>
    </row>
    <row r="212" spans="2:70" ht="12.75">
      <c r="B212" s="939">
        <v>11</v>
      </c>
      <c r="C212" s="940" t="s">
        <v>2421</v>
      </c>
      <c r="D212" s="941" t="s">
        <v>2421</v>
      </c>
      <c r="E212" s="928" t="s">
        <v>273</v>
      </c>
      <c r="F212" s="928" t="s">
        <v>274</v>
      </c>
      <c r="G212" s="927" t="s">
        <v>2417</v>
      </c>
      <c r="H212" s="927" t="s">
        <v>2265</v>
      </c>
      <c r="I212" s="942">
        <f>SUMIFS('GL154.Cty Me.FY24'!S:S,'GL154.Cty Me.FY24'!H:H,'A0.LS'!E212)</f>
        <v>872808628</v>
      </c>
      <c r="J212" s="942">
        <f>ROUND(SUMIFS('A5.FY24'!K:K,'A5.FY24'!E:E,'A0.LS'!E212,'A5.FY24'!L:L,"Finhay",'A5.FY24'!M:M,"Posted"),0)</f>
        <v>30122</v>
      </c>
      <c r="K212" s="942">
        <f>ROUND(SUMIFS('A5.FY24'!K:K,'A5.FY24'!E:E,'A0.LS'!E212,'A5.FY24'!L:L,"EY",'A5.FY24'!M:M,"Posted"),0)</f>
        <v>0</v>
      </c>
      <c r="L212" s="943">
        <f t="shared" si="134"/>
        <v>872838750</v>
      </c>
      <c r="M212" s="930"/>
      <c r="N212" s="944">
        <v>1276508886</v>
      </c>
      <c r="O212" s="944">
        <v>35671981</v>
      </c>
      <c r="P212" s="944">
        <v>0</v>
      </c>
      <c r="Q212" s="945">
        <v>1312180867</v>
      </c>
      <c r="R212" s="898"/>
      <c r="S212" s="848">
        <f t="shared" si="132"/>
        <v>-439342117</v>
      </c>
      <c r="T212" s="971">
        <f t="shared" si="133"/>
        <v>-0.33481826175720331</v>
      </c>
      <c r="U212" s="850" t="s">
        <v>2422</v>
      </c>
      <c r="V212" s="850" t="s">
        <v>2423</v>
      </c>
      <c r="W212" s="850"/>
      <c r="X212" s="947" t="s">
        <v>676</v>
      </c>
      <c r="Y212" s="947" t="s">
        <v>2417</v>
      </c>
      <c r="Z212" s="936">
        <f>ROUND(SUMIFS('GL911.CtyCon.FY24'!N:N,'GL911.CtyCon.FY24'!G:G,'A0.LS'!E212),0)</f>
        <v>0</v>
      </c>
      <c r="AA212" s="936">
        <f>ROUND(SUMIFS('A5.CTC FY24'!K:K,'A5.CTC FY24'!E:E,'A0.LS'!E212,'A5.CTC FY24'!A:A,'A0.LS'!$AA$5,'A5.CTC FY24'!L:L,"Finhay",'A5.CTC FY24'!M:M,"Posted"),0)</f>
        <v>0</v>
      </c>
      <c r="AB212" s="936">
        <f>ROUND(SUMIFS('A5.CTC FY24'!K:K,'A5.CTC FY24'!E:E,'A0.LS'!E212,'A5.CTC FY24'!A:A,'A0.LS'!$AB$5,'A5.CTC FY24'!L:L,"EY",'A5.CTC FY24'!M:M,"Posted"),0)</f>
        <v>0</v>
      </c>
      <c r="AC212" s="948">
        <f t="shared" si="135"/>
        <v>0</v>
      </c>
      <c r="AD212" s="930"/>
      <c r="AE212" s="936">
        <f>SUMIFS('GL911 VNSC FY24'!T:T,'GL911 VNSC FY24'!AG:AG,'A0.LS'!E212)</f>
        <v>0</v>
      </c>
      <c r="AF212" s="936">
        <f>SUMIFS('A5.CTC FY24'!K:K,'A5.CTC FY24'!E:E,'A0.LS'!E212,'A5.CTC FY24'!A:A,"VNSC",'A5.CTC FY24'!L:L,"VNSC",'A5.CTC FY24'!M:M,"Posted")</f>
        <v>0</v>
      </c>
      <c r="AG212" s="936">
        <f>ROUND(SUMIFS('A5.CTC FY24'!K:K,'A5.CTC FY24'!E:E,'A0.LS'!E212,'A5.CTC FY24'!A:A,"VNSC",'A5.CTC FY24'!L:L,"EY",'A5.CTC FY24'!M:M,"Posted"),0)</f>
        <v>0</v>
      </c>
      <c r="AH212" s="936">
        <f t="shared" si="136"/>
        <v>0</v>
      </c>
      <c r="AI212" s="930"/>
      <c r="AJ212" s="936">
        <f>ROUND(SUMIFS('GL911.KCG.FY24'!T:T,'GL911.KCG.FY24'!U:U,'A0.LS'!E212),0)</f>
        <v>0</v>
      </c>
      <c r="AK212" s="936">
        <f>ROUND(SUMIFS('A5.CTC FY24'!K:K,'A5.CTC FY24'!E:E,'A0.LS'!E212,'A5.CTC FY24'!A:A,'A0.LS'!$AK$5,'A5.CTC FY24'!L:L,"EY",'A5.CTC FY24'!M:M,"Posted"),0)</f>
        <v>0</v>
      </c>
      <c r="AL212" s="948">
        <f t="shared" si="137"/>
        <v>0</v>
      </c>
      <c r="AM212" s="930"/>
      <c r="AN212" s="949">
        <f t="shared" si="138"/>
        <v>0</v>
      </c>
      <c r="AO212" s="950">
        <f>ROUND(SUMIFS('A5.Consol FY24'!L:L,'A5.Consol FY24'!M:M,"EY",'A5.Consol FY24'!N:N,"Posted",'A5.Consol FY24'!B:B,'A0.LS'!$AO$5,'A5.Consol FY24'!F:F,'A0.LS'!E212),0)</f>
        <v>0</v>
      </c>
      <c r="AP212" s="949">
        <f t="shared" si="139"/>
        <v>0</v>
      </c>
      <c r="AQ212" s="930"/>
      <c r="AR212" s="936">
        <f>ROUND(SUMIFS('GL911.XH.FY24'!L:L,'GL911.XH.FY24'!F:F,'A0.LS'!E212),0)</f>
        <v>0</v>
      </c>
      <c r="AS212" s="936">
        <f>ROUND(SUMIFS('A5.CTC FY24'!K:K,'A5.CTC FY24'!E:E,'A0.LS'!E212,'A5.CTC FY24'!A:A,'A0.LS'!$AS$5,'A5.CTC FY24'!L:L,"EY",'A5.CTC FY24'!M:M,"Posted"),0)</f>
        <v>0</v>
      </c>
      <c r="AT212" s="948">
        <f t="shared" si="140"/>
        <v>0</v>
      </c>
      <c r="AU212" s="930"/>
      <c r="AV212" s="951">
        <f t="shared" si="141"/>
        <v>872838750</v>
      </c>
      <c r="AW212" s="952">
        <f>SUMIFS('A5.Consol FY24'!L:L,'A5.Consol FY24'!B:B,'A0.LS'!$AW$5,'A5.Consol FY24'!M:M,"EY",'A5.Consol FY24'!N:N,"Posted",'A5.Consol FY24'!F:F,'A0.LS'!E212)</f>
        <v>-561513847</v>
      </c>
      <c r="AX212" s="951">
        <f t="shared" si="142"/>
        <v>311324903</v>
      </c>
      <c r="AY212" s="920"/>
      <c r="AZ212" s="936">
        <f>SUMIFS('911.CTC.YE22'!U:U,'911.CTC.YE22'!R:R,'A0.LS'!E212)</f>
        <v>0</v>
      </c>
      <c r="BA212" s="936">
        <f>ROUND(SUMIFS('A5.YE22'!J:J,'A5.YE22'!K:K,'A0.LS'!$BA$5,'A5.YE22'!L:L,"Posted",'A5.YE22'!D:D,'A0.LS'!E212),0)</f>
        <v>0</v>
      </c>
      <c r="BB212" s="936">
        <f t="shared" si="143"/>
        <v>0</v>
      </c>
      <c r="BC212" s="937"/>
      <c r="BD212" s="936">
        <f>ROUND(SUMIFS('911.VNSC.YE22'!R:R,'911.VNSC.YE22'!L:L,'A0.LS'!E212),0)</f>
        <v>0</v>
      </c>
      <c r="BE212" s="936">
        <f>ROUND(SUMIFS('A5.YE22'!J:J,'A5.YE22'!K:K,'A0.LS'!$BE$5,'A5.YE22'!L:L,"Posted",'A5.YE22'!D:D,'A0.LS'!E212),0)</f>
        <v>0</v>
      </c>
      <c r="BF212" s="936">
        <f t="shared" si="144"/>
        <v>0</v>
      </c>
      <c r="BG212" s="937"/>
      <c r="BH212" s="936">
        <f>ROUND(SUMIFS('911.XH.YE22'!T:T,'911.XH.YE22'!P:P,'A0.LS'!E212),0)</f>
        <v>0</v>
      </c>
      <c r="BI212" s="936">
        <f>ROUND(SUMIFS('A5.YE22'!J:J,'A5.YE22'!K:K,"XH",'A5.YE22'!L:L,"Posted",'A5.YE22'!D:D,'A0.LS'!E212),0)</f>
        <v>0</v>
      </c>
      <c r="BJ212" s="936">
        <f t="shared" si="145"/>
        <v>0</v>
      </c>
      <c r="BK212" s="937"/>
      <c r="BL212" s="936">
        <f>ROUND(SUMIFS('911.KCG.YE22'!T:T,'911.KCG.YE22'!P:P,'A0.LS'!E212),0)</f>
        <v>0</v>
      </c>
      <c r="BM212" s="936">
        <f>ROUND(SUMIFS('A5.YE22'!J:J,'A5.YE22'!K:K,'A0.LS'!$BM$5,'A5.YE22'!L:L,"Posted",'A5.YE22'!D:D,'A0.LS'!E212),0)</f>
        <v>0</v>
      </c>
      <c r="BN212" s="936">
        <f t="shared" si="146"/>
        <v>0</v>
      </c>
      <c r="BO212" s="937"/>
      <c r="BP212" s="938">
        <v>1312180867</v>
      </c>
      <c r="BQ212" s="938">
        <f>-119237639</f>
        <v>-119237639</v>
      </c>
      <c r="BR212" s="938">
        <f t="shared" si="147"/>
        <v>1192943228</v>
      </c>
    </row>
    <row r="213" spans="2:70" ht="12.75">
      <c r="B213" s="939">
        <v>11</v>
      </c>
      <c r="C213" s="940" t="s">
        <v>2421</v>
      </c>
      <c r="D213" s="941" t="s">
        <v>2421</v>
      </c>
      <c r="E213" s="928" t="s">
        <v>275</v>
      </c>
      <c r="F213" s="928" t="s">
        <v>276</v>
      </c>
      <c r="G213" s="927" t="s">
        <v>2417</v>
      </c>
      <c r="H213" s="927" t="s">
        <v>2265</v>
      </c>
      <c r="I213" s="942">
        <f>SUMIFS('GL154.Cty Me.FY24'!S:S,'GL154.Cty Me.FY24'!H:H,'A0.LS'!E213)</f>
        <v>20215186</v>
      </c>
      <c r="J213" s="942">
        <f>ROUND(SUMIFS('A5.FY24'!K:K,'A5.FY24'!E:E,'A0.LS'!E213,'A5.FY24'!L:L,"Finhay",'A5.FY24'!M:M,"Posted"),0)</f>
        <v>0</v>
      </c>
      <c r="K213" s="942">
        <f>ROUND(SUMIFS('A5.FY24'!K:K,'A5.FY24'!E:E,'A0.LS'!E213,'A5.FY24'!L:L,"EY",'A5.FY24'!M:M,"Posted"),0)</f>
        <v>0</v>
      </c>
      <c r="L213" s="943">
        <f t="shared" si="134"/>
        <v>20215186</v>
      </c>
      <c r="M213" s="930"/>
      <c r="N213" s="944">
        <v>7426118</v>
      </c>
      <c r="O213" s="944">
        <v>0</v>
      </c>
      <c r="P213" s="944">
        <v>0</v>
      </c>
      <c r="Q213" s="945">
        <v>7426118</v>
      </c>
      <c r="R213" s="898"/>
      <c r="S213" s="848">
        <f t="shared" si="132"/>
        <v>12789068</v>
      </c>
      <c r="T213" s="946">
        <f>IFERROR(S213/Q213,"To check")</f>
        <v>1.7221740888038677</v>
      </c>
      <c r="U213" s="850" t="s">
        <v>2424</v>
      </c>
      <c r="V213" s="850" t="s">
        <v>2423</v>
      </c>
      <c r="W213" s="850"/>
      <c r="X213" s="947" t="s">
        <v>676</v>
      </c>
      <c r="Y213" s="947" t="s">
        <v>2417</v>
      </c>
      <c r="Z213" s="936">
        <f>ROUND(SUMIFS('GL911.CtyCon.FY24'!N:N,'GL911.CtyCon.FY24'!G:G,'A0.LS'!E213),0)</f>
        <v>0</v>
      </c>
      <c r="AA213" s="936">
        <f>ROUND(SUMIFS('A5.CTC FY24'!K:K,'A5.CTC FY24'!E:E,'A0.LS'!E213,'A5.CTC FY24'!A:A,'A0.LS'!$AA$5,'A5.CTC FY24'!L:L,"Finhay",'A5.CTC FY24'!M:M,"Posted"),0)</f>
        <v>0</v>
      </c>
      <c r="AB213" s="936">
        <f>ROUND(SUMIFS('A5.CTC FY24'!K:K,'A5.CTC FY24'!E:E,'A0.LS'!E213,'A5.CTC FY24'!A:A,'A0.LS'!$AB$5,'A5.CTC FY24'!L:L,"EY",'A5.CTC FY24'!M:M,"Posted"),0)</f>
        <v>0</v>
      </c>
      <c r="AC213" s="948">
        <f t="shared" si="135"/>
        <v>0</v>
      </c>
      <c r="AD213" s="930"/>
      <c r="AE213" s="936">
        <f>SUMIFS('GL911 VNSC FY24'!T:T,'GL911 VNSC FY24'!AG:AG,'A0.LS'!E213)</f>
        <v>0</v>
      </c>
      <c r="AF213" s="936">
        <f>SUMIFS('A5.CTC FY24'!K:K,'A5.CTC FY24'!E:E,'A0.LS'!E213,'A5.CTC FY24'!A:A,"VNSC",'A5.CTC FY24'!L:L,"VNSC",'A5.CTC FY24'!M:M,"Posted")</f>
        <v>0</v>
      </c>
      <c r="AG213" s="936">
        <f>ROUND(SUMIFS('A5.CTC FY24'!K:K,'A5.CTC FY24'!E:E,'A0.LS'!E213,'A5.CTC FY24'!A:A,"VNSC",'A5.CTC FY24'!L:L,"EY",'A5.CTC FY24'!M:M,"Posted"),0)</f>
        <v>0</v>
      </c>
      <c r="AH213" s="936">
        <f t="shared" si="136"/>
        <v>0</v>
      </c>
      <c r="AI213" s="930"/>
      <c r="AJ213" s="936">
        <f>ROUND(SUMIFS('GL911.KCG.FY24'!T:T,'GL911.KCG.FY24'!U:U,'A0.LS'!E213),0)</f>
        <v>0</v>
      </c>
      <c r="AK213" s="936">
        <f>ROUND(SUMIFS('A5.CTC FY24'!K:K,'A5.CTC FY24'!E:E,'A0.LS'!E213,'A5.CTC FY24'!A:A,'A0.LS'!$AK$5,'A5.CTC FY24'!L:L,"EY",'A5.CTC FY24'!M:M,"Posted"),0)</f>
        <v>0</v>
      </c>
      <c r="AL213" s="948">
        <f t="shared" si="137"/>
        <v>0</v>
      </c>
      <c r="AM213" s="930"/>
      <c r="AN213" s="949">
        <f t="shared" si="138"/>
        <v>0</v>
      </c>
      <c r="AO213" s="950">
        <f>ROUND(SUMIFS('A5.Consol FY24'!L:L,'A5.Consol FY24'!M:M,"EY",'A5.Consol FY24'!N:N,"Posted",'A5.Consol FY24'!B:B,'A0.LS'!$AO$5,'A5.Consol FY24'!F:F,'A0.LS'!E213),0)</f>
        <v>0</v>
      </c>
      <c r="AP213" s="949">
        <f t="shared" si="139"/>
        <v>0</v>
      </c>
      <c r="AQ213" s="930"/>
      <c r="AR213" s="936">
        <f>ROUND(SUMIFS('GL911.XH.FY24'!L:L,'GL911.XH.FY24'!F:F,'A0.LS'!E213),0)</f>
        <v>0</v>
      </c>
      <c r="AS213" s="936">
        <f>ROUND(SUMIFS('A5.CTC FY24'!K:K,'A5.CTC FY24'!E:E,'A0.LS'!E213,'A5.CTC FY24'!A:A,'A0.LS'!$AS$5,'A5.CTC FY24'!L:L,"EY",'A5.CTC FY24'!M:M,"Posted"),0)</f>
        <v>0</v>
      </c>
      <c r="AT213" s="948">
        <f t="shared" si="140"/>
        <v>0</v>
      </c>
      <c r="AU213" s="930"/>
      <c r="AV213" s="951">
        <f t="shared" si="141"/>
        <v>20215186</v>
      </c>
      <c r="AW213" s="952">
        <f>SUMIFS('A5.Consol FY24'!L:L,'A5.Consol FY24'!B:B,'A0.LS'!$AW$5,'A5.Consol FY24'!M:M,"EY",'A5.Consol FY24'!N:N,"Posted",'A5.Consol FY24'!F:F,'A0.LS'!E213)</f>
        <v>0</v>
      </c>
      <c r="AX213" s="951">
        <f t="shared" si="142"/>
        <v>20215186</v>
      </c>
      <c r="AY213" s="920"/>
      <c r="AZ213" s="936">
        <f>SUMIFS('911.CTC.YE22'!U:U,'911.CTC.YE22'!R:R,'A0.LS'!E213)</f>
        <v>0</v>
      </c>
      <c r="BA213" s="936">
        <f>ROUND(SUMIFS('A5.YE22'!J:J,'A5.YE22'!K:K,'A0.LS'!$BA$5,'A5.YE22'!L:L,"Posted",'A5.YE22'!D:D,'A0.LS'!E213),0)</f>
        <v>0</v>
      </c>
      <c r="BB213" s="936">
        <f t="shared" si="143"/>
        <v>0</v>
      </c>
      <c r="BC213" s="937"/>
      <c r="BD213" s="936">
        <f>ROUND(SUMIFS('911.VNSC.YE22'!R:R,'911.VNSC.YE22'!L:L,'A0.LS'!E213),0)</f>
        <v>0</v>
      </c>
      <c r="BE213" s="936">
        <f>ROUND(SUMIFS('A5.YE22'!J:J,'A5.YE22'!K:K,'A0.LS'!$BE$5,'A5.YE22'!L:L,"Posted",'A5.YE22'!D:D,'A0.LS'!E213),0)</f>
        <v>0</v>
      </c>
      <c r="BF213" s="936">
        <f t="shared" si="144"/>
        <v>0</v>
      </c>
      <c r="BG213" s="937"/>
      <c r="BH213" s="936">
        <f>ROUND(SUMIFS('911.XH.YE22'!T:T,'911.XH.YE22'!P:P,'A0.LS'!E213),0)</f>
        <v>0</v>
      </c>
      <c r="BI213" s="936">
        <f>ROUND(SUMIFS('A5.YE22'!J:J,'A5.YE22'!K:K,"XH",'A5.YE22'!L:L,"Posted",'A5.YE22'!D:D,'A0.LS'!E213),0)</f>
        <v>0</v>
      </c>
      <c r="BJ213" s="936">
        <f t="shared" si="145"/>
        <v>0</v>
      </c>
      <c r="BK213" s="937"/>
      <c r="BL213" s="936">
        <f>ROUND(SUMIFS('911.KCG.YE22'!T:T,'911.KCG.YE22'!P:P,'A0.LS'!E213),0)</f>
        <v>0</v>
      </c>
      <c r="BM213" s="936">
        <f>ROUND(SUMIFS('A5.YE22'!J:J,'A5.YE22'!K:K,'A0.LS'!$BM$5,'A5.YE22'!L:L,"Posted",'A5.YE22'!D:D,'A0.LS'!E213),0)</f>
        <v>0</v>
      </c>
      <c r="BN213" s="936">
        <f t="shared" si="146"/>
        <v>0</v>
      </c>
      <c r="BO213" s="937"/>
      <c r="BP213" s="938">
        <v>7426118</v>
      </c>
      <c r="BQ213" s="938">
        <f>ROUND(SUMIFS('A5.YE22'!J:J,'A5.YE22'!K:K,'A0.LS'!$BQ$5,'A5.YE22'!L:L,"Posted",'A5.YE22'!D:D,'A0.LS'!E213),0)</f>
        <v>0</v>
      </c>
      <c r="BR213" s="938">
        <f t="shared" si="147"/>
        <v>7426118</v>
      </c>
    </row>
    <row r="214" spans="2:70" ht="12.75">
      <c r="B214" s="939">
        <v>11</v>
      </c>
      <c r="C214" s="940" t="s">
        <v>2421</v>
      </c>
      <c r="D214" s="941" t="s">
        <v>2421</v>
      </c>
      <c r="E214" s="928" t="s">
        <v>277</v>
      </c>
      <c r="F214" s="928" t="s">
        <v>278</v>
      </c>
      <c r="G214" s="927" t="s">
        <v>2417</v>
      </c>
      <c r="H214" s="927" t="s">
        <v>2265</v>
      </c>
      <c r="I214" s="942">
        <f>SUMIFS('GL154.Cty Me.FY24'!S:S,'GL154.Cty Me.FY24'!H:H,'A0.LS'!E214)</f>
        <v>459169287</v>
      </c>
      <c r="J214" s="942">
        <f>ROUND(SUMIFS('A5.FY24'!K:K,'A5.FY24'!E:E,'A0.LS'!E214,'A5.FY24'!L:L,"Finhay",'A5.FY24'!M:M,"Posted"),0)</f>
        <v>0</v>
      </c>
      <c r="K214" s="942">
        <f>ROUND(SUMIFS('A5.FY24'!K:K,'A5.FY24'!E:E,'A0.LS'!E214,'A5.FY24'!L:L,"EY",'A5.FY24'!M:M,"Posted"),0)</f>
        <v>0</v>
      </c>
      <c r="L214" s="943">
        <f t="shared" si="134"/>
        <v>459169287</v>
      </c>
      <c r="M214" s="930"/>
      <c r="N214" s="944">
        <v>595684361</v>
      </c>
      <c r="O214" s="944">
        <v>143657</v>
      </c>
      <c r="P214" s="944">
        <v>0</v>
      </c>
      <c r="Q214" s="945">
        <v>595828018</v>
      </c>
      <c r="R214" s="898"/>
      <c r="S214" s="848">
        <f t="shared" si="132"/>
        <v>-136658731</v>
      </c>
      <c r="T214" s="946">
        <f t="shared" si="133"/>
        <v>-0.22935935684716324</v>
      </c>
      <c r="U214" s="850"/>
      <c r="V214" s="850" t="s">
        <v>2423</v>
      </c>
      <c r="W214" s="850"/>
      <c r="X214" s="947" t="s">
        <v>676</v>
      </c>
      <c r="Y214" s="947" t="s">
        <v>2417</v>
      </c>
      <c r="Z214" s="936">
        <f>ROUND(SUMIFS('GL911.CtyCon.FY24'!N:N,'GL911.CtyCon.FY24'!G:G,'A0.LS'!E214),0)</f>
        <v>0</v>
      </c>
      <c r="AA214" s="936">
        <f>ROUND(SUMIFS('A5.CTC FY24'!K:K,'A5.CTC FY24'!E:E,'A0.LS'!E214,'A5.CTC FY24'!A:A,'A0.LS'!$AA$5,'A5.CTC FY24'!L:L,"Finhay",'A5.CTC FY24'!M:M,"Posted"),0)</f>
        <v>0</v>
      </c>
      <c r="AB214" s="936">
        <f>ROUND(SUMIFS('A5.CTC FY24'!K:K,'A5.CTC FY24'!E:E,'A0.LS'!E214,'A5.CTC FY24'!A:A,'A0.LS'!$AB$5,'A5.CTC FY24'!L:L,"EY",'A5.CTC FY24'!M:M,"Posted"),0)</f>
        <v>0</v>
      </c>
      <c r="AC214" s="948">
        <f t="shared" si="135"/>
        <v>0</v>
      </c>
      <c r="AD214" s="930"/>
      <c r="AE214" s="936">
        <f>SUMIFS('GL911 VNSC FY24'!T:T,'GL911 VNSC FY24'!AG:AG,'A0.LS'!E214)</f>
        <v>0</v>
      </c>
      <c r="AF214" s="936">
        <f>SUMIFS('A5.CTC FY24'!K:K,'A5.CTC FY24'!E:E,'A0.LS'!E214,'A5.CTC FY24'!A:A,"VNSC",'A5.CTC FY24'!L:L,"VNSC",'A5.CTC FY24'!M:M,"Posted")</f>
        <v>0</v>
      </c>
      <c r="AG214" s="936">
        <f>ROUND(SUMIFS('A5.CTC FY24'!K:K,'A5.CTC FY24'!E:E,'A0.LS'!E214,'A5.CTC FY24'!A:A,"VNSC",'A5.CTC FY24'!L:L,"EY",'A5.CTC FY24'!M:M,"Posted"),0)</f>
        <v>0</v>
      </c>
      <c r="AH214" s="936">
        <f t="shared" si="136"/>
        <v>0</v>
      </c>
      <c r="AI214" s="930"/>
      <c r="AJ214" s="936">
        <f>ROUND(SUMIFS('GL911.KCG.FY24'!T:T,'GL911.KCG.FY24'!U:U,'A0.LS'!E214),0)</f>
        <v>0</v>
      </c>
      <c r="AK214" s="936">
        <f>ROUND(SUMIFS('A5.CTC FY24'!K:K,'A5.CTC FY24'!E:E,'A0.LS'!E214,'A5.CTC FY24'!A:A,'A0.LS'!$AK$5,'A5.CTC FY24'!L:L,"EY",'A5.CTC FY24'!M:M,"Posted"),0)</f>
        <v>0</v>
      </c>
      <c r="AL214" s="948">
        <f t="shared" si="137"/>
        <v>0</v>
      </c>
      <c r="AM214" s="930"/>
      <c r="AN214" s="949">
        <f t="shared" si="138"/>
        <v>0</v>
      </c>
      <c r="AO214" s="950">
        <f>ROUND(SUMIFS('A5.Consol FY24'!L:L,'A5.Consol FY24'!M:M,"EY",'A5.Consol FY24'!N:N,"Posted",'A5.Consol FY24'!B:B,'A0.LS'!$AO$5,'A5.Consol FY24'!F:F,'A0.LS'!E214),0)</f>
        <v>0</v>
      </c>
      <c r="AP214" s="949">
        <f t="shared" si="139"/>
        <v>0</v>
      </c>
      <c r="AQ214" s="930"/>
      <c r="AR214" s="936">
        <f>ROUND(SUMIFS('GL911.XH.FY24'!L:L,'GL911.XH.FY24'!F:F,'A0.LS'!E214),0)</f>
        <v>0</v>
      </c>
      <c r="AS214" s="936">
        <f>ROUND(SUMIFS('A5.CTC FY24'!K:K,'A5.CTC FY24'!E:E,'A0.LS'!E214,'A5.CTC FY24'!A:A,'A0.LS'!$AS$5,'A5.CTC FY24'!L:L,"EY",'A5.CTC FY24'!M:M,"Posted"),0)</f>
        <v>0</v>
      </c>
      <c r="AT214" s="948">
        <f t="shared" si="140"/>
        <v>0</v>
      </c>
      <c r="AU214" s="930"/>
      <c r="AV214" s="951">
        <f t="shared" si="141"/>
        <v>459169287</v>
      </c>
      <c r="AW214" s="952">
        <f>SUMIFS('A5.Consol FY24'!L:L,'A5.Consol FY24'!B:B,'A0.LS'!$AW$5,'A5.Consol FY24'!M:M,"EY",'A5.Consol FY24'!N:N,"Posted",'A5.Consol FY24'!F:F,'A0.LS'!E214)</f>
        <v>0</v>
      </c>
      <c r="AX214" s="951">
        <f t="shared" si="142"/>
        <v>459169287</v>
      </c>
      <c r="AY214" s="920"/>
      <c r="AZ214" s="936">
        <f>SUMIFS('911.CTC.YE22'!U:U,'911.CTC.YE22'!R:R,'A0.LS'!E214)</f>
        <v>0</v>
      </c>
      <c r="BA214" s="936">
        <f>ROUND(SUMIFS('A5.YE22'!J:J,'A5.YE22'!K:K,'A0.LS'!$BA$5,'A5.YE22'!L:L,"Posted",'A5.YE22'!D:D,'A0.LS'!E214),0)</f>
        <v>0</v>
      </c>
      <c r="BB214" s="936">
        <f t="shared" si="143"/>
        <v>0</v>
      </c>
      <c r="BC214" s="937"/>
      <c r="BD214" s="936">
        <f>ROUND(SUMIFS('911.VNSC.YE22'!R:R,'911.VNSC.YE22'!L:L,'A0.LS'!E214),0)</f>
        <v>0</v>
      </c>
      <c r="BE214" s="936">
        <f>ROUND(SUMIFS('A5.YE22'!J:J,'A5.YE22'!K:K,'A0.LS'!$BE$5,'A5.YE22'!L:L,"Posted",'A5.YE22'!D:D,'A0.LS'!E214),0)</f>
        <v>0</v>
      </c>
      <c r="BF214" s="936">
        <f t="shared" si="144"/>
        <v>0</v>
      </c>
      <c r="BG214" s="937"/>
      <c r="BH214" s="936">
        <f>ROUND(SUMIFS('911.XH.YE22'!T:T,'911.XH.YE22'!P:P,'A0.LS'!E214),0)</f>
        <v>0</v>
      </c>
      <c r="BI214" s="936">
        <f>ROUND(SUMIFS('A5.YE22'!J:J,'A5.YE22'!K:K,"XH",'A5.YE22'!L:L,"Posted",'A5.YE22'!D:D,'A0.LS'!E214),0)</f>
        <v>0</v>
      </c>
      <c r="BJ214" s="936">
        <f t="shared" si="145"/>
        <v>0</v>
      </c>
      <c r="BK214" s="937"/>
      <c r="BL214" s="936">
        <f>ROUND(SUMIFS('911.KCG.YE22'!T:T,'911.KCG.YE22'!P:P,'A0.LS'!E214),0)</f>
        <v>0</v>
      </c>
      <c r="BM214" s="936">
        <f>ROUND(SUMIFS('A5.YE22'!J:J,'A5.YE22'!K:K,'A0.LS'!$BM$5,'A5.YE22'!L:L,"Posted",'A5.YE22'!D:D,'A0.LS'!E214),0)</f>
        <v>0</v>
      </c>
      <c r="BN214" s="936">
        <f t="shared" si="146"/>
        <v>0</v>
      </c>
      <c r="BO214" s="937"/>
      <c r="BP214" s="938">
        <v>595828018</v>
      </c>
      <c r="BQ214" s="938">
        <f>-18389777</f>
        <v>-18389777</v>
      </c>
      <c r="BR214" s="938">
        <f t="shared" si="147"/>
        <v>577438241</v>
      </c>
    </row>
    <row r="215" spans="2:70" ht="12.75">
      <c r="B215" s="939">
        <v>11</v>
      </c>
      <c r="C215" s="940" t="s">
        <v>2425</v>
      </c>
      <c r="D215" s="941" t="s">
        <v>2425</v>
      </c>
      <c r="E215" s="928" t="s">
        <v>2426</v>
      </c>
      <c r="F215" s="928" t="s">
        <v>2427</v>
      </c>
      <c r="G215" s="927" t="s">
        <v>2417</v>
      </c>
      <c r="H215" s="927" t="s">
        <v>2265</v>
      </c>
      <c r="I215" s="942">
        <f>SUMIFS('GL154.Cty Me.FY24'!S:S,'GL154.Cty Me.FY24'!H:H,'A0.LS'!E215)</f>
        <v>0</v>
      </c>
      <c r="J215" s="942">
        <f>ROUND(SUMIFS('A5.FY24'!K:K,'A5.FY24'!E:E,'A0.LS'!E215,'A5.FY24'!L:L,"Finhay",'A5.FY24'!M:M,"Posted"),0)</f>
        <v>0</v>
      </c>
      <c r="K215" s="942">
        <f>ROUND(SUMIFS('A5.FY24'!K:K,'A5.FY24'!E:E,'A0.LS'!E215,'A5.FY24'!L:L,"EY",'A5.FY24'!M:M,"Posted"),0)</f>
        <v>0</v>
      </c>
      <c r="L215" s="943">
        <f t="shared" si="134"/>
        <v>0</v>
      </c>
      <c r="M215" s="930"/>
      <c r="N215" s="944">
        <v>0</v>
      </c>
      <c r="O215" s="944">
        <v>0</v>
      </c>
      <c r="P215" s="944">
        <v>0</v>
      </c>
      <c r="Q215" s="945">
        <v>0</v>
      </c>
      <c r="R215" s="898"/>
      <c r="S215" s="848">
        <f t="shared" si="132"/>
        <v>0</v>
      </c>
      <c r="T215" s="946" t="str">
        <f t="shared" si="133"/>
        <v>To check</v>
      </c>
      <c r="U215" s="850" t="s">
        <v>681</v>
      </c>
      <c r="V215" s="850" t="s">
        <v>2428</v>
      </c>
      <c r="W215" s="850"/>
      <c r="X215" s="947" t="s">
        <v>676</v>
      </c>
      <c r="Y215" s="947" t="s">
        <v>2417</v>
      </c>
      <c r="Z215" s="936">
        <f>ROUND(SUMIFS('GL911.CtyCon.FY24'!N:N,'GL911.CtyCon.FY24'!G:G,'A0.LS'!E215),0)</f>
        <v>0</v>
      </c>
      <c r="AA215" s="936">
        <f>ROUND(SUMIFS('A5.CTC FY24'!K:K,'A5.CTC FY24'!E:E,'A0.LS'!E215,'A5.CTC FY24'!A:A,'A0.LS'!$AA$5,'A5.CTC FY24'!L:L,"Finhay",'A5.CTC FY24'!M:M,"Posted"),0)</f>
        <v>0</v>
      </c>
      <c r="AB215" s="936">
        <f>ROUND(SUMIFS('A5.CTC FY24'!K:K,'A5.CTC FY24'!E:E,'A0.LS'!E215,'A5.CTC FY24'!A:A,'A0.LS'!$AB$5,'A5.CTC FY24'!L:L,"EY",'A5.CTC FY24'!M:M,"Posted"),0)</f>
        <v>0</v>
      </c>
      <c r="AC215" s="948">
        <f t="shared" si="135"/>
        <v>0</v>
      </c>
      <c r="AD215" s="930"/>
      <c r="AE215" s="936">
        <f>SUMIFS('GL911 VNSC FY24'!T:T,'GL911 VNSC FY24'!AG:AG,'A0.LS'!E215)</f>
        <v>0</v>
      </c>
      <c r="AF215" s="936">
        <f>SUMIFS('A5.CTC FY24'!K:K,'A5.CTC FY24'!E:E,'A0.LS'!E215,'A5.CTC FY24'!A:A,"VNSC",'A5.CTC FY24'!L:L,"VNSC",'A5.CTC FY24'!M:M,"Posted")</f>
        <v>0</v>
      </c>
      <c r="AG215" s="936">
        <f>ROUND(SUMIFS('A5.CTC FY24'!K:K,'A5.CTC FY24'!E:E,'A0.LS'!E215,'A5.CTC FY24'!A:A,"VNSC",'A5.CTC FY24'!L:L,"EY",'A5.CTC FY24'!M:M,"Posted"),0)</f>
        <v>0</v>
      </c>
      <c r="AH215" s="936">
        <f t="shared" si="136"/>
        <v>0</v>
      </c>
      <c r="AI215" s="930"/>
      <c r="AJ215" s="936">
        <f>ROUND(SUMIFS('GL911.KCG.FY24'!T:T,'GL911.KCG.FY24'!U:U,'A0.LS'!E215),0)</f>
        <v>0</v>
      </c>
      <c r="AK215" s="936">
        <f>ROUND(SUMIFS('A5.CTC FY24'!K:K,'A5.CTC FY24'!E:E,'A0.LS'!E215,'A5.CTC FY24'!A:A,'A0.LS'!$AK$5,'A5.CTC FY24'!L:L,"EY",'A5.CTC FY24'!M:M,"Posted"),0)</f>
        <v>0</v>
      </c>
      <c r="AL215" s="948">
        <f t="shared" si="137"/>
        <v>0</v>
      </c>
      <c r="AM215" s="930"/>
      <c r="AN215" s="949">
        <f t="shared" si="138"/>
        <v>0</v>
      </c>
      <c r="AO215" s="950">
        <f>ROUND(SUMIFS('A5.Consol FY24'!L:L,'A5.Consol FY24'!M:M,"EY",'A5.Consol FY24'!N:N,"Posted",'A5.Consol FY24'!B:B,'A0.LS'!$AO$5,'A5.Consol FY24'!F:F,'A0.LS'!E215),0)</f>
        <v>0</v>
      </c>
      <c r="AP215" s="949">
        <f t="shared" si="139"/>
        <v>0</v>
      </c>
      <c r="AQ215" s="930"/>
      <c r="AR215" s="936">
        <f>ROUND(SUMIFS('GL911.XH.FY24'!L:L,'GL911.XH.FY24'!F:F,'A0.LS'!E215),0)</f>
        <v>0</v>
      </c>
      <c r="AS215" s="936">
        <f>ROUND(SUMIFS('A5.CTC FY24'!K:K,'A5.CTC FY24'!E:E,'A0.LS'!E215,'A5.CTC FY24'!A:A,'A0.LS'!$AS$5,'A5.CTC FY24'!L:L,"EY",'A5.CTC FY24'!M:M,"Posted"),0)</f>
        <v>0</v>
      </c>
      <c r="AT215" s="948">
        <f t="shared" si="140"/>
        <v>0</v>
      </c>
      <c r="AU215" s="930"/>
      <c r="AV215" s="951">
        <f t="shared" si="141"/>
        <v>0</v>
      </c>
      <c r="AW215" s="952">
        <f>SUMIFS('A5.Consol FY24'!L:L,'A5.Consol FY24'!B:B,'A0.LS'!$AW$5,'A5.Consol FY24'!M:M,"EY",'A5.Consol FY24'!N:N,"Posted",'A5.Consol FY24'!F:F,'A0.LS'!E215)</f>
        <v>0</v>
      </c>
      <c r="AX215" s="951">
        <f t="shared" si="142"/>
        <v>0</v>
      </c>
      <c r="AY215" s="920"/>
      <c r="AZ215" s="936">
        <f>SUMIFS('911.CTC.YE22'!U:U,'911.CTC.YE22'!R:R,'A0.LS'!E215)</f>
        <v>0</v>
      </c>
      <c r="BA215" s="936">
        <f>ROUND(SUMIFS('A5.YE22'!J:J,'A5.YE22'!K:K,'A0.LS'!$BA$5,'A5.YE22'!L:L,"Posted",'A5.YE22'!D:D,'A0.LS'!E215),0)</f>
        <v>0</v>
      </c>
      <c r="BB215" s="936">
        <f t="shared" si="143"/>
        <v>0</v>
      </c>
      <c r="BC215" s="937"/>
      <c r="BD215" s="936">
        <f>ROUND(SUMIFS('911.VNSC.YE22'!R:R,'911.VNSC.YE22'!L:L,'A0.LS'!E215),0)</f>
        <v>0</v>
      </c>
      <c r="BE215" s="936">
        <f>ROUND(SUMIFS('A5.YE22'!J:J,'A5.YE22'!K:K,'A0.LS'!$BE$5,'A5.YE22'!L:L,"Posted",'A5.YE22'!D:D,'A0.LS'!E215),0)</f>
        <v>0</v>
      </c>
      <c r="BF215" s="936">
        <f t="shared" si="144"/>
        <v>0</v>
      </c>
      <c r="BG215" s="937"/>
      <c r="BH215" s="936">
        <f>ROUND(SUMIFS('911.XH.YE22'!T:T,'911.XH.YE22'!P:P,'A0.LS'!E215),0)</f>
        <v>0</v>
      </c>
      <c r="BI215" s="936">
        <f>ROUND(SUMIFS('A5.YE22'!J:J,'A5.YE22'!K:K,"XH",'A5.YE22'!L:L,"Posted",'A5.YE22'!D:D,'A0.LS'!E215),0)</f>
        <v>0</v>
      </c>
      <c r="BJ215" s="936">
        <f t="shared" si="145"/>
        <v>0</v>
      </c>
      <c r="BK215" s="937"/>
      <c r="BL215" s="936">
        <f>ROUND(SUMIFS('911.KCG.YE22'!T:T,'911.KCG.YE22'!P:P,'A0.LS'!E215),0)</f>
        <v>0</v>
      </c>
      <c r="BM215" s="936">
        <f>ROUND(SUMIFS('A5.YE22'!J:J,'A5.YE22'!K:K,'A0.LS'!$BM$5,'A5.YE22'!L:L,"Posted",'A5.YE22'!D:D,'A0.LS'!E215),0)</f>
        <v>0</v>
      </c>
      <c r="BN215" s="936">
        <f t="shared" si="146"/>
        <v>0</v>
      </c>
      <c r="BO215" s="937"/>
      <c r="BP215" s="938">
        <v>0</v>
      </c>
      <c r="BQ215" s="938">
        <f>ROUND(SUMIFS('A5.YE22'!J:J,'A5.YE22'!K:K,'A0.LS'!$BQ$5,'A5.YE22'!L:L,"Posted",'A5.YE22'!D:D,'A0.LS'!E215),0)</f>
        <v>0</v>
      </c>
      <c r="BR215" s="938">
        <f t="shared" si="147"/>
        <v>0</v>
      </c>
    </row>
    <row r="216" spans="2:70" ht="12.75">
      <c r="B216" s="939">
        <v>11</v>
      </c>
      <c r="C216" s="940" t="s">
        <v>2416</v>
      </c>
      <c r="D216" s="941" t="s">
        <v>2416</v>
      </c>
      <c r="E216" s="928" t="s">
        <v>279</v>
      </c>
      <c r="F216" s="928" t="s">
        <v>280</v>
      </c>
      <c r="G216" s="927" t="s">
        <v>2417</v>
      </c>
      <c r="H216" s="927" t="s">
        <v>2265</v>
      </c>
      <c r="I216" s="942">
        <f>SUMIFS('GL154.Cty Me.FY24'!S:S,'GL154.Cty Me.FY24'!H:H,'A0.LS'!E216)</f>
        <v>0</v>
      </c>
      <c r="J216" s="942">
        <f>ROUND(SUMIFS('A5.FY24'!K:K,'A5.FY24'!E:E,'A0.LS'!E216,'A5.FY24'!L:L,"Finhay",'A5.FY24'!M:M,"Posted"),0)</f>
        <v>0</v>
      </c>
      <c r="K216" s="942">
        <f>ROUND(SUMIFS('A5.FY24'!K:K,'A5.FY24'!E:E,'A0.LS'!E216,'A5.FY24'!L:L,"EY",'A5.FY24'!M:M,"Posted"),0)</f>
        <v>0</v>
      </c>
      <c r="L216" s="943">
        <f t="shared" si="134"/>
        <v>0</v>
      </c>
      <c r="M216" s="930"/>
      <c r="N216" s="944">
        <v>5785000</v>
      </c>
      <c r="O216" s="944">
        <v>0</v>
      </c>
      <c r="P216" s="944">
        <v>0</v>
      </c>
      <c r="Q216" s="945">
        <v>5785000</v>
      </c>
      <c r="R216" s="898"/>
      <c r="S216" s="848">
        <f t="shared" si="132"/>
        <v>-5785000</v>
      </c>
      <c r="T216" s="971">
        <f>IFERROR(S216/Q216,"To check")</f>
        <v>-1</v>
      </c>
      <c r="U216" s="850" t="s">
        <v>2429</v>
      </c>
      <c r="V216" s="850"/>
      <c r="W216" s="850" t="s">
        <v>2430</v>
      </c>
      <c r="X216" s="947" t="s">
        <v>676</v>
      </c>
      <c r="Y216" s="947" t="s">
        <v>2417</v>
      </c>
      <c r="Z216" s="936">
        <f>ROUND(SUMIFS('GL911.CtyCon.FY24'!N:N,'GL911.CtyCon.FY24'!G:G,'A0.LS'!E216),0)</f>
        <v>0</v>
      </c>
      <c r="AA216" s="936">
        <f>ROUND(SUMIFS('A5.CTC FY24'!K:K,'A5.CTC FY24'!E:E,'A0.LS'!E216,'A5.CTC FY24'!A:A,'A0.LS'!$AA$5,'A5.CTC FY24'!L:L,"Finhay",'A5.CTC FY24'!M:M,"Posted"),0)</f>
        <v>0</v>
      </c>
      <c r="AB216" s="936">
        <f>ROUND(SUMIFS('A5.CTC FY24'!K:K,'A5.CTC FY24'!E:E,'A0.LS'!E216,'A5.CTC FY24'!A:A,'A0.LS'!$AB$5,'A5.CTC FY24'!L:L,"EY",'A5.CTC FY24'!M:M,"Posted"),0)</f>
        <v>0</v>
      </c>
      <c r="AC216" s="948">
        <f t="shared" si="135"/>
        <v>0</v>
      </c>
      <c r="AD216" s="930"/>
      <c r="AE216" s="936">
        <f>SUMIFS('GL911 VNSC FY24'!T:T,'GL911 VNSC FY24'!AG:AG,'A0.LS'!E216)</f>
        <v>0</v>
      </c>
      <c r="AF216" s="936">
        <f>SUMIFS('A5.CTC FY24'!K:K,'A5.CTC FY24'!E:E,'A0.LS'!E216,'A5.CTC FY24'!A:A,"VNSC",'A5.CTC FY24'!L:L,"VNSC",'A5.CTC FY24'!M:M,"Posted")</f>
        <v>0</v>
      </c>
      <c r="AG216" s="936">
        <f>ROUND(SUMIFS('A5.CTC FY24'!K:K,'A5.CTC FY24'!E:E,'A0.LS'!E216,'A5.CTC FY24'!A:A,"VNSC",'A5.CTC FY24'!L:L,"EY",'A5.CTC FY24'!M:M,"Posted"),0)</f>
        <v>0</v>
      </c>
      <c r="AH216" s="936">
        <f t="shared" si="136"/>
        <v>0</v>
      </c>
      <c r="AI216" s="930"/>
      <c r="AJ216" s="936">
        <f>ROUND(SUMIFS('GL911.KCG.FY24'!T:T,'GL911.KCG.FY24'!U:U,'A0.LS'!E216),0)</f>
        <v>0</v>
      </c>
      <c r="AK216" s="936">
        <f>ROUND(SUMIFS('A5.CTC FY24'!K:K,'A5.CTC FY24'!E:E,'A0.LS'!E216,'A5.CTC FY24'!A:A,'A0.LS'!$AK$5,'A5.CTC FY24'!L:L,"EY",'A5.CTC FY24'!M:M,"Posted"),0)</f>
        <v>0</v>
      </c>
      <c r="AL216" s="948">
        <f t="shared" si="137"/>
        <v>0</v>
      </c>
      <c r="AM216" s="930"/>
      <c r="AN216" s="949">
        <f t="shared" si="138"/>
        <v>0</v>
      </c>
      <c r="AO216" s="950">
        <f>ROUND(SUMIFS('A5.Consol FY24'!L:L,'A5.Consol FY24'!M:M,"EY",'A5.Consol FY24'!N:N,"Posted",'A5.Consol FY24'!B:B,'A0.LS'!$AO$5,'A5.Consol FY24'!F:F,'A0.LS'!E216),0)</f>
        <v>0</v>
      </c>
      <c r="AP216" s="949">
        <f t="shared" si="139"/>
        <v>0</v>
      </c>
      <c r="AQ216" s="930"/>
      <c r="AR216" s="936">
        <f>ROUND(SUMIFS('GL911.XH.FY24'!L:L,'GL911.XH.FY24'!F:F,'A0.LS'!E216),0)</f>
        <v>0</v>
      </c>
      <c r="AS216" s="936">
        <f>ROUND(SUMIFS('A5.CTC FY24'!K:K,'A5.CTC FY24'!E:E,'A0.LS'!E216,'A5.CTC FY24'!A:A,'A0.LS'!$AS$5,'A5.CTC FY24'!L:L,"EY",'A5.CTC FY24'!M:M,"Posted"),0)</f>
        <v>0</v>
      </c>
      <c r="AT216" s="948">
        <f t="shared" si="140"/>
        <v>0</v>
      </c>
      <c r="AU216" s="930"/>
      <c r="AV216" s="951">
        <f t="shared" si="141"/>
        <v>0</v>
      </c>
      <c r="AW216" s="952">
        <f>SUMIFS('A5.Consol FY24'!L:L,'A5.Consol FY24'!B:B,'A0.LS'!$AW$5,'A5.Consol FY24'!M:M,"EY",'A5.Consol FY24'!N:N,"Posted",'A5.Consol FY24'!F:F,'A0.LS'!E216)</f>
        <v>0</v>
      </c>
      <c r="AX216" s="951">
        <f t="shared" si="142"/>
        <v>0</v>
      </c>
      <c r="AY216" s="920"/>
      <c r="AZ216" s="936">
        <f>SUMIFS('911.CTC.YE22'!U:U,'911.CTC.YE22'!R:R,'A0.LS'!E216)</f>
        <v>0</v>
      </c>
      <c r="BA216" s="936">
        <f>ROUND(SUMIFS('A5.YE22'!J:J,'A5.YE22'!K:K,'A0.LS'!$BA$5,'A5.YE22'!L:L,"Posted",'A5.YE22'!D:D,'A0.LS'!E216),0)</f>
        <v>0</v>
      </c>
      <c r="BB216" s="936">
        <f t="shared" si="143"/>
        <v>0</v>
      </c>
      <c r="BC216" s="937"/>
      <c r="BD216" s="936">
        <f>ROUND(SUMIFS('911.VNSC.YE22'!R:R,'911.VNSC.YE22'!L:L,'A0.LS'!E216),0)</f>
        <v>0</v>
      </c>
      <c r="BE216" s="936">
        <f>ROUND(SUMIFS('A5.YE22'!J:J,'A5.YE22'!K:K,'A0.LS'!$BE$5,'A5.YE22'!L:L,"Posted",'A5.YE22'!D:D,'A0.LS'!E216),0)</f>
        <v>0</v>
      </c>
      <c r="BF216" s="936">
        <f t="shared" si="144"/>
        <v>0</v>
      </c>
      <c r="BG216" s="937"/>
      <c r="BH216" s="936">
        <f>ROUND(SUMIFS('911.XH.YE22'!T:T,'911.XH.YE22'!P:P,'A0.LS'!E216),0)</f>
        <v>0</v>
      </c>
      <c r="BI216" s="936">
        <f>ROUND(SUMIFS('A5.YE22'!J:J,'A5.YE22'!K:K,"XH",'A5.YE22'!L:L,"Posted",'A5.YE22'!D:D,'A0.LS'!E216),0)</f>
        <v>0</v>
      </c>
      <c r="BJ216" s="936">
        <f t="shared" si="145"/>
        <v>0</v>
      </c>
      <c r="BK216" s="937"/>
      <c r="BL216" s="936">
        <f>ROUND(SUMIFS('911.KCG.YE22'!T:T,'911.KCG.YE22'!P:P,'A0.LS'!E216),0)</f>
        <v>0</v>
      </c>
      <c r="BM216" s="936">
        <f>ROUND(SUMIFS('A5.YE22'!J:J,'A5.YE22'!K:K,'A0.LS'!$BM$5,'A5.YE22'!L:L,"Posted",'A5.YE22'!D:D,'A0.LS'!E216),0)</f>
        <v>0</v>
      </c>
      <c r="BN216" s="936">
        <f t="shared" si="146"/>
        <v>0</v>
      </c>
      <c r="BO216" s="937"/>
      <c r="BP216" s="938">
        <v>5785000</v>
      </c>
      <c r="BQ216" s="938">
        <f>ROUND(SUMIFS('A5.YE22'!J:J,'A5.YE22'!K:K,'A0.LS'!$BQ$5,'A5.YE22'!L:L,"Posted",'A5.YE22'!D:D,'A0.LS'!E216),0)</f>
        <v>0</v>
      </c>
      <c r="BR216" s="938">
        <f t="shared" si="147"/>
        <v>5785000</v>
      </c>
    </row>
    <row r="217" spans="2:70" ht="12.75">
      <c r="B217" s="939">
        <v>11</v>
      </c>
      <c r="C217" s="940" t="s">
        <v>2416</v>
      </c>
      <c r="D217" s="941" t="s">
        <v>2416</v>
      </c>
      <c r="E217" s="928" t="s">
        <v>281</v>
      </c>
      <c r="F217" s="928" t="s">
        <v>282</v>
      </c>
      <c r="G217" s="927" t="s">
        <v>2417</v>
      </c>
      <c r="H217" s="927" t="s">
        <v>2265</v>
      </c>
      <c r="I217" s="942">
        <f>SUMIFS('GL154.Cty Me.FY24'!S:S,'GL154.Cty Me.FY24'!H:H,'A0.LS'!E217)</f>
        <v>43300171</v>
      </c>
      <c r="J217" s="942">
        <f>ROUND(SUMIFS('A5.FY24'!K:K,'A5.FY24'!E:E,'A0.LS'!E217,'A5.FY24'!L:L,"Finhay",'A5.FY24'!M:M,"Posted"),0)</f>
        <v>0</v>
      </c>
      <c r="K217" s="942">
        <f>ROUND(SUMIFS('A5.FY24'!K:K,'A5.FY24'!E:E,'A0.LS'!E217,'A5.FY24'!L:L,"EY",'A5.FY24'!M:M,"Posted"),0)</f>
        <v>0</v>
      </c>
      <c r="L217" s="943">
        <f t="shared" si="134"/>
        <v>43300171</v>
      </c>
      <c r="M217" s="930"/>
      <c r="N217" s="944">
        <v>15618081</v>
      </c>
      <c r="O217" s="944">
        <v>786699</v>
      </c>
      <c r="P217" s="944">
        <v>0</v>
      </c>
      <c r="Q217" s="945">
        <v>16404780</v>
      </c>
      <c r="R217" s="898"/>
      <c r="S217" s="848">
        <f t="shared" si="132"/>
        <v>26895391</v>
      </c>
      <c r="T217" s="946">
        <f t="shared" si="133"/>
        <v>1.6394850159526675</v>
      </c>
      <c r="U217" s="850" t="s">
        <v>2431</v>
      </c>
      <c r="V217" s="850" t="s">
        <v>2432</v>
      </c>
      <c r="W217" s="850"/>
      <c r="X217" s="947" t="s">
        <v>676</v>
      </c>
      <c r="Y217" s="947" t="s">
        <v>2417</v>
      </c>
      <c r="Z217" s="936">
        <f>ROUND(SUMIFS('GL911.CtyCon.FY24'!N:N,'GL911.CtyCon.FY24'!G:G,'A0.LS'!E217),0)</f>
        <v>0</v>
      </c>
      <c r="AA217" s="936">
        <f>ROUND(SUMIFS('A5.CTC FY24'!K:K,'A5.CTC FY24'!E:E,'A0.LS'!E217,'A5.CTC FY24'!A:A,'A0.LS'!$AA$5,'A5.CTC FY24'!L:L,"Finhay",'A5.CTC FY24'!M:M,"Posted"),0)</f>
        <v>0</v>
      </c>
      <c r="AB217" s="936">
        <f>ROUND(SUMIFS('A5.CTC FY24'!K:K,'A5.CTC FY24'!E:E,'A0.LS'!E217,'A5.CTC FY24'!A:A,'A0.LS'!$AB$5,'A5.CTC FY24'!L:L,"EY",'A5.CTC FY24'!M:M,"Posted"),0)</f>
        <v>0</v>
      </c>
      <c r="AC217" s="948">
        <f t="shared" si="135"/>
        <v>0</v>
      </c>
      <c r="AD217" s="930"/>
      <c r="AE217" s="936">
        <f>SUMIFS('GL911 VNSC FY24'!T:T,'GL911 VNSC FY24'!AG:AG,'A0.LS'!E217)</f>
        <v>0</v>
      </c>
      <c r="AF217" s="936">
        <f>SUMIFS('A5.CTC FY24'!K:K,'A5.CTC FY24'!E:E,'A0.LS'!E217,'A5.CTC FY24'!A:A,"VNSC",'A5.CTC FY24'!L:L,"VNSC",'A5.CTC FY24'!M:M,"Posted")</f>
        <v>0</v>
      </c>
      <c r="AG217" s="936">
        <f>ROUND(SUMIFS('A5.CTC FY24'!K:K,'A5.CTC FY24'!E:E,'A0.LS'!E217,'A5.CTC FY24'!A:A,"VNSC",'A5.CTC FY24'!L:L,"EY",'A5.CTC FY24'!M:M,"Posted"),0)</f>
        <v>0</v>
      </c>
      <c r="AH217" s="936">
        <f t="shared" si="136"/>
        <v>0</v>
      </c>
      <c r="AI217" s="930"/>
      <c r="AJ217" s="936">
        <f>ROUND(SUMIFS('GL911.KCG.FY24'!T:T,'GL911.KCG.FY24'!U:U,'A0.LS'!E217),0)</f>
        <v>0</v>
      </c>
      <c r="AK217" s="936">
        <f>ROUND(SUMIFS('A5.CTC FY24'!K:K,'A5.CTC FY24'!E:E,'A0.LS'!E217,'A5.CTC FY24'!A:A,'A0.LS'!$AK$5,'A5.CTC FY24'!L:L,"EY",'A5.CTC FY24'!M:M,"Posted"),0)</f>
        <v>0</v>
      </c>
      <c r="AL217" s="948">
        <f t="shared" si="137"/>
        <v>0</v>
      </c>
      <c r="AM217" s="930"/>
      <c r="AN217" s="949">
        <f t="shared" si="138"/>
        <v>0</v>
      </c>
      <c r="AO217" s="950">
        <f>ROUND(SUMIFS('A5.Consol FY24'!L:L,'A5.Consol FY24'!M:M,"EY",'A5.Consol FY24'!N:N,"Posted",'A5.Consol FY24'!B:B,'A0.LS'!$AO$5,'A5.Consol FY24'!F:F,'A0.LS'!E217),0)</f>
        <v>0</v>
      </c>
      <c r="AP217" s="949">
        <f t="shared" si="139"/>
        <v>0</v>
      </c>
      <c r="AQ217" s="930"/>
      <c r="AR217" s="936">
        <f>ROUND(SUMIFS('GL911.XH.FY24'!L:L,'GL911.XH.FY24'!F:F,'A0.LS'!E217),0)</f>
        <v>0</v>
      </c>
      <c r="AS217" s="936">
        <f>ROUND(SUMIFS('A5.CTC FY24'!K:K,'A5.CTC FY24'!E:E,'A0.LS'!E217,'A5.CTC FY24'!A:A,'A0.LS'!$AS$5,'A5.CTC FY24'!L:L,"EY",'A5.CTC FY24'!M:M,"Posted"),0)</f>
        <v>0</v>
      </c>
      <c r="AT217" s="948">
        <f t="shared" si="140"/>
        <v>0</v>
      </c>
      <c r="AU217" s="930"/>
      <c r="AV217" s="951">
        <f t="shared" si="141"/>
        <v>43300171</v>
      </c>
      <c r="AW217" s="952">
        <f>SUMIFS('A5.Consol FY24'!L:L,'A5.Consol FY24'!B:B,'A0.LS'!$AW$5,'A5.Consol FY24'!M:M,"EY",'A5.Consol FY24'!N:N,"Posted",'A5.Consol FY24'!F:F,'A0.LS'!E217)</f>
        <v>0</v>
      </c>
      <c r="AX217" s="951">
        <f t="shared" si="142"/>
        <v>43300171</v>
      </c>
      <c r="AY217" s="920"/>
      <c r="AZ217" s="936">
        <f>SUMIFS('911.CTC.YE22'!U:U,'911.CTC.YE22'!R:R,'A0.LS'!E217)</f>
        <v>0</v>
      </c>
      <c r="BA217" s="936">
        <f>ROUND(SUMIFS('A5.YE22'!J:J,'A5.YE22'!K:K,'A0.LS'!$BA$5,'A5.YE22'!L:L,"Posted",'A5.YE22'!D:D,'A0.LS'!E217),0)</f>
        <v>0</v>
      </c>
      <c r="BB217" s="936">
        <f t="shared" si="143"/>
        <v>0</v>
      </c>
      <c r="BC217" s="937"/>
      <c r="BD217" s="936">
        <f>ROUND(SUMIFS('911.VNSC.YE22'!R:R,'911.VNSC.YE22'!L:L,'A0.LS'!E217),0)</f>
        <v>0</v>
      </c>
      <c r="BE217" s="936">
        <f>ROUND(SUMIFS('A5.YE22'!J:J,'A5.YE22'!K:K,'A0.LS'!$BE$5,'A5.YE22'!L:L,"Posted",'A5.YE22'!D:D,'A0.LS'!E217),0)</f>
        <v>0</v>
      </c>
      <c r="BF217" s="936">
        <f t="shared" si="144"/>
        <v>0</v>
      </c>
      <c r="BG217" s="937"/>
      <c r="BH217" s="936">
        <f>ROUND(SUMIFS('911.XH.YE22'!T:T,'911.XH.YE22'!P:P,'A0.LS'!E217),0)</f>
        <v>0</v>
      </c>
      <c r="BI217" s="936">
        <f>ROUND(SUMIFS('A5.YE22'!J:J,'A5.YE22'!K:K,"XH",'A5.YE22'!L:L,"Posted",'A5.YE22'!D:D,'A0.LS'!E217),0)</f>
        <v>0</v>
      </c>
      <c r="BJ217" s="936">
        <f t="shared" si="145"/>
        <v>0</v>
      </c>
      <c r="BK217" s="937"/>
      <c r="BL217" s="936">
        <f>ROUND(SUMIFS('911.KCG.YE22'!T:T,'911.KCG.YE22'!P:P,'A0.LS'!E217),0)</f>
        <v>0</v>
      </c>
      <c r="BM217" s="936">
        <f>ROUND(SUMIFS('A5.YE22'!J:J,'A5.YE22'!K:K,'A0.LS'!$BM$5,'A5.YE22'!L:L,"Posted",'A5.YE22'!D:D,'A0.LS'!E217),0)</f>
        <v>0</v>
      </c>
      <c r="BN217" s="936">
        <f t="shared" si="146"/>
        <v>0</v>
      </c>
      <c r="BO217" s="937"/>
      <c r="BP217" s="938">
        <v>16404780</v>
      </c>
      <c r="BQ217" s="938">
        <f>ROUND(SUMIFS('A5.YE22'!J:J,'A5.YE22'!K:K,'A0.LS'!$BQ$5,'A5.YE22'!L:L,"Posted",'A5.YE22'!D:D,'A0.LS'!E217),0)</f>
        <v>0</v>
      </c>
      <c r="BR217" s="938">
        <f t="shared" si="147"/>
        <v>16404780</v>
      </c>
    </row>
    <row r="218" spans="2:70" ht="12.75">
      <c r="B218" s="939">
        <v>11</v>
      </c>
      <c r="C218" s="940" t="s">
        <v>2416</v>
      </c>
      <c r="D218" s="941" t="s">
        <v>2416</v>
      </c>
      <c r="E218" s="928" t="s">
        <v>283</v>
      </c>
      <c r="F218" s="928" t="s">
        <v>284</v>
      </c>
      <c r="G218" s="927" t="s">
        <v>2417</v>
      </c>
      <c r="H218" s="927" t="s">
        <v>2265</v>
      </c>
      <c r="I218" s="942">
        <f>SUMIFS('GL154.Cty Me.FY24'!S:S,'GL154.Cty Me.FY24'!H:H,'A0.LS'!E218)</f>
        <v>2462861454</v>
      </c>
      <c r="J218" s="942">
        <f>ROUND(SUMIFS('A5.FY24'!K:K,'A5.FY24'!E:E,'A0.LS'!E218,'A5.FY24'!L:L,"Finhay",'A5.FY24'!M:M,"Posted"),0)</f>
        <v>376749</v>
      </c>
      <c r="K218" s="942">
        <f>ROUND(SUMIFS('A5.FY24'!K:K,'A5.FY24'!E:E,'A0.LS'!E218,'A5.FY24'!L:L,"EY",'A5.FY24'!M:M,"Posted"),0)</f>
        <v>0</v>
      </c>
      <c r="L218" s="943">
        <f t="shared" si="134"/>
        <v>2463238203</v>
      </c>
      <c r="M218" s="930"/>
      <c r="N218" s="944">
        <v>2399385538</v>
      </c>
      <c r="O218" s="944">
        <v>120859543</v>
      </c>
      <c r="P218" s="944">
        <v>0</v>
      </c>
      <c r="Q218" s="945">
        <v>2520245081</v>
      </c>
      <c r="R218" s="898"/>
      <c r="S218" s="848">
        <f t="shared" si="132"/>
        <v>-57006878</v>
      </c>
      <c r="T218" s="946">
        <f t="shared" si="133"/>
        <v>-2.2619577131514693E-2</v>
      </c>
      <c r="U218" s="850"/>
      <c r="V218" s="850" t="s">
        <v>2432</v>
      </c>
      <c r="W218" s="850"/>
      <c r="X218" s="947" t="s">
        <v>676</v>
      </c>
      <c r="Y218" s="947" t="s">
        <v>2417</v>
      </c>
      <c r="Z218" s="936">
        <f>ROUND(SUMIFS('GL911.CtyCon.FY24'!N:N,'GL911.CtyCon.FY24'!G:G,'A0.LS'!E218),0)</f>
        <v>0</v>
      </c>
      <c r="AA218" s="936">
        <f>ROUND(SUMIFS('A5.CTC FY24'!K:K,'A5.CTC FY24'!E:E,'A0.LS'!E218,'A5.CTC FY24'!A:A,'A0.LS'!$AA$5,'A5.CTC FY24'!L:L,"Finhay",'A5.CTC FY24'!M:M,"Posted"),0)</f>
        <v>0</v>
      </c>
      <c r="AB218" s="936">
        <f>ROUND(SUMIFS('A5.CTC FY24'!K:K,'A5.CTC FY24'!E:E,'A0.LS'!E218,'A5.CTC FY24'!A:A,'A0.LS'!$AB$5,'A5.CTC FY24'!L:L,"EY",'A5.CTC FY24'!M:M,"Posted"),0)</f>
        <v>0</v>
      </c>
      <c r="AC218" s="948">
        <f t="shared" si="135"/>
        <v>0</v>
      </c>
      <c r="AD218" s="930"/>
      <c r="AE218" s="936">
        <f>SUMIFS('GL911 VNSC FY24'!T:T,'GL911 VNSC FY24'!AG:AG,'A0.LS'!E218)</f>
        <v>0</v>
      </c>
      <c r="AF218" s="936">
        <f>SUMIFS('A5.CTC FY24'!K:K,'A5.CTC FY24'!E:E,'A0.LS'!E218,'A5.CTC FY24'!A:A,"VNSC",'A5.CTC FY24'!L:L,"VNSC",'A5.CTC FY24'!M:M,"Posted")</f>
        <v>0</v>
      </c>
      <c r="AG218" s="936">
        <f>ROUND(SUMIFS('A5.CTC FY24'!K:K,'A5.CTC FY24'!E:E,'A0.LS'!E218,'A5.CTC FY24'!A:A,"VNSC",'A5.CTC FY24'!L:L,"EY",'A5.CTC FY24'!M:M,"Posted"),0)</f>
        <v>0</v>
      </c>
      <c r="AH218" s="936">
        <f t="shared" si="136"/>
        <v>0</v>
      </c>
      <c r="AI218" s="930"/>
      <c r="AJ218" s="936">
        <f>ROUND(SUMIFS('GL911.KCG.FY24'!T:T,'GL911.KCG.FY24'!U:U,'A0.LS'!E218),0)</f>
        <v>0</v>
      </c>
      <c r="AK218" s="936">
        <f>ROUND(SUMIFS('A5.CTC FY24'!K:K,'A5.CTC FY24'!E:E,'A0.LS'!E218,'A5.CTC FY24'!A:A,'A0.LS'!$AK$5,'A5.CTC FY24'!L:L,"EY",'A5.CTC FY24'!M:M,"Posted"),0)</f>
        <v>0</v>
      </c>
      <c r="AL218" s="948">
        <f t="shared" si="137"/>
        <v>0</v>
      </c>
      <c r="AM218" s="930"/>
      <c r="AN218" s="949">
        <f t="shared" si="138"/>
        <v>0</v>
      </c>
      <c r="AO218" s="950">
        <f>ROUND(SUMIFS('A5.Consol FY24'!L:L,'A5.Consol FY24'!M:M,"EY",'A5.Consol FY24'!N:N,"Posted",'A5.Consol FY24'!B:B,'A0.LS'!$AO$5,'A5.Consol FY24'!F:F,'A0.LS'!E218),0)</f>
        <v>0</v>
      </c>
      <c r="AP218" s="949">
        <f t="shared" si="139"/>
        <v>0</v>
      </c>
      <c r="AQ218" s="930"/>
      <c r="AR218" s="936">
        <f>ROUND(SUMIFS('GL911.XH.FY24'!L:L,'GL911.XH.FY24'!F:F,'A0.LS'!E218),0)</f>
        <v>0</v>
      </c>
      <c r="AS218" s="936">
        <f>ROUND(SUMIFS('A5.CTC FY24'!K:K,'A5.CTC FY24'!E:E,'A0.LS'!E218,'A5.CTC FY24'!A:A,'A0.LS'!$AS$5,'A5.CTC FY24'!L:L,"EY",'A5.CTC FY24'!M:M,"Posted"),0)</f>
        <v>0</v>
      </c>
      <c r="AT218" s="948">
        <f t="shared" si="140"/>
        <v>0</v>
      </c>
      <c r="AU218" s="930"/>
      <c r="AV218" s="951">
        <f t="shared" si="141"/>
        <v>2463238203</v>
      </c>
      <c r="AW218" s="952">
        <f>SUMIFS('A5.Consol FY24'!L:L,'A5.Consol FY24'!B:B,'A0.LS'!$AW$5,'A5.Consol FY24'!M:M,"EY",'A5.Consol FY24'!N:N,"Posted",'A5.Consol FY24'!F:F,'A0.LS'!E218)</f>
        <v>0</v>
      </c>
      <c r="AX218" s="951">
        <f t="shared" si="142"/>
        <v>2463238203</v>
      </c>
      <c r="AY218" s="920"/>
      <c r="AZ218" s="936">
        <f>SUMIFS('911.CTC.YE22'!U:U,'911.CTC.YE22'!R:R,'A0.LS'!E218)</f>
        <v>0</v>
      </c>
      <c r="BA218" s="936">
        <f>ROUND(SUMIFS('A5.YE22'!J:J,'A5.YE22'!K:K,'A0.LS'!$BA$5,'A5.YE22'!L:L,"Posted",'A5.YE22'!D:D,'A0.LS'!E218),0)</f>
        <v>0</v>
      </c>
      <c r="BB218" s="936">
        <f t="shared" si="143"/>
        <v>0</v>
      </c>
      <c r="BC218" s="937"/>
      <c r="BD218" s="936">
        <f>ROUND(SUMIFS('911.VNSC.YE22'!R:R,'911.VNSC.YE22'!L:L,'A0.LS'!E218),0)</f>
        <v>0</v>
      </c>
      <c r="BE218" s="936">
        <f>ROUND(SUMIFS('A5.YE22'!J:J,'A5.YE22'!K:K,'A0.LS'!$BE$5,'A5.YE22'!L:L,"Posted",'A5.YE22'!D:D,'A0.LS'!E218),0)</f>
        <v>0</v>
      </c>
      <c r="BF218" s="936">
        <f t="shared" si="144"/>
        <v>0</v>
      </c>
      <c r="BG218" s="937"/>
      <c r="BH218" s="936">
        <f>ROUND(SUMIFS('911.XH.YE22'!T:T,'911.XH.YE22'!P:P,'A0.LS'!E218),0)</f>
        <v>0</v>
      </c>
      <c r="BI218" s="936">
        <f>ROUND(SUMIFS('A5.YE22'!J:J,'A5.YE22'!K:K,"XH",'A5.YE22'!L:L,"Posted",'A5.YE22'!D:D,'A0.LS'!E218),0)</f>
        <v>0</v>
      </c>
      <c r="BJ218" s="936">
        <f t="shared" si="145"/>
        <v>0</v>
      </c>
      <c r="BK218" s="937"/>
      <c r="BL218" s="936">
        <f>ROUND(SUMIFS('911.KCG.YE22'!T:T,'911.KCG.YE22'!P:P,'A0.LS'!E218),0)</f>
        <v>0</v>
      </c>
      <c r="BM218" s="936">
        <f>ROUND(SUMIFS('A5.YE22'!J:J,'A5.YE22'!K:K,'A0.LS'!$BM$5,'A5.YE22'!L:L,"Posted",'A5.YE22'!D:D,'A0.LS'!E218),0)</f>
        <v>0</v>
      </c>
      <c r="BN218" s="936">
        <f t="shared" si="146"/>
        <v>0</v>
      </c>
      <c r="BO218" s="937"/>
      <c r="BP218" s="938">
        <v>2520245081</v>
      </c>
      <c r="BQ218" s="938">
        <f>ROUND(SUMIFS('A5.YE22'!J:J,'A5.YE22'!K:K,'A0.LS'!$BQ$5,'A5.YE22'!L:L,"Posted",'A5.YE22'!D:D,'A0.LS'!E218),0)</f>
        <v>0</v>
      </c>
      <c r="BR218" s="938">
        <f t="shared" si="147"/>
        <v>2520245081</v>
      </c>
    </row>
    <row r="219" spans="2:70" ht="12.75">
      <c r="B219" s="939">
        <v>11</v>
      </c>
      <c r="C219" s="940" t="s">
        <v>2416</v>
      </c>
      <c r="D219" s="941" t="s">
        <v>2416</v>
      </c>
      <c r="E219" s="928" t="s">
        <v>285</v>
      </c>
      <c r="F219" s="928" t="s">
        <v>286</v>
      </c>
      <c r="G219" s="927" t="s">
        <v>2417</v>
      </c>
      <c r="H219" s="927" t="s">
        <v>2265</v>
      </c>
      <c r="I219" s="942">
        <f>SUMIFS('GL154.Cty Me.FY24'!S:S,'GL154.Cty Me.FY24'!H:H,'A0.LS'!E219)</f>
        <v>9257142</v>
      </c>
      <c r="J219" s="942">
        <f>ROUND(SUMIFS('A5.FY24'!K:K,'A5.FY24'!E:E,'A0.LS'!E219,'A5.FY24'!L:L,"Finhay",'A5.FY24'!M:M,"Posted"),0)</f>
        <v>10356</v>
      </c>
      <c r="K219" s="942">
        <f>ROUND(SUMIFS('A5.FY24'!K:K,'A5.FY24'!E:E,'A0.LS'!E219,'A5.FY24'!L:L,"EY",'A5.FY24'!M:M,"Posted"),0)</f>
        <v>0</v>
      </c>
      <c r="L219" s="943">
        <f t="shared" si="134"/>
        <v>9267498</v>
      </c>
      <c r="M219" s="930"/>
      <c r="N219" s="944">
        <v>3974400</v>
      </c>
      <c r="O219" s="944">
        <v>200195</v>
      </c>
      <c r="P219" s="944">
        <v>0</v>
      </c>
      <c r="Q219" s="945">
        <v>4174595</v>
      </c>
      <c r="R219" s="898"/>
      <c r="S219" s="848">
        <f t="shared" si="132"/>
        <v>5092903</v>
      </c>
      <c r="T219" s="972">
        <f t="shared" si="133"/>
        <v>1.219975350902303</v>
      </c>
      <c r="U219" s="850" t="s">
        <v>2433</v>
      </c>
      <c r="V219" s="850"/>
      <c r="W219" s="850" t="s">
        <v>2430</v>
      </c>
      <c r="X219" s="947" t="s">
        <v>676</v>
      </c>
      <c r="Y219" s="947" t="s">
        <v>2417</v>
      </c>
      <c r="Z219" s="936">
        <f>ROUND(SUMIFS('GL911.CtyCon.FY24'!N:N,'GL911.CtyCon.FY24'!G:G,'A0.LS'!E219),0)</f>
        <v>0</v>
      </c>
      <c r="AA219" s="936">
        <f>ROUND(SUMIFS('A5.CTC FY24'!K:K,'A5.CTC FY24'!E:E,'A0.LS'!E219,'A5.CTC FY24'!A:A,'A0.LS'!$AA$5,'A5.CTC FY24'!L:L,"Finhay",'A5.CTC FY24'!M:M,"Posted"),0)</f>
        <v>0</v>
      </c>
      <c r="AB219" s="936">
        <f>ROUND(SUMIFS('A5.CTC FY24'!K:K,'A5.CTC FY24'!E:E,'A0.LS'!E219,'A5.CTC FY24'!A:A,'A0.LS'!$AB$5,'A5.CTC FY24'!L:L,"EY",'A5.CTC FY24'!M:M,"Posted"),0)</f>
        <v>0</v>
      </c>
      <c r="AC219" s="948">
        <f t="shared" si="135"/>
        <v>0</v>
      </c>
      <c r="AD219" s="930"/>
      <c r="AE219" s="936">
        <f>SUMIFS('GL911 VNSC FY24'!T:T,'GL911 VNSC FY24'!AG:AG,'A0.LS'!E219)</f>
        <v>0</v>
      </c>
      <c r="AF219" s="936">
        <f>SUMIFS('A5.CTC FY24'!K:K,'A5.CTC FY24'!E:E,'A0.LS'!E219,'A5.CTC FY24'!A:A,"VNSC",'A5.CTC FY24'!L:L,"VNSC",'A5.CTC FY24'!M:M,"Posted")</f>
        <v>0</v>
      </c>
      <c r="AG219" s="936">
        <f>ROUND(SUMIFS('A5.CTC FY24'!K:K,'A5.CTC FY24'!E:E,'A0.LS'!E219,'A5.CTC FY24'!A:A,"VNSC",'A5.CTC FY24'!L:L,"EY",'A5.CTC FY24'!M:M,"Posted"),0)</f>
        <v>0</v>
      </c>
      <c r="AH219" s="936">
        <f t="shared" si="136"/>
        <v>0</v>
      </c>
      <c r="AI219" s="930"/>
      <c r="AJ219" s="936">
        <f>ROUND(SUMIFS('GL911.KCG.FY24'!T:T,'GL911.KCG.FY24'!U:U,'A0.LS'!E219),0)</f>
        <v>0</v>
      </c>
      <c r="AK219" s="936">
        <f>ROUND(SUMIFS('A5.CTC FY24'!K:K,'A5.CTC FY24'!E:E,'A0.LS'!E219,'A5.CTC FY24'!A:A,'A0.LS'!$AK$5,'A5.CTC FY24'!L:L,"EY",'A5.CTC FY24'!M:M,"Posted"),0)</f>
        <v>0</v>
      </c>
      <c r="AL219" s="948">
        <f t="shared" si="137"/>
        <v>0</v>
      </c>
      <c r="AM219" s="930"/>
      <c r="AN219" s="949">
        <f t="shared" si="138"/>
        <v>0</v>
      </c>
      <c r="AO219" s="950">
        <f>ROUND(SUMIFS('A5.Consol FY24'!L:L,'A5.Consol FY24'!M:M,"EY",'A5.Consol FY24'!N:N,"Posted",'A5.Consol FY24'!B:B,'A0.LS'!$AO$5,'A5.Consol FY24'!F:F,'A0.LS'!E219),0)</f>
        <v>0</v>
      </c>
      <c r="AP219" s="949">
        <f t="shared" si="139"/>
        <v>0</v>
      </c>
      <c r="AQ219" s="930"/>
      <c r="AR219" s="936">
        <f>ROUND(SUMIFS('GL911.XH.FY24'!L:L,'GL911.XH.FY24'!F:F,'A0.LS'!E219),0)</f>
        <v>0</v>
      </c>
      <c r="AS219" s="936">
        <f>ROUND(SUMIFS('A5.CTC FY24'!K:K,'A5.CTC FY24'!E:E,'A0.LS'!E219,'A5.CTC FY24'!A:A,'A0.LS'!$AS$5,'A5.CTC FY24'!L:L,"EY",'A5.CTC FY24'!M:M,"Posted"),0)</f>
        <v>0</v>
      </c>
      <c r="AT219" s="948">
        <f t="shared" si="140"/>
        <v>0</v>
      </c>
      <c r="AU219" s="930"/>
      <c r="AV219" s="951">
        <f t="shared" si="141"/>
        <v>9267498</v>
      </c>
      <c r="AW219" s="952">
        <f>SUMIFS('A5.Consol FY24'!L:L,'A5.Consol FY24'!B:B,'A0.LS'!$AW$5,'A5.Consol FY24'!M:M,"EY",'A5.Consol FY24'!N:N,"Posted",'A5.Consol FY24'!F:F,'A0.LS'!E219)</f>
        <v>0</v>
      </c>
      <c r="AX219" s="951">
        <f t="shared" si="142"/>
        <v>9267498</v>
      </c>
      <c r="AY219" s="920"/>
      <c r="AZ219" s="936">
        <f>SUMIFS('911.CTC.YE22'!U:U,'911.CTC.YE22'!R:R,'A0.LS'!E219)</f>
        <v>0</v>
      </c>
      <c r="BA219" s="936">
        <f>ROUND(SUMIFS('A5.YE22'!J:J,'A5.YE22'!K:K,'A0.LS'!$BA$5,'A5.YE22'!L:L,"Posted",'A5.YE22'!D:D,'A0.LS'!E219),0)</f>
        <v>0</v>
      </c>
      <c r="BB219" s="936">
        <f t="shared" si="143"/>
        <v>0</v>
      </c>
      <c r="BC219" s="937"/>
      <c r="BD219" s="936">
        <f>ROUND(SUMIFS('911.VNSC.YE22'!R:R,'911.VNSC.YE22'!L:L,'A0.LS'!E219),0)</f>
        <v>0</v>
      </c>
      <c r="BE219" s="936">
        <f>ROUND(SUMIFS('A5.YE22'!J:J,'A5.YE22'!K:K,'A0.LS'!$BE$5,'A5.YE22'!L:L,"Posted",'A5.YE22'!D:D,'A0.LS'!E219),0)</f>
        <v>0</v>
      </c>
      <c r="BF219" s="936">
        <f t="shared" si="144"/>
        <v>0</v>
      </c>
      <c r="BG219" s="937"/>
      <c r="BH219" s="936">
        <f>ROUND(SUMIFS('911.XH.YE22'!T:T,'911.XH.YE22'!P:P,'A0.LS'!E219),0)</f>
        <v>0</v>
      </c>
      <c r="BI219" s="936">
        <f>ROUND(SUMIFS('A5.YE22'!J:J,'A5.YE22'!K:K,"XH",'A5.YE22'!L:L,"Posted",'A5.YE22'!D:D,'A0.LS'!E219),0)</f>
        <v>0</v>
      </c>
      <c r="BJ219" s="936">
        <f t="shared" si="145"/>
        <v>0</v>
      </c>
      <c r="BK219" s="937"/>
      <c r="BL219" s="936">
        <f>ROUND(SUMIFS('911.KCG.YE22'!T:T,'911.KCG.YE22'!P:P,'A0.LS'!E219),0)</f>
        <v>0</v>
      </c>
      <c r="BM219" s="936">
        <f>ROUND(SUMIFS('A5.YE22'!J:J,'A5.YE22'!K:K,'A0.LS'!$BM$5,'A5.YE22'!L:L,"Posted",'A5.YE22'!D:D,'A0.LS'!E219),0)</f>
        <v>0</v>
      </c>
      <c r="BN219" s="936">
        <f t="shared" si="146"/>
        <v>0</v>
      </c>
      <c r="BO219" s="937"/>
      <c r="BP219" s="938">
        <v>4174595</v>
      </c>
      <c r="BQ219" s="938">
        <f>ROUND(SUMIFS('A5.YE22'!J:J,'A5.YE22'!K:K,'A0.LS'!$BQ$5,'A5.YE22'!L:L,"Posted",'A5.YE22'!D:D,'A0.LS'!E219),0)</f>
        <v>0</v>
      </c>
      <c r="BR219" s="938">
        <f t="shared" si="147"/>
        <v>4174595</v>
      </c>
    </row>
    <row r="220" spans="2:70" ht="12.75">
      <c r="B220" s="939">
        <v>11</v>
      </c>
      <c r="C220" s="940" t="s">
        <v>2416</v>
      </c>
      <c r="D220" s="941" t="s">
        <v>2416</v>
      </c>
      <c r="E220" s="928" t="s">
        <v>287</v>
      </c>
      <c r="F220" s="928" t="s">
        <v>288</v>
      </c>
      <c r="G220" s="927" t="s">
        <v>2417</v>
      </c>
      <c r="H220" s="927" t="s">
        <v>2265</v>
      </c>
      <c r="I220" s="942">
        <f>SUMIFS('GL154.Cty Me.FY24'!S:S,'GL154.Cty Me.FY24'!H:H,'A0.LS'!E220)</f>
        <v>229457959</v>
      </c>
      <c r="J220" s="942">
        <f>ROUND(SUMIFS('A5.FY24'!K:K,'A5.FY24'!E:E,'A0.LS'!E220,'A5.FY24'!L:L,"Finhay",'A5.FY24'!M:M,"Posted"),0)</f>
        <v>0</v>
      </c>
      <c r="K220" s="942">
        <f>ROUND(SUMIFS('A5.FY24'!K:K,'A5.FY24'!E:E,'A0.LS'!E220,'A5.FY24'!L:L,"EY",'A5.FY24'!M:M,"Posted"),0)</f>
        <v>0</v>
      </c>
      <c r="L220" s="943">
        <f t="shared" si="134"/>
        <v>229457959</v>
      </c>
      <c r="M220" s="930"/>
      <c r="N220" s="944">
        <v>708184330</v>
      </c>
      <c r="O220" s="944">
        <v>0</v>
      </c>
      <c r="P220" s="944">
        <v>0</v>
      </c>
      <c r="Q220" s="945">
        <v>708184330</v>
      </c>
      <c r="R220" s="898"/>
      <c r="S220" s="848">
        <f t="shared" si="132"/>
        <v>-478726371</v>
      </c>
      <c r="T220" s="971">
        <f t="shared" si="133"/>
        <v>-0.67599119427000032</v>
      </c>
      <c r="U220" s="850" t="s">
        <v>2434</v>
      </c>
      <c r="V220" s="850" t="s">
        <v>2435</v>
      </c>
      <c r="W220" s="850"/>
      <c r="X220" s="947" t="s">
        <v>676</v>
      </c>
      <c r="Y220" s="947" t="s">
        <v>2417</v>
      </c>
      <c r="Z220" s="936">
        <f>ROUND(SUMIFS('GL911.CtyCon.FY24'!N:N,'GL911.CtyCon.FY24'!G:G,'A0.LS'!E220),0)</f>
        <v>0</v>
      </c>
      <c r="AA220" s="936">
        <f>ROUND(SUMIFS('A5.CTC FY24'!K:K,'A5.CTC FY24'!E:E,'A0.LS'!E220,'A5.CTC FY24'!A:A,'A0.LS'!$AA$5,'A5.CTC FY24'!L:L,"Finhay",'A5.CTC FY24'!M:M,"Posted"),0)</f>
        <v>0</v>
      </c>
      <c r="AB220" s="936">
        <f>ROUND(SUMIFS('A5.CTC FY24'!K:K,'A5.CTC FY24'!E:E,'A0.LS'!E220,'A5.CTC FY24'!A:A,'A0.LS'!$AB$5,'A5.CTC FY24'!L:L,"EY",'A5.CTC FY24'!M:M,"Posted"),0)</f>
        <v>0</v>
      </c>
      <c r="AC220" s="948">
        <f t="shared" si="135"/>
        <v>0</v>
      </c>
      <c r="AD220" s="930"/>
      <c r="AE220" s="936">
        <f>SUMIFS('GL911 VNSC FY24'!T:T,'GL911 VNSC FY24'!AG:AG,'A0.LS'!E220)</f>
        <v>0</v>
      </c>
      <c r="AF220" s="936">
        <f>SUMIFS('A5.CTC FY24'!K:K,'A5.CTC FY24'!E:E,'A0.LS'!E220,'A5.CTC FY24'!A:A,"VNSC",'A5.CTC FY24'!L:L,"VNSC",'A5.CTC FY24'!M:M,"Posted")</f>
        <v>0</v>
      </c>
      <c r="AG220" s="936">
        <f>ROUND(SUMIFS('A5.CTC FY24'!K:K,'A5.CTC FY24'!E:E,'A0.LS'!E220,'A5.CTC FY24'!A:A,"VNSC",'A5.CTC FY24'!L:L,"EY",'A5.CTC FY24'!M:M,"Posted"),0)</f>
        <v>0</v>
      </c>
      <c r="AH220" s="936">
        <f t="shared" si="136"/>
        <v>0</v>
      </c>
      <c r="AI220" s="930"/>
      <c r="AJ220" s="936">
        <f>ROUND(SUMIFS('GL911.KCG.FY24'!T:T,'GL911.KCG.FY24'!U:U,'A0.LS'!E220),0)</f>
        <v>0</v>
      </c>
      <c r="AK220" s="936">
        <f>ROUND(SUMIFS('A5.CTC FY24'!K:K,'A5.CTC FY24'!E:E,'A0.LS'!E220,'A5.CTC FY24'!A:A,'A0.LS'!$AK$5,'A5.CTC FY24'!L:L,"EY",'A5.CTC FY24'!M:M,"Posted"),0)</f>
        <v>0</v>
      </c>
      <c r="AL220" s="948">
        <f t="shared" si="137"/>
        <v>0</v>
      </c>
      <c r="AM220" s="930"/>
      <c r="AN220" s="949">
        <f t="shared" si="138"/>
        <v>0</v>
      </c>
      <c r="AO220" s="950">
        <f>ROUND(SUMIFS('A5.Consol FY24'!L:L,'A5.Consol FY24'!M:M,"EY",'A5.Consol FY24'!N:N,"Posted",'A5.Consol FY24'!B:B,'A0.LS'!$AO$5,'A5.Consol FY24'!F:F,'A0.LS'!E220),0)</f>
        <v>0</v>
      </c>
      <c r="AP220" s="949">
        <f t="shared" si="139"/>
        <v>0</v>
      </c>
      <c r="AQ220" s="930"/>
      <c r="AR220" s="936">
        <f>ROUND(SUMIFS('GL911.XH.FY24'!L:L,'GL911.XH.FY24'!F:F,'A0.LS'!E220),0)</f>
        <v>0</v>
      </c>
      <c r="AS220" s="936">
        <f>ROUND(SUMIFS('A5.CTC FY24'!K:K,'A5.CTC FY24'!E:E,'A0.LS'!E220,'A5.CTC FY24'!A:A,'A0.LS'!$AS$5,'A5.CTC FY24'!L:L,"EY",'A5.CTC FY24'!M:M,"Posted"),0)</f>
        <v>0</v>
      </c>
      <c r="AT220" s="948">
        <f t="shared" si="140"/>
        <v>0</v>
      </c>
      <c r="AU220" s="930"/>
      <c r="AV220" s="951">
        <f t="shared" si="141"/>
        <v>229457959</v>
      </c>
      <c r="AW220" s="952">
        <f>SUMIFS('A5.Consol FY24'!L:L,'A5.Consol FY24'!B:B,'A0.LS'!$AW$5,'A5.Consol FY24'!M:M,"EY",'A5.Consol FY24'!N:N,"Posted",'A5.Consol FY24'!F:F,'A0.LS'!E220)</f>
        <v>0</v>
      </c>
      <c r="AX220" s="951">
        <f t="shared" si="142"/>
        <v>229457959</v>
      </c>
      <c r="AY220" s="920"/>
      <c r="AZ220" s="936">
        <f>SUMIFS('911.CTC.YE22'!U:U,'911.CTC.YE22'!R:R,'A0.LS'!E220)</f>
        <v>0</v>
      </c>
      <c r="BA220" s="936">
        <f>ROUND(SUMIFS('A5.YE22'!J:J,'A5.YE22'!K:K,'A0.LS'!$BA$5,'A5.YE22'!L:L,"Posted",'A5.YE22'!D:D,'A0.LS'!E220),0)</f>
        <v>0</v>
      </c>
      <c r="BB220" s="936">
        <f t="shared" si="143"/>
        <v>0</v>
      </c>
      <c r="BC220" s="937"/>
      <c r="BD220" s="936">
        <f>ROUND(SUMIFS('911.VNSC.YE22'!R:R,'911.VNSC.YE22'!L:L,'A0.LS'!E220),0)</f>
        <v>0</v>
      </c>
      <c r="BE220" s="936">
        <f>ROUND(SUMIFS('A5.YE22'!J:J,'A5.YE22'!K:K,'A0.LS'!$BE$5,'A5.YE22'!L:L,"Posted",'A5.YE22'!D:D,'A0.LS'!E220),0)</f>
        <v>0</v>
      </c>
      <c r="BF220" s="936">
        <f t="shared" si="144"/>
        <v>0</v>
      </c>
      <c r="BG220" s="937"/>
      <c r="BH220" s="936">
        <f>ROUND(SUMIFS('911.XH.YE22'!T:T,'911.XH.YE22'!P:P,'A0.LS'!E220),0)</f>
        <v>0</v>
      </c>
      <c r="BI220" s="936">
        <f>ROUND(SUMIFS('A5.YE22'!J:J,'A5.YE22'!K:K,"XH",'A5.YE22'!L:L,"Posted",'A5.YE22'!D:D,'A0.LS'!E220),0)</f>
        <v>0</v>
      </c>
      <c r="BJ220" s="936">
        <f t="shared" si="145"/>
        <v>0</v>
      </c>
      <c r="BK220" s="937"/>
      <c r="BL220" s="936">
        <f>ROUND(SUMIFS('911.KCG.YE22'!T:T,'911.KCG.YE22'!P:P,'A0.LS'!E220),0)</f>
        <v>0</v>
      </c>
      <c r="BM220" s="936">
        <f>ROUND(SUMIFS('A5.YE22'!J:J,'A5.YE22'!K:K,'A0.LS'!$BM$5,'A5.YE22'!L:L,"Posted",'A5.YE22'!D:D,'A0.LS'!E220),0)</f>
        <v>0</v>
      </c>
      <c r="BN220" s="936">
        <f t="shared" si="146"/>
        <v>0</v>
      </c>
      <c r="BO220" s="937"/>
      <c r="BP220" s="938">
        <v>708184330</v>
      </c>
      <c r="BQ220" s="938">
        <f>ROUND(SUMIFS('A5.YE22'!J:J,'A5.YE22'!K:K,'A0.LS'!$BQ$5,'A5.YE22'!L:L,"Posted",'A5.YE22'!D:D,'A0.LS'!E220),0)</f>
        <v>0</v>
      </c>
      <c r="BR220" s="938">
        <f t="shared" si="147"/>
        <v>708184330</v>
      </c>
    </row>
    <row r="221" spans="2:70" ht="12.75">
      <c r="B221" s="939">
        <v>11</v>
      </c>
      <c r="C221" s="940" t="s">
        <v>2416</v>
      </c>
      <c r="D221" s="941" t="s">
        <v>2416</v>
      </c>
      <c r="E221" s="928" t="s">
        <v>289</v>
      </c>
      <c r="F221" s="928" t="s">
        <v>290</v>
      </c>
      <c r="G221" s="927" t="s">
        <v>2417</v>
      </c>
      <c r="H221" s="927" t="s">
        <v>2265</v>
      </c>
      <c r="I221" s="942">
        <f>SUMIFS('GL154.Cty Me.FY24'!S:S,'GL154.Cty Me.FY24'!H:H,'A0.LS'!E221)</f>
        <v>174739476</v>
      </c>
      <c r="J221" s="942">
        <f>ROUND(SUMIFS('A5.FY24'!K:K,'A5.FY24'!E:E,'A0.LS'!E221,'A5.FY24'!L:L,"Finhay",'A5.FY24'!M:M,"Posted"),0)</f>
        <v>0</v>
      </c>
      <c r="K221" s="942">
        <f>ROUND(SUMIFS('A5.FY24'!K:K,'A5.FY24'!E:E,'A0.LS'!E221,'A5.FY24'!L:L,"EY",'A5.FY24'!M:M,"Posted"),0)</f>
        <v>0</v>
      </c>
      <c r="L221" s="943">
        <f t="shared" si="134"/>
        <v>174739476</v>
      </c>
      <c r="M221" s="930"/>
      <c r="N221" s="944">
        <v>206275232</v>
      </c>
      <c r="O221" s="944">
        <v>10390298</v>
      </c>
      <c r="P221" s="944">
        <v>0</v>
      </c>
      <c r="Q221" s="945">
        <v>216665530</v>
      </c>
      <c r="R221" s="898"/>
      <c r="S221" s="848">
        <f t="shared" si="132"/>
        <v>-41926054</v>
      </c>
      <c r="T221" s="946">
        <f t="shared" si="133"/>
        <v>-0.19350587977700007</v>
      </c>
      <c r="U221" s="850"/>
      <c r="V221" s="850" t="s">
        <v>2432</v>
      </c>
      <c r="W221" s="850"/>
      <c r="X221" s="947" t="s">
        <v>676</v>
      </c>
      <c r="Y221" s="947" t="s">
        <v>2417</v>
      </c>
      <c r="Z221" s="936">
        <f>ROUND(SUMIFS('GL911.CtyCon.FY24'!N:N,'GL911.CtyCon.FY24'!G:G,'A0.LS'!E221),0)</f>
        <v>0</v>
      </c>
      <c r="AA221" s="936">
        <f>ROUND(SUMIFS('A5.CTC FY24'!K:K,'A5.CTC FY24'!E:E,'A0.LS'!E221,'A5.CTC FY24'!A:A,'A0.LS'!$AA$5,'A5.CTC FY24'!L:L,"Finhay",'A5.CTC FY24'!M:M,"Posted"),0)</f>
        <v>0</v>
      </c>
      <c r="AB221" s="936">
        <f>ROUND(SUMIFS('A5.CTC FY24'!K:K,'A5.CTC FY24'!E:E,'A0.LS'!E221,'A5.CTC FY24'!A:A,'A0.LS'!$AB$5,'A5.CTC FY24'!L:L,"EY",'A5.CTC FY24'!M:M,"Posted"),0)</f>
        <v>0</v>
      </c>
      <c r="AC221" s="948">
        <f t="shared" si="135"/>
        <v>0</v>
      </c>
      <c r="AD221" s="930"/>
      <c r="AE221" s="936">
        <f>SUMIFS('GL911 VNSC FY24'!T:T,'GL911 VNSC FY24'!AG:AG,'A0.LS'!E221)</f>
        <v>0</v>
      </c>
      <c r="AF221" s="936">
        <f>SUMIFS('A5.CTC FY24'!K:K,'A5.CTC FY24'!E:E,'A0.LS'!E221,'A5.CTC FY24'!A:A,"VNSC",'A5.CTC FY24'!L:L,"VNSC",'A5.CTC FY24'!M:M,"Posted")</f>
        <v>0</v>
      </c>
      <c r="AG221" s="936">
        <f>ROUND(SUMIFS('A5.CTC FY24'!K:K,'A5.CTC FY24'!E:E,'A0.LS'!E221,'A5.CTC FY24'!A:A,"VNSC",'A5.CTC FY24'!L:L,"EY",'A5.CTC FY24'!M:M,"Posted"),0)</f>
        <v>0</v>
      </c>
      <c r="AH221" s="936">
        <f t="shared" si="136"/>
        <v>0</v>
      </c>
      <c r="AI221" s="930"/>
      <c r="AJ221" s="936">
        <f>ROUND(SUMIFS('GL911.KCG.FY24'!T:T,'GL911.KCG.FY24'!U:U,'A0.LS'!E221),0)</f>
        <v>0</v>
      </c>
      <c r="AK221" s="936">
        <f>ROUND(SUMIFS('A5.CTC FY24'!K:K,'A5.CTC FY24'!E:E,'A0.LS'!E221,'A5.CTC FY24'!A:A,'A0.LS'!$AK$5,'A5.CTC FY24'!L:L,"EY",'A5.CTC FY24'!M:M,"Posted"),0)</f>
        <v>0</v>
      </c>
      <c r="AL221" s="948">
        <f t="shared" si="137"/>
        <v>0</v>
      </c>
      <c r="AM221" s="930"/>
      <c r="AN221" s="949">
        <f t="shared" si="138"/>
        <v>0</v>
      </c>
      <c r="AO221" s="950">
        <f>ROUND(SUMIFS('A5.Consol FY24'!L:L,'A5.Consol FY24'!M:M,"EY",'A5.Consol FY24'!N:N,"Posted",'A5.Consol FY24'!B:B,'A0.LS'!$AO$5,'A5.Consol FY24'!F:F,'A0.LS'!E221),0)</f>
        <v>0</v>
      </c>
      <c r="AP221" s="949">
        <f t="shared" si="139"/>
        <v>0</v>
      </c>
      <c r="AQ221" s="930"/>
      <c r="AR221" s="936">
        <f>ROUND(SUMIFS('GL911.XH.FY24'!L:L,'GL911.XH.FY24'!F:F,'A0.LS'!E221),0)</f>
        <v>0</v>
      </c>
      <c r="AS221" s="936">
        <f>ROUND(SUMIFS('A5.CTC FY24'!K:K,'A5.CTC FY24'!E:E,'A0.LS'!E221,'A5.CTC FY24'!A:A,'A0.LS'!$AS$5,'A5.CTC FY24'!L:L,"EY",'A5.CTC FY24'!M:M,"Posted"),0)</f>
        <v>0</v>
      </c>
      <c r="AT221" s="948">
        <f t="shared" si="140"/>
        <v>0</v>
      </c>
      <c r="AU221" s="930"/>
      <c r="AV221" s="951">
        <f t="shared" si="141"/>
        <v>174739476</v>
      </c>
      <c r="AW221" s="952">
        <f>SUMIFS('A5.Consol FY24'!L:L,'A5.Consol FY24'!B:B,'A0.LS'!$AW$5,'A5.Consol FY24'!M:M,"EY",'A5.Consol FY24'!N:N,"Posted",'A5.Consol FY24'!F:F,'A0.LS'!E221)</f>
        <v>0</v>
      </c>
      <c r="AX221" s="951">
        <f t="shared" si="142"/>
        <v>174739476</v>
      </c>
      <c r="AY221" s="920"/>
      <c r="AZ221" s="936">
        <f>SUMIFS('911.CTC.YE22'!U:U,'911.CTC.YE22'!R:R,'A0.LS'!E221)</f>
        <v>0</v>
      </c>
      <c r="BA221" s="936">
        <f>ROUND(SUMIFS('A5.YE22'!J:J,'A5.YE22'!K:K,'A0.LS'!$BA$5,'A5.YE22'!L:L,"Posted",'A5.YE22'!D:D,'A0.LS'!E221),0)</f>
        <v>0</v>
      </c>
      <c r="BB221" s="936">
        <f t="shared" si="143"/>
        <v>0</v>
      </c>
      <c r="BC221" s="937"/>
      <c r="BD221" s="936">
        <f>ROUND(SUMIFS('911.VNSC.YE22'!R:R,'911.VNSC.YE22'!L:L,'A0.LS'!E221),0)</f>
        <v>0</v>
      </c>
      <c r="BE221" s="936">
        <f>ROUND(SUMIFS('A5.YE22'!J:J,'A5.YE22'!K:K,'A0.LS'!$BE$5,'A5.YE22'!L:L,"Posted",'A5.YE22'!D:D,'A0.LS'!E221),0)</f>
        <v>0</v>
      </c>
      <c r="BF221" s="936">
        <f t="shared" si="144"/>
        <v>0</v>
      </c>
      <c r="BG221" s="937"/>
      <c r="BH221" s="936">
        <f>ROUND(SUMIFS('911.XH.YE22'!T:T,'911.XH.YE22'!P:P,'A0.LS'!E221),0)</f>
        <v>0</v>
      </c>
      <c r="BI221" s="936">
        <f>ROUND(SUMIFS('A5.YE22'!J:J,'A5.YE22'!K:K,"XH",'A5.YE22'!L:L,"Posted",'A5.YE22'!D:D,'A0.LS'!E221),0)</f>
        <v>0</v>
      </c>
      <c r="BJ221" s="936">
        <f t="shared" si="145"/>
        <v>0</v>
      </c>
      <c r="BK221" s="937"/>
      <c r="BL221" s="936">
        <f>ROUND(SUMIFS('911.KCG.YE22'!T:T,'911.KCG.YE22'!P:P,'A0.LS'!E221),0)</f>
        <v>0</v>
      </c>
      <c r="BM221" s="936">
        <f>ROUND(SUMIFS('A5.YE22'!J:J,'A5.YE22'!K:K,'A0.LS'!$BM$5,'A5.YE22'!L:L,"Posted",'A5.YE22'!D:D,'A0.LS'!E221),0)</f>
        <v>0</v>
      </c>
      <c r="BN221" s="936">
        <f t="shared" si="146"/>
        <v>0</v>
      </c>
      <c r="BO221" s="937"/>
      <c r="BP221" s="938">
        <v>216665530</v>
      </c>
      <c r="BQ221" s="938">
        <f>ROUND(SUMIFS('A5.YE22'!J:J,'A5.YE22'!K:K,'A0.LS'!$BQ$5,'A5.YE22'!L:L,"Posted",'A5.YE22'!D:D,'A0.LS'!E221),0)</f>
        <v>0</v>
      </c>
      <c r="BR221" s="938">
        <f t="shared" si="147"/>
        <v>216665530</v>
      </c>
    </row>
    <row r="222" spans="2:70" ht="12.75">
      <c r="B222" s="939">
        <v>11</v>
      </c>
      <c r="C222" s="940" t="s">
        <v>2416</v>
      </c>
      <c r="D222" s="941" t="s">
        <v>2416</v>
      </c>
      <c r="E222" s="928" t="s">
        <v>2436</v>
      </c>
      <c r="F222" s="928" t="s">
        <v>2437</v>
      </c>
      <c r="G222" s="927" t="s">
        <v>2417</v>
      </c>
      <c r="H222" s="927" t="s">
        <v>2265</v>
      </c>
      <c r="I222" s="942">
        <f>SUMIFS('GL154.Cty Me.FY24'!S:S,'GL154.Cty Me.FY24'!H:H,'A0.LS'!E222)</f>
        <v>0</v>
      </c>
      <c r="J222" s="942">
        <f>ROUND(SUMIFS('A5.FY24'!K:K,'A5.FY24'!E:E,'A0.LS'!E222,'A5.FY24'!L:L,"Finhay",'A5.FY24'!M:M,"Posted"),0)</f>
        <v>0</v>
      </c>
      <c r="K222" s="942">
        <f>ROUND(SUMIFS('A5.FY24'!K:K,'A5.FY24'!E:E,'A0.LS'!E222,'A5.FY24'!L:L,"EY",'A5.FY24'!M:M,"Posted"),0)</f>
        <v>0</v>
      </c>
      <c r="L222" s="943">
        <f t="shared" si="134"/>
        <v>0</v>
      </c>
      <c r="M222" s="930"/>
      <c r="N222" s="944">
        <v>0</v>
      </c>
      <c r="O222" s="944">
        <v>0</v>
      </c>
      <c r="P222" s="944">
        <v>0</v>
      </c>
      <c r="Q222" s="945">
        <v>0</v>
      </c>
      <c r="R222" s="898"/>
      <c r="S222" s="848">
        <f t="shared" si="132"/>
        <v>0</v>
      </c>
      <c r="T222" s="946" t="str">
        <f t="shared" si="133"/>
        <v>To check</v>
      </c>
      <c r="U222" s="850" t="s">
        <v>681</v>
      </c>
      <c r="V222" s="850"/>
      <c r="W222" s="850" t="s">
        <v>2430</v>
      </c>
      <c r="X222" s="947" t="s">
        <v>676</v>
      </c>
      <c r="Y222" s="947" t="s">
        <v>2417</v>
      </c>
      <c r="Z222" s="936">
        <f>ROUND(SUMIFS('GL911.CtyCon.FY24'!N:N,'GL911.CtyCon.FY24'!G:G,'A0.LS'!E222),0)</f>
        <v>0</v>
      </c>
      <c r="AA222" s="936">
        <f>ROUND(SUMIFS('A5.CTC FY24'!K:K,'A5.CTC FY24'!E:E,'A0.LS'!E222,'A5.CTC FY24'!A:A,'A0.LS'!$AA$5,'A5.CTC FY24'!L:L,"Finhay",'A5.CTC FY24'!M:M,"Posted"),0)</f>
        <v>0</v>
      </c>
      <c r="AB222" s="936">
        <f>ROUND(SUMIFS('A5.CTC FY24'!K:K,'A5.CTC FY24'!E:E,'A0.LS'!E222,'A5.CTC FY24'!A:A,'A0.LS'!$AB$5,'A5.CTC FY24'!L:L,"EY",'A5.CTC FY24'!M:M,"Posted"),0)</f>
        <v>0</v>
      </c>
      <c r="AC222" s="948">
        <f t="shared" si="135"/>
        <v>0</v>
      </c>
      <c r="AD222" s="930"/>
      <c r="AE222" s="936">
        <f>SUMIFS('GL911 VNSC FY24'!T:T,'GL911 VNSC FY24'!AG:AG,'A0.LS'!E222)</f>
        <v>0</v>
      </c>
      <c r="AF222" s="936">
        <f>SUMIFS('A5.CTC FY24'!K:K,'A5.CTC FY24'!E:E,'A0.LS'!E222,'A5.CTC FY24'!A:A,"VNSC",'A5.CTC FY24'!L:L,"VNSC",'A5.CTC FY24'!M:M,"Posted")</f>
        <v>0</v>
      </c>
      <c r="AG222" s="936">
        <f>ROUND(SUMIFS('A5.CTC FY24'!K:K,'A5.CTC FY24'!E:E,'A0.LS'!E222,'A5.CTC FY24'!A:A,"VNSC",'A5.CTC FY24'!L:L,"EY",'A5.CTC FY24'!M:M,"Posted"),0)</f>
        <v>0</v>
      </c>
      <c r="AH222" s="936">
        <f t="shared" si="136"/>
        <v>0</v>
      </c>
      <c r="AI222" s="930"/>
      <c r="AJ222" s="936">
        <f>ROUND(SUMIFS('GL911.KCG.FY24'!T:T,'GL911.KCG.FY24'!U:U,'A0.LS'!E222),0)</f>
        <v>0</v>
      </c>
      <c r="AK222" s="936">
        <f>ROUND(SUMIFS('A5.CTC FY24'!K:K,'A5.CTC FY24'!E:E,'A0.LS'!E222,'A5.CTC FY24'!A:A,'A0.LS'!$AK$5,'A5.CTC FY24'!L:L,"EY",'A5.CTC FY24'!M:M,"Posted"),0)</f>
        <v>0</v>
      </c>
      <c r="AL222" s="948">
        <f t="shared" si="137"/>
        <v>0</v>
      </c>
      <c r="AM222" s="930"/>
      <c r="AN222" s="949">
        <f t="shared" si="138"/>
        <v>0</v>
      </c>
      <c r="AO222" s="950">
        <f>ROUND(SUMIFS('A5.Consol FY24'!L:L,'A5.Consol FY24'!M:M,"EY",'A5.Consol FY24'!N:N,"Posted",'A5.Consol FY24'!B:B,'A0.LS'!$AO$5,'A5.Consol FY24'!F:F,'A0.LS'!E222),0)</f>
        <v>0</v>
      </c>
      <c r="AP222" s="949">
        <f t="shared" si="139"/>
        <v>0</v>
      </c>
      <c r="AQ222" s="930"/>
      <c r="AR222" s="936">
        <f>ROUND(SUMIFS('GL911.XH.FY24'!L:L,'GL911.XH.FY24'!F:F,'A0.LS'!E222),0)</f>
        <v>0</v>
      </c>
      <c r="AS222" s="936">
        <f>ROUND(SUMIFS('A5.CTC FY24'!K:K,'A5.CTC FY24'!E:E,'A0.LS'!E222,'A5.CTC FY24'!A:A,'A0.LS'!$AS$5,'A5.CTC FY24'!L:L,"EY",'A5.CTC FY24'!M:M,"Posted"),0)</f>
        <v>0</v>
      </c>
      <c r="AT222" s="948">
        <f t="shared" si="140"/>
        <v>0</v>
      </c>
      <c r="AU222" s="930"/>
      <c r="AV222" s="951">
        <f t="shared" si="141"/>
        <v>0</v>
      </c>
      <c r="AW222" s="952">
        <f>SUMIFS('A5.Consol FY24'!L:L,'A5.Consol FY24'!B:B,'A0.LS'!$AW$5,'A5.Consol FY24'!M:M,"EY",'A5.Consol FY24'!N:N,"Posted",'A5.Consol FY24'!F:F,'A0.LS'!E222)</f>
        <v>0</v>
      </c>
      <c r="AX222" s="951">
        <f t="shared" si="142"/>
        <v>0</v>
      </c>
      <c r="AY222" s="920"/>
      <c r="AZ222" s="936">
        <f>SUMIFS('911.CTC.YE22'!U:U,'911.CTC.YE22'!R:R,'A0.LS'!E222)</f>
        <v>0</v>
      </c>
      <c r="BA222" s="936">
        <f>ROUND(SUMIFS('A5.YE22'!J:J,'A5.YE22'!K:K,'A0.LS'!$BA$5,'A5.YE22'!L:L,"Posted",'A5.YE22'!D:D,'A0.LS'!E222),0)</f>
        <v>0</v>
      </c>
      <c r="BB222" s="936">
        <f t="shared" si="143"/>
        <v>0</v>
      </c>
      <c r="BC222" s="937"/>
      <c r="BD222" s="936">
        <f>ROUND(SUMIFS('911.VNSC.YE22'!R:R,'911.VNSC.YE22'!L:L,'A0.LS'!E222),0)</f>
        <v>0</v>
      </c>
      <c r="BE222" s="936">
        <f>ROUND(SUMIFS('A5.YE22'!J:J,'A5.YE22'!K:K,'A0.LS'!$BE$5,'A5.YE22'!L:L,"Posted",'A5.YE22'!D:D,'A0.LS'!E222),0)</f>
        <v>0</v>
      </c>
      <c r="BF222" s="936">
        <f t="shared" si="144"/>
        <v>0</v>
      </c>
      <c r="BG222" s="937"/>
      <c r="BH222" s="936">
        <f>ROUND(SUMIFS('911.XH.YE22'!T:T,'911.XH.YE22'!P:P,'A0.LS'!E222),0)</f>
        <v>0</v>
      </c>
      <c r="BI222" s="936">
        <f>ROUND(SUMIFS('A5.YE22'!J:J,'A5.YE22'!K:K,"XH",'A5.YE22'!L:L,"Posted",'A5.YE22'!D:D,'A0.LS'!E222),0)</f>
        <v>0</v>
      </c>
      <c r="BJ222" s="936">
        <f t="shared" si="145"/>
        <v>0</v>
      </c>
      <c r="BK222" s="937"/>
      <c r="BL222" s="936">
        <f>ROUND(SUMIFS('911.KCG.YE22'!T:T,'911.KCG.YE22'!P:P,'A0.LS'!E222),0)</f>
        <v>0</v>
      </c>
      <c r="BM222" s="936">
        <f>ROUND(SUMIFS('A5.YE22'!J:J,'A5.YE22'!K:K,'A0.LS'!$BM$5,'A5.YE22'!L:L,"Posted",'A5.YE22'!D:D,'A0.LS'!E222),0)</f>
        <v>0</v>
      </c>
      <c r="BN222" s="936">
        <f t="shared" si="146"/>
        <v>0</v>
      </c>
      <c r="BO222" s="937"/>
      <c r="BP222" s="938">
        <v>0</v>
      </c>
      <c r="BQ222" s="938">
        <f>ROUND(SUMIFS('A5.YE22'!J:J,'A5.YE22'!K:K,'A0.LS'!$BQ$5,'A5.YE22'!L:L,"Posted",'A5.YE22'!D:D,'A0.LS'!E222),0)</f>
        <v>0</v>
      </c>
      <c r="BR222" s="938">
        <f t="shared" si="147"/>
        <v>0</v>
      </c>
    </row>
    <row r="223" spans="2:70" ht="12.75">
      <c r="B223" s="939">
        <v>11</v>
      </c>
      <c r="C223" s="940" t="s">
        <v>2438</v>
      </c>
      <c r="D223" s="941" t="s">
        <v>2438</v>
      </c>
      <c r="E223" s="928" t="s">
        <v>291</v>
      </c>
      <c r="F223" s="928" t="s">
        <v>292</v>
      </c>
      <c r="G223" s="927" t="s">
        <v>2417</v>
      </c>
      <c r="H223" s="927" t="s">
        <v>2265</v>
      </c>
      <c r="I223" s="942">
        <f>SUMIFS('GL154.Cty Me.FY24'!S:S,'GL154.Cty Me.FY24'!H:H,'A0.LS'!E223)</f>
        <v>5478358624</v>
      </c>
      <c r="J223" s="942">
        <f>ROUND(SUMIFS('A5.FY24'!K:K,'A5.FY24'!E:E,'A0.LS'!E223,'A5.FY24'!L:L,"Finhay",'A5.FY24'!M:M,"Posted"),0)</f>
        <v>0</v>
      </c>
      <c r="K223" s="942">
        <f>ROUND(SUMIFS('A5.FY24'!K:K,'A5.FY24'!E:E,'A0.LS'!E223,'A5.FY24'!L:L,"EY",'A5.FY24'!M:M,"Posted"),0)</f>
        <v>0</v>
      </c>
      <c r="L223" s="943">
        <f t="shared" si="134"/>
        <v>5478358624</v>
      </c>
      <c r="M223" s="930"/>
      <c r="N223" s="944">
        <v>7359466823</v>
      </c>
      <c r="O223" s="944">
        <v>0</v>
      </c>
      <c r="P223" s="944">
        <v>0</v>
      </c>
      <c r="Q223" s="945">
        <v>7359466823</v>
      </c>
      <c r="R223" s="898"/>
      <c r="S223" s="848">
        <f t="shared" si="132"/>
        <v>-1881108199</v>
      </c>
      <c r="T223" s="971">
        <f t="shared" si="133"/>
        <v>-0.2556038697152776</v>
      </c>
      <c r="U223" s="850" t="s">
        <v>2439</v>
      </c>
      <c r="V223" s="850" t="s">
        <v>2440</v>
      </c>
      <c r="W223" s="850"/>
      <c r="X223" s="947" t="s">
        <v>676</v>
      </c>
      <c r="Y223" s="947" t="s">
        <v>2417</v>
      </c>
      <c r="Z223" s="936">
        <f>ROUND(SUMIFS('GL911.CtyCon.FY24'!N:N,'GL911.CtyCon.FY24'!G:G,'A0.LS'!E223),0)</f>
        <v>0</v>
      </c>
      <c r="AA223" s="936">
        <f>ROUND(SUMIFS('A5.CTC FY24'!K:K,'A5.CTC FY24'!E:E,'A0.LS'!E223,'A5.CTC FY24'!A:A,'A0.LS'!$AA$5,'A5.CTC FY24'!L:L,"Finhay",'A5.CTC FY24'!M:M,"Posted"),0)</f>
        <v>0</v>
      </c>
      <c r="AB223" s="936">
        <f>ROUND(SUMIFS('A5.CTC FY24'!K:K,'A5.CTC FY24'!E:E,'A0.LS'!E223,'A5.CTC FY24'!A:A,'A0.LS'!$AB$5,'A5.CTC FY24'!L:L,"EY",'A5.CTC FY24'!M:M,"Posted"),0)</f>
        <v>0</v>
      </c>
      <c r="AC223" s="948">
        <f t="shared" si="135"/>
        <v>0</v>
      </c>
      <c r="AD223" s="930"/>
      <c r="AE223" s="936">
        <f>SUMIFS('GL911 VNSC FY24'!T:T,'GL911 VNSC FY24'!AG:AG,'A0.LS'!E223)</f>
        <v>0</v>
      </c>
      <c r="AF223" s="936">
        <f>SUMIFS('A5.CTC FY24'!K:K,'A5.CTC FY24'!E:E,'A0.LS'!E223,'A5.CTC FY24'!A:A,"VNSC",'A5.CTC FY24'!L:L,"VNSC",'A5.CTC FY24'!M:M,"Posted")</f>
        <v>0</v>
      </c>
      <c r="AG223" s="936">
        <f>ROUND(SUMIFS('A5.CTC FY24'!K:K,'A5.CTC FY24'!E:E,'A0.LS'!E223,'A5.CTC FY24'!A:A,"VNSC",'A5.CTC FY24'!L:L,"EY",'A5.CTC FY24'!M:M,"Posted"),0)</f>
        <v>0</v>
      </c>
      <c r="AH223" s="936">
        <f t="shared" si="136"/>
        <v>0</v>
      </c>
      <c r="AI223" s="930"/>
      <c r="AJ223" s="936">
        <f>ROUND(SUMIFS('GL911.KCG.FY24'!T:T,'GL911.KCG.FY24'!U:U,'A0.LS'!E223),0)</f>
        <v>0</v>
      </c>
      <c r="AK223" s="936">
        <f>ROUND(SUMIFS('A5.CTC FY24'!K:K,'A5.CTC FY24'!E:E,'A0.LS'!E223,'A5.CTC FY24'!A:A,'A0.LS'!$AK$5,'A5.CTC FY24'!L:L,"EY",'A5.CTC FY24'!M:M,"Posted"),0)</f>
        <v>0</v>
      </c>
      <c r="AL223" s="948">
        <f t="shared" si="137"/>
        <v>0</v>
      </c>
      <c r="AM223" s="930"/>
      <c r="AN223" s="949">
        <f t="shared" si="138"/>
        <v>0</v>
      </c>
      <c r="AO223" s="950">
        <f>ROUND(SUMIFS('A5.Consol FY24'!L:L,'A5.Consol FY24'!M:M,"EY",'A5.Consol FY24'!N:N,"Posted",'A5.Consol FY24'!B:B,'A0.LS'!$AO$5,'A5.Consol FY24'!F:F,'A0.LS'!E223),0)</f>
        <v>0</v>
      </c>
      <c r="AP223" s="949">
        <f t="shared" si="139"/>
        <v>0</v>
      </c>
      <c r="AQ223" s="930"/>
      <c r="AR223" s="936">
        <f>ROUND(SUMIFS('GL911.XH.FY24'!L:L,'GL911.XH.FY24'!F:F,'A0.LS'!E223),0)</f>
        <v>0</v>
      </c>
      <c r="AS223" s="936">
        <f>ROUND(SUMIFS('A5.CTC FY24'!K:K,'A5.CTC FY24'!E:E,'A0.LS'!E223,'A5.CTC FY24'!A:A,'A0.LS'!$AS$5,'A5.CTC FY24'!L:L,"EY",'A5.CTC FY24'!M:M,"Posted"),0)</f>
        <v>0</v>
      </c>
      <c r="AT223" s="948">
        <f t="shared" si="140"/>
        <v>0</v>
      </c>
      <c r="AU223" s="930"/>
      <c r="AV223" s="951">
        <f t="shared" si="141"/>
        <v>5478358624</v>
      </c>
      <c r="AW223" s="952">
        <f>SUMIFS('A5.Consol FY24'!L:L,'A5.Consol FY24'!B:B,'A0.LS'!$AW$5,'A5.Consol FY24'!M:M,"EY",'A5.Consol FY24'!N:N,"Posted",'A5.Consol FY24'!F:F,'A0.LS'!E223)</f>
        <v>0</v>
      </c>
      <c r="AX223" s="951">
        <f t="shared" si="142"/>
        <v>5478358624</v>
      </c>
      <c r="AY223" s="920"/>
      <c r="AZ223" s="936">
        <f>SUMIFS('911.CTC.YE22'!U:U,'911.CTC.YE22'!R:R,'A0.LS'!E223)</f>
        <v>0</v>
      </c>
      <c r="BA223" s="936">
        <f>ROUND(SUMIFS('A5.YE22'!J:J,'A5.YE22'!K:K,'A0.LS'!$BA$5,'A5.YE22'!L:L,"Posted",'A5.YE22'!D:D,'A0.LS'!E223),0)</f>
        <v>0</v>
      </c>
      <c r="BB223" s="936">
        <f t="shared" si="143"/>
        <v>0</v>
      </c>
      <c r="BC223" s="937"/>
      <c r="BD223" s="936">
        <f>ROUND(SUMIFS('911.VNSC.YE22'!R:R,'911.VNSC.YE22'!L:L,'A0.LS'!E223),0)</f>
        <v>0</v>
      </c>
      <c r="BE223" s="936">
        <f>ROUND(SUMIFS('A5.YE22'!J:J,'A5.YE22'!K:K,'A0.LS'!$BE$5,'A5.YE22'!L:L,"Posted",'A5.YE22'!D:D,'A0.LS'!E223),0)</f>
        <v>0</v>
      </c>
      <c r="BF223" s="936">
        <f t="shared" si="144"/>
        <v>0</v>
      </c>
      <c r="BG223" s="937"/>
      <c r="BH223" s="936">
        <f>ROUND(SUMIFS('911.XH.YE22'!T:T,'911.XH.YE22'!P:P,'A0.LS'!E223),0)</f>
        <v>0</v>
      </c>
      <c r="BI223" s="936">
        <f>ROUND(SUMIFS('A5.YE22'!J:J,'A5.YE22'!K:K,"XH",'A5.YE22'!L:L,"Posted",'A5.YE22'!D:D,'A0.LS'!E223),0)</f>
        <v>0</v>
      </c>
      <c r="BJ223" s="936">
        <f t="shared" si="145"/>
        <v>0</v>
      </c>
      <c r="BK223" s="937"/>
      <c r="BL223" s="936">
        <f>ROUND(SUMIFS('911.KCG.YE22'!T:T,'911.KCG.YE22'!P:P,'A0.LS'!E223),0)</f>
        <v>0</v>
      </c>
      <c r="BM223" s="936">
        <f>ROUND(SUMIFS('A5.YE22'!J:J,'A5.YE22'!K:K,'A0.LS'!$BM$5,'A5.YE22'!L:L,"Posted",'A5.YE22'!D:D,'A0.LS'!E223),0)</f>
        <v>0</v>
      </c>
      <c r="BN223" s="936">
        <f t="shared" si="146"/>
        <v>0</v>
      </c>
      <c r="BO223" s="937"/>
      <c r="BP223" s="938">
        <v>7359466823</v>
      </c>
      <c r="BQ223" s="938">
        <f>ROUND(SUMIFS('A5.YE22'!J:J,'A5.YE22'!K:K,'A0.LS'!$BQ$5,'A5.YE22'!L:L,"Posted",'A5.YE22'!D:D,'A0.LS'!E223),0)</f>
        <v>0</v>
      </c>
      <c r="BR223" s="938">
        <f t="shared" si="147"/>
        <v>7359466823</v>
      </c>
    </row>
    <row r="224" spans="2:70" ht="12.75">
      <c r="B224" s="939">
        <v>11</v>
      </c>
      <c r="C224" s="940" t="s">
        <v>2441</v>
      </c>
      <c r="D224" s="941" t="s">
        <v>2441</v>
      </c>
      <c r="E224" s="928" t="s">
        <v>293</v>
      </c>
      <c r="F224" s="928" t="s">
        <v>2442</v>
      </c>
      <c r="G224" s="927" t="s">
        <v>2417</v>
      </c>
      <c r="H224" s="927" t="s">
        <v>2265</v>
      </c>
      <c r="I224" s="942">
        <f>SUMIFS('GL154.Cty Me.FY24'!S:S,'GL154.Cty Me.FY24'!H:H,'A0.LS'!E224)</f>
        <v>34909088</v>
      </c>
      <c r="J224" s="942">
        <f>ROUND(SUMIFS('A5.FY24'!K:K,'A5.FY24'!E:E,'A0.LS'!E224,'A5.FY24'!L:L,"Finhay",'A5.FY24'!M:M,"Posted"),0)</f>
        <v>0</v>
      </c>
      <c r="K224" s="942">
        <f>ROUND(SUMIFS('A5.FY24'!K:K,'A5.FY24'!E:E,'A0.LS'!E224,'A5.FY24'!L:L,"EY",'A5.FY24'!M:M,"Posted"),0)</f>
        <v>0</v>
      </c>
      <c r="L224" s="943">
        <f t="shared" si="134"/>
        <v>34909088</v>
      </c>
      <c r="M224" s="930"/>
      <c r="N224" s="944">
        <v>52363632</v>
      </c>
      <c r="O224" s="944">
        <v>2637611</v>
      </c>
      <c r="P224" s="944">
        <v>0</v>
      </c>
      <c r="Q224" s="945">
        <v>55001243</v>
      </c>
      <c r="R224" s="898"/>
      <c r="S224" s="848">
        <f t="shared" si="132"/>
        <v>-20092155</v>
      </c>
      <c r="T224" s="946">
        <f t="shared" si="133"/>
        <v>-0.36530365322834613</v>
      </c>
      <c r="U224" s="850"/>
      <c r="V224" s="850" t="s">
        <v>2443</v>
      </c>
      <c r="W224" s="850"/>
      <c r="X224" s="947" t="s">
        <v>676</v>
      </c>
      <c r="Y224" s="947" t="s">
        <v>2417</v>
      </c>
      <c r="Z224" s="936">
        <f>ROUND(SUMIFS('GL911.CtyCon.FY24'!N:N,'GL911.CtyCon.FY24'!G:G,'A0.LS'!E224),0)</f>
        <v>0</v>
      </c>
      <c r="AA224" s="936">
        <f>ROUND(SUMIFS('A5.CTC FY24'!K:K,'A5.CTC FY24'!E:E,'A0.LS'!E224,'A5.CTC FY24'!A:A,'A0.LS'!$AA$5,'A5.CTC FY24'!L:L,"Finhay",'A5.CTC FY24'!M:M,"Posted"),0)</f>
        <v>0</v>
      </c>
      <c r="AB224" s="936">
        <f>ROUND(SUMIFS('A5.CTC FY24'!K:K,'A5.CTC FY24'!E:E,'A0.LS'!E224,'A5.CTC FY24'!A:A,'A0.LS'!$AB$5,'A5.CTC FY24'!L:L,"EY",'A5.CTC FY24'!M:M,"Posted"),0)</f>
        <v>0</v>
      </c>
      <c r="AC224" s="948">
        <f t="shared" si="135"/>
        <v>0</v>
      </c>
      <c r="AD224" s="930"/>
      <c r="AE224" s="936">
        <f>SUMIFS('GL911 VNSC FY24'!T:T,'GL911 VNSC FY24'!AG:AG,'A0.LS'!E224)</f>
        <v>0</v>
      </c>
      <c r="AF224" s="936">
        <f>SUMIFS('A5.CTC FY24'!K:K,'A5.CTC FY24'!E:E,'A0.LS'!E224,'A5.CTC FY24'!A:A,"VNSC",'A5.CTC FY24'!L:L,"VNSC",'A5.CTC FY24'!M:M,"Posted")</f>
        <v>0</v>
      </c>
      <c r="AG224" s="936">
        <f>ROUND(SUMIFS('A5.CTC FY24'!K:K,'A5.CTC FY24'!E:E,'A0.LS'!E224,'A5.CTC FY24'!A:A,"VNSC",'A5.CTC FY24'!L:L,"EY",'A5.CTC FY24'!M:M,"Posted"),0)</f>
        <v>0</v>
      </c>
      <c r="AH224" s="936">
        <f t="shared" si="136"/>
        <v>0</v>
      </c>
      <c r="AI224" s="930"/>
      <c r="AJ224" s="936">
        <f>ROUND(SUMIFS('GL911.KCG.FY24'!T:T,'GL911.KCG.FY24'!U:U,'A0.LS'!E224),0)</f>
        <v>0</v>
      </c>
      <c r="AK224" s="936">
        <f>ROUND(SUMIFS('A5.CTC FY24'!K:K,'A5.CTC FY24'!E:E,'A0.LS'!E224,'A5.CTC FY24'!A:A,'A0.LS'!$AK$5,'A5.CTC FY24'!L:L,"EY",'A5.CTC FY24'!M:M,"Posted"),0)</f>
        <v>0</v>
      </c>
      <c r="AL224" s="948">
        <f t="shared" si="137"/>
        <v>0</v>
      </c>
      <c r="AM224" s="930"/>
      <c r="AN224" s="949">
        <f t="shared" si="138"/>
        <v>0</v>
      </c>
      <c r="AO224" s="950">
        <f>ROUND(SUMIFS('A5.Consol FY24'!L:L,'A5.Consol FY24'!M:M,"EY",'A5.Consol FY24'!N:N,"Posted",'A5.Consol FY24'!B:B,'A0.LS'!$AO$5,'A5.Consol FY24'!F:F,'A0.LS'!E224),0)</f>
        <v>0</v>
      </c>
      <c r="AP224" s="949">
        <f t="shared" si="139"/>
        <v>0</v>
      </c>
      <c r="AQ224" s="930"/>
      <c r="AR224" s="936">
        <f>ROUND(SUMIFS('GL911.XH.FY24'!L:L,'GL911.XH.FY24'!F:F,'A0.LS'!E224),0)</f>
        <v>0</v>
      </c>
      <c r="AS224" s="936">
        <f>ROUND(SUMIFS('A5.CTC FY24'!K:K,'A5.CTC FY24'!E:E,'A0.LS'!E224,'A5.CTC FY24'!A:A,'A0.LS'!$AS$5,'A5.CTC FY24'!L:L,"EY",'A5.CTC FY24'!M:M,"Posted"),0)</f>
        <v>0</v>
      </c>
      <c r="AT224" s="948">
        <f t="shared" si="140"/>
        <v>0</v>
      </c>
      <c r="AU224" s="930"/>
      <c r="AV224" s="951">
        <f t="shared" si="141"/>
        <v>34909088</v>
      </c>
      <c r="AW224" s="952">
        <f>SUMIFS('A5.Consol FY24'!L:L,'A5.Consol FY24'!B:B,'A0.LS'!$AW$5,'A5.Consol FY24'!M:M,"EY",'A5.Consol FY24'!N:N,"Posted",'A5.Consol FY24'!F:F,'A0.LS'!E224)</f>
        <v>0</v>
      </c>
      <c r="AX224" s="537">
        <f t="shared" si="142"/>
        <v>34909088</v>
      </c>
      <c r="AY224" s="920"/>
      <c r="AZ224" s="936">
        <f>SUMIFS('911.CTC.YE22'!U:U,'911.CTC.YE22'!R:R,'A0.LS'!E224)</f>
        <v>0</v>
      </c>
      <c r="BA224" s="936">
        <f>ROUND(SUMIFS('A5.YE22'!J:J,'A5.YE22'!K:K,'A0.LS'!$BA$5,'A5.YE22'!L:L,"Posted",'A5.YE22'!D:D,'A0.LS'!E224),0)</f>
        <v>0</v>
      </c>
      <c r="BB224" s="936">
        <f t="shared" si="143"/>
        <v>0</v>
      </c>
      <c r="BC224" s="937"/>
      <c r="BD224" s="936">
        <f>ROUND(SUMIFS('911.VNSC.YE22'!R:R,'911.VNSC.YE22'!L:L,'A0.LS'!E224),0)</f>
        <v>0</v>
      </c>
      <c r="BE224" s="936">
        <f>ROUND(SUMIFS('A5.YE22'!J:J,'A5.YE22'!K:K,'A0.LS'!$BE$5,'A5.YE22'!L:L,"Posted",'A5.YE22'!D:D,'A0.LS'!E224),0)</f>
        <v>0</v>
      </c>
      <c r="BF224" s="936">
        <f t="shared" si="144"/>
        <v>0</v>
      </c>
      <c r="BG224" s="937"/>
      <c r="BH224" s="936">
        <f>ROUND(SUMIFS('911.XH.YE22'!T:T,'911.XH.YE22'!P:P,'A0.LS'!E224),0)</f>
        <v>0</v>
      </c>
      <c r="BI224" s="936">
        <f>ROUND(SUMIFS('A5.YE22'!J:J,'A5.YE22'!K:K,"XH",'A5.YE22'!L:L,"Posted",'A5.YE22'!D:D,'A0.LS'!E224),0)</f>
        <v>0</v>
      </c>
      <c r="BJ224" s="936">
        <f t="shared" si="145"/>
        <v>0</v>
      </c>
      <c r="BK224" s="937"/>
      <c r="BL224" s="936">
        <f>ROUND(SUMIFS('911.KCG.YE22'!T:T,'911.KCG.YE22'!P:P,'A0.LS'!E224),0)</f>
        <v>0</v>
      </c>
      <c r="BM224" s="936">
        <f>ROUND(SUMIFS('A5.YE22'!J:J,'A5.YE22'!K:K,'A0.LS'!$BM$5,'A5.YE22'!L:L,"Posted",'A5.YE22'!D:D,'A0.LS'!E224),0)</f>
        <v>0</v>
      </c>
      <c r="BN224" s="936">
        <f t="shared" si="146"/>
        <v>0</v>
      </c>
      <c r="BO224" s="937"/>
      <c r="BP224" s="938">
        <v>55001243</v>
      </c>
      <c r="BQ224" s="938">
        <f>ROUND(SUMIFS('A5.YE22'!J:J,'A5.YE22'!K:K,'A0.LS'!$BQ$5,'A5.YE22'!L:L,"Posted",'A5.YE22'!D:D,'A0.LS'!E224),0)</f>
        <v>0</v>
      </c>
      <c r="BR224" s="938">
        <f t="shared" si="147"/>
        <v>55001243</v>
      </c>
    </row>
    <row r="225" spans="2:70" ht="12.75">
      <c r="B225" s="939">
        <v>11</v>
      </c>
      <c r="C225" s="940" t="s">
        <v>2444</v>
      </c>
      <c r="D225" s="941" t="s">
        <v>2444</v>
      </c>
      <c r="E225" s="928" t="s">
        <v>295</v>
      </c>
      <c r="F225" s="928" t="s">
        <v>296</v>
      </c>
      <c r="G225" s="927" t="s">
        <v>2417</v>
      </c>
      <c r="H225" s="927" t="s">
        <v>2265</v>
      </c>
      <c r="I225" s="942">
        <f>SUMIFS('GL154.Cty Me.FY24'!S:S,'GL154.Cty Me.FY24'!H:H,'A0.LS'!E225)</f>
        <v>51535000</v>
      </c>
      <c r="J225" s="942">
        <f>ROUND(SUMIFS('A5.FY24'!K:K,'A5.FY24'!E:E,'A0.LS'!E225,'A5.FY24'!L:L,"Finhay",'A5.FY24'!M:M,"Posted"),0)</f>
        <v>0</v>
      </c>
      <c r="K225" s="942">
        <f>ROUND(SUMIFS('A5.FY24'!K:K,'A5.FY24'!E:E,'A0.LS'!E225,'A5.FY24'!L:L,"EY",'A5.FY24'!M:M,"Posted"),0)</f>
        <v>0</v>
      </c>
      <c r="L225" s="943">
        <f t="shared" si="134"/>
        <v>51535000</v>
      </c>
      <c r="M225" s="930"/>
      <c r="N225" s="944">
        <v>71590000</v>
      </c>
      <c r="O225" s="944">
        <v>0</v>
      </c>
      <c r="P225" s="944">
        <v>0</v>
      </c>
      <c r="Q225" s="945">
        <v>71590000</v>
      </c>
      <c r="R225" s="898"/>
      <c r="S225" s="848">
        <f t="shared" si="132"/>
        <v>-20055000</v>
      </c>
      <c r="T225" s="946">
        <f t="shared" si="133"/>
        <v>-0.28013689062718256</v>
      </c>
      <c r="U225" s="850"/>
      <c r="V225" s="850" t="s">
        <v>2445</v>
      </c>
      <c r="W225" s="850"/>
      <c r="X225" s="947" t="s">
        <v>676</v>
      </c>
      <c r="Y225" s="947" t="s">
        <v>2417</v>
      </c>
      <c r="Z225" s="936">
        <f>ROUND(SUMIFS('GL911.CtyCon.FY24'!N:N,'GL911.CtyCon.FY24'!G:G,'A0.LS'!E225),0)</f>
        <v>0</v>
      </c>
      <c r="AA225" s="936">
        <f>ROUND(SUMIFS('A5.CTC FY24'!K:K,'A5.CTC FY24'!E:E,'A0.LS'!E225,'A5.CTC FY24'!A:A,'A0.LS'!$AA$5,'A5.CTC FY24'!L:L,"Finhay",'A5.CTC FY24'!M:M,"Posted"),0)</f>
        <v>0</v>
      </c>
      <c r="AB225" s="936">
        <f>ROUND(SUMIFS('A5.CTC FY24'!K:K,'A5.CTC FY24'!E:E,'A0.LS'!E225,'A5.CTC FY24'!A:A,'A0.LS'!$AB$5,'A5.CTC FY24'!L:L,"EY",'A5.CTC FY24'!M:M,"Posted"),0)</f>
        <v>0</v>
      </c>
      <c r="AC225" s="948">
        <f t="shared" si="135"/>
        <v>0</v>
      </c>
      <c r="AD225" s="930"/>
      <c r="AE225" s="936">
        <f>SUMIFS('GL911 VNSC FY24'!T:T,'GL911 VNSC FY24'!AG:AG,'A0.LS'!E225)</f>
        <v>0</v>
      </c>
      <c r="AF225" s="936">
        <f>SUMIFS('A5.CTC FY24'!K:K,'A5.CTC FY24'!E:E,'A0.LS'!E225,'A5.CTC FY24'!A:A,"VNSC",'A5.CTC FY24'!L:L,"VNSC",'A5.CTC FY24'!M:M,"Posted")</f>
        <v>0</v>
      </c>
      <c r="AG225" s="936">
        <f>ROUND(SUMIFS('A5.CTC FY24'!K:K,'A5.CTC FY24'!E:E,'A0.LS'!E225,'A5.CTC FY24'!A:A,"VNSC",'A5.CTC FY24'!L:L,"EY",'A5.CTC FY24'!M:M,"Posted"),0)</f>
        <v>0</v>
      </c>
      <c r="AH225" s="936">
        <f t="shared" si="136"/>
        <v>0</v>
      </c>
      <c r="AI225" s="930"/>
      <c r="AJ225" s="936">
        <f>ROUND(SUMIFS('GL911.KCG.FY24'!T:T,'GL911.KCG.FY24'!U:U,'A0.LS'!E225),0)</f>
        <v>0</v>
      </c>
      <c r="AK225" s="936">
        <f>ROUND(SUMIFS('A5.CTC FY24'!K:K,'A5.CTC FY24'!E:E,'A0.LS'!E225,'A5.CTC FY24'!A:A,'A0.LS'!$AK$5,'A5.CTC FY24'!L:L,"EY",'A5.CTC FY24'!M:M,"Posted"),0)</f>
        <v>0</v>
      </c>
      <c r="AL225" s="948">
        <f t="shared" si="137"/>
        <v>0</v>
      </c>
      <c r="AM225" s="930"/>
      <c r="AN225" s="949">
        <f t="shared" si="138"/>
        <v>0</v>
      </c>
      <c r="AO225" s="950">
        <f>ROUND(SUMIFS('A5.Consol FY24'!L:L,'A5.Consol FY24'!M:M,"EY",'A5.Consol FY24'!N:N,"Posted",'A5.Consol FY24'!B:B,'A0.LS'!$AO$5,'A5.Consol FY24'!F:F,'A0.LS'!E225),0)</f>
        <v>0</v>
      </c>
      <c r="AP225" s="949">
        <f t="shared" si="139"/>
        <v>0</v>
      </c>
      <c r="AQ225" s="930"/>
      <c r="AR225" s="936">
        <f>ROUND(SUMIFS('GL911.XH.FY24'!L:L,'GL911.XH.FY24'!F:F,'A0.LS'!E225),0)</f>
        <v>0</v>
      </c>
      <c r="AS225" s="936">
        <f>ROUND(SUMIFS('A5.CTC FY24'!K:K,'A5.CTC FY24'!E:E,'A0.LS'!E225,'A5.CTC FY24'!A:A,'A0.LS'!$AS$5,'A5.CTC FY24'!L:L,"EY",'A5.CTC FY24'!M:M,"Posted"),0)</f>
        <v>0</v>
      </c>
      <c r="AT225" s="948">
        <f t="shared" si="140"/>
        <v>0</v>
      </c>
      <c r="AU225" s="930"/>
      <c r="AV225" s="951">
        <f t="shared" si="141"/>
        <v>51535000</v>
      </c>
      <c r="AW225" s="952">
        <f>SUMIFS('A5.Consol FY24'!L:L,'A5.Consol FY24'!B:B,'A0.LS'!$AW$5,'A5.Consol FY24'!M:M,"EY",'A5.Consol FY24'!N:N,"Posted",'A5.Consol FY24'!F:F,'A0.LS'!E225)</f>
        <v>0</v>
      </c>
      <c r="AX225" s="951">
        <f t="shared" si="142"/>
        <v>51535000</v>
      </c>
      <c r="AY225" s="920"/>
      <c r="AZ225" s="936">
        <f>SUMIFS('911.CTC.YE22'!U:U,'911.CTC.YE22'!R:R,'A0.LS'!E225)</f>
        <v>0</v>
      </c>
      <c r="BA225" s="936">
        <f>ROUND(SUMIFS('A5.YE22'!J:J,'A5.YE22'!K:K,'A0.LS'!$BA$5,'A5.YE22'!L:L,"Posted",'A5.YE22'!D:D,'A0.LS'!E225),0)</f>
        <v>0</v>
      </c>
      <c r="BB225" s="936">
        <f t="shared" si="143"/>
        <v>0</v>
      </c>
      <c r="BC225" s="937"/>
      <c r="BD225" s="936">
        <f>ROUND(SUMIFS('911.VNSC.YE22'!R:R,'911.VNSC.YE22'!L:L,'A0.LS'!E225),0)</f>
        <v>0</v>
      </c>
      <c r="BE225" s="936">
        <f>ROUND(SUMIFS('A5.YE22'!J:J,'A5.YE22'!K:K,'A0.LS'!$BE$5,'A5.YE22'!L:L,"Posted",'A5.YE22'!D:D,'A0.LS'!E225),0)</f>
        <v>0</v>
      </c>
      <c r="BF225" s="936">
        <f t="shared" si="144"/>
        <v>0</v>
      </c>
      <c r="BG225" s="937"/>
      <c r="BH225" s="936">
        <f>ROUND(SUMIFS('911.XH.YE22'!T:T,'911.XH.YE22'!P:P,'A0.LS'!E225),0)</f>
        <v>0</v>
      </c>
      <c r="BI225" s="936">
        <f>ROUND(SUMIFS('A5.YE22'!J:J,'A5.YE22'!K:K,"XH",'A5.YE22'!L:L,"Posted",'A5.YE22'!D:D,'A0.LS'!E225),0)</f>
        <v>0</v>
      </c>
      <c r="BJ225" s="936">
        <f t="shared" si="145"/>
        <v>0</v>
      </c>
      <c r="BK225" s="937"/>
      <c r="BL225" s="936">
        <f>ROUND(SUMIFS('911.KCG.YE22'!T:T,'911.KCG.YE22'!P:P,'A0.LS'!E225),0)</f>
        <v>0</v>
      </c>
      <c r="BM225" s="936">
        <f>ROUND(SUMIFS('A5.YE22'!J:J,'A5.YE22'!K:K,'A0.LS'!$BM$5,'A5.YE22'!L:L,"Posted",'A5.YE22'!D:D,'A0.LS'!E225),0)</f>
        <v>0</v>
      </c>
      <c r="BN225" s="936">
        <f t="shared" si="146"/>
        <v>0</v>
      </c>
      <c r="BO225" s="937"/>
      <c r="BP225" s="938">
        <v>71590000</v>
      </c>
      <c r="BQ225" s="938">
        <f>ROUND(SUMIFS('A5.YE22'!J:J,'A5.YE22'!K:K,'A0.LS'!$BQ$5,'A5.YE22'!L:L,"Posted",'A5.YE22'!D:D,'A0.LS'!E225),0)</f>
        <v>0</v>
      </c>
      <c r="BR225" s="938">
        <f t="shared" si="147"/>
        <v>71590000</v>
      </c>
    </row>
    <row r="226" spans="2:70" ht="12.75">
      <c r="B226" s="939">
        <v>11</v>
      </c>
      <c r="C226" s="940" t="s">
        <v>2446</v>
      </c>
      <c r="D226" s="941" t="s">
        <v>2446</v>
      </c>
      <c r="E226" s="928" t="s">
        <v>297</v>
      </c>
      <c r="F226" s="928" t="s">
        <v>298</v>
      </c>
      <c r="G226" s="927" t="s">
        <v>2417</v>
      </c>
      <c r="H226" s="927" t="s">
        <v>2265</v>
      </c>
      <c r="I226" s="942">
        <f>SUMIFS('GL154.Cty Me.FY24'!S:S,'GL154.Cty Me.FY24'!H:H,'A0.LS'!E226)</f>
        <v>2268189</v>
      </c>
      <c r="J226" s="942">
        <f>ROUND(SUMIFS('A5.FY24'!K:K,'A5.FY24'!E:E,'A0.LS'!E226,'A5.FY24'!L:L,"Finhay",'A5.FY24'!M:M,"Posted"),0)</f>
        <v>0</v>
      </c>
      <c r="K226" s="942">
        <f>ROUND(SUMIFS('A5.FY24'!K:K,'A5.FY24'!E:E,'A0.LS'!E226,'A5.FY24'!L:L,"EY",'A5.FY24'!M:M,"Posted"),0)</f>
        <v>0</v>
      </c>
      <c r="L226" s="943">
        <f t="shared" si="134"/>
        <v>2268189</v>
      </c>
      <c r="M226" s="930"/>
      <c r="N226" s="944">
        <v>50064606</v>
      </c>
      <c r="O226" s="944">
        <v>0</v>
      </c>
      <c r="P226" s="944">
        <v>0</v>
      </c>
      <c r="Q226" s="945">
        <v>50064606</v>
      </c>
      <c r="R226" s="898"/>
      <c r="S226" s="848">
        <f t="shared" si="132"/>
        <v>-47796417</v>
      </c>
      <c r="T226" s="971">
        <f t="shared" si="133"/>
        <v>-0.95469475980695828</v>
      </c>
      <c r="U226" s="850" t="s">
        <v>2447</v>
      </c>
      <c r="V226" s="850" t="s">
        <v>2448</v>
      </c>
      <c r="W226" s="850"/>
      <c r="X226" s="933"/>
      <c r="Y226" s="947" t="s">
        <v>2417</v>
      </c>
      <c r="Z226" s="936">
        <f>ROUND(SUMIFS('GL911.CtyCon.FY24'!N:N,'GL911.CtyCon.FY24'!G:G,'A0.LS'!E226),0)</f>
        <v>0</v>
      </c>
      <c r="AA226" s="936">
        <f>ROUND(SUMIFS('A5.CTC FY24'!K:K,'A5.CTC FY24'!E:E,'A0.LS'!E226,'A5.CTC FY24'!A:A,'A0.LS'!$AA$5,'A5.CTC FY24'!L:L,"Finhay",'A5.CTC FY24'!M:M,"Posted"),0)</f>
        <v>0</v>
      </c>
      <c r="AB226" s="936">
        <f>ROUND(SUMIFS('A5.CTC FY24'!K:K,'A5.CTC FY24'!E:E,'A0.LS'!E226,'A5.CTC FY24'!A:A,'A0.LS'!$AB$5,'A5.CTC FY24'!L:L,"EY",'A5.CTC FY24'!M:M,"Posted"),0)</f>
        <v>0</v>
      </c>
      <c r="AC226" s="948">
        <f t="shared" si="135"/>
        <v>0</v>
      </c>
      <c r="AD226" s="930"/>
      <c r="AE226" s="936">
        <f>SUMIFS('GL911 VNSC FY24'!T:T,'GL911 VNSC FY24'!AG:AG,'A0.LS'!E226)</f>
        <v>0</v>
      </c>
      <c r="AF226" s="936">
        <f>SUMIFS('A5.CTC FY24'!K:K,'A5.CTC FY24'!E:E,'A0.LS'!E226,'A5.CTC FY24'!A:A,"VNSC",'A5.CTC FY24'!L:L,"VNSC",'A5.CTC FY24'!M:M,"Posted")</f>
        <v>0</v>
      </c>
      <c r="AG226" s="936">
        <f>ROUND(SUMIFS('A5.CTC FY24'!K:K,'A5.CTC FY24'!E:E,'A0.LS'!E226,'A5.CTC FY24'!A:A,"VNSC",'A5.CTC FY24'!L:L,"EY",'A5.CTC FY24'!M:M,"Posted"),0)</f>
        <v>0</v>
      </c>
      <c r="AH226" s="936">
        <f t="shared" si="136"/>
        <v>0</v>
      </c>
      <c r="AI226" s="930"/>
      <c r="AJ226" s="936">
        <f>ROUND(SUMIFS('GL911.KCG.FY24'!T:T,'GL911.KCG.FY24'!U:U,'A0.LS'!E226),0)</f>
        <v>0</v>
      </c>
      <c r="AK226" s="936">
        <f>ROUND(SUMIFS('A5.CTC FY24'!K:K,'A5.CTC FY24'!E:E,'A0.LS'!E226,'A5.CTC FY24'!A:A,'A0.LS'!$AK$5,'A5.CTC FY24'!L:L,"EY",'A5.CTC FY24'!M:M,"Posted"),0)</f>
        <v>0</v>
      </c>
      <c r="AL226" s="948">
        <f t="shared" si="137"/>
        <v>0</v>
      </c>
      <c r="AM226" s="930"/>
      <c r="AN226" s="949">
        <f t="shared" si="138"/>
        <v>0</v>
      </c>
      <c r="AO226" s="950">
        <f>ROUND(SUMIFS('A5.Consol FY24'!L:L,'A5.Consol FY24'!M:M,"EY",'A5.Consol FY24'!N:N,"Posted",'A5.Consol FY24'!B:B,'A0.LS'!$AO$5,'A5.Consol FY24'!F:F,'A0.LS'!E226),0)</f>
        <v>0</v>
      </c>
      <c r="AP226" s="949">
        <f t="shared" si="139"/>
        <v>0</v>
      </c>
      <c r="AQ226" s="930"/>
      <c r="AR226" s="936">
        <f>ROUND(SUMIFS('GL911.XH.FY24'!L:L,'GL911.XH.FY24'!F:F,'A0.LS'!E226),0)</f>
        <v>0</v>
      </c>
      <c r="AS226" s="936">
        <f>ROUND(SUMIFS('A5.CTC FY24'!K:K,'A5.CTC FY24'!E:E,'A0.LS'!E226,'A5.CTC FY24'!A:A,'A0.LS'!$AS$5,'A5.CTC FY24'!L:L,"EY",'A5.CTC FY24'!M:M,"Posted"),0)</f>
        <v>0</v>
      </c>
      <c r="AT226" s="948">
        <f t="shared" si="140"/>
        <v>0</v>
      </c>
      <c r="AU226" s="930"/>
      <c r="AV226" s="951">
        <f t="shared" si="141"/>
        <v>2268189</v>
      </c>
      <c r="AW226" s="952">
        <f>SUMIFS('A5.Consol FY24'!L:L,'A5.Consol FY24'!B:B,'A0.LS'!$AW$5,'A5.Consol FY24'!M:M,"EY",'A5.Consol FY24'!N:N,"Posted",'A5.Consol FY24'!F:F,'A0.LS'!E226)</f>
        <v>0</v>
      </c>
      <c r="AX226" s="951">
        <f t="shared" si="142"/>
        <v>2268189</v>
      </c>
      <c r="AY226" s="920"/>
      <c r="AZ226" s="936">
        <f>SUMIFS('911.CTC.YE22'!U:U,'911.CTC.YE22'!R:R,'A0.LS'!E226)</f>
        <v>0</v>
      </c>
      <c r="BA226" s="936">
        <f>ROUND(SUMIFS('A5.YE22'!J:J,'A5.YE22'!K:K,'A0.LS'!$BA$5,'A5.YE22'!L:L,"Posted",'A5.YE22'!D:D,'A0.LS'!E226),0)</f>
        <v>0</v>
      </c>
      <c r="BB226" s="936">
        <f t="shared" si="143"/>
        <v>0</v>
      </c>
      <c r="BC226" s="937"/>
      <c r="BD226" s="936">
        <f>ROUND(SUMIFS('911.VNSC.YE22'!R:R,'911.VNSC.YE22'!L:L,'A0.LS'!E226),0)</f>
        <v>0</v>
      </c>
      <c r="BE226" s="936">
        <f>ROUND(SUMIFS('A5.YE22'!J:J,'A5.YE22'!K:K,'A0.LS'!$BE$5,'A5.YE22'!L:L,"Posted",'A5.YE22'!D:D,'A0.LS'!E226),0)</f>
        <v>0</v>
      </c>
      <c r="BF226" s="936">
        <f t="shared" si="144"/>
        <v>0</v>
      </c>
      <c r="BG226" s="937"/>
      <c r="BH226" s="936">
        <f>ROUND(SUMIFS('911.XH.YE22'!T:T,'911.XH.YE22'!P:P,'A0.LS'!E226),0)</f>
        <v>0</v>
      </c>
      <c r="BI226" s="936">
        <f>ROUND(SUMIFS('A5.YE22'!J:J,'A5.YE22'!K:K,"XH",'A5.YE22'!L:L,"Posted",'A5.YE22'!D:D,'A0.LS'!E226),0)</f>
        <v>0</v>
      </c>
      <c r="BJ226" s="936">
        <f t="shared" si="145"/>
        <v>0</v>
      </c>
      <c r="BK226" s="937"/>
      <c r="BL226" s="936">
        <f>ROUND(SUMIFS('911.KCG.YE22'!T:T,'911.KCG.YE22'!P:P,'A0.LS'!E226),0)</f>
        <v>0</v>
      </c>
      <c r="BM226" s="936">
        <f>ROUND(SUMIFS('A5.YE22'!J:J,'A5.YE22'!K:K,'A0.LS'!$BM$5,'A5.YE22'!L:L,"Posted",'A5.YE22'!D:D,'A0.LS'!E226),0)</f>
        <v>0</v>
      </c>
      <c r="BN226" s="936">
        <f t="shared" si="146"/>
        <v>0</v>
      </c>
      <c r="BO226" s="937"/>
      <c r="BP226" s="938">
        <v>50064606</v>
      </c>
      <c r="BQ226" s="938">
        <f>ROUND(SUMIFS('A5.YE22'!J:J,'A5.YE22'!K:K,'A0.LS'!$BQ$5,'A5.YE22'!L:L,"Posted",'A5.YE22'!D:D,'A0.LS'!E226),0)</f>
        <v>0</v>
      </c>
      <c r="BR226" s="938">
        <f t="shared" si="147"/>
        <v>50064606</v>
      </c>
    </row>
    <row r="227" spans="2:70" ht="12.75">
      <c r="B227" s="939">
        <v>11</v>
      </c>
      <c r="C227" s="940" t="s">
        <v>2416</v>
      </c>
      <c r="D227" s="941" t="s">
        <v>2416</v>
      </c>
      <c r="E227" s="928" t="s">
        <v>299</v>
      </c>
      <c r="F227" s="928" t="s">
        <v>300</v>
      </c>
      <c r="G227" s="927" t="s">
        <v>2417</v>
      </c>
      <c r="H227" s="927" t="s">
        <v>2265</v>
      </c>
      <c r="I227" s="942">
        <f>SUMIFS('GL154.Cty Me.FY24'!S:S,'GL154.Cty Me.FY24'!H:H,'A0.LS'!E227)</f>
        <v>39524921</v>
      </c>
      <c r="J227" s="942">
        <f>ROUND(SUMIFS('A5.FY24'!K:K,'A5.FY24'!E:E,'A0.LS'!E227,'A5.FY24'!L:L,"Finhay",'A5.FY24'!M:M,"Posted"),0)</f>
        <v>0</v>
      </c>
      <c r="K227" s="942">
        <f>ROUND(SUMIFS('A5.FY24'!K:K,'A5.FY24'!E:E,'A0.LS'!E227,'A5.FY24'!L:L,"EY",'A5.FY24'!M:M,"Posted"),0)</f>
        <v>0</v>
      </c>
      <c r="L227" s="943">
        <f t="shared" si="134"/>
        <v>39524921</v>
      </c>
      <c r="M227" s="930"/>
      <c r="N227" s="944">
        <v>99171000</v>
      </c>
      <c r="O227" s="944">
        <v>4995346</v>
      </c>
      <c r="P227" s="944">
        <v>0</v>
      </c>
      <c r="Q227" s="945">
        <v>104166346</v>
      </c>
      <c r="R227" s="898"/>
      <c r="S227" s="848">
        <f t="shared" si="132"/>
        <v>-64641425</v>
      </c>
      <c r="T227" s="971">
        <f t="shared" si="133"/>
        <v>-0.6205595903306429</v>
      </c>
      <c r="U227" s="850" t="s">
        <v>2449</v>
      </c>
      <c r="V227" s="850" t="s">
        <v>2450</v>
      </c>
      <c r="W227" s="850"/>
      <c r="X227" s="304"/>
      <c r="Y227" s="947" t="s">
        <v>2417</v>
      </c>
      <c r="Z227" s="936">
        <f>ROUND(SUMIFS('GL911.CtyCon.FY24'!N:N,'GL911.CtyCon.FY24'!G:G,'A0.LS'!E227),0)</f>
        <v>0</v>
      </c>
      <c r="AA227" s="936">
        <f>ROUND(SUMIFS('A5.CTC FY24'!K:K,'A5.CTC FY24'!E:E,'A0.LS'!E227,'A5.CTC FY24'!A:A,'A0.LS'!$AA$5,'A5.CTC FY24'!L:L,"Finhay",'A5.CTC FY24'!M:M,"Posted"),0)</f>
        <v>0</v>
      </c>
      <c r="AB227" s="936">
        <f>ROUND(SUMIFS('A5.CTC FY24'!K:K,'A5.CTC FY24'!E:E,'A0.LS'!E227,'A5.CTC FY24'!A:A,'A0.LS'!$AB$5,'A5.CTC FY24'!L:L,"EY",'A5.CTC FY24'!M:M,"Posted"),0)</f>
        <v>0</v>
      </c>
      <c r="AC227" s="948">
        <f t="shared" si="135"/>
        <v>0</v>
      </c>
      <c r="AD227" s="930"/>
      <c r="AE227" s="936">
        <f>SUMIFS('GL911 VNSC FY24'!T:T,'GL911 VNSC FY24'!AG:AG,'A0.LS'!E227)</f>
        <v>0</v>
      </c>
      <c r="AF227" s="936">
        <f>SUMIFS('A5.CTC FY24'!K:K,'A5.CTC FY24'!E:E,'A0.LS'!E227,'A5.CTC FY24'!A:A,"VNSC",'A5.CTC FY24'!L:L,"VNSC",'A5.CTC FY24'!M:M,"Posted")</f>
        <v>0</v>
      </c>
      <c r="AG227" s="936">
        <f>ROUND(SUMIFS('A5.CTC FY24'!K:K,'A5.CTC FY24'!E:E,'A0.LS'!E227,'A5.CTC FY24'!A:A,"VNSC",'A5.CTC FY24'!L:L,"EY",'A5.CTC FY24'!M:M,"Posted"),0)</f>
        <v>0</v>
      </c>
      <c r="AH227" s="936">
        <f t="shared" si="136"/>
        <v>0</v>
      </c>
      <c r="AI227" s="930"/>
      <c r="AJ227" s="936">
        <f>ROUND(SUMIFS('GL911.KCG.FY24'!T:T,'GL911.KCG.FY24'!U:U,'A0.LS'!E227),0)</f>
        <v>0</v>
      </c>
      <c r="AK227" s="936">
        <f>ROUND(SUMIFS('A5.CTC FY24'!K:K,'A5.CTC FY24'!E:E,'A0.LS'!E227,'A5.CTC FY24'!A:A,'A0.LS'!$AK$5,'A5.CTC FY24'!L:L,"EY",'A5.CTC FY24'!M:M,"Posted"),0)</f>
        <v>0</v>
      </c>
      <c r="AL227" s="948">
        <f t="shared" si="137"/>
        <v>0</v>
      </c>
      <c r="AM227" s="930"/>
      <c r="AN227" s="949">
        <f t="shared" si="138"/>
        <v>0</v>
      </c>
      <c r="AO227" s="950">
        <f>ROUND(SUMIFS('A5.Consol FY24'!L:L,'A5.Consol FY24'!M:M,"EY",'A5.Consol FY24'!N:N,"Posted",'A5.Consol FY24'!B:B,'A0.LS'!$AO$5,'A5.Consol FY24'!F:F,'A0.LS'!E227),0)</f>
        <v>0</v>
      </c>
      <c r="AP227" s="949">
        <f t="shared" si="139"/>
        <v>0</v>
      </c>
      <c r="AQ227" s="930"/>
      <c r="AR227" s="936">
        <f>ROUND(SUMIFS('GL911.XH.FY24'!L:L,'GL911.XH.FY24'!F:F,'A0.LS'!E227),0)</f>
        <v>0</v>
      </c>
      <c r="AS227" s="936">
        <f>ROUND(SUMIFS('A5.CTC FY24'!K:K,'A5.CTC FY24'!E:E,'A0.LS'!E227,'A5.CTC FY24'!A:A,'A0.LS'!$AS$5,'A5.CTC FY24'!L:L,"EY",'A5.CTC FY24'!M:M,"Posted"),0)</f>
        <v>0</v>
      </c>
      <c r="AT227" s="948">
        <f t="shared" si="140"/>
        <v>0</v>
      </c>
      <c r="AU227" s="930"/>
      <c r="AV227" s="951">
        <f t="shared" si="141"/>
        <v>39524921</v>
      </c>
      <c r="AW227" s="952">
        <f>SUMIFS('A5.Consol FY24'!L:L,'A5.Consol FY24'!B:B,'A0.LS'!$AW$5,'A5.Consol FY24'!M:M,"EY",'A5.Consol FY24'!N:N,"Posted",'A5.Consol FY24'!F:F,'A0.LS'!E227)</f>
        <v>0</v>
      </c>
      <c r="AX227" s="951">
        <f t="shared" si="142"/>
        <v>39524921</v>
      </c>
      <c r="AY227" s="920"/>
      <c r="AZ227" s="936">
        <f>SUMIFS('911.CTC.YE22'!U:U,'911.CTC.YE22'!R:R,'A0.LS'!E227)</f>
        <v>0</v>
      </c>
      <c r="BA227" s="936">
        <f>ROUND(SUMIFS('A5.YE22'!J:J,'A5.YE22'!K:K,'A0.LS'!$BA$5,'A5.YE22'!L:L,"Posted",'A5.YE22'!D:D,'A0.LS'!E227),0)</f>
        <v>0</v>
      </c>
      <c r="BB227" s="936">
        <f t="shared" si="143"/>
        <v>0</v>
      </c>
      <c r="BC227" s="937"/>
      <c r="BD227" s="936">
        <f>ROUND(SUMIFS('911.VNSC.YE22'!R:R,'911.VNSC.YE22'!L:L,'A0.LS'!E227),0)</f>
        <v>0</v>
      </c>
      <c r="BE227" s="936">
        <f>ROUND(SUMIFS('A5.YE22'!J:J,'A5.YE22'!K:K,'A0.LS'!$BE$5,'A5.YE22'!L:L,"Posted",'A5.YE22'!D:D,'A0.LS'!E227),0)</f>
        <v>0</v>
      </c>
      <c r="BF227" s="936">
        <f t="shared" si="144"/>
        <v>0</v>
      </c>
      <c r="BG227" s="937"/>
      <c r="BH227" s="936">
        <f>ROUND(SUMIFS('911.XH.YE22'!T:T,'911.XH.YE22'!P:P,'A0.LS'!E227),0)</f>
        <v>0</v>
      </c>
      <c r="BI227" s="936">
        <f>ROUND(SUMIFS('A5.YE22'!J:J,'A5.YE22'!K:K,"XH",'A5.YE22'!L:L,"Posted",'A5.YE22'!D:D,'A0.LS'!E227),0)</f>
        <v>0</v>
      </c>
      <c r="BJ227" s="936">
        <f t="shared" si="145"/>
        <v>0</v>
      </c>
      <c r="BK227" s="937"/>
      <c r="BL227" s="936">
        <f>ROUND(SUMIFS('911.KCG.YE22'!T:T,'911.KCG.YE22'!P:P,'A0.LS'!E227),0)</f>
        <v>0</v>
      </c>
      <c r="BM227" s="936">
        <f>ROUND(SUMIFS('A5.YE22'!J:J,'A5.YE22'!K:K,'A0.LS'!$BM$5,'A5.YE22'!L:L,"Posted",'A5.YE22'!D:D,'A0.LS'!E227),0)</f>
        <v>0</v>
      </c>
      <c r="BN227" s="936">
        <f t="shared" si="146"/>
        <v>0</v>
      </c>
      <c r="BO227" s="937"/>
      <c r="BP227" s="938">
        <v>104166346</v>
      </c>
      <c r="BQ227" s="938">
        <f>ROUND(SUMIFS('A5.YE22'!J:J,'A5.YE22'!K:K,'A0.LS'!$BQ$5,'A5.YE22'!L:L,"Posted",'A5.YE22'!D:D,'A0.LS'!E227),0)</f>
        <v>0</v>
      </c>
      <c r="BR227" s="938">
        <f t="shared" si="147"/>
        <v>104166346</v>
      </c>
    </row>
    <row r="228" spans="2:70" ht="12.75">
      <c r="B228" s="939">
        <v>11</v>
      </c>
      <c r="C228" s="940" t="s">
        <v>2438</v>
      </c>
      <c r="D228" s="941" t="s">
        <v>2438</v>
      </c>
      <c r="E228" s="953" t="s">
        <v>2451</v>
      </c>
      <c r="F228" s="928" t="s">
        <v>2452</v>
      </c>
      <c r="G228" s="927" t="s">
        <v>2417</v>
      </c>
      <c r="H228" s="927" t="s">
        <v>2265</v>
      </c>
      <c r="I228" s="942">
        <f>SUMIFS('GL154.Cty Me.FY24'!S:S,'GL154.Cty Me.FY24'!H:H,'A0.LS'!E228)</f>
        <v>0</v>
      </c>
      <c r="J228" s="942">
        <f>ROUND(SUMIFS('A5.FY24'!K:K,'A5.FY24'!E:E,'A0.LS'!E228,'A5.FY24'!L:L,"Finhay",'A5.FY24'!M:M,"Posted"),0)</f>
        <v>0</v>
      </c>
      <c r="K228" s="942">
        <f>ROUND(SUMIFS('A5.FY24'!K:K,'A5.FY24'!E:E,'A0.LS'!E228,'A5.FY24'!L:L,"EY",'A5.FY24'!M:M,"Posted"),0)</f>
        <v>0</v>
      </c>
      <c r="L228" s="943">
        <f t="shared" si="134"/>
        <v>0</v>
      </c>
      <c r="M228" s="930"/>
      <c r="N228" s="944">
        <v>0</v>
      </c>
      <c r="O228" s="944">
        <v>0</v>
      </c>
      <c r="P228" s="944">
        <v>0</v>
      </c>
      <c r="Q228" s="945">
        <v>0</v>
      </c>
      <c r="R228" s="898"/>
      <c r="S228" s="848">
        <f t="shared" si="132"/>
        <v>0</v>
      </c>
      <c r="T228" s="946" t="str">
        <f t="shared" si="133"/>
        <v>To check</v>
      </c>
      <c r="U228" s="850" t="s">
        <v>681</v>
      </c>
      <c r="V228" s="850" t="e">
        <v>#N/A</v>
      </c>
      <c r="W228" s="850"/>
      <c r="X228" s="947" t="s">
        <v>2227</v>
      </c>
      <c r="Y228" s="947" t="s">
        <v>2417</v>
      </c>
      <c r="Z228" s="936">
        <f>ROUND(SUMIFS('GL911.CtyCon.FY24'!N:N,'GL911.CtyCon.FY24'!G:G,'A0.LS'!E228),0)</f>
        <v>0</v>
      </c>
      <c r="AA228" s="936">
        <f>ROUND(SUMIFS('A5.CTC FY24'!K:K,'A5.CTC FY24'!E:E,'A0.LS'!E228,'A5.CTC FY24'!A:A,'A0.LS'!$AA$5,'A5.CTC FY24'!L:L,"Finhay",'A5.CTC FY24'!M:M,"Posted"),0)</f>
        <v>0</v>
      </c>
      <c r="AB228" s="936">
        <f>ROUND(SUMIFS('A5.CTC FY24'!K:K,'A5.CTC FY24'!E:E,'A0.LS'!E228,'A5.CTC FY24'!A:A,'A0.LS'!$AB$5,'A5.CTC FY24'!L:L,"EY",'A5.CTC FY24'!M:M,"Posted"),0)</f>
        <v>0</v>
      </c>
      <c r="AC228" s="948">
        <f t="shared" si="135"/>
        <v>0</v>
      </c>
      <c r="AD228" s="930"/>
      <c r="AE228" s="936">
        <f>SUMIFS('GL911 VNSC FY24'!T:T,'GL911 VNSC FY24'!AG:AG,'A0.LS'!E228)</f>
        <v>0</v>
      </c>
      <c r="AF228" s="936">
        <f>SUMIFS('A5.CTC FY24'!K:K,'A5.CTC FY24'!E:E,'A0.LS'!E228,'A5.CTC FY24'!A:A,"VNSC",'A5.CTC FY24'!L:L,"VNSC",'A5.CTC FY24'!M:M,"Posted")</f>
        <v>0</v>
      </c>
      <c r="AG228" s="936">
        <f>ROUND(SUMIFS('A5.CTC FY24'!K:K,'A5.CTC FY24'!E:E,'A0.LS'!E228,'A5.CTC FY24'!A:A,"VNSC",'A5.CTC FY24'!L:L,"EY",'A5.CTC FY24'!M:M,"Posted"),0)</f>
        <v>0</v>
      </c>
      <c r="AH228" s="936">
        <f t="shared" si="136"/>
        <v>0</v>
      </c>
      <c r="AI228" s="930"/>
      <c r="AJ228" s="936">
        <f>ROUND(SUMIFS('GL911.KCG.FY24'!T:T,'GL911.KCG.FY24'!U:U,'A0.LS'!E228),0)</f>
        <v>0</v>
      </c>
      <c r="AK228" s="936">
        <f>ROUND(SUMIFS('A5.CTC FY24'!K:K,'A5.CTC FY24'!E:E,'A0.LS'!E228,'A5.CTC FY24'!A:A,'A0.LS'!$AK$5,'A5.CTC FY24'!L:L,"EY",'A5.CTC FY24'!M:M,"Posted"),0)</f>
        <v>0</v>
      </c>
      <c r="AL228" s="948">
        <f t="shared" si="137"/>
        <v>0</v>
      </c>
      <c r="AM228" s="930"/>
      <c r="AN228" s="949">
        <f t="shared" si="138"/>
        <v>0</v>
      </c>
      <c r="AO228" s="950">
        <f>ROUND(SUMIFS('A5.Consol FY24'!L:L,'A5.Consol FY24'!M:M,"EY",'A5.Consol FY24'!N:N,"Posted",'A5.Consol FY24'!B:B,'A0.LS'!$AO$5,'A5.Consol FY24'!F:F,'A0.LS'!E228),0)</f>
        <v>0</v>
      </c>
      <c r="AP228" s="949">
        <f t="shared" si="139"/>
        <v>0</v>
      </c>
      <c r="AQ228" s="930"/>
      <c r="AR228" s="936">
        <f>ROUND(SUMIFS('GL911.XH.FY24'!L:L,'GL911.XH.FY24'!F:F,'A0.LS'!E228),0)</f>
        <v>0</v>
      </c>
      <c r="AS228" s="936">
        <f>ROUND(SUMIFS('A5.CTC FY24'!K:K,'A5.CTC FY24'!E:E,'A0.LS'!E228,'A5.CTC FY24'!A:A,'A0.LS'!$AS$5,'A5.CTC FY24'!L:L,"EY",'A5.CTC FY24'!M:M,"Posted"),0)</f>
        <v>0</v>
      </c>
      <c r="AT228" s="948">
        <f t="shared" si="140"/>
        <v>0</v>
      </c>
      <c r="AU228" s="930"/>
      <c r="AV228" s="951">
        <f t="shared" si="141"/>
        <v>0</v>
      </c>
      <c r="AW228" s="952">
        <f>SUMIFS('A5.Consol FY24'!L:L,'A5.Consol FY24'!B:B,'A0.LS'!$AW$5,'A5.Consol FY24'!M:M,"EY",'A5.Consol FY24'!N:N,"Posted",'A5.Consol FY24'!F:F,'A0.LS'!E228)</f>
        <v>0</v>
      </c>
      <c r="AX228" s="951">
        <f t="shared" si="142"/>
        <v>0</v>
      </c>
      <c r="AY228" s="920"/>
      <c r="AZ228" s="936">
        <f>SUMIFS('911.CTC.YE22'!U:U,'911.CTC.YE22'!R:R,'A0.LS'!E228)</f>
        <v>0</v>
      </c>
      <c r="BA228" s="936">
        <f>ROUND(SUMIFS('A5.YE22'!J:J,'A5.YE22'!K:K,'A0.LS'!$BA$5,'A5.YE22'!L:L,"Posted",'A5.YE22'!D:D,'A0.LS'!E228),0)</f>
        <v>0</v>
      </c>
      <c r="BB228" s="936">
        <f t="shared" si="143"/>
        <v>0</v>
      </c>
      <c r="BC228" s="937"/>
      <c r="BD228" s="936">
        <f>ROUND(SUMIFS('911.VNSC.YE22'!R:R,'911.VNSC.YE22'!L:L,'A0.LS'!E228),0)</f>
        <v>0</v>
      </c>
      <c r="BE228" s="936">
        <f>ROUND(SUMIFS('A5.YE22'!J:J,'A5.YE22'!K:K,'A0.LS'!$BE$5,'A5.YE22'!L:L,"Posted",'A5.YE22'!D:D,'A0.LS'!E228),0)</f>
        <v>0</v>
      </c>
      <c r="BF228" s="936">
        <f t="shared" si="144"/>
        <v>0</v>
      </c>
      <c r="BG228" s="937"/>
      <c r="BH228" s="936">
        <f>ROUND(SUMIFS('911.XH.YE22'!T:T,'911.XH.YE22'!P:P,'A0.LS'!E228),0)</f>
        <v>0</v>
      </c>
      <c r="BI228" s="936">
        <f>ROUND(SUMIFS('A5.YE22'!J:J,'A5.YE22'!K:K,"XH",'A5.YE22'!L:L,"Posted",'A5.YE22'!D:D,'A0.LS'!E228),0)</f>
        <v>0</v>
      </c>
      <c r="BJ228" s="936">
        <f t="shared" si="145"/>
        <v>0</v>
      </c>
      <c r="BK228" s="937"/>
      <c r="BL228" s="936">
        <f>ROUND(SUMIFS('911.KCG.YE22'!T:T,'911.KCG.YE22'!P:P,'A0.LS'!E228),0)</f>
        <v>0</v>
      </c>
      <c r="BM228" s="936">
        <f>ROUND(SUMIFS('A5.YE22'!J:J,'A5.YE22'!K:K,'A0.LS'!$BM$5,'A5.YE22'!L:L,"Posted",'A5.YE22'!D:D,'A0.LS'!E228),0)</f>
        <v>0</v>
      </c>
      <c r="BN228" s="936">
        <f t="shared" si="146"/>
        <v>0</v>
      </c>
      <c r="BO228" s="937"/>
      <c r="BP228" s="938">
        <v>0</v>
      </c>
      <c r="BQ228" s="938">
        <v>0</v>
      </c>
      <c r="BR228" s="938">
        <f t="shared" si="147"/>
        <v>0</v>
      </c>
    </row>
    <row r="229" spans="2:70" ht="12.75">
      <c r="B229" s="939">
        <v>11</v>
      </c>
      <c r="C229" s="940" t="s">
        <v>2416</v>
      </c>
      <c r="D229" s="941" t="s">
        <v>2416</v>
      </c>
      <c r="E229" s="928" t="s">
        <v>301</v>
      </c>
      <c r="F229" s="928" t="s">
        <v>302</v>
      </c>
      <c r="G229" s="927" t="s">
        <v>2417</v>
      </c>
      <c r="H229" s="927" t="s">
        <v>2265</v>
      </c>
      <c r="I229" s="942">
        <f>SUMIFS('GL154.Cty Me.FY24'!S:S,'GL154.Cty Me.FY24'!H:H,'A0.LS'!E229)</f>
        <v>26657340</v>
      </c>
      <c r="J229" s="942">
        <f>ROUND(SUMIFS('A5.FY24'!K:K,'A5.FY24'!E:E,'A0.LS'!E229,'A5.FY24'!L:L,"Finhay",'A5.FY24'!M:M,"Posted"),0)</f>
        <v>0</v>
      </c>
      <c r="K229" s="942">
        <f>ROUND(SUMIFS('A5.FY24'!K:K,'A5.FY24'!E:E,'A0.LS'!E229,'A5.FY24'!L:L,"EY",'A5.FY24'!M:M,"Posted"),0)</f>
        <v>0</v>
      </c>
      <c r="L229" s="943">
        <f t="shared" si="134"/>
        <v>26657340</v>
      </c>
      <c r="M229" s="930"/>
      <c r="N229" s="944">
        <v>36104042</v>
      </c>
      <c r="O229" s="944">
        <v>1818597</v>
      </c>
      <c r="P229" s="944">
        <v>0</v>
      </c>
      <c r="Q229" s="945">
        <v>37922639</v>
      </c>
      <c r="R229" s="898"/>
      <c r="S229" s="848">
        <f t="shared" si="132"/>
        <v>-11265299</v>
      </c>
      <c r="T229" s="946">
        <f t="shared" si="133"/>
        <v>-0.29705999627293872</v>
      </c>
      <c r="U229" s="850" t="s">
        <v>2453</v>
      </c>
      <c r="V229" s="850" t="s">
        <v>2450</v>
      </c>
      <c r="W229" s="850"/>
      <c r="X229" s="947" t="s">
        <v>2227</v>
      </c>
      <c r="Y229" s="947" t="s">
        <v>2417</v>
      </c>
      <c r="Z229" s="936">
        <f>ROUND(SUMIFS('GL911.CtyCon.FY24'!N:N,'GL911.CtyCon.FY24'!G:G,'A0.LS'!E229),0)</f>
        <v>0</v>
      </c>
      <c r="AA229" s="936">
        <f>ROUND(SUMIFS('A5.CTC FY24'!K:K,'A5.CTC FY24'!E:E,'A0.LS'!E229,'A5.CTC FY24'!A:A,'A0.LS'!$AA$5,'A5.CTC FY24'!L:L,"Finhay",'A5.CTC FY24'!M:M,"Posted"),0)</f>
        <v>0</v>
      </c>
      <c r="AB229" s="936">
        <f>ROUND(SUMIFS('A5.CTC FY24'!K:K,'A5.CTC FY24'!E:E,'A0.LS'!E229,'A5.CTC FY24'!A:A,'A0.LS'!$AB$5,'A5.CTC FY24'!L:L,"EY",'A5.CTC FY24'!M:M,"Posted"),0)</f>
        <v>0</v>
      </c>
      <c r="AC229" s="948">
        <f t="shared" si="135"/>
        <v>0</v>
      </c>
      <c r="AD229" s="930"/>
      <c r="AE229" s="936">
        <f>SUMIFS('GL911 VNSC FY24'!T:T,'GL911 VNSC FY24'!AG:AG,'A0.LS'!E229)</f>
        <v>0</v>
      </c>
      <c r="AF229" s="936">
        <f>SUMIFS('A5.CTC FY24'!K:K,'A5.CTC FY24'!E:E,'A0.LS'!E229,'A5.CTC FY24'!A:A,"VNSC",'A5.CTC FY24'!L:L,"VNSC",'A5.CTC FY24'!M:M,"Posted")</f>
        <v>0</v>
      </c>
      <c r="AG229" s="936">
        <f>ROUND(SUMIFS('A5.CTC FY24'!K:K,'A5.CTC FY24'!E:E,'A0.LS'!E229,'A5.CTC FY24'!A:A,"VNSC",'A5.CTC FY24'!L:L,"EY",'A5.CTC FY24'!M:M,"Posted"),0)</f>
        <v>0</v>
      </c>
      <c r="AH229" s="936">
        <f t="shared" si="136"/>
        <v>0</v>
      </c>
      <c r="AI229" s="930"/>
      <c r="AJ229" s="936">
        <f>ROUND(SUMIFS('GL911.KCG.FY24'!T:T,'GL911.KCG.FY24'!U:U,'A0.LS'!E229),0)</f>
        <v>0</v>
      </c>
      <c r="AK229" s="936">
        <f>ROUND(SUMIFS('A5.CTC FY24'!K:K,'A5.CTC FY24'!E:E,'A0.LS'!E229,'A5.CTC FY24'!A:A,'A0.LS'!$AK$5,'A5.CTC FY24'!L:L,"EY",'A5.CTC FY24'!M:M,"Posted"),0)</f>
        <v>0</v>
      </c>
      <c r="AL229" s="948">
        <f t="shared" si="137"/>
        <v>0</v>
      </c>
      <c r="AM229" s="930"/>
      <c r="AN229" s="949">
        <f t="shared" si="138"/>
        <v>0</v>
      </c>
      <c r="AO229" s="950">
        <f>ROUND(SUMIFS('A5.Consol FY24'!L:L,'A5.Consol FY24'!M:M,"EY",'A5.Consol FY24'!N:N,"Posted",'A5.Consol FY24'!B:B,'A0.LS'!$AO$5,'A5.Consol FY24'!F:F,'A0.LS'!E229),0)</f>
        <v>0</v>
      </c>
      <c r="AP229" s="949">
        <f t="shared" si="139"/>
        <v>0</v>
      </c>
      <c r="AQ229" s="930"/>
      <c r="AR229" s="936">
        <f>ROUND(SUMIFS('GL911.XH.FY24'!L:L,'GL911.XH.FY24'!F:F,'A0.LS'!E229),0)</f>
        <v>0</v>
      </c>
      <c r="AS229" s="936">
        <f>ROUND(SUMIFS('A5.CTC FY24'!K:K,'A5.CTC FY24'!E:E,'A0.LS'!E229,'A5.CTC FY24'!A:A,'A0.LS'!$AS$5,'A5.CTC FY24'!L:L,"EY",'A5.CTC FY24'!M:M,"Posted"),0)</f>
        <v>0</v>
      </c>
      <c r="AT229" s="948">
        <f t="shared" si="140"/>
        <v>0</v>
      </c>
      <c r="AU229" s="930"/>
      <c r="AV229" s="951">
        <f t="shared" si="141"/>
        <v>26657340</v>
      </c>
      <c r="AW229" s="952">
        <f>SUMIFS('A5.Consol FY24'!L:L,'A5.Consol FY24'!B:B,'A0.LS'!$AW$5,'A5.Consol FY24'!M:M,"EY",'A5.Consol FY24'!N:N,"Posted",'A5.Consol FY24'!F:F,'A0.LS'!E229)</f>
        <v>0</v>
      </c>
      <c r="AX229" s="951">
        <f t="shared" si="142"/>
        <v>26657340</v>
      </c>
      <c r="AY229" s="920"/>
      <c r="AZ229" s="936">
        <f>SUMIFS('911.CTC.YE22'!U:U,'911.CTC.YE22'!R:R,'A0.LS'!E229)</f>
        <v>0</v>
      </c>
      <c r="BA229" s="936">
        <f>ROUND(SUMIFS('A5.YE22'!J:J,'A5.YE22'!K:K,'A0.LS'!$BA$5,'A5.YE22'!L:L,"Posted",'A5.YE22'!D:D,'A0.LS'!E229),0)</f>
        <v>0</v>
      </c>
      <c r="BB229" s="936">
        <f t="shared" si="143"/>
        <v>0</v>
      </c>
      <c r="BC229" s="937"/>
      <c r="BD229" s="936">
        <f>ROUND(SUMIFS('911.VNSC.YE22'!R:R,'911.VNSC.YE22'!L:L,'A0.LS'!E229),0)</f>
        <v>0</v>
      </c>
      <c r="BE229" s="936">
        <f>ROUND(SUMIFS('A5.YE22'!J:J,'A5.YE22'!K:K,'A0.LS'!$BE$5,'A5.YE22'!L:L,"Posted",'A5.YE22'!D:D,'A0.LS'!E229),0)</f>
        <v>0</v>
      </c>
      <c r="BF229" s="936">
        <f t="shared" si="144"/>
        <v>0</v>
      </c>
      <c r="BG229" s="937"/>
      <c r="BH229" s="936">
        <f>ROUND(SUMIFS('911.XH.YE22'!T:T,'911.XH.YE22'!P:P,'A0.LS'!E229),0)</f>
        <v>0</v>
      </c>
      <c r="BI229" s="936">
        <f>ROUND(SUMIFS('A5.YE22'!J:J,'A5.YE22'!K:K,"XH",'A5.YE22'!L:L,"Posted",'A5.YE22'!D:D,'A0.LS'!E229),0)</f>
        <v>0</v>
      </c>
      <c r="BJ229" s="936">
        <f t="shared" si="145"/>
        <v>0</v>
      </c>
      <c r="BK229" s="937"/>
      <c r="BL229" s="936">
        <f>ROUND(SUMIFS('911.KCG.YE22'!T:T,'911.KCG.YE22'!P:P,'A0.LS'!E229),0)</f>
        <v>0</v>
      </c>
      <c r="BM229" s="936">
        <f>ROUND(SUMIFS('A5.YE22'!J:J,'A5.YE22'!K:K,'A0.LS'!$BM$5,'A5.YE22'!L:L,"Posted",'A5.YE22'!D:D,'A0.LS'!E229),0)</f>
        <v>0</v>
      </c>
      <c r="BN229" s="936">
        <f t="shared" si="146"/>
        <v>0</v>
      </c>
      <c r="BO229" s="937"/>
      <c r="BP229" s="938">
        <v>37922639</v>
      </c>
      <c r="BQ229" s="938">
        <f>ROUND(SUMIFS('A5.YE22'!J:J,'A5.YE22'!K:K,'A0.LS'!$BQ$5,'A5.YE22'!L:L,"Posted",'A5.YE22'!D:D,'A0.LS'!E229),0)</f>
        <v>0</v>
      </c>
      <c r="BR229" s="938">
        <f t="shared" si="147"/>
        <v>37922639</v>
      </c>
    </row>
    <row r="230" spans="2:70" ht="12.75">
      <c r="B230" s="939">
        <v>11</v>
      </c>
      <c r="C230" s="940"/>
      <c r="D230" s="941"/>
      <c r="E230" s="928" t="s">
        <v>1291</v>
      </c>
      <c r="F230" s="928" t="s">
        <v>2454</v>
      </c>
      <c r="G230" s="927" t="s">
        <v>2417</v>
      </c>
      <c r="H230" s="927" t="s">
        <v>2265</v>
      </c>
      <c r="I230" s="942"/>
      <c r="J230" s="942"/>
      <c r="K230" s="942"/>
      <c r="L230" s="943">
        <f t="shared" si="134"/>
        <v>0</v>
      </c>
      <c r="M230" s="930"/>
      <c r="N230" s="944"/>
      <c r="O230" s="944"/>
      <c r="P230" s="944"/>
      <c r="Q230" s="945">
        <v>0</v>
      </c>
      <c r="R230" s="898"/>
      <c r="S230" s="848"/>
      <c r="T230" s="946"/>
      <c r="U230" s="850"/>
      <c r="V230" s="850"/>
      <c r="W230" s="850"/>
      <c r="X230" s="947" t="s">
        <v>2227</v>
      </c>
      <c r="Y230" s="947" t="s">
        <v>2417</v>
      </c>
      <c r="Z230" s="936">
        <f>ROUND(SUMIFS('GL911.CtyCon.FY24'!N:N,'GL911.CtyCon.FY24'!G:G,'A0.LS'!E230),0)</f>
        <v>0</v>
      </c>
      <c r="AA230" s="936">
        <f>ROUND(SUMIFS('A5.CTC FY24'!K:K,'A5.CTC FY24'!E:E,'A0.LS'!E230,'A5.CTC FY24'!A:A,'A0.LS'!$AA$5,'A5.CTC FY24'!L:L,"Finhay",'A5.CTC FY24'!M:M,"Posted"),0)</f>
        <v>0</v>
      </c>
      <c r="AB230" s="936">
        <f>ROUND(SUMIFS('A5.CTC FY24'!K:K,'A5.CTC FY24'!E:E,'A0.LS'!E230,'A5.CTC FY24'!A:A,'A0.LS'!$AB$5,'A5.CTC FY24'!L:L,"EY",'A5.CTC FY24'!M:M,"Posted"),0)</f>
        <v>0</v>
      </c>
      <c r="AC230" s="948">
        <f t="shared" si="135"/>
        <v>0</v>
      </c>
      <c r="AD230" s="930"/>
      <c r="AE230" s="936">
        <f>SUMIFS('GL911 VNSC FY24'!T:T,'GL911 VNSC FY24'!AG:AG,'A0.LS'!E230)</f>
        <v>0</v>
      </c>
      <c r="AF230" s="936"/>
      <c r="AG230" s="936"/>
      <c r="AH230" s="936">
        <f t="shared" si="136"/>
        <v>0</v>
      </c>
      <c r="AI230" s="930"/>
      <c r="AJ230" s="936"/>
      <c r="AK230" s="936"/>
      <c r="AL230" s="948">
        <f t="shared" si="137"/>
        <v>0</v>
      </c>
      <c r="AM230" s="930"/>
      <c r="AN230" s="949"/>
      <c r="AO230" s="950"/>
      <c r="AP230" s="949">
        <f t="shared" si="139"/>
        <v>0</v>
      </c>
      <c r="AQ230" s="930"/>
      <c r="AR230" s="936">
        <f>ROUND(SUMIFS('GL911.XH.FY24'!L:L,'GL911.XH.FY24'!F:F,'A0.LS'!E230),0)</f>
        <v>0</v>
      </c>
      <c r="AS230" s="936">
        <f>ROUND(SUMIFS('A5.CTC FY24'!K:K,'A5.CTC FY24'!E:E,'A0.LS'!E230,'A5.CTC FY24'!A:A,'A0.LS'!$AS$5,'A5.CTC FY24'!L:L,"EY",'A5.CTC FY24'!M:M,"Posted"),0)</f>
        <v>0</v>
      </c>
      <c r="AT230" s="948">
        <f t="shared" si="140"/>
        <v>0</v>
      </c>
      <c r="AU230" s="930"/>
      <c r="AV230" s="951">
        <f t="shared" si="141"/>
        <v>0</v>
      </c>
      <c r="AW230" s="952">
        <f>SUMIFS('A5.Consol FY24'!L:L,'A5.Consol FY24'!B:B,'A0.LS'!$AW$5,'A5.Consol FY24'!M:M,"EY",'A5.Consol FY24'!N:N,"Posted",'A5.Consol FY24'!F:F,'A0.LS'!E230)</f>
        <v>-2587505032</v>
      </c>
      <c r="AX230" s="951">
        <f t="shared" si="142"/>
        <v>-2587505032</v>
      </c>
      <c r="AY230" s="920"/>
      <c r="AZ230" s="936"/>
      <c r="BA230" s="936"/>
      <c r="BB230" s="936"/>
      <c r="BC230" s="937"/>
      <c r="BD230" s="936"/>
      <c r="BE230" s="936"/>
      <c r="BF230" s="936"/>
      <c r="BG230" s="937"/>
      <c r="BH230" s="936"/>
      <c r="BI230" s="936"/>
      <c r="BJ230" s="936"/>
      <c r="BK230" s="937"/>
      <c r="BL230" s="936"/>
      <c r="BM230" s="936"/>
      <c r="BN230" s="936"/>
      <c r="BO230" s="937"/>
      <c r="BP230" s="938">
        <v>0</v>
      </c>
      <c r="BQ230" s="938">
        <f>-703257301</f>
        <v>-703257301</v>
      </c>
      <c r="BR230" s="938">
        <f t="shared" si="147"/>
        <v>-703257301</v>
      </c>
    </row>
    <row r="231" spans="2:70" ht="12.75">
      <c r="B231" s="103">
        <v>11</v>
      </c>
      <c r="C231" s="572" t="s">
        <v>2455</v>
      </c>
      <c r="D231" s="105"/>
      <c r="E231" s="104" t="s">
        <v>303</v>
      </c>
      <c r="F231" s="104" t="s">
        <v>304</v>
      </c>
      <c r="G231" s="105" t="s">
        <v>2417</v>
      </c>
      <c r="H231" s="927" t="s">
        <v>2265</v>
      </c>
      <c r="I231" s="102">
        <v>0</v>
      </c>
      <c r="J231" s="942">
        <f>ROUND(SUMIFS('A5.FY24'!K:K,'A5.FY24'!E:E,'A0.LS'!E231,'A5.FY24'!L:L,"Finhay",'A5.FY24'!M:M,"Posted"),0)</f>
        <v>0</v>
      </c>
      <c r="K231" s="942">
        <f>ROUND(SUMIFS('A5.FY24'!K:K,'A5.FY24'!E:E,'A0.LS'!E231,'A5.FY24'!L:L,"EY",'A5.FY24'!M:M,"Posted"),0)</f>
        <v>0</v>
      </c>
      <c r="L231" s="943">
        <f t="shared" si="134"/>
        <v>0</v>
      </c>
      <c r="M231" s="106"/>
      <c r="N231" s="71">
        <v>0</v>
      </c>
      <c r="O231" s="944">
        <v>0</v>
      </c>
      <c r="P231" s="944">
        <v>0</v>
      </c>
      <c r="Q231" s="72">
        <v>0</v>
      </c>
      <c r="R231" s="898"/>
      <c r="S231" s="848">
        <f>L231-Q231</f>
        <v>0</v>
      </c>
      <c r="T231" s="946" t="str">
        <f>IFERROR(S231/Q231,"To check")</f>
        <v>To check</v>
      </c>
      <c r="U231" s="850"/>
      <c r="V231" s="850" t="s">
        <v>2456</v>
      </c>
      <c r="W231" s="850"/>
      <c r="X231" s="947" t="s">
        <v>2227</v>
      </c>
      <c r="Y231" s="947" t="s">
        <v>2417</v>
      </c>
      <c r="Z231" s="936">
        <f>ROUND(SUMIFS('GL911.CtyCon.FY24'!N:N,'GL911.CtyCon.FY24'!G:G,'A0.LS'!E231),0)</f>
        <v>39720549947</v>
      </c>
      <c r="AA231" s="936">
        <f>ROUND(SUMIFS('A5.CTC FY24'!K:K,'A5.CTC FY24'!E:E,'A0.LS'!E231,'A5.CTC FY24'!A:A,'A0.LS'!$AA$5,'A5.CTC FY24'!L:L,"Finhay",'A5.CTC FY24'!M:M,"Posted"),0)</f>
        <v>0</v>
      </c>
      <c r="AB231" s="936">
        <f>ROUND(SUMIFS('A5.CTC FY24'!K:K,'A5.CTC FY24'!E:E,'A0.LS'!E231,'A5.CTC FY24'!A:A,'A0.LS'!$AB$5,'A5.CTC FY24'!L:L,"EY",'A5.CTC FY24'!M:M,"Posted"),0)</f>
        <v>0</v>
      </c>
      <c r="AC231" s="948">
        <f t="shared" si="135"/>
        <v>39720549947</v>
      </c>
      <c r="AD231" s="106"/>
      <c r="AE231" s="936">
        <f>SUMIFS('GL911 VNSC FY24'!T:T,'GL911 VNSC FY24'!AG:AG,'A0.LS'!E231)</f>
        <v>0</v>
      </c>
      <c r="AF231" s="936">
        <f>SUMIFS('A5.CTC FY24'!K:K,'A5.CTC FY24'!E:E,'A0.LS'!E231,'A5.CTC FY24'!A:A,"VNSC",'A5.CTC FY24'!L:L,"VNSC",'A5.CTC FY24'!M:M,"Posted")</f>
        <v>0</v>
      </c>
      <c r="AG231" s="936">
        <f>ROUND(SUMIFS('A5.CTC FY24'!K:K,'A5.CTC FY24'!E:E,'A0.LS'!E231,'A5.CTC FY24'!A:A,"VNSC",'A5.CTC FY24'!L:L,"EY",'A5.CTC FY24'!M:M,"Posted"),0)</f>
        <v>0</v>
      </c>
      <c r="AH231" s="936">
        <f t="shared" si="136"/>
        <v>0</v>
      </c>
      <c r="AI231" s="106"/>
      <c r="AJ231" s="936">
        <f>ROUND(SUMIFS('GL911.KCG.FY24'!T:T,'GL911.KCG.FY24'!U:U,'A0.LS'!E231),0)</f>
        <v>0</v>
      </c>
      <c r="AK231" s="936">
        <f>ROUND(SUMIFS('A5.CTC FY24'!K:K,'A5.CTC FY24'!E:E,'A0.LS'!E231,'A5.CTC FY24'!A:A,'A0.LS'!$AK$5,'A5.CTC FY24'!L:L,"EY",'A5.CTC FY24'!M:M,"Posted"),0)</f>
        <v>0</v>
      </c>
      <c r="AL231" s="948">
        <f t="shared" si="137"/>
        <v>0</v>
      </c>
      <c r="AM231" s="106"/>
      <c r="AN231" s="949">
        <f>ROUND(SUM(AT231,AH231,AC231),0)</f>
        <v>39720549947</v>
      </c>
      <c r="AO231" s="950">
        <f>ROUND(SUMIFS('A5.Consol FY24'!L:L,'A5.Consol FY24'!M:M,"EY",'A5.Consol FY24'!N:N,"Posted",'A5.Consol FY24'!B:B,'A0.LS'!$AO$5,'A5.Consol FY24'!F:F,'A0.LS'!E231),0)</f>
        <v>0</v>
      </c>
      <c r="AP231" s="949">
        <f t="shared" si="139"/>
        <v>39720549947</v>
      </c>
      <c r="AQ231" s="106"/>
      <c r="AR231" s="936">
        <f>ROUND(SUMIFS('GL911.XH.FY24'!L:L,'GL911.XH.FY24'!F:F,'A0.LS'!E231),0)</f>
        <v>0</v>
      </c>
      <c r="AS231" s="936">
        <f>ROUND(SUMIFS('A5.CTC FY24'!K:K,'A5.CTC FY24'!E:E,'A0.LS'!E231,'A5.CTC FY24'!A:A,'A0.LS'!$AS$5,'A5.CTC FY24'!L:L,"EY",'A5.CTC FY24'!M:M,"Posted"),0)</f>
        <v>0</v>
      </c>
      <c r="AT231" s="948">
        <f t="shared" si="140"/>
        <v>0</v>
      </c>
      <c r="AU231" s="106"/>
      <c r="AV231" s="951">
        <f t="shared" si="141"/>
        <v>39720549947</v>
      </c>
      <c r="AW231" s="952">
        <f>SUMIFS('A5.Consol FY24'!L:L,'A5.Consol FY24'!B:B,'A0.LS'!$AW$5,'A5.Consol FY24'!M:M,"EY",'A5.Consol FY24'!N:N,"Posted",'A5.Consol FY24'!F:F,'A0.LS'!E231)</f>
        <v>-12880000</v>
      </c>
      <c r="AX231" s="951">
        <f t="shared" si="142"/>
        <v>39707669947</v>
      </c>
      <c r="AY231" s="920"/>
      <c r="AZ231" s="936">
        <f>SUMIFS('911.CTC.YE22'!U:U,'911.CTC.YE22'!R:R,'A0.LS'!E231)</f>
        <v>153392839350</v>
      </c>
      <c r="BA231" s="936">
        <f>ROUND(SUMIFS('A5.YE22'!J:J,'A5.YE22'!K:K,'A0.LS'!$BA$5,'A5.YE22'!L:L,"Posted",'A5.YE22'!D:D,'A0.LS'!E231),0)</f>
        <v>0</v>
      </c>
      <c r="BB231" s="936">
        <f>ROUND(SUM(AZ231:BA231),0)</f>
        <v>153392839350</v>
      </c>
      <c r="BC231" s="445"/>
      <c r="BD231" s="936">
        <f>ROUND(SUMIFS('911.VNSC.YE22'!R:R,'911.VNSC.YE22'!L:L,'A0.LS'!E231),0)</f>
        <v>0</v>
      </c>
      <c r="BE231" s="936">
        <f>ROUND(SUMIFS('A5.YE22'!J:J,'A5.YE22'!K:K,'A0.LS'!$BE$5,'A5.YE22'!L:L,"Posted",'A5.YE22'!D:D,'A0.LS'!E231),0)</f>
        <v>0</v>
      </c>
      <c r="BF231" s="936">
        <f>ROUND(SUM(BD231:BE231),0)</f>
        <v>0</v>
      </c>
      <c r="BG231" s="445"/>
      <c r="BH231" s="936">
        <f>ROUND(SUMIFS('911.XH.YE22'!T:T,'911.XH.YE22'!P:P,'A0.LS'!E231),0)</f>
        <v>0</v>
      </c>
      <c r="BI231" s="936">
        <f>ROUND(SUMIFS('A5.YE22'!J:J,'A5.YE22'!K:K,"XH",'A5.YE22'!L:L,"Posted",'A5.YE22'!D:D,'A0.LS'!E231),0)</f>
        <v>0</v>
      </c>
      <c r="BJ231" s="936">
        <f>ROUND(SUM(BH231:BI231),0)</f>
        <v>0</v>
      </c>
      <c r="BK231" s="445"/>
      <c r="BL231" s="936">
        <f>ROUND(SUMIFS('911.KCG.YE22'!T:T,'911.KCG.YE22'!P:P,'A0.LS'!E231),0)</f>
        <v>0</v>
      </c>
      <c r="BM231" s="936">
        <f>ROUND(SUMIFS('A5.YE22'!J:J,'A5.YE22'!K:K,'A0.LS'!$BM$5,'A5.YE22'!L:L,"Posted",'A5.YE22'!D:D,'A0.LS'!E231),0)</f>
        <v>0</v>
      </c>
      <c r="BN231" s="936">
        <f>ROUND(SUM(BL231:BM231),0)</f>
        <v>0</v>
      </c>
      <c r="BO231" s="445"/>
      <c r="BP231" s="938">
        <v>41399531070</v>
      </c>
      <c r="BQ231" s="938">
        <v>-14017000</v>
      </c>
      <c r="BR231" s="938">
        <f t="shared" si="147"/>
        <v>41385514070</v>
      </c>
    </row>
    <row r="232" spans="2:70" ht="12.75">
      <c r="B232" s="103">
        <v>11</v>
      </c>
      <c r="C232" s="261" t="s">
        <v>2457</v>
      </c>
      <c r="D232" s="105"/>
      <c r="E232" s="262" t="s">
        <v>789</v>
      </c>
      <c r="F232" s="263" t="s">
        <v>2458</v>
      </c>
      <c r="G232" s="927" t="s">
        <v>2417</v>
      </c>
      <c r="H232" s="927" t="s">
        <v>2265</v>
      </c>
      <c r="I232" s="942">
        <f>SUMIFS('GL154.Cty Me.FY24'!S:S,'GL154.Cty Me.FY24'!H:H,'A0.LS'!E232)</f>
        <v>0</v>
      </c>
      <c r="J232" s="942">
        <f>ROUND(SUMIFS('A5.FY24'!K:K,'A5.FY24'!E:E,'A0.LS'!E232,'A5.FY24'!L:L,"Finhay",'A5.FY24'!M:M,"Posted"),0)</f>
        <v>0</v>
      </c>
      <c r="K232" s="942">
        <f>ROUND(SUMIFS('A5.FY24'!K:K,'A5.FY24'!E:E,'A0.LS'!E232,'A5.FY24'!L:L,"EY",'A5.FY24'!M:M,"Posted"),0)</f>
        <v>0</v>
      </c>
      <c r="L232" s="943">
        <f t="shared" si="134"/>
        <v>0</v>
      </c>
      <c r="M232" s="106"/>
      <c r="N232" s="944">
        <v>0</v>
      </c>
      <c r="O232" s="944">
        <v>0</v>
      </c>
      <c r="P232" s="944">
        <v>0</v>
      </c>
      <c r="Q232" s="945">
        <v>0</v>
      </c>
      <c r="R232" s="898"/>
      <c r="S232" s="848">
        <f>L232-Q232</f>
        <v>0</v>
      </c>
      <c r="T232" s="946" t="str">
        <f>IFERROR(S232/Q232,"To check")</f>
        <v>To check</v>
      </c>
      <c r="U232" s="850"/>
      <c r="V232" s="850"/>
      <c r="W232" s="850"/>
      <c r="X232" s="947" t="s">
        <v>2227</v>
      </c>
      <c r="Y232" s="947" t="s">
        <v>2417</v>
      </c>
      <c r="Z232" s="936">
        <f>ROUND(SUMIFS('GL911.CtyCon.FY24'!N:N,'GL911.CtyCon.FY24'!G:G,'A0.LS'!E232),0)</f>
        <v>0</v>
      </c>
      <c r="AA232" s="936">
        <f>ROUND(SUMIFS('A5.CTC FY24'!K:K,'A5.CTC FY24'!E:E,'A0.LS'!E232,'A5.CTC FY24'!A:A,'A0.LS'!$AA$5,'A5.CTC FY24'!L:L,"Finhay",'A5.CTC FY24'!M:M,"Posted"),0)</f>
        <v>0</v>
      </c>
      <c r="AB232" s="936">
        <f>ROUND(SUMIFS('A5.CTC FY24'!K:K,'A5.CTC FY24'!E:E,'A0.LS'!E232,'A5.CTC FY24'!A:A,'A0.LS'!$AB$5,'A5.CTC FY24'!L:L,"EY",'A5.CTC FY24'!M:M,"Posted"),0)</f>
        <v>0</v>
      </c>
      <c r="AC232" s="948">
        <f t="shared" si="135"/>
        <v>0</v>
      </c>
      <c r="AD232" s="106"/>
      <c r="AE232" s="936">
        <f>SUMIFS('GL911 VNSC FY24'!T:T,'GL911 VNSC FY24'!AG:AG,'A0.LS'!E232)</f>
        <v>35673914541</v>
      </c>
      <c r="AF232" s="936">
        <f>SUMIFS('A5.CTC FY24'!K:K,'A5.CTC FY24'!E:E,'A0.LS'!E232,'A5.CTC FY24'!A:A,"VNSC",'A5.CTC FY24'!L:L,"VNSC",'A5.CTC FY24'!M:M,"Posted")</f>
        <v>0</v>
      </c>
      <c r="AG232" s="936">
        <f>ROUND(SUMIFS('A5.CTC FY24'!K:K,'A5.CTC FY24'!E:E,'A0.LS'!E232,'A5.CTC FY24'!A:A,"VNSC",'A5.CTC FY24'!L:L,"EY",'A5.CTC FY24'!M:M,"Posted"),0)</f>
        <v>426840330</v>
      </c>
      <c r="AH232" s="936">
        <f t="shared" si="136"/>
        <v>36100754871</v>
      </c>
      <c r="AI232" s="106"/>
      <c r="AJ232" s="936">
        <f>ROUND(SUMIFS('GL911.KCG.FY24'!T:T,'GL911.KCG.FY24'!U:U,'A0.LS'!E232),0)</f>
        <v>0</v>
      </c>
      <c r="AK232" s="936">
        <f>ROUND(SUMIFS('A5.CTC FY24'!K:K,'A5.CTC FY24'!E:E,'A0.LS'!E232,'A5.CTC FY24'!A:A,'A0.LS'!$AK$5,'A5.CTC FY24'!L:L,"EY",'A5.CTC FY24'!M:M,"Posted"),0)</f>
        <v>0</v>
      </c>
      <c r="AL232" s="948">
        <f t="shared" si="137"/>
        <v>0</v>
      </c>
      <c r="AM232" s="106"/>
      <c r="AN232" s="949">
        <f>ROUND(SUM(AT232,AH232,AC232),0)</f>
        <v>36100754871</v>
      </c>
      <c r="AO232" s="950">
        <f>ROUND(SUMIFS('A5.Consol FY24'!L:L,'A5.Consol FY24'!M:M,"EY",'A5.Consol FY24'!N:N,"Posted",'A5.Consol FY24'!B:B,'A0.LS'!$AO$5,'A5.Consol FY24'!F:F,'A0.LS'!E232),0)</f>
        <v>0</v>
      </c>
      <c r="AP232" s="949">
        <f t="shared" si="139"/>
        <v>36100754871</v>
      </c>
      <c r="AQ232" s="106"/>
      <c r="AR232" s="936">
        <f>ROUND(SUMIFS('GL911.XH.FY24'!L:L,'GL911.XH.FY24'!F:F,'A0.LS'!E232),0)</f>
        <v>0</v>
      </c>
      <c r="AS232" s="936">
        <f>ROUND(SUMIFS('A5.CTC FY24'!K:K,'A5.CTC FY24'!E:E,'A0.LS'!E232,'A5.CTC FY24'!A:A,'A0.LS'!$AS$5,'A5.CTC FY24'!L:L,"EY",'A5.CTC FY24'!M:M,"Posted"),0)</f>
        <v>0</v>
      </c>
      <c r="AT232" s="948">
        <f t="shared" si="140"/>
        <v>0</v>
      </c>
      <c r="AU232" s="106"/>
      <c r="AV232" s="951">
        <f t="shared" si="141"/>
        <v>36100754871</v>
      </c>
      <c r="AW232" s="952">
        <f>SUMIFS('A5.Consol FY24'!L:L,'A5.Consol FY24'!B:B,'A0.LS'!$AW$5,'A5.Consol FY24'!M:M,"EY",'A5.Consol FY24'!N:N,"Posted",'A5.Consol FY24'!F:F,'A0.LS'!E232)</f>
        <v>-3792000000</v>
      </c>
      <c r="AX232" s="951">
        <f t="shared" si="142"/>
        <v>32308754871</v>
      </c>
      <c r="AY232" s="920"/>
      <c r="AZ232" s="936">
        <f>SUMIFS('911.CTC.YE22'!U:U,'911.CTC.YE22'!R:R,'A0.LS'!E232)</f>
        <v>0</v>
      </c>
      <c r="BA232" s="936">
        <f>ROUND(SUMIFS('A5.YE22'!J:J,'A5.YE22'!K:K,'A0.LS'!$BA$5,'A5.YE22'!L:L,"Posted",'A5.YE22'!D:D,'A0.LS'!E232),0)</f>
        <v>0</v>
      </c>
      <c r="BB232" s="936">
        <f>ROUND(SUM(AZ232:BA232),0)</f>
        <v>0</v>
      </c>
      <c r="BC232" s="445"/>
      <c r="BD232" s="936">
        <f>ROUND(SUMIFS('911.VNSC.YE22'!R:R,'911.VNSC.YE22'!L:L,'A0.LS'!E232),0)</f>
        <v>0</v>
      </c>
      <c r="BE232" s="936">
        <f>ROUND(SUMIFS('A5.YE22'!J:J,'A5.YE22'!K:K,'A0.LS'!$BE$5,'A5.YE22'!L:L,"Posted",'A5.YE22'!D:D,'A0.LS'!E232),0)</f>
        <v>0</v>
      </c>
      <c r="BF232" s="936">
        <f>ROUND(SUM(BD232:BE232),0)</f>
        <v>0</v>
      </c>
      <c r="BG232" s="445"/>
      <c r="BH232" s="936">
        <f>ROUND(SUMIFS('911.XH.YE22'!T:T,'911.XH.YE22'!P:P,'A0.LS'!E232),0)</f>
        <v>0</v>
      </c>
      <c r="BI232" s="936">
        <f>ROUND(SUMIFS('A5.YE22'!J:J,'A5.YE22'!K:K,"XH",'A5.YE22'!L:L,"Posted",'A5.YE22'!D:D,'A0.LS'!E232),0)</f>
        <v>0</v>
      </c>
      <c r="BJ232" s="936">
        <f>ROUND(SUM(BH232:BI232),0)</f>
        <v>0</v>
      </c>
      <c r="BK232" s="445"/>
      <c r="BL232" s="936">
        <f>ROUND(SUMIFS('911.KCG.YE22'!T:T,'911.KCG.YE22'!P:P,'A0.LS'!E232),0)</f>
        <v>0</v>
      </c>
      <c r="BM232" s="936">
        <f>ROUND(SUMIFS('A5.YE22'!J:J,'A5.YE22'!K:K,'A0.LS'!$BM$5,'A5.YE22'!L:L,"Posted",'A5.YE22'!D:D,'A0.LS'!E232),0)</f>
        <v>0</v>
      </c>
      <c r="BN232" s="936">
        <f>ROUND(SUM(BL232:BM232),0)</f>
        <v>0</v>
      </c>
      <c r="BO232" s="445"/>
      <c r="BP232" s="938">
        <v>10518769327</v>
      </c>
      <c r="BQ232" s="938">
        <v>-900000000</v>
      </c>
      <c r="BR232" s="938">
        <f>ROUND(SUM(BP232:BQ232),0)</f>
        <v>9618769327</v>
      </c>
    </row>
    <row r="233" spans="2:70" ht="12.75">
      <c r="B233" s="103">
        <v>11</v>
      </c>
      <c r="C233" s="261" t="s">
        <v>2459</v>
      </c>
      <c r="D233" s="105"/>
      <c r="E233" s="262" t="s">
        <v>823</v>
      </c>
      <c r="F233" s="263" t="s">
        <v>2460</v>
      </c>
      <c r="G233" s="927" t="s">
        <v>2417</v>
      </c>
      <c r="H233" s="927" t="s">
        <v>2265</v>
      </c>
      <c r="I233" s="942">
        <f>SUMIFS('GL154.Cty Me.FY24'!S:S,'GL154.Cty Me.FY24'!H:H,'A0.LS'!E233)</f>
        <v>0</v>
      </c>
      <c r="J233" s="942">
        <f>ROUND(SUMIFS('A5.FY24'!K:K,'A5.FY24'!E:E,'A0.LS'!E233,'A5.FY24'!L:L,"Finhay",'A5.FY24'!M:M,"Posted"),0)</f>
        <v>0</v>
      </c>
      <c r="K233" s="942">
        <f>ROUND(SUMIFS('A5.FY24'!K:K,'A5.FY24'!E:E,'A0.LS'!E233,'A5.FY24'!L:L,"EY",'A5.FY24'!M:M,"Posted"),0)</f>
        <v>0</v>
      </c>
      <c r="L233" s="943">
        <f t="shared" si="134"/>
        <v>0</v>
      </c>
      <c r="M233" s="106"/>
      <c r="N233" s="944">
        <v>0</v>
      </c>
      <c r="O233" s="944">
        <v>0</v>
      </c>
      <c r="P233" s="944">
        <v>0</v>
      </c>
      <c r="Q233" s="945">
        <v>0</v>
      </c>
      <c r="R233" s="898"/>
      <c r="S233" s="848">
        <f>L233-Q233</f>
        <v>0</v>
      </c>
      <c r="T233" s="946" t="str">
        <f>IFERROR(S233/Q233,"To check")</f>
        <v>To check</v>
      </c>
      <c r="U233" s="850"/>
      <c r="V233" s="850"/>
      <c r="W233" s="850"/>
      <c r="X233" s="947" t="s">
        <v>2227</v>
      </c>
      <c r="Y233" s="947" t="s">
        <v>2417</v>
      </c>
      <c r="Z233" s="936">
        <f>ROUND(SUMIFS('GL911.CtyCon.FY24'!N:N,'GL911.CtyCon.FY24'!G:G,'A0.LS'!E233),0)</f>
        <v>0</v>
      </c>
      <c r="AA233" s="936">
        <f>ROUND(SUMIFS('A5.CTC FY24'!K:K,'A5.CTC FY24'!E:E,'A0.LS'!E233,'A5.CTC FY24'!A:A,'A0.LS'!$AA$5,'A5.CTC FY24'!L:L,"Finhay",'A5.CTC FY24'!M:M,"Posted"),0)</f>
        <v>0</v>
      </c>
      <c r="AB233" s="936">
        <f>ROUND(SUMIFS('A5.CTC FY24'!K:K,'A5.CTC FY24'!E:E,'A0.LS'!E233,'A5.CTC FY24'!A:A,'A0.LS'!$AB$5,'A5.CTC FY24'!L:L,"EY",'A5.CTC FY24'!M:M,"Posted"),0)</f>
        <v>0</v>
      </c>
      <c r="AC233" s="948">
        <f t="shared" si="135"/>
        <v>0</v>
      </c>
      <c r="AD233" s="106"/>
      <c r="AE233" s="936">
        <f>SUMIFS('GL911 VNSC FY24'!T:T,'GL911 VNSC FY24'!AG:AG,'A0.LS'!E233)</f>
        <v>240224806</v>
      </c>
      <c r="AF233" s="936">
        <f>SUMIFS('A5.CTC FY24'!K:K,'A5.CTC FY24'!E:E,'A0.LS'!E233,'A5.CTC FY24'!A:A,"VNSC",'A5.CTC FY24'!L:L,"VNSC",'A5.CTC FY24'!M:M,"Posted")</f>
        <v>0</v>
      </c>
      <c r="AG233" s="936">
        <f>ROUND(SUMIFS('A5.CTC FY24'!K:K,'A5.CTC FY24'!E:E,'A0.LS'!E233,'A5.CTC FY24'!A:A,"VNSC",'A5.CTC FY24'!L:L,"EY",'A5.CTC FY24'!M:M,"Posted"),0)</f>
        <v>0</v>
      </c>
      <c r="AH233" s="936">
        <f t="shared" si="136"/>
        <v>240224806</v>
      </c>
      <c r="AI233" s="106"/>
      <c r="AJ233" s="936">
        <f>ROUND(SUMIFS('GL911.KCG.FY24'!T:T,'GL911.KCG.FY24'!U:U,'A0.LS'!E233),0)</f>
        <v>0</v>
      </c>
      <c r="AK233" s="936">
        <f>ROUND(SUMIFS('A5.CTC FY24'!K:K,'A5.CTC FY24'!E:E,'A0.LS'!E233,'A5.CTC FY24'!A:A,'A0.LS'!$AK$5,'A5.CTC FY24'!L:L,"EY",'A5.CTC FY24'!M:M,"Posted"),0)</f>
        <v>0</v>
      </c>
      <c r="AL233" s="948">
        <f t="shared" si="137"/>
        <v>0</v>
      </c>
      <c r="AM233" s="106"/>
      <c r="AN233" s="949">
        <f>ROUND(SUM(AT233,AH233,AC233),0)</f>
        <v>240224806</v>
      </c>
      <c r="AO233" s="950">
        <f>ROUND(SUMIFS('A5.Consol FY24'!L:L,'A5.Consol FY24'!M:M,"EY",'A5.Consol FY24'!N:N,"Posted",'A5.Consol FY24'!B:B,'A0.LS'!$AO$5,'A5.Consol FY24'!F:F,'A0.LS'!E233),0)</f>
        <v>0</v>
      </c>
      <c r="AP233" s="949">
        <f t="shared" si="139"/>
        <v>240224806</v>
      </c>
      <c r="AQ233" s="106"/>
      <c r="AR233" s="936">
        <f>ROUND(SUMIFS('GL911.XH.FY24'!L:L,'GL911.XH.FY24'!F:F,'A0.LS'!E233),0)</f>
        <v>0</v>
      </c>
      <c r="AS233" s="936">
        <f>ROUND(SUMIFS('A5.CTC FY24'!K:K,'A5.CTC FY24'!E:E,'A0.LS'!E233,'A5.CTC FY24'!A:A,'A0.LS'!$AS$5,'A5.CTC FY24'!L:L,"EY",'A5.CTC FY24'!M:M,"Posted"),0)</f>
        <v>0</v>
      </c>
      <c r="AT233" s="948">
        <f t="shared" si="140"/>
        <v>0</v>
      </c>
      <c r="AU233" s="106"/>
      <c r="AV233" s="951">
        <f t="shared" si="141"/>
        <v>240224806</v>
      </c>
      <c r="AW233" s="952">
        <f>SUMIFS('A5.Consol FY24'!L:L,'A5.Consol FY24'!B:B,'A0.LS'!$AW$5,'A5.Consol FY24'!M:M,"EY",'A5.Consol FY24'!N:N,"Posted",'A5.Consol FY24'!F:F,'A0.LS'!E233)</f>
        <v>0</v>
      </c>
      <c r="AX233" s="951">
        <f t="shared" si="142"/>
        <v>240224806</v>
      </c>
      <c r="AY233" s="920"/>
      <c r="AZ233" s="936">
        <f>SUMIFS('911.CTC.YE22'!U:U,'911.CTC.YE22'!R:R,'A0.LS'!E233)</f>
        <v>0</v>
      </c>
      <c r="BA233" s="936">
        <f>ROUND(SUMIFS('A5.YE22'!J:J,'A5.YE22'!K:K,'A0.LS'!$BA$5,'A5.YE22'!L:L,"Posted",'A5.YE22'!D:D,'A0.LS'!E233),0)</f>
        <v>0</v>
      </c>
      <c r="BB233" s="936">
        <f>ROUND(SUM(AZ233:BA233),0)</f>
        <v>0</v>
      </c>
      <c r="BC233" s="445"/>
      <c r="BD233" s="936">
        <f>ROUND(SUMIFS('911.VNSC.YE22'!R:R,'911.VNSC.YE22'!L:L,'A0.LS'!E233),0)</f>
        <v>0</v>
      </c>
      <c r="BE233" s="936">
        <f>ROUND(SUMIFS('A5.YE22'!J:J,'A5.YE22'!K:K,'A0.LS'!$BE$5,'A5.YE22'!L:L,"Posted",'A5.YE22'!D:D,'A0.LS'!E233),0)</f>
        <v>0</v>
      </c>
      <c r="BF233" s="936">
        <f>ROUND(SUM(BD233:BE233),0)</f>
        <v>0</v>
      </c>
      <c r="BG233" s="445"/>
      <c r="BH233" s="936">
        <f>ROUND(SUMIFS('911.XH.YE22'!T:T,'911.XH.YE22'!P:P,'A0.LS'!E233),0)</f>
        <v>0</v>
      </c>
      <c r="BI233" s="936">
        <f>ROUND(SUMIFS('A5.YE22'!J:J,'A5.YE22'!K:K,"XH",'A5.YE22'!L:L,"Posted",'A5.YE22'!D:D,'A0.LS'!E233),0)</f>
        <v>0</v>
      </c>
      <c r="BJ233" s="936">
        <f>ROUND(SUM(BH233:BI233),0)</f>
        <v>0</v>
      </c>
      <c r="BK233" s="445"/>
      <c r="BL233" s="936">
        <f>ROUND(SUMIFS('911.KCG.YE22'!T:T,'911.KCG.YE22'!P:P,'A0.LS'!E233),0)</f>
        <v>0</v>
      </c>
      <c r="BM233" s="936">
        <f>ROUND(SUMIFS('A5.YE22'!J:J,'A5.YE22'!K:K,'A0.LS'!$BM$5,'A5.YE22'!L:L,"Posted",'A5.YE22'!D:D,'A0.LS'!E233),0)</f>
        <v>0</v>
      </c>
      <c r="BN233" s="936">
        <f>ROUND(SUM(BL233:BM233),0)</f>
        <v>0</v>
      </c>
      <c r="BO233" s="445"/>
      <c r="BP233" s="938">
        <v>75166574</v>
      </c>
      <c r="BQ233" s="938">
        <f>ROUND(SUMIFS('A5.YE22'!J:J,'A5.YE22'!K:K,'A0.LS'!$BQ$5,'A5.YE22'!L:L,"Posted",'A5.YE22'!D:D,'A0.LS'!E233),0)</f>
        <v>0</v>
      </c>
      <c r="BR233" s="938">
        <f>ROUND(SUM(BP233:BQ233),0)</f>
        <v>75166574</v>
      </c>
    </row>
    <row r="234" spans="2:70" ht="12.75">
      <c r="B234" s="925"/>
      <c r="C234" s="926"/>
      <c r="D234" s="927"/>
      <c r="E234" s="928"/>
      <c r="F234" s="928"/>
      <c r="G234" s="928"/>
      <c r="H234" s="927"/>
      <c r="I234" s="929"/>
      <c r="J234" s="929"/>
      <c r="K234" s="929"/>
      <c r="L234" s="943"/>
      <c r="M234" s="930"/>
      <c r="N234" s="931"/>
      <c r="O234" s="931"/>
      <c r="P234" s="931"/>
      <c r="Q234" s="932"/>
      <c r="R234" s="898"/>
      <c r="S234" s="850"/>
      <c r="T234" s="850"/>
      <c r="U234" s="850"/>
      <c r="V234" s="850"/>
      <c r="W234" s="850"/>
      <c r="X234" s="947" t="s">
        <v>2227</v>
      </c>
      <c r="Y234" s="933"/>
      <c r="Z234" s="934"/>
      <c r="AA234" s="934"/>
      <c r="AB234" s="934"/>
      <c r="AC234" s="934"/>
      <c r="AD234" s="930"/>
      <c r="AE234" s="934"/>
      <c r="AF234" s="934"/>
      <c r="AG234" s="934"/>
      <c r="AH234" s="934"/>
      <c r="AI234" s="930"/>
      <c r="AJ234" s="934"/>
      <c r="AK234" s="934"/>
      <c r="AL234" s="934"/>
      <c r="AM234" s="930"/>
      <c r="AN234" s="935"/>
      <c r="AO234" s="935"/>
      <c r="AP234" s="935"/>
      <c r="AQ234" s="930"/>
      <c r="AR234" s="934"/>
      <c r="AS234" s="934"/>
      <c r="AT234" s="934"/>
      <c r="AU234" s="930"/>
      <c r="AV234" s="909"/>
      <c r="AW234" s="909"/>
      <c r="AX234" s="909"/>
      <c r="AY234" s="920"/>
      <c r="AZ234" s="936"/>
      <c r="BA234" s="936"/>
      <c r="BB234" s="936"/>
      <c r="BC234" s="937"/>
      <c r="BD234" s="936"/>
      <c r="BE234" s="936"/>
      <c r="BF234" s="936"/>
      <c r="BG234" s="937"/>
      <c r="BH234" s="936"/>
      <c r="BI234" s="936"/>
      <c r="BJ234" s="936"/>
      <c r="BK234" s="937"/>
      <c r="BL234" s="936"/>
      <c r="BM234" s="936"/>
      <c r="BN234" s="936"/>
      <c r="BO234" s="937"/>
      <c r="BP234" s="938"/>
      <c r="BQ234" s="938"/>
      <c r="BR234" s="938"/>
    </row>
    <row r="235" spans="2:70" s="1" customFormat="1" ht="12.75">
      <c r="B235" s="293"/>
      <c r="C235" s="294"/>
      <c r="D235" s="295"/>
      <c r="E235" s="75"/>
      <c r="F235" s="75" t="s">
        <v>2461</v>
      </c>
      <c r="G235" s="75"/>
      <c r="H235" s="295"/>
      <c r="I235" s="68">
        <f>SUM(I236:I248)</f>
        <v>-186151632183</v>
      </c>
      <c r="J235" s="68">
        <f>SUM(J236:J248)</f>
        <v>0</v>
      </c>
      <c r="K235" s="68">
        <f>SUM(K236:K248)</f>
        <v>0</v>
      </c>
      <c r="L235" s="68">
        <f>SUM(L236:L248)</f>
        <v>-186151632183</v>
      </c>
      <c r="M235" s="296" t="s">
        <v>681</v>
      </c>
      <c r="N235" s="69">
        <f>SUM(N236:N248)</f>
        <v>-192855825748</v>
      </c>
      <c r="O235" s="69">
        <f>SUM(O236:O248)</f>
        <v>-209859289</v>
      </c>
      <c r="P235" s="69">
        <f>SUM(P236:P248)</f>
        <v>87812270</v>
      </c>
      <c r="Q235" s="70">
        <f>SUM(Q236:Q248)</f>
        <v>-192977872767</v>
      </c>
      <c r="R235" s="298"/>
      <c r="S235" s="175">
        <f t="shared" ref="S235:S248" si="148">L235-Q235</f>
        <v>6826240584</v>
      </c>
      <c r="T235" s="176">
        <f t="shared" ref="T235:T248" si="149">IFERROR(S235/Q235,"To check")</f>
        <v>-3.5373177691941655E-2</v>
      </c>
      <c r="X235" s="947" t="s">
        <v>2227</v>
      </c>
      <c r="Y235" s="304"/>
      <c r="Z235" s="235">
        <f>SUM(Z236:Z248)</f>
        <v>-97909889</v>
      </c>
      <c r="AA235" s="235">
        <f>SUM(AA236:AA248)</f>
        <v>0</v>
      </c>
      <c r="AB235" s="235">
        <f>SUM(AB236:AB248)</f>
        <v>0</v>
      </c>
      <c r="AC235" s="235">
        <f>SUM(AC236:AC248)</f>
        <v>-97909889</v>
      </c>
      <c r="AD235" s="236"/>
      <c r="AE235" s="235">
        <f>SUM(AE236:AE248)</f>
        <v>-31161290571</v>
      </c>
      <c r="AF235" s="235">
        <f>SUM(AF236:AF248)</f>
        <v>0</v>
      </c>
      <c r="AG235" s="235">
        <f>SUM(AG236:AG248)</f>
        <v>20724663</v>
      </c>
      <c r="AH235" s="235">
        <f>SUM(AH236:AH248)</f>
        <v>-31140565908</v>
      </c>
      <c r="AI235" s="236"/>
      <c r="AJ235" s="235">
        <f>SUM(AJ236:AJ248)</f>
        <v>-13889</v>
      </c>
      <c r="AK235" s="235">
        <f>SUM(AK236:AK248)</f>
        <v>0</v>
      </c>
      <c r="AL235" s="235">
        <f>SUM(AL236:AL248)</f>
        <v>-13889</v>
      </c>
      <c r="AM235" s="236"/>
      <c r="AN235" s="237">
        <f>SUM(AN236:AN248)</f>
        <v>-31346153423</v>
      </c>
      <c r="AO235" s="237">
        <f>SUM(AO236:AO248)</f>
        <v>-257054483</v>
      </c>
      <c r="AP235" s="237">
        <f>SUM(AP236:AP248)</f>
        <v>-31603207906</v>
      </c>
      <c r="AQ235" s="236"/>
      <c r="AR235" s="235">
        <f>SUM(AR236:AR248)</f>
        <v>-107677626</v>
      </c>
      <c r="AS235" s="235">
        <f>SUM(AS236:AS248)</f>
        <v>0</v>
      </c>
      <c r="AT235" s="235">
        <f>SUM(AT236:AT248)</f>
        <v>-107677626</v>
      </c>
      <c r="AU235" s="236"/>
      <c r="AV235" s="238">
        <f>SUM(AV236:AV248)</f>
        <v>-217754853978</v>
      </c>
      <c r="AW235" s="238">
        <f>SUM(AW236:AW248)</f>
        <v>4222580227</v>
      </c>
      <c r="AX235" s="238">
        <f>SUM(AX236:AX248)</f>
        <v>-213532273751</v>
      </c>
      <c r="AY235" s="614"/>
      <c r="AZ235" s="235">
        <f>SUM(AZ236:AZ248)</f>
        <v>-2076618857</v>
      </c>
      <c r="BA235" s="235">
        <f>SUM(BA236:BA248)</f>
        <v>0</v>
      </c>
      <c r="BB235" s="235">
        <f>SUM(BB236:BB248)</f>
        <v>-2076618857</v>
      </c>
      <c r="BC235" s="236"/>
      <c r="BD235" s="235">
        <f>SUM(BD236:BD248)</f>
        <v>-6382690547</v>
      </c>
      <c r="BE235" s="235">
        <f>SUM(BE236:BE248)</f>
        <v>0</v>
      </c>
      <c r="BF235" s="235">
        <f>SUM(BF236:BF248)</f>
        <v>-6382690547</v>
      </c>
      <c r="BG235" s="236"/>
      <c r="BH235" s="235">
        <f>SUM(BH236:BH248)</f>
        <v>-17703</v>
      </c>
      <c r="BI235" s="235">
        <f>SUM(BI236:BI248)</f>
        <v>0</v>
      </c>
      <c r="BJ235" s="235">
        <f>SUM(BJ236:BJ248)</f>
        <v>-17703</v>
      </c>
      <c r="BK235" s="236"/>
      <c r="BL235" s="235">
        <f>SUM(BL236:BL248)</f>
        <v>-7800</v>
      </c>
      <c r="BM235" s="235">
        <f>SUM(BM236:BM248)</f>
        <v>0</v>
      </c>
      <c r="BN235" s="235">
        <f>SUM(BN236:BN248)</f>
        <v>-7800</v>
      </c>
      <c r="BO235" s="236"/>
      <c r="BP235" s="443">
        <f>SUM(BP236:BP248)</f>
        <v>-212166236461</v>
      </c>
      <c r="BQ235" s="443">
        <f>SUM(BQ236:BQ248)</f>
        <v>92926026</v>
      </c>
      <c r="BR235" s="443">
        <f>SUM(BR236:BR248)</f>
        <v>-212073310435</v>
      </c>
    </row>
    <row r="236" spans="2:70" ht="12.75">
      <c r="B236" s="939">
        <v>21</v>
      </c>
      <c r="C236" s="940" t="s">
        <v>2462</v>
      </c>
      <c r="D236" s="927" t="s">
        <v>2462</v>
      </c>
      <c r="E236" s="928" t="s">
        <v>249</v>
      </c>
      <c r="F236" s="928" t="s">
        <v>2463</v>
      </c>
      <c r="G236" s="927" t="s">
        <v>2464</v>
      </c>
      <c r="H236" s="927" t="s">
        <v>675</v>
      </c>
      <c r="I236" s="942">
        <f>SUMIFS('GL911.Cty Me.FY24'!T:T,'GL911.Cty Me.FY24'!H:H,'A0.LS'!E236)</f>
        <v>-83913685236</v>
      </c>
      <c r="J236" s="942">
        <f>ROUND(SUMIFS('A5.FY24'!K:K,'A5.FY24'!E:E,'A0.LS'!E236,'A5.FY24'!L:L,"Finhay",'A5.FY24'!M:M,"Posted"),0)</f>
        <v>0</v>
      </c>
      <c r="K236" s="942">
        <f>ROUND(SUMIFS('A5.FY24'!K:K,'A5.FY24'!E:E,'A0.LS'!E236,'A5.FY24'!L:L,"EY",'A5.FY24'!M:M,"Posted"),0)</f>
        <v>0</v>
      </c>
      <c r="L236" s="943">
        <f t="shared" ref="L236:L248" si="150">ROUND(SUM(I236:K236),0)</f>
        <v>-83913685236</v>
      </c>
      <c r="M236" s="930"/>
      <c r="N236" s="944">
        <v>-72980345265</v>
      </c>
      <c r="O236" s="944">
        <v>0</v>
      </c>
      <c r="P236" s="944">
        <v>105895134</v>
      </c>
      <c r="Q236" s="945">
        <f>SUM(N236:P236)</f>
        <v>-72874450131</v>
      </c>
      <c r="R236" s="898"/>
      <c r="S236" s="848">
        <f t="shared" si="148"/>
        <v>-11039235105</v>
      </c>
      <c r="T236" s="946">
        <f t="shared" si="149"/>
        <v>0.15148292831240218</v>
      </c>
      <c r="U236" s="850"/>
      <c r="V236" s="850" t="s">
        <v>2465</v>
      </c>
      <c r="W236" s="850"/>
      <c r="X236" s="947" t="s">
        <v>2227</v>
      </c>
      <c r="Y236" s="947" t="s">
        <v>2464</v>
      </c>
      <c r="Z236" s="936">
        <f>ROUND(SUMIFS('GL911.CtyCon.FY24'!N:N,'GL911.CtyCon.FY24'!G:G,'A0.LS'!E236),0)</f>
        <v>-97909889</v>
      </c>
      <c r="AA236" s="936">
        <f>ROUND(SUMIFS('A5.CTC FY24'!K:K,'A5.CTC FY24'!E:E,'A0.LS'!E236,'A5.CTC FY24'!A:A,'A0.LS'!$AA$5,'A5.CTC FY24'!L:L,"Finhay",'A5.CTC FY24'!M:M,"Posted"),0)</f>
        <v>0</v>
      </c>
      <c r="AB236" s="936">
        <f>ROUND(SUMIFS('A5.CTC FY24'!K:K,'A5.CTC FY24'!E:E,'A0.LS'!E236,'A5.CTC FY24'!A:A,'A0.LS'!$AB$5,'A5.CTC FY24'!L:L,"EY",'A5.CTC FY24'!M:M,"Posted"),0)</f>
        <v>0</v>
      </c>
      <c r="AC236" s="948">
        <f t="shared" ref="AC236:AC248" si="151">ROUND(SUM(Z236:AB236),0)</f>
        <v>-97909889</v>
      </c>
      <c r="AD236" s="930"/>
      <c r="AE236" s="936">
        <f>SUMIFS('GL911 VNSC FY24'!T:T,'GL911 VNSC FY24'!AG:AG,'A0.LS'!E236)</f>
        <v>-485770913</v>
      </c>
      <c r="AF236" s="936">
        <f>SUMIFS('A5.CTC FY24'!K:K,'A5.CTC FY24'!E:E,'A0.LS'!E236,'A5.CTC FY24'!A:A,"VNSC",'A5.CTC FY24'!L:L,"VNSC",'A5.CTC FY24'!M:M,"Posted")</f>
        <v>0</v>
      </c>
      <c r="AG236" s="936">
        <f>ROUND(SUMIFS('A5.CTC FY24'!K:K,'A5.CTC FY24'!E:E,'A0.LS'!E236,'A5.CTC FY24'!A:A,"VNSC",'A5.CTC FY24'!L:L,"EY",'A5.CTC FY24'!M:M,"Posted"),0)</f>
        <v>0</v>
      </c>
      <c r="AH236" s="936">
        <f>ROUND(SUM(AE236:AG236),0)</f>
        <v>-485770913</v>
      </c>
      <c r="AI236" s="930"/>
      <c r="AJ236" s="936">
        <f>ROUND(SUMIFS('GL911.KCG.FY24'!L:L,'GL911.KCG.FY24'!F:F,'A0.LS'!E236),0)</f>
        <v>-13889</v>
      </c>
      <c r="AK236" s="936">
        <f>ROUND(SUMIFS('A5.CTC FY24'!K:K,'A5.CTC FY24'!E:E,'A0.LS'!E236,'A5.CTC FY24'!A:A,'A0.LS'!$AK$5,'A5.CTC FY24'!L:L,"EY",'A5.CTC FY24'!M:M,"Posted"),0)</f>
        <v>0</v>
      </c>
      <c r="AL236" s="948">
        <f t="shared" ref="AL236:AL248" si="152">ROUND(SUM(AJ236:AK236),0)</f>
        <v>-13889</v>
      </c>
      <c r="AM236" s="930"/>
      <c r="AN236" s="949">
        <f t="shared" ref="AN236:AN247" si="153">ROUND(SUM(AT236,AH236,AC236),0)</f>
        <v>-691358428</v>
      </c>
      <c r="AO236" s="950">
        <f>ROUND(SUMIFS('A5.Consol FY24'!L:L,'A5.Consol FY24'!M:M,"EY",'A5.Consol FY24'!N:N,"Posted",'A5.Consol FY24'!B:B,'A0.LS'!$AO$5,'A5.Consol FY24'!F:F,'A0.LS'!E236),0)</f>
        <v>0</v>
      </c>
      <c r="AP236" s="949">
        <f t="shared" ref="AP236:AP248" si="154">ROUND(SUM(AN236:AO236),0)</f>
        <v>-691358428</v>
      </c>
      <c r="AQ236" s="930"/>
      <c r="AR236" s="936">
        <f>ROUND(SUMIFS('GL911.XH.FY24'!L:L,'GL911.XH.FY24'!F:F,'A0.LS'!E236),0)</f>
        <v>-107677626</v>
      </c>
      <c r="AS236" s="936">
        <f>ROUND(SUMIFS('A5.CTC FY24'!K:K,'A5.CTC FY24'!E:E,'A0.LS'!E236,'A5.CTC FY24'!A:A,'A0.LS'!$AS$5,'A5.CTC FY24'!L:L,"EY",'A5.CTC FY24'!M:M,"Posted"),0)</f>
        <v>0</v>
      </c>
      <c r="AT236" s="948">
        <f t="shared" ref="AT236:AT248" si="155">ROUND(SUM(AR236:AS236),0)</f>
        <v>-107677626</v>
      </c>
      <c r="AU236" s="930"/>
      <c r="AV236" s="951">
        <f t="shared" ref="AV236:AV248" si="156">ROUND(SUM(AP236,AL236,L236),0)</f>
        <v>-84605057553</v>
      </c>
      <c r="AW236" s="952">
        <f>SUMIFS('A5.Consol FY24'!L:L,'A5.Consol FY24'!B:B,'A0.LS'!$AW$5,'A5.Consol FY24'!M:M,"EY",'A5.Consol FY24'!N:N,"Posted",'A5.Consol FY24'!F:F,'A0.LS'!E236)</f>
        <v>101149864</v>
      </c>
      <c r="AX236" s="951">
        <f t="shared" ref="AX236:AX248" si="157">ROUND(SUM(AV236:AW236),0)</f>
        <v>-84503907689</v>
      </c>
      <c r="AY236" s="920"/>
      <c r="AZ236" s="936">
        <f>SUMIFS('911.CTC.YE22'!U:U,'911.CTC.YE22'!R:R,'A0.LS'!E236)</f>
        <v>0</v>
      </c>
      <c r="BA236" s="936">
        <f>ROUND(SUMIFS('A5.YE22'!J:J,'A5.YE22'!K:K,'A0.LS'!$BA$5,'A5.YE22'!L:L,"Posted",'A5.YE22'!D:D,'A0.LS'!E236),0)</f>
        <v>0</v>
      </c>
      <c r="BB236" s="936">
        <f t="shared" ref="BB236:BB248" si="158">ROUND(SUM(AZ236:BA236),0)</f>
        <v>0</v>
      </c>
      <c r="BC236" s="937"/>
      <c r="BD236" s="936">
        <f>ROUND(SUMIFS('911.VNSC.YE22'!R:R,'911.VNSC.YE22'!L:L,'A0.LS'!E236),0)</f>
        <v>-3115986363</v>
      </c>
      <c r="BE236" s="936">
        <f>ROUND(SUMIFS('A5.YE22'!J:J,'A5.YE22'!K:K,'A0.LS'!$BE$5,'A5.YE22'!L:L,"Posted",'A5.YE22'!D:D,'A0.LS'!E236),0)</f>
        <v>0</v>
      </c>
      <c r="BF236" s="936">
        <f t="shared" ref="BF236:BF248" si="159">ROUND(SUM(BD236:BE236),0)</f>
        <v>-3115986363</v>
      </c>
      <c r="BG236" s="937"/>
      <c r="BH236" s="936">
        <f>ROUND(SUMIFS('911.XH.YE22'!T:T,'911.XH.YE22'!P:P,'A0.LS'!E236),0)</f>
        <v>-17703</v>
      </c>
      <c r="BI236" s="936">
        <f>ROUND(SUMIFS('A5.YE22'!J:J,'A5.YE22'!K:K,"XH",'A5.YE22'!L:L,"Posted",'A5.YE22'!D:D,'A0.LS'!E236),0)</f>
        <v>0</v>
      </c>
      <c r="BJ236" s="936">
        <f t="shared" ref="BJ236:BJ248" si="160">ROUND(SUM(BH236:BI236),0)</f>
        <v>-17703</v>
      </c>
      <c r="BK236" s="937"/>
      <c r="BL236" s="936">
        <f>ROUND(SUMIFS('911.KCG.YE22'!T:T,'911.KCG.YE22'!P:P,'A0.LS'!E236),0)</f>
        <v>-7800</v>
      </c>
      <c r="BM236" s="936">
        <f>ROUND(SUMIFS('A5.YE22'!J:J,'A5.YE22'!K:K,'A0.LS'!$BM$5,'A5.YE22'!L:L,"Posted",'A5.YE22'!D:D,'A0.LS'!E236),0)</f>
        <v>0</v>
      </c>
      <c r="BN236" s="936">
        <f t="shared" ref="BN236:BN248" si="161">ROUND(SUM(BL236:BM236),0)</f>
        <v>-7800</v>
      </c>
      <c r="BO236" s="937"/>
      <c r="BP236" s="938">
        <v>-80334726352</v>
      </c>
      <c r="BQ236" s="938">
        <v>92794519</v>
      </c>
      <c r="BR236" s="938">
        <f t="shared" ref="BR236:BR248" si="162">ROUND(SUM(BP236:BQ236),0)</f>
        <v>-80241931833</v>
      </c>
    </row>
    <row r="237" spans="2:70" ht="12.75">
      <c r="B237" s="939">
        <v>21</v>
      </c>
      <c r="C237" s="940" t="s">
        <v>2462</v>
      </c>
      <c r="D237" s="927" t="s">
        <v>2462</v>
      </c>
      <c r="E237" s="928" t="s">
        <v>251</v>
      </c>
      <c r="F237" s="928" t="s">
        <v>2466</v>
      </c>
      <c r="G237" s="927" t="s">
        <v>2464</v>
      </c>
      <c r="H237" s="927" t="s">
        <v>675</v>
      </c>
      <c r="I237" s="942">
        <f>SUMIFS('GL911.Cty Me.FY24'!T:T,'GL911.Cty Me.FY24'!H:H,'A0.LS'!E237)</f>
        <v>21173270067</v>
      </c>
      <c r="J237" s="942">
        <f>ROUND(SUMIFS('A5.FY24'!K:K,'A5.FY24'!E:E,'A0.LS'!E237,'A5.FY24'!L:L,"Finhay",'A5.FY24'!M:M,"Posted"),0)</f>
        <v>0</v>
      </c>
      <c r="K237" s="942">
        <f>ROUND(SUMIFS('A5.FY24'!K:K,'A5.FY24'!E:E,'A0.LS'!E237,'A5.FY24'!L:L,"EY",'A5.FY24'!M:M,"Posted"),0)</f>
        <v>0</v>
      </c>
      <c r="L237" s="943">
        <f t="shared" si="150"/>
        <v>21173270067</v>
      </c>
      <c r="M237" s="930" t="s">
        <v>681</v>
      </c>
      <c r="N237" s="944">
        <v>-23374245227</v>
      </c>
      <c r="O237" s="944">
        <v>42904146</v>
      </c>
      <c r="P237" s="944">
        <v>883788696</v>
      </c>
      <c r="Q237" s="945">
        <f t="shared" ref="Q237:Q248" si="163">SUM(N237:P237)</f>
        <v>-22447552385</v>
      </c>
      <c r="R237" s="898"/>
      <c r="S237" s="848">
        <f t="shared" si="148"/>
        <v>43620822452</v>
      </c>
      <c r="T237" s="946">
        <f t="shared" si="149"/>
        <v>-1.9432329059246787</v>
      </c>
      <c r="U237" s="850"/>
      <c r="V237" s="850" t="s">
        <v>2465</v>
      </c>
      <c r="W237" s="850"/>
      <c r="X237" s="947" t="s">
        <v>2227</v>
      </c>
      <c r="Y237" s="947" t="s">
        <v>2464</v>
      </c>
      <c r="Z237" s="936">
        <f>ROUND(SUMIFS('GL911.CtyCon.FY24'!N:N,'GL911.CtyCon.FY24'!G:G,'A0.LS'!E237),0)</f>
        <v>0</v>
      </c>
      <c r="AA237" s="936">
        <f>ROUND(SUMIFS('A5.CTC FY24'!K:K,'A5.CTC FY24'!E:E,'A0.LS'!E237,'A5.CTC FY24'!A:A,'A0.LS'!$AA$5,'A5.CTC FY24'!L:L,"Finhay",'A5.CTC FY24'!M:M,"Posted"),0)</f>
        <v>0</v>
      </c>
      <c r="AB237" s="936">
        <f>ROUND(SUMIFS('A5.CTC FY24'!K:K,'A5.CTC FY24'!E:E,'A0.LS'!E237,'A5.CTC FY24'!A:A,'A0.LS'!$AB$5,'A5.CTC FY24'!L:L,"EY",'A5.CTC FY24'!M:M,"Posted"),0)</f>
        <v>0</v>
      </c>
      <c r="AC237" s="948">
        <f t="shared" si="151"/>
        <v>0</v>
      </c>
      <c r="AD237" s="930"/>
      <c r="AE237" s="936">
        <f>SUMIFS('GL911 VNSC FY24'!T:T,'GL911 VNSC FY24'!AG:AG,'A0.LS'!E237)</f>
        <v>-9617090984</v>
      </c>
      <c r="AF237" s="936">
        <f>SUMIFS('A5.CTC FY24'!K:K,'A5.CTC FY24'!E:E,'A0.LS'!E237,'A5.CTC FY24'!A:A,"VNSC",'A5.CTC FY24'!L:L,"VNSC",'A5.CTC FY24'!M:M,"Posted")</f>
        <v>0</v>
      </c>
      <c r="AG237" s="936">
        <f>ROUND(SUMIFS('A5.CTC FY24'!K:K,'A5.CTC FY24'!E:E,'A0.LS'!E237,'A5.CTC FY24'!A:A,"VNSC",'A5.CTC FY24'!L:L,"EY",'A5.CTC FY24'!M:M,"Posted"),0)</f>
        <v>0</v>
      </c>
      <c r="AH237" s="289">
        <f>ROUND(SUM(AE237:AG237),0)</f>
        <v>-9617090984</v>
      </c>
      <c r="AI237" s="930"/>
      <c r="AJ237" s="936">
        <f>ROUND(SUMIFS('GL911.KCG.FY24'!L:L,'GL911.KCG.FY24'!F:F,'A0.LS'!E237),0)</f>
        <v>0</v>
      </c>
      <c r="AK237" s="936">
        <f>ROUND(SUMIFS('A5.CTC FY24'!K:K,'A5.CTC FY24'!E:E,'A0.LS'!E237,'A5.CTC FY24'!A:A,'A0.LS'!$AK$5,'A5.CTC FY24'!L:L,"EY",'A5.CTC FY24'!M:M,"Posted"),0)</f>
        <v>0</v>
      </c>
      <c r="AL237" s="948">
        <f t="shared" si="152"/>
        <v>0</v>
      </c>
      <c r="AM237" s="930"/>
      <c r="AN237" s="949">
        <f t="shared" si="153"/>
        <v>-9617090984</v>
      </c>
      <c r="AO237" s="950">
        <f>ROUND(SUMIFS('A5.Consol FY24'!L:L,'A5.Consol FY24'!M:M,"EY",'A5.Consol FY24'!N:N,"Posted",'A5.Consol FY24'!B:B,'A0.LS'!$AO$5,'A5.Consol FY24'!F:F,'A0.LS'!E237),0)</f>
        <v>234980226</v>
      </c>
      <c r="AP237" s="949">
        <f t="shared" si="154"/>
        <v>-9382110758</v>
      </c>
      <c r="AQ237" s="930"/>
      <c r="AR237" s="936">
        <f>ROUND(SUMIFS('GL911.XH.FY24'!L:L,'GL911.XH.FY24'!F:F,'A0.LS'!E237),0)</f>
        <v>0</v>
      </c>
      <c r="AS237" s="936">
        <f>ROUND(SUMIFS('A5.CTC FY24'!K:K,'A5.CTC FY24'!E:E,'A0.LS'!E237,'A5.CTC FY24'!A:A,'A0.LS'!$AS$5,'A5.CTC FY24'!L:L,"EY",'A5.CTC FY24'!M:M,"Posted"),0)</f>
        <v>0</v>
      </c>
      <c r="AT237" s="948">
        <f t="shared" si="155"/>
        <v>0</v>
      </c>
      <c r="AU237" s="930"/>
      <c r="AV237" s="951">
        <f t="shared" si="156"/>
        <v>11791159309</v>
      </c>
      <c r="AW237" s="952">
        <f>SUMIFS('A5.Consol FY24'!L:L,'A5.Consol FY24'!B:B,'A0.LS'!$AW$5,'A5.Consol FY24'!M:M,"EY",'A5.Consol FY24'!N:N,"Posted",'A5.Consol FY24'!F:F,'A0.LS'!E237)</f>
        <v>0</v>
      </c>
      <c r="AX237" s="951">
        <f t="shared" si="157"/>
        <v>11791159309</v>
      </c>
      <c r="AY237" s="920"/>
      <c r="AZ237" s="936">
        <f>SUMIFS('911.CTC.YE22'!U:U,'911.CTC.YE22'!R:R,'A0.LS'!E237)</f>
        <v>-2076618857</v>
      </c>
      <c r="BA237" s="936">
        <f>ROUND(SUMIFS('A5.YE22'!J:J,'A5.YE22'!K:K,'A0.LS'!$BA$5,'A5.YE22'!L:L,"Posted",'A5.YE22'!D:D,'A0.LS'!E237),0)</f>
        <v>0</v>
      </c>
      <c r="BB237" s="936">
        <f t="shared" si="158"/>
        <v>-2076618857</v>
      </c>
      <c r="BC237" s="937"/>
      <c r="BD237" s="936">
        <f>ROUND(SUMIFS('911.VNSC.YE22'!R:R,'911.VNSC.YE22'!L:L,'A0.LS'!E237),0)</f>
        <v>-39713707</v>
      </c>
      <c r="BE237" s="936">
        <f>ROUND(SUMIFS('A5.YE22'!J:J,'A5.YE22'!K:K,'A0.LS'!$BE$5,'A5.YE22'!L:L,"Posted",'A5.YE22'!D:D,'A0.LS'!E237),0)</f>
        <v>0</v>
      </c>
      <c r="BF237" s="936">
        <f t="shared" si="159"/>
        <v>-39713707</v>
      </c>
      <c r="BG237" s="937"/>
      <c r="BH237" s="936">
        <f>ROUND(SUMIFS('911.XH.YE22'!T:T,'911.XH.YE22'!P:P,'A0.LS'!E237),0)</f>
        <v>0</v>
      </c>
      <c r="BI237" s="936">
        <f>ROUND(SUMIFS('A5.YE22'!J:J,'A5.YE22'!K:K,"XH",'A5.YE22'!L:L,"Posted",'A5.YE22'!D:D,'A0.LS'!E237),0)</f>
        <v>0</v>
      </c>
      <c r="BJ237" s="936">
        <f t="shared" si="160"/>
        <v>0</v>
      </c>
      <c r="BK237" s="937"/>
      <c r="BL237" s="936">
        <f>ROUND(SUMIFS('911.KCG.YE22'!T:T,'911.KCG.YE22'!P:P,'A0.LS'!E237),0)</f>
        <v>0</v>
      </c>
      <c r="BM237" s="936">
        <f>ROUND(SUMIFS('A5.YE22'!J:J,'A5.YE22'!K:K,'A0.LS'!$BM$5,'A5.YE22'!L:L,"Posted",'A5.YE22'!D:D,'A0.LS'!E237),0)</f>
        <v>0</v>
      </c>
      <c r="BN237" s="936">
        <f t="shared" si="161"/>
        <v>0</v>
      </c>
      <c r="BO237" s="937"/>
      <c r="BP237" s="938">
        <v>-22508187708</v>
      </c>
      <c r="BQ237" s="938">
        <f>ROUND(SUMIFS('A5.YE22'!J:J,'A5.YE22'!K:K,'A0.LS'!$BQ$5,'A5.YE22'!L:L,"Posted",'A5.YE22'!D:D,'A0.LS'!E237),0)</f>
        <v>0</v>
      </c>
      <c r="BR237" s="938">
        <f t="shared" si="162"/>
        <v>-22508187708</v>
      </c>
    </row>
    <row r="238" spans="2:70" ht="12.75">
      <c r="B238" s="939">
        <v>21</v>
      </c>
      <c r="C238" s="940" t="s">
        <v>2462</v>
      </c>
      <c r="D238" s="927" t="s">
        <v>2462</v>
      </c>
      <c r="E238" s="928" t="s">
        <v>2467</v>
      </c>
      <c r="F238" s="928" t="s">
        <v>2468</v>
      </c>
      <c r="G238" s="927" t="s">
        <v>2464</v>
      </c>
      <c r="H238" s="927" t="s">
        <v>675</v>
      </c>
      <c r="I238" s="942">
        <f>SUMIFS('GL911.Cty Me.FY24'!T:T,'GL911.Cty Me.FY24'!H:H,'A0.LS'!E238)</f>
        <v>0</v>
      </c>
      <c r="J238" s="942">
        <f>ROUND(SUMIFS('A5.FY24'!K:K,'A5.FY24'!E:E,'A0.LS'!E238,'A5.FY24'!L:L,"Finhay",'A5.FY24'!M:M,"Posted"),0)</f>
        <v>0</v>
      </c>
      <c r="K238" s="942">
        <f>ROUND(SUMIFS('A5.FY24'!K:K,'A5.FY24'!E:E,'A0.LS'!E238,'A5.FY24'!L:L,"EY",'A5.FY24'!M:M,"Posted"),0)</f>
        <v>0</v>
      </c>
      <c r="L238" s="943">
        <f t="shared" si="150"/>
        <v>0</v>
      </c>
      <c r="M238" s="930" t="s">
        <v>681</v>
      </c>
      <c r="N238" s="944">
        <v>0</v>
      </c>
      <c r="O238" s="944">
        <v>0</v>
      </c>
      <c r="P238" s="944">
        <v>0</v>
      </c>
      <c r="Q238" s="945">
        <f t="shared" si="163"/>
        <v>0</v>
      </c>
      <c r="R238" s="898"/>
      <c r="S238" s="848">
        <f t="shared" si="148"/>
        <v>0</v>
      </c>
      <c r="T238" s="946" t="str">
        <f t="shared" si="149"/>
        <v>To check</v>
      </c>
      <c r="U238" s="850"/>
      <c r="V238" s="850" t="s">
        <v>2469</v>
      </c>
      <c r="W238" s="850"/>
      <c r="X238" s="947" t="s">
        <v>2227</v>
      </c>
      <c r="Y238" s="947" t="s">
        <v>2464</v>
      </c>
      <c r="Z238" s="936">
        <f>ROUND(SUMIFS('GL911.CtyCon.FY24'!N:N,'GL911.CtyCon.FY24'!G:G,'A0.LS'!E238),0)</f>
        <v>0</v>
      </c>
      <c r="AA238" s="936">
        <f>ROUND(SUMIFS('A5.CTC FY24'!K:K,'A5.CTC FY24'!E:E,'A0.LS'!E238,'A5.CTC FY24'!A:A,'A0.LS'!$AA$5,'A5.CTC FY24'!L:L,"Finhay",'A5.CTC FY24'!M:M,"Posted"),0)</f>
        <v>0</v>
      </c>
      <c r="AB238" s="936">
        <f>ROUND(SUMIFS('A5.CTC FY24'!K:K,'A5.CTC FY24'!E:E,'A0.LS'!E238,'A5.CTC FY24'!A:A,'A0.LS'!$AB$5,'A5.CTC FY24'!L:L,"EY",'A5.CTC FY24'!M:M,"Posted"),0)</f>
        <v>0</v>
      </c>
      <c r="AC238" s="948">
        <f t="shared" si="151"/>
        <v>0</v>
      </c>
      <c r="AD238" s="930"/>
      <c r="AE238" s="936">
        <f>SUMIFS('GL911 VNSC FY24'!T:T,'GL911 VNSC FY24'!AG:AG,'A0.LS'!E238)</f>
        <v>0</v>
      </c>
      <c r="AF238" s="936">
        <f>SUMIFS('A5.CTC FY24'!K:K,'A5.CTC FY24'!E:E,'A0.LS'!E238,'A5.CTC FY24'!A:A,"VNSC",'A5.CTC FY24'!L:L,"VNSC",'A5.CTC FY24'!M:M,"Posted")</f>
        <v>0</v>
      </c>
      <c r="AG238" s="936">
        <f>ROUND(SUMIFS('A5.CTC FY24'!K:K,'A5.CTC FY24'!E:E,'A0.LS'!E238,'A5.CTC FY24'!A:A,"VNSC",'A5.CTC FY24'!L:L,"EY",'A5.CTC FY24'!M:M,"Posted"),0)</f>
        <v>0</v>
      </c>
      <c r="AH238" s="936">
        <f t="shared" ref="AH238:AH248" si="164">ROUND(SUM(AE238:AG238),0)</f>
        <v>0</v>
      </c>
      <c r="AI238" s="930"/>
      <c r="AJ238" s="936">
        <f>ROUND(SUMIFS('GL911.KCG.FY24'!L:L,'GL911.KCG.FY24'!F:F,'A0.LS'!E238),0)</f>
        <v>0</v>
      </c>
      <c r="AK238" s="936">
        <f>ROUND(SUMIFS('A5.CTC FY24'!K:K,'A5.CTC FY24'!E:E,'A0.LS'!E238,'A5.CTC FY24'!A:A,'A0.LS'!$AK$5,'A5.CTC FY24'!L:L,"EY",'A5.CTC FY24'!M:M,"Posted"),0)</f>
        <v>0</v>
      </c>
      <c r="AL238" s="948">
        <f t="shared" si="152"/>
        <v>0</v>
      </c>
      <c r="AM238" s="930"/>
      <c r="AN238" s="949">
        <f t="shared" si="153"/>
        <v>0</v>
      </c>
      <c r="AO238" s="950">
        <f>ROUND(SUMIFS('A5.Consol FY24'!L:L,'A5.Consol FY24'!M:M,"EY",'A5.Consol FY24'!N:N,"Posted",'A5.Consol FY24'!B:B,'A0.LS'!$AO$5,'A5.Consol FY24'!F:F,'A0.LS'!E238),0)</f>
        <v>0</v>
      </c>
      <c r="AP238" s="949">
        <f t="shared" si="154"/>
        <v>0</v>
      </c>
      <c r="AQ238" s="930"/>
      <c r="AR238" s="936">
        <f>ROUND(SUMIFS('GL911.XH.FY24'!L:L,'GL911.XH.FY24'!F:F,'A0.LS'!E238),0)</f>
        <v>0</v>
      </c>
      <c r="AS238" s="936">
        <f>ROUND(SUMIFS('A5.CTC FY24'!K:K,'A5.CTC FY24'!E:E,'A0.LS'!E238,'A5.CTC FY24'!A:A,'A0.LS'!$AS$5,'A5.CTC FY24'!L:L,"EY",'A5.CTC FY24'!M:M,"Posted"),0)</f>
        <v>0</v>
      </c>
      <c r="AT238" s="948">
        <f t="shared" si="155"/>
        <v>0</v>
      </c>
      <c r="AU238" s="930"/>
      <c r="AV238" s="951">
        <f t="shared" si="156"/>
        <v>0</v>
      </c>
      <c r="AW238" s="952">
        <f>SUMIFS('A5.Consol FY24'!L:L,'A5.Consol FY24'!B:B,'A0.LS'!$AW$5,'A5.Consol FY24'!M:M,"EY",'A5.Consol FY24'!N:N,"Posted",'A5.Consol FY24'!F:F,'A0.LS'!E238)</f>
        <v>0</v>
      </c>
      <c r="AX238" s="951">
        <f t="shared" si="157"/>
        <v>0</v>
      </c>
      <c r="AY238" s="920"/>
      <c r="AZ238" s="936">
        <f>SUMIFS('911.CTC.YE22'!U:U,'911.CTC.YE22'!R:R,'A0.LS'!E238)</f>
        <v>0</v>
      </c>
      <c r="BA238" s="936">
        <f>ROUND(SUMIFS('A5.YE22'!J:J,'A5.YE22'!K:K,'A0.LS'!$BA$5,'A5.YE22'!L:L,"Posted",'A5.YE22'!D:D,'A0.LS'!E238),0)</f>
        <v>0</v>
      </c>
      <c r="BB238" s="936">
        <f t="shared" si="158"/>
        <v>0</v>
      </c>
      <c r="BC238" s="937"/>
      <c r="BD238" s="936">
        <f>ROUND(SUMIFS('911.VNSC.YE22'!R:R,'911.VNSC.YE22'!L:L,'A0.LS'!E238),0)</f>
        <v>-4187137</v>
      </c>
      <c r="BE238" s="936">
        <f>ROUND(SUMIFS('A5.YE22'!J:J,'A5.YE22'!K:K,'A0.LS'!$BE$5,'A5.YE22'!L:L,"Posted",'A5.YE22'!D:D,'A0.LS'!E238),0)</f>
        <v>0</v>
      </c>
      <c r="BF238" s="936">
        <f t="shared" si="159"/>
        <v>-4187137</v>
      </c>
      <c r="BG238" s="937"/>
      <c r="BH238" s="936">
        <f>ROUND(SUMIFS('911.XH.YE22'!T:T,'911.XH.YE22'!P:P,'A0.LS'!E238),0)</f>
        <v>0</v>
      </c>
      <c r="BI238" s="936">
        <f>ROUND(SUMIFS('A5.YE22'!J:J,'A5.YE22'!K:K,"XH",'A5.YE22'!L:L,"Posted",'A5.YE22'!D:D,'A0.LS'!E238),0)</f>
        <v>0</v>
      </c>
      <c r="BJ238" s="936">
        <f t="shared" si="160"/>
        <v>0</v>
      </c>
      <c r="BK238" s="937"/>
      <c r="BL238" s="936">
        <f>ROUND(SUMIFS('911.KCG.YE22'!T:T,'911.KCG.YE22'!P:P,'A0.LS'!E238),0)</f>
        <v>0</v>
      </c>
      <c r="BM238" s="936">
        <f>ROUND(SUMIFS('A5.YE22'!J:J,'A5.YE22'!K:K,'A0.LS'!$BM$5,'A5.YE22'!L:L,"Posted",'A5.YE22'!D:D,'A0.LS'!E238),0)</f>
        <v>0</v>
      </c>
      <c r="BN238" s="936">
        <f t="shared" si="161"/>
        <v>0</v>
      </c>
      <c r="BO238" s="937"/>
      <c r="BP238" s="938">
        <v>0</v>
      </c>
      <c r="BQ238" s="938">
        <f>ROUND(SUMIFS('A5.YE22'!J:J,'A5.YE22'!K:K,'A0.LS'!$BQ$5,'A5.YE22'!L:L,"Posted",'A5.YE22'!D:D,'A0.LS'!E238),0)</f>
        <v>0</v>
      </c>
      <c r="BR238" s="938">
        <f t="shared" si="162"/>
        <v>0</v>
      </c>
    </row>
    <row r="239" spans="2:70" ht="12.75">
      <c r="B239" s="939">
        <v>21</v>
      </c>
      <c r="C239" s="940" t="s">
        <v>2470</v>
      </c>
      <c r="D239" s="927" t="s">
        <v>2470</v>
      </c>
      <c r="E239" s="928" t="s">
        <v>255</v>
      </c>
      <c r="F239" s="928" t="s">
        <v>256</v>
      </c>
      <c r="G239" s="927" t="s">
        <v>2464</v>
      </c>
      <c r="H239" s="927" t="s">
        <v>675</v>
      </c>
      <c r="I239" s="942">
        <f>SUMIFS('GL911.Cty Me.FY24'!T:T,'GL911.Cty Me.FY24'!H:H,'A0.LS'!E239)</f>
        <v>-20322267286</v>
      </c>
      <c r="J239" s="942">
        <f>ROUND(SUMIFS('A5.FY24'!K:K,'A5.FY24'!E:E,'A0.LS'!E239,'A5.FY24'!L:L,"Finhay",'A5.FY24'!M:M,"Posted"),0)</f>
        <v>0</v>
      </c>
      <c r="K239" s="942">
        <f>ROUND(SUMIFS('A5.FY24'!K:K,'A5.FY24'!E:E,'A0.LS'!E239,'A5.FY24'!L:L,"EY",'A5.FY24'!M:M,"Posted"),0)</f>
        <v>0</v>
      </c>
      <c r="L239" s="943">
        <f t="shared" si="150"/>
        <v>-20322267286</v>
      </c>
      <c r="M239" s="930" t="s">
        <v>681</v>
      </c>
      <c r="N239" s="944">
        <v>-10251886523</v>
      </c>
      <c r="O239" s="944">
        <v>435838410</v>
      </c>
      <c r="P239" s="944">
        <v>-33160738</v>
      </c>
      <c r="Q239" s="945">
        <f t="shared" si="163"/>
        <v>-9849208851</v>
      </c>
      <c r="R239" s="898"/>
      <c r="S239" s="848">
        <f t="shared" si="148"/>
        <v>-10473058435</v>
      </c>
      <c r="T239" s="946">
        <f t="shared" si="149"/>
        <v>1.0633400706023874</v>
      </c>
      <c r="U239" s="850"/>
      <c r="V239" s="850" t="s">
        <v>2471</v>
      </c>
      <c r="W239" s="850"/>
      <c r="X239" s="947" t="s">
        <v>2227</v>
      </c>
      <c r="Y239" s="947" t="s">
        <v>2464</v>
      </c>
      <c r="Z239" s="936">
        <f>ROUND(SUMIFS('GL911.CtyCon.FY24'!N:N,'GL911.CtyCon.FY24'!G:G,'A0.LS'!E239),0)</f>
        <v>0</v>
      </c>
      <c r="AA239" s="936">
        <f>ROUND(SUMIFS('A5.CTC FY24'!K:K,'A5.CTC FY24'!E:E,'A0.LS'!E239,'A5.CTC FY24'!A:A,'A0.LS'!$AA$5,'A5.CTC FY24'!L:L,"Finhay",'A5.CTC FY24'!M:M,"Posted"),0)</f>
        <v>0</v>
      </c>
      <c r="AB239" s="936">
        <f>ROUND(SUMIFS('A5.CTC FY24'!K:K,'A5.CTC FY24'!E:E,'A0.LS'!E239,'A5.CTC FY24'!A:A,'A0.LS'!$AB$5,'A5.CTC FY24'!L:L,"EY",'A5.CTC FY24'!M:M,"Posted"),0)</f>
        <v>0</v>
      </c>
      <c r="AC239" s="948">
        <f t="shared" si="151"/>
        <v>0</v>
      </c>
      <c r="AD239" s="930"/>
      <c r="AE239" s="936">
        <f>SUMIFS('GL911 VNSC FY24'!T:T,'GL911 VNSC FY24'!AG:AG,'A0.LS'!E239)</f>
        <v>0</v>
      </c>
      <c r="AF239" s="936">
        <f>SUMIFS('A5.CTC FY24'!K:K,'A5.CTC FY24'!E:E,'A0.LS'!E239,'A5.CTC FY24'!A:A,"VNSC",'A5.CTC FY24'!L:L,"VNSC",'A5.CTC FY24'!M:M,"Posted")</f>
        <v>0</v>
      </c>
      <c r="AG239" s="936">
        <f>ROUND(SUMIFS('A5.CTC FY24'!K:K,'A5.CTC FY24'!E:E,'A0.LS'!E239,'A5.CTC FY24'!A:A,"VNSC",'A5.CTC FY24'!L:L,"EY",'A5.CTC FY24'!M:M,"Posted"),0)</f>
        <v>0</v>
      </c>
      <c r="AH239" s="936">
        <f t="shared" si="164"/>
        <v>0</v>
      </c>
      <c r="AI239" s="930"/>
      <c r="AJ239" s="936">
        <f>ROUND(SUMIFS('GL911.KCG.FY24'!L:L,'GL911.KCG.FY24'!F:F,'A0.LS'!E239),0)</f>
        <v>0</v>
      </c>
      <c r="AK239" s="936">
        <f>ROUND(SUMIFS('A5.CTC FY24'!K:K,'A5.CTC FY24'!E:E,'A0.LS'!E239,'A5.CTC FY24'!A:A,'A0.LS'!$AK$5,'A5.CTC FY24'!L:L,"EY",'A5.CTC FY24'!M:M,"Posted"),0)</f>
        <v>0</v>
      </c>
      <c r="AL239" s="948">
        <f t="shared" si="152"/>
        <v>0</v>
      </c>
      <c r="AM239" s="930"/>
      <c r="AN239" s="949">
        <f t="shared" si="153"/>
        <v>0</v>
      </c>
      <c r="AO239" s="950">
        <f>ROUND(SUMIFS('A5.Consol FY24'!L:L,'A5.Consol FY24'!M:M,"EY",'A5.Consol FY24'!N:N,"Posted",'A5.Consol FY24'!B:B,'A0.LS'!$AO$5,'A5.Consol FY24'!F:F,'A0.LS'!E239),0)</f>
        <v>0</v>
      </c>
      <c r="AP239" s="949">
        <f t="shared" si="154"/>
        <v>0</v>
      </c>
      <c r="AQ239" s="930"/>
      <c r="AR239" s="936">
        <f>ROUND(SUMIFS('GL911.XH.FY24'!L:L,'GL911.XH.FY24'!F:F,'A0.LS'!E239),0)</f>
        <v>0</v>
      </c>
      <c r="AS239" s="936">
        <f>ROUND(SUMIFS('A5.CTC FY24'!K:K,'A5.CTC FY24'!E:E,'A0.LS'!E239,'A5.CTC FY24'!A:A,'A0.LS'!$AS$5,'A5.CTC FY24'!L:L,"EY",'A5.CTC FY24'!M:M,"Posted"),0)</f>
        <v>0</v>
      </c>
      <c r="AT239" s="948">
        <f t="shared" si="155"/>
        <v>0</v>
      </c>
      <c r="AU239" s="930"/>
      <c r="AV239" s="951">
        <f t="shared" si="156"/>
        <v>-20322267286</v>
      </c>
      <c r="AW239" s="952">
        <f>SUMIFS('A5.Consol FY24'!L:L,'A5.Consol FY24'!B:B,'A0.LS'!$AW$5,'A5.Consol FY24'!M:M,"EY",'A5.Consol FY24'!N:N,"Posted",'A5.Consol FY24'!F:F,'A0.LS'!E239)</f>
        <v>0</v>
      </c>
      <c r="AX239" s="951">
        <f t="shared" si="157"/>
        <v>-20322267286</v>
      </c>
      <c r="AY239" s="920"/>
      <c r="AZ239" s="936">
        <f>SUMIFS('911.CTC.YE22'!U:U,'911.CTC.YE22'!R:R,'A0.LS'!E239)</f>
        <v>0</v>
      </c>
      <c r="BA239" s="936">
        <f>ROUND(SUMIFS('A5.YE22'!J:J,'A5.YE22'!K:K,'A0.LS'!$BA$5,'A5.YE22'!L:L,"Posted",'A5.YE22'!D:D,'A0.LS'!E239),0)</f>
        <v>0</v>
      </c>
      <c r="BB239" s="936">
        <f t="shared" si="158"/>
        <v>0</v>
      </c>
      <c r="BC239" s="937"/>
      <c r="BD239" s="936">
        <f>ROUND(SUMIFS('911.VNSC.YE22'!R:R,'911.VNSC.YE22'!L:L,'A0.LS'!E239),0)</f>
        <v>0</v>
      </c>
      <c r="BE239" s="936">
        <f>ROUND(SUMIFS('A5.YE22'!J:J,'A5.YE22'!K:K,'A0.LS'!$BE$5,'A5.YE22'!L:L,"Posted",'A5.YE22'!D:D,'A0.LS'!E239),0)</f>
        <v>0</v>
      </c>
      <c r="BF239" s="936">
        <f t="shared" si="159"/>
        <v>0</v>
      </c>
      <c r="BG239" s="937"/>
      <c r="BH239" s="936">
        <f>ROUND(SUMIFS('911.XH.YE22'!T:T,'911.XH.YE22'!P:P,'A0.LS'!E239),0)</f>
        <v>0</v>
      </c>
      <c r="BI239" s="936">
        <f>ROUND(SUMIFS('A5.YE22'!J:J,'A5.YE22'!K:K,"XH",'A5.YE22'!L:L,"Posted",'A5.YE22'!D:D,'A0.LS'!E239),0)</f>
        <v>0</v>
      </c>
      <c r="BJ239" s="936">
        <f t="shared" si="160"/>
        <v>0</v>
      </c>
      <c r="BK239" s="937"/>
      <c r="BL239" s="936">
        <f>ROUND(SUMIFS('911.KCG.YE22'!T:T,'911.KCG.YE22'!P:P,'A0.LS'!E239),0)</f>
        <v>0</v>
      </c>
      <c r="BM239" s="936">
        <f>ROUND(SUMIFS('A5.YE22'!J:J,'A5.YE22'!K:K,'A0.LS'!$BM$5,'A5.YE22'!L:L,"Posted",'A5.YE22'!D:D,'A0.LS'!E239),0)</f>
        <v>0</v>
      </c>
      <c r="BN239" s="936">
        <f t="shared" si="161"/>
        <v>0</v>
      </c>
      <c r="BO239" s="937"/>
      <c r="BP239" s="938">
        <v>-9849208851</v>
      </c>
      <c r="BQ239" s="938">
        <f>ROUND(SUMIFS('A5.YE22'!J:J,'A5.YE22'!K:K,'A0.LS'!$BQ$5,'A5.YE22'!L:L,"Posted",'A5.YE22'!D:D,'A0.LS'!E239),0)</f>
        <v>0</v>
      </c>
      <c r="BR239" s="938">
        <f t="shared" si="162"/>
        <v>-9849208851</v>
      </c>
    </row>
    <row r="240" spans="2:70" ht="12.75">
      <c r="B240" s="939">
        <v>21</v>
      </c>
      <c r="C240" s="940" t="s">
        <v>2470</v>
      </c>
      <c r="D240" s="927" t="s">
        <v>2470</v>
      </c>
      <c r="E240" s="928" t="s">
        <v>257</v>
      </c>
      <c r="F240" s="928" t="s">
        <v>258</v>
      </c>
      <c r="G240" s="927" t="s">
        <v>2464</v>
      </c>
      <c r="H240" s="927" t="s">
        <v>675</v>
      </c>
      <c r="I240" s="942">
        <f>SUMIFS('GL911.Cty Me.FY24'!T:T,'GL911.Cty Me.FY24'!H:H,'A0.LS'!E240)</f>
        <v>-75778887050</v>
      </c>
      <c r="J240" s="942">
        <f>ROUND(SUMIFS('A5.FY24'!K:K,'A5.FY24'!E:E,'A0.LS'!E240,'A5.FY24'!L:L,"Finhay",'A5.FY24'!M:M,"Posted"),0)</f>
        <v>0</v>
      </c>
      <c r="K240" s="942">
        <f>ROUND(SUMIFS('A5.FY24'!K:K,'A5.FY24'!E:E,'A0.LS'!E240,'A5.FY24'!L:L,"EY",'A5.FY24'!M:M,"Posted"),0)</f>
        <v>0</v>
      </c>
      <c r="L240" s="943">
        <f t="shared" si="150"/>
        <v>-75778887050</v>
      </c>
      <c r="M240" s="930" t="s">
        <v>681</v>
      </c>
      <c r="N240" s="944">
        <v>-54161334552</v>
      </c>
      <c r="O240" s="944">
        <v>0</v>
      </c>
      <c r="P240" s="944">
        <v>0</v>
      </c>
      <c r="Q240" s="945">
        <f t="shared" si="163"/>
        <v>-54161334552</v>
      </c>
      <c r="R240" s="898"/>
      <c r="S240" s="848">
        <f t="shared" si="148"/>
        <v>-21617552498</v>
      </c>
      <c r="T240" s="946">
        <f t="shared" si="149"/>
        <v>0.39913256711289319</v>
      </c>
      <c r="U240" s="850"/>
      <c r="V240" s="850" t="s">
        <v>2472</v>
      </c>
      <c r="W240" s="850"/>
      <c r="X240" s="947" t="s">
        <v>2227</v>
      </c>
      <c r="Y240" s="947" t="s">
        <v>2464</v>
      </c>
      <c r="Z240" s="936">
        <f>ROUND(SUMIFS('GL911.CtyCon.FY24'!N:N,'GL911.CtyCon.FY24'!G:G,'A0.LS'!E240),0)</f>
        <v>0</v>
      </c>
      <c r="AA240" s="936">
        <f>ROUND(SUMIFS('A5.CTC FY24'!K:K,'A5.CTC FY24'!E:E,'A0.LS'!E240,'A5.CTC FY24'!A:A,'A0.LS'!$AA$5,'A5.CTC FY24'!L:L,"Finhay",'A5.CTC FY24'!M:M,"Posted"),0)</f>
        <v>0</v>
      </c>
      <c r="AB240" s="936">
        <f>ROUND(SUMIFS('A5.CTC FY24'!K:K,'A5.CTC FY24'!E:E,'A0.LS'!E240,'A5.CTC FY24'!A:A,'A0.LS'!$AB$5,'A5.CTC FY24'!L:L,"EY",'A5.CTC FY24'!M:M,"Posted"),0)</f>
        <v>0</v>
      </c>
      <c r="AC240" s="948">
        <f t="shared" si="151"/>
        <v>0</v>
      </c>
      <c r="AD240" s="930"/>
      <c r="AE240" s="936">
        <f>SUMIFS('GL911 VNSC FY24'!T:T,'GL911 VNSC FY24'!AG:AG,'A0.LS'!E240)</f>
        <v>-4758419170</v>
      </c>
      <c r="AF240" s="936">
        <f>SUMIFS('A5.CTC FY24'!K:K,'A5.CTC FY24'!E:E,'A0.LS'!E240,'A5.CTC FY24'!A:A,"VNSC",'A5.CTC FY24'!L:L,"VNSC",'A5.CTC FY24'!M:M,"Posted")</f>
        <v>0</v>
      </c>
      <c r="AG240" s="936">
        <f>ROUND(SUMIFS('A5.CTC FY24'!K:K,'A5.CTC FY24'!E:E,'A0.LS'!E240,'A5.CTC FY24'!A:A,"VNSC",'A5.CTC FY24'!L:L,"EY",'A5.CTC FY24'!M:M,"Posted"),0)</f>
        <v>0</v>
      </c>
      <c r="AH240" s="936">
        <f t="shared" si="164"/>
        <v>-4758419170</v>
      </c>
      <c r="AI240" s="930"/>
      <c r="AJ240" s="936">
        <f>ROUND(SUMIFS('GL911.KCG.FY24'!L:L,'GL911.KCG.FY24'!F:F,'A0.LS'!E240),0)</f>
        <v>0</v>
      </c>
      <c r="AK240" s="936">
        <f>ROUND(SUMIFS('A5.CTC FY24'!K:K,'A5.CTC FY24'!E:E,'A0.LS'!E240,'A5.CTC FY24'!A:A,'A0.LS'!$AK$5,'A5.CTC FY24'!L:L,"EY",'A5.CTC FY24'!M:M,"Posted"),0)</f>
        <v>0</v>
      </c>
      <c r="AL240" s="948">
        <f t="shared" si="152"/>
        <v>0</v>
      </c>
      <c r="AM240" s="930"/>
      <c r="AN240" s="949">
        <f t="shared" si="153"/>
        <v>-4758419170</v>
      </c>
      <c r="AO240" s="950">
        <f>ROUND(SUMIFS('A5.Consol FY24'!L:L,'A5.Consol FY24'!M:M,"EY",'A5.Consol FY24'!N:N,"Posted",'A5.Consol FY24'!B:B,'A0.LS'!$AO$5,'A5.Consol FY24'!F:F,'A0.LS'!E240),0)</f>
        <v>0</v>
      </c>
      <c r="AP240" s="949">
        <f t="shared" si="154"/>
        <v>-4758419170</v>
      </c>
      <c r="AQ240" s="930"/>
      <c r="AR240" s="936">
        <f>ROUND(SUMIFS('GL911.XH.FY24'!L:L,'GL911.XH.FY24'!F:F,'A0.LS'!E240),0)</f>
        <v>0</v>
      </c>
      <c r="AS240" s="936">
        <f>ROUND(SUMIFS('A5.CTC FY24'!K:K,'A5.CTC FY24'!E:E,'A0.LS'!E240,'A5.CTC FY24'!A:A,'A0.LS'!$AS$5,'A5.CTC FY24'!L:L,"EY",'A5.CTC FY24'!M:M,"Posted"),0)</f>
        <v>0</v>
      </c>
      <c r="AT240" s="948">
        <f t="shared" si="155"/>
        <v>0</v>
      </c>
      <c r="AU240" s="930"/>
      <c r="AV240" s="951">
        <f t="shared" si="156"/>
        <v>-80537306220</v>
      </c>
      <c r="AW240" s="952">
        <f>SUMIFS('A5.Consol FY24'!L:L,'A5.Consol FY24'!B:B,'A0.LS'!$AW$5,'A5.Consol FY24'!M:M,"EY",'A5.Consol FY24'!N:N,"Posted",'A5.Consol FY24'!F:F,'A0.LS'!E240)</f>
        <v>4121430363</v>
      </c>
      <c r="AX240" s="951">
        <f t="shared" si="157"/>
        <v>-76415875857</v>
      </c>
      <c r="AY240" s="920"/>
      <c r="AZ240" s="936">
        <f>SUMIFS('911.CTC.YE22'!U:U,'911.CTC.YE22'!R:R,'A0.LS'!E240)</f>
        <v>0</v>
      </c>
      <c r="BA240" s="936">
        <f>ROUND(SUMIFS('A5.YE22'!J:J,'A5.YE22'!K:K,'A0.LS'!$BA$5,'A5.YE22'!L:L,"Posted",'A5.YE22'!D:D,'A0.LS'!E240),0)</f>
        <v>0</v>
      </c>
      <c r="BB240" s="936">
        <f t="shared" si="158"/>
        <v>0</v>
      </c>
      <c r="BC240" s="937"/>
      <c r="BD240" s="936">
        <f>ROUND(SUMIFS('911.VNSC.YE22'!R:R,'911.VNSC.YE22'!L:L,'A0.LS'!E240),0)</f>
        <v>-3222803340</v>
      </c>
      <c r="BE240" s="936">
        <f>ROUND(SUMIFS('A5.YE22'!J:J,'A5.YE22'!K:K,'A0.LS'!$BE$5,'A5.YE22'!L:L,"Posted",'A5.YE22'!D:D,'A0.LS'!E240),0)</f>
        <v>0</v>
      </c>
      <c r="BF240" s="936">
        <f t="shared" si="159"/>
        <v>-3222803340</v>
      </c>
      <c r="BG240" s="937"/>
      <c r="BH240" s="936">
        <f>ROUND(SUMIFS('911.XH.YE22'!T:T,'911.XH.YE22'!P:P,'A0.LS'!E240),0)</f>
        <v>0</v>
      </c>
      <c r="BI240" s="936">
        <f>ROUND(SUMIFS('A5.YE22'!J:J,'A5.YE22'!K:K,"XH",'A5.YE22'!L:L,"Posted",'A5.YE22'!D:D,'A0.LS'!E240),0)</f>
        <v>0</v>
      </c>
      <c r="BJ240" s="936">
        <f t="shared" si="160"/>
        <v>0</v>
      </c>
      <c r="BK240" s="937"/>
      <c r="BL240" s="936">
        <f>ROUND(SUMIFS('911.KCG.YE22'!T:T,'911.KCG.YE22'!P:P,'A0.LS'!E240),0)</f>
        <v>0</v>
      </c>
      <c r="BM240" s="936">
        <f>ROUND(SUMIFS('A5.YE22'!J:J,'A5.YE22'!K:K,'A0.LS'!$BM$5,'A5.YE22'!L:L,"Posted",'A5.YE22'!D:D,'A0.LS'!E240),0)</f>
        <v>0</v>
      </c>
      <c r="BN240" s="936">
        <f t="shared" si="161"/>
        <v>0</v>
      </c>
      <c r="BO240" s="937"/>
      <c r="BP240" s="938">
        <v>-64131196336</v>
      </c>
      <c r="BQ240" s="938">
        <f>ROUND(SUMIFS('A5.YE22'!J:J,'A5.YE22'!K:K,'A0.LS'!$BQ$5,'A5.YE22'!L:L,"Posted",'A5.YE22'!D:D,'A0.LS'!E240),0)</f>
        <v>0</v>
      </c>
      <c r="BR240" s="938">
        <f t="shared" si="162"/>
        <v>-64131196336</v>
      </c>
    </row>
    <row r="241" spans="2:70" ht="12.75">
      <c r="B241" s="939">
        <v>21</v>
      </c>
      <c r="C241" s="940" t="s">
        <v>2470</v>
      </c>
      <c r="D241" s="927" t="s">
        <v>2470</v>
      </c>
      <c r="E241" s="928" t="s">
        <v>259</v>
      </c>
      <c r="F241" s="928" t="s">
        <v>260</v>
      </c>
      <c r="G241" s="927" t="s">
        <v>2464</v>
      </c>
      <c r="H241" s="927" t="s">
        <v>675</v>
      </c>
      <c r="I241" s="942">
        <f>SUMIFS('GL911.Cty Me.FY24'!T:T,'GL911.Cty Me.FY24'!H:H,'A0.LS'!E241)</f>
        <v>-13335304625</v>
      </c>
      <c r="J241" s="942">
        <f>ROUND(SUMIFS('A5.FY24'!K:K,'A5.FY24'!E:E,'A0.LS'!E241,'A5.FY24'!L:L,"Finhay",'A5.FY24'!M:M,"Posted"),0)</f>
        <v>0</v>
      </c>
      <c r="K241" s="942">
        <f>ROUND(SUMIFS('A5.FY24'!K:K,'A5.FY24'!E:E,'A0.LS'!E241,'A5.FY24'!L:L,"EY",'A5.FY24'!M:M,"Posted"),0)</f>
        <v>0</v>
      </c>
      <c r="L241" s="943">
        <f t="shared" si="150"/>
        <v>-13335304625</v>
      </c>
      <c r="M241" s="930" t="s">
        <v>681</v>
      </c>
      <c r="N241" s="944">
        <v>-32053189839</v>
      </c>
      <c r="O241" s="944">
        <v>-688601845</v>
      </c>
      <c r="P241" s="944">
        <v>-762815688</v>
      </c>
      <c r="Q241" s="945">
        <f t="shared" si="163"/>
        <v>-33504607372</v>
      </c>
      <c r="R241" s="898"/>
      <c r="S241" s="848">
        <f t="shared" si="148"/>
        <v>20169302747</v>
      </c>
      <c r="T241" s="946">
        <f t="shared" si="149"/>
        <v>-0.60198594548687667</v>
      </c>
      <c r="U241" s="850"/>
      <c r="V241" s="850" t="s">
        <v>2471</v>
      </c>
      <c r="W241" s="850"/>
      <c r="X241" s="947" t="s">
        <v>2227</v>
      </c>
      <c r="Y241" s="947" t="s">
        <v>2464</v>
      </c>
      <c r="Z241" s="936">
        <f>ROUND(SUMIFS('GL911.CtyCon.FY24'!N:N,'GL911.CtyCon.FY24'!G:G,'A0.LS'!E241),0)</f>
        <v>0</v>
      </c>
      <c r="AA241" s="936">
        <f>ROUND(SUMIFS('A5.CTC FY24'!K:K,'A5.CTC FY24'!E:E,'A0.LS'!E241,'A5.CTC FY24'!A:A,'A0.LS'!$AA$5,'A5.CTC FY24'!L:L,"Finhay",'A5.CTC FY24'!M:M,"Posted"),0)</f>
        <v>0</v>
      </c>
      <c r="AB241" s="936">
        <f>ROUND(SUMIFS('A5.CTC FY24'!K:K,'A5.CTC FY24'!E:E,'A0.LS'!E241,'A5.CTC FY24'!A:A,'A0.LS'!$AB$5,'A5.CTC FY24'!L:L,"EY",'A5.CTC FY24'!M:M,"Posted"),0)</f>
        <v>0</v>
      </c>
      <c r="AC241" s="948">
        <f t="shared" si="151"/>
        <v>0</v>
      </c>
      <c r="AD241" s="930"/>
      <c r="AE241" s="936">
        <f>SUMIFS('GL911 VNSC FY24'!T:T,'GL911 VNSC FY24'!AG:AG,'A0.LS'!E241)</f>
        <v>0</v>
      </c>
      <c r="AF241" s="936">
        <f>SUMIFS('A5.CTC FY24'!K:K,'A5.CTC FY24'!E:E,'A0.LS'!E241,'A5.CTC FY24'!A:A,"VNSC",'A5.CTC FY24'!L:L,"VNSC",'A5.CTC FY24'!M:M,"Posted")</f>
        <v>0</v>
      </c>
      <c r="AG241" s="936">
        <f>ROUND(SUMIFS('A5.CTC FY24'!K:K,'A5.CTC FY24'!E:E,'A0.LS'!E241,'A5.CTC FY24'!A:A,"VNSC",'A5.CTC FY24'!L:L,"EY",'A5.CTC FY24'!M:M,"Posted"),0)</f>
        <v>0</v>
      </c>
      <c r="AH241" s="936">
        <f t="shared" si="164"/>
        <v>0</v>
      </c>
      <c r="AI241" s="930"/>
      <c r="AJ241" s="936">
        <f>ROUND(SUMIFS('GL911.KCG.FY24'!L:L,'GL911.KCG.FY24'!F:F,'A0.LS'!E241),0)</f>
        <v>0</v>
      </c>
      <c r="AK241" s="936">
        <f>ROUND(SUMIFS('A5.CTC FY24'!K:K,'A5.CTC FY24'!E:E,'A0.LS'!E241,'A5.CTC FY24'!A:A,'A0.LS'!$AK$5,'A5.CTC FY24'!L:L,"EY",'A5.CTC FY24'!M:M,"Posted"),0)</f>
        <v>0</v>
      </c>
      <c r="AL241" s="948">
        <f t="shared" si="152"/>
        <v>0</v>
      </c>
      <c r="AM241" s="930"/>
      <c r="AN241" s="949">
        <f t="shared" si="153"/>
        <v>0</v>
      </c>
      <c r="AO241" s="950">
        <f>ROUND(SUMIFS('A5.Consol FY24'!L:L,'A5.Consol FY24'!M:M,"EY",'A5.Consol FY24'!N:N,"Posted",'A5.Consol FY24'!B:B,'A0.LS'!$AO$5,'A5.Consol FY24'!F:F,'A0.LS'!E241),0)</f>
        <v>0</v>
      </c>
      <c r="AP241" s="949">
        <f t="shared" si="154"/>
        <v>0</v>
      </c>
      <c r="AQ241" s="930"/>
      <c r="AR241" s="936">
        <f>ROUND(SUMIFS('GL911.XH.FY24'!L:L,'GL911.XH.FY24'!F:F,'A0.LS'!E241),0)</f>
        <v>0</v>
      </c>
      <c r="AS241" s="936">
        <f>ROUND(SUMIFS('A5.CTC FY24'!K:K,'A5.CTC FY24'!E:E,'A0.LS'!E241,'A5.CTC FY24'!A:A,'A0.LS'!$AS$5,'A5.CTC FY24'!L:L,"EY",'A5.CTC FY24'!M:M,"Posted"),0)</f>
        <v>0</v>
      </c>
      <c r="AT241" s="948">
        <f t="shared" si="155"/>
        <v>0</v>
      </c>
      <c r="AU241" s="930"/>
      <c r="AV241" s="951">
        <f t="shared" si="156"/>
        <v>-13335304625</v>
      </c>
      <c r="AW241" s="952">
        <f>SUMIFS('A5.Consol FY24'!L:L,'A5.Consol FY24'!B:B,'A0.LS'!$AW$5,'A5.Consol FY24'!M:M,"EY",'A5.Consol FY24'!N:N,"Posted",'A5.Consol FY24'!F:F,'A0.LS'!E241)</f>
        <v>0</v>
      </c>
      <c r="AX241" s="951">
        <f t="shared" si="157"/>
        <v>-13335304625</v>
      </c>
      <c r="AY241" s="920"/>
      <c r="AZ241" s="936">
        <f>SUMIFS('911.CTC.YE22'!U:U,'911.CTC.YE22'!R:R,'A0.LS'!E241)</f>
        <v>0</v>
      </c>
      <c r="BA241" s="936">
        <f>ROUND(SUMIFS('A5.YE22'!J:J,'A5.YE22'!K:K,'A0.LS'!$BA$5,'A5.YE22'!L:L,"Posted",'A5.YE22'!D:D,'A0.LS'!E241),0)</f>
        <v>0</v>
      </c>
      <c r="BB241" s="936">
        <f t="shared" si="158"/>
        <v>0</v>
      </c>
      <c r="BC241" s="937"/>
      <c r="BD241" s="936">
        <f>ROUND(SUMIFS('911.VNSC.YE22'!R:R,'911.VNSC.YE22'!L:L,'A0.LS'!E241),0)</f>
        <v>0</v>
      </c>
      <c r="BE241" s="936">
        <f>ROUND(SUMIFS('A5.YE22'!J:J,'A5.YE22'!K:K,'A0.LS'!$BE$5,'A5.YE22'!L:L,"Posted",'A5.YE22'!D:D,'A0.LS'!E241),0)</f>
        <v>0</v>
      </c>
      <c r="BF241" s="936">
        <f t="shared" si="159"/>
        <v>0</v>
      </c>
      <c r="BG241" s="937"/>
      <c r="BH241" s="936">
        <f>ROUND(SUMIFS('911.XH.YE22'!T:T,'911.XH.YE22'!P:P,'A0.LS'!E241),0)</f>
        <v>0</v>
      </c>
      <c r="BI241" s="936">
        <f>ROUND(SUMIFS('A5.YE22'!J:J,'A5.YE22'!K:K,"XH",'A5.YE22'!L:L,"Posted",'A5.YE22'!D:D,'A0.LS'!E241),0)</f>
        <v>0</v>
      </c>
      <c r="BJ241" s="936">
        <f t="shared" si="160"/>
        <v>0</v>
      </c>
      <c r="BK241" s="937"/>
      <c r="BL241" s="936">
        <f>ROUND(SUMIFS('911.KCG.YE22'!T:T,'911.KCG.YE22'!P:P,'A0.LS'!E241),0)</f>
        <v>0</v>
      </c>
      <c r="BM241" s="936">
        <f>ROUND(SUMIFS('A5.YE22'!J:J,'A5.YE22'!K:K,'A0.LS'!$BM$5,'A5.YE22'!L:L,"Posted",'A5.YE22'!D:D,'A0.LS'!E241),0)</f>
        <v>0</v>
      </c>
      <c r="BN241" s="936">
        <f t="shared" si="161"/>
        <v>0</v>
      </c>
      <c r="BO241" s="937"/>
      <c r="BP241" s="938">
        <v>-33504607372</v>
      </c>
      <c r="BQ241" s="938">
        <f>ROUND(SUMIFS('A5.YE22'!J:J,'A5.YE22'!K:K,'A0.LS'!$BQ$5,'A5.YE22'!L:L,"Posted",'A5.YE22'!D:D,'A0.LS'!E241),0)</f>
        <v>0</v>
      </c>
      <c r="BR241" s="938">
        <f t="shared" si="162"/>
        <v>-33504607372</v>
      </c>
    </row>
    <row r="242" spans="2:70" ht="12.75">
      <c r="B242" s="939">
        <v>21</v>
      </c>
      <c r="C242" s="940" t="s">
        <v>2470</v>
      </c>
      <c r="D242" s="927" t="s">
        <v>2470</v>
      </c>
      <c r="E242" s="956">
        <v>5153.04</v>
      </c>
      <c r="F242" s="928" t="s">
        <v>746</v>
      </c>
      <c r="G242" s="927" t="s">
        <v>2464</v>
      </c>
      <c r="H242" s="927" t="s">
        <v>675</v>
      </c>
      <c r="I242" s="942">
        <f>SUMIFS('GL911.Cty Me.FY24'!T:T,'GL911.Cty Me.FY24'!H:H,'A0.LS'!E242)</f>
        <v>-13944446992</v>
      </c>
      <c r="J242" s="942">
        <f>ROUND(SUMIFS('A5.FY24'!K:K,'A5.FY24'!E:E,'A0.LS'!E242,'A5.FY24'!L:L,"Finhay",'A5.FY24'!M:M,"Posted"),0)</f>
        <v>0</v>
      </c>
      <c r="K242" s="942">
        <f>ROUND(SUMIFS('A5.FY24'!K:K,'A5.FY24'!E:E,'A0.LS'!E242,'A5.FY24'!L:L,"EY",'A5.FY24'!M:M,"Posted"),0)</f>
        <v>0</v>
      </c>
      <c r="L242" s="943">
        <f t="shared" si="150"/>
        <v>-13944446992</v>
      </c>
      <c r="M242" s="930" t="s">
        <v>681</v>
      </c>
      <c r="N242" s="944">
        <v>0</v>
      </c>
      <c r="O242" s="944">
        <v>0</v>
      </c>
      <c r="P242" s="944">
        <v>0</v>
      </c>
      <c r="Q242" s="945">
        <f t="shared" si="163"/>
        <v>0</v>
      </c>
      <c r="R242" s="898"/>
      <c r="S242" s="848">
        <f t="shared" si="148"/>
        <v>-13944446992</v>
      </c>
      <c r="T242" s="946" t="str">
        <f t="shared" si="149"/>
        <v>To check</v>
      </c>
      <c r="U242" s="850"/>
      <c r="V242" s="850" t="s">
        <v>2471</v>
      </c>
      <c r="W242" s="850"/>
      <c r="X242" s="947" t="s">
        <v>2227</v>
      </c>
      <c r="Y242" s="947" t="s">
        <v>2464</v>
      </c>
      <c r="Z242" s="936">
        <f>ROUND(SUMIFS('GL911.CtyCon.FY24'!N:N,'GL911.CtyCon.FY24'!G:G,'A0.LS'!E242),0)</f>
        <v>0</v>
      </c>
      <c r="AA242" s="936">
        <f>ROUND(SUMIFS('A5.CTC FY24'!K:K,'A5.CTC FY24'!E:E,'A0.LS'!E242,'A5.CTC FY24'!A:A,'A0.LS'!$AA$5,'A5.CTC FY24'!L:L,"Finhay",'A5.CTC FY24'!M:M,"Posted"),0)</f>
        <v>0</v>
      </c>
      <c r="AB242" s="936">
        <f>ROUND(SUMIFS('A5.CTC FY24'!K:K,'A5.CTC FY24'!E:E,'A0.LS'!E242,'A5.CTC FY24'!A:A,'A0.LS'!$AB$5,'A5.CTC FY24'!L:L,"EY",'A5.CTC FY24'!M:M,"Posted"),0)</f>
        <v>0</v>
      </c>
      <c r="AC242" s="948">
        <f t="shared" si="151"/>
        <v>0</v>
      </c>
      <c r="AD242" s="930"/>
      <c r="AE242" s="936">
        <f>SUMIFS('GL911 VNSC FY24'!T:T,'GL911 VNSC FY24'!AG:AG,'A0.LS'!E242)</f>
        <v>0</v>
      </c>
      <c r="AF242" s="936">
        <f>SUMIFS('A5.CTC FY24'!K:K,'A5.CTC FY24'!E:E,'A0.LS'!E242,'A5.CTC FY24'!A:A,"VNSC",'A5.CTC FY24'!L:L,"VNSC",'A5.CTC FY24'!M:M,"Posted")</f>
        <v>0</v>
      </c>
      <c r="AG242" s="936">
        <f>ROUND(SUMIFS('A5.CTC FY24'!K:K,'A5.CTC FY24'!E:E,'A0.LS'!E242,'A5.CTC FY24'!A:A,"VNSC",'A5.CTC FY24'!L:L,"EY",'A5.CTC FY24'!M:M,"Posted"),0)</f>
        <v>0</v>
      </c>
      <c r="AH242" s="936">
        <f t="shared" si="164"/>
        <v>0</v>
      </c>
      <c r="AI242" s="930"/>
      <c r="AJ242" s="936">
        <f>ROUND(SUMIFS('GL911.KCG.FY24'!L:L,'GL911.KCG.FY24'!F:F,'A0.LS'!E242),0)</f>
        <v>0</v>
      </c>
      <c r="AK242" s="936">
        <f>ROUND(SUMIFS('A5.CTC FY24'!K:K,'A5.CTC FY24'!E:E,'A0.LS'!E242,'A5.CTC FY24'!A:A,'A0.LS'!$AK$5,'A5.CTC FY24'!L:L,"EY",'A5.CTC FY24'!M:M,"Posted"),0)</f>
        <v>0</v>
      </c>
      <c r="AL242" s="948">
        <f t="shared" si="152"/>
        <v>0</v>
      </c>
      <c r="AM242" s="930"/>
      <c r="AN242" s="949">
        <f t="shared" si="153"/>
        <v>0</v>
      </c>
      <c r="AO242" s="950">
        <f>ROUND(SUMIFS('A5.Consol FY24'!L:L,'A5.Consol FY24'!M:M,"EY",'A5.Consol FY24'!N:N,"Posted",'A5.Consol FY24'!B:B,'A0.LS'!$AO$5,'A5.Consol FY24'!F:F,'A0.LS'!E242),0)</f>
        <v>0</v>
      </c>
      <c r="AP242" s="949">
        <f t="shared" si="154"/>
        <v>0</v>
      </c>
      <c r="AQ242" s="930"/>
      <c r="AR242" s="936">
        <f>ROUND(SUMIFS('GL911.XH.FY24'!L:L,'GL911.XH.FY24'!F:F,'A0.LS'!E242),0)</f>
        <v>0</v>
      </c>
      <c r="AS242" s="936">
        <f>ROUND(SUMIFS('A5.CTC FY24'!K:K,'A5.CTC FY24'!E:E,'A0.LS'!E242,'A5.CTC FY24'!A:A,'A0.LS'!$AS$5,'A5.CTC FY24'!L:L,"EY",'A5.CTC FY24'!M:M,"Posted"),0)</f>
        <v>0</v>
      </c>
      <c r="AT242" s="948">
        <f t="shared" si="155"/>
        <v>0</v>
      </c>
      <c r="AU242" s="930"/>
      <c r="AV242" s="951">
        <f t="shared" si="156"/>
        <v>-13944446992</v>
      </c>
      <c r="AW242" s="952">
        <f>SUMIFS('A5.Consol FY24'!L:L,'A5.Consol FY24'!B:B,'A0.LS'!$AW$5,'A5.Consol FY24'!M:M,"EY",'A5.Consol FY24'!N:N,"Posted",'A5.Consol FY24'!F:F,'A0.LS'!E242)</f>
        <v>0</v>
      </c>
      <c r="AX242" s="951">
        <f t="shared" si="157"/>
        <v>-13944446992</v>
      </c>
      <c r="AY242" s="920"/>
      <c r="AZ242" s="936">
        <f>SUMIFS('911.CTC.YE22'!U:U,'911.CTC.YE22'!R:R,'A0.LS'!E242)</f>
        <v>0</v>
      </c>
      <c r="BA242" s="936">
        <f>ROUND(SUMIFS('A5.YE22'!J:J,'A5.YE22'!K:K,'A0.LS'!$BA$5,'A5.YE22'!L:L,"Posted",'A5.YE22'!D:D,'A0.LS'!E242),0)</f>
        <v>0</v>
      </c>
      <c r="BB242" s="936">
        <f t="shared" si="158"/>
        <v>0</v>
      </c>
      <c r="BC242" s="937"/>
      <c r="BD242" s="936">
        <f>ROUND(SUMIFS('911.VNSC.YE22'!R:R,'911.VNSC.YE22'!L:L,'A0.LS'!E242),0)</f>
        <v>0</v>
      </c>
      <c r="BE242" s="936">
        <f>ROUND(SUMIFS('A5.YE22'!J:J,'A5.YE22'!K:K,'A0.LS'!$BE$5,'A5.YE22'!L:L,"Posted",'A5.YE22'!D:D,'A0.LS'!E242),0)</f>
        <v>0</v>
      </c>
      <c r="BF242" s="936">
        <f t="shared" si="159"/>
        <v>0</v>
      </c>
      <c r="BG242" s="937"/>
      <c r="BH242" s="936">
        <f>ROUND(SUMIFS('911.XH.YE22'!T:T,'911.XH.YE22'!P:P,'A0.LS'!E242),0)</f>
        <v>0</v>
      </c>
      <c r="BI242" s="936">
        <f>ROUND(SUMIFS('A5.YE22'!J:J,'A5.YE22'!K:K,"XH",'A5.YE22'!L:L,"Posted",'A5.YE22'!D:D,'A0.LS'!E242),0)</f>
        <v>0</v>
      </c>
      <c r="BJ242" s="936">
        <f t="shared" si="160"/>
        <v>0</v>
      </c>
      <c r="BK242" s="937"/>
      <c r="BL242" s="936">
        <f>ROUND(SUMIFS('911.KCG.YE22'!T:T,'911.KCG.YE22'!P:P,'A0.LS'!E242),0)</f>
        <v>0</v>
      </c>
      <c r="BM242" s="936">
        <f>ROUND(SUMIFS('A5.YE22'!J:J,'A5.YE22'!K:K,'A0.LS'!$BM$5,'A5.YE22'!L:L,"Posted",'A5.YE22'!D:D,'A0.LS'!E242),0)</f>
        <v>0</v>
      </c>
      <c r="BN242" s="936">
        <f t="shared" si="161"/>
        <v>0</v>
      </c>
      <c r="BO242" s="937"/>
      <c r="BP242" s="938">
        <v>0</v>
      </c>
      <c r="BQ242" s="938">
        <f>ROUND(SUMIFS('A5.YE22'!J:J,'A5.YE22'!K:K,'A0.LS'!$BQ$5,'A5.YE22'!L:L,"Posted",'A5.YE22'!D:D,'A0.LS'!E242),0)</f>
        <v>0</v>
      </c>
      <c r="BR242" s="938">
        <f t="shared" si="162"/>
        <v>0</v>
      </c>
    </row>
    <row r="243" spans="2:70" ht="12.75">
      <c r="B243" s="939">
        <v>21</v>
      </c>
      <c r="C243" s="940" t="s">
        <v>2470</v>
      </c>
      <c r="D243" s="927" t="s">
        <v>2470</v>
      </c>
      <c r="E243" s="956">
        <v>5153.05</v>
      </c>
      <c r="F243" s="928" t="s">
        <v>2473</v>
      </c>
      <c r="G243" s="927" t="s">
        <v>2464</v>
      </c>
      <c r="H243" s="927" t="s">
        <v>675</v>
      </c>
      <c r="I243" s="942">
        <f>SUMIFS('GL911.Cty Me.FY24'!T:T,'GL911.Cty Me.FY24'!H:H,'A0.LS'!E243)</f>
        <v>-8970000</v>
      </c>
      <c r="J243" s="942">
        <f>ROUND(SUMIFS('A5.FY24'!K:K,'A5.FY24'!E:E,'A0.LS'!E243,'A5.FY24'!L:L,"Finhay",'A5.FY24'!M:M,"Posted"),0)</f>
        <v>0</v>
      </c>
      <c r="K243" s="942">
        <f>ROUND(SUMIFS('A5.FY24'!K:K,'A5.FY24'!E:E,'A0.LS'!E243,'A5.FY24'!L:L,"EY",'A5.FY24'!M:M,"Posted"),0)</f>
        <v>0</v>
      </c>
      <c r="L243" s="943">
        <f t="shared" ref="L243" si="165">ROUND(SUM(I243:K243),0)</f>
        <v>-8970000</v>
      </c>
      <c r="M243" s="930"/>
      <c r="N243" s="944">
        <v>0</v>
      </c>
      <c r="O243" s="944">
        <v>0</v>
      </c>
      <c r="P243" s="944">
        <v>0</v>
      </c>
      <c r="Q243" s="945">
        <f t="shared" si="163"/>
        <v>0</v>
      </c>
      <c r="R243" s="898"/>
      <c r="S243" s="848">
        <f t="shared" ref="S243" si="166">L243-Q243</f>
        <v>-8970000</v>
      </c>
      <c r="T243" s="946" t="str">
        <f t="shared" ref="T243" si="167">IFERROR(S243/Q243,"To check")</f>
        <v>To check</v>
      </c>
      <c r="U243" s="850"/>
      <c r="V243" s="850" t="s">
        <v>2471</v>
      </c>
      <c r="W243" s="850"/>
      <c r="X243" s="947" t="s">
        <v>2227</v>
      </c>
      <c r="Y243" s="947" t="s">
        <v>2464</v>
      </c>
      <c r="Z243" s="936">
        <f>ROUND(SUMIFS('GL911.CtyCon.FY24'!N:N,'GL911.CtyCon.FY24'!G:G,'A0.LS'!E243),0)</f>
        <v>0</v>
      </c>
      <c r="AA243" s="936">
        <f>ROUND(SUMIFS('A5.CTC FY24'!K:K,'A5.CTC FY24'!E:E,'A0.LS'!E243,'A5.CTC FY24'!A:A,'A0.LS'!$AA$5,'A5.CTC FY24'!L:L,"Finhay",'A5.CTC FY24'!M:M,"Posted"),0)</f>
        <v>0</v>
      </c>
      <c r="AB243" s="936">
        <f>ROUND(SUMIFS('A5.CTC FY24'!K:K,'A5.CTC FY24'!E:E,'A0.LS'!E243,'A5.CTC FY24'!A:A,'A0.LS'!$AB$5,'A5.CTC FY24'!L:L,"EY",'A5.CTC FY24'!M:M,"Posted"),0)</f>
        <v>0</v>
      </c>
      <c r="AC243" s="948">
        <f t="shared" ref="AC243" si="168">ROUND(SUM(Z243:AB243),0)</f>
        <v>0</v>
      </c>
      <c r="AD243" s="930"/>
      <c r="AE243" s="936">
        <f>SUMIFS('GL911 VNSC FY24'!T:T,'GL911 VNSC FY24'!AG:AG,'A0.LS'!E243)</f>
        <v>-3286389118</v>
      </c>
      <c r="AF243" s="936">
        <f>SUMIFS('A5.CTC FY24'!K:K,'A5.CTC FY24'!E:E,'A0.LS'!E243,'A5.CTC FY24'!A:A,"VNSC",'A5.CTC FY24'!L:L,"VNSC",'A5.CTC FY24'!M:M,"Posted")</f>
        <v>0</v>
      </c>
      <c r="AG243" s="936">
        <f>ROUND(SUMIFS('A5.CTC FY24'!K:K,'A5.CTC FY24'!E:E,'A0.LS'!E243,'A5.CTC FY24'!A:A,"VNSC",'A5.CTC FY24'!L:L,"EY",'A5.CTC FY24'!M:M,"Posted"),0)</f>
        <v>0</v>
      </c>
      <c r="AH243" s="936">
        <f t="shared" ref="AH243" si="169">ROUND(SUM(AE243:AG243),0)</f>
        <v>-3286389118</v>
      </c>
      <c r="AI243" s="930"/>
      <c r="AJ243" s="936">
        <f>ROUND(SUMIFS('GL911.KCG.FY24'!L:L,'GL911.KCG.FY24'!F:F,'A0.LS'!E243),0)</f>
        <v>0</v>
      </c>
      <c r="AK243" s="936">
        <f>ROUND(SUMIFS('A5.CTC FY24'!K:K,'A5.CTC FY24'!E:E,'A0.LS'!E243,'A5.CTC FY24'!A:A,'A0.LS'!$AK$5,'A5.CTC FY24'!L:L,"EY",'A5.CTC FY24'!M:M,"Posted"),0)</f>
        <v>0</v>
      </c>
      <c r="AL243" s="948">
        <f t="shared" ref="AL243" si="170">ROUND(SUM(AJ243:AK243),0)</f>
        <v>0</v>
      </c>
      <c r="AM243" s="930"/>
      <c r="AN243" s="949">
        <f t="shared" ref="AN243" si="171">ROUND(SUM(AT243,AH243,AC243),0)</f>
        <v>-3286389118</v>
      </c>
      <c r="AO243" s="950">
        <f>ROUND(SUMIFS('A5.Consol FY24'!L:L,'A5.Consol FY24'!M:M,"EY",'A5.Consol FY24'!N:N,"Posted",'A5.Consol FY24'!B:B,'A0.LS'!$AO$5,'A5.Consol FY24'!F:F,'A0.LS'!E243),0)</f>
        <v>0</v>
      </c>
      <c r="AP243" s="949">
        <f t="shared" ref="AP243" si="172">ROUND(SUM(AN243:AO243),0)</f>
        <v>-3286389118</v>
      </c>
      <c r="AQ243" s="930"/>
      <c r="AR243" s="936">
        <f>ROUND(SUMIFS('GL911.XH.FY24'!L:L,'GL911.XH.FY24'!F:F,'A0.LS'!E243),0)</f>
        <v>0</v>
      </c>
      <c r="AS243" s="936">
        <f>ROUND(SUMIFS('A5.CTC FY24'!K:K,'A5.CTC FY24'!E:E,'A0.LS'!E243,'A5.CTC FY24'!A:A,'A0.LS'!$AS$5,'A5.CTC FY24'!L:L,"EY",'A5.CTC FY24'!M:M,"Posted"),0)</f>
        <v>0</v>
      </c>
      <c r="AT243" s="948">
        <f t="shared" ref="AT243" si="173">ROUND(SUM(AR243:AS243),0)</f>
        <v>0</v>
      </c>
      <c r="AU243" s="930"/>
      <c r="AV243" s="951">
        <f t="shared" ref="AV243" si="174">ROUND(SUM(AP243,AL243,L243),0)</f>
        <v>-3295359118</v>
      </c>
      <c r="AW243" s="952">
        <f>SUMIFS('A5.Consol FY24'!L:L,'A5.Consol FY24'!B:B,'A0.LS'!$AW$5,'A5.Consol FY24'!M:M,"EY",'A5.Consol FY24'!N:N,"Posted",'A5.Consol FY24'!F:F,'A0.LS'!E243)</f>
        <v>0</v>
      </c>
      <c r="AX243" s="951">
        <f t="shared" ref="AX243" si="175">ROUND(SUM(AV243:AW243),0)</f>
        <v>-3295359118</v>
      </c>
      <c r="AY243" s="920"/>
      <c r="AZ243" s="936">
        <f>SUMIFS('911.CTC.YE22'!U:U,'911.CTC.YE22'!R:R,'A0.LS'!E243)</f>
        <v>0</v>
      </c>
      <c r="BA243" s="936">
        <f>ROUND(SUMIFS('A5.YE22'!J:J,'A5.YE22'!K:K,'A0.LS'!$BA$5,'A5.YE22'!L:L,"Posted",'A5.YE22'!D:D,'A0.LS'!E243),0)</f>
        <v>0</v>
      </c>
      <c r="BB243" s="936">
        <f t="shared" ref="BB243" si="176">ROUND(SUM(AZ243:BA243),0)</f>
        <v>0</v>
      </c>
      <c r="BC243" s="937"/>
      <c r="BD243" s="936">
        <f>ROUND(SUMIFS('911.VNSC.YE22'!R:R,'911.VNSC.YE22'!L:L,'A0.LS'!E243),0)</f>
        <v>0</v>
      </c>
      <c r="BE243" s="936">
        <f>ROUND(SUMIFS('A5.YE22'!J:J,'A5.YE22'!K:K,'A0.LS'!$BE$5,'A5.YE22'!L:L,"Posted",'A5.YE22'!D:D,'A0.LS'!E243),0)</f>
        <v>0</v>
      </c>
      <c r="BF243" s="936">
        <f t="shared" ref="BF243" si="177">ROUND(SUM(BD243:BE243),0)</f>
        <v>0</v>
      </c>
      <c r="BG243" s="937"/>
      <c r="BH243" s="936">
        <f>ROUND(SUMIFS('911.XH.YE22'!T:T,'911.XH.YE22'!P:P,'A0.LS'!E243),0)</f>
        <v>0</v>
      </c>
      <c r="BI243" s="936">
        <f>ROUND(SUMIFS('A5.YE22'!J:J,'A5.YE22'!K:K,"XH",'A5.YE22'!L:L,"Posted",'A5.YE22'!D:D,'A0.LS'!E243),0)</f>
        <v>0</v>
      </c>
      <c r="BJ243" s="936">
        <f t="shared" ref="BJ243" si="178">ROUND(SUM(BH243:BI243),0)</f>
        <v>0</v>
      </c>
      <c r="BK243" s="937"/>
      <c r="BL243" s="936">
        <f>ROUND(SUMIFS('911.KCG.YE22'!T:T,'911.KCG.YE22'!P:P,'A0.LS'!E243),0)</f>
        <v>0</v>
      </c>
      <c r="BM243" s="936">
        <f>ROUND(SUMIFS('A5.YE22'!J:J,'A5.YE22'!K:K,'A0.LS'!$BM$5,'A5.YE22'!L:L,"Posted",'A5.YE22'!D:D,'A0.LS'!E243),0)</f>
        <v>0</v>
      </c>
      <c r="BN243" s="936">
        <f t="shared" ref="BN243" si="179">ROUND(SUM(BL243:BM243),0)</f>
        <v>0</v>
      </c>
      <c r="BO243" s="937"/>
      <c r="BP243" s="938">
        <v>0</v>
      </c>
      <c r="BQ243" s="938">
        <f>ROUND(SUMIFS('A5.YE22'!J:J,'A5.YE22'!K:K,'A0.LS'!$BQ$5,'A5.YE22'!L:L,"Posted",'A5.YE22'!D:D,'A0.LS'!E243),0)</f>
        <v>0</v>
      </c>
      <c r="BR243" s="938">
        <f t="shared" ref="BR243" si="180">ROUND(SUM(BP243:BQ243),0)</f>
        <v>0</v>
      </c>
    </row>
    <row r="244" spans="2:70" ht="12.75">
      <c r="B244" s="939">
        <v>21</v>
      </c>
      <c r="C244" s="940" t="s">
        <v>2474</v>
      </c>
      <c r="D244" s="927" t="s">
        <v>2474</v>
      </c>
      <c r="E244" s="928" t="s">
        <v>263</v>
      </c>
      <c r="F244" s="928" t="s">
        <v>264</v>
      </c>
      <c r="G244" s="927" t="s">
        <v>2464</v>
      </c>
      <c r="H244" s="927" t="s">
        <v>675</v>
      </c>
      <c r="I244" s="942">
        <f>SUMIFS('GL911.Cty Me.FY24'!T:T,'GL911.Cty Me.FY24'!H:H,'A0.LS'!E244)</f>
        <v>-6645171</v>
      </c>
      <c r="J244" s="942">
        <f>ROUND(SUMIFS('A5.FY24'!K:K,'A5.FY24'!E:E,'A0.LS'!E244,'A5.FY24'!L:L,"Finhay",'A5.FY24'!M:M,"Posted"),0)</f>
        <v>0</v>
      </c>
      <c r="K244" s="942">
        <f>ROUND(SUMIFS('A5.FY24'!K:K,'A5.FY24'!E:E,'A0.LS'!E244,'A5.FY24'!L:L,"EY",'A5.FY24'!M:M,"Posted"),0)</f>
        <v>0</v>
      </c>
      <c r="L244" s="943">
        <f t="shared" si="150"/>
        <v>-6645171</v>
      </c>
      <c r="M244" s="930"/>
      <c r="N244" s="944">
        <v>-34692835</v>
      </c>
      <c r="O244" s="944">
        <v>0</v>
      </c>
      <c r="P244" s="944">
        <v>0</v>
      </c>
      <c r="Q244" s="945">
        <f t="shared" si="163"/>
        <v>-34692835</v>
      </c>
      <c r="R244" s="898"/>
      <c r="S244" s="848">
        <f t="shared" si="148"/>
        <v>28047664</v>
      </c>
      <c r="T244" s="946">
        <f t="shared" si="149"/>
        <v>-0.80845696236701325</v>
      </c>
      <c r="U244" s="850"/>
      <c r="V244" s="850" t="s">
        <v>2469</v>
      </c>
      <c r="W244" s="850"/>
      <c r="X244" s="947" t="s">
        <v>2227</v>
      </c>
      <c r="Y244" s="947" t="s">
        <v>2464</v>
      </c>
      <c r="Z244" s="936">
        <f>ROUND(SUMIFS('GL911.CtyCon.FY24'!N:N,'GL911.CtyCon.FY24'!G:G,'A0.LS'!E244),0)</f>
        <v>0</v>
      </c>
      <c r="AA244" s="936">
        <f>ROUND(SUMIFS('A5.CTC FY24'!K:K,'A5.CTC FY24'!E:E,'A0.LS'!E244,'A5.CTC FY24'!A:A,'A0.LS'!$AA$5,'A5.CTC FY24'!L:L,"Finhay",'A5.CTC FY24'!M:M,"Posted"),0)</f>
        <v>0</v>
      </c>
      <c r="AB244" s="936">
        <f>ROUND(SUMIFS('A5.CTC FY24'!K:K,'A5.CTC FY24'!E:E,'A0.LS'!E244,'A5.CTC FY24'!A:A,'A0.LS'!$AB$5,'A5.CTC FY24'!L:L,"EY",'A5.CTC FY24'!M:M,"Posted"),0)</f>
        <v>0</v>
      </c>
      <c r="AC244" s="948">
        <f t="shared" si="151"/>
        <v>0</v>
      </c>
      <c r="AD244" s="930"/>
      <c r="AE244" s="936">
        <f>SUMIFS('GL911 VNSC FY24'!T:T,'GL911 VNSC FY24'!AG:AG,'A0.LS'!E244)</f>
        <v>0</v>
      </c>
      <c r="AF244" s="936">
        <f>SUMIFS('A5.CTC FY24'!K:K,'A5.CTC FY24'!E:E,'A0.LS'!E244,'A5.CTC FY24'!A:A,"VNSC",'A5.CTC FY24'!L:L,"VNSC",'A5.CTC FY24'!M:M,"Posted")</f>
        <v>0</v>
      </c>
      <c r="AG244" s="936">
        <f>ROUND(SUMIFS('A5.CTC FY24'!K:K,'A5.CTC FY24'!E:E,'A0.LS'!E244,'A5.CTC FY24'!A:A,"VNSC",'A5.CTC FY24'!L:L,"EY",'A5.CTC FY24'!M:M,"Posted"),0)</f>
        <v>0</v>
      </c>
      <c r="AH244" s="936">
        <f t="shared" si="164"/>
        <v>0</v>
      </c>
      <c r="AI244" s="930"/>
      <c r="AJ244" s="936">
        <f>ROUND(SUMIFS('GL911.KCG.FY24'!L:L,'GL911.KCG.FY24'!F:F,'A0.LS'!E244),0)</f>
        <v>0</v>
      </c>
      <c r="AK244" s="936">
        <f>ROUND(SUMIFS('A5.CTC FY24'!K:K,'A5.CTC FY24'!E:E,'A0.LS'!E244,'A5.CTC FY24'!A:A,'A0.LS'!$AK$5,'A5.CTC FY24'!L:L,"EY",'A5.CTC FY24'!M:M,"Posted"),0)</f>
        <v>0</v>
      </c>
      <c r="AL244" s="948">
        <f t="shared" si="152"/>
        <v>0</v>
      </c>
      <c r="AM244" s="930"/>
      <c r="AN244" s="949">
        <f t="shared" si="153"/>
        <v>0</v>
      </c>
      <c r="AO244" s="950">
        <f>ROUND(SUMIFS('A5.Consol FY24'!L:L,'A5.Consol FY24'!M:M,"EY",'A5.Consol FY24'!N:N,"Posted",'A5.Consol FY24'!B:B,'A0.LS'!$AO$5,'A5.Consol FY24'!F:F,'A0.LS'!E244),0)</f>
        <v>0</v>
      </c>
      <c r="AP244" s="949">
        <f t="shared" si="154"/>
        <v>0</v>
      </c>
      <c r="AQ244" s="930"/>
      <c r="AR244" s="936">
        <f>ROUND(SUMIFS('GL911.XH.FY24'!L:L,'GL911.XH.FY24'!F:F,'A0.LS'!E244),0)</f>
        <v>0</v>
      </c>
      <c r="AS244" s="936">
        <f>ROUND(SUMIFS('A5.CTC FY24'!K:K,'A5.CTC FY24'!E:E,'A0.LS'!E244,'A5.CTC FY24'!A:A,'A0.LS'!$AS$5,'A5.CTC FY24'!L:L,"EY",'A5.CTC FY24'!M:M,"Posted"),0)</f>
        <v>0</v>
      </c>
      <c r="AT244" s="948">
        <f t="shared" si="155"/>
        <v>0</v>
      </c>
      <c r="AU244" s="930"/>
      <c r="AV244" s="951">
        <f t="shared" si="156"/>
        <v>-6645171</v>
      </c>
      <c r="AW244" s="952">
        <f>SUMIFS('A5.Consol FY24'!L:L,'A5.Consol FY24'!B:B,'A0.LS'!$AW$5,'A5.Consol FY24'!M:M,"EY",'A5.Consol FY24'!N:N,"Posted",'A5.Consol FY24'!F:F,'A0.LS'!E244)</f>
        <v>0</v>
      </c>
      <c r="AX244" s="951">
        <f t="shared" si="157"/>
        <v>-6645171</v>
      </c>
      <c r="AY244" s="920"/>
      <c r="AZ244" s="936">
        <f>SUMIFS('911.CTC.YE22'!U:U,'911.CTC.YE22'!R:R,'A0.LS'!E244)</f>
        <v>0</v>
      </c>
      <c r="BA244" s="936">
        <f>ROUND(SUMIFS('A5.YE22'!J:J,'A5.YE22'!K:K,'A0.LS'!$BA$5,'A5.YE22'!L:L,"Posted",'A5.YE22'!D:D,'A0.LS'!E244),0)</f>
        <v>0</v>
      </c>
      <c r="BB244" s="936">
        <f t="shared" si="158"/>
        <v>0</v>
      </c>
      <c r="BC244" s="937"/>
      <c r="BD244" s="936">
        <f>ROUND(SUMIFS('911.VNSC.YE22'!R:R,'911.VNSC.YE22'!L:L,'A0.LS'!E244),0)</f>
        <v>0</v>
      </c>
      <c r="BE244" s="936">
        <f>ROUND(SUMIFS('A5.YE22'!J:J,'A5.YE22'!K:K,'A0.LS'!$BE$5,'A5.YE22'!L:L,"Posted",'A5.YE22'!D:D,'A0.LS'!E244),0)</f>
        <v>0</v>
      </c>
      <c r="BF244" s="936">
        <f t="shared" si="159"/>
        <v>0</v>
      </c>
      <c r="BG244" s="937"/>
      <c r="BH244" s="936">
        <f>ROUND(SUMIFS('911.XH.YE22'!T:T,'911.XH.YE22'!P:P,'A0.LS'!E244),0)</f>
        <v>0</v>
      </c>
      <c r="BI244" s="936">
        <f>ROUND(SUMIFS('A5.YE22'!J:J,'A5.YE22'!K:K,"XH",'A5.YE22'!L:L,"Posted",'A5.YE22'!D:D,'A0.LS'!E244),0)</f>
        <v>0</v>
      </c>
      <c r="BJ244" s="936">
        <f t="shared" si="160"/>
        <v>0</v>
      </c>
      <c r="BK244" s="937"/>
      <c r="BL244" s="936">
        <f>ROUND(SUMIFS('911.KCG.YE22'!T:T,'911.KCG.YE22'!P:P,'A0.LS'!E244),0)</f>
        <v>0</v>
      </c>
      <c r="BM244" s="936">
        <f>ROUND(SUMIFS('A5.YE22'!J:J,'A5.YE22'!K:K,'A0.LS'!$BM$5,'A5.YE22'!L:L,"Posted",'A5.YE22'!D:D,'A0.LS'!E244),0)</f>
        <v>0</v>
      </c>
      <c r="BN244" s="936">
        <f t="shared" si="161"/>
        <v>0</v>
      </c>
      <c r="BO244" s="937"/>
      <c r="BP244" s="938">
        <v>-34692835</v>
      </c>
      <c r="BQ244" s="938">
        <f>ROUND(SUMIFS('A5.YE22'!J:J,'A5.YE22'!K:K,'A0.LS'!$BQ$5,'A5.YE22'!L:L,"Posted",'A5.YE22'!D:D,'A0.LS'!E244),0)</f>
        <v>0</v>
      </c>
      <c r="BR244" s="938">
        <f t="shared" si="162"/>
        <v>-34692835</v>
      </c>
    </row>
    <row r="245" spans="2:70" ht="12.75">
      <c r="B245" s="939">
        <v>21</v>
      </c>
      <c r="C245" s="940" t="s">
        <v>2475</v>
      </c>
      <c r="D245" s="927" t="s">
        <v>2475</v>
      </c>
      <c r="E245" s="928" t="s">
        <v>2476</v>
      </c>
      <c r="F245" s="928" t="s">
        <v>2477</v>
      </c>
      <c r="G245" s="927" t="s">
        <v>2464</v>
      </c>
      <c r="H245" s="927" t="s">
        <v>675</v>
      </c>
      <c r="I245" s="942">
        <f>SUMIFS('GL911.Cty Me.FY24'!T:T,'GL911.Cty Me.FY24'!H:H,'A0.LS'!E245)</f>
        <v>0</v>
      </c>
      <c r="J245" s="942">
        <f>ROUND(SUMIFS('A5.FY24'!K:K,'A5.FY24'!E:E,'A0.LS'!E245,'A5.FY24'!L:L,"Finhay",'A5.FY24'!M:M,"Posted"),0)</f>
        <v>0</v>
      </c>
      <c r="K245" s="942">
        <f>ROUND(SUMIFS('A5.FY24'!K:K,'A5.FY24'!E:E,'A0.LS'!E245,'A5.FY24'!L:L,"EY",'A5.FY24'!M:M,"Posted"),0)</f>
        <v>0</v>
      </c>
      <c r="L245" s="943">
        <f t="shared" si="150"/>
        <v>0</v>
      </c>
      <c r="M245" s="930"/>
      <c r="N245" s="944">
        <v>0</v>
      </c>
      <c r="O245" s="944">
        <v>0</v>
      </c>
      <c r="P245" s="944">
        <v>0</v>
      </c>
      <c r="Q245" s="945">
        <f t="shared" si="163"/>
        <v>0</v>
      </c>
      <c r="R245" s="898"/>
      <c r="S245" s="848">
        <f t="shared" si="148"/>
        <v>0</v>
      </c>
      <c r="T245" s="946" t="str">
        <f t="shared" si="149"/>
        <v>To check</v>
      </c>
      <c r="U245" s="850"/>
      <c r="V245" s="850" t="s">
        <v>2478</v>
      </c>
      <c r="W245" s="850"/>
      <c r="X245" s="947" t="s">
        <v>2227</v>
      </c>
      <c r="Y245" s="947" t="s">
        <v>2464</v>
      </c>
      <c r="Z245" s="936">
        <f>ROUND(SUMIFS('GL911.CtyCon.FY24'!N:N,'GL911.CtyCon.FY24'!G:G,'A0.LS'!E245),0)</f>
        <v>0</v>
      </c>
      <c r="AA245" s="936">
        <f>ROUND(SUMIFS('A5.CTC FY24'!K:K,'A5.CTC FY24'!E:E,'A0.LS'!E245,'A5.CTC FY24'!A:A,'A0.LS'!$AA$5,'A5.CTC FY24'!L:L,"Finhay",'A5.CTC FY24'!M:M,"Posted"),0)</f>
        <v>0</v>
      </c>
      <c r="AB245" s="936">
        <f>ROUND(SUMIFS('A5.CTC FY24'!K:K,'A5.CTC FY24'!E:E,'A0.LS'!E245,'A5.CTC FY24'!A:A,'A0.LS'!$AB$5,'A5.CTC FY24'!L:L,"EY",'A5.CTC FY24'!M:M,"Posted"),0)</f>
        <v>0</v>
      </c>
      <c r="AC245" s="948">
        <f t="shared" si="151"/>
        <v>0</v>
      </c>
      <c r="AD245" s="930"/>
      <c r="AE245" s="936">
        <f>SUMIFS('GL911 VNSC FY24'!T:T,'GL911 VNSC FY24'!AG:AG,'A0.LS'!E245)</f>
        <v>0</v>
      </c>
      <c r="AF245" s="936">
        <f>SUMIFS('A5.CTC FY24'!K:K,'A5.CTC FY24'!E:E,'A0.LS'!E245,'A5.CTC FY24'!A:A,"VNSC",'A5.CTC FY24'!L:L,"VNSC",'A5.CTC FY24'!M:M,"Posted")</f>
        <v>0</v>
      </c>
      <c r="AG245" s="936">
        <f>ROUND(SUMIFS('A5.CTC FY24'!K:K,'A5.CTC FY24'!E:E,'A0.LS'!E245,'A5.CTC FY24'!A:A,"VNSC",'A5.CTC FY24'!L:L,"EY",'A5.CTC FY24'!M:M,"Posted"),0)</f>
        <v>0</v>
      </c>
      <c r="AH245" s="936">
        <f t="shared" si="164"/>
        <v>0</v>
      </c>
      <c r="AI245" s="930"/>
      <c r="AJ245" s="936">
        <f>ROUND(SUMIFS('GL911.KCG.FY24'!L:L,'GL911.KCG.FY24'!F:F,'A0.LS'!E245),0)</f>
        <v>0</v>
      </c>
      <c r="AK245" s="936">
        <f>ROUND(SUMIFS('A5.CTC FY24'!K:K,'A5.CTC FY24'!E:E,'A0.LS'!E245,'A5.CTC FY24'!A:A,'A0.LS'!$AK$5,'A5.CTC FY24'!L:L,"EY",'A5.CTC FY24'!M:M,"Posted"),0)</f>
        <v>0</v>
      </c>
      <c r="AL245" s="948">
        <f t="shared" si="152"/>
        <v>0</v>
      </c>
      <c r="AM245" s="930"/>
      <c r="AN245" s="949">
        <f t="shared" si="153"/>
        <v>0</v>
      </c>
      <c r="AO245" s="950">
        <f>ROUND(SUMIFS('A5.Consol FY24'!L:L,'A5.Consol FY24'!M:M,"EY",'A5.Consol FY24'!N:N,"Posted",'A5.Consol FY24'!B:B,'A0.LS'!$AO$5,'A5.Consol FY24'!F:F,'A0.LS'!E245),0)</f>
        <v>0</v>
      </c>
      <c r="AP245" s="949">
        <f t="shared" si="154"/>
        <v>0</v>
      </c>
      <c r="AQ245" s="930"/>
      <c r="AR245" s="936">
        <f>ROUND(SUMIFS('GL911.XH.FY24'!L:L,'GL911.XH.FY24'!F:F,'A0.LS'!E245),0)</f>
        <v>0</v>
      </c>
      <c r="AS245" s="936">
        <f>ROUND(SUMIFS('A5.CTC FY24'!K:K,'A5.CTC FY24'!E:E,'A0.LS'!E245,'A5.CTC FY24'!A:A,'A0.LS'!$AS$5,'A5.CTC FY24'!L:L,"EY",'A5.CTC FY24'!M:M,"Posted"),0)</f>
        <v>0</v>
      </c>
      <c r="AT245" s="948">
        <f t="shared" si="155"/>
        <v>0</v>
      </c>
      <c r="AU245" s="930"/>
      <c r="AV245" s="951">
        <f t="shared" si="156"/>
        <v>0</v>
      </c>
      <c r="AW245" s="952">
        <f>SUMIFS('A5.Consol FY24'!L:L,'A5.Consol FY24'!B:B,'A0.LS'!$AW$5,'A5.Consol FY24'!M:M,"EY",'A5.Consol FY24'!N:N,"Posted",'A5.Consol FY24'!F:F,'A0.LS'!E245)</f>
        <v>0</v>
      </c>
      <c r="AX245" s="951">
        <f t="shared" si="157"/>
        <v>0</v>
      </c>
      <c r="AY245" s="920"/>
      <c r="AZ245" s="936">
        <f>SUMIFS('911.CTC.YE22'!U:U,'911.CTC.YE22'!R:R,'A0.LS'!E245)</f>
        <v>0</v>
      </c>
      <c r="BA245" s="936">
        <f>ROUND(SUMIFS('A5.YE22'!J:J,'A5.YE22'!K:K,'A0.LS'!$BA$5,'A5.YE22'!L:L,"Posted",'A5.YE22'!D:D,'A0.LS'!E245),0)</f>
        <v>0</v>
      </c>
      <c r="BB245" s="936">
        <f t="shared" si="158"/>
        <v>0</v>
      </c>
      <c r="BC245" s="937"/>
      <c r="BD245" s="936">
        <f>ROUND(SUMIFS('911.VNSC.YE22'!R:R,'911.VNSC.YE22'!L:L,'A0.LS'!E245),0)</f>
        <v>0</v>
      </c>
      <c r="BE245" s="936">
        <f>ROUND(SUMIFS('A5.YE22'!J:J,'A5.YE22'!K:K,'A0.LS'!$BE$5,'A5.YE22'!L:L,"Posted",'A5.YE22'!D:D,'A0.LS'!E245),0)</f>
        <v>0</v>
      </c>
      <c r="BF245" s="936">
        <f t="shared" si="159"/>
        <v>0</v>
      </c>
      <c r="BG245" s="937"/>
      <c r="BH245" s="936">
        <f>ROUND(SUMIFS('911.XH.YE22'!T:T,'911.XH.YE22'!P:P,'A0.LS'!E245),0)</f>
        <v>0</v>
      </c>
      <c r="BI245" s="936">
        <f>ROUND(SUMIFS('A5.YE22'!J:J,'A5.YE22'!K:K,"XH",'A5.YE22'!L:L,"Posted",'A5.YE22'!D:D,'A0.LS'!E245),0)</f>
        <v>0</v>
      </c>
      <c r="BJ245" s="936">
        <f t="shared" si="160"/>
        <v>0</v>
      </c>
      <c r="BK245" s="937"/>
      <c r="BL245" s="936">
        <f>ROUND(SUMIFS('911.KCG.YE22'!T:T,'911.KCG.YE22'!P:P,'A0.LS'!E245),0)</f>
        <v>0</v>
      </c>
      <c r="BM245" s="936">
        <f>ROUND(SUMIFS('A5.YE22'!J:J,'A5.YE22'!K:K,'A0.LS'!$BM$5,'A5.YE22'!L:L,"Posted",'A5.YE22'!D:D,'A0.LS'!E245),0)</f>
        <v>0</v>
      </c>
      <c r="BN245" s="936">
        <f t="shared" si="161"/>
        <v>0</v>
      </c>
      <c r="BO245" s="937"/>
      <c r="BP245" s="938">
        <v>0</v>
      </c>
      <c r="BQ245" s="938">
        <f>ROUND(SUMIFS('A5.YE22'!J:J,'A5.YE22'!K:K,'A0.LS'!$BQ$5,'A5.YE22'!L:L,"Posted",'A5.YE22'!D:D,'A0.LS'!E245),0)</f>
        <v>0</v>
      </c>
      <c r="BR245" s="938">
        <f t="shared" si="162"/>
        <v>0</v>
      </c>
    </row>
    <row r="246" spans="2:70" ht="12.75">
      <c r="B246" s="939">
        <v>21</v>
      </c>
      <c r="C246" s="940" t="s">
        <v>2479</v>
      </c>
      <c r="D246" s="927" t="s">
        <v>2479</v>
      </c>
      <c r="E246" s="928" t="s">
        <v>261</v>
      </c>
      <c r="F246" s="928" t="s">
        <v>262</v>
      </c>
      <c r="G246" s="927" t="s">
        <v>2464</v>
      </c>
      <c r="H246" s="927" t="s">
        <v>675</v>
      </c>
      <c r="I246" s="942">
        <f>SUMIFS('GL911.Cty Me.FY24'!T:T,'GL911.Cty Me.FY24'!H:H,'A0.LS'!E246)</f>
        <v>-14695890</v>
      </c>
      <c r="J246" s="942">
        <f>ROUND(SUMIFS('A5.FY24'!K:K,'A5.FY24'!E:E,'A0.LS'!E246,'A5.FY24'!L:L,"Finhay",'A5.FY24'!M:M,"Posted"),0)</f>
        <v>0</v>
      </c>
      <c r="K246" s="942">
        <f>ROUND(SUMIFS('A5.FY24'!K:K,'A5.FY24'!E:E,'A0.LS'!E246,'A5.FY24'!L:L,"EY",'A5.FY24'!M:M,"Posted"),0)</f>
        <v>0</v>
      </c>
      <c r="L246" s="943">
        <f t="shared" si="150"/>
        <v>-14695890</v>
      </c>
      <c r="M246" s="930"/>
      <c r="N246" s="944">
        <v>-131507</v>
      </c>
      <c r="O246" s="944">
        <v>0</v>
      </c>
      <c r="P246" s="944">
        <v>0</v>
      </c>
      <c r="Q246" s="945">
        <f t="shared" si="163"/>
        <v>-131507</v>
      </c>
      <c r="R246" s="898"/>
      <c r="S246" s="848">
        <f t="shared" si="148"/>
        <v>-14564383</v>
      </c>
      <c r="T246" s="946">
        <f t="shared" si="149"/>
        <v>110.7498688282753</v>
      </c>
      <c r="U246" s="850"/>
      <c r="V246" s="850" t="s">
        <v>2465</v>
      </c>
      <c r="W246" s="850"/>
      <c r="X246" s="947" t="s">
        <v>2227</v>
      </c>
      <c r="Y246" s="947" t="s">
        <v>2464</v>
      </c>
      <c r="Z246" s="936">
        <f>ROUND(SUMIFS('GL911.CtyCon.FY24'!N:N,'GL911.CtyCon.FY24'!G:G,'A0.LS'!E246),0)</f>
        <v>0</v>
      </c>
      <c r="AA246" s="936">
        <f>ROUND(SUMIFS('A5.CTC FY24'!K:K,'A5.CTC FY24'!E:E,'A0.LS'!E246,'A5.CTC FY24'!A:A,'A0.LS'!$AA$5,'A5.CTC FY24'!L:L,"Finhay",'A5.CTC FY24'!M:M,"Posted"),0)</f>
        <v>0</v>
      </c>
      <c r="AB246" s="936">
        <f>ROUND(SUMIFS('A5.CTC FY24'!K:K,'A5.CTC FY24'!E:E,'A0.LS'!E246,'A5.CTC FY24'!A:A,'A0.LS'!$AB$5,'A5.CTC FY24'!L:L,"EY",'A5.CTC FY24'!M:M,"Posted"),0)</f>
        <v>0</v>
      </c>
      <c r="AC246" s="948">
        <f t="shared" si="151"/>
        <v>0</v>
      </c>
      <c r="AD246" s="930"/>
      <c r="AE246" s="936">
        <f>SUMIFS('GL911 VNSC FY24'!T:T,'GL911 VNSC FY24'!AG:AG,'A0.LS'!E246)</f>
        <v>-13484930432</v>
      </c>
      <c r="AF246" s="936">
        <f>SUMIFS('A5.CTC FY24'!K:K,'A5.CTC FY24'!E:E,'A0.LS'!E246,'A5.CTC FY24'!A:A,"VNSC",'A5.CTC FY24'!L:L,"VNSC",'A5.CTC FY24'!M:M,"Posted")</f>
        <v>0</v>
      </c>
      <c r="AG246" s="936">
        <f>ROUND(SUMIFS('A5.CTC FY24'!K:K,'A5.CTC FY24'!E:E,'A0.LS'!E246,'A5.CTC FY24'!A:A,"VNSC",'A5.CTC FY24'!L:L,"EY",'A5.CTC FY24'!M:M,"Posted"),0)</f>
        <v>0</v>
      </c>
      <c r="AH246" s="936">
        <f t="shared" si="164"/>
        <v>-13484930432</v>
      </c>
      <c r="AI246" s="930"/>
      <c r="AJ246" s="936">
        <f>ROUND(SUMIFS('GL911.KCG.FY24'!L:L,'GL911.KCG.FY24'!F:F,'A0.LS'!E246),0)</f>
        <v>0</v>
      </c>
      <c r="AK246" s="936">
        <f>ROUND(SUMIFS('A5.CTC FY24'!K:K,'A5.CTC FY24'!E:E,'A0.LS'!E246,'A5.CTC FY24'!A:A,'A0.LS'!$AK$5,'A5.CTC FY24'!L:L,"EY",'A5.CTC FY24'!M:M,"Posted"),0)</f>
        <v>0</v>
      </c>
      <c r="AL246" s="948">
        <f t="shared" si="152"/>
        <v>0</v>
      </c>
      <c r="AM246" s="930"/>
      <c r="AN246" s="949">
        <f t="shared" si="153"/>
        <v>-13484930432</v>
      </c>
      <c r="AO246" s="950">
        <f>ROUND(SUMIFS('A5.Consol FY24'!L:L,'A5.Consol FY24'!M:M,"EY",'A5.Consol FY24'!N:N,"Posted",'A5.Consol FY24'!B:B,'A0.LS'!$AO$5,'A5.Consol FY24'!F:F,'A0.LS'!E246),0)</f>
        <v>0</v>
      </c>
      <c r="AP246" s="949">
        <f t="shared" si="154"/>
        <v>-13484930432</v>
      </c>
      <c r="AQ246" s="930"/>
      <c r="AR246" s="936">
        <f>ROUND(SUMIFS('GL911.XH.FY24'!L:L,'GL911.XH.FY24'!F:F,'A0.LS'!E246),0)</f>
        <v>0</v>
      </c>
      <c r="AS246" s="936">
        <f>ROUND(SUMIFS('A5.CTC FY24'!K:K,'A5.CTC FY24'!E:E,'A0.LS'!E246,'A5.CTC FY24'!A:A,'A0.LS'!$AS$5,'A5.CTC FY24'!L:L,"EY",'A5.CTC FY24'!M:M,"Posted"),0)</f>
        <v>0</v>
      </c>
      <c r="AT246" s="948">
        <f t="shared" si="155"/>
        <v>0</v>
      </c>
      <c r="AU246" s="930"/>
      <c r="AV246" s="951">
        <f t="shared" si="156"/>
        <v>-13499626322</v>
      </c>
      <c r="AW246" s="952">
        <f>SUMIFS('A5.Consol FY24'!L:L,'A5.Consol FY24'!B:B,'A0.LS'!$AW$5,'A5.Consol FY24'!M:M,"EY",'A5.Consol FY24'!N:N,"Posted",'A5.Consol FY24'!F:F,'A0.LS'!E246)</f>
        <v>0</v>
      </c>
      <c r="AX246" s="951">
        <f t="shared" si="157"/>
        <v>-13499626322</v>
      </c>
      <c r="AY246" s="920"/>
      <c r="AZ246" s="936">
        <f>SUMIFS('911.CTC.YE22'!U:U,'911.CTC.YE22'!R:R,'A0.LS'!E246)</f>
        <v>0</v>
      </c>
      <c r="BA246" s="936">
        <f>ROUND(SUMIFS('A5.YE22'!J:J,'A5.YE22'!K:K,'A0.LS'!$BA$5,'A5.YE22'!L:L,"Posted",'A5.YE22'!D:D,'A0.LS'!E246),0)</f>
        <v>0</v>
      </c>
      <c r="BB246" s="936">
        <f t="shared" si="158"/>
        <v>0</v>
      </c>
      <c r="BC246" s="937"/>
      <c r="BD246" s="936">
        <f>ROUND(SUMIFS('911.VNSC.YE22'!R:R,'911.VNSC.YE22'!L:L,'A0.LS'!E246),0)</f>
        <v>0</v>
      </c>
      <c r="BE246" s="936">
        <f>ROUND(SUMIFS('A5.YE22'!J:J,'A5.YE22'!K:K,'A0.LS'!$BE$5,'A5.YE22'!L:L,"Posted",'A5.YE22'!D:D,'A0.LS'!E246),0)</f>
        <v>0</v>
      </c>
      <c r="BF246" s="936">
        <f t="shared" si="159"/>
        <v>0</v>
      </c>
      <c r="BG246" s="937"/>
      <c r="BH246" s="936">
        <f>ROUND(SUMIFS('911.XH.YE22'!T:T,'911.XH.YE22'!P:P,'A0.LS'!E246),0)</f>
        <v>0</v>
      </c>
      <c r="BI246" s="936">
        <f>ROUND(SUMIFS('A5.YE22'!J:J,'A5.YE22'!K:K,"XH",'A5.YE22'!L:L,"Posted",'A5.YE22'!D:D,'A0.LS'!E246),0)</f>
        <v>0</v>
      </c>
      <c r="BJ246" s="936">
        <f t="shared" si="160"/>
        <v>0</v>
      </c>
      <c r="BK246" s="937"/>
      <c r="BL246" s="936">
        <f>ROUND(SUMIFS('911.KCG.YE22'!T:T,'911.KCG.YE22'!P:P,'A0.LS'!E246),0)</f>
        <v>0</v>
      </c>
      <c r="BM246" s="936">
        <f>ROUND(SUMIFS('A5.YE22'!J:J,'A5.YE22'!K:K,'A0.LS'!$BM$5,'A5.YE22'!L:L,"Posted",'A5.YE22'!D:D,'A0.LS'!E246),0)</f>
        <v>0</v>
      </c>
      <c r="BN246" s="936">
        <f t="shared" si="161"/>
        <v>0</v>
      </c>
      <c r="BO246" s="937"/>
      <c r="BP246" s="938">
        <v>-1697721873</v>
      </c>
      <c r="BQ246" s="938">
        <v>131507</v>
      </c>
      <c r="BR246" s="938">
        <f t="shared" si="162"/>
        <v>-1697590366</v>
      </c>
    </row>
    <row r="247" spans="2:70" ht="12.75">
      <c r="B247" s="939">
        <v>21</v>
      </c>
      <c r="C247" s="940" t="s">
        <v>2480</v>
      </c>
      <c r="D247" s="927" t="s">
        <v>2480</v>
      </c>
      <c r="E247" s="954" t="s">
        <v>2481</v>
      </c>
      <c r="F247" s="928" t="s">
        <v>2482</v>
      </c>
      <c r="G247" s="927" t="s">
        <v>2464</v>
      </c>
      <c r="H247" s="927" t="s">
        <v>675</v>
      </c>
      <c r="I247" s="942">
        <f>SUMIFS('GL911.Cty Me.FY24'!T:T,'GL911.Cty Me.FY24'!H:H,'A0.LS'!E247)</f>
        <v>0</v>
      </c>
      <c r="J247" s="942">
        <f>ROUND(SUMIFS('A5.FY24'!K:K,'A5.FY24'!E:E,'A0.LS'!E247,'A5.FY24'!L:L,"Finhay",'A5.FY24'!M:M,"Posted"),0)</f>
        <v>0</v>
      </c>
      <c r="K247" s="942">
        <f>ROUND(SUMIFS('A5.FY24'!K:K,'A5.FY24'!E:E,'A0.LS'!E247,'A5.FY24'!L:L,"EY",'A5.FY24'!M:M,"Posted"),0)</f>
        <v>0</v>
      </c>
      <c r="L247" s="943">
        <f t="shared" si="150"/>
        <v>0</v>
      </c>
      <c r="M247" s="930"/>
      <c r="N247" s="944">
        <v>0</v>
      </c>
      <c r="O247" s="944">
        <v>0</v>
      </c>
      <c r="P247" s="944">
        <v>-105895134</v>
      </c>
      <c r="Q247" s="945">
        <f t="shared" si="163"/>
        <v>-105895134</v>
      </c>
      <c r="R247" s="898"/>
      <c r="S247" s="848">
        <f t="shared" si="148"/>
        <v>105895134</v>
      </c>
      <c r="T247" s="946">
        <f t="shared" si="149"/>
        <v>-1</v>
      </c>
      <c r="U247" s="850"/>
      <c r="V247" s="850"/>
      <c r="W247" s="850"/>
      <c r="X247" s="947" t="s">
        <v>2227</v>
      </c>
      <c r="Y247" s="947" t="s">
        <v>2464</v>
      </c>
      <c r="Z247" s="936">
        <f>ROUND(SUMIFS('GL911.CtyCon.FY24'!N:N,'GL911.CtyCon.FY24'!G:G,'A0.LS'!E247),0)</f>
        <v>0</v>
      </c>
      <c r="AA247" s="936">
        <f>ROUND(SUMIFS('A5.CTC FY24'!K:K,'A5.CTC FY24'!E:E,'A0.LS'!E247,'A5.CTC FY24'!A:A,'A0.LS'!$AA$5,'A5.CTC FY24'!L:L,"Finhay",'A5.CTC FY24'!M:M,"Posted"),0)</f>
        <v>0</v>
      </c>
      <c r="AB247" s="936">
        <f>ROUND(SUMIFS('A5.CTC FY24'!K:K,'A5.CTC FY24'!E:E,'A0.LS'!E247,'A5.CTC FY24'!A:A,'A0.LS'!$AB$5,'A5.CTC FY24'!L:L,"EY",'A5.CTC FY24'!M:M,"Posted"),0)</f>
        <v>0</v>
      </c>
      <c r="AC247" s="948">
        <f t="shared" si="151"/>
        <v>0</v>
      </c>
      <c r="AD247" s="930"/>
      <c r="AE247" s="936">
        <f>SUMIFS('GL911 VNSC FY24'!T:T,'GL911 VNSC FY24'!AG:AG,'A0.LS'!E247)</f>
        <v>0</v>
      </c>
      <c r="AF247" s="936">
        <f>SUMIFS('A5.CTC FY24'!K:K,'A5.CTC FY24'!E:E,'A0.LS'!E247,'A5.CTC FY24'!A:A,"VNSC",'A5.CTC FY24'!L:L,"VNSC",'A5.CTC FY24'!M:M,"Posted")</f>
        <v>0</v>
      </c>
      <c r="AG247" s="936">
        <f>ROUND(SUMIFS('A5.CTC FY24'!K:K,'A5.CTC FY24'!E:E,'A0.LS'!E247,'A5.CTC FY24'!A:A,"VNSC",'A5.CTC FY24'!L:L,"EY",'A5.CTC FY24'!M:M,"Posted"),0)</f>
        <v>0</v>
      </c>
      <c r="AH247" s="936">
        <f t="shared" si="164"/>
        <v>0</v>
      </c>
      <c r="AI247" s="930"/>
      <c r="AJ247" s="936">
        <f>ROUND(SUMIFS('GL911.KCG.FY24'!L:L,'GL911.KCG.FY24'!F:F,'A0.LS'!E247),0)</f>
        <v>0</v>
      </c>
      <c r="AK247" s="936">
        <f>ROUND(SUMIFS('A5.CTC FY24'!K:K,'A5.CTC FY24'!E:E,'A0.LS'!E247,'A5.CTC FY24'!A:A,'A0.LS'!$AK$5,'A5.CTC FY24'!L:L,"EY",'A5.CTC FY24'!M:M,"Posted"),0)</f>
        <v>0</v>
      </c>
      <c r="AL247" s="948">
        <f t="shared" si="152"/>
        <v>0</v>
      </c>
      <c r="AM247" s="930"/>
      <c r="AN247" s="949">
        <f t="shared" si="153"/>
        <v>0</v>
      </c>
      <c r="AO247" s="950">
        <f>ROUND(SUMIFS('A5.Consol FY24'!L:L,'A5.Consol FY24'!M:M,"EY",'A5.Consol FY24'!N:N,"Posted",'A5.Consol FY24'!B:B,'A0.LS'!$AO$5,'A5.Consol FY24'!F:F,'A0.LS'!E247),0)</f>
        <v>0</v>
      </c>
      <c r="AP247" s="949">
        <f t="shared" si="154"/>
        <v>0</v>
      </c>
      <c r="AQ247" s="930"/>
      <c r="AR247" s="936">
        <f>ROUND(SUMIFS('GL911.XH.FY24'!L:L,'GL911.XH.FY24'!F:F,'A0.LS'!E247),0)</f>
        <v>0</v>
      </c>
      <c r="AS247" s="936">
        <f>ROUND(SUMIFS('A5.CTC FY24'!K:K,'A5.CTC FY24'!E:E,'A0.LS'!E247,'A5.CTC FY24'!A:A,'A0.LS'!$AS$5,'A5.CTC FY24'!L:L,"EY",'A5.CTC FY24'!M:M,"Posted"),0)</f>
        <v>0</v>
      </c>
      <c r="AT247" s="948">
        <f t="shared" si="155"/>
        <v>0</v>
      </c>
      <c r="AU247" s="930"/>
      <c r="AV247" s="951">
        <f t="shared" si="156"/>
        <v>0</v>
      </c>
      <c r="AW247" s="952">
        <f>SUMIFS('A5.Consol FY24'!L:L,'A5.Consol FY24'!B:B,'A0.LS'!$AW$5,'A5.Consol FY24'!M:M,"EY",'A5.Consol FY24'!N:N,"Posted",'A5.Consol FY24'!F:F,'A0.LS'!E247)</f>
        <v>0</v>
      </c>
      <c r="AX247" s="951">
        <f t="shared" si="157"/>
        <v>0</v>
      </c>
      <c r="AY247" s="920"/>
      <c r="AZ247" s="936">
        <f>SUMIFS('911.CTC.YE22'!U:U,'911.CTC.YE22'!R:R,'A0.LS'!E247)</f>
        <v>0</v>
      </c>
      <c r="BA247" s="936">
        <f>ROUND(SUMIFS('A5.YE22'!J:J,'A5.YE22'!K:K,'A0.LS'!$BA$5,'A5.YE22'!L:L,"Posted",'A5.YE22'!D:D,'A0.LS'!E247),0)</f>
        <v>0</v>
      </c>
      <c r="BB247" s="936">
        <f t="shared" si="158"/>
        <v>0</v>
      </c>
      <c r="BC247" s="937"/>
      <c r="BD247" s="936">
        <f>ROUND(SUMIFS('911.VNSC.YE22'!R:R,'911.VNSC.YE22'!L:L,'A0.LS'!E247),0)</f>
        <v>0</v>
      </c>
      <c r="BE247" s="936">
        <f>ROUND(SUMIFS('A5.YE22'!J:J,'A5.YE22'!K:K,'A0.LS'!$BE$5,'A5.YE22'!L:L,"Posted",'A5.YE22'!D:D,'A0.LS'!E247),0)</f>
        <v>0</v>
      </c>
      <c r="BF247" s="936">
        <f t="shared" si="159"/>
        <v>0</v>
      </c>
      <c r="BG247" s="937"/>
      <c r="BH247" s="936">
        <f>ROUND(SUMIFS('911.XH.YE22'!T:T,'911.XH.YE22'!P:P,'A0.LS'!E247),0)</f>
        <v>0</v>
      </c>
      <c r="BI247" s="936">
        <f>ROUND(SUMIFS('A5.YE22'!J:J,'A5.YE22'!K:K,"XH",'A5.YE22'!L:L,"Posted",'A5.YE22'!D:D,'A0.LS'!E247),0)</f>
        <v>0</v>
      </c>
      <c r="BJ247" s="936">
        <f t="shared" si="160"/>
        <v>0</v>
      </c>
      <c r="BK247" s="937"/>
      <c r="BL247" s="936">
        <f>ROUND(SUMIFS('911.KCG.YE22'!T:T,'911.KCG.YE22'!P:P,'A0.LS'!E247),0)</f>
        <v>0</v>
      </c>
      <c r="BM247" s="936">
        <f>ROUND(SUMIFS('A5.YE22'!J:J,'A5.YE22'!K:K,'A0.LS'!$BM$5,'A5.YE22'!L:L,"Posted",'A5.YE22'!D:D,'A0.LS'!E247),0)</f>
        <v>0</v>
      </c>
      <c r="BN247" s="936">
        <f t="shared" si="161"/>
        <v>0</v>
      </c>
      <c r="BO247" s="937"/>
      <c r="BP247" s="938">
        <v>-105895134</v>
      </c>
      <c r="BQ247" s="938">
        <f>ROUND(SUMIFS('A5.YE22'!J:J,'A5.YE22'!K:K,'A0.LS'!$BQ$5,'A5.YE22'!L:L,"Posted",'A5.YE22'!D:D,'A0.LS'!E247),0)</f>
        <v>0</v>
      </c>
      <c r="BR247" s="938">
        <f t="shared" si="162"/>
        <v>-105895134</v>
      </c>
    </row>
    <row r="248" spans="2:70" ht="12.75">
      <c r="B248" s="939">
        <v>21</v>
      </c>
      <c r="C248" s="940"/>
      <c r="D248" s="927"/>
      <c r="E248" s="954" t="s">
        <v>978</v>
      </c>
      <c r="F248" s="928" t="s">
        <v>2483</v>
      </c>
      <c r="G248" s="927" t="s">
        <v>2464</v>
      </c>
      <c r="H248" s="927" t="s">
        <v>675</v>
      </c>
      <c r="I248" s="942">
        <f>SUMIFS('GL911.Cty Me.FY24'!T:T,'GL911.Cty Me.FY24'!H:H,'A0.LS'!E248)</f>
        <v>0</v>
      </c>
      <c r="J248" s="942">
        <f>ROUND(SUMIFS('A5.FY24'!K:K,'A5.FY24'!E:E,'A0.LS'!E248,'A5.FY24'!L:L,"Finhay",'A5.FY24'!M:M,"Posted"),0)</f>
        <v>0</v>
      </c>
      <c r="K248" s="942">
        <f>ROUND(SUMIFS('A5.FY24'!K:K,'A5.FY24'!E:E,'A0.LS'!E248,'A5.FY24'!L:L,"EY",'A5.FY24'!M:M,"Posted"),0)</f>
        <v>0</v>
      </c>
      <c r="L248" s="943">
        <f t="shared" si="150"/>
        <v>0</v>
      </c>
      <c r="M248" s="930"/>
      <c r="N248" s="944">
        <v>0</v>
      </c>
      <c r="O248" s="944">
        <v>0</v>
      </c>
      <c r="P248" s="944">
        <v>0</v>
      </c>
      <c r="Q248" s="945">
        <f t="shared" si="163"/>
        <v>0</v>
      </c>
      <c r="R248" s="898"/>
      <c r="S248" s="848">
        <f t="shared" si="148"/>
        <v>0</v>
      </c>
      <c r="T248" s="946" t="str">
        <f t="shared" si="149"/>
        <v>To check</v>
      </c>
      <c r="U248" s="850"/>
      <c r="V248" s="850"/>
      <c r="W248" s="850"/>
      <c r="X248" s="947" t="s">
        <v>2227</v>
      </c>
      <c r="Y248" s="947" t="s">
        <v>2464</v>
      </c>
      <c r="Z248" s="936">
        <f>ROUND(SUMIFS('GL911.CtyCon.FY24'!N:N,'GL911.CtyCon.FY24'!G:G,'A0.LS'!E248),0)</f>
        <v>0</v>
      </c>
      <c r="AA248" s="936">
        <f>ROUND(SUMIFS('A5.CTC FY24'!K:K,'A5.CTC FY24'!E:E,'A0.LS'!E248,'A5.CTC FY24'!A:A,'A0.LS'!$AA$5,'A5.CTC FY24'!L:L,"Finhay",'A5.CTC FY24'!M:M,"Posted"),0)</f>
        <v>0</v>
      </c>
      <c r="AB248" s="936">
        <f>ROUND(SUMIFS('A5.CTC FY24'!K:K,'A5.CTC FY24'!E:E,'A0.LS'!E248,'A5.CTC FY24'!A:A,'A0.LS'!$AB$5,'A5.CTC FY24'!L:L,"EY",'A5.CTC FY24'!M:M,"Posted"),0)</f>
        <v>0</v>
      </c>
      <c r="AC248" s="948">
        <f t="shared" si="151"/>
        <v>0</v>
      </c>
      <c r="AD248" s="930"/>
      <c r="AE248" s="936">
        <f>SUMIFS('GL911 VNSC FY24'!T:T,'GL911 VNSC FY24'!AG:AG,'A0.LS'!E248)</f>
        <v>471310046</v>
      </c>
      <c r="AF248" s="936">
        <f>SUMIFS('A5.CTC FY24'!K:K,'A5.CTC FY24'!E:E,'A0.LS'!E248,'A5.CTC FY24'!A:A,"VNSC",'A5.CTC FY24'!L:L,"VNSC",'A5.CTC FY24'!M:M,"Posted")</f>
        <v>0</v>
      </c>
      <c r="AG248" s="936">
        <f>ROUND(SUMIFS('A5.CTC FY24'!K:K,'A5.CTC FY24'!E:E,'A0.LS'!E248,'A5.CTC FY24'!A:A,"VNSC",'A5.CTC FY24'!L:L,"EY",'A5.CTC FY24'!M:M,"Posted"),0)</f>
        <v>20724663</v>
      </c>
      <c r="AH248" s="936">
        <f t="shared" si="164"/>
        <v>492034709</v>
      </c>
      <c r="AI248" s="930"/>
      <c r="AJ248" s="936">
        <f>ROUND(SUMIFS('GL911.KCG.FY24'!L:L,'GL911.KCG.FY24'!F:F,'A0.LS'!E248),0)</f>
        <v>0</v>
      </c>
      <c r="AK248" s="936">
        <f>ROUND(SUMIFS('A5.CTC FY24'!K:K,'A5.CTC FY24'!E:E,'A0.LS'!E248,'A5.CTC FY24'!A:A,'A0.LS'!$AK$5,'A5.CTC FY24'!L:L,"EY",'A5.CTC FY24'!M:M,"Posted"),0)</f>
        <v>0</v>
      </c>
      <c r="AL248" s="948">
        <f t="shared" si="152"/>
        <v>0</v>
      </c>
      <c r="AM248" s="930"/>
      <c r="AN248" s="949">
        <f>ROUND(SUM(AT248,AH248,AC248),0)</f>
        <v>492034709</v>
      </c>
      <c r="AO248" s="950">
        <f>ROUND(SUMIFS('A5.Consol FY24'!L:L,'A5.Consol FY24'!M:M,"EY",'A5.Consol FY24'!N:N,"Posted",'A5.Consol FY24'!B:B,'A0.LS'!$AO$5,'A5.Consol FY24'!F:F,'A0.LS'!E248),0)</f>
        <v>-492034709</v>
      </c>
      <c r="AP248" s="949">
        <f t="shared" si="154"/>
        <v>0</v>
      </c>
      <c r="AQ248" s="930"/>
      <c r="AR248" s="936">
        <f>ROUND(SUMIFS('GL911.XH.FY24'!L:L,'GL911.XH.FY24'!F:F,'A0.LS'!E248),0)</f>
        <v>0</v>
      </c>
      <c r="AS248" s="936">
        <f>ROUND(SUMIFS('A5.CTC FY24'!K:K,'A5.CTC FY24'!E:E,'A0.LS'!E248,'A5.CTC FY24'!A:A,'A0.LS'!$AS$5,'A5.CTC FY24'!L:L,"EY",'A5.CTC FY24'!M:M,"Posted"),0)</f>
        <v>0</v>
      </c>
      <c r="AT248" s="948">
        <f t="shared" si="155"/>
        <v>0</v>
      </c>
      <c r="AU248" s="930"/>
      <c r="AV248" s="951">
        <f t="shared" si="156"/>
        <v>0</v>
      </c>
      <c r="AW248" s="952">
        <f>SUMIFS('A5.Consol FY24'!L:L,'A5.Consol FY24'!B:B,'A0.LS'!$AW$5,'A5.Consol FY24'!M:M,"EY",'A5.Consol FY24'!N:N,"Posted",'A5.Consol FY24'!F:F,'A0.LS'!E248)</f>
        <v>0</v>
      </c>
      <c r="AX248" s="951">
        <f t="shared" si="157"/>
        <v>0</v>
      </c>
      <c r="AY248" s="920"/>
      <c r="AZ248" s="936">
        <f>SUMIFS('911.CTC.YE22'!U:U,'911.CTC.YE22'!R:R,'A0.LS'!E248)</f>
        <v>0</v>
      </c>
      <c r="BA248" s="936">
        <f>ROUND(SUMIFS('A5.YE22'!J:J,'A5.YE22'!K:K,'A0.LS'!$BA$5,'A5.YE22'!L:L,"Posted",'A5.YE22'!D:D,'A0.LS'!E248),0)</f>
        <v>0</v>
      </c>
      <c r="BB248" s="936">
        <f t="shared" si="158"/>
        <v>0</v>
      </c>
      <c r="BC248" s="937"/>
      <c r="BD248" s="936">
        <f>ROUND(SUMIFS('911.VNSC.YE22'!R:R,'911.VNSC.YE22'!L:L,'A0.LS'!E248),0)</f>
        <v>0</v>
      </c>
      <c r="BE248" s="936">
        <f>ROUND(SUMIFS('A5.YE22'!J:J,'A5.YE22'!K:K,'A0.LS'!$BE$5,'A5.YE22'!L:L,"Posted",'A5.YE22'!D:D,'A0.LS'!E248),0)</f>
        <v>0</v>
      </c>
      <c r="BF248" s="936">
        <f t="shared" si="159"/>
        <v>0</v>
      </c>
      <c r="BG248" s="937"/>
      <c r="BH248" s="936">
        <f>ROUND(SUMIFS('911.XH.YE22'!T:T,'911.XH.YE22'!P:P,'A0.LS'!E248),0)</f>
        <v>0</v>
      </c>
      <c r="BI248" s="936">
        <f>ROUND(SUMIFS('A5.YE22'!J:J,'A5.YE22'!K:K,"XH",'A5.YE22'!L:L,"Posted",'A5.YE22'!D:D,'A0.LS'!E248),0)</f>
        <v>0</v>
      </c>
      <c r="BJ248" s="936">
        <f t="shared" si="160"/>
        <v>0</v>
      </c>
      <c r="BK248" s="937"/>
      <c r="BL248" s="936">
        <f>ROUND(SUMIFS('911.KCG.YE22'!T:T,'911.KCG.YE22'!P:P,'A0.LS'!E248),0)</f>
        <v>0</v>
      </c>
      <c r="BM248" s="936">
        <f>ROUND(SUMIFS('A5.YE22'!J:J,'A5.YE22'!K:K,'A0.LS'!$BM$5,'A5.YE22'!L:L,"Posted",'A5.YE22'!D:D,'A0.LS'!E248),0)</f>
        <v>0</v>
      </c>
      <c r="BN248" s="936">
        <f t="shared" si="161"/>
        <v>0</v>
      </c>
      <c r="BO248" s="937"/>
      <c r="BP248" s="938">
        <v>0</v>
      </c>
      <c r="BQ248" s="938">
        <f>ROUND(SUMIFS('A5.YE22'!J:J,'A5.YE22'!K:K,'A0.LS'!$BQ$5,'A5.YE22'!L:L,"Posted",'A5.YE22'!D:D,'A0.LS'!E248),0)</f>
        <v>0</v>
      </c>
      <c r="BR248" s="938">
        <f t="shared" si="162"/>
        <v>0</v>
      </c>
    </row>
    <row r="249" spans="2:70" ht="12.75">
      <c r="B249" s="925"/>
      <c r="C249" s="926"/>
      <c r="D249" s="927"/>
      <c r="E249" s="928"/>
      <c r="F249" s="928"/>
      <c r="G249" s="928"/>
      <c r="H249" s="927"/>
      <c r="I249" s="929"/>
      <c r="J249" s="929"/>
      <c r="K249" s="929"/>
      <c r="L249" s="929"/>
      <c r="M249" s="930" t="s">
        <v>681</v>
      </c>
      <c r="N249" s="931"/>
      <c r="O249" s="931"/>
      <c r="P249" s="931"/>
      <c r="Q249" s="932"/>
      <c r="R249" s="898"/>
      <c r="S249" s="850"/>
      <c r="T249" s="850"/>
      <c r="U249" s="850"/>
      <c r="V249" s="850"/>
      <c r="W249" s="850"/>
      <c r="X249" s="947" t="s">
        <v>2227</v>
      </c>
      <c r="Y249" s="933"/>
      <c r="Z249" s="934"/>
      <c r="AA249" s="934"/>
      <c r="AB249" s="934"/>
      <c r="AC249" s="934"/>
      <c r="AD249" s="930"/>
      <c r="AE249" s="934"/>
      <c r="AF249" s="934"/>
      <c r="AG249" s="934"/>
      <c r="AH249" s="934"/>
      <c r="AI249" s="930"/>
      <c r="AJ249" s="934"/>
      <c r="AK249" s="934"/>
      <c r="AL249" s="934"/>
      <c r="AM249" s="930"/>
      <c r="AN249" s="935"/>
      <c r="AO249" s="935"/>
      <c r="AP249" s="935"/>
      <c r="AQ249" s="930"/>
      <c r="AR249" s="934"/>
      <c r="AS249" s="934"/>
      <c r="AT249" s="934"/>
      <c r="AU249" s="930"/>
      <c r="AV249" s="909"/>
      <c r="AW249" s="909"/>
      <c r="AX249" s="909"/>
      <c r="AY249" s="920"/>
      <c r="AZ249" s="936"/>
      <c r="BA249" s="936"/>
      <c r="BB249" s="936"/>
      <c r="BC249" s="937"/>
      <c r="BD249" s="936"/>
      <c r="BE249" s="936"/>
      <c r="BF249" s="936"/>
      <c r="BG249" s="937"/>
      <c r="BH249" s="936"/>
      <c r="BI249" s="936"/>
      <c r="BJ249" s="936"/>
      <c r="BK249" s="937"/>
      <c r="BL249" s="936"/>
      <c r="BM249" s="936"/>
      <c r="BN249" s="936"/>
      <c r="BO249" s="937"/>
      <c r="BP249" s="938"/>
      <c r="BQ249" s="938"/>
      <c r="BR249" s="938"/>
    </row>
    <row r="250" spans="2:70" s="1" customFormat="1" ht="12.75">
      <c r="B250" s="293"/>
      <c r="C250" s="294"/>
      <c r="D250" s="295"/>
      <c r="E250" s="75"/>
      <c r="F250" s="75" t="s">
        <v>2484</v>
      </c>
      <c r="G250" s="75"/>
      <c r="H250" s="295"/>
      <c r="I250" s="68">
        <f>SUM(I251:I269)</f>
        <v>114045932270</v>
      </c>
      <c r="J250" s="68">
        <f>SUM(J251:J269)</f>
        <v>0</v>
      </c>
      <c r="K250" s="68">
        <f>SUM(K251:K269)</f>
        <v>18429727374</v>
      </c>
      <c r="L250" s="68">
        <f>SUM(L251:L269)</f>
        <v>132475659644</v>
      </c>
      <c r="M250" s="296" t="s">
        <v>681</v>
      </c>
      <c r="N250" s="69">
        <f>SUM(N251:N269)</f>
        <v>413557116103</v>
      </c>
      <c r="O250" s="69">
        <f>SUM(O251:O269)</f>
        <v>0</v>
      </c>
      <c r="P250" s="69">
        <f>SUM(P251:P269)</f>
        <v>-219745808158</v>
      </c>
      <c r="Q250" s="70">
        <f>SUM(Q251:Q269)</f>
        <v>193811307945</v>
      </c>
      <c r="R250" s="298"/>
      <c r="S250" s="175">
        <f t="shared" ref="S250:S269" si="181">L250-Q250</f>
        <v>-61335648301</v>
      </c>
      <c r="T250" s="176">
        <f t="shared" ref="T250:T269" si="182">IFERROR(S250/Q250,"To check")</f>
        <v>-0.31647094770345341</v>
      </c>
      <c r="X250" s="947" t="s">
        <v>2227</v>
      </c>
      <c r="Y250" s="304"/>
      <c r="Z250" s="235">
        <f>SUM(Z251:Z269)</f>
        <v>0</v>
      </c>
      <c r="AA250" s="235">
        <f>SUM(AA251:AA269)</f>
        <v>0</v>
      </c>
      <c r="AB250" s="235">
        <f>SUM(AB251:AB269)</f>
        <v>21994323936</v>
      </c>
      <c r="AC250" s="235">
        <f>SUM(AC251:AC269)</f>
        <v>21994323936</v>
      </c>
      <c r="AD250" s="236"/>
      <c r="AE250" s="235">
        <f>SUM(AE251:AE269)</f>
        <v>2490732821</v>
      </c>
      <c r="AF250" s="235">
        <f>SUM(AF251:AF269)</f>
        <v>0</v>
      </c>
      <c r="AG250" s="235">
        <f>SUM(AG251:AG269)</f>
        <v>279700246</v>
      </c>
      <c r="AH250" s="235">
        <f>SUM(AH251:AH269)</f>
        <v>2770433067</v>
      </c>
      <c r="AI250" s="236"/>
      <c r="AJ250" s="235">
        <f>SUM(AJ251:AJ269)</f>
        <v>0</v>
      </c>
      <c r="AK250" s="235">
        <f>SUM(AK251:AK269)</f>
        <v>0</v>
      </c>
      <c r="AL250" s="235">
        <f>SUM(AL251:AL269)</f>
        <v>0</v>
      </c>
      <c r="AM250" s="236"/>
      <c r="AN250" s="237">
        <f>SUM(AN251:AN269)</f>
        <v>25495796517</v>
      </c>
      <c r="AO250" s="237">
        <f>SUM(AO251:AO269)</f>
        <v>-23209411523</v>
      </c>
      <c r="AP250" s="237">
        <f>SUM(AP251:AP269)</f>
        <v>2286384994</v>
      </c>
      <c r="AQ250" s="236"/>
      <c r="AR250" s="235">
        <f>SUM(AR251:AR269)</f>
        <v>11800</v>
      </c>
      <c r="AS250" s="235">
        <f>SUM(AS251:AS269)</f>
        <v>731027714</v>
      </c>
      <c r="AT250" s="235">
        <f>SUM(AT251:AT269)</f>
        <v>731039514</v>
      </c>
      <c r="AU250" s="236"/>
      <c r="AV250" s="238">
        <f>SUM(AV251:AV269)</f>
        <v>134762044638</v>
      </c>
      <c r="AW250" s="238">
        <f>SUM(AW251:AW269)</f>
        <v>-35228432476</v>
      </c>
      <c r="AX250" s="238">
        <f>SUM(AX251:AX269)</f>
        <v>99533612162</v>
      </c>
      <c r="AY250" s="614"/>
      <c r="AZ250" s="235">
        <f>SUM(AZ251:AZ269)</f>
        <v>126311059767</v>
      </c>
      <c r="BA250" s="235">
        <f>SUM(BA251:BA269)</f>
        <v>0</v>
      </c>
      <c r="BB250" s="235">
        <f>SUM(BB251:BB269)</f>
        <v>126311059767</v>
      </c>
      <c r="BC250" s="236"/>
      <c r="BD250" s="235">
        <f>SUM(BD251:BD269)</f>
        <v>733603840</v>
      </c>
      <c r="BE250" s="235">
        <f>SUM(BE251:BE269)</f>
        <v>0</v>
      </c>
      <c r="BF250" s="235">
        <f>SUM(BF251:BF269)</f>
        <v>733603840</v>
      </c>
      <c r="BG250" s="236"/>
      <c r="BH250" s="235">
        <f>SUM(BH251:BH269)</f>
        <v>0</v>
      </c>
      <c r="BI250" s="235">
        <f>SUM(BI251:BI269)</f>
        <v>0</v>
      </c>
      <c r="BJ250" s="235">
        <f>SUM(BJ251:BJ269)</f>
        <v>0</v>
      </c>
      <c r="BK250" s="236"/>
      <c r="BL250" s="235">
        <f>SUM(BL251:BL269)</f>
        <v>0</v>
      </c>
      <c r="BM250" s="235">
        <f>SUM(BM251:BM269)</f>
        <v>0</v>
      </c>
      <c r="BN250" s="235">
        <f>SUM(BN251:BN269)</f>
        <v>0</v>
      </c>
      <c r="BO250" s="236"/>
      <c r="BP250" s="443">
        <f>SUM(BP251:BP269)</f>
        <v>193995239577</v>
      </c>
      <c r="BQ250" s="443">
        <f>SUM(BQ251:BQ269)</f>
        <v>-29675811022</v>
      </c>
      <c r="BR250" s="443">
        <f>SUM(BR251:BR269)</f>
        <v>164319428555</v>
      </c>
    </row>
    <row r="251" spans="2:70" ht="12.75">
      <c r="B251" s="939">
        <v>22</v>
      </c>
      <c r="C251" s="968" t="s">
        <v>2485</v>
      </c>
      <c r="D251" s="941" t="s">
        <v>2486</v>
      </c>
      <c r="E251" s="953" t="s">
        <v>305</v>
      </c>
      <c r="F251" s="928" t="s">
        <v>306</v>
      </c>
      <c r="G251" s="927" t="s">
        <v>2487</v>
      </c>
      <c r="H251" s="927" t="s">
        <v>2265</v>
      </c>
      <c r="I251" s="942">
        <f>SUMIFS('GL911.Cty Me.FY24'!T:T,'GL911.Cty Me.FY24'!H:H,'A0.LS'!E251)</f>
        <v>0</v>
      </c>
      <c r="J251" s="942">
        <f>ROUND(SUMIFS('A5.FY24'!K:K,'A5.FY24'!E:E,'A0.LS'!E251,'A5.FY24'!L:L,"Finhay",'A5.FY24'!M:M,"Posted"),0)</f>
        <v>0</v>
      </c>
      <c r="K251" s="942">
        <f>ROUND(SUMIFS('A5.FY24'!K:K,'A5.FY24'!E:E,'A0.LS'!E251,'A5.FY24'!L:L,"EY",'A5.FY24'!M:M,"Posted"),0)</f>
        <v>0</v>
      </c>
      <c r="L251" s="943">
        <f t="shared" ref="L251:L269" si="183">ROUND(SUM(I251:K251),0)</f>
        <v>0</v>
      </c>
      <c r="M251" s="930"/>
      <c r="N251" s="944">
        <v>0</v>
      </c>
      <c r="O251" s="944">
        <v>0</v>
      </c>
      <c r="P251" s="944">
        <v>0</v>
      </c>
      <c r="Q251" s="945">
        <f>SUM(N251:P251)</f>
        <v>0</v>
      </c>
      <c r="R251" s="898"/>
      <c r="S251" s="848">
        <f t="shared" si="181"/>
        <v>0</v>
      </c>
      <c r="T251" s="946" t="str">
        <f t="shared" si="182"/>
        <v>To check</v>
      </c>
      <c r="U251" s="850"/>
      <c r="V251" s="850">
        <v>0</v>
      </c>
      <c r="W251" s="850"/>
      <c r="X251" s="947" t="s">
        <v>2227</v>
      </c>
      <c r="Y251" s="947" t="s">
        <v>2464</v>
      </c>
      <c r="Z251" s="936">
        <f>ROUND(SUMIFS('GL911.CtyCon.FY24'!N:N,'GL911.CtyCon.FY24'!G:G,'A0.LS'!E251),0)</f>
        <v>0</v>
      </c>
      <c r="AA251" s="936">
        <f>ROUND(SUMIFS('A5.CTC FY24'!K:K,'A5.CTC FY24'!E:E,'A0.LS'!E251,'A5.CTC FY24'!A:A,'A0.LS'!$AA$5,'A5.CTC FY24'!L:L,"Finhay",'A5.CTC FY24'!M:M,"Posted"),0)</f>
        <v>0</v>
      </c>
      <c r="AB251" s="936">
        <f>ROUND(SUMIFS('A5.CTC FY24'!K:K,'A5.CTC FY24'!E:E,'A0.LS'!E251,'A5.CTC FY24'!A:A,'A0.LS'!$AB$5,'A5.CTC FY24'!L:L,"EY",'A5.CTC FY24'!M:M,"Posted"),0)</f>
        <v>0</v>
      </c>
      <c r="AC251" s="948">
        <f t="shared" ref="AC251:AC269" si="184">ROUND(SUM(Z251:AB251),0)</f>
        <v>0</v>
      </c>
      <c r="AD251" s="930"/>
      <c r="AE251" s="936">
        <f>SUMIFS('GL911 VNSC FY24'!T:T,'GL911 VNSC FY24'!AG:AG,'A0.LS'!E251)</f>
        <v>0</v>
      </c>
      <c r="AF251" s="936">
        <f>SUMIFS('A5.CTC FY24'!K:K,'A5.CTC FY24'!E:E,'A0.LS'!E251,'A5.CTC FY24'!A:A,"VNSC",'A5.CTC FY24'!L:L,"VNSC",'A5.CTC FY24'!M:M,"Posted")</f>
        <v>0</v>
      </c>
      <c r="AG251" s="936">
        <f>ROUND(SUMIFS('A5.CTC FY24'!K:K,'A5.CTC FY24'!E:E,'A0.LS'!E251,'A5.CTC FY24'!A:A,"VNSC",'A5.CTC FY24'!L:L,"EY",'A5.CTC FY24'!M:M,"Posted"),0)</f>
        <v>0</v>
      </c>
      <c r="AH251" s="936">
        <f t="shared" ref="AH251:AH269" si="185">ROUND(SUM(AE251:AG251),0)</f>
        <v>0</v>
      </c>
      <c r="AI251" s="930"/>
      <c r="AJ251" s="936">
        <f>ROUND(SUMIFS('GL911.KCG.FY24'!L:L,'GL911.KCG.FY24'!F:F,'A0.LS'!E251),0)</f>
        <v>0</v>
      </c>
      <c r="AK251" s="936">
        <f>ROUND(SUMIFS('A5.CTC FY24'!K:K,'A5.CTC FY24'!E:E,'A0.LS'!E251,'A5.CTC FY24'!A:A,'A0.LS'!$AK$5,'A5.CTC FY24'!L:L,"EY",'A5.CTC FY24'!M:M,"Posted"),0)</f>
        <v>0</v>
      </c>
      <c r="AL251" s="948">
        <f t="shared" ref="AL251:AL269" si="186">ROUND(SUM(AJ251:AK251),0)</f>
        <v>0</v>
      </c>
      <c r="AM251" s="930"/>
      <c r="AN251" s="949">
        <f t="shared" ref="AN251:AN269" si="187">ROUND(SUM(AT251,AH251,AC251),0)</f>
        <v>11800</v>
      </c>
      <c r="AO251" s="950">
        <f>ROUND(SUMIFS('A5.Consol FY24'!L:L,'A5.Consol FY24'!M:M,"EY",'A5.Consol FY24'!N:N,"Posted",'A5.Consol FY24'!B:B,'A0.LS'!$AO$5,'A5.Consol FY24'!F:F,'A0.LS'!E251),0)</f>
        <v>0</v>
      </c>
      <c r="AP251" s="949">
        <f t="shared" ref="AP251:AP269" si="188">ROUND(SUM(AN251:AO251),0)</f>
        <v>11800</v>
      </c>
      <c r="AQ251" s="930"/>
      <c r="AR251" s="936">
        <f>ROUND(SUMIFS('GL911.XH.FY24'!L:L,'GL911.XH.FY24'!F:F,'A0.LS'!E251),0)</f>
        <v>11800</v>
      </c>
      <c r="AS251" s="936">
        <f>ROUND(SUMIFS('A5.CTC FY24'!K:K,'A5.CTC FY24'!E:E,'A0.LS'!E251,'A5.CTC FY24'!A:A,'A0.LS'!$AS$5,'A5.CTC FY24'!L:L,"EY",'A5.CTC FY24'!M:M,"Posted"),0)</f>
        <v>0</v>
      </c>
      <c r="AT251" s="948">
        <f t="shared" ref="AT251:AT269" si="189">ROUND(SUM(AR251:AS251),0)</f>
        <v>11800</v>
      </c>
      <c r="AU251" s="930"/>
      <c r="AV251" s="951">
        <f t="shared" ref="AV251:AV269" si="190">ROUND(SUM(AP251,AL251,L251),0)</f>
        <v>11800</v>
      </c>
      <c r="AW251" s="952">
        <f>SUMIFS('A5.Consol FY24'!L:L,'A5.Consol FY24'!B:B,'A0.LS'!$AW$5,'A5.Consol FY24'!M:M,"EY",'A5.Consol FY24'!N:N,"Posted",'A5.Consol FY24'!F:F,'A0.LS'!E251)</f>
        <v>0</v>
      </c>
      <c r="AX251" s="951">
        <f t="shared" ref="AX251:AX269" si="191">ROUND(SUM(AV251:AW251),0)</f>
        <v>11800</v>
      </c>
      <c r="AY251" s="920"/>
      <c r="AZ251" s="936">
        <f>SUMIFS('911.CTC.YE22'!U:U,'911.CTC.YE22'!R:R,'A0.LS'!E251)</f>
        <v>126311059767</v>
      </c>
      <c r="BA251" s="936">
        <f>ROUND(SUMIFS('A5.YE22'!J:J,'A5.YE22'!K:K,'A0.LS'!$BA$5,'A5.YE22'!L:L,"Posted",'A5.YE22'!D:D,'A0.LS'!E251),0)</f>
        <v>0</v>
      </c>
      <c r="BB251" s="936">
        <f t="shared" ref="BB251:BB269" si="192">ROUND(SUM(AZ251:BA251),0)</f>
        <v>126311059767</v>
      </c>
      <c r="BC251" s="937"/>
      <c r="BD251" s="936">
        <f>ROUND(SUMIFS('911.VNSC.YE22'!R:R,'911.VNSC.YE22'!L:L,'A0.LS'!E251),0)</f>
        <v>0</v>
      </c>
      <c r="BE251" s="936">
        <f>ROUND(SUMIFS('A5.YE22'!J:J,'A5.YE22'!K:K,'A0.LS'!$BE$5,'A5.YE22'!L:L,"Posted",'A5.YE22'!D:D,'A0.LS'!E251),0)</f>
        <v>0</v>
      </c>
      <c r="BF251" s="936">
        <f t="shared" ref="BF251:BF269" si="193">ROUND(SUM(BD251:BE251),0)</f>
        <v>0</v>
      </c>
      <c r="BG251" s="937"/>
      <c r="BH251" s="936">
        <f>ROUND(SUMIFS('911.XH.YE22'!T:T,'911.XH.YE22'!P:P,'A0.LS'!E251),0)</f>
        <v>0</v>
      </c>
      <c r="BI251" s="936">
        <f>ROUND(SUMIFS('A5.YE22'!J:J,'A5.YE22'!K:K,"XH",'A5.YE22'!L:L,"Posted",'A5.YE22'!D:D,'A0.LS'!E251),0)</f>
        <v>0</v>
      </c>
      <c r="BJ251" s="936">
        <f t="shared" ref="BJ251:BJ269" si="194">ROUND(SUM(BH251:BI251),0)</f>
        <v>0</v>
      </c>
      <c r="BK251" s="937"/>
      <c r="BL251" s="936">
        <f>ROUND(SUMIFS('911.KCG.YE22'!T:T,'911.KCG.YE22'!P:P,'A0.LS'!E251),0)</f>
        <v>0</v>
      </c>
      <c r="BM251" s="936">
        <f>ROUND(SUMIFS('A5.YE22'!J:J,'A5.YE22'!K:K,'A0.LS'!$BM$5,'A5.YE22'!L:L,"Posted",'A5.YE22'!D:D,'A0.LS'!E251),0)</f>
        <v>0</v>
      </c>
      <c r="BN251" s="936">
        <f t="shared" ref="BN251:BN269" si="195">ROUND(SUM(BL251:BM251),0)</f>
        <v>0</v>
      </c>
      <c r="BO251" s="937"/>
      <c r="BP251" s="938">
        <v>131507</v>
      </c>
      <c r="BQ251" s="938">
        <v>-131507</v>
      </c>
      <c r="BR251" s="938">
        <f t="shared" ref="BR251:BR269" si="196">ROUND(SUM(BP251:BQ251),0)</f>
        <v>0</v>
      </c>
    </row>
    <row r="252" spans="2:70" ht="12.75">
      <c r="B252" s="939">
        <v>22</v>
      </c>
      <c r="C252" s="940" t="s">
        <v>2488</v>
      </c>
      <c r="D252" s="941" t="s">
        <v>2488</v>
      </c>
      <c r="E252" s="928" t="s">
        <v>307</v>
      </c>
      <c r="F252" s="928" t="s">
        <v>308</v>
      </c>
      <c r="G252" s="927" t="s">
        <v>2487</v>
      </c>
      <c r="H252" s="927" t="s">
        <v>2265</v>
      </c>
      <c r="I252" s="942">
        <f>SUMIFS('GL911.Cty Me.FY24'!T:T,'GL911.Cty Me.FY24'!H:H,'A0.LS'!E252)</f>
        <v>100659600817</v>
      </c>
      <c r="J252" s="942">
        <f>ROUND(SUMIFS('A5.FY24'!K:K,'A5.FY24'!E:E,'A0.LS'!E252,'A5.FY24'!L:L,"Finhay",'A5.FY24'!M:M,"Posted"),0)</f>
        <v>0</v>
      </c>
      <c r="K252" s="942">
        <f>ROUND(SUMIFS('A5.FY24'!K:K,'A5.FY24'!E:E,'A0.LS'!E252,'A5.FY24'!L:L,"EY",'A5.FY24'!M:M,"Posted"),0)</f>
        <v>-54885</v>
      </c>
      <c r="L252" s="943">
        <f t="shared" si="183"/>
        <v>100659545932</v>
      </c>
      <c r="M252" s="930"/>
      <c r="N252" s="944">
        <v>109793045368</v>
      </c>
      <c r="O252" s="944">
        <v>0</v>
      </c>
      <c r="P252" s="944">
        <v>0</v>
      </c>
      <c r="Q252" s="945">
        <f t="shared" ref="Q252:Q269" si="197">SUM(N252:P252)</f>
        <v>109793045368</v>
      </c>
      <c r="R252" s="898"/>
      <c r="S252" s="848">
        <f t="shared" si="181"/>
        <v>-9133499436</v>
      </c>
      <c r="T252" s="946">
        <f t="shared" si="182"/>
        <v>-8.3188324045359127E-2</v>
      </c>
      <c r="U252" s="850"/>
      <c r="V252" s="850" t="s">
        <v>2489</v>
      </c>
      <c r="W252" s="850"/>
      <c r="X252" s="947" t="s">
        <v>2227</v>
      </c>
      <c r="Y252" s="947" t="s">
        <v>2464</v>
      </c>
      <c r="Z252" s="936">
        <f>ROUND(SUMIFS('GL911.CtyCon.FY24'!N:N,'GL911.CtyCon.FY24'!G:G,'A0.LS'!E252),0)</f>
        <v>0</v>
      </c>
      <c r="AA252" s="936">
        <f>ROUND(SUMIFS('A5.CTC FY24'!K:K,'A5.CTC FY24'!E:E,'A0.LS'!E252,'A5.CTC FY24'!A:A,'A0.LS'!$AA$5,'A5.CTC FY24'!L:L,"Finhay",'A5.CTC FY24'!M:M,"Posted"),0)</f>
        <v>0</v>
      </c>
      <c r="AB252" s="936">
        <f>ROUND(SUMIFS('A5.CTC FY24'!K:K,'A5.CTC FY24'!E:E,'A0.LS'!E252,'A5.CTC FY24'!A:A,'A0.LS'!$AB$5,'A5.CTC FY24'!L:L,"EY",'A5.CTC FY24'!M:M,"Posted"),0)</f>
        <v>0</v>
      </c>
      <c r="AC252" s="948">
        <f t="shared" si="184"/>
        <v>0</v>
      </c>
      <c r="AD252" s="930"/>
      <c r="AE252" s="936">
        <f>SUMIFS('GL911 VNSC FY24'!T:T,'GL911 VNSC FY24'!AG:AG,'A0.LS'!E252)</f>
        <v>0</v>
      </c>
      <c r="AF252" s="936">
        <f>SUMIFS('A5.CTC FY24'!K:K,'A5.CTC FY24'!E:E,'A0.LS'!E252,'A5.CTC FY24'!A:A,"VNSC",'A5.CTC FY24'!L:L,"VNSC",'A5.CTC FY24'!M:M,"Posted")</f>
        <v>0</v>
      </c>
      <c r="AG252" s="936">
        <f>ROUND(SUMIFS('A5.CTC FY24'!K:K,'A5.CTC FY24'!E:E,'A0.LS'!E252,'A5.CTC FY24'!A:A,"VNSC",'A5.CTC FY24'!L:L,"EY",'A5.CTC FY24'!M:M,"Posted"),0)</f>
        <v>0</v>
      </c>
      <c r="AH252" s="936">
        <f t="shared" si="185"/>
        <v>0</v>
      </c>
      <c r="AI252" s="930"/>
      <c r="AJ252" s="936">
        <f>ROUND(SUMIFS('GL911.KCG.FY24'!L:L,'GL911.KCG.FY24'!F:F,'A0.LS'!E252),0)</f>
        <v>0</v>
      </c>
      <c r="AK252" s="936">
        <f>ROUND(SUMIFS('A5.CTC FY24'!K:K,'A5.CTC FY24'!E:E,'A0.LS'!E252,'A5.CTC FY24'!A:A,'A0.LS'!$AK$5,'A5.CTC FY24'!L:L,"EY",'A5.CTC FY24'!M:M,"Posted"),0)</f>
        <v>0</v>
      </c>
      <c r="AL252" s="948">
        <f t="shared" si="186"/>
        <v>0</v>
      </c>
      <c r="AM252" s="930"/>
      <c r="AN252" s="949">
        <f t="shared" si="187"/>
        <v>0</v>
      </c>
      <c r="AO252" s="950">
        <f>ROUND(SUMIFS('A5.Consol FY24'!L:L,'A5.Consol FY24'!M:M,"EY",'A5.Consol FY24'!N:N,"Posted",'A5.Consol FY24'!B:B,'A0.LS'!$AO$5,'A5.Consol FY24'!F:F,'A0.LS'!E252),0)</f>
        <v>0</v>
      </c>
      <c r="AP252" s="949">
        <f t="shared" si="188"/>
        <v>0</v>
      </c>
      <c r="AQ252" s="930"/>
      <c r="AR252" s="936">
        <f>ROUND(SUMIFS('GL911.XH.FY24'!L:L,'GL911.XH.FY24'!F:F,'A0.LS'!E252),0)</f>
        <v>0</v>
      </c>
      <c r="AS252" s="936">
        <f>ROUND(SUMIFS('A5.CTC FY24'!K:K,'A5.CTC FY24'!E:E,'A0.LS'!E252,'A5.CTC FY24'!A:A,'A0.LS'!$AS$5,'A5.CTC FY24'!L:L,"EY",'A5.CTC FY24'!M:M,"Posted"),0)</f>
        <v>0</v>
      </c>
      <c r="AT252" s="948">
        <f t="shared" si="189"/>
        <v>0</v>
      </c>
      <c r="AU252" s="930"/>
      <c r="AV252" s="951">
        <f t="shared" si="190"/>
        <v>100659545932</v>
      </c>
      <c r="AW252" s="952">
        <f>SUMIFS('A5.Consol FY24'!L:L,'A5.Consol FY24'!B:B,'A0.LS'!$AW$5,'A5.Consol FY24'!M:M,"EY",'A5.Consol FY24'!N:N,"Posted",'A5.Consol FY24'!F:F,'A0.LS'!E252)</f>
        <v>0</v>
      </c>
      <c r="AX252" s="951">
        <f t="shared" si="191"/>
        <v>100659545932</v>
      </c>
      <c r="AY252" s="920"/>
      <c r="AZ252" s="936">
        <f>SUMIFS('911.CTC.YE22'!U:U,'911.CTC.YE22'!R:R,'A0.LS'!E252)</f>
        <v>0</v>
      </c>
      <c r="BA252" s="936">
        <f>ROUND(SUMIFS('A5.YE22'!J:J,'A5.YE22'!K:K,'A0.LS'!$BA$5,'A5.YE22'!L:L,"Posted",'A5.YE22'!D:D,'A0.LS'!E252),0)</f>
        <v>0</v>
      </c>
      <c r="BB252" s="936">
        <f t="shared" si="192"/>
        <v>0</v>
      </c>
      <c r="BC252" s="937"/>
      <c r="BD252" s="936">
        <f>ROUND(SUMIFS('911.VNSC.YE22'!R:R,'911.VNSC.YE22'!L:L,'A0.LS'!E252),0)</f>
        <v>0</v>
      </c>
      <c r="BE252" s="936">
        <f>ROUND(SUMIFS('A5.YE22'!J:J,'A5.YE22'!K:K,'A0.LS'!$BE$5,'A5.YE22'!L:L,"Posted",'A5.YE22'!D:D,'A0.LS'!E252),0)</f>
        <v>0</v>
      </c>
      <c r="BF252" s="936">
        <f t="shared" si="193"/>
        <v>0</v>
      </c>
      <c r="BG252" s="937"/>
      <c r="BH252" s="936">
        <f>ROUND(SUMIFS('911.XH.YE22'!T:T,'911.XH.YE22'!P:P,'A0.LS'!E252),0)</f>
        <v>0</v>
      </c>
      <c r="BI252" s="936">
        <f>ROUND(SUMIFS('A5.YE22'!J:J,'A5.YE22'!K:K,"XH",'A5.YE22'!L:L,"Posted",'A5.YE22'!D:D,'A0.LS'!E252),0)</f>
        <v>0</v>
      </c>
      <c r="BJ252" s="936">
        <f t="shared" si="194"/>
        <v>0</v>
      </c>
      <c r="BK252" s="937"/>
      <c r="BL252" s="936">
        <f>ROUND(SUMIFS('911.KCG.YE22'!T:T,'911.KCG.YE22'!P:P,'A0.LS'!E252),0)</f>
        <v>0</v>
      </c>
      <c r="BM252" s="936">
        <f>ROUND(SUMIFS('A5.YE22'!J:J,'A5.YE22'!K:K,'A0.LS'!$BM$5,'A5.YE22'!L:L,"Posted",'A5.YE22'!D:D,'A0.LS'!E252),0)</f>
        <v>0</v>
      </c>
      <c r="BN252" s="936">
        <f t="shared" si="195"/>
        <v>0</v>
      </c>
      <c r="BO252" s="937"/>
      <c r="BP252" s="938">
        <v>109793045368</v>
      </c>
      <c r="BQ252" s="938">
        <f>ROUND(SUMIFS('A5.YE22'!J:J,'A5.YE22'!K:K,'A0.LS'!$BQ$5,'A5.YE22'!L:L,"Posted",'A5.YE22'!D:D,'A0.LS'!E252),0)</f>
        <v>0</v>
      </c>
      <c r="BR252" s="938">
        <f t="shared" si="196"/>
        <v>109793045368</v>
      </c>
    </row>
    <row r="253" spans="2:70" ht="12.75">
      <c r="B253" s="939">
        <v>22</v>
      </c>
      <c r="C253" s="940" t="s">
        <v>2488</v>
      </c>
      <c r="D253" s="941" t="s">
        <v>2488</v>
      </c>
      <c r="E253" s="928" t="s">
        <v>309</v>
      </c>
      <c r="F253" s="928" t="s">
        <v>310</v>
      </c>
      <c r="G253" s="927" t="s">
        <v>2487</v>
      </c>
      <c r="H253" s="927" t="s">
        <v>2265</v>
      </c>
      <c r="I253" s="942">
        <f>SUMIFS('GL911.Cty Me.FY24'!T:T,'GL911.Cty Me.FY24'!H:H,'A0.LS'!E253)</f>
        <v>-17594101898</v>
      </c>
      <c r="J253" s="942">
        <f>ROUND(SUMIFS('A5.FY24'!K:K,'A5.FY24'!E:E,'A0.LS'!E253,'A5.FY24'!L:L,"Finhay",'A5.FY24'!M:M,"Posted"),0)</f>
        <v>0</v>
      </c>
      <c r="K253" s="942">
        <f>ROUND(SUMIFS('A5.FY24'!K:K,'A5.FY24'!E:E,'A0.LS'!E253,'A5.FY24'!L:L,"EY",'A5.FY24'!M:M,"Posted"),0)</f>
        <v>0</v>
      </c>
      <c r="L253" s="943">
        <f t="shared" si="183"/>
        <v>-17594101898</v>
      </c>
      <c r="M253" s="930"/>
      <c r="N253" s="944">
        <v>6973166310</v>
      </c>
      <c r="O253" s="944">
        <v>0</v>
      </c>
      <c r="P253" s="944">
        <v>0</v>
      </c>
      <c r="Q253" s="945">
        <f t="shared" si="197"/>
        <v>6973166310</v>
      </c>
      <c r="R253" s="898"/>
      <c r="S253" s="848">
        <f t="shared" si="181"/>
        <v>-24567268208</v>
      </c>
      <c r="T253" s="946">
        <f t="shared" si="182"/>
        <v>-3.5231151984384552</v>
      </c>
      <c r="U253" s="850"/>
      <c r="V253" s="850" t="s">
        <v>2489</v>
      </c>
      <c r="W253" s="850"/>
      <c r="X253" s="933"/>
      <c r="Y253" s="947" t="s">
        <v>2464</v>
      </c>
      <c r="Z253" s="936">
        <f>ROUND(SUMIFS('GL911.CtyCon.FY24'!N:N,'GL911.CtyCon.FY24'!G:G,'A0.LS'!E253),0)</f>
        <v>0</v>
      </c>
      <c r="AA253" s="936">
        <f>ROUND(SUMIFS('A5.CTC FY24'!K:K,'A5.CTC FY24'!E:E,'A0.LS'!E253,'A5.CTC FY24'!A:A,'A0.LS'!$AA$5,'A5.CTC FY24'!L:L,"Finhay",'A5.CTC FY24'!M:M,"Posted"),0)</f>
        <v>0</v>
      </c>
      <c r="AB253" s="936">
        <f>ROUND(SUMIFS('A5.CTC FY24'!K:K,'A5.CTC FY24'!E:E,'A0.LS'!E253,'A5.CTC FY24'!A:A,'A0.LS'!$AB$5,'A5.CTC FY24'!L:L,"EY",'A5.CTC FY24'!M:M,"Posted"),0)</f>
        <v>0</v>
      </c>
      <c r="AC253" s="948">
        <f t="shared" si="184"/>
        <v>0</v>
      </c>
      <c r="AD253" s="930"/>
      <c r="AE253" s="936">
        <f>SUMIFS('GL911 VNSC FY24'!T:T,'GL911 VNSC FY24'!AG:AG,'A0.LS'!E253)</f>
        <v>0</v>
      </c>
      <c r="AF253" s="936">
        <f>SUMIFS('A5.CTC FY24'!K:K,'A5.CTC FY24'!E:E,'A0.LS'!E253,'A5.CTC FY24'!A:A,"VNSC",'A5.CTC FY24'!L:L,"VNSC",'A5.CTC FY24'!M:M,"Posted")</f>
        <v>0</v>
      </c>
      <c r="AG253" s="936">
        <f>ROUND(SUMIFS('A5.CTC FY24'!K:K,'A5.CTC FY24'!E:E,'A0.LS'!E253,'A5.CTC FY24'!A:A,"VNSC",'A5.CTC FY24'!L:L,"EY",'A5.CTC FY24'!M:M,"Posted"),0)</f>
        <v>0</v>
      </c>
      <c r="AH253" s="936">
        <f t="shared" si="185"/>
        <v>0</v>
      </c>
      <c r="AI253" s="930"/>
      <c r="AJ253" s="936">
        <f>ROUND(SUMIFS('GL911.KCG.FY24'!L:L,'GL911.KCG.FY24'!F:F,'A0.LS'!E253),0)</f>
        <v>0</v>
      </c>
      <c r="AK253" s="936">
        <f>ROUND(SUMIFS('A5.CTC FY24'!K:K,'A5.CTC FY24'!E:E,'A0.LS'!E253,'A5.CTC FY24'!A:A,'A0.LS'!$AK$5,'A5.CTC FY24'!L:L,"EY",'A5.CTC FY24'!M:M,"Posted"),0)</f>
        <v>0</v>
      </c>
      <c r="AL253" s="948">
        <f t="shared" si="186"/>
        <v>0</v>
      </c>
      <c r="AM253" s="930"/>
      <c r="AN253" s="949">
        <f t="shared" si="187"/>
        <v>0</v>
      </c>
      <c r="AO253" s="950">
        <f>ROUND(SUMIFS('A5.Consol FY24'!L:L,'A5.Consol FY24'!M:M,"EY",'A5.Consol FY24'!N:N,"Posted",'A5.Consol FY24'!B:B,'A0.LS'!$AO$5,'A5.Consol FY24'!F:F,'A0.LS'!E253),0)</f>
        <v>0</v>
      </c>
      <c r="AP253" s="949">
        <f t="shared" si="188"/>
        <v>0</v>
      </c>
      <c r="AQ253" s="930"/>
      <c r="AR253" s="936">
        <f>ROUND(SUMIFS('GL911.XH.FY24'!L:L,'GL911.XH.FY24'!F:F,'A0.LS'!E253),0)</f>
        <v>0</v>
      </c>
      <c r="AS253" s="936">
        <f>ROUND(SUMIFS('A5.CTC FY24'!K:K,'A5.CTC FY24'!E:E,'A0.LS'!E253,'A5.CTC FY24'!A:A,'A0.LS'!$AS$5,'A5.CTC FY24'!L:L,"EY",'A5.CTC FY24'!M:M,"Posted"),0)</f>
        <v>0</v>
      </c>
      <c r="AT253" s="948">
        <f t="shared" si="189"/>
        <v>0</v>
      </c>
      <c r="AU253" s="930"/>
      <c r="AV253" s="951">
        <f t="shared" si="190"/>
        <v>-17594101898</v>
      </c>
      <c r="AW253" s="952">
        <f>SUMIFS('A5.Consol FY24'!L:L,'A5.Consol FY24'!B:B,'A0.LS'!$AW$5,'A5.Consol FY24'!M:M,"EY",'A5.Consol FY24'!N:N,"Posted",'A5.Consol FY24'!F:F,'A0.LS'!E253)</f>
        <v>0</v>
      </c>
      <c r="AX253" s="951">
        <f t="shared" si="191"/>
        <v>-17594101898</v>
      </c>
      <c r="AY253" s="920"/>
      <c r="AZ253" s="936">
        <f>SUMIFS('911.CTC.YE22'!U:U,'911.CTC.YE22'!R:R,'A0.LS'!E253)</f>
        <v>0</v>
      </c>
      <c r="BA253" s="936">
        <f>ROUND(SUMIFS('A5.YE22'!J:J,'A5.YE22'!K:K,'A0.LS'!$BA$5,'A5.YE22'!L:L,"Posted",'A5.YE22'!D:D,'A0.LS'!E253),0)</f>
        <v>0</v>
      </c>
      <c r="BB253" s="936">
        <f t="shared" si="192"/>
        <v>0</v>
      </c>
      <c r="BC253" s="937"/>
      <c r="BD253" s="936">
        <f>ROUND(SUMIFS('911.VNSC.YE22'!R:R,'911.VNSC.YE22'!L:L,'A0.LS'!E253),0)</f>
        <v>0</v>
      </c>
      <c r="BE253" s="936">
        <f>ROUND(SUMIFS('A5.YE22'!J:J,'A5.YE22'!K:K,'A0.LS'!$BE$5,'A5.YE22'!L:L,"Posted",'A5.YE22'!D:D,'A0.LS'!E253),0)</f>
        <v>0</v>
      </c>
      <c r="BF253" s="936">
        <f t="shared" si="193"/>
        <v>0</v>
      </c>
      <c r="BG253" s="937"/>
      <c r="BH253" s="936">
        <f>ROUND(SUMIFS('911.XH.YE22'!T:T,'911.XH.YE22'!P:P,'A0.LS'!E253),0)</f>
        <v>0</v>
      </c>
      <c r="BI253" s="936">
        <f>ROUND(SUMIFS('A5.YE22'!J:J,'A5.YE22'!K:K,"XH",'A5.YE22'!L:L,"Posted",'A5.YE22'!D:D,'A0.LS'!E253),0)</f>
        <v>0</v>
      </c>
      <c r="BJ253" s="936">
        <f t="shared" si="194"/>
        <v>0</v>
      </c>
      <c r="BK253" s="937"/>
      <c r="BL253" s="936">
        <f>ROUND(SUMIFS('911.KCG.YE22'!T:T,'911.KCG.YE22'!P:P,'A0.LS'!E253),0)</f>
        <v>0</v>
      </c>
      <c r="BM253" s="936">
        <f>ROUND(SUMIFS('A5.YE22'!J:J,'A5.YE22'!K:K,'A0.LS'!$BM$5,'A5.YE22'!L:L,"Posted",'A5.YE22'!D:D,'A0.LS'!E253),0)</f>
        <v>0</v>
      </c>
      <c r="BN253" s="936">
        <f t="shared" si="195"/>
        <v>0</v>
      </c>
      <c r="BO253" s="937"/>
      <c r="BP253" s="938">
        <v>6973166310</v>
      </c>
      <c r="BQ253" s="938">
        <f>ROUND(SUMIFS('A5.YE22'!J:J,'A5.YE22'!K:K,'A0.LS'!$BQ$5,'A5.YE22'!L:L,"Posted",'A5.YE22'!D:D,'A0.LS'!E253),0)</f>
        <v>0</v>
      </c>
      <c r="BR253" s="938">
        <f t="shared" si="196"/>
        <v>6973166310</v>
      </c>
    </row>
    <row r="254" spans="2:70" ht="12.75">
      <c r="B254" s="939">
        <v>22</v>
      </c>
      <c r="C254" s="940" t="s">
        <v>2490</v>
      </c>
      <c r="D254" s="941" t="s">
        <v>2490</v>
      </c>
      <c r="E254" s="928" t="s">
        <v>313</v>
      </c>
      <c r="F254" s="928" t="s">
        <v>2491</v>
      </c>
      <c r="G254" s="927" t="s">
        <v>2492</v>
      </c>
      <c r="H254" s="927" t="s">
        <v>675</v>
      </c>
      <c r="I254" s="942">
        <f>SUMIFS('GL911.Cty Me.FY24'!T:T,'GL911.Cty Me.FY24'!H:H,'A0.LS'!E254)</f>
        <v>5158181587</v>
      </c>
      <c r="J254" s="942">
        <f>ROUND(SUMIFS('A5.FY24'!K:K,'A5.FY24'!E:E,'A0.LS'!E254,'A5.FY24'!L:L,"Finhay",'A5.FY24'!M:M,"Posted"),0)</f>
        <v>0</v>
      </c>
      <c r="K254" s="942">
        <f>ROUND(SUMIFS('A5.FY24'!K:K,'A5.FY24'!E:E,'A0.LS'!E254,'A5.FY24'!L:L,"EY",'A5.FY24'!M:M,"Posted"),0)</f>
        <v>0</v>
      </c>
      <c r="L254" s="943">
        <f t="shared" si="183"/>
        <v>5158181587</v>
      </c>
      <c r="M254" s="930" t="s">
        <v>681</v>
      </c>
      <c r="N254" s="944">
        <v>19211840065</v>
      </c>
      <c r="O254" s="944">
        <v>0</v>
      </c>
      <c r="P254" s="944">
        <v>33160738</v>
      </c>
      <c r="Q254" s="945">
        <f t="shared" si="197"/>
        <v>19245000803</v>
      </c>
      <c r="R254" s="898"/>
      <c r="S254" s="848">
        <f t="shared" si="181"/>
        <v>-14086819216</v>
      </c>
      <c r="T254" s="946">
        <f t="shared" si="182"/>
        <v>-0.73197290871528986</v>
      </c>
      <c r="U254" s="850"/>
      <c r="V254" s="850" t="s">
        <v>2493</v>
      </c>
      <c r="W254" s="850"/>
      <c r="X254" s="304"/>
      <c r="Y254" s="947" t="s">
        <v>2464</v>
      </c>
      <c r="Z254" s="936">
        <f>ROUND(SUMIFS('GL911.CtyCon.FY24'!N:N,'GL911.CtyCon.FY24'!G:G,'A0.LS'!E254),0)</f>
        <v>0</v>
      </c>
      <c r="AA254" s="936">
        <f>ROUND(SUMIFS('A5.CTC FY24'!K:K,'A5.CTC FY24'!E:E,'A0.LS'!E254,'A5.CTC FY24'!A:A,'A0.LS'!$AA$5,'A5.CTC FY24'!L:L,"Finhay",'A5.CTC FY24'!M:M,"Posted"),0)</f>
        <v>0</v>
      </c>
      <c r="AB254" s="936">
        <f>ROUND(SUMIFS('A5.CTC FY24'!K:K,'A5.CTC FY24'!E:E,'A0.LS'!E254,'A5.CTC FY24'!A:A,'A0.LS'!$AB$5,'A5.CTC FY24'!L:L,"EY",'A5.CTC FY24'!M:M,"Posted"),0)</f>
        <v>0</v>
      </c>
      <c r="AC254" s="948">
        <f t="shared" si="184"/>
        <v>0</v>
      </c>
      <c r="AD254" s="930"/>
      <c r="AE254" s="936">
        <f>SUMIFS('GL911 VNSC FY24'!T:T,'GL911 VNSC FY24'!AG:AG,'A0.LS'!E254)</f>
        <v>18652505</v>
      </c>
      <c r="AF254" s="936">
        <f>SUMIFS('A5.CTC FY24'!K:K,'A5.CTC FY24'!E:E,'A0.LS'!E254,'A5.CTC FY24'!A:A,"VNSC",'A5.CTC FY24'!L:L,"VNSC",'A5.CTC FY24'!M:M,"Posted")</f>
        <v>0</v>
      </c>
      <c r="AG254" s="936">
        <f>ROUND(SUMIFS('A5.CTC FY24'!K:K,'A5.CTC FY24'!E:E,'A0.LS'!E254,'A5.CTC FY24'!A:A,"VNSC",'A5.CTC FY24'!L:L,"EY",'A5.CTC FY24'!M:M,"Posted"),0)</f>
        <v>0</v>
      </c>
      <c r="AH254" s="936">
        <f t="shared" si="185"/>
        <v>18652505</v>
      </c>
      <c r="AI254" s="930"/>
      <c r="AJ254" s="936">
        <f>ROUND(SUMIFS('GL911.KCG.FY24'!L:L,'GL911.KCG.FY24'!F:F,'A0.LS'!E254),0)</f>
        <v>0</v>
      </c>
      <c r="AK254" s="936">
        <f>ROUND(SUMIFS('A5.CTC FY24'!K:K,'A5.CTC FY24'!E:E,'A0.LS'!E254,'A5.CTC FY24'!A:A,'A0.LS'!$AK$5,'A5.CTC FY24'!L:L,"EY",'A5.CTC FY24'!M:M,"Posted"),0)</f>
        <v>0</v>
      </c>
      <c r="AL254" s="948">
        <f t="shared" si="186"/>
        <v>0</v>
      </c>
      <c r="AM254" s="930"/>
      <c r="AN254" s="949">
        <f t="shared" si="187"/>
        <v>18652505</v>
      </c>
      <c r="AO254" s="950">
        <f>ROUND(SUMIFS('A5.Consol FY24'!L:L,'A5.Consol FY24'!M:M,"EY",'A5.Consol FY24'!N:N,"Posted",'A5.Consol FY24'!B:B,'A0.LS'!$AO$5,'A5.Consol FY24'!F:F,'A0.LS'!E254),0)</f>
        <v>0</v>
      </c>
      <c r="AP254" s="949">
        <f t="shared" si="188"/>
        <v>18652505</v>
      </c>
      <c r="AQ254" s="930"/>
      <c r="AR254" s="936">
        <f>ROUND(SUMIFS('GL911.XH.FY24'!L:L,'GL911.XH.FY24'!F:F,'A0.LS'!E254),0)</f>
        <v>0</v>
      </c>
      <c r="AS254" s="936">
        <f>ROUND(SUMIFS('A5.CTC FY24'!K:K,'A5.CTC FY24'!E:E,'A0.LS'!E254,'A5.CTC FY24'!A:A,'A0.LS'!$AS$5,'A5.CTC FY24'!L:L,"EY",'A5.CTC FY24'!M:M,"Posted"),0)</f>
        <v>0</v>
      </c>
      <c r="AT254" s="948">
        <f t="shared" si="189"/>
        <v>0</v>
      </c>
      <c r="AU254" s="930"/>
      <c r="AV254" s="951">
        <f t="shared" si="190"/>
        <v>5176834092</v>
      </c>
      <c r="AW254" s="952">
        <f>SUMIFS('A5.Consol FY24'!L:L,'A5.Consol FY24'!B:B,'A0.LS'!$AW$5,'A5.Consol FY24'!M:M,"EY",'A5.Consol FY24'!N:N,"Posted",'A5.Consol FY24'!F:F,'A0.LS'!E254)</f>
        <v>0</v>
      </c>
      <c r="AX254" s="951">
        <f t="shared" si="191"/>
        <v>5176834092</v>
      </c>
      <c r="AY254" s="920"/>
      <c r="AZ254" s="936">
        <f>SUMIFS('911.CTC.YE22'!U:U,'911.CTC.YE22'!R:R,'A0.LS'!E254)</f>
        <v>0</v>
      </c>
      <c r="BA254" s="936">
        <f>ROUND(SUMIFS('A5.YE22'!J:J,'A5.YE22'!K:K,'A0.LS'!$BA$5,'A5.YE22'!L:L,"Posted",'A5.YE22'!D:D,'A0.LS'!E254),0)</f>
        <v>0</v>
      </c>
      <c r="BB254" s="936">
        <f t="shared" si="192"/>
        <v>0</v>
      </c>
      <c r="BC254" s="937"/>
      <c r="BD254" s="936">
        <f>ROUND(SUMIFS('911.VNSC.YE22'!R:R,'911.VNSC.YE22'!L:L,'A0.LS'!E254),0)</f>
        <v>0</v>
      </c>
      <c r="BE254" s="936">
        <f>ROUND(SUMIFS('A5.YE22'!J:J,'A5.YE22'!K:K,'A0.LS'!$BE$5,'A5.YE22'!L:L,"Posted",'A5.YE22'!D:D,'A0.LS'!E254),0)</f>
        <v>0</v>
      </c>
      <c r="BF254" s="936">
        <f t="shared" si="193"/>
        <v>0</v>
      </c>
      <c r="BG254" s="937"/>
      <c r="BH254" s="936">
        <f>ROUND(SUMIFS('911.XH.YE22'!T:T,'911.XH.YE22'!P:P,'A0.LS'!E254),0)</f>
        <v>0</v>
      </c>
      <c r="BI254" s="936">
        <f>ROUND(SUMIFS('A5.YE22'!J:J,'A5.YE22'!K:K,"XH",'A5.YE22'!L:L,"Posted",'A5.YE22'!D:D,'A0.LS'!E254),0)</f>
        <v>0</v>
      </c>
      <c r="BJ254" s="936">
        <f t="shared" si="194"/>
        <v>0</v>
      </c>
      <c r="BK254" s="937"/>
      <c r="BL254" s="936">
        <f>ROUND(SUMIFS('911.KCG.YE22'!T:T,'911.KCG.YE22'!P:P,'A0.LS'!E254),0)</f>
        <v>0</v>
      </c>
      <c r="BM254" s="936">
        <f>ROUND(SUMIFS('A5.YE22'!J:J,'A5.YE22'!K:K,'A0.LS'!$BM$5,'A5.YE22'!L:L,"Posted",'A5.YE22'!D:D,'A0.LS'!E254),0)</f>
        <v>0</v>
      </c>
      <c r="BN254" s="936">
        <f t="shared" si="195"/>
        <v>0</v>
      </c>
      <c r="BO254" s="937"/>
      <c r="BP254" s="938">
        <v>19245000803</v>
      </c>
      <c r="BQ254" s="938">
        <f>ROUND(SUMIFS('A5.YE22'!J:J,'A5.YE22'!K:K,'A0.LS'!$BQ$5,'A5.YE22'!L:L,"Posted",'A5.YE22'!D:D,'A0.LS'!E254),0)</f>
        <v>0</v>
      </c>
      <c r="BR254" s="938">
        <f t="shared" si="196"/>
        <v>19245000803</v>
      </c>
    </row>
    <row r="255" spans="2:70" ht="12.75">
      <c r="B255" s="939">
        <v>22</v>
      </c>
      <c r="C255" s="940" t="s">
        <v>2490</v>
      </c>
      <c r="D255" s="941" t="s">
        <v>2490</v>
      </c>
      <c r="E255" s="928" t="s">
        <v>315</v>
      </c>
      <c r="F255" s="928" t="s">
        <v>2494</v>
      </c>
      <c r="G255" s="927" t="s">
        <v>2492</v>
      </c>
      <c r="H255" s="927" t="s">
        <v>675</v>
      </c>
      <c r="I255" s="942">
        <f>SUMIFS('GL911.Cty Me.FY24'!T:T,'GL911.Cty Me.FY24'!H:H,'A0.LS'!E255)</f>
        <v>226709250</v>
      </c>
      <c r="J255" s="942">
        <f>ROUND(SUMIFS('A5.FY24'!K:K,'A5.FY24'!E:E,'A0.LS'!E255,'A5.FY24'!L:L,"Finhay",'A5.FY24'!M:M,"Posted"),0)</f>
        <v>0</v>
      </c>
      <c r="K255" s="942">
        <f>ROUND(SUMIFS('A5.FY24'!K:K,'A5.FY24'!E:E,'A0.LS'!E255,'A5.FY24'!L:L,"EY",'A5.FY24'!M:M,"Posted"),0)</f>
        <v>0</v>
      </c>
      <c r="L255" s="943">
        <f t="shared" si="183"/>
        <v>226709250</v>
      </c>
      <c r="M255" s="930" t="s">
        <v>681</v>
      </c>
      <c r="N255" s="944">
        <v>4073810401</v>
      </c>
      <c r="O255" s="944">
        <v>0</v>
      </c>
      <c r="P255" s="944">
        <v>0</v>
      </c>
      <c r="Q255" s="945">
        <f t="shared" si="197"/>
        <v>4073810401</v>
      </c>
      <c r="R255" s="898"/>
      <c r="S255" s="848">
        <f t="shared" si="181"/>
        <v>-3847101151</v>
      </c>
      <c r="T255" s="946">
        <f t="shared" si="182"/>
        <v>-0.94434958240954225</v>
      </c>
      <c r="U255" s="850"/>
      <c r="V255" s="850" t="s">
        <v>2495</v>
      </c>
      <c r="W255" s="850"/>
      <c r="X255" s="947" t="s">
        <v>676</v>
      </c>
      <c r="Y255" s="947" t="s">
        <v>2464</v>
      </c>
      <c r="Z255" s="936">
        <f>ROUND(SUMIFS('GL911.CtyCon.FY24'!N:N,'GL911.CtyCon.FY24'!G:G,'A0.LS'!E255),0)</f>
        <v>0</v>
      </c>
      <c r="AA255" s="936">
        <f>ROUND(SUMIFS('A5.CTC FY24'!K:K,'A5.CTC FY24'!E:E,'A0.LS'!E255,'A5.CTC FY24'!A:A,'A0.LS'!$AA$5,'A5.CTC FY24'!L:L,"Finhay",'A5.CTC FY24'!M:M,"Posted"),0)</f>
        <v>0</v>
      </c>
      <c r="AB255" s="936">
        <f>ROUND(SUMIFS('A5.CTC FY24'!K:K,'A5.CTC FY24'!E:E,'A0.LS'!E255,'A5.CTC FY24'!A:A,'A0.LS'!$AB$5,'A5.CTC FY24'!L:L,"EY",'A5.CTC FY24'!M:M,"Posted"),0)</f>
        <v>0</v>
      </c>
      <c r="AC255" s="948">
        <f t="shared" si="184"/>
        <v>0</v>
      </c>
      <c r="AD255" s="930"/>
      <c r="AE255" s="936">
        <f>SUMIFS('GL911 VNSC FY24'!T:T,'GL911 VNSC FY24'!AG:AG,'A0.LS'!E255)</f>
        <v>549186448</v>
      </c>
      <c r="AF255" s="936">
        <f>SUMIFS('A5.CTC FY24'!K:K,'A5.CTC FY24'!E:E,'A0.LS'!E255,'A5.CTC FY24'!A:A,"VNSC",'A5.CTC FY24'!L:L,"VNSC",'A5.CTC FY24'!M:M,"Posted")</f>
        <v>0</v>
      </c>
      <c r="AG255" s="936">
        <f>ROUND(SUMIFS('A5.CTC FY24'!K:K,'A5.CTC FY24'!E:E,'A0.LS'!E255,'A5.CTC FY24'!A:A,"VNSC",'A5.CTC FY24'!L:L,"EY",'A5.CTC FY24'!M:M,"Posted"),0)</f>
        <v>0</v>
      </c>
      <c r="AH255" s="936">
        <f t="shared" si="185"/>
        <v>549186448</v>
      </c>
      <c r="AI255" s="930"/>
      <c r="AJ255" s="936">
        <f>ROUND(SUMIFS('GL911.KCG.FY24'!L:L,'GL911.KCG.FY24'!F:F,'A0.LS'!E255),0)</f>
        <v>0</v>
      </c>
      <c r="AK255" s="936">
        <f>ROUND(SUMIFS('A5.CTC FY24'!K:K,'A5.CTC FY24'!E:E,'A0.LS'!E255,'A5.CTC FY24'!A:A,'A0.LS'!$AK$5,'A5.CTC FY24'!L:L,"EY",'A5.CTC FY24'!M:M,"Posted"),0)</f>
        <v>0</v>
      </c>
      <c r="AL255" s="948">
        <f t="shared" si="186"/>
        <v>0</v>
      </c>
      <c r="AM255" s="930"/>
      <c r="AN255" s="949">
        <f t="shared" si="187"/>
        <v>549186448</v>
      </c>
      <c r="AO255" s="950">
        <f>ROUND(SUMIFS('A5.Consol FY24'!L:L,'A5.Consol FY24'!M:M,"EY",'A5.Consol FY24'!N:N,"Posted",'A5.Consol FY24'!B:B,'A0.LS'!$AO$5,'A5.Consol FY24'!F:F,'A0.LS'!E255),0)</f>
        <v>0</v>
      </c>
      <c r="AP255" s="949">
        <f t="shared" si="188"/>
        <v>549186448</v>
      </c>
      <c r="AQ255" s="930"/>
      <c r="AR255" s="936">
        <f>ROUND(SUMIFS('GL911.XH.FY24'!L:L,'GL911.XH.FY24'!F:F,'A0.LS'!E255),0)</f>
        <v>0</v>
      </c>
      <c r="AS255" s="936">
        <f>ROUND(SUMIFS('A5.CTC FY24'!K:K,'A5.CTC FY24'!E:E,'A0.LS'!E255,'A5.CTC FY24'!A:A,'A0.LS'!$AS$5,'A5.CTC FY24'!L:L,"EY",'A5.CTC FY24'!M:M,"Posted"),0)</f>
        <v>0</v>
      </c>
      <c r="AT255" s="948">
        <f t="shared" si="189"/>
        <v>0</v>
      </c>
      <c r="AU255" s="930"/>
      <c r="AV255" s="951">
        <f t="shared" si="190"/>
        <v>775895698</v>
      </c>
      <c r="AW255" s="952">
        <f>SUMIFS('A5.Consol FY24'!L:L,'A5.Consol FY24'!B:B,'A0.LS'!$AW$5,'A5.Consol FY24'!M:M,"EY",'A5.Consol FY24'!N:N,"Posted",'A5.Consol FY24'!F:F,'A0.LS'!E255)</f>
        <v>-169175000</v>
      </c>
      <c r="AX255" s="951">
        <f t="shared" si="191"/>
        <v>606720698</v>
      </c>
      <c r="AY255" s="920"/>
      <c r="AZ255" s="936">
        <f>SUMIFS('911.CTC.YE22'!U:U,'911.CTC.YE22'!R:R,'A0.LS'!E255)</f>
        <v>0</v>
      </c>
      <c r="BA255" s="936">
        <f>ROUND(SUMIFS('A5.YE22'!J:J,'A5.YE22'!K:K,'A0.LS'!$BA$5,'A5.YE22'!L:L,"Posted",'A5.YE22'!D:D,'A0.LS'!E255),0)</f>
        <v>0</v>
      </c>
      <c r="BB255" s="936">
        <f t="shared" si="192"/>
        <v>0</v>
      </c>
      <c r="BC255" s="937"/>
      <c r="BD255" s="936">
        <f>ROUND(SUMIFS('911.VNSC.YE22'!R:R,'911.VNSC.YE22'!L:L,'A0.LS'!E255),0)</f>
        <v>733603840</v>
      </c>
      <c r="BE255" s="936">
        <f>ROUND(SUMIFS('A5.YE22'!J:J,'A5.YE22'!K:K,'A0.LS'!$BE$5,'A5.YE22'!L:L,"Posted",'A5.YE22'!D:D,'A0.LS'!E255),0)</f>
        <v>0</v>
      </c>
      <c r="BF255" s="936">
        <f t="shared" si="193"/>
        <v>733603840</v>
      </c>
      <c r="BG255" s="937"/>
      <c r="BH255" s="936">
        <f>ROUND(SUMIFS('911.XH.YE22'!T:T,'911.XH.YE22'!P:P,'A0.LS'!E255),0)</f>
        <v>0</v>
      </c>
      <c r="BI255" s="936">
        <f>ROUND(SUMIFS('A5.YE22'!J:J,'A5.YE22'!K:K,"XH",'A5.YE22'!L:L,"Posted",'A5.YE22'!D:D,'A0.LS'!E255),0)</f>
        <v>0</v>
      </c>
      <c r="BJ255" s="936">
        <f t="shared" si="194"/>
        <v>0</v>
      </c>
      <c r="BK255" s="937"/>
      <c r="BL255" s="936">
        <f>ROUND(SUMIFS('911.KCG.YE22'!T:T,'911.KCG.YE22'!P:P,'A0.LS'!E255),0)</f>
        <v>0</v>
      </c>
      <c r="BM255" s="936">
        <f>ROUND(SUMIFS('A5.YE22'!J:J,'A5.YE22'!K:K,'A0.LS'!$BM$5,'A5.YE22'!L:L,"Posted",'A5.YE22'!D:D,'A0.LS'!E255),0)</f>
        <v>0</v>
      </c>
      <c r="BN255" s="936">
        <f t="shared" si="195"/>
        <v>0</v>
      </c>
      <c r="BO255" s="937"/>
      <c r="BP255" s="938">
        <v>4097940401</v>
      </c>
      <c r="BQ255" s="938">
        <f>ROUND(SUMIFS('A5.YE22'!J:J,'A5.YE22'!K:K,'A0.LS'!$BQ$5,'A5.YE22'!L:L,"Posted",'A5.YE22'!D:D,'A0.LS'!E255),0)</f>
        <v>0</v>
      </c>
      <c r="BR255" s="938">
        <f t="shared" si="196"/>
        <v>4097940401</v>
      </c>
    </row>
    <row r="256" spans="2:70" ht="12.75">
      <c r="B256" s="939">
        <v>22</v>
      </c>
      <c r="C256" s="940" t="s">
        <v>2490</v>
      </c>
      <c r="D256" s="941" t="s">
        <v>2490</v>
      </c>
      <c r="E256" s="928" t="s">
        <v>317</v>
      </c>
      <c r="F256" s="928" t="s">
        <v>2496</v>
      </c>
      <c r="G256" s="927" t="s">
        <v>2492</v>
      </c>
      <c r="H256" s="927" t="s">
        <v>675</v>
      </c>
      <c r="I256" s="942">
        <f>SUMIFS('GL911.Cty Me.FY24'!T:T,'GL911.Cty Me.FY24'!H:H,'A0.LS'!E256)</f>
        <v>2714535375</v>
      </c>
      <c r="J256" s="942">
        <f>ROUND(SUMIFS('A5.FY24'!K:K,'A5.FY24'!E:E,'A0.LS'!E256,'A5.FY24'!L:L,"Finhay",'A5.FY24'!M:M,"Posted"),0)</f>
        <v>0</v>
      </c>
      <c r="K256" s="942">
        <f>ROUND(SUMIFS('A5.FY24'!K:K,'A5.FY24'!E:E,'A0.LS'!E256,'A5.FY24'!L:L,"EY",'A5.FY24'!M:M,"Posted"),0)</f>
        <v>0</v>
      </c>
      <c r="L256" s="943">
        <f t="shared" si="183"/>
        <v>2714535375</v>
      </c>
      <c r="M256" s="930" t="s">
        <v>681</v>
      </c>
      <c r="N256" s="944">
        <v>22604164796</v>
      </c>
      <c r="O256" s="944">
        <v>0</v>
      </c>
      <c r="P256" s="944">
        <v>762815688</v>
      </c>
      <c r="Q256" s="945">
        <f t="shared" si="197"/>
        <v>23366980484</v>
      </c>
      <c r="R256" s="898"/>
      <c r="S256" s="848">
        <f t="shared" si="181"/>
        <v>-20652445109</v>
      </c>
      <c r="T256" s="946">
        <f t="shared" si="182"/>
        <v>-0.88383028877613368</v>
      </c>
      <c r="U256" s="850"/>
      <c r="V256" s="850" t="s">
        <v>2493</v>
      </c>
      <c r="W256" s="850"/>
      <c r="X256" s="947"/>
      <c r="Y256" s="947" t="s">
        <v>2464</v>
      </c>
      <c r="Z256" s="936">
        <f>ROUND(SUMIFS('GL911.CtyCon.FY24'!N:N,'GL911.CtyCon.FY24'!G:G,'A0.LS'!E256),0)</f>
        <v>0</v>
      </c>
      <c r="AA256" s="936">
        <f>ROUND(SUMIFS('A5.CTC FY24'!K:K,'A5.CTC FY24'!E:E,'A0.LS'!E256,'A5.CTC FY24'!A:A,'A0.LS'!$AA$5,'A5.CTC FY24'!L:L,"Finhay",'A5.CTC FY24'!M:M,"Posted"),0)</f>
        <v>0</v>
      </c>
      <c r="AB256" s="936">
        <f>ROUND(SUMIFS('A5.CTC FY24'!K:K,'A5.CTC FY24'!E:E,'A0.LS'!E256,'A5.CTC FY24'!A:A,'A0.LS'!$AB$5,'A5.CTC FY24'!L:L,"EY",'A5.CTC FY24'!M:M,"Posted"),0)</f>
        <v>0</v>
      </c>
      <c r="AC256" s="948">
        <f t="shared" si="184"/>
        <v>0</v>
      </c>
      <c r="AD256" s="930"/>
      <c r="AE256" s="936">
        <f>SUMIFS('GL911 VNSC FY24'!T:T,'GL911 VNSC FY24'!AG:AG,'A0.LS'!E256)</f>
        <v>0</v>
      </c>
      <c r="AF256" s="936">
        <f>SUMIFS('A5.CTC FY24'!K:K,'A5.CTC FY24'!E:E,'A0.LS'!E256,'A5.CTC FY24'!A:A,"VNSC",'A5.CTC FY24'!L:L,"VNSC",'A5.CTC FY24'!M:M,"Posted")</f>
        <v>0</v>
      </c>
      <c r="AG256" s="936">
        <f>ROUND(SUMIFS('A5.CTC FY24'!K:K,'A5.CTC FY24'!E:E,'A0.LS'!E256,'A5.CTC FY24'!A:A,"VNSC",'A5.CTC FY24'!L:L,"EY",'A5.CTC FY24'!M:M,"Posted"),0)</f>
        <v>0</v>
      </c>
      <c r="AH256" s="936">
        <f t="shared" si="185"/>
        <v>0</v>
      </c>
      <c r="AI256" s="930"/>
      <c r="AJ256" s="936">
        <f>ROUND(SUMIFS('GL911.KCG.FY24'!L:L,'GL911.KCG.FY24'!F:F,'A0.LS'!E256),0)</f>
        <v>0</v>
      </c>
      <c r="AK256" s="936">
        <f>ROUND(SUMIFS('A5.CTC FY24'!K:K,'A5.CTC FY24'!E:E,'A0.LS'!E256,'A5.CTC FY24'!A:A,'A0.LS'!$AK$5,'A5.CTC FY24'!L:L,"EY",'A5.CTC FY24'!M:M,"Posted"),0)</f>
        <v>0</v>
      </c>
      <c r="AL256" s="948">
        <f t="shared" si="186"/>
        <v>0</v>
      </c>
      <c r="AM256" s="930"/>
      <c r="AN256" s="949">
        <f t="shared" si="187"/>
        <v>0</v>
      </c>
      <c r="AO256" s="950">
        <f>ROUND(SUMIFS('A5.Consol FY24'!L:L,'A5.Consol FY24'!M:M,"EY",'A5.Consol FY24'!N:N,"Posted",'A5.Consol FY24'!B:B,'A0.LS'!$AO$5,'A5.Consol FY24'!F:F,'A0.LS'!E256),0)</f>
        <v>0</v>
      </c>
      <c r="AP256" s="949">
        <f t="shared" si="188"/>
        <v>0</v>
      </c>
      <c r="AQ256" s="930"/>
      <c r="AR256" s="936">
        <f>ROUND(SUMIFS('GL911.XH.FY24'!L:L,'GL911.XH.FY24'!F:F,'A0.LS'!E256),0)</f>
        <v>0</v>
      </c>
      <c r="AS256" s="936">
        <f>ROUND(SUMIFS('A5.CTC FY24'!K:K,'A5.CTC FY24'!E:E,'A0.LS'!E256,'A5.CTC FY24'!A:A,'A0.LS'!$AS$5,'A5.CTC FY24'!L:L,"EY",'A5.CTC FY24'!M:M,"Posted"),0)</f>
        <v>0</v>
      </c>
      <c r="AT256" s="948">
        <f t="shared" si="189"/>
        <v>0</v>
      </c>
      <c r="AU256" s="930"/>
      <c r="AV256" s="951">
        <f t="shared" si="190"/>
        <v>2714535375</v>
      </c>
      <c r="AW256" s="952">
        <f>SUMIFS('A5.Consol FY24'!L:L,'A5.Consol FY24'!B:B,'A0.LS'!$AW$5,'A5.Consol FY24'!M:M,"EY",'A5.Consol FY24'!N:N,"Posted",'A5.Consol FY24'!F:F,'A0.LS'!E256)</f>
        <v>0</v>
      </c>
      <c r="AX256" s="951">
        <f t="shared" si="191"/>
        <v>2714535375</v>
      </c>
      <c r="AY256" s="920"/>
      <c r="AZ256" s="936">
        <f>SUMIFS('911.CTC.YE22'!U:U,'911.CTC.YE22'!R:R,'A0.LS'!E256)</f>
        <v>0</v>
      </c>
      <c r="BA256" s="936">
        <f>ROUND(SUMIFS('A5.YE22'!J:J,'A5.YE22'!K:K,'A0.LS'!$BA$5,'A5.YE22'!L:L,"Posted",'A5.YE22'!D:D,'A0.LS'!E256),0)</f>
        <v>0</v>
      </c>
      <c r="BB256" s="936">
        <f t="shared" si="192"/>
        <v>0</v>
      </c>
      <c r="BC256" s="937"/>
      <c r="BD256" s="936">
        <f>ROUND(SUMIFS('911.VNSC.YE22'!R:R,'911.VNSC.YE22'!L:L,'A0.LS'!E256),0)</f>
        <v>0</v>
      </c>
      <c r="BE256" s="936">
        <f>ROUND(SUMIFS('A5.YE22'!J:J,'A5.YE22'!K:K,'A0.LS'!$BE$5,'A5.YE22'!L:L,"Posted",'A5.YE22'!D:D,'A0.LS'!E256),0)</f>
        <v>0</v>
      </c>
      <c r="BF256" s="936">
        <f t="shared" si="193"/>
        <v>0</v>
      </c>
      <c r="BG256" s="937"/>
      <c r="BH256" s="936">
        <f>ROUND(SUMIFS('911.XH.YE22'!T:T,'911.XH.YE22'!P:P,'A0.LS'!E256),0)</f>
        <v>0</v>
      </c>
      <c r="BI256" s="936">
        <f>ROUND(SUMIFS('A5.YE22'!J:J,'A5.YE22'!K:K,"XH",'A5.YE22'!L:L,"Posted",'A5.YE22'!D:D,'A0.LS'!E256),0)</f>
        <v>0</v>
      </c>
      <c r="BJ256" s="936">
        <f t="shared" si="194"/>
        <v>0</v>
      </c>
      <c r="BK256" s="937"/>
      <c r="BL256" s="936">
        <f>ROUND(SUMIFS('911.KCG.YE22'!T:T,'911.KCG.YE22'!P:P,'A0.LS'!E256),0)</f>
        <v>0</v>
      </c>
      <c r="BM256" s="936">
        <f>ROUND(SUMIFS('A5.YE22'!J:J,'A5.YE22'!K:K,'A0.LS'!$BM$5,'A5.YE22'!L:L,"Posted",'A5.YE22'!D:D,'A0.LS'!E256),0)</f>
        <v>0</v>
      </c>
      <c r="BN256" s="936">
        <f t="shared" si="195"/>
        <v>0</v>
      </c>
      <c r="BO256" s="937"/>
      <c r="BP256" s="938">
        <v>23525645484</v>
      </c>
      <c r="BQ256" s="938">
        <f>ROUND(SUMIFS('A5.YE22'!J:J,'A5.YE22'!K:K,'A0.LS'!$BQ$5,'A5.YE22'!L:L,"Posted",'A5.YE22'!D:D,'A0.LS'!E256),0)</f>
        <v>0</v>
      </c>
      <c r="BR256" s="938">
        <f t="shared" si="196"/>
        <v>23525645484</v>
      </c>
    </row>
    <row r="257" spans="2:70" ht="12.75">
      <c r="B257" s="939">
        <v>22</v>
      </c>
      <c r="C257" s="940" t="s">
        <v>2490</v>
      </c>
      <c r="D257" s="941" t="s">
        <v>2490</v>
      </c>
      <c r="E257" s="954" t="s">
        <v>747</v>
      </c>
      <c r="F257" s="928" t="s">
        <v>2497</v>
      </c>
      <c r="G257" s="927" t="s">
        <v>2492</v>
      </c>
      <c r="H257" s="927" t="s">
        <v>675</v>
      </c>
      <c r="I257" s="942">
        <f>SUMIFS('GL911.Cty Me.FY24'!T:T,'GL911.Cty Me.FY24'!H:H,'A0.LS'!E257)</f>
        <v>15797144</v>
      </c>
      <c r="J257" s="942">
        <f>ROUND(SUMIFS('A5.FY24'!K:K,'A5.FY24'!E:E,'A0.LS'!E257,'A5.FY24'!L:L,"Finhay",'A5.FY24'!M:M,"Posted"),0)</f>
        <v>0</v>
      </c>
      <c r="K257" s="942">
        <f>ROUND(SUMIFS('A5.FY24'!K:K,'A5.FY24'!E:E,'A0.LS'!E257,'A5.FY24'!L:L,"EY",'A5.FY24'!M:M,"Posted"),0)</f>
        <v>0</v>
      </c>
      <c r="L257" s="943">
        <f t="shared" ref="L257" si="198">ROUND(SUM(I257:K257),0)</f>
        <v>15797144</v>
      </c>
      <c r="M257" s="930" t="s">
        <v>681</v>
      </c>
      <c r="N257" s="944">
        <v>0</v>
      </c>
      <c r="O257" s="944">
        <v>0</v>
      </c>
      <c r="P257" s="944">
        <v>0</v>
      </c>
      <c r="Q257" s="945">
        <f t="shared" si="197"/>
        <v>0</v>
      </c>
      <c r="R257" s="898"/>
      <c r="S257" s="848">
        <f t="shared" ref="S257" si="199">L257-Q257</f>
        <v>15797144</v>
      </c>
      <c r="T257" s="946" t="str">
        <f t="shared" ref="T257" si="200">IFERROR(S257/Q257,"To check")</f>
        <v>To check</v>
      </c>
      <c r="U257" s="850"/>
      <c r="V257" s="850" t="s">
        <v>2493</v>
      </c>
      <c r="W257" s="850"/>
      <c r="X257" s="947"/>
      <c r="Y257" s="947" t="s">
        <v>2464</v>
      </c>
      <c r="Z257" s="936">
        <f>ROUND(SUMIFS('GL911.CtyCon.FY24'!N:N,'GL911.CtyCon.FY24'!G:G,'A0.LS'!E257),0)</f>
        <v>0</v>
      </c>
      <c r="AA257" s="936">
        <f>ROUND(SUMIFS('A5.CTC FY24'!K:K,'A5.CTC FY24'!E:E,'A0.LS'!E257,'A5.CTC FY24'!A:A,'A0.LS'!$AA$5,'A5.CTC FY24'!L:L,"Finhay",'A5.CTC FY24'!M:M,"Posted"),0)</f>
        <v>0</v>
      </c>
      <c r="AB257" s="936">
        <f>ROUND(SUMIFS('A5.CTC FY24'!K:K,'A5.CTC FY24'!E:E,'A0.LS'!E257,'A5.CTC FY24'!A:A,'A0.LS'!$AB$5,'A5.CTC FY24'!L:L,"EY",'A5.CTC FY24'!M:M,"Posted"),0)</f>
        <v>0</v>
      </c>
      <c r="AC257" s="948">
        <f t="shared" ref="AC257" si="201">ROUND(SUM(Z257:AB257),0)</f>
        <v>0</v>
      </c>
      <c r="AD257" s="930"/>
      <c r="AE257" s="936">
        <f>SUMIFS('GL911 VNSC FY24'!T:T,'GL911 VNSC FY24'!AG:AG,'A0.LS'!E257)</f>
        <v>0</v>
      </c>
      <c r="AF257" s="936">
        <f>SUMIFS('A5.CTC FY24'!K:K,'A5.CTC FY24'!E:E,'A0.LS'!E257,'A5.CTC FY24'!A:A,"VNSC",'A5.CTC FY24'!L:L,"VNSC",'A5.CTC FY24'!M:M,"Posted")</f>
        <v>0</v>
      </c>
      <c r="AG257" s="936">
        <f>ROUND(SUMIFS('A5.CTC FY24'!K:K,'A5.CTC FY24'!E:E,'A0.LS'!E257,'A5.CTC FY24'!A:A,"VNSC",'A5.CTC FY24'!L:L,"EY",'A5.CTC FY24'!M:M,"Posted"),0)</f>
        <v>0</v>
      </c>
      <c r="AH257" s="936">
        <f t="shared" ref="AH257" si="202">ROUND(SUM(AE257:AG257),0)</f>
        <v>0</v>
      </c>
      <c r="AI257" s="930"/>
      <c r="AJ257" s="936">
        <f>ROUND(SUMIFS('GL911.KCG.FY24'!L:L,'GL911.KCG.FY24'!F:F,'A0.LS'!E257),0)</f>
        <v>0</v>
      </c>
      <c r="AK257" s="936">
        <f>ROUND(SUMIFS('A5.CTC FY24'!K:K,'A5.CTC FY24'!E:E,'A0.LS'!E257,'A5.CTC FY24'!A:A,'A0.LS'!$AK$5,'A5.CTC FY24'!L:L,"EY",'A5.CTC FY24'!M:M,"Posted"),0)</f>
        <v>0</v>
      </c>
      <c r="AL257" s="948">
        <f t="shared" ref="AL257" si="203">ROUND(SUM(AJ257:AK257),0)</f>
        <v>0</v>
      </c>
      <c r="AM257" s="930"/>
      <c r="AN257" s="949">
        <f t="shared" ref="AN257" si="204">ROUND(SUM(AT257,AH257,AC257),0)</f>
        <v>0</v>
      </c>
      <c r="AO257" s="950">
        <f>ROUND(SUMIFS('A5.Consol FY24'!L:L,'A5.Consol FY24'!M:M,"EY",'A5.Consol FY24'!N:N,"Posted",'A5.Consol FY24'!B:B,'A0.LS'!$AO$5,'A5.Consol FY24'!F:F,'A0.LS'!E257),0)</f>
        <v>0</v>
      </c>
      <c r="AP257" s="949">
        <f t="shared" ref="AP257" si="205">ROUND(SUM(AN257:AO257),0)</f>
        <v>0</v>
      </c>
      <c r="AQ257" s="930"/>
      <c r="AR257" s="936">
        <f>ROUND(SUMIFS('GL911.XH.FY24'!L:L,'GL911.XH.FY24'!F:F,'A0.LS'!E257),0)</f>
        <v>0</v>
      </c>
      <c r="AS257" s="936">
        <f>ROUND(SUMIFS('A5.CTC FY24'!K:K,'A5.CTC FY24'!E:E,'A0.LS'!E257,'A5.CTC FY24'!A:A,'A0.LS'!$AS$5,'A5.CTC FY24'!L:L,"EY",'A5.CTC FY24'!M:M,"Posted"),0)</f>
        <v>0</v>
      </c>
      <c r="AT257" s="948">
        <f t="shared" ref="AT257" si="206">ROUND(SUM(AR257:AS257),0)</f>
        <v>0</v>
      </c>
      <c r="AU257" s="930"/>
      <c r="AV257" s="951">
        <f t="shared" ref="AV257" si="207">ROUND(SUM(AP257,AL257,L257),0)</f>
        <v>15797144</v>
      </c>
      <c r="AW257" s="952">
        <f>SUMIFS('A5.Consol FY24'!L:L,'A5.Consol FY24'!B:B,'A0.LS'!$AW$5,'A5.Consol FY24'!M:M,"EY",'A5.Consol FY24'!N:N,"Posted",'A5.Consol FY24'!F:F,'A0.LS'!E257)</f>
        <v>0</v>
      </c>
      <c r="AX257" s="951">
        <f t="shared" ref="AX257" si="208">ROUND(SUM(AV257:AW257),0)</f>
        <v>15797144</v>
      </c>
      <c r="AY257" s="920"/>
      <c r="AZ257" s="936">
        <f>SUMIFS('911.CTC.YE22'!U:U,'911.CTC.YE22'!R:R,'A0.LS'!E257)</f>
        <v>0</v>
      </c>
      <c r="BA257" s="936">
        <f>ROUND(SUMIFS('A5.YE22'!J:J,'A5.YE22'!K:K,'A0.LS'!$BA$5,'A5.YE22'!L:L,"Posted",'A5.YE22'!D:D,'A0.LS'!E257),0)</f>
        <v>0</v>
      </c>
      <c r="BB257" s="936">
        <f t="shared" ref="BB257" si="209">ROUND(SUM(AZ257:BA257),0)</f>
        <v>0</v>
      </c>
      <c r="BC257" s="937"/>
      <c r="BD257" s="936">
        <f>ROUND(SUMIFS('911.VNSC.YE22'!R:R,'911.VNSC.YE22'!L:L,'A0.LS'!E257),0)</f>
        <v>0</v>
      </c>
      <c r="BE257" s="936">
        <f>ROUND(SUMIFS('A5.YE22'!J:J,'A5.YE22'!K:K,'A0.LS'!$BE$5,'A5.YE22'!L:L,"Posted",'A5.YE22'!D:D,'A0.LS'!E257),0)</f>
        <v>0</v>
      </c>
      <c r="BF257" s="936">
        <f t="shared" ref="BF257" si="210">ROUND(SUM(BD257:BE257),0)</f>
        <v>0</v>
      </c>
      <c r="BG257" s="937"/>
      <c r="BH257" s="936">
        <f>ROUND(SUMIFS('911.XH.YE22'!T:T,'911.XH.YE22'!P:P,'A0.LS'!E257),0)</f>
        <v>0</v>
      </c>
      <c r="BI257" s="936">
        <f>ROUND(SUMIFS('A5.YE22'!J:J,'A5.YE22'!K:K,"XH",'A5.YE22'!L:L,"Posted",'A5.YE22'!D:D,'A0.LS'!E257),0)</f>
        <v>0</v>
      </c>
      <c r="BJ257" s="936">
        <f t="shared" ref="BJ257" si="211">ROUND(SUM(BH257:BI257),0)</f>
        <v>0</v>
      </c>
      <c r="BK257" s="937"/>
      <c r="BL257" s="936">
        <f>ROUND(SUMIFS('911.KCG.YE22'!T:T,'911.KCG.YE22'!P:P,'A0.LS'!E257),0)</f>
        <v>0</v>
      </c>
      <c r="BM257" s="936">
        <f>ROUND(SUMIFS('A5.YE22'!J:J,'A5.YE22'!K:K,'A0.LS'!$BM$5,'A5.YE22'!L:L,"Posted",'A5.YE22'!D:D,'A0.LS'!E257),0)</f>
        <v>0</v>
      </c>
      <c r="BN257" s="936">
        <f t="shared" ref="BN257" si="212">ROUND(SUM(BL257:BM257),0)</f>
        <v>0</v>
      </c>
      <c r="BO257" s="937"/>
      <c r="BP257" s="938">
        <v>0</v>
      </c>
      <c r="BQ257" s="938">
        <f>ROUND(SUMIFS('A5.YE22'!J:J,'A5.YE22'!K:K,'A0.LS'!$BQ$5,'A5.YE22'!L:L,"Posted",'A5.YE22'!D:D,'A0.LS'!E257),0)</f>
        <v>0</v>
      </c>
      <c r="BR257" s="938">
        <f t="shared" ref="BR257" si="213">ROUND(SUM(BP257:BQ257),0)</f>
        <v>0</v>
      </c>
    </row>
    <row r="258" spans="2:70" ht="12.75">
      <c r="B258" s="939">
        <v>22</v>
      </c>
      <c r="C258" s="940" t="s">
        <v>2498</v>
      </c>
      <c r="D258" s="941" t="s">
        <v>2498</v>
      </c>
      <c r="E258" s="928" t="s">
        <v>2499</v>
      </c>
      <c r="F258" s="928" t="s">
        <v>2500</v>
      </c>
      <c r="G258" s="927" t="s">
        <v>2487</v>
      </c>
      <c r="H258" s="927" t="s">
        <v>2265</v>
      </c>
      <c r="I258" s="942">
        <f>SUMIFS('GL911.Cty Me.FY24'!T:T,'GL911.Cty Me.FY24'!H:H,'A0.LS'!E258)</f>
        <v>0</v>
      </c>
      <c r="J258" s="942">
        <f>ROUND(SUMIFS('A5.FY24'!K:K,'A5.FY24'!E:E,'A0.LS'!E258,'A5.FY24'!L:L,"Finhay",'A5.FY24'!M:M,"Posted"),0)</f>
        <v>0</v>
      </c>
      <c r="K258" s="942">
        <f>ROUND(SUMIFS('A5.FY24'!K:K,'A5.FY24'!E:E,'A0.LS'!E258,'A5.FY24'!L:L,"EY",'A5.FY24'!M:M,"Posted"),0)</f>
        <v>0</v>
      </c>
      <c r="L258" s="943">
        <f t="shared" si="183"/>
        <v>0</v>
      </c>
      <c r="M258" s="930"/>
      <c r="N258" s="944">
        <v>0</v>
      </c>
      <c r="O258" s="944">
        <v>0</v>
      </c>
      <c r="P258" s="944">
        <v>0</v>
      </c>
      <c r="Q258" s="945">
        <f t="shared" si="197"/>
        <v>0</v>
      </c>
      <c r="R258" s="898"/>
      <c r="S258" s="848">
        <f t="shared" si="181"/>
        <v>0</v>
      </c>
      <c r="T258" s="946" t="str">
        <f t="shared" si="182"/>
        <v>To check</v>
      </c>
      <c r="U258" s="850"/>
      <c r="V258" s="850" t="e">
        <v>#N/A</v>
      </c>
      <c r="W258" s="850"/>
      <c r="X258" s="947"/>
      <c r="Y258" s="947" t="s">
        <v>2464</v>
      </c>
      <c r="Z258" s="936">
        <f>ROUND(SUMIFS('GL911.CtyCon.FY24'!N:N,'GL911.CtyCon.FY24'!G:G,'A0.LS'!E258),0)</f>
        <v>0</v>
      </c>
      <c r="AA258" s="936">
        <f>ROUND(SUMIFS('A5.CTC FY24'!K:K,'A5.CTC FY24'!E:E,'A0.LS'!E258,'A5.CTC FY24'!A:A,'A0.LS'!$AA$5,'A5.CTC FY24'!L:L,"Finhay",'A5.CTC FY24'!M:M,"Posted"),0)</f>
        <v>0</v>
      </c>
      <c r="AB258" s="936">
        <f>ROUND(SUMIFS('A5.CTC FY24'!K:K,'A5.CTC FY24'!E:E,'A0.LS'!E258,'A5.CTC FY24'!A:A,'A0.LS'!$AB$5,'A5.CTC FY24'!L:L,"EY",'A5.CTC FY24'!M:M,"Posted"),0)</f>
        <v>0</v>
      </c>
      <c r="AC258" s="948">
        <f t="shared" si="184"/>
        <v>0</v>
      </c>
      <c r="AD258" s="930"/>
      <c r="AE258" s="936">
        <f>SUMIFS('GL911 VNSC FY24'!T:T,'GL911 VNSC FY24'!AG:AG,'A0.LS'!E258)</f>
        <v>0</v>
      </c>
      <c r="AF258" s="936">
        <f>SUMIFS('A5.CTC FY24'!K:K,'A5.CTC FY24'!E:E,'A0.LS'!E258,'A5.CTC FY24'!A:A,"VNSC",'A5.CTC FY24'!L:L,"VNSC",'A5.CTC FY24'!M:M,"Posted")</f>
        <v>0</v>
      </c>
      <c r="AG258" s="936">
        <f>ROUND(SUMIFS('A5.CTC FY24'!K:K,'A5.CTC FY24'!E:E,'A0.LS'!E258,'A5.CTC FY24'!A:A,"VNSC",'A5.CTC FY24'!L:L,"EY",'A5.CTC FY24'!M:M,"Posted"),0)</f>
        <v>0</v>
      </c>
      <c r="AH258" s="936">
        <f t="shared" si="185"/>
        <v>0</v>
      </c>
      <c r="AI258" s="930"/>
      <c r="AJ258" s="936">
        <f>ROUND(SUMIFS('GL911.KCG.FY24'!L:L,'GL911.KCG.FY24'!F:F,'A0.LS'!E258),0)</f>
        <v>0</v>
      </c>
      <c r="AK258" s="936">
        <f>ROUND(SUMIFS('A5.CTC FY24'!K:K,'A5.CTC FY24'!E:E,'A0.LS'!E258,'A5.CTC FY24'!A:A,'A0.LS'!$AK$5,'A5.CTC FY24'!L:L,"EY",'A5.CTC FY24'!M:M,"Posted"),0)</f>
        <v>0</v>
      </c>
      <c r="AL258" s="948">
        <f t="shared" si="186"/>
        <v>0</v>
      </c>
      <c r="AM258" s="930"/>
      <c r="AN258" s="949">
        <f t="shared" si="187"/>
        <v>0</v>
      </c>
      <c r="AO258" s="950">
        <f>ROUND(SUMIFS('A5.Consol FY24'!L:L,'A5.Consol FY24'!M:M,"EY",'A5.Consol FY24'!N:N,"Posted",'A5.Consol FY24'!B:B,'A0.LS'!$AO$5,'A5.Consol FY24'!F:F,'A0.LS'!E258),0)</f>
        <v>0</v>
      </c>
      <c r="AP258" s="949">
        <f t="shared" si="188"/>
        <v>0</v>
      </c>
      <c r="AQ258" s="930"/>
      <c r="AR258" s="936">
        <f>ROUND(SUMIFS('GL911.XH.FY24'!L:L,'GL911.XH.FY24'!F:F,'A0.LS'!E258),0)</f>
        <v>0</v>
      </c>
      <c r="AS258" s="936">
        <f>ROUND(SUMIFS('A5.CTC FY24'!K:K,'A5.CTC FY24'!E:E,'A0.LS'!E258,'A5.CTC FY24'!A:A,'A0.LS'!$AS$5,'A5.CTC FY24'!L:L,"EY",'A5.CTC FY24'!M:M,"Posted"),0)</f>
        <v>0</v>
      </c>
      <c r="AT258" s="948">
        <f t="shared" si="189"/>
        <v>0</v>
      </c>
      <c r="AU258" s="930"/>
      <c r="AV258" s="951">
        <f t="shared" si="190"/>
        <v>0</v>
      </c>
      <c r="AW258" s="952">
        <f>SUMIFS('A5.Consol FY24'!L:L,'A5.Consol FY24'!B:B,'A0.LS'!$AW$5,'A5.Consol FY24'!M:M,"EY",'A5.Consol FY24'!N:N,"Posted",'A5.Consol FY24'!F:F,'A0.LS'!E258)</f>
        <v>0</v>
      </c>
      <c r="AX258" s="951">
        <f t="shared" si="191"/>
        <v>0</v>
      </c>
      <c r="AY258" s="920"/>
      <c r="AZ258" s="936">
        <f>SUMIFS('911.CTC.YE22'!U:U,'911.CTC.YE22'!R:R,'A0.LS'!E258)</f>
        <v>0</v>
      </c>
      <c r="BA258" s="936">
        <f>ROUND(SUMIFS('A5.YE22'!J:J,'A5.YE22'!K:K,'A0.LS'!$BA$5,'A5.YE22'!L:L,"Posted",'A5.YE22'!D:D,'A0.LS'!E258),0)</f>
        <v>0</v>
      </c>
      <c r="BB258" s="936">
        <f t="shared" si="192"/>
        <v>0</v>
      </c>
      <c r="BC258" s="937"/>
      <c r="BD258" s="936">
        <f>ROUND(SUMIFS('911.VNSC.YE22'!R:R,'911.VNSC.YE22'!L:L,'A0.LS'!E258),0)</f>
        <v>0</v>
      </c>
      <c r="BE258" s="936">
        <f>ROUND(SUMIFS('A5.YE22'!J:J,'A5.YE22'!K:K,'A0.LS'!$BE$5,'A5.YE22'!L:L,"Posted",'A5.YE22'!D:D,'A0.LS'!E258),0)</f>
        <v>0</v>
      </c>
      <c r="BF258" s="936">
        <f t="shared" si="193"/>
        <v>0</v>
      </c>
      <c r="BG258" s="937"/>
      <c r="BH258" s="936">
        <f>ROUND(SUMIFS('911.XH.YE22'!T:T,'911.XH.YE22'!P:P,'A0.LS'!E258),0)</f>
        <v>0</v>
      </c>
      <c r="BI258" s="936">
        <f>ROUND(SUMIFS('A5.YE22'!J:J,'A5.YE22'!K:K,"XH",'A5.YE22'!L:L,"Posted",'A5.YE22'!D:D,'A0.LS'!E258),0)</f>
        <v>0</v>
      </c>
      <c r="BJ258" s="936">
        <f t="shared" si="194"/>
        <v>0</v>
      </c>
      <c r="BK258" s="937"/>
      <c r="BL258" s="936">
        <f>ROUND(SUMIFS('911.KCG.YE22'!T:T,'911.KCG.YE22'!P:P,'A0.LS'!E258),0)</f>
        <v>0</v>
      </c>
      <c r="BM258" s="936">
        <f>ROUND(SUMIFS('A5.YE22'!J:J,'A5.YE22'!K:K,'A0.LS'!$BM$5,'A5.YE22'!L:L,"Posted",'A5.YE22'!D:D,'A0.LS'!E258),0)</f>
        <v>0</v>
      </c>
      <c r="BN258" s="936">
        <f t="shared" si="195"/>
        <v>0</v>
      </c>
      <c r="BO258" s="937"/>
      <c r="BP258" s="938">
        <v>0</v>
      </c>
      <c r="BQ258" s="938">
        <f>ROUND(SUMIFS('A5.YE22'!J:J,'A5.YE22'!K:K,'A0.LS'!$BQ$5,'A5.YE22'!L:L,"Posted",'A5.YE22'!D:D,'A0.LS'!E258),0)</f>
        <v>0</v>
      </c>
      <c r="BR258" s="938">
        <f t="shared" si="196"/>
        <v>0</v>
      </c>
    </row>
    <row r="259" spans="2:70" ht="12.75">
      <c r="B259" s="939">
        <v>22</v>
      </c>
      <c r="C259" s="968" t="s">
        <v>2485</v>
      </c>
      <c r="D259" s="941" t="s">
        <v>2485</v>
      </c>
      <c r="E259" s="928" t="s">
        <v>319</v>
      </c>
      <c r="F259" s="928" t="s">
        <v>2501</v>
      </c>
      <c r="G259" s="927" t="s">
        <v>2492</v>
      </c>
      <c r="H259" s="927" t="s">
        <v>675</v>
      </c>
      <c r="I259" s="942">
        <f>SUMIFS('GL911.Cty Me.FY24'!T:T,'GL911.Cty Me.FY24'!H:H,'A0.LS'!E259)</f>
        <v>-56888841</v>
      </c>
      <c r="J259" s="942">
        <f>ROUND(SUMIFS('A5.FY24'!K:K,'A5.FY24'!E:E,'A0.LS'!E259,'A5.FY24'!L:L,"Finhay",'A5.FY24'!M:M,"Posted"),0)</f>
        <v>0</v>
      </c>
      <c r="K259" s="942">
        <f>ROUND(SUMIFS('A5.FY24'!K:K,'A5.FY24'!E:E,'A0.LS'!E259,'A5.FY24'!L:L,"EY",'A5.FY24'!M:M,"Posted"),0)</f>
        <v>0</v>
      </c>
      <c r="L259" s="943">
        <f t="shared" si="183"/>
        <v>-56888841</v>
      </c>
      <c r="M259" s="930"/>
      <c r="N259" s="944">
        <v>393000273</v>
      </c>
      <c r="O259" s="944">
        <v>0</v>
      </c>
      <c r="P259" s="944">
        <v>0</v>
      </c>
      <c r="Q259" s="945">
        <f t="shared" si="197"/>
        <v>393000273</v>
      </c>
      <c r="R259" s="898"/>
      <c r="S259" s="848">
        <f t="shared" si="181"/>
        <v>-449889114</v>
      </c>
      <c r="T259" s="946">
        <f t="shared" si="182"/>
        <v>-1.1447552200555342</v>
      </c>
      <c r="U259" s="850"/>
      <c r="V259" s="850" t="s">
        <v>2502</v>
      </c>
      <c r="W259" s="850"/>
      <c r="X259" s="947" t="s">
        <v>676</v>
      </c>
      <c r="Y259" s="947" t="s">
        <v>2464</v>
      </c>
      <c r="Z259" s="936">
        <f>ROUND(SUMIFS('GL911.CtyCon.FY24'!N:N,'GL911.CtyCon.FY24'!G:G,'A0.LS'!E259),0)</f>
        <v>0</v>
      </c>
      <c r="AA259" s="936">
        <f>ROUND(SUMIFS('A5.CTC FY24'!K:K,'A5.CTC FY24'!E:E,'A0.LS'!E259,'A5.CTC FY24'!A:A,'A0.LS'!$AA$5,'A5.CTC FY24'!L:L,"Finhay",'A5.CTC FY24'!M:M,"Posted"),0)</f>
        <v>0</v>
      </c>
      <c r="AB259" s="936">
        <f>ROUND(SUMIFS('A5.CTC FY24'!K:K,'A5.CTC FY24'!E:E,'A0.LS'!E259,'A5.CTC FY24'!A:A,'A0.LS'!$AB$5,'A5.CTC FY24'!L:L,"EY",'A5.CTC FY24'!M:M,"Posted"),0)</f>
        <v>0</v>
      </c>
      <c r="AC259" s="948">
        <f t="shared" si="184"/>
        <v>0</v>
      </c>
      <c r="AD259" s="930"/>
      <c r="AE259" s="936">
        <f>SUMIFS('GL911 VNSC FY24'!T:T,'GL911 VNSC FY24'!AG:AG,'A0.LS'!E259)</f>
        <v>0</v>
      </c>
      <c r="AF259" s="936">
        <f>SUMIFS('A5.CTC FY24'!K:K,'A5.CTC FY24'!E:E,'A0.LS'!E259,'A5.CTC FY24'!A:A,"VNSC",'A5.CTC FY24'!L:L,"VNSC",'A5.CTC FY24'!M:M,"Posted")</f>
        <v>0</v>
      </c>
      <c r="AG259" s="936">
        <f>ROUND(SUMIFS('A5.CTC FY24'!K:K,'A5.CTC FY24'!E:E,'A0.LS'!E259,'A5.CTC FY24'!A:A,"VNSC",'A5.CTC FY24'!L:L,"EY",'A5.CTC FY24'!M:M,"Posted"),0)</f>
        <v>0</v>
      </c>
      <c r="AH259" s="936">
        <f t="shared" si="185"/>
        <v>0</v>
      </c>
      <c r="AI259" s="930"/>
      <c r="AJ259" s="936">
        <f>ROUND(SUMIFS('GL911.KCG.FY24'!L:L,'GL911.KCG.FY24'!F:F,'A0.LS'!E259),0)</f>
        <v>0</v>
      </c>
      <c r="AK259" s="936">
        <f>ROUND(SUMIFS('A5.CTC FY24'!K:K,'A5.CTC FY24'!E:E,'A0.LS'!E259,'A5.CTC FY24'!A:A,'A0.LS'!$AK$5,'A5.CTC FY24'!L:L,"EY",'A5.CTC FY24'!M:M,"Posted"),0)</f>
        <v>0</v>
      </c>
      <c r="AL259" s="948">
        <f t="shared" si="186"/>
        <v>0</v>
      </c>
      <c r="AM259" s="930"/>
      <c r="AN259" s="949">
        <f t="shared" si="187"/>
        <v>0</v>
      </c>
      <c r="AO259" s="950">
        <f>ROUND(SUMIFS('A5.Consol FY24'!L:L,'A5.Consol FY24'!M:M,"EY",'A5.Consol FY24'!N:N,"Posted",'A5.Consol FY24'!B:B,'A0.LS'!$AO$5,'A5.Consol FY24'!F:F,'A0.LS'!E259),0)</f>
        <v>0</v>
      </c>
      <c r="AP259" s="949">
        <f t="shared" si="188"/>
        <v>0</v>
      </c>
      <c r="AQ259" s="930"/>
      <c r="AR259" s="936">
        <f>ROUND(SUMIFS('GL911.XH.FY24'!L:L,'GL911.XH.FY24'!F:F,'A0.LS'!E259),0)</f>
        <v>0</v>
      </c>
      <c r="AS259" s="936">
        <f>ROUND(SUMIFS('A5.CTC FY24'!K:K,'A5.CTC FY24'!E:E,'A0.LS'!E259,'A5.CTC FY24'!A:A,'A0.LS'!$AS$5,'A5.CTC FY24'!L:L,"EY",'A5.CTC FY24'!M:M,"Posted"),0)</f>
        <v>0</v>
      </c>
      <c r="AT259" s="948">
        <f t="shared" si="189"/>
        <v>0</v>
      </c>
      <c r="AU259" s="930"/>
      <c r="AV259" s="951">
        <f t="shared" si="190"/>
        <v>-56888841</v>
      </c>
      <c r="AW259" s="952">
        <f>SUMIFS('A5.Consol FY24'!L:L,'A5.Consol FY24'!B:B,'A0.LS'!$AW$5,'A5.Consol FY24'!M:M,"EY",'A5.Consol FY24'!N:N,"Posted",'A5.Consol FY24'!F:F,'A0.LS'!E259)</f>
        <v>0</v>
      </c>
      <c r="AX259" s="951">
        <f t="shared" si="191"/>
        <v>-56888841</v>
      </c>
      <c r="AY259" s="920"/>
      <c r="AZ259" s="936">
        <f>SUMIFS('911.CTC.YE22'!U:U,'911.CTC.YE22'!R:R,'A0.LS'!E259)</f>
        <v>0</v>
      </c>
      <c r="BA259" s="936">
        <f>ROUND(SUMIFS('A5.YE22'!J:J,'A5.YE22'!K:K,'A0.LS'!$BA$5,'A5.YE22'!L:L,"Posted",'A5.YE22'!D:D,'A0.LS'!E259),0)</f>
        <v>0</v>
      </c>
      <c r="BB259" s="936">
        <f t="shared" si="192"/>
        <v>0</v>
      </c>
      <c r="BC259" s="937"/>
      <c r="BD259" s="936">
        <f>ROUND(SUMIFS('911.VNSC.YE22'!R:R,'911.VNSC.YE22'!L:L,'A0.LS'!E259),0)</f>
        <v>0</v>
      </c>
      <c r="BE259" s="936">
        <f>ROUND(SUMIFS('A5.YE22'!J:J,'A5.YE22'!K:K,'A0.LS'!$BE$5,'A5.YE22'!L:L,"Posted",'A5.YE22'!D:D,'A0.LS'!E259),0)</f>
        <v>0</v>
      </c>
      <c r="BF259" s="936">
        <f t="shared" si="193"/>
        <v>0</v>
      </c>
      <c r="BG259" s="937"/>
      <c r="BH259" s="936">
        <f>ROUND(SUMIFS('911.XH.YE22'!T:T,'911.XH.YE22'!P:P,'A0.LS'!E259),0)</f>
        <v>0</v>
      </c>
      <c r="BI259" s="936">
        <f>ROUND(SUMIFS('A5.YE22'!J:J,'A5.YE22'!K:K,"XH",'A5.YE22'!L:L,"Posted",'A5.YE22'!D:D,'A0.LS'!E259),0)</f>
        <v>0</v>
      </c>
      <c r="BJ259" s="936">
        <f t="shared" si="194"/>
        <v>0</v>
      </c>
      <c r="BK259" s="937"/>
      <c r="BL259" s="936">
        <f>ROUND(SUMIFS('911.KCG.YE22'!T:T,'911.KCG.YE22'!P:P,'A0.LS'!E259),0)</f>
        <v>0</v>
      </c>
      <c r="BM259" s="936">
        <f>ROUND(SUMIFS('A5.YE22'!J:J,'A5.YE22'!K:K,'A0.LS'!$BM$5,'A5.YE22'!L:L,"Posted",'A5.YE22'!D:D,'A0.LS'!E259),0)</f>
        <v>0</v>
      </c>
      <c r="BN259" s="936">
        <f t="shared" si="195"/>
        <v>0</v>
      </c>
      <c r="BO259" s="937"/>
      <c r="BP259" s="938">
        <v>393000273</v>
      </c>
      <c r="BQ259" s="938">
        <f>ROUND(SUMIFS('A5.YE22'!J:J,'A5.YE22'!K:K,'A0.LS'!$BQ$5,'A5.YE22'!L:L,"Posted",'A5.YE22'!D:D,'A0.LS'!E259),0)</f>
        <v>0</v>
      </c>
      <c r="BR259" s="938">
        <f t="shared" si="196"/>
        <v>393000273</v>
      </c>
    </row>
    <row r="260" spans="2:70" ht="12.75">
      <c r="B260" s="939">
        <v>22</v>
      </c>
      <c r="C260" s="968" t="s">
        <v>2485</v>
      </c>
      <c r="D260" s="941" t="s">
        <v>2486</v>
      </c>
      <c r="E260" s="928" t="s">
        <v>321</v>
      </c>
      <c r="F260" s="928" t="s">
        <v>322</v>
      </c>
      <c r="G260" s="927" t="s">
        <v>2492</v>
      </c>
      <c r="H260" s="927" t="s">
        <v>675</v>
      </c>
      <c r="I260" s="942">
        <f>SUMIFS('GL911.Cty Me.FY24'!T:T,'GL911.Cty Me.FY24'!H:H,'A0.LS'!E260)</f>
        <v>16528325353</v>
      </c>
      <c r="J260" s="942">
        <f>ROUND(SUMIFS('A5.FY24'!K:K,'A5.FY24'!E:E,'A0.LS'!E260,'A5.FY24'!L:L,"Finhay",'A5.FY24'!M:M,"Posted"),0)</f>
        <v>0</v>
      </c>
      <c r="K260" s="942">
        <f>ROUND(SUMIFS('A5.FY24'!K:K,'A5.FY24'!E:E,'A0.LS'!E260,'A5.FY24'!L:L,"EY",'A5.FY24'!M:M,"Posted"),0)</f>
        <v>18429782259</v>
      </c>
      <c r="L260" s="943">
        <f t="shared" si="183"/>
        <v>34958107612</v>
      </c>
      <c r="M260" s="930"/>
      <c r="N260" s="944">
        <v>249880924343</v>
      </c>
      <c r="O260" s="944">
        <v>0</v>
      </c>
      <c r="P260" s="944">
        <v>-220299044472</v>
      </c>
      <c r="Q260" s="945">
        <f t="shared" si="197"/>
        <v>29581879871</v>
      </c>
      <c r="R260" s="898"/>
      <c r="S260" s="848">
        <f t="shared" si="181"/>
        <v>5376227741</v>
      </c>
      <c r="T260" s="946">
        <f t="shared" si="182"/>
        <v>0.18174057106730654</v>
      </c>
      <c r="U260" s="850"/>
      <c r="V260" s="850" t="s">
        <v>2469</v>
      </c>
      <c r="W260" s="850"/>
      <c r="X260" s="947" t="s">
        <v>676</v>
      </c>
      <c r="Y260" s="947" t="s">
        <v>2464</v>
      </c>
      <c r="Z260" s="936">
        <f>ROUND(SUMIFS('GL911.CtyCon.FY24'!N:N,'GL911.CtyCon.FY24'!G:G,'A0.LS'!E260),0)</f>
        <v>0</v>
      </c>
      <c r="AA260" s="936">
        <f>ROUND(SUMIFS('A5.CTC FY24'!K:K,'A5.CTC FY24'!E:E,'A0.LS'!E260,'A5.CTC FY24'!A:A,'A0.LS'!$AA$5,'A5.CTC FY24'!L:L,"Finhay",'A5.CTC FY24'!M:M,"Posted"),0)</f>
        <v>0</v>
      </c>
      <c r="AB260" s="936">
        <f>ROUND(SUMIFS('A5.CTC FY24'!K:K,'A5.CTC FY24'!E:E,'A0.LS'!E260,'A5.CTC FY24'!A:A,'A0.LS'!$AB$5,'A5.CTC FY24'!L:L,"EY",'A5.CTC FY24'!M:M,"Posted"),0)</f>
        <v>21394323936</v>
      </c>
      <c r="AC260" s="948">
        <f t="shared" si="184"/>
        <v>21394323936</v>
      </c>
      <c r="AD260" s="930"/>
      <c r="AE260" s="936">
        <f>SUMIFS('GL911 VNSC FY24'!T:T,'GL911 VNSC FY24'!AG:AG,'A0.LS'!E260)</f>
        <v>0</v>
      </c>
      <c r="AF260" s="936">
        <f>SUMIFS('A5.CTC FY24'!K:K,'A5.CTC FY24'!E:E,'A0.LS'!E260,'A5.CTC FY24'!A:A,"VNSC",'A5.CTC FY24'!L:L,"VNSC",'A5.CTC FY24'!M:M,"Posted")</f>
        <v>0</v>
      </c>
      <c r="AG260" s="936">
        <f>ROUND(SUMIFS('A5.CTC FY24'!K:K,'A5.CTC FY24'!E:E,'A0.LS'!E260,'A5.CTC FY24'!A:A,"VNSC",'A5.CTC FY24'!L:L,"EY",'A5.CTC FY24'!M:M,"Posted"),0)</f>
        <v>0</v>
      </c>
      <c r="AH260" s="936">
        <f t="shared" si="185"/>
        <v>0</v>
      </c>
      <c r="AI260" s="930"/>
      <c r="AJ260" s="936">
        <f>ROUND(SUMIFS('GL911.KCG.FY24'!L:L,'GL911.KCG.FY24'!F:F,'A0.LS'!E260),0)</f>
        <v>0</v>
      </c>
      <c r="AK260" s="936">
        <f>ROUND(SUMIFS('A5.CTC FY24'!K:K,'A5.CTC FY24'!E:E,'A0.LS'!E260,'A5.CTC FY24'!A:A,'A0.LS'!$AK$5,'A5.CTC FY24'!L:L,"EY",'A5.CTC FY24'!M:M,"Posted"),0)</f>
        <v>0</v>
      </c>
      <c r="AL260" s="948">
        <f t="shared" si="186"/>
        <v>0</v>
      </c>
      <c r="AM260" s="930"/>
      <c r="AN260" s="949">
        <f t="shared" si="187"/>
        <v>22125351650</v>
      </c>
      <c r="AO260" s="950">
        <f>ROUND(SUMIFS('A5.Consol FY24'!L:L,'A5.Consol FY24'!M:M,"EY",'A5.Consol FY24'!N:N,"Posted",'A5.Consol FY24'!B:B,'A0.LS'!$AO$5,'A5.Consol FY24'!F:F,'A0.LS'!E260),0)</f>
        <v>-22125351650</v>
      </c>
      <c r="AP260" s="949">
        <f t="shared" si="188"/>
        <v>0</v>
      </c>
      <c r="AQ260" s="930"/>
      <c r="AR260" s="936">
        <f>ROUND(SUMIFS('GL911.XH.FY24'!L:L,'GL911.XH.FY24'!F:F,'A0.LS'!E260),0)</f>
        <v>0</v>
      </c>
      <c r="AS260" s="936">
        <f>ROUND(SUMIFS('A5.CTC FY24'!K:K,'A5.CTC FY24'!E:E,'A0.LS'!E260,'A5.CTC FY24'!A:A,'A0.LS'!$AS$5,'A5.CTC FY24'!L:L,"EY",'A5.CTC FY24'!M:M,"Posted"),0)</f>
        <v>731027714</v>
      </c>
      <c r="AT260" s="948">
        <f t="shared" si="189"/>
        <v>731027714</v>
      </c>
      <c r="AU260" s="930"/>
      <c r="AV260" s="951">
        <f t="shared" si="190"/>
        <v>34958107612</v>
      </c>
      <c r="AW260" s="952">
        <f>SUMIFS('A5.Consol FY24'!L:L,'A5.Consol FY24'!B:B,'A0.LS'!$AW$5,'A5.Consol FY24'!M:M,"EY",'A5.Consol FY24'!N:N,"Posted",'A5.Consol FY24'!F:F,'A0.LS'!E260)</f>
        <v>-34958107612</v>
      </c>
      <c r="AX260" s="951">
        <f t="shared" si="191"/>
        <v>0</v>
      </c>
      <c r="AY260" s="969"/>
      <c r="AZ260" s="936">
        <f>SUMIFS('911.CTC.YE22'!U:U,'911.CTC.YE22'!R:R,'A0.LS'!E260)</f>
        <v>0</v>
      </c>
      <c r="BA260" s="936">
        <f>ROUND(SUMIFS('A5.YE22'!J:J,'A5.YE22'!K:K,'A0.LS'!$BA$5,'A5.YE22'!L:L,"Posted",'A5.YE22'!D:D,'A0.LS'!E260),0)</f>
        <v>0</v>
      </c>
      <c r="BB260" s="936">
        <f t="shared" si="192"/>
        <v>0</v>
      </c>
      <c r="BC260" s="937"/>
      <c r="BD260" s="936">
        <f>ROUND(SUMIFS('911.VNSC.YE22'!R:R,'911.VNSC.YE22'!L:L,'A0.LS'!E260),0)</f>
        <v>0</v>
      </c>
      <c r="BE260" s="936">
        <f>ROUND(SUMIFS('A5.YE22'!J:J,'A5.YE22'!K:K,'A0.LS'!$BE$5,'A5.YE22'!L:L,"Posted",'A5.YE22'!D:D,'A0.LS'!E260),0)</f>
        <v>0</v>
      </c>
      <c r="BF260" s="936">
        <f t="shared" si="193"/>
        <v>0</v>
      </c>
      <c r="BG260" s="937"/>
      <c r="BH260" s="936">
        <f>ROUND(SUMIFS('911.XH.YE22'!T:T,'911.XH.YE22'!P:P,'A0.LS'!E260),0)</f>
        <v>0</v>
      </c>
      <c r="BI260" s="936">
        <f>ROUND(SUMIFS('A5.YE22'!J:J,'A5.YE22'!K:K,"XH",'A5.YE22'!L:L,"Posted",'A5.YE22'!D:D,'A0.LS'!E260),0)</f>
        <v>0</v>
      </c>
      <c r="BJ260" s="936">
        <f t="shared" si="194"/>
        <v>0</v>
      </c>
      <c r="BK260" s="937"/>
      <c r="BL260" s="936">
        <f>ROUND(SUMIFS('911.KCG.YE22'!T:T,'911.KCG.YE22'!P:P,'A0.LS'!E260),0)</f>
        <v>0</v>
      </c>
      <c r="BM260" s="936">
        <f>ROUND(SUMIFS('A5.YE22'!J:J,'A5.YE22'!K:K,'A0.LS'!$BM$5,'A5.YE22'!L:L,"Posted",'A5.YE22'!D:D,'A0.LS'!E260),0)</f>
        <v>0</v>
      </c>
      <c r="BN260" s="936">
        <f t="shared" si="195"/>
        <v>0</v>
      </c>
      <c r="BO260" s="937"/>
      <c r="BP260" s="938">
        <v>29582884996</v>
      </c>
      <c r="BQ260" s="938">
        <v>-29582884996</v>
      </c>
      <c r="BR260" s="938">
        <f t="shared" si="196"/>
        <v>0</v>
      </c>
    </row>
    <row r="261" spans="2:70" ht="12.75">
      <c r="B261" s="939">
        <v>22</v>
      </c>
      <c r="C261" s="940" t="s">
        <v>2503</v>
      </c>
      <c r="D261" s="941" t="s">
        <v>2503</v>
      </c>
      <c r="E261" s="928" t="s">
        <v>323</v>
      </c>
      <c r="F261" s="928" t="s">
        <v>324</v>
      </c>
      <c r="G261" s="927" t="s">
        <v>2487</v>
      </c>
      <c r="H261" s="927" t="s">
        <v>2265</v>
      </c>
      <c r="I261" s="942">
        <f>SUMIFS('GL911.Cty Me.FY24'!T:T,'GL911.Cty Me.FY24'!H:H,'A0.LS'!E261)</f>
        <v>0</v>
      </c>
      <c r="J261" s="942">
        <f>ROUND(SUMIFS('A5.FY24'!K:K,'A5.FY24'!E:E,'A0.LS'!E261,'A5.FY24'!L:L,"Finhay",'A5.FY24'!M:M,"Posted"),0)</f>
        <v>0</v>
      </c>
      <c r="K261" s="942">
        <f>ROUND(SUMIFS('A5.FY24'!K:K,'A5.FY24'!E:E,'A0.LS'!E261,'A5.FY24'!L:L,"EY",'A5.FY24'!M:M,"Posted"),0)</f>
        <v>0</v>
      </c>
      <c r="L261" s="943">
        <f t="shared" si="183"/>
        <v>0</v>
      </c>
      <c r="M261" s="930"/>
      <c r="N261" s="944">
        <v>0</v>
      </c>
      <c r="O261" s="944">
        <v>0</v>
      </c>
      <c r="P261" s="944">
        <v>0</v>
      </c>
      <c r="Q261" s="945">
        <f t="shared" si="197"/>
        <v>0</v>
      </c>
      <c r="R261" s="898"/>
      <c r="S261" s="848">
        <f t="shared" si="181"/>
        <v>0</v>
      </c>
      <c r="T261" s="946" t="str">
        <f t="shared" si="182"/>
        <v>To check</v>
      </c>
      <c r="U261" s="850"/>
      <c r="V261" s="850" t="s">
        <v>2504</v>
      </c>
      <c r="W261" s="850"/>
      <c r="X261" s="947" t="s">
        <v>676</v>
      </c>
      <c r="Y261" s="947" t="s">
        <v>2464</v>
      </c>
      <c r="Z261" s="936">
        <f>ROUND(SUMIFS('GL911.CtyCon.FY24'!N:N,'GL911.CtyCon.FY24'!G:G,'A0.LS'!E261),0)</f>
        <v>0</v>
      </c>
      <c r="AA261" s="936">
        <f>ROUND(SUMIFS('A5.CTC FY24'!K:K,'A5.CTC FY24'!E:E,'A0.LS'!E261,'A5.CTC FY24'!A:A,'A0.LS'!$AA$5,'A5.CTC FY24'!L:L,"Finhay",'A5.CTC FY24'!M:M,"Posted"),0)</f>
        <v>0</v>
      </c>
      <c r="AB261" s="936">
        <f>ROUND(SUMIFS('A5.CTC FY24'!K:K,'A5.CTC FY24'!E:E,'A0.LS'!E261,'A5.CTC FY24'!A:A,'A0.LS'!$AB$5,'A5.CTC FY24'!L:L,"EY",'A5.CTC FY24'!M:M,"Posted"),0)</f>
        <v>0</v>
      </c>
      <c r="AC261" s="948">
        <f t="shared" si="184"/>
        <v>0</v>
      </c>
      <c r="AD261" s="930"/>
      <c r="AE261" s="936">
        <f>SUMIFS('GL911 VNSC FY24'!T:T,'GL911 VNSC FY24'!AG:AG,'A0.LS'!E261)</f>
        <v>0</v>
      </c>
      <c r="AF261" s="936">
        <f>SUMIFS('A5.CTC FY24'!K:K,'A5.CTC FY24'!E:E,'A0.LS'!E261,'A5.CTC FY24'!A:A,"VNSC",'A5.CTC FY24'!L:L,"VNSC",'A5.CTC FY24'!M:M,"Posted")</f>
        <v>0</v>
      </c>
      <c r="AG261" s="936">
        <f>ROUND(SUMIFS('A5.CTC FY24'!K:K,'A5.CTC FY24'!E:E,'A0.LS'!E261,'A5.CTC FY24'!A:A,"VNSC",'A5.CTC FY24'!L:L,"EY",'A5.CTC FY24'!M:M,"Posted"),0)</f>
        <v>0</v>
      </c>
      <c r="AH261" s="936">
        <f t="shared" si="185"/>
        <v>0</v>
      </c>
      <c r="AI261" s="930"/>
      <c r="AJ261" s="936">
        <f>ROUND(SUMIFS('GL911.KCG.FY24'!L:L,'GL911.KCG.FY24'!F:F,'A0.LS'!E261),0)</f>
        <v>0</v>
      </c>
      <c r="AK261" s="936">
        <f>ROUND(SUMIFS('A5.CTC FY24'!K:K,'A5.CTC FY24'!E:E,'A0.LS'!E261,'A5.CTC FY24'!A:A,'A0.LS'!$AK$5,'A5.CTC FY24'!L:L,"EY",'A5.CTC FY24'!M:M,"Posted"),0)</f>
        <v>0</v>
      </c>
      <c r="AL261" s="948">
        <f t="shared" si="186"/>
        <v>0</v>
      </c>
      <c r="AM261" s="930"/>
      <c r="AN261" s="949">
        <f t="shared" si="187"/>
        <v>0</v>
      </c>
      <c r="AO261" s="950">
        <f>ROUND(SUMIFS('A5.Consol FY24'!L:L,'A5.Consol FY24'!M:M,"EY",'A5.Consol FY24'!N:N,"Posted",'A5.Consol FY24'!B:B,'A0.LS'!$AO$5,'A5.Consol FY24'!F:F,'A0.LS'!E261),0)</f>
        <v>0</v>
      </c>
      <c r="AP261" s="949">
        <f t="shared" si="188"/>
        <v>0</v>
      </c>
      <c r="AQ261" s="930"/>
      <c r="AR261" s="936">
        <f>ROUND(SUMIFS('GL911.XH.FY24'!L:L,'GL911.XH.FY24'!F:F,'A0.LS'!E261),0)</f>
        <v>0</v>
      </c>
      <c r="AS261" s="936">
        <f>ROUND(SUMIFS('A5.CTC FY24'!K:K,'A5.CTC FY24'!E:E,'A0.LS'!E261,'A5.CTC FY24'!A:A,'A0.LS'!$AS$5,'A5.CTC FY24'!L:L,"EY",'A5.CTC FY24'!M:M,"Posted"),0)</f>
        <v>0</v>
      </c>
      <c r="AT261" s="948">
        <f t="shared" si="189"/>
        <v>0</v>
      </c>
      <c r="AU261" s="930"/>
      <c r="AV261" s="951">
        <f t="shared" si="190"/>
        <v>0</v>
      </c>
      <c r="AW261" s="952">
        <f>SUMIFS('A5.Consol FY24'!L:L,'A5.Consol FY24'!B:B,'A0.LS'!$AW$5,'A5.Consol FY24'!M:M,"EY",'A5.Consol FY24'!N:N,"Posted",'A5.Consol FY24'!F:F,'A0.LS'!E261)</f>
        <v>0</v>
      </c>
      <c r="AX261" s="951">
        <f t="shared" si="191"/>
        <v>0</v>
      </c>
      <c r="AY261" s="920"/>
      <c r="AZ261" s="936">
        <f>SUMIFS('911.CTC.YE22'!U:U,'911.CTC.YE22'!R:R,'A0.LS'!E261)</f>
        <v>0</v>
      </c>
      <c r="BA261" s="936">
        <f>ROUND(SUMIFS('A5.YE22'!J:J,'A5.YE22'!K:K,'A0.LS'!$BA$5,'A5.YE22'!L:L,"Posted",'A5.YE22'!D:D,'A0.LS'!E261),0)</f>
        <v>0</v>
      </c>
      <c r="BB261" s="936">
        <f t="shared" si="192"/>
        <v>0</v>
      </c>
      <c r="BC261" s="937"/>
      <c r="BD261" s="936">
        <f>ROUND(SUMIFS('911.VNSC.YE22'!R:R,'911.VNSC.YE22'!L:L,'A0.LS'!E261),0)</f>
        <v>0</v>
      </c>
      <c r="BE261" s="936">
        <f>ROUND(SUMIFS('A5.YE22'!J:J,'A5.YE22'!K:K,'A0.LS'!$BE$5,'A5.YE22'!L:L,"Posted",'A5.YE22'!D:D,'A0.LS'!E261),0)</f>
        <v>0</v>
      </c>
      <c r="BF261" s="936">
        <f t="shared" si="193"/>
        <v>0</v>
      </c>
      <c r="BG261" s="937"/>
      <c r="BH261" s="936">
        <f>ROUND(SUMIFS('911.XH.YE22'!T:T,'911.XH.YE22'!P:P,'A0.LS'!E261),0)</f>
        <v>0</v>
      </c>
      <c r="BI261" s="936">
        <f>ROUND(SUMIFS('A5.YE22'!J:J,'A5.YE22'!K:K,"XH",'A5.YE22'!L:L,"Posted",'A5.YE22'!D:D,'A0.LS'!E261),0)</f>
        <v>0</v>
      </c>
      <c r="BJ261" s="936">
        <f t="shared" si="194"/>
        <v>0</v>
      </c>
      <c r="BK261" s="937"/>
      <c r="BL261" s="936">
        <f>ROUND(SUMIFS('911.KCG.YE22'!T:T,'911.KCG.YE22'!P:P,'A0.LS'!E261),0)</f>
        <v>0</v>
      </c>
      <c r="BM261" s="936">
        <f>ROUND(SUMIFS('A5.YE22'!J:J,'A5.YE22'!K:K,'A0.LS'!$BM$5,'A5.YE22'!L:L,"Posted",'A5.YE22'!D:D,'A0.LS'!E261),0)</f>
        <v>0</v>
      </c>
      <c r="BN261" s="936">
        <f t="shared" si="195"/>
        <v>0</v>
      </c>
      <c r="BO261" s="937"/>
      <c r="BP261" s="938">
        <v>0</v>
      </c>
      <c r="BQ261" s="938">
        <v>0</v>
      </c>
      <c r="BR261" s="938">
        <f t="shared" si="196"/>
        <v>0</v>
      </c>
    </row>
    <row r="262" spans="2:70" ht="12.75">
      <c r="B262" s="939">
        <v>22</v>
      </c>
      <c r="C262" s="940" t="s">
        <v>2503</v>
      </c>
      <c r="D262" s="941" t="s">
        <v>2503</v>
      </c>
      <c r="E262" s="928" t="s">
        <v>325</v>
      </c>
      <c r="F262" s="928" t="s">
        <v>326</v>
      </c>
      <c r="G262" s="927" t="s">
        <v>2487</v>
      </c>
      <c r="H262" s="927" t="s">
        <v>2265</v>
      </c>
      <c r="I262" s="942">
        <f>SUMIFS('GL911.Cty Me.FY24'!T:T,'GL911.Cty Me.FY24'!H:H,'A0.LS'!E262)</f>
        <v>101149864</v>
      </c>
      <c r="J262" s="942">
        <f>ROUND(SUMIFS('A5.FY24'!K:K,'A5.FY24'!E:E,'A0.LS'!E262,'A5.FY24'!L:L,"Finhay",'A5.FY24'!M:M,"Posted"),0)</f>
        <v>0</v>
      </c>
      <c r="K262" s="942">
        <f>ROUND(SUMIFS('A5.FY24'!K:K,'A5.FY24'!E:E,'A0.LS'!E262,'A5.FY24'!L:L,"EY",'A5.FY24'!M:M,"Posted"),0)</f>
        <v>0</v>
      </c>
      <c r="L262" s="943">
        <f t="shared" si="183"/>
        <v>101149864</v>
      </c>
      <c r="M262" s="930"/>
      <c r="N262" s="944">
        <v>92794519</v>
      </c>
      <c r="O262" s="944">
        <v>0</v>
      </c>
      <c r="P262" s="944">
        <v>0</v>
      </c>
      <c r="Q262" s="945">
        <f t="shared" si="197"/>
        <v>92794519</v>
      </c>
      <c r="R262" s="898"/>
      <c r="S262" s="848">
        <f t="shared" si="181"/>
        <v>8355345</v>
      </c>
      <c r="T262" s="946">
        <f t="shared" si="182"/>
        <v>9.0041363326642171E-2</v>
      </c>
      <c r="U262" s="850"/>
      <c r="V262" s="850" t="e">
        <v>#N/A</v>
      </c>
      <c r="W262" s="850"/>
      <c r="X262" s="947" t="s">
        <v>676</v>
      </c>
      <c r="Y262" s="947" t="s">
        <v>2464</v>
      </c>
      <c r="Z262" s="936">
        <f>ROUND(SUMIFS('GL911.CtyCon.FY24'!N:N,'GL911.CtyCon.FY24'!G:G,'A0.LS'!E262),0)</f>
        <v>0</v>
      </c>
      <c r="AA262" s="936">
        <f>ROUND(SUMIFS('A5.CTC FY24'!K:K,'A5.CTC FY24'!E:E,'A0.LS'!E262,'A5.CTC FY24'!A:A,'A0.LS'!$AA$5,'A5.CTC FY24'!L:L,"Finhay",'A5.CTC FY24'!M:M,"Posted"),0)</f>
        <v>0</v>
      </c>
      <c r="AB262" s="936">
        <f>ROUND(SUMIFS('A5.CTC FY24'!K:K,'A5.CTC FY24'!E:E,'A0.LS'!E262,'A5.CTC FY24'!A:A,'A0.LS'!$AB$5,'A5.CTC FY24'!L:L,"EY",'A5.CTC FY24'!M:M,"Posted"),0)</f>
        <v>0</v>
      </c>
      <c r="AC262" s="948">
        <f t="shared" si="184"/>
        <v>0</v>
      </c>
      <c r="AD262" s="930"/>
      <c r="AE262" s="936">
        <f>SUMIFS('GL911 VNSC FY24'!T:T,'GL911 VNSC FY24'!AG:AG,'A0.LS'!E262)</f>
        <v>1718534241</v>
      </c>
      <c r="AF262" s="936">
        <f>SUMIFS('A5.CTC FY24'!K:K,'A5.CTC FY24'!E:E,'A0.LS'!E262,'A5.CTC FY24'!A:A,"VNSC",'A5.CTC FY24'!L:L,"VNSC",'A5.CTC FY24'!M:M,"Posted")</f>
        <v>0</v>
      </c>
      <c r="AG262" s="936">
        <f>ROUND(SUMIFS('A5.CTC FY24'!K:K,'A5.CTC FY24'!E:E,'A0.LS'!E262,'A5.CTC FY24'!A:A,"VNSC",'A5.CTC FY24'!L:L,"EY",'A5.CTC FY24'!M:M,"Posted"),0)</f>
        <v>0</v>
      </c>
      <c r="AH262" s="936">
        <f t="shared" si="185"/>
        <v>1718534241</v>
      </c>
      <c r="AI262" s="930"/>
      <c r="AJ262" s="936">
        <f>ROUND(SUMIFS('GL911.KCG.FY24'!L:L,'GL911.KCG.FY24'!F:F,'A0.LS'!E262),0)</f>
        <v>0</v>
      </c>
      <c r="AK262" s="936">
        <f>ROUND(SUMIFS('A5.CTC FY24'!K:K,'A5.CTC FY24'!E:E,'A0.LS'!E262,'A5.CTC FY24'!A:A,'A0.LS'!$AK$5,'A5.CTC FY24'!L:L,"EY",'A5.CTC FY24'!M:M,"Posted"),0)</f>
        <v>0</v>
      </c>
      <c r="AL262" s="948">
        <f t="shared" si="186"/>
        <v>0</v>
      </c>
      <c r="AM262" s="930"/>
      <c r="AN262" s="949">
        <f>ROUND(SUM(AT262,AH262,AC262),0)</f>
        <v>1718534241</v>
      </c>
      <c r="AO262" s="950">
        <f>ROUND(SUMIFS('A5.Consol FY24'!L:L,'A5.Consol FY24'!M:M,"EY",'A5.Consol FY24'!N:N,"Posted",'A5.Consol FY24'!B:B,'A0.LS'!$AO$5,'A5.Consol FY24'!F:F,'A0.LS'!E262),0)</f>
        <v>0</v>
      </c>
      <c r="AP262" s="949">
        <f t="shared" si="188"/>
        <v>1718534241</v>
      </c>
      <c r="AQ262" s="930"/>
      <c r="AR262" s="936">
        <f>ROUND(SUMIFS('GL911.XH.FY24'!L:L,'GL911.XH.FY24'!F:F,'A0.LS'!E262),0)</f>
        <v>0</v>
      </c>
      <c r="AS262" s="936">
        <f>ROUND(SUMIFS('A5.CTC FY24'!K:K,'A5.CTC FY24'!E:E,'A0.LS'!E262,'A5.CTC FY24'!A:A,'A0.LS'!$AS$5,'A5.CTC FY24'!L:L,"EY",'A5.CTC FY24'!M:M,"Posted"),0)</f>
        <v>0</v>
      </c>
      <c r="AT262" s="948">
        <f t="shared" si="189"/>
        <v>0</v>
      </c>
      <c r="AU262" s="930"/>
      <c r="AV262" s="951">
        <f t="shared" si="190"/>
        <v>1819684105</v>
      </c>
      <c r="AW262" s="952">
        <f>SUMIFS('A5.Consol FY24'!L:L,'A5.Consol FY24'!B:B,'A0.LS'!$AW$5,'A5.Consol FY24'!M:M,"EY",'A5.Consol FY24'!N:N,"Posted",'A5.Consol FY24'!F:F,'A0.LS'!E262)</f>
        <v>-101149864</v>
      </c>
      <c r="AX262" s="951">
        <f t="shared" si="191"/>
        <v>1718534241</v>
      </c>
      <c r="AY262" s="920"/>
      <c r="AZ262" s="936">
        <f>SUMIFS('911.CTC.YE22'!U:U,'911.CTC.YE22'!R:R,'A0.LS'!E262)</f>
        <v>0</v>
      </c>
      <c r="BA262" s="936">
        <f>ROUND(SUMIFS('A5.YE22'!J:J,'A5.YE22'!K:K,'A0.LS'!$BA$5,'A5.YE22'!L:L,"Posted",'A5.YE22'!D:D,'A0.LS'!E262),0)</f>
        <v>0</v>
      </c>
      <c r="BB262" s="936">
        <f t="shared" si="192"/>
        <v>0</v>
      </c>
      <c r="BC262" s="937"/>
      <c r="BD262" s="936">
        <f>ROUND(SUMIFS('911.VNSC.YE22'!R:R,'911.VNSC.YE22'!L:L,'A0.LS'!E262),0)</f>
        <v>0</v>
      </c>
      <c r="BE262" s="936">
        <f>ROUND(SUMIFS('A5.YE22'!J:J,'A5.YE22'!K:K,'A0.LS'!$BE$5,'A5.YE22'!L:L,"Posted",'A5.YE22'!D:D,'A0.LS'!E262),0)</f>
        <v>0</v>
      </c>
      <c r="BF262" s="936">
        <f t="shared" si="193"/>
        <v>0</v>
      </c>
      <c r="BG262" s="937"/>
      <c r="BH262" s="936">
        <f>ROUND(SUMIFS('911.XH.YE22'!T:T,'911.XH.YE22'!P:P,'A0.LS'!E262),0)</f>
        <v>0</v>
      </c>
      <c r="BI262" s="936">
        <f>ROUND(SUMIFS('A5.YE22'!J:J,'A5.YE22'!K:K,"XH",'A5.YE22'!L:L,"Posted",'A5.YE22'!D:D,'A0.LS'!E262),0)</f>
        <v>0</v>
      </c>
      <c r="BJ262" s="936">
        <f t="shared" si="194"/>
        <v>0</v>
      </c>
      <c r="BK262" s="937"/>
      <c r="BL262" s="936">
        <f>ROUND(SUMIFS('911.KCG.YE22'!T:T,'911.KCG.YE22'!P:P,'A0.LS'!E262),0)</f>
        <v>0</v>
      </c>
      <c r="BM262" s="936">
        <f>ROUND(SUMIFS('A5.YE22'!J:J,'A5.YE22'!K:K,'A0.LS'!$BM$5,'A5.YE22'!L:L,"Posted",'A5.YE22'!D:D,'A0.LS'!E262),0)</f>
        <v>0</v>
      </c>
      <c r="BN262" s="936">
        <f t="shared" si="195"/>
        <v>0</v>
      </c>
      <c r="BO262" s="937"/>
      <c r="BP262" s="938">
        <v>92794519</v>
      </c>
      <c r="BQ262" s="938">
        <v>-92794519</v>
      </c>
      <c r="BR262" s="938">
        <f t="shared" si="196"/>
        <v>0</v>
      </c>
    </row>
    <row r="263" spans="2:70" ht="12.75">
      <c r="B263" s="939">
        <v>22</v>
      </c>
      <c r="C263" s="941" t="s">
        <v>2488</v>
      </c>
      <c r="D263" s="941" t="s">
        <v>2488</v>
      </c>
      <c r="E263" s="928" t="s">
        <v>327</v>
      </c>
      <c r="F263" s="928" t="s">
        <v>328</v>
      </c>
      <c r="G263" s="927" t="s">
        <v>2487</v>
      </c>
      <c r="H263" s="927" t="s">
        <v>2265</v>
      </c>
      <c r="I263" s="942">
        <f>SUMIFS('GL911.Cty Me.FY24'!T:T,'GL911.Cty Me.FY24'!H:H,'A0.LS'!E263)</f>
        <v>5628432342</v>
      </c>
      <c r="J263" s="942">
        <f>ROUND(SUMIFS('A5.FY24'!K:K,'A5.FY24'!E:E,'A0.LS'!E263,'A5.FY24'!L:L,"Finhay",'A5.FY24'!M:M,"Posted"),0)</f>
        <v>0</v>
      </c>
      <c r="K263" s="942">
        <f>ROUND(SUMIFS('A5.FY24'!K:K,'A5.FY24'!E:E,'A0.LS'!E263,'A5.FY24'!L:L,"EY",'A5.FY24'!M:M,"Posted"),0)</f>
        <v>0</v>
      </c>
      <c r="L263" s="943">
        <f t="shared" si="183"/>
        <v>5628432342</v>
      </c>
      <c r="M263" s="930"/>
      <c r="N263" s="944">
        <v>288872341</v>
      </c>
      <c r="O263" s="944">
        <v>0</v>
      </c>
      <c r="P263" s="944">
        <v>0</v>
      </c>
      <c r="Q263" s="945">
        <f t="shared" si="197"/>
        <v>288872341</v>
      </c>
      <c r="R263" s="898"/>
      <c r="S263" s="848">
        <f t="shared" si="181"/>
        <v>5339560001</v>
      </c>
      <c r="T263" s="946">
        <f t="shared" si="182"/>
        <v>18.484151104656988</v>
      </c>
      <c r="U263" s="850"/>
      <c r="V263" s="850" t="e">
        <v>#N/A</v>
      </c>
      <c r="W263" s="850"/>
      <c r="X263" s="947" t="s">
        <v>676</v>
      </c>
      <c r="Y263" s="947" t="s">
        <v>2464</v>
      </c>
      <c r="Z263" s="936">
        <f>ROUND(SUMIFS('GL911.CtyCon.FY24'!N:N,'GL911.CtyCon.FY24'!G:G,'A0.LS'!E263),0)</f>
        <v>0</v>
      </c>
      <c r="AA263" s="936">
        <f>ROUND(SUMIFS('A5.CTC FY24'!K:K,'A5.CTC FY24'!E:E,'A0.LS'!E263,'A5.CTC FY24'!A:A,'A0.LS'!$AA$5,'A5.CTC FY24'!L:L,"Finhay",'A5.CTC FY24'!M:M,"Posted"),0)</f>
        <v>0</v>
      </c>
      <c r="AB263" s="936">
        <f>ROUND(SUMIFS('A5.CTC FY24'!K:K,'A5.CTC FY24'!E:E,'A0.LS'!E263,'A5.CTC FY24'!A:A,'A0.LS'!$AB$5,'A5.CTC FY24'!L:L,"EY",'A5.CTC FY24'!M:M,"Posted"),0)</f>
        <v>0</v>
      </c>
      <c r="AC263" s="948">
        <f t="shared" si="184"/>
        <v>0</v>
      </c>
      <c r="AD263" s="930"/>
      <c r="AE263" s="936">
        <f>SUMIFS('GL911 VNSC FY24'!T:T,'GL911 VNSC FY24'!AG:AG,'A0.LS'!E263)</f>
        <v>0</v>
      </c>
      <c r="AF263" s="936">
        <f>SUMIFS('A5.CTC FY24'!K:K,'A5.CTC FY24'!E:E,'A0.LS'!E263,'A5.CTC FY24'!A:A,"VNSC",'A5.CTC FY24'!L:L,"VNSC",'A5.CTC FY24'!M:M,"Posted")</f>
        <v>0</v>
      </c>
      <c r="AG263" s="936">
        <f>ROUND(SUMIFS('A5.CTC FY24'!K:K,'A5.CTC FY24'!E:E,'A0.LS'!E263,'A5.CTC FY24'!A:A,"VNSC",'A5.CTC FY24'!L:L,"EY",'A5.CTC FY24'!M:M,"Posted"),0)</f>
        <v>0</v>
      </c>
      <c r="AH263" s="936">
        <f t="shared" si="185"/>
        <v>0</v>
      </c>
      <c r="AI263" s="930"/>
      <c r="AJ263" s="936">
        <f>ROUND(SUMIFS('GL911.KCG.FY24'!L:L,'GL911.KCG.FY24'!F:F,'A0.LS'!E263),0)</f>
        <v>0</v>
      </c>
      <c r="AK263" s="936">
        <f>ROUND(SUMIFS('A5.CTC FY24'!K:K,'A5.CTC FY24'!E:E,'A0.LS'!E263,'A5.CTC FY24'!A:A,'A0.LS'!$AK$5,'A5.CTC FY24'!L:L,"EY",'A5.CTC FY24'!M:M,"Posted"),0)</f>
        <v>0</v>
      </c>
      <c r="AL263" s="948">
        <f t="shared" si="186"/>
        <v>0</v>
      </c>
      <c r="AM263" s="930"/>
      <c r="AN263" s="949">
        <f t="shared" si="187"/>
        <v>0</v>
      </c>
      <c r="AO263" s="950">
        <f>ROUND(SUMIFS('A5.Consol FY24'!L:L,'A5.Consol FY24'!M:M,"EY",'A5.Consol FY24'!N:N,"Posted",'A5.Consol FY24'!B:B,'A0.LS'!$AO$5,'A5.Consol FY24'!F:F,'A0.LS'!E263),0)</f>
        <v>0</v>
      </c>
      <c r="AP263" s="949">
        <f t="shared" si="188"/>
        <v>0</v>
      </c>
      <c r="AQ263" s="930"/>
      <c r="AR263" s="936">
        <f>ROUND(SUMIFS('GL911.XH.FY24'!L:L,'GL911.XH.FY24'!F:F,'A0.LS'!E263),0)</f>
        <v>0</v>
      </c>
      <c r="AS263" s="936">
        <f>ROUND(SUMIFS('A5.CTC FY24'!K:K,'A5.CTC FY24'!E:E,'A0.LS'!E263,'A5.CTC FY24'!A:A,'A0.LS'!$AS$5,'A5.CTC FY24'!L:L,"EY",'A5.CTC FY24'!M:M,"Posted"),0)</f>
        <v>0</v>
      </c>
      <c r="AT263" s="948">
        <f t="shared" si="189"/>
        <v>0</v>
      </c>
      <c r="AU263" s="930"/>
      <c r="AV263" s="951">
        <f t="shared" si="190"/>
        <v>5628432342</v>
      </c>
      <c r="AW263" s="952">
        <f>SUMIFS('A5.Consol FY24'!L:L,'A5.Consol FY24'!B:B,'A0.LS'!$AW$5,'A5.Consol FY24'!M:M,"EY",'A5.Consol FY24'!N:N,"Posted",'A5.Consol FY24'!F:F,'A0.LS'!E263)</f>
        <v>0</v>
      </c>
      <c r="AX263" s="951">
        <f t="shared" si="191"/>
        <v>5628432342</v>
      </c>
      <c r="AY263" s="920"/>
      <c r="AZ263" s="936">
        <f>SUMIFS('911.CTC.YE22'!U:U,'911.CTC.YE22'!R:R,'A0.LS'!E263)</f>
        <v>0</v>
      </c>
      <c r="BA263" s="936">
        <f>ROUND(SUMIFS('A5.YE22'!J:J,'A5.YE22'!K:K,'A0.LS'!$BA$5,'A5.YE22'!L:L,"Posted",'A5.YE22'!D:D,'A0.LS'!E263),0)</f>
        <v>0</v>
      </c>
      <c r="BB263" s="936">
        <f t="shared" si="192"/>
        <v>0</v>
      </c>
      <c r="BC263" s="937"/>
      <c r="BD263" s="936">
        <f>ROUND(SUMIFS('911.VNSC.YE22'!R:R,'911.VNSC.YE22'!L:L,'A0.LS'!E263),0)</f>
        <v>0</v>
      </c>
      <c r="BE263" s="936">
        <f>ROUND(SUMIFS('A5.YE22'!J:J,'A5.YE22'!K:K,'A0.LS'!$BE$5,'A5.YE22'!L:L,"Posted",'A5.YE22'!D:D,'A0.LS'!E263),0)</f>
        <v>0</v>
      </c>
      <c r="BF263" s="936">
        <f t="shared" si="193"/>
        <v>0</v>
      </c>
      <c r="BG263" s="937"/>
      <c r="BH263" s="936">
        <f>ROUND(SUMIFS('911.XH.YE22'!T:T,'911.XH.YE22'!P:P,'A0.LS'!E263),0)</f>
        <v>0</v>
      </c>
      <c r="BI263" s="936">
        <f>ROUND(SUMIFS('A5.YE22'!J:J,'A5.YE22'!K:K,"XH",'A5.YE22'!L:L,"Posted",'A5.YE22'!D:D,'A0.LS'!E263),0)</f>
        <v>0</v>
      </c>
      <c r="BJ263" s="936">
        <f t="shared" si="194"/>
        <v>0</v>
      </c>
      <c r="BK263" s="937"/>
      <c r="BL263" s="936">
        <f>ROUND(SUMIFS('911.KCG.YE22'!T:T,'911.KCG.YE22'!P:P,'A0.LS'!E263),0)</f>
        <v>0</v>
      </c>
      <c r="BM263" s="936">
        <f>ROUND(SUMIFS('A5.YE22'!J:J,'A5.YE22'!K:K,'A0.LS'!$BM$5,'A5.YE22'!L:L,"Posted",'A5.YE22'!D:D,'A0.LS'!E263),0)</f>
        <v>0</v>
      </c>
      <c r="BN263" s="936">
        <f t="shared" si="195"/>
        <v>0</v>
      </c>
      <c r="BO263" s="937"/>
      <c r="BP263" s="938">
        <v>288872341</v>
      </c>
      <c r="BQ263" s="938">
        <f>ROUND(SUMIFS('A5.YE22'!J:J,'A5.YE22'!K:K,'A0.LS'!$BQ$5,'A5.YE22'!L:L,"Posted",'A5.YE22'!D:D,'A0.LS'!E263),0)</f>
        <v>0</v>
      </c>
      <c r="BR263" s="938">
        <f t="shared" si="196"/>
        <v>288872341</v>
      </c>
    </row>
    <row r="264" spans="2:70" ht="12.75">
      <c r="B264" s="939">
        <v>22</v>
      </c>
      <c r="C264" s="941" t="s">
        <v>2488</v>
      </c>
      <c r="D264" s="941" t="s">
        <v>2488</v>
      </c>
      <c r="E264" s="928" t="s">
        <v>329</v>
      </c>
      <c r="F264" s="928" t="s">
        <v>330</v>
      </c>
      <c r="G264" s="927" t="s">
        <v>2487</v>
      </c>
      <c r="H264" s="927" t="s">
        <v>2265</v>
      </c>
      <c r="I264" s="942">
        <f>SUMIFS('GL911.Cty Me.FY24'!T:T,'GL911.Cty Me.FY24'!H:H,'A0.LS'!E264)</f>
        <v>648799705</v>
      </c>
      <c r="J264" s="942">
        <f>ROUND(SUMIFS('A5.FY24'!K:K,'A5.FY24'!E:E,'A0.LS'!E264,'A5.FY24'!L:L,"Finhay",'A5.FY24'!M:M,"Posted"),0)</f>
        <v>0</v>
      </c>
      <c r="K264" s="942">
        <f>ROUND(SUMIFS('A5.FY24'!K:K,'A5.FY24'!E:E,'A0.LS'!E264,'A5.FY24'!L:L,"EY",'A5.FY24'!M:M,"Posted"),0)</f>
        <v>0</v>
      </c>
      <c r="L264" s="943">
        <f t="shared" si="183"/>
        <v>648799705</v>
      </c>
      <c r="M264" s="930"/>
      <c r="N264" s="944">
        <v>242270984</v>
      </c>
      <c r="O264" s="944">
        <v>0</v>
      </c>
      <c r="P264" s="944">
        <v>0</v>
      </c>
      <c r="Q264" s="945">
        <f t="shared" si="197"/>
        <v>242270984</v>
      </c>
      <c r="R264" s="898"/>
      <c r="S264" s="848">
        <f t="shared" si="181"/>
        <v>406528721</v>
      </c>
      <c r="T264" s="946">
        <f t="shared" si="182"/>
        <v>1.6779917854298227</v>
      </c>
      <c r="U264" s="850"/>
      <c r="V264" s="850" t="e">
        <v>#N/A</v>
      </c>
      <c r="W264" s="850"/>
      <c r="X264" s="947"/>
      <c r="Y264" s="947" t="s">
        <v>2464</v>
      </c>
      <c r="Z264" s="936">
        <f>ROUND(SUMIFS('GL911.CtyCon.FY24'!N:N,'GL911.CtyCon.FY24'!G:G,'A0.LS'!E264),0)</f>
        <v>0</v>
      </c>
      <c r="AA264" s="936">
        <f>ROUND(SUMIFS('A5.CTC FY24'!K:K,'A5.CTC FY24'!E:E,'A0.LS'!E264,'A5.CTC FY24'!A:A,'A0.LS'!$AA$5,'A5.CTC FY24'!L:L,"Finhay",'A5.CTC FY24'!M:M,"Posted"),0)</f>
        <v>0</v>
      </c>
      <c r="AB264" s="936">
        <f>ROUND(SUMIFS('A5.CTC FY24'!K:K,'A5.CTC FY24'!E:E,'A0.LS'!E264,'A5.CTC FY24'!A:A,'A0.LS'!$AB$5,'A5.CTC FY24'!L:L,"EY",'A5.CTC FY24'!M:M,"Posted"),0)</f>
        <v>0</v>
      </c>
      <c r="AC264" s="948">
        <f t="shared" si="184"/>
        <v>0</v>
      </c>
      <c r="AD264" s="930"/>
      <c r="AE264" s="936">
        <f>SUMIFS('GL911 VNSC FY24'!T:T,'GL911 VNSC FY24'!AG:AG,'A0.LS'!E264)</f>
        <v>0</v>
      </c>
      <c r="AF264" s="936">
        <f>SUMIFS('A5.CTC FY24'!K:K,'A5.CTC FY24'!E:E,'A0.LS'!E264,'A5.CTC FY24'!A:A,"VNSC",'A5.CTC FY24'!L:L,"VNSC",'A5.CTC FY24'!M:M,"Posted")</f>
        <v>0</v>
      </c>
      <c r="AG264" s="936">
        <f>ROUND(SUMIFS('A5.CTC FY24'!K:K,'A5.CTC FY24'!E:E,'A0.LS'!E264,'A5.CTC FY24'!A:A,"VNSC",'A5.CTC FY24'!L:L,"EY",'A5.CTC FY24'!M:M,"Posted"),0)</f>
        <v>0</v>
      </c>
      <c r="AH264" s="936">
        <f t="shared" si="185"/>
        <v>0</v>
      </c>
      <c r="AI264" s="930"/>
      <c r="AJ264" s="936">
        <f>ROUND(SUMIFS('GL911.KCG.FY24'!L:L,'GL911.KCG.FY24'!F:F,'A0.LS'!E264),0)</f>
        <v>0</v>
      </c>
      <c r="AK264" s="936">
        <f>ROUND(SUMIFS('A5.CTC FY24'!K:K,'A5.CTC FY24'!E:E,'A0.LS'!E264,'A5.CTC FY24'!A:A,'A0.LS'!$AK$5,'A5.CTC FY24'!L:L,"EY",'A5.CTC FY24'!M:M,"Posted"),0)</f>
        <v>0</v>
      </c>
      <c r="AL264" s="948">
        <f t="shared" si="186"/>
        <v>0</v>
      </c>
      <c r="AM264" s="930"/>
      <c r="AN264" s="949">
        <f t="shared" si="187"/>
        <v>0</v>
      </c>
      <c r="AO264" s="950">
        <f>ROUND(SUMIFS('A5.Consol FY24'!L:L,'A5.Consol FY24'!M:M,"EY",'A5.Consol FY24'!N:N,"Posted",'A5.Consol FY24'!B:B,'A0.LS'!$AO$5,'A5.Consol FY24'!F:F,'A0.LS'!E264),0)</f>
        <v>0</v>
      </c>
      <c r="AP264" s="949">
        <f t="shared" si="188"/>
        <v>0</v>
      </c>
      <c r="AQ264" s="930"/>
      <c r="AR264" s="936">
        <f>ROUND(SUMIFS('GL911.XH.FY24'!L:L,'GL911.XH.FY24'!F:F,'A0.LS'!E264),0)</f>
        <v>0</v>
      </c>
      <c r="AS264" s="936">
        <f>ROUND(SUMIFS('A5.CTC FY24'!K:K,'A5.CTC FY24'!E:E,'A0.LS'!E264,'A5.CTC FY24'!A:A,'A0.LS'!$AS$5,'A5.CTC FY24'!L:L,"EY",'A5.CTC FY24'!M:M,"Posted"),0)</f>
        <v>0</v>
      </c>
      <c r="AT264" s="948">
        <f t="shared" si="189"/>
        <v>0</v>
      </c>
      <c r="AU264" s="930"/>
      <c r="AV264" s="951">
        <f t="shared" si="190"/>
        <v>648799705</v>
      </c>
      <c r="AW264" s="952">
        <f>SUMIFS('A5.Consol FY24'!L:L,'A5.Consol FY24'!B:B,'A0.LS'!$AW$5,'A5.Consol FY24'!M:M,"EY",'A5.Consol FY24'!N:N,"Posted",'A5.Consol FY24'!F:F,'A0.LS'!E264)</f>
        <v>0</v>
      </c>
      <c r="AX264" s="951">
        <f t="shared" si="191"/>
        <v>648799705</v>
      </c>
      <c r="AY264" s="920"/>
      <c r="AZ264" s="936">
        <f>SUMIFS('911.CTC.YE22'!U:U,'911.CTC.YE22'!R:R,'A0.LS'!E264)</f>
        <v>0</v>
      </c>
      <c r="BA264" s="936">
        <f>ROUND(SUMIFS('A5.YE22'!J:J,'A5.YE22'!K:K,'A0.LS'!$BA$5,'A5.YE22'!L:L,"Posted",'A5.YE22'!D:D,'A0.LS'!E264),0)</f>
        <v>0</v>
      </c>
      <c r="BB264" s="936">
        <f t="shared" si="192"/>
        <v>0</v>
      </c>
      <c r="BC264" s="937"/>
      <c r="BD264" s="936">
        <f>ROUND(SUMIFS('911.VNSC.YE22'!R:R,'911.VNSC.YE22'!L:L,'A0.LS'!E264),0)</f>
        <v>0</v>
      </c>
      <c r="BE264" s="936">
        <f>ROUND(SUMIFS('A5.YE22'!J:J,'A5.YE22'!K:K,'A0.LS'!$BE$5,'A5.YE22'!L:L,"Posted",'A5.YE22'!D:D,'A0.LS'!E264),0)</f>
        <v>0</v>
      </c>
      <c r="BF264" s="936">
        <f t="shared" si="193"/>
        <v>0</v>
      </c>
      <c r="BG264" s="937"/>
      <c r="BH264" s="936">
        <f>ROUND(SUMIFS('911.XH.YE22'!T:T,'911.XH.YE22'!P:P,'A0.LS'!E264),0)</f>
        <v>0</v>
      </c>
      <c r="BI264" s="936">
        <f>ROUND(SUMIFS('A5.YE22'!J:J,'A5.YE22'!K:K,"XH",'A5.YE22'!L:L,"Posted",'A5.YE22'!D:D,'A0.LS'!E264),0)</f>
        <v>0</v>
      </c>
      <c r="BJ264" s="936">
        <f t="shared" si="194"/>
        <v>0</v>
      </c>
      <c r="BK264" s="937"/>
      <c r="BL264" s="936">
        <f>ROUND(SUMIFS('911.KCG.YE22'!T:T,'911.KCG.YE22'!P:P,'A0.LS'!E264),0)</f>
        <v>0</v>
      </c>
      <c r="BM264" s="936">
        <f>ROUND(SUMIFS('A5.YE22'!J:J,'A5.YE22'!K:K,'A0.LS'!$BM$5,'A5.YE22'!L:L,"Posted",'A5.YE22'!D:D,'A0.LS'!E264),0)</f>
        <v>0</v>
      </c>
      <c r="BN264" s="936">
        <f t="shared" si="195"/>
        <v>0</v>
      </c>
      <c r="BO264" s="937"/>
      <c r="BP264" s="938">
        <v>242270984</v>
      </c>
      <c r="BQ264" s="938">
        <f>ROUND(SUMIFS('A5.YE22'!J:J,'A5.YE22'!K:K,'A0.LS'!$BQ$5,'A5.YE22'!L:L,"Posted",'A5.YE22'!D:D,'A0.LS'!E264),0)</f>
        <v>0</v>
      </c>
      <c r="BR264" s="938">
        <f t="shared" si="196"/>
        <v>242270984</v>
      </c>
    </row>
    <row r="265" spans="2:70" ht="12.75">
      <c r="B265" s="939">
        <v>22</v>
      </c>
      <c r="C265" s="940" t="s">
        <v>2505</v>
      </c>
      <c r="D265" s="941" t="s">
        <v>2505</v>
      </c>
      <c r="E265" s="928" t="s">
        <v>2506</v>
      </c>
      <c r="F265" s="928" t="s">
        <v>2507</v>
      </c>
      <c r="G265" s="927" t="s">
        <v>2487</v>
      </c>
      <c r="H265" s="927" t="s">
        <v>2265</v>
      </c>
      <c r="I265" s="942">
        <f>SUMIFS('GL911.Cty Me.FY24'!T:T,'GL911.Cty Me.FY24'!H:H,'A0.LS'!E265)</f>
        <v>0</v>
      </c>
      <c r="J265" s="942">
        <f>ROUND(SUMIFS('A5.FY24'!K:K,'A5.FY24'!E:E,'A0.LS'!E265,'A5.FY24'!L:L,"Finhay",'A5.FY24'!M:M,"Posted"),0)</f>
        <v>0</v>
      </c>
      <c r="K265" s="942">
        <f>ROUND(SUMIFS('A5.FY24'!K:K,'A5.FY24'!E:E,'A0.LS'!E265,'A5.FY24'!L:L,"EY",'A5.FY24'!M:M,"Posted"),0)</f>
        <v>0</v>
      </c>
      <c r="L265" s="943">
        <f t="shared" si="183"/>
        <v>0</v>
      </c>
      <c r="M265" s="930"/>
      <c r="N265" s="944">
        <v>0</v>
      </c>
      <c r="O265" s="944">
        <v>0</v>
      </c>
      <c r="P265" s="944">
        <v>0</v>
      </c>
      <c r="Q265" s="945">
        <f t="shared" si="197"/>
        <v>0</v>
      </c>
      <c r="R265" s="898"/>
      <c r="S265" s="848">
        <f t="shared" si="181"/>
        <v>0</v>
      </c>
      <c r="T265" s="946" t="str">
        <f t="shared" si="182"/>
        <v>To check</v>
      </c>
      <c r="U265" s="850"/>
      <c r="V265" s="850" t="s">
        <v>2450</v>
      </c>
      <c r="W265" s="850"/>
      <c r="X265" s="947" t="s">
        <v>676</v>
      </c>
      <c r="Y265" s="947" t="s">
        <v>2464</v>
      </c>
      <c r="Z265" s="936">
        <f>ROUND(SUMIFS('GL911.CtyCon.FY24'!N:N,'GL911.CtyCon.FY24'!G:G,'A0.LS'!E265),0)</f>
        <v>0</v>
      </c>
      <c r="AA265" s="936">
        <f>ROUND(SUMIFS('A5.CTC FY24'!K:K,'A5.CTC FY24'!E:E,'A0.LS'!E265,'A5.CTC FY24'!A:A,'A0.LS'!$AA$5,'A5.CTC FY24'!L:L,"Finhay",'A5.CTC FY24'!M:M,"Posted"),0)</f>
        <v>0</v>
      </c>
      <c r="AB265" s="936">
        <f>ROUND(SUMIFS('A5.CTC FY24'!K:K,'A5.CTC FY24'!E:E,'A0.LS'!E265,'A5.CTC FY24'!A:A,'A0.LS'!$AB$5,'A5.CTC FY24'!L:L,"EY",'A5.CTC FY24'!M:M,"Posted"),0)</f>
        <v>0</v>
      </c>
      <c r="AC265" s="948">
        <f t="shared" si="184"/>
        <v>0</v>
      </c>
      <c r="AD265" s="930"/>
      <c r="AE265" s="936">
        <f>SUMIFS('GL911 VNSC FY24'!T:T,'GL911 VNSC FY24'!AG:AG,'A0.LS'!E265)</f>
        <v>0</v>
      </c>
      <c r="AF265" s="936">
        <f>SUMIFS('A5.CTC FY24'!K:K,'A5.CTC FY24'!E:E,'A0.LS'!E265,'A5.CTC FY24'!A:A,"VNSC",'A5.CTC FY24'!L:L,"VNSC",'A5.CTC FY24'!M:M,"Posted")</f>
        <v>0</v>
      </c>
      <c r="AG265" s="936">
        <f>ROUND(SUMIFS('A5.CTC FY24'!K:K,'A5.CTC FY24'!E:E,'A0.LS'!E265,'A5.CTC FY24'!A:A,"VNSC",'A5.CTC FY24'!L:L,"EY",'A5.CTC FY24'!M:M,"Posted"),0)</f>
        <v>0</v>
      </c>
      <c r="AH265" s="936">
        <f t="shared" si="185"/>
        <v>0</v>
      </c>
      <c r="AI265" s="930"/>
      <c r="AJ265" s="936">
        <f>ROUND(SUMIFS('GL911.KCG.FY24'!L:L,'GL911.KCG.FY24'!F:F,'A0.LS'!E265),0)</f>
        <v>0</v>
      </c>
      <c r="AK265" s="936">
        <f>ROUND(SUMIFS('A5.CTC FY24'!K:K,'A5.CTC FY24'!E:E,'A0.LS'!E265,'A5.CTC FY24'!A:A,'A0.LS'!$AK$5,'A5.CTC FY24'!L:L,"EY",'A5.CTC FY24'!M:M,"Posted"),0)</f>
        <v>0</v>
      </c>
      <c r="AL265" s="948">
        <f t="shared" si="186"/>
        <v>0</v>
      </c>
      <c r="AM265" s="930"/>
      <c r="AN265" s="949">
        <f t="shared" si="187"/>
        <v>0</v>
      </c>
      <c r="AO265" s="950">
        <f>ROUND(SUMIFS('A5.Consol FY24'!L:L,'A5.Consol FY24'!M:M,"EY",'A5.Consol FY24'!N:N,"Posted",'A5.Consol FY24'!B:B,'A0.LS'!$AO$5,'A5.Consol FY24'!F:F,'A0.LS'!E265),0)</f>
        <v>0</v>
      </c>
      <c r="AP265" s="949">
        <f t="shared" si="188"/>
        <v>0</v>
      </c>
      <c r="AQ265" s="930"/>
      <c r="AR265" s="936">
        <f>ROUND(SUMIFS('GL911.XH.FY24'!L:L,'GL911.XH.FY24'!F:F,'A0.LS'!E265),0)</f>
        <v>0</v>
      </c>
      <c r="AS265" s="936">
        <f>ROUND(SUMIFS('A5.CTC FY24'!K:K,'A5.CTC FY24'!E:E,'A0.LS'!E265,'A5.CTC FY24'!A:A,'A0.LS'!$AS$5,'A5.CTC FY24'!L:L,"EY",'A5.CTC FY24'!M:M,"Posted"),0)</f>
        <v>0</v>
      </c>
      <c r="AT265" s="948">
        <f t="shared" si="189"/>
        <v>0</v>
      </c>
      <c r="AU265" s="930"/>
      <c r="AV265" s="951">
        <f t="shared" si="190"/>
        <v>0</v>
      </c>
      <c r="AW265" s="952">
        <f>SUMIFS('A5.Consol FY24'!L:L,'A5.Consol FY24'!B:B,'A0.LS'!$AW$5,'A5.Consol FY24'!M:M,"EY",'A5.Consol FY24'!N:N,"Posted",'A5.Consol FY24'!F:F,'A0.LS'!E265)</f>
        <v>0</v>
      </c>
      <c r="AX265" s="951">
        <f t="shared" si="191"/>
        <v>0</v>
      </c>
      <c r="AY265" s="920"/>
      <c r="AZ265" s="936">
        <f>SUMIFS('911.CTC.YE22'!U:U,'911.CTC.YE22'!R:R,'A0.LS'!E265)</f>
        <v>0</v>
      </c>
      <c r="BA265" s="936">
        <f>ROUND(SUMIFS('A5.YE22'!J:J,'A5.YE22'!K:K,'A0.LS'!$BA$5,'A5.YE22'!L:L,"Posted",'A5.YE22'!D:D,'A0.LS'!E265),0)</f>
        <v>0</v>
      </c>
      <c r="BB265" s="936">
        <f t="shared" si="192"/>
        <v>0</v>
      </c>
      <c r="BC265" s="937"/>
      <c r="BD265" s="936">
        <f>ROUND(SUMIFS('911.VNSC.YE22'!R:R,'911.VNSC.YE22'!L:L,'A0.LS'!E265),0)</f>
        <v>0</v>
      </c>
      <c r="BE265" s="936">
        <f>ROUND(SUMIFS('A5.YE22'!J:J,'A5.YE22'!K:K,'A0.LS'!$BE$5,'A5.YE22'!L:L,"Posted",'A5.YE22'!D:D,'A0.LS'!E265),0)</f>
        <v>0</v>
      </c>
      <c r="BF265" s="936">
        <f t="shared" si="193"/>
        <v>0</v>
      </c>
      <c r="BG265" s="937"/>
      <c r="BH265" s="936">
        <f>ROUND(SUMIFS('911.XH.YE22'!T:T,'911.XH.YE22'!P:P,'A0.LS'!E265),0)</f>
        <v>0</v>
      </c>
      <c r="BI265" s="936">
        <f>ROUND(SUMIFS('A5.YE22'!J:J,'A5.YE22'!K:K,"XH",'A5.YE22'!L:L,"Posted",'A5.YE22'!D:D,'A0.LS'!E265),0)</f>
        <v>0</v>
      </c>
      <c r="BJ265" s="936">
        <f t="shared" si="194"/>
        <v>0</v>
      </c>
      <c r="BK265" s="937"/>
      <c r="BL265" s="936">
        <f>ROUND(SUMIFS('911.KCG.YE22'!T:T,'911.KCG.YE22'!P:P,'A0.LS'!E265),0)</f>
        <v>0</v>
      </c>
      <c r="BM265" s="936">
        <f>ROUND(SUMIFS('A5.YE22'!J:J,'A5.YE22'!K:K,'A0.LS'!$BM$5,'A5.YE22'!L:L,"Posted",'A5.YE22'!D:D,'A0.LS'!E265),0)</f>
        <v>0</v>
      </c>
      <c r="BN265" s="936">
        <f t="shared" si="195"/>
        <v>0</v>
      </c>
      <c r="BO265" s="937"/>
      <c r="BP265" s="938">
        <v>0</v>
      </c>
      <c r="BQ265" s="938">
        <f>ROUND(SUMIFS('A5.YE22'!J:J,'A5.YE22'!K:K,'A0.LS'!$BQ$5,'A5.YE22'!L:L,"Posted",'A5.YE22'!D:D,'A0.LS'!E265),0)</f>
        <v>0</v>
      </c>
      <c r="BR265" s="938">
        <f t="shared" si="196"/>
        <v>0</v>
      </c>
    </row>
    <row r="266" spans="2:70" ht="12.75">
      <c r="B266" s="939">
        <v>22</v>
      </c>
      <c r="C266" s="940" t="s">
        <v>2508</v>
      </c>
      <c r="D266" s="941" t="s">
        <v>2508</v>
      </c>
      <c r="E266" s="928" t="s">
        <v>331</v>
      </c>
      <c r="F266" s="928" t="s">
        <v>332</v>
      </c>
      <c r="G266" s="927" t="s">
        <v>2487</v>
      </c>
      <c r="H266" s="927" t="s">
        <v>2265</v>
      </c>
      <c r="I266" s="942">
        <f>SUMIFS('GL911.Cty Me.FY24'!T:T,'GL911.Cty Me.FY24'!H:H,'A0.LS'!E266)</f>
        <v>15391572</v>
      </c>
      <c r="J266" s="942">
        <f>ROUND(SUMIFS('A5.FY24'!K:K,'A5.FY24'!E:E,'A0.LS'!E266,'A5.FY24'!L:L,"Finhay",'A5.FY24'!M:M,"Posted"),0)</f>
        <v>0</v>
      </c>
      <c r="K266" s="942">
        <f>ROUND(SUMIFS('A5.FY24'!K:K,'A5.FY24'!E:E,'A0.LS'!E266,'A5.FY24'!L:L,"EY",'A5.FY24'!M:M,"Posted"),0)</f>
        <v>0</v>
      </c>
      <c r="L266" s="943">
        <f t="shared" si="183"/>
        <v>15391572</v>
      </c>
      <c r="M266" s="930"/>
      <c r="N266" s="944">
        <v>3226703</v>
      </c>
      <c r="O266" s="944">
        <v>0</v>
      </c>
      <c r="P266" s="944">
        <v>0</v>
      </c>
      <c r="Q266" s="945">
        <f t="shared" si="197"/>
        <v>3226703</v>
      </c>
      <c r="R266" s="898"/>
      <c r="S266" s="848">
        <f t="shared" si="181"/>
        <v>12164869</v>
      </c>
      <c r="T266" s="946">
        <f t="shared" si="182"/>
        <v>3.770061576785964</v>
      </c>
      <c r="U266" s="850"/>
      <c r="V266" s="850" t="s">
        <v>2509</v>
      </c>
      <c r="W266" s="850"/>
      <c r="X266" s="947" t="s">
        <v>676</v>
      </c>
      <c r="Y266" s="947" t="s">
        <v>2464</v>
      </c>
      <c r="Z266" s="936">
        <f>ROUND(SUMIFS('GL911.CtyCon.FY24'!N:N,'GL911.CtyCon.FY24'!G:G,'A0.LS'!E266),0)</f>
        <v>0</v>
      </c>
      <c r="AA266" s="936">
        <f>ROUND(SUMIFS('A5.CTC FY24'!K:K,'A5.CTC FY24'!E:E,'A0.LS'!E266,'A5.CTC FY24'!A:A,'A0.LS'!$AA$5,'A5.CTC FY24'!L:L,"Finhay",'A5.CTC FY24'!M:M,"Posted"),0)</f>
        <v>0</v>
      </c>
      <c r="AB266" s="936">
        <f>ROUND(SUMIFS('A5.CTC FY24'!K:K,'A5.CTC FY24'!E:E,'A0.LS'!E266,'A5.CTC FY24'!A:A,'A0.LS'!$AB$5,'A5.CTC FY24'!L:L,"EY",'A5.CTC FY24'!M:M,"Posted"),0)</f>
        <v>0</v>
      </c>
      <c r="AC266" s="948">
        <f t="shared" si="184"/>
        <v>0</v>
      </c>
      <c r="AD266" s="930"/>
      <c r="AE266" s="936">
        <f>SUMIFS('GL911 VNSC FY24'!T:T,'GL911 VNSC FY24'!AG:AG,'A0.LS'!E266)</f>
        <v>0</v>
      </c>
      <c r="AF266" s="936">
        <f>SUMIFS('A5.CTC FY24'!K:K,'A5.CTC FY24'!E:E,'A0.LS'!E266,'A5.CTC FY24'!A:A,"VNSC",'A5.CTC FY24'!L:L,"VNSC",'A5.CTC FY24'!M:M,"Posted")</f>
        <v>0</v>
      </c>
      <c r="AG266" s="936">
        <f>ROUND(SUMIFS('A5.CTC FY24'!K:K,'A5.CTC FY24'!E:E,'A0.LS'!E266,'A5.CTC FY24'!A:A,"VNSC",'A5.CTC FY24'!L:L,"EY",'A5.CTC FY24'!M:M,"Posted"),0)</f>
        <v>0</v>
      </c>
      <c r="AH266" s="936">
        <f t="shared" si="185"/>
        <v>0</v>
      </c>
      <c r="AI266" s="930"/>
      <c r="AJ266" s="936">
        <f>ROUND(SUMIFS('GL911.KCG.FY24'!L:L,'GL911.KCG.FY24'!F:F,'A0.LS'!E266),0)</f>
        <v>0</v>
      </c>
      <c r="AK266" s="936">
        <f>ROUND(SUMIFS('A5.CTC FY24'!K:K,'A5.CTC FY24'!E:E,'A0.LS'!E266,'A5.CTC FY24'!A:A,'A0.LS'!$AK$5,'A5.CTC FY24'!L:L,"EY",'A5.CTC FY24'!M:M,"Posted"),0)</f>
        <v>0</v>
      </c>
      <c r="AL266" s="948">
        <f t="shared" si="186"/>
        <v>0</v>
      </c>
      <c r="AM266" s="930"/>
      <c r="AN266" s="949">
        <f t="shared" si="187"/>
        <v>0</v>
      </c>
      <c r="AO266" s="950">
        <f>ROUND(SUMIFS('A5.Consol FY24'!L:L,'A5.Consol FY24'!M:M,"EY",'A5.Consol FY24'!N:N,"Posted",'A5.Consol FY24'!B:B,'A0.LS'!$AO$5,'A5.Consol FY24'!F:F,'A0.LS'!E266),0)</f>
        <v>0</v>
      </c>
      <c r="AP266" s="949">
        <f t="shared" si="188"/>
        <v>0</v>
      </c>
      <c r="AQ266" s="930"/>
      <c r="AR266" s="936">
        <f>ROUND(SUMIFS('GL911.XH.FY24'!L:L,'GL911.XH.FY24'!F:F,'A0.LS'!E266),0)</f>
        <v>0</v>
      </c>
      <c r="AS266" s="936">
        <f>ROUND(SUMIFS('A5.CTC FY24'!K:K,'A5.CTC FY24'!E:E,'A0.LS'!E266,'A5.CTC FY24'!A:A,'A0.LS'!$AS$5,'A5.CTC FY24'!L:L,"EY",'A5.CTC FY24'!M:M,"Posted"),0)</f>
        <v>0</v>
      </c>
      <c r="AT266" s="948">
        <f t="shared" si="189"/>
        <v>0</v>
      </c>
      <c r="AU266" s="930"/>
      <c r="AV266" s="951">
        <f t="shared" si="190"/>
        <v>15391572</v>
      </c>
      <c r="AW266" s="952">
        <f>SUMIFS('A5.Consol FY24'!L:L,'A5.Consol FY24'!B:B,'A0.LS'!$AW$5,'A5.Consol FY24'!M:M,"EY",'A5.Consol FY24'!N:N,"Posted",'A5.Consol FY24'!F:F,'A0.LS'!E266)</f>
        <v>0</v>
      </c>
      <c r="AX266" s="951">
        <f t="shared" si="191"/>
        <v>15391572</v>
      </c>
      <c r="AY266" s="920"/>
      <c r="AZ266" s="936">
        <f>SUMIFS('911.CTC.YE22'!U:U,'911.CTC.YE22'!R:R,'A0.LS'!E266)</f>
        <v>0</v>
      </c>
      <c r="BA266" s="936">
        <f>ROUND(SUMIFS('A5.YE22'!J:J,'A5.YE22'!K:K,'A0.LS'!$BA$5,'A5.YE22'!L:L,"Posted",'A5.YE22'!D:D,'A0.LS'!E266),0)</f>
        <v>0</v>
      </c>
      <c r="BB266" s="936">
        <f t="shared" si="192"/>
        <v>0</v>
      </c>
      <c r="BC266" s="937"/>
      <c r="BD266" s="936">
        <f>ROUND(SUMIFS('911.VNSC.YE22'!R:R,'911.VNSC.YE22'!L:L,'A0.LS'!E266),0)</f>
        <v>0</v>
      </c>
      <c r="BE266" s="936">
        <f>ROUND(SUMIFS('A5.YE22'!J:J,'A5.YE22'!K:K,'A0.LS'!$BE$5,'A5.YE22'!L:L,"Posted",'A5.YE22'!D:D,'A0.LS'!E266),0)</f>
        <v>0</v>
      </c>
      <c r="BF266" s="936">
        <f t="shared" si="193"/>
        <v>0</v>
      </c>
      <c r="BG266" s="937"/>
      <c r="BH266" s="936">
        <f>ROUND(SUMIFS('911.XH.YE22'!T:T,'911.XH.YE22'!P:P,'A0.LS'!E266),0)</f>
        <v>0</v>
      </c>
      <c r="BI266" s="936">
        <f>ROUND(SUMIFS('A5.YE22'!J:J,'A5.YE22'!K:K,"XH",'A5.YE22'!L:L,"Posted",'A5.YE22'!D:D,'A0.LS'!E266),0)</f>
        <v>0</v>
      </c>
      <c r="BJ266" s="936">
        <f t="shared" si="194"/>
        <v>0</v>
      </c>
      <c r="BK266" s="937"/>
      <c r="BL266" s="936">
        <f>ROUND(SUMIFS('911.KCG.YE22'!T:T,'911.KCG.YE22'!P:P,'A0.LS'!E266),0)</f>
        <v>0</v>
      </c>
      <c r="BM266" s="936">
        <f>ROUND(SUMIFS('A5.YE22'!J:J,'A5.YE22'!K:K,'A0.LS'!$BM$5,'A5.YE22'!L:L,"Posted",'A5.YE22'!D:D,'A0.LS'!E266),0)</f>
        <v>0</v>
      </c>
      <c r="BN266" s="936">
        <f t="shared" si="195"/>
        <v>0</v>
      </c>
      <c r="BO266" s="937"/>
      <c r="BP266" s="938">
        <v>3226703</v>
      </c>
      <c r="BQ266" s="938">
        <f>ROUND(SUMIFS('A5.YE22'!J:J,'A5.YE22'!K:K,'A0.LS'!$BQ$5,'A5.YE22'!L:L,"Posted",'A5.YE22'!D:D,'A0.LS'!E266),0)</f>
        <v>0</v>
      </c>
      <c r="BR266" s="938">
        <f t="shared" si="196"/>
        <v>3226703</v>
      </c>
    </row>
    <row r="267" spans="2:70" ht="12.75">
      <c r="B267" s="939">
        <v>22</v>
      </c>
      <c r="C267" s="940" t="s">
        <v>2505</v>
      </c>
      <c r="D267" s="941" t="s">
        <v>2505</v>
      </c>
      <c r="E267" s="953" t="s">
        <v>1245</v>
      </c>
      <c r="F267" s="928" t="s">
        <v>2510</v>
      </c>
      <c r="G267" s="927" t="s">
        <v>2487</v>
      </c>
      <c r="H267" s="927" t="s">
        <v>2265</v>
      </c>
      <c r="I267" s="942">
        <f>SUMIFS('GL911.Cty Me.FY24'!T:T,'GL911.Cty Me.FY24'!H:H,'A0.LS'!E267)</f>
        <v>0</v>
      </c>
      <c r="J267" s="942">
        <f>ROUND(SUMIFS('A5.FY24'!K:K,'A5.FY24'!E:E,'A0.LS'!E267,'A5.FY24'!L:L,"Finhay",'A5.FY24'!M:M,"Posted"),0)</f>
        <v>0</v>
      </c>
      <c r="K267" s="942">
        <f>ROUND(SUMIFS('A5.FY24'!K:K,'A5.FY24'!E:E,'A0.LS'!E267,'A5.FY24'!L:L,"EY",'A5.FY24'!M:M,"Posted"),0)</f>
        <v>0</v>
      </c>
      <c r="L267" s="943">
        <f t="shared" si="183"/>
        <v>0</v>
      </c>
      <c r="M267" s="930"/>
      <c r="N267" s="944">
        <v>0</v>
      </c>
      <c r="O267" s="944">
        <v>0</v>
      </c>
      <c r="P267" s="944">
        <v>0</v>
      </c>
      <c r="Q267" s="945">
        <f t="shared" si="197"/>
        <v>0</v>
      </c>
      <c r="R267" s="898"/>
      <c r="S267" s="848">
        <f t="shared" si="181"/>
        <v>0</v>
      </c>
      <c r="T267" s="946" t="str">
        <f t="shared" si="182"/>
        <v>To check</v>
      </c>
      <c r="U267" s="850"/>
      <c r="V267" s="850" t="e">
        <v>#N/A</v>
      </c>
      <c r="W267" s="850"/>
      <c r="X267" s="947" t="s">
        <v>676</v>
      </c>
      <c r="Y267" s="947" t="s">
        <v>2464</v>
      </c>
      <c r="Z267" s="936">
        <f>ROUND(SUMIFS('GL911.CtyCon.FY24'!N:N,'GL911.CtyCon.FY24'!G:G,'A0.LS'!E267),0)</f>
        <v>0</v>
      </c>
      <c r="AA267" s="936">
        <f>ROUND(SUMIFS('A5.CTC FY24'!K:K,'A5.CTC FY24'!E:E,'A0.LS'!E267,'A5.CTC FY24'!A:A,'A0.LS'!$AA$5,'A5.CTC FY24'!L:L,"Finhay",'A5.CTC FY24'!M:M,"Posted"),0)</f>
        <v>0</v>
      </c>
      <c r="AB267" s="936">
        <f>ROUND(SUMIFS('A5.CTC FY24'!K:K,'A5.CTC FY24'!E:E,'A0.LS'!E267,'A5.CTC FY24'!A:A,'A0.LS'!$AB$5,'A5.CTC FY24'!L:L,"EY",'A5.CTC FY24'!M:M,"Posted"),0)</f>
        <v>600000000</v>
      </c>
      <c r="AC267" s="948">
        <f t="shared" si="184"/>
        <v>600000000</v>
      </c>
      <c r="AD267" s="930"/>
      <c r="AE267" s="936">
        <f>SUMIFS('GL911 VNSC FY24'!T:T,'GL911 VNSC FY24'!AG:AG,'A0.LS'!E267)</f>
        <v>0</v>
      </c>
      <c r="AF267" s="936">
        <f>SUMIFS('A5.CTC FY24'!K:K,'A5.CTC FY24'!E:E,'A0.LS'!E267,'A5.CTC FY24'!A:A,"VNSC",'A5.CTC FY24'!L:L,"VNSC",'A5.CTC FY24'!M:M,"Posted")</f>
        <v>0</v>
      </c>
      <c r="AG267" s="936">
        <f>ROUND(SUMIFS('A5.CTC FY24'!K:K,'A5.CTC FY24'!E:E,'A0.LS'!E267,'A5.CTC FY24'!A:A,"VNSC",'A5.CTC FY24'!L:L,"EY",'A5.CTC FY24'!M:M,"Posted"),0)</f>
        <v>0</v>
      </c>
      <c r="AH267" s="936">
        <f t="shared" si="185"/>
        <v>0</v>
      </c>
      <c r="AI267" s="930"/>
      <c r="AJ267" s="936">
        <f>ROUND(SUMIFS('GL911.KCG.FY24'!L:L,'GL911.KCG.FY24'!F:F,'A0.LS'!E267),0)</f>
        <v>0</v>
      </c>
      <c r="AK267" s="936">
        <f>ROUND(SUMIFS('A5.CTC FY24'!K:K,'A5.CTC FY24'!E:E,'A0.LS'!E267,'A5.CTC FY24'!A:A,'A0.LS'!$AK$5,'A5.CTC FY24'!L:L,"EY",'A5.CTC FY24'!M:M,"Posted"),0)</f>
        <v>0</v>
      </c>
      <c r="AL267" s="948">
        <f t="shared" si="186"/>
        <v>0</v>
      </c>
      <c r="AM267" s="930"/>
      <c r="AN267" s="949">
        <f t="shared" si="187"/>
        <v>600000000</v>
      </c>
      <c r="AO267" s="950">
        <f>ROUND(SUMIFS('A5.Consol FY24'!L:L,'A5.Consol FY24'!M:M,"EY",'A5.Consol FY24'!N:N,"Posted",'A5.Consol FY24'!B:B,'A0.LS'!$AO$5,'A5.Consol FY24'!F:F,'A0.LS'!E267),0)</f>
        <v>-600000000</v>
      </c>
      <c r="AP267" s="949">
        <f t="shared" si="188"/>
        <v>0</v>
      </c>
      <c r="AQ267" s="930"/>
      <c r="AR267" s="936">
        <f>ROUND(SUMIFS('GL911.XH.FY24'!L:L,'GL911.XH.FY24'!F:F,'A0.LS'!E267),0)</f>
        <v>0</v>
      </c>
      <c r="AS267" s="936">
        <f>ROUND(SUMIFS('A5.CTC FY24'!K:K,'A5.CTC FY24'!E:E,'A0.LS'!E267,'A5.CTC FY24'!A:A,'A0.LS'!$AS$5,'A5.CTC FY24'!L:L,"EY",'A5.CTC FY24'!M:M,"Posted"),0)</f>
        <v>0</v>
      </c>
      <c r="AT267" s="948">
        <f t="shared" si="189"/>
        <v>0</v>
      </c>
      <c r="AU267" s="930"/>
      <c r="AV267" s="951">
        <f t="shared" si="190"/>
        <v>0</v>
      </c>
      <c r="AW267" s="952">
        <f>SUMIFS('A5.Consol FY24'!L:L,'A5.Consol FY24'!B:B,'A0.LS'!$AW$5,'A5.Consol FY24'!M:M,"EY",'A5.Consol FY24'!N:N,"Posted",'A5.Consol FY24'!F:F,'A0.LS'!E267)</f>
        <v>0</v>
      </c>
      <c r="AX267" s="951">
        <f t="shared" si="191"/>
        <v>0</v>
      </c>
      <c r="AY267" s="920"/>
      <c r="AZ267" s="936">
        <f>SUMIFS('911.CTC.YE22'!U:U,'911.CTC.YE22'!R:R,'A0.LS'!E267)</f>
        <v>0</v>
      </c>
      <c r="BA267" s="936">
        <f>ROUND(SUMIFS('A5.YE22'!J:J,'A5.YE22'!K:K,'A0.LS'!$BA$5,'A5.YE22'!L:L,"Posted",'A5.YE22'!D:D,'A0.LS'!E267),0)</f>
        <v>0</v>
      </c>
      <c r="BB267" s="936">
        <f t="shared" si="192"/>
        <v>0</v>
      </c>
      <c r="BC267" s="937"/>
      <c r="BD267" s="936">
        <f>ROUND(SUMIFS('911.VNSC.YE22'!R:R,'911.VNSC.YE22'!L:L,'A0.LS'!E267),0)</f>
        <v>0</v>
      </c>
      <c r="BE267" s="936">
        <f>ROUND(SUMIFS('A5.YE22'!J:J,'A5.YE22'!K:K,'A0.LS'!$BE$5,'A5.YE22'!L:L,"Posted",'A5.YE22'!D:D,'A0.LS'!E267),0)</f>
        <v>0</v>
      </c>
      <c r="BF267" s="936">
        <f t="shared" si="193"/>
        <v>0</v>
      </c>
      <c r="BG267" s="937"/>
      <c r="BH267" s="936">
        <f>ROUND(SUMIFS('911.XH.YE22'!T:T,'911.XH.YE22'!P:P,'A0.LS'!E267),0)</f>
        <v>0</v>
      </c>
      <c r="BI267" s="936">
        <f>ROUND(SUMIFS('A5.YE22'!J:J,'A5.YE22'!K:K,"XH",'A5.YE22'!L:L,"Posted",'A5.YE22'!D:D,'A0.LS'!E267),0)</f>
        <v>0</v>
      </c>
      <c r="BJ267" s="936">
        <f t="shared" si="194"/>
        <v>0</v>
      </c>
      <c r="BK267" s="937"/>
      <c r="BL267" s="936">
        <f>ROUND(SUMIFS('911.KCG.YE22'!T:T,'911.KCG.YE22'!P:P,'A0.LS'!E267),0)</f>
        <v>0</v>
      </c>
      <c r="BM267" s="936">
        <f>ROUND(SUMIFS('A5.YE22'!J:J,'A5.YE22'!K:K,'A0.LS'!$BM$5,'A5.YE22'!L:L,"Posted",'A5.YE22'!D:D,'A0.LS'!E267),0)</f>
        <v>0</v>
      </c>
      <c r="BN267" s="936">
        <f t="shared" si="195"/>
        <v>0</v>
      </c>
      <c r="BO267" s="937"/>
      <c r="BP267" s="938">
        <v>0</v>
      </c>
      <c r="BQ267" s="938">
        <f>ROUND(SUMIFS('A5.YE22'!J:J,'A5.YE22'!K:K,'A0.LS'!$BQ$5,'A5.YE22'!L:L,"Posted",'A5.YE22'!D:D,'A0.LS'!E267),0)</f>
        <v>0</v>
      </c>
      <c r="BR267" s="938">
        <f t="shared" si="196"/>
        <v>0</v>
      </c>
    </row>
    <row r="268" spans="2:70" ht="12.75">
      <c r="B268" s="939">
        <v>22</v>
      </c>
      <c r="C268" s="968" t="s">
        <v>2485</v>
      </c>
      <c r="D268" s="941" t="s">
        <v>2485</v>
      </c>
      <c r="E268" s="953" t="s">
        <v>2511</v>
      </c>
      <c r="F268" s="928" t="s">
        <v>2501</v>
      </c>
      <c r="G268" s="927" t="s">
        <v>2492</v>
      </c>
      <c r="H268" s="927" t="s">
        <v>675</v>
      </c>
      <c r="I268" s="942">
        <f>SUMIFS('GL911.Cty Me.FY24'!T:T,'GL911.Cty Me.FY24'!H:H,'A0.LS'!E268)</f>
        <v>0</v>
      </c>
      <c r="J268" s="942">
        <f>ROUND(SUMIFS('A5.FY24'!K:K,'A5.FY24'!E:E,'A0.LS'!E268,'A5.FY24'!L:L,"Finhay",'A5.FY24'!M:M,"Posted"),0)</f>
        <v>0</v>
      </c>
      <c r="K268" s="942">
        <f>ROUND(SUMIFS('A5.FY24'!K:K,'A5.FY24'!E:E,'A0.LS'!E268,'A5.FY24'!L:L,"EY",'A5.FY24'!M:M,"Posted"),0)</f>
        <v>0</v>
      </c>
      <c r="L268" s="943">
        <f t="shared" si="183"/>
        <v>0</v>
      </c>
      <c r="M268" s="930"/>
      <c r="N268" s="944">
        <v>0</v>
      </c>
      <c r="O268" s="944">
        <v>0</v>
      </c>
      <c r="P268" s="944">
        <v>-242740112</v>
      </c>
      <c r="Q268" s="945">
        <f t="shared" si="197"/>
        <v>-242740112</v>
      </c>
      <c r="R268" s="898"/>
      <c r="S268" s="848">
        <f t="shared" si="181"/>
        <v>242740112</v>
      </c>
      <c r="T268" s="946">
        <f t="shared" si="182"/>
        <v>-1</v>
      </c>
      <c r="U268" s="850"/>
      <c r="V268" s="850"/>
      <c r="W268" s="850"/>
      <c r="X268" s="947" t="s">
        <v>676</v>
      </c>
      <c r="Y268" s="947" t="s">
        <v>2464</v>
      </c>
      <c r="Z268" s="936">
        <f>ROUND(SUMIFS('GL911.CtyCon.FY24'!N:N,'GL911.CtyCon.FY24'!G:G,'A0.LS'!E268),0)</f>
        <v>0</v>
      </c>
      <c r="AA268" s="936">
        <f>ROUND(SUMIFS('A5.CTC FY24'!K:K,'A5.CTC FY24'!E:E,'A0.LS'!E268,'A5.CTC FY24'!A:A,'A0.LS'!$AA$5,'A5.CTC FY24'!L:L,"Finhay",'A5.CTC FY24'!M:M,"Posted"),0)</f>
        <v>0</v>
      </c>
      <c r="AB268" s="936">
        <f>ROUND(SUMIFS('A5.CTC FY24'!K:K,'A5.CTC FY24'!E:E,'A0.LS'!E268,'A5.CTC FY24'!A:A,'A0.LS'!$AB$5,'A5.CTC FY24'!L:L,"EY",'A5.CTC FY24'!M:M,"Posted"),0)</f>
        <v>0</v>
      </c>
      <c r="AC268" s="948">
        <f t="shared" si="184"/>
        <v>0</v>
      </c>
      <c r="AD268" s="930"/>
      <c r="AE268" s="936">
        <f>SUMIFS('GL911 VNSC FY24'!T:T,'GL911 VNSC FY24'!AG:AG,'A0.LS'!E268)</f>
        <v>0</v>
      </c>
      <c r="AF268" s="936">
        <f>SUMIFS('A5.CTC FY24'!K:K,'A5.CTC FY24'!E:E,'A0.LS'!E268,'A5.CTC FY24'!A:A,"VNSC",'A5.CTC FY24'!L:L,"VNSC",'A5.CTC FY24'!M:M,"Posted")</f>
        <v>0</v>
      </c>
      <c r="AG268" s="936">
        <f>ROUND(SUMIFS('A5.CTC FY24'!K:K,'A5.CTC FY24'!E:E,'A0.LS'!E268,'A5.CTC FY24'!A:A,"VNSC",'A5.CTC FY24'!L:L,"EY",'A5.CTC FY24'!M:M,"Posted"),0)</f>
        <v>0</v>
      </c>
      <c r="AH268" s="936">
        <f t="shared" si="185"/>
        <v>0</v>
      </c>
      <c r="AI268" s="930"/>
      <c r="AJ268" s="936">
        <f>ROUND(SUMIFS('GL911.KCG.FY24'!L:L,'GL911.KCG.FY24'!F:F,'A0.LS'!E268),0)</f>
        <v>0</v>
      </c>
      <c r="AK268" s="936">
        <f>ROUND(SUMIFS('A5.CTC FY24'!K:K,'A5.CTC FY24'!E:E,'A0.LS'!E268,'A5.CTC FY24'!A:A,'A0.LS'!$AK$5,'A5.CTC FY24'!L:L,"EY",'A5.CTC FY24'!M:M,"Posted"),0)</f>
        <v>0</v>
      </c>
      <c r="AL268" s="948">
        <f t="shared" si="186"/>
        <v>0</v>
      </c>
      <c r="AM268" s="930"/>
      <c r="AN268" s="949">
        <f t="shared" si="187"/>
        <v>0</v>
      </c>
      <c r="AO268" s="950">
        <f>ROUND(SUMIFS('A5.Consol FY24'!L:L,'A5.Consol FY24'!M:M,"EY",'A5.Consol FY24'!N:N,"Posted",'A5.Consol FY24'!B:B,'A0.LS'!$AO$5,'A5.Consol FY24'!F:F,'A0.LS'!E268),0)</f>
        <v>0</v>
      </c>
      <c r="AP268" s="949">
        <f t="shared" si="188"/>
        <v>0</v>
      </c>
      <c r="AQ268" s="930"/>
      <c r="AR268" s="936">
        <f>ROUND(SUMIFS('GL911.XH.FY24'!L:L,'GL911.XH.FY24'!F:F,'A0.LS'!E268),0)</f>
        <v>0</v>
      </c>
      <c r="AS268" s="936">
        <f>ROUND(SUMIFS('A5.CTC FY24'!K:K,'A5.CTC FY24'!E:E,'A0.LS'!E268,'A5.CTC FY24'!A:A,'A0.LS'!$AS$5,'A5.CTC FY24'!L:L,"EY",'A5.CTC FY24'!M:M,"Posted"),0)</f>
        <v>0</v>
      </c>
      <c r="AT268" s="948">
        <f t="shared" si="189"/>
        <v>0</v>
      </c>
      <c r="AU268" s="930"/>
      <c r="AV268" s="951">
        <f t="shared" si="190"/>
        <v>0</v>
      </c>
      <c r="AW268" s="952">
        <f>SUMIFS('A5.Consol FY24'!L:L,'A5.Consol FY24'!B:B,'A0.LS'!$AW$5,'A5.Consol FY24'!M:M,"EY",'A5.Consol FY24'!N:N,"Posted",'A5.Consol FY24'!F:F,'A0.LS'!E268)</f>
        <v>0</v>
      </c>
      <c r="AX268" s="951">
        <f t="shared" si="191"/>
        <v>0</v>
      </c>
      <c r="AY268" s="920"/>
      <c r="AZ268" s="936">
        <f>SUMIFS('911.CTC.YE22'!U:U,'911.CTC.YE22'!R:R,'A0.LS'!E268)</f>
        <v>0</v>
      </c>
      <c r="BA268" s="936">
        <f>ROUND(SUMIFS('A5.YE22'!J:J,'A5.YE22'!K:K,'A0.LS'!$BA$5,'A5.YE22'!L:L,"Posted",'A5.YE22'!D:D,'A0.LS'!E268),0)</f>
        <v>0</v>
      </c>
      <c r="BB268" s="936">
        <f t="shared" si="192"/>
        <v>0</v>
      </c>
      <c r="BC268" s="937"/>
      <c r="BD268" s="936">
        <f>ROUND(SUMIFS('911.VNSC.YE22'!R:R,'911.VNSC.YE22'!L:L,'A0.LS'!E268),0)</f>
        <v>0</v>
      </c>
      <c r="BE268" s="936">
        <f>ROUND(SUMIFS('A5.YE22'!J:J,'A5.YE22'!K:K,'A0.LS'!$BE$5,'A5.YE22'!L:L,"Posted",'A5.YE22'!D:D,'A0.LS'!E268),0)</f>
        <v>0</v>
      </c>
      <c r="BF268" s="936">
        <f t="shared" si="193"/>
        <v>0</v>
      </c>
      <c r="BG268" s="937"/>
      <c r="BH268" s="936">
        <f>ROUND(SUMIFS('911.XH.YE22'!T:T,'911.XH.YE22'!P:P,'A0.LS'!E268),0)</f>
        <v>0</v>
      </c>
      <c r="BI268" s="936">
        <f>ROUND(SUMIFS('A5.YE22'!J:J,'A5.YE22'!K:K,"XH",'A5.YE22'!L:L,"Posted",'A5.YE22'!D:D,'A0.LS'!E268),0)</f>
        <v>0</v>
      </c>
      <c r="BJ268" s="936">
        <f t="shared" si="194"/>
        <v>0</v>
      </c>
      <c r="BK268" s="937"/>
      <c r="BL268" s="936">
        <f>ROUND(SUMIFS('911.KCG.YE22'!T:T,'911.KCG.YE22'!P:P,'A0.LS'!E268),0)</f>
        <v>0</v>
      </c>
      <c r="BM268" s="936">
        <f>ROUND(SUMIFS('A5.YE22'!J:J,'A5.YE22'!K:K,'A0.LS'!$BM$5,'A5.YE22'!L:L,"Posted",'A5.YE22'!D:D,'A0.LS'!E268),0)</f>
        <v>0</v>
      </c>
      <c r="BN268" s="936">
        <f t="shared" si="195"/>
        <v>0</v>
      </c>
      <c r="BO268" s="937"/>
      <c r="BP268" s="938">
        <v>-242740112</v>
      </c>
      <c r="BQ268" s="938">
        <f>ROUND(SUMIFS('A5.YE22'!J:J,'A5.YE22'!K:K,'A0.LS'!$BQ$5,'A5.YE22'!L:L,"Posted",'A5.YE22'!D:D,'A0.LS'!E268),0)</f>
        <v>0</v>
      </c>
      <c r="BR268" s="938">
        <f t="shared" si="196"/>
        <v>-242740112</v>
      </c>
    </row>
    <row r="269" spans="2:70" ht="12.75">
      <c r="B269" s="939">
        <v>22</v>
      </c>
      <c r="C269" s="940"/>
      <c r="D269" s="941"/>
      <c r="E269" s="953" t="s">
        <v>1024</v>
      </c>
      <c r="F269" s="928" t="s">
        <v>2512</v>
      </c>
      <c r="G269" s="927" t="s">
        <v>2492</v>
      </c>
      <c r="H269" s="927" t="s">
        <v>675</v>
      </c>
      <c r="I269" s="942">
        <f>SUMIFS('GL911.Cty Me.FY24'!T:T,'GL911.Cty Me.FY24'!H:H,'A0.LS'!E269)</f>
        <v>0</v>
      </c>
      <c r="J269" s="942">
        <f>ROUND(SUMIFS('A5.FY24'!K:K,'A5.FY24'!E:E,'A0.LS'!E269,'A5.FY24'!L:L,"Finhay",'A5.FY24'!M:M,"Posted"),0)</f>
        <v>0</v>
      </c>
      <c r="K269" s="942">
        <f>ROUND(SUMIFS('A5.FY24'!K:K,'A5.FY24'!E:E,'A0.LS'!E269,'A5.FY24'!L:L,"EY",'A5.FY24'!M:M,"Posted"),0)</f>
        <v>0</v>
      </c>
      <c r="L269" s="943">
        <f t="shared" si="183"/>
        <v>0</v>
      </c>
      <c r="M269" s="930"/>
      <c r="N269" s="944">
        <v>0</v>
      </c>
      <c r="O269" s="944">
        <v>0</v>
      </c>
      <c r="P269" s="944">
        <v>0</v>
      </c>
      <c r="Q269" s="945">
        <f t="shared" si="197"/>
        <v>0</v>
      </c>
      <c r="R269" s="898"/>
      <c r="S269" s="848">
        <f t="shared" si="181"/>
        <v>0</v>
      </c>
      <c r="T269" s="946" t="str">
        <f t="shared" si="182"/>
        <v>To check</v>
      </c>
      <c r="U269" s="850"/>
      <c r="V269" s="850"/>
      <c r="W269" s="850"/>
      <c r="X269" s="947"/>
      <c r="Y269" s="947" t="s">
        <v>2464</v>
      </c>
      <c r="Z269" s="936">
        <f>ROUND(SUMIFS('GL911.CtyCon.FY24'!N:N,'GL911.CtyCon.FY24'!G:G,'A0.LS'!E269),0)</f>
        <v>0</v>
      </c>
      <c r="AA269" s="936">
        <f>ROUND(SUMIFS('A5.CTC FY24'!K:K,'A5.CTC FY24'!E:E,'A0.LS'!E269,'A5.CTC FY24'!A:A,'A0.LS'!$AA$5,'A5.CTC FY24'!L:L,"Finhay",'A5.CTC FY24'!M:M,"Posted"),0)</f>
        <v>0</v>
      </c>
      <c r="AB269" s="936">
        <f>ROUND(SUMIFS('A5.CTC FY24'!K:K,'A5.CTC FY24'!E:E,'A0.LS'!E269,'A5.CTC FY24'!A:A,'A0.LS'!$AB$5,'A5.CTC FY24'!L:L,"EY",'A5.CTC FY24'!M:M,"Posted"),0)</f>
        <v>0</v>
      </c>
      <c r="AC269" s="948">
        <f t="shared" si="184"/>
        <v>0</v>
      </c>
      <c r="AD269" s="930"/>
      <c r="AE269" s="936">
        <f>SUMIFS('GL911 VNSC FY24'!T:T,'GL911 VNSC FY24'!AG:AG,'A0.LS'!E269)</f>
        <v>204359627</v>
      </c>
      <c r="AF269" s="936">
        <f>SUMIFS('A5.CTC FY24'!K:K,'A5.CTC FY24'!E:E,'A0.LS'!E269,'A5.CTC FY24'!A:A,"VNSC",'A5.CTC FY24'!L:L,"VNSC",'A5.CTC FY24'!M:M,"Posted")</f>
        <v>0</v>
      </c>
      <c r="AG269" s="936">
        <f>ROUND(SUMIFS('A5.CTC FY24'!K:K,'A5.CTC FY24'!E:E,'A0.LS'!E269,'A5.CTC FY24'!A:A,"VNSC",'A5.CTC FY24'!L:L,"EY",'A5.CTC FY24'!M:M,"Posted"),0)</f>
        <v>279700246</v>
      </c>
      <c r="AH269" s="936">
        <f t="shared" si="185"/>
        <v>484059873</v>
      </c>
      <c r="AI269" s="930"/>
      <c r="AJ269" s="936">
        <f>ROUND(SUMIFS('GL911.KCG.FY24'!L:L,'GL911.KCG.FY24'!F:F,'A0.LS'!E269),0)</f>
        <v>0</v>
      </c>
      <c r="AK269" s="936">
        <f>ROUND(SUMIFS('A5.CTC FY24'!K:K,'A5.CTC FY24'!E:E,'A0.LS'!E269,'A5.CTC FY24'!A:A,'A0.LS'!$AK$5,'A5.CTC FY24'!L:L,"EY",'A5.CTC FY24'!M:M,"Posted"),0)</f>
        <v>0</v>
      </c>
      <c r="AL269" s="948">
        <f t="shared" si="186"/>
        <v>0</v>
      </c>
      <c r="AM269" s="930"/>
      <c r="AN269" s="949">
        <f t="shared" si="187"/>
        <v>484059873</v>
      </c>
      <c r="AO269" s="950">
        <f>ROUND(SUMIFS('A5.Consol FY24'!L:L,'A5.Consol FY24'!M:M,"EY",'A5.Consol FY24'!N:N,"Posted",'A5.Consol FY24'!B:B,'A0.LS'!$AO$5,'A5.Consol FY24'!F:F,'A0.LS'!E269),0)</f>
        <v>-484059873</v>
      </c>
      <c r="AP269" s="949">
        <f t="shared" si="188"/>
        <v>0</v>
      </c>
      <c r="AQ269" s="930"/>
      <c r="AR269" s="936">
        <f>ROUND(SUMIFS('GL911.XH.FY24'!L:L,'GL911.XH.FY24'!F:F,'A0.LS'!E269),0)</f>
        <v>0</v>
      </c>
      <c r="AS269" s="936">
        <f>ROUND(SUMIFS('A5.CTC FY24'!K:K,'A5.CTC FY24'!E:E,'A0.LS'!E269,'A5.CTC FY24'!A:A,'A0.LS'!$AS$5,'A5.CTC FY24'!L:L,"EY",'A5.CTC FY24'!M:M,"Posted"),0)</f>
        <v>0</v>
      </c>
      <c r="AT269" s="948">
        <f t="shared" si="189"/>
        <v>0</v>
      </c>
      <c r="AU269" s="930"/>
      <c r="AV269" s="951">
        <f t="shared" si="190"/>
        <v>0</v>
      </c>
      <c r="AW269" s="952">
        <f>SUMIFS('A5.Consol FY24'!L:L,'A5.Consol FY24'!B:B,'A0.LS'!$AW$5,'A5.Consol FY24'!M:M,"EY",'A5.Consol FY24'!N:N,"Posted",'A5.Consol FY24'!F:F,'A0.LS'!E269)</f>
        <v>0</v>
      </c>
      <c r="AX269" s="951">
        <f t="shared" si="191"/>
        <v>0</v>
      </c>
      <c r="AY269" s="920"/>
      <c r="AZ269" s="936">
        <f>SUMIFS('911.CTC.YE22'!U:U,'911.CTC.YE22'!R:R,'A0.LS'!E269)</f>
        <v>0</v>
      </c>
      <c r="BA269" s="936">
        <f>ROUND(SUMIFS('A5.YE22'!J:J,'A5.YE22'!K:K,'A0.LS'!$BA$5,'A5.YE22'!L:L,"Posted",'A5.YE22'!D:D,'A0.LS'!E269),0)</f>
        <v>0</v>
      </c>
      <c r="BB269" s="936">
        <f t="shared" si="192"/>
        <v>0</v>
      </c>
      <c r="BC269" s="937"/>
      <c r="BD269" s="936">
        <f>ROUND(SUMIFS('911.VNSC.YE22'!R:R,'911.VNSC.YE22'!L:L,'A0.LS'!E269),0)</f>
        <v>0</v>
      </c>
      <c r="BE269" s="936">
        <f>ROUND(SUMIFS('A5.YE22'!J:J,'A5.YE22'!K:K,'A0.LS'!$BE$5,'A5.YE22'!L:L,"Posted",'A5.YE22'!D:D,'A0.LS'!E269),0)</f>
        <v>0</v>
      </c>
      <c r="BF269" s="936">
        <f t="shared" si="193"/>
        <v>0</v>
      </c>
      <c r="BG269" s="937"/>
      <c r="BH269" s="936">
        <f>ROUND(SUMIFS('911.XH.YE22'!T:T,'911.XH.YE22'!P:P,'A0.LS'!E269),0)</f>
        <v>0</v>
      </c>
      <c r="BI269" s="936">
        <f>ROUND(SUMIFS('A5.YE22'!J:J,'A5.YE22'!K:K,"XH",'A5.YE22'!L:L,"Posted",'A5.YE22'!D:D,'A0.LS'!E269),0)</f>
        <v>0</v>
      </c>
      <c r="BJ269" s="936">
        <f t="shared" si="194"/>
        <v>0</v>
      </c>
      <c r="BK269" s="937"/>
      <c r="BL269" s="936">
        <f>ROUND(SUMIFS('911.KCG.YE22'!T:T,'911.KCG.YE22'!P:P,'A0.LS'!E269),0)</f>
        <v>0</v>
      </c>
      <c r="BM269" s="936">
        <f>ROUND(SUMIFS('A5.YE22'!J:J,'A5.YE22'!K:K,'A0.LS'!$BM$5,'A5.YE22'!L:L,"Posted",'A5.YE22'!D:D,'A0.LS'!E269),0)</f>
        <v>0</v>
      </c>
      <c r="BN269" s="936">
        <f t="shared" si="195"/>
        <v>0</v>
      </c>
      <c r="BO269" s="937"/>
      <c r="BP269" s="938">
        <v>0</v>
      </c>
      <c r="BQ269" s="938">
        <f>ROUND(SUMIFS('A5.YE22'!J:J,'A5.YE22'!K:K,'A0.LS'!$BQ$5,'A5.YE22'!L:L,"Posted",'A5.YE22'!D:D,'A0.LS'!E269),0)</f>
        <v>0</v>
      </c>
      <c r="BR269" s="938">
        <f t="shared" si="196"/>
        <v>0</v>
      </c>
    </row>
    <row r="270" spans="2:70" ht="12.75">
      <c r="B270" s="925"/>
      <c r="C270" s="926"/>
      <c r="D270" s="927"/>
      <c r="E270" s="928"/>
      <c r="F270" s="928"/>
      <c r="G270" s="928"/>
      <c r="H270" s="927"/>
      <c r="I270" s="929"/>
      <c r="J270" s="929"/>
      <c r="K270" s="929"/>
      <c r="L270" s="929"/>
      <c r="M270" s="930"/>
      <c r="N270" s="931"/>
      <c r="O270" s="931"/>
      <c r="P270" s="931"/>
      <c r="Q270" s="932"/>
      <c r="R270" s="898"/>
      <c r="S270" s="850"/>
      <c r="T270" s="850"/>
      <c r="U270" s="850"/>
      <c r="V270" s="850"/>
      <c r="W270" s="850"/>
      <c r="X270" s="947" t="s">
        <v>676</v>
      </c>
      <c r="Y270" s="933"/>
      <c r="Z270" s="934"/>
      <c r="AA270" s="934"/>
      <c r="AB270" s="934"/>
      <c r="AC270" s="934"/>
      <c r="AD270" s="930"/>
      <c r="AE270" s="934"/>
      <c r="AF270" s="934"/>
      <c r="AG270" s="934"/>
      <c r="AH270" s="934"/>
      <c r="AI270" s="930"/>
      <c r="AJ270" s="934"/>
      <c r="AK270" s="934"/>
      <c r="AL270" s="934"/>
      <c r="AM270" s="930"/>
      <c r="AN270" s="935"/>
      <c r="AO270" s="935"/>
      <c r="AP270" s="935"/>
      <c r="AQ270" s="930"/>
      <c r="AR270" s="934"/>
      <c r="AS270" s="934"/>
      <c r="AT270" s="934"/>
      <c r="AU270" s="930"/>
      <c r="AV270" s="909"/>
      <c r="AW270" s="909"/>
      <c r="AX270" s="909"/>
      <c r="AY270" s="920"/>
      <c r="AZ270" s="936"/>
      <c r="BA270" s="936"/>
      <c r="BB270" s="936"/>
      <c r="BC270" s="937"/>
      <c r="BD270" s="936"/>
      <c r="BE270" s="936"/>
      <c r="BF270" s="936"/>
      <c r="BG270" s="937"/>
      <c r="BH270" s="936"/>
      <c r="BI270" s="936"/>
      <c r="BJ270" s="936"/>
      <c r="BK270" s="937"/>
      <c r="BL270" s="936"/>
      <c r="BM270" s="936"/>
      <c r="BN270" s="936"/>
      <c r="BO270" s="937"/>
      <c r="BP270" s="938"/>
      <c r="BQ270" s="938"/>
      <c r="BR270" s="938"/>
    </row>
    <row r="271" spans="2:70" s="1" customFormat="1" ht="12.75">
      <c r="B271" s="293"/>
      <c r="C271" s="294"/>
      <c r="D271" s="295"/>
      <c r="E271" s="75"/>
      <c r="F271" s="75" t="s">
        <v>2513</v>
      </c>
      <c r="G271" s="75"/>
      <c r="H271" s="295"/>
      <c r="I271" s="68">
        <f>SUM(I272:I300)</f>
        <v>11536647246</v>
      </c>
      <c r="J271" s="68">
        <f>SUM(J272:J300)</f>
        <v>303592</v>
      </c>
      <c r="K271" s="68">
        <f>SUM(K272:K300)</f>
        <v>0</v>
      </c>
      <c r="L271" s="68">
        <f>SUM(L272:L300)</f>
        <v>11536950838</v>
      </c>
      <c r="M271" s="296"/>
      <c r="N271" s="69">
        <f>SUM(N272:N300)</f>
        <v>17220589977</v>
      </c>
      <c r="O271" s="69">
        <f>SUM(O272:O300)</f>
        <v>481722039</v>
      </c>
      <c r="P271" s="69">
        <f>SUM(P272:P300)</f>
        <v>0</v>
      </c>
      <c r="Q271" s="70">
        <f>SUM(Q272:Q300)</f>
        <v>17702312016</v>
      </c>
      <c r="R271" s="298"/>
      <c r="S271" s="175">
        <f t="shared" ref="S271:S295" si="214">L271-Q271</f>
        <v>-6165361178</v>
      </c>
      <c r="T271" s="176">
        <f t="shared" ref="T271:T295" si="215">IFERROR(S271/Q271,"To check")</f>
        <v>-0.34827999712283458</v>
      </c>
      <c r="X271" s="933"/>
      <c r="Y271" s="304"/>
      <c r="Z271" s="235">
        <f>SUM(Z272:Z300)</f>
        <v>34705000</v>
      </c>
      <c r="AA271" s="235">
        <f>SUM(AA272:AA300)</f>
        <v>0</v>
      </c>
      <c r="AB271" s="235">
        <f>SUM(AB272:AB300)</f>
        <v>0</v>
      </c>
      <c r="AC271" s="235">
        <f>SUM(AC272:AC300)</f>
        <v>34705000</v>
      </c>
      <c r="AD271" s="236"/>
      <c r="AE271" s="235">
        <f>SUM(AE272:AE300)</f>
        <v>0</v>
      </c>
      <c r="AF271" s="235">
        <f>SUM(AF272:AF300)</f>
        <v>0</v>
      </c>
      <c r="AG271" s="235">
        <f>SUM(AG272:AG300)</f>
        <v>0</v>
      </c>
      <c r="AH271" s="235">
        <f>SUM(AH272:AH300)</f>
        <v>0</v>
      </c>
      <c r="AI271" s="236"/>
      <c r="AJ271" s="235">
        <f>SUM(AJ272:AJ300)</f>
        <v>0</v>
      </c>
      <c r="AK271" s="235">
        <f>SUM(AK272:AK300)</f>
        <v>0</v>
      </c>
      <c r="AL271" s="235">
        <f>SUM(AL272:AL300)</f>
        <v>0</v>
      </c>
      <c r="AM271" s="236"/>
      <c r="AN271" s="237">
        <f>SUM(AN272:AN300)</f>
        <v>34705000</v>
      </c>
      <c r="AO271" s="237">
        <f>SUM(AO272:AO300)</f>
        <v>0</v>
      </c>
      <c r="AP271" s="237">
        <f>SUM(AP272:AP300)</f>
        <v>34705000</v>
      </c>
      <c r="AQ271" s="236"/>
      <c r="AR271" s="235">
        <f>SUM(AR272:AR300)</f>
        <v>0</v>
      </c>
      <c r="AS271" s="235">
        <f>SUM(AS272:AS300)</f>
        <v>0</v>
      </c>
      <c r="AT271" s="235">
        <f>SUM(AT272:AT300)</f>
        <v>0</v>
      </c>
      <c r="AU271" s="236"/>
      <c r="AV271" s="238">
        <f>SUM(AV272:AV300)</f>
        <v>11571655838</v>
      </c>
      <c r="AW271" s="238">
        <f>SUM(AW272:AW300)</f>
        <v>0</v>
      </c>
      <c r="AX271" s="238">
        <f>SUM(AX272:AX300)</f>
        <v>11571655838</v>
      </c>
      <c r="AY271" s="614"/>
      <c r="AZ271" s="235">
        <f>SUM(AZ272:AZ300)</f>
        <v>461370111</v>
      </c>
      <c r="BA271" s="235">
        <f>SUM(BA272:BA300)</f>
        <v>0</v>
      </c>
      <c r="BB271" s="235">
        <f>SUM(BB272:BB300)</f>
        <v>461370111</v>
      </c>
      <c r="BC271" s="236"/>
      <c r="BD271" s="235">
        <f>SUM(BD272:BD300)</f>
        <v>0</v>
      </c>
      <c r="BE271" s="235">
        <f>SUM(BE272:BE300)</f>
        <v>0</v>
      </c>
      <c r="BF271" s="235">
        <f>SUM(BF272:BF300)</f>
        <v>0</v>
      </c>
      <c r="BG271" s="236"/>
      <c r="BH271" s="235">
        <f>SUM(BH272:BH300)</f>
        <v>0</v>
      </c>
      <c r="BI271" s="235">
        <f>SUM(BI272:BI300)</f>
        <v>0</v>
      </c>
      <c r="BJ271" s="235">
        <f>SUM(BJ272:BJ300)</f>
        <v>0</v>
      </c>
      <c r="BK271" s="236"/>
      <c r="BL271" s="235">
        <f>SUM(BL272:BL300)</f>
        <v>0</v>
      </c>
      <c r="BM271" s="235">
        <f>SUM(BM272:BM300)</f>
        <v>0</v>
      </c>
      <c r="BN271" s="235">
        <f>SUM(BN272:BN300)</f>
        <v>0</v>
      </c>
      <c r="BO271" s="236"/>
      <c r="BP271" s="443">
        <f>SUM(BP272:BP300)</f>
        <v>17907080434</v>
      </c>
      <c r="BQ271" s="443">
        <f>SUM(BQ272:BQ300)</f>
        <v>0</v>
      </c>
      <c r="BR271" s="443">
        <f>SUM(BR272:BR300)</f>
        <v>17907080434</v>
      </c>
    </row>
    <row r="272" spans="2:70" ht="12.75">
      <c r="B272" s="939">
        <v>25</v>
      </c>
      <c r="C272" s="940" t="s">
        <v>2514</v>
      </c>
      <c r="D272" s="941" t="s">
        <v>2514</v>
      </c>
      <c r="E272" s="928" t="s">
        <v>831</v>
      </c>
      <c r="F272" s="928" t="s">
        <v>2515</v>
      </c>
      <c r="G272" s="927" t="s">
        <v>2516</v>
      </c>
      <c r="H272" s="927" t="s">
        <v>2222</v>
      </c>
      <c r="I272" s="942">
        <f>SUMIFS('GL911.Cty Me.FY24'!T:T,'GL911.Cty Me.FY24'!H:H,'A0.LS'!E272)</f>
        <v>0</v>
      </c>
      <c r="J272" s="942">
        <f>ROUND(SUMIFS('A5.FY24'!K:K,'A5.FY24'!E:E,'A0.LS'!E272,'A5.FY24'!L:L,"Finhay",'A5.FY24'!M:M,"Posted"),0)</f>
        <v>0</v>
      </c>
      <c r="K272" s="942">
        <f>ROUND(SUMIFS('A5.FY24'!K:K,'A5.FY24'!E:E,'A0.LS'!E272,'A5.FY24'!L:L,"EY",'A5.FY24'!M:M,"Posted"),0)</f>
        <v>0</v>
      </c>
      <c r="L272" s="943">
        <f t="shared" ref="L272:L300" si="216">ROUND(SUM(I272:K272),0)</f>
        <v>0</v>
      </c>
      <c r="M272" s="930"/>
      <c r="N272" s="944">
        <v>0</v>
      </c>
      <c r="O272" s="944">
        <v>0</v>
      </c>
      <c r="P272" s="944">
        <v>0</v>
      </c>
      <c r="Q272" s="945">
        <v>0</v>
      </c>
      <c r="R272" s="898"/>
      <c r="S272" s="848">
        <f t="shared" si="214"/>
        <v>0</v>
      </c>
      <c r="T272" s="946" t="str">
        <f t="shared" si="215"/>
        <v>To check</v>
      </c>
      <c r="U272" s="850"/>
      <c r="V272" s="850" t="s">
        <v>2517</v>
      </c>
      <c r="W272" s="850"/>
      <c r="X272" s="304"/>
      <c r="Y272" s="947" t="s">
        <v>2516</v>
      </c>
      <c r="Z272" s="936">
        <f>ROUND(SUMIFS('GL911.CtyCon.FY24'!N:N,'GL911.CtyCon.FY24'!G:G,'A0.LS'!E272),0)</f>
        <v>0</v>
      </c>
      <c r="AA272" s="936">
        <f>ROUND(SUMIFS('A5.CTC FY24'!K:K,'A5.CTC FY24'!E:E,'A0.LS'!E272,'A5.CTC FY24'!A:A,'A0.LS'!$AA$5,'A5.CTC FY24'!L:L,"Finhay",'A5.CTC FY24'!M:M,"Posted"),0)</f>
        <v>0</v>
      </c>
      <c r="AB272" s="936">
        <f>ROUND(SUMIFS('A5.CTC FY24'!K:K,'A5.CTC FY24'!E:E,'A0.LS'!E272,'A5.CTC FY24'!A:A,'A0.LS'!$AB$5,'A5.CTC FY24'!L:L,"EY",'A5.CTC FY24'!M:M,"Posted"),0)</f>
        <v>0</v>
      </c>
      <c r="AC272" s="948">
        <f t="shared" ref="AC272:AC300" si="217">ROUND(SUM(Z272:AB272),0)</f>
        <v>0</v>
      </c>
      <c r="AD272" s="930"/>
      <c r="AE272" s="936">
        <f>SUMIFS('GL911 VNSC FY24'!T:T,'GL911 VNSC FY24'!AG:AG,'A0.LS'!E272)</f>
        <v>0</v>
      </c>
      <c r="AF272" s="936">
        <f>SUMIFS('A5.CTC FY24'!K:K,'A5.CTC FY24'!E:E,'A0.LS'!E272,'A5.CTC FY24'!A:A,"VNSC",'A5.CTC FY24'!L:L,"VNSC",'A5.CTC FY24'!M:M,"Posted")</f>
        <v>0</v>
      </c>
      <c r="AG272" s="936">
        <f>ROUND(SUMIFS('A5.CTC FY24'!K:K,'A5.CTC FY24'!E:E,'A0.LS'!E272,'A5.CTC FY24'!A:A,"VNSC",'A5.CTC FY24'!L:L,"EY",'A5.CTC FY24'!M:M,"Posted"),0)</f>
        <v>0</v>
      </c>
      <c r="AH272" s="936">
        <f t="shared" ref="AH272:AH300" si="218">ROUND(SUM(AE272:AG272),0)</f>
        <v>0</v>
      </c>
      <c r="AI272" s="930"/>
      <c r="AJ272" s="936">
        <f>ROUND(SUMIFS('GL911.KCG.FY24'!L:L,'GL911.KCG.FY24'!F:F,'A0.LS'!E272),0)</f>
        <v>0</v>
      </c>
      <c r="AK272" s="936">
        <f>ROUND(SUMIFS('A5.CTC FY24'!K:K,'A5.CTC FY24'!E:E,'A0.LS'!E272,'A5.CTC FY24'!A:A,'A0.LS'!$AK$5,'A5.CTC FY24'!L:L,"EY",'A5.CTC FY24'!M:M,"Posted"),0)</f>
        <v>0</v>
      </c>
      <c r="AL272" s="948">
        <f t="shared" ref="AL272:AL300" si="219">ROUND(SUM(AJ272:AK272),0)</f>
        <v>0</v>
      </c>
      <c r="AM272" s="930"/>
      <c r="AN272" s="949">
        <f t="shared" ref="AN272:AN300" si="220">ROUND(SUM(AT272,AH272,AC272),0)</f>
        <v>0</v>
      </c>
      <c r="AO272" s="950">
        <f>ROUND(SUMIFS('A5.Consol FY24'!L:L,'A5.Consol FY24'!M:M,"EY",'A5.Consol FY24'!N:N,"Posted",'A5.Consol FY24'!B:B,'A0.LS'!$AO$5,'A5.Consol FY24'!F:F,'A0.LS'!E272),0)</f>
        <v>0</v>
      </c>
      <c r="AP272" s="949">
        <f t="shared" ref="AP272:AP300" si="221">ROUND(SUM(AN272:AO272),0)</f>
        <v>0</v>
      </c>
      <c r="AQ272" s="930"/>
      <c r="AR272" s="936">
        <f>ROUND(SUMIFS('GL911.XH.FY24'!L:L,'GL911.XH.FY24'!F:F,'A0.LS'!E272),0)</f>
        <v>0</v>
      </c>
      <c r="AS272" s="936">
        <f>ROUND(SUMIFS('A5.CTC FY24'!K:K,'A5.CTC FY24'!E:E,'A0.LS'!E272,'A5.CTC FY24'!A:A,'A0.LS'!$AS$5,'A5.CTC FY24'!L:L,"EY",'A5.CTC FY24'!M:M,"Posted"),0)</f>
        <v>0</v>
      </c>
      <c r="AT272" s="948">
        <f t="shared" ref="AT272:AT300" si="222">ROUND(SUM(AR272:AS272),0)</f>
        <v>0</v>
      </c>
      <c r="AU272" s="930"/>
      <c r="AV272" s="951">
        <f t="shared" ref="AV272:AV300" si="223">ROUND(SUM(AP272,AL272,L272),0)</f>
        <v>0</v>
      </c>
      <c r="AW272" s="952">
        <f>SUMIFS('A5.Consol FY24'!L:L,'A5.Consol FY24'!B:B,'A0.LS'!$AW$5,'A5.Consol FY24'!M:M,"EY",'A5.Consol FY24'!N:N,"Posted",'A5.Consol FY24'!F:F,'A0.LS'!E272)</f>
        <v>0</v>
      </c>
      <c r="AX272" s="951">
        <f t="shared" ref="AX272:AX300" si="224">ROUND(SUM(AV272:AW272),0)</f>
        <v>0</v>
      </c>
      <c r="AY272" s="920"/>
      <c r="AZ272" s="936">
        <f>SUMIFS('911.CTC.YE22'!U:U,'911.CTC.YE22'!R:R,'A0.LS'!E272)</f>
        <v>92978571</v>
      </c>
      <c r="BA272" s="936">
        <f>ROUND(SUMIFS('A5.YE22'!J:J,'A5.YE22'!K:K,'A0.LS'!$BA$5,'A5.YE22'!L:L,"Posted",'A5.YE22'!D:D,'A0.LS'!E272),0)</f>
        <v>0</v>
      </c>
      <c r="BB272" s="936">
        <f t="shared" ref="BB272:BB300" si="225">ROUND(SUM(AZ272:BA272),0)</f>
        <v>92978571</v>
      </c>
      <c r="BC272" s="937"/>
      <c r="BD272" s="936">
        <f>ROUND(SUMIFS('911.VNSC.YE22'!R:R,'911.VNSC.YE22'!L:L,'A0.LS'!E272),0)</f>
        <v>0</v>
      </c>
      <c r="BE272" s="936">
        <f>ROUND(SUMIFS('A5.YE22'!J:J,'A5.YE22'!K:K,'A0.LS'!$BE$5,'A5.YE22'!L:L,"Posted",'A5.YE22'!D:D,'A0.LS'!E272),0)</f>
        <v>0</v>
      </c>
      <c r="BF272" s="936">
        <f t="shared" ref="BF272:BF300" si="226">ROUND(SUM(BD272:BE272),0)</f>
        <v>0</v>
      </c>
      <c r="BG272" s="937"/>
      <c r="BH272" s="936">
        <f>ROUND(SUMIFS('911.XH.YE22'!T:T,'911.XH.YE22'!P:P,'A0.LS'!E272),0)</f>
        <v>0</v>
      </c>
      <c r="BI272" s="936">
        <f>ROUND(SUMIFS('A5.YE22'!J:J,'A5.YE22'!K:K,"XH",'A5.YE22'!L:L,"Posted",'A5.YE22'!D:D,'A0.LS'!E272),0)</f>
        <v>0</v>
      </c>
      <c r="BJ272" s="936">
        <f t="shared" ref="BJ272:BJ300" si="227">ROUND(SUM(BH272:BI272),0)</f>
        <v>0</v>
      </c>
      <c r="BK272" s="937"/>
      <c r="BL272" s="936">
        <f>ROUND(SUMIFS('911.KCG.YE22'!T:T,'911.KCG.YE22'!P:P,'A0.LS'!E272),0)</f>
        <v>0</v>
      </c>
      <c r="BM272" s="936">
        <f>ROUND(SUMIFS('A5.YE22'!J:J,'A5.YE22'!K:K,'A0.LS'!$BM$5,'A5.YE22'!L:L,"Posted",'A5.YE22'!D:D,'A0.LS'!E272),0)</f>
        <v>0</v>
      </c>
      <c r="BN272" s="936">
        <f t="shared" ref="BN272:BN300" si="228">ROUND(SUM(BL272:BM272),0)</f>
        <v>0</v>
      </c>
      <c r="BO272" s="937"/>
      <c r="BP272" s="938">
        <f>_xlfn.XLOOKUP(E272,[15]LS!$G:$G,[15]LS!$AX:$AX,0,0,1)</f>
        <v>0</v>
      </c>
      <c r="BQ272" s="938">
        <f>ROUND(SUMIFS('A5.YE22'!J:J,'A5.YE22'!K:K,'A0.LS'!$BQ$5,'A5.YE22'!L:L,"Posted",'A5.YE22'!D:D,'A0.LS'!E272),0)</f>
        <v>0</v>
      </c>
      <c r="BR272" s="938">
        <f t="shared" ref="BR272:BR300" si="229">ROUND(SUM(BP272:BQ272),0)</f>
        <v>0</v>
      </c>
    </row>
    <row r="273" spans="2:70" ht="12.75">
      <c r="B273" s="939">
        <v>25</v>
      </c>
      <c r="C273" s="940" t="s">
        <v>2514</v>
      </c>
      <c r="D273" s="941" t="s">
        <v>2514</v>
      </c>
      <c r="E273" s="928" t="s">
        <v>837</v>
      </c>
      <c r="F273" s="928" t="s">
        <v>2518</v>
      </c>
      <c r="G273" s="927" t="s">
        <v>2516</v>
      </c>
      <c r="H273" s="927" t="s">
        <v>2222</v>
      </c>
      <c r="I273" s="942">
        <f>SUMIFS('GL911.Cty Me.FY24'!T:T,'GL911.Cty Me.FY24'!H:H,'A0.LS'!E273)</f>
        <v>0</v>
      </c>
      <c r="J273" s="942">
        <f>ROUND(SUMIFS('A5.FY24'!K:K,'A5.FY24'!E:E,'A0.LS'!E273,'A5.FY24'!L:L,"Finhay",'A5.FY24'!M:M,"Posted"),0)</f>
        <v>0</v>
      </c>
      <c r="K273" s="942">
        <f>ROUND(SUMIFS('A5.FY24'!K:K,'A5.FY24'!E:E,'A0.LS'!E273,'A5.FY24'!L:L,"EY",'A5.FY24'!M:M,"Posted"),0)</f>
        <v>0</v>
      </c>
      <c r="L273" s="943">
        <f t="shared" si="216"/>
        <v>0</v>
      </c>
      <c r="M273" s="930"/>
      <c r="N273" s="944">
        <v>0</v>
      </c>
      <c r="O273" s="944">
        <v>0</v>
      </c>
      <c r="P273" s="944">
        <v>0</v>
      </c>
      <c r="Q273" s="945">
        <v>0</v>
      </c>
      <c r="R273" s="898"/>
      <c r="S273" s="848">
        <f t="shared" si="214"/>
        <v>0</v>
      </c>
      <c r="T273" s="946" t="str">
        <f t="shared" si="215"/>
        <v>To check</v>
      </c>
      <c r="U273" s="850"/>
      <c r="V273" s="850" t="s">
        <v>2519</v>
      </c>
      <c r="W273" s="850"/>
      <c r="X273" s="947" t="s">
        <v>676</v>
      </c>
      <c r="Y273" s="947" t="s">
        <v>2516</v>
      </c>
      <c r="Z273" s="936">
        <f>ROUND(SUMIFS('GL911.CtyCon.FY24'!N:N,'GL911.CtyCon.FY24'!G:G,'A0.LS'!E273),0)</f>
        <v>0</v>
      </c>
      <c r="AA273" s="936">
        <f>ROUND(SUMIFS('A5.CTC FY24'!K:K,'A5.CTC FY24'!E:E,'A0.LS'!E273,'A5.CTC FY24'!A:A,'A0.LS'!$AA$5,'A5.CTC FY24'!L:L,"Finhay",'A5.CTC FY24'!M:M,"Posted"),0)</f>
        <v>0</v>
      </c>
      <c r="AB273" s="936">
        <f>ROUND(SUMIFS('A5.CTC FY24'!K:K,'A5.CTC FY24'!E:E,'A0.LS'!E273,'A5.CTC FY24'!A:A,'A0.LS'!$AB$5,'A5.CTC FY24'!L:L,"EY",'A5.CTC FY24'!M:M,"Posted"),0)</f>
        <v>0</v>
      </c>
      <c r="AC273" s="948">
        <f t="shared" si="217"/>
        <v>0</v>
      </c>
      <c r="AD273" s="930"/>
      <c r="AE273" s="936">
        <f>SUMIFS('GL911 VNSC FY24'!T:T,'GL911 VNSC FY24'!AG:AG,'A0.LS'!E273)</f>
        <v>0</v>
      </c>
      <c r="AF273" s="936">
        <f>SUMIFS('A5.CTC FY24'!K:K,'A5.CTC FY24'!E:E,'A0.LS'!E273,'A5.CTC FY24'!A:A,"VNSC",'A5.CTC FY24'!L:L,"VNSC",'A5.CTC FY24'!M:M,"Posted")</f>
        <v>0</v>
      </c>
      <c r="AG273" s="936">
        <f>ROUND(SUMIFS('A5.CTC FY24'!K:K,'A5.CTC FY24'!E:E,'A0.LS'!E273,'A5.CTC FY24'!A:A,"VNSC",'A5.CTC FY24'!L:L,"EY",'A5.CTC FY24'!M:M,"Posted"),0)</f>
        <v>0</v>
      </c>
      <c r="AH273" s="936">
        <f t="shared" si="218"/>
        <v>0</v>
      </c>
      <c r="AI273" s="930"/>
      <c r="AJ273" s="936">
        <f>ROUND(SUMIFS('GL911.KCG.FY24'!L:L,'GL911.KCG.FY24'!F:F,'A0.LS'!E273),0)</f>
        <v>0</v>
      </c>
      <c r="AK273" s="936">
        <f>ROUND(SUMIFS('A5.CTC FY24'!K:K,'A5.CTC FY24'!E:E,'A0.LS'!E273,'A5.CTC FY24'!A:A,'A0.LS'!$AK$5,'A5.CTC FY24'!L:L,"EY",'A5.CTC FY24'!M:M,"Posted"),0)</f>
        <v>0</v>
      </c>
      <c r="AL273" s="948">
        <f t="shared" si="219"/>
        <v>0</v>
      </c>
      <c r="AM273" s="930"/>
      <c r="AN273" s="949">
        <f t="shared" si="220"/>
        <v>0</v>
      </c>
      <c r="AO273" s="950">
        <f>ROUND(SUMIFS('A5.Consol FY24'!L:L,'A5.Consol FY24'!M:M,"EY",'A5.Consol FY24'!N:N,"Posted",'A5.Consol FY24'!B:B,'A0.LS'!$AO$5,'A5.Consol FY24'!F:F,'A0.LS'!E273),0)</f>
        <v>0</v>
      </c>
      <c r="AP273" s="949">
        <f t="shared" si="221"/>
        <v>0</v>
      </c>
      <c r="AQ273" s="930"/>
      <c r="AR273" s="936">
        <f>ROUND(SUMIFS('GL911.XH.FY24'!L:L,'GL911.XH.FY24'!F:F,'A0.LS'!E273),0)</f>
        <v>0</v>
      </c>
      <c r="AS273" s="936">
        <f>ROUND(SUMIFS('A5.CTC FY24'!K:K,'A5.CTC FY24'!E:E,'A0.LS'!E273,'A5.CTC FY24'!A:A,'A0.LS'!$AS$5,'A5.CTC FY24'!L:L,"EY",'A5.CTC FY24'!M:M,"Posted"),0)</f>
        <v>0</v>
      </c>
      <c r="AT273" s="948">
        <f t="shared" si="222"/>
        <v>0</v>
      </c>
      <c r="AU273" s="930"/>
      <c r="AV273" s="951">
        <f t="shared" si="223"/>
        <v>0</v>
      </c>
      <c r="AW273" s="952">
        <f>SUMIFS('A5.Consol FY24'!L:L,'A5.Consol FY24'!B:B,'A0.LS'!$AW$5,'A5.Consol FY24'!M:M,"EY",'A5.Consol FY24'!N:N,"Posted",'A5.Consol FY24'!F:F,'A0.LS'!E273)</f>
        <v>0</v>
      </c>
      <c r="AX273" s="951">
        <f t="shared" si="224"/>
        <v>0</v>
      </c>
      <c r="AY273" s="920"/>
      <c r="AZ273" s="936">
        <f>SUMIFS('911.CTC.YE22'!U:U,'911.CTC.YE22'!R:R,'A0.LS'!E273)</f>
        <v>6336000</v>
      </c>
      <c r="BA273" s="936">
        <f>ROUND(SUMIFS('A5.YE22'!J:J,'A5.YE22'!K:K,'A0.LS'!$BA$5,'A5.YE22'!L:L,"Posted",'A5.YE22'!D:D,'A0.LS'!E273),0)</f>
        <v>0</v>
      </c>
      <c r="BB273" s="936">
        <f t="shared" si="225"/>
        <v>6336000</v>
      </c>
      <c r="BC273" s="937"/>
      <c r="BD273" s="936">
        <f>ROUND(SUMIFS('911.VNSC.YE22'!R:R,'911.VNSC.YE22'!L:L,'A0.LS'!E273),0)</f>
        <v>0</v>
      </c>
      <c r="BE273" s="936">
        <f>ROUND(SUMIFS('A5.YE22'!J:J,'A5.YE22'!K:K,'A0.LS'!$BE$5,'A5.YE22'!L:L,"Posted",'A5.YE22'!D:D,'A0.LS'!E273),0)</f>
        <v>0</v>
      </c>
      <c r="BF273" s="936">
        <f t="shared" si="226"/>
        <v>0</v>
      </c>
      <c r="BG273" s="937"/>
      <c r="BH273" s="936">
        <f>ROUND(SUMIFS('911.XH.YE22'!T:T,'911.XH.YE22'!P:P,'A0.LS'!E273),0)</f>
        <v>0</v>
      </c>
      <c r="BI273" s="936">
        <f>ROUND(SUMIFS('A5.YE22'!J:J,'A5.YE22'!K:K,"XH",'A5.YE22'!L:L,"Posted",'A5.YE22'!D:D,'A0.LS'!E273),0)</f>
        <v>0</v>
      </c>
      <c r="BJ273" s="936">
        <f t="shared" si="227"/>
        <v>0</v>
      </c>
      <c r="BK273" s="937"/>
      <c r="BL273" s="936">
        <f>ROUND(SUMIFS('911.KCG.YE22'!T:T,'911.KCG.YE22'!P:P,'A0.LS'!E273),0)</f>
        <v>0</v>
      </c>
      <c r="BM273" s="936">
        <f>ROUND(SUMIFS('A5.YE22'!J:J,'A5.YE22'!K:K,'A0.LS'!$BM$5,'A5.YE22'!L:L,"Posted",'A5.YE22'!D:D,'A0.LS'!E273),0)</f>
        <v>0</v>
      </c>
      <c r="BN273" s="936">
        <f t="shared" si="228"/>
        <v>0</v>
      </c>
      <c r="BO273" s="937"/>
      <c r="BP273" s="938">
        <f>_xlfn.XLOOKUP(E273,[15]LS!$G:$G,[15]LS!$AX:$AX,0,0,1)</f>
        <v>0</v>
      </c>
      <c r="BQ273" s="938">
        <f>ROUND(SUMIFS('A5.YE22'!J:J,'A5.YE22'!K:K,'A0.LS'!$BQ$5,'A5.YE22'!L:L,"Posted",'A5.YE22'!D:D,'A0.LS'!E273),0)</f>
        <v>0</v>
      </c>
      <c r="BR273" s="938">
        <f t="shared" si="229"/>
        <v>0</v>
      </c>
    </row>
    <row r="274" spans="2:70" ht="12.75">
      <c r="B274" s="939">
        <v>25</v>
      </c>
      <c r="C274" s="940" t="s">
        <v>2514</v>
      </c>
      <c r="D274" s="941" t="s">
        <v>2514</v>
      </c>
      <c r="E274" s="928" t="s">
        <v>2520</v>
      </c>
      <c r="F274" s="928" t="s">
        <v>2521</v>
      </c>
      <c r="G274" s="927" t="s">
        <v>2516</v>
      </c>
      <c r="H274" s="927" t="s">
        <v>2222</v>
      </c>
      <c r="I274" s="942">
        <f>SUMIFS('GL911.Cty Me.FY24'!T:T,'GL911.Cty Me.FY24'!H:H,'A0.LS'!E274)</f>
        <v>0</v>
      </c>
      <c r="J274" s="942">
        <f>ROUND(SUMIFS('A5.FY24'!K:K,'A5.FY24'!E:E,'A0.LS'!E274,'A5.FY24'!L:L,"Finhay",'A5.FY24'!M:M,"Posted"),0)</f>
        <v>0</v>
      </c>
      <c r="K274" s="942">
        <f>ROUND(SUMIFS('A5.FY24'!K:K,'A5.FY24'!E:E,'A0.LS'!E274,'A5.FY24'!L:L,"EY",'A5.FY24'!M:M,"Posted"),0)</f>
        <v>0</v>
      </c>
      <c r="L274" s="943">
        <f t="shared" si="216"/>
        <v>0</v>
      </c>
      <c r="M274" s="930"/>
      <c r="N274" s="944">
        <v>0</v>
      </c>
      <c r="O274" s="944">
        <v>0</v>
      </c>
      <c r="P274" s="944">
        <v>0</v>
      </c>
      <c r="Q274" s="945">
        <v>0</v>
      </c>
      <c r="R274" s="898"/>
      <c r="S274" s="848">
        <f t="shared" si="214"/>
        <v>0</v>
      </c>
      <c r="T274" s="946" t="str">
        <f t="shared" si="215"/>
        <v>To check</v>
      </c>
      <c r="U274" s="850"/>
      <c r="V274" s="850" t="s">
        <v>2517</v>
      </c>
      <c r="W274" s="850"/>
      <c r="X274" s="947" t="s">
        <v>676</v>
      </c>
      <c r="Y274" s="947" t="s">
        <v>2516</v>
      </c>
      <c r="Z274" s="936">
        <f>ROUND(SUMIFS('GL911.CtyCon.FY24'!N:N,'GL911.CtyCon.FY24'!G:G,'A0.LS'!E274),0)</f>
        <v>0</v>
      </c>
      <c r="AA274" s="936">
        <f>ROUND(SUMIFS('A5.CTC FY24'!K:K,'A5.CTC FY24'!E:E,'A0.LS'!E274,'A5.CTC FY24'!A:A,'A0.LS'!$AA$5,'A5.CTC FY24'!L:L,"Finhay",'A5.CTC FY24'!M:M,"Posted"),0)</f>
        <v>0</v>
      </c>
      <c r="AB274" s="936">
        <f>ROUND(SUMIFS('A5.CTC FY24'!K:K,'A5.CTC FY24'!E:E,'A0.LS'!E274,'A5.CTC FY24'!A:A,'A0.LS'!$AB$5,'A5.CTC FY24'!L:L,"EY",'A5.CTC FY24'!M:M,"Posted"),0)</f>
        <v>0</v>
      </c>
      <c r="AC274" s="948">
        <f t="shared" si="217"/>
        <v>0</v>
      </c>
      <c r="AD274" s="930"/>
      <c r="AE274" s="936">
        <f>SUMIFS('GL911 VNSC FY24'!T:T,'GL911 VNSC FY24'!AG:AG,'A0.LS'!E274)</f>
        <v>0</v>
      </c>
      <c r="AF274" s="936">
        <f>SUMIFS('A5.CTC FY24'!K:K,'A5.CTC FY24'!E:E,'A0.LS'!E274,'A5.CTC FY24'!A:A,"VNSC",'A5.CTC FY24'!L:L,"VNSC",'A5.CTC FY24'!M:M,"Posted")</f>
        <v>0</v>
      </c>
      <c r="AG274" s="936">
        <f>ROUND(SUMIFS('A5.CTC FY24'!K:K,'A5.CTC FY24'!E:E,'A0.LS'!E274,'A5.CTC FY24'!A:A,"VNSC",'A5.CTC FY24'!L:L,"EY",'A5.CTC FY24'!M:M,"Posted"),0)</f>
        <v>0</v>
      </c>
      <c r="AH274" s="936">
        <f t="shared" si="218"/>
        <v>0</v>
      </c>
      <c r="AI274" s="930"/>
      <c r="AJ274" s="936">
        <f>ROUND(SUMIFS('GL911.KCG.FY24'!L:L,'GL911.KCG.FY24'!F:F,'A0.LS'!E274),0)</f>
        <v>0</v>
      </c>
      <c r="AK274" s="936">
        <f>ROUND(SUMIFS('A5.CTC FY24'!K:K,'A5.CTC FY24'!E:E,'A0.LS'!E274,'A5.CTC FY24'!A:A,'A0.LS'!$AK$5,'A5.CTC FY24'!L:L,"EY",'A5.CTC FY24'!M:M,"Posted"),0)</f>
        <v>0</v>
      </c>
      <c r="AL274" s="948">
        <f t="shared" si="219"/>
        <v>0</v>
      </c>
      <c r="AM274" s="930"/>
      <c r="AN274" s="949">
        <f t="shared" si="220"/>
        <v>0</v>
      </c>
      <c r="AO274" s="950">
        <f>ROUND(SUMIFS('A5.Consol FY24'!L:L,'A5.Consol FY24'!M:M,"EY",'A5.Consol FY24'!N:N,"Posted",'A5.Consol FY24'!B:B,'A0.LS'!$AO$5,'A5.Consol FY24'!F:F,'A0.LS'!E274),0)</f>
        <v>0</v>
      </c>
      <c r="AP274" s="949">
        <f t="shared" si="221"/>
        <v>0</v>
      </c>
      <c r="AQ274" s="930"/>
      <c r="AR274" s="936">
        <f>ROUND(SUMIFS('GL911.XH.FY24'!L:L,'GL911.XH.FY24'!F:F,'A0.LS'!E274),0)</f>
        <v>0</v>
      </c>
      <c r="AS274" s="936">
        <f>ROUND(SUMIFS('A5.CTC FY24'!K:K,'A5.CTC FY24'!E:E,'A0.LS'!E274,'A5.CTC FY24'!A:A,'A0.LS'!$AS$5,'A5.CTC FY24'!L:L,"EY",'A5.CTC FY24'!M:M,"Posted"),0)</f>
        <v>0</v>
      </c>
      <c r="AT274" s="948">
        <f t="shared" si="222"/>
        <v>0</v>
      </c>
      <c r="AU274" s="930"/>
      <c r="AV274" s="951">
        <f t="shared" si="223"/>
        <v>0</v>
      </c>
      <c r="AW274" s="952">
        <f>SUMIFS('A5.Consol FY24'!L:L,'A5.Consol FY24'!B:B,'A0.LS'!$AW$5,'A5.Consol FY24'!M:M,"EY",'A5.Consol FY24'!N:N,"Posted",'A5.Consol FY24'!F:F,'A0.LS'!E274)</f>
        <v>0</v>
      </c>
      <c r="AX274" s="951">
        <f t="shared" si="224"/>
        <v>0</v>
      </c>
      <c r="AY274" s="920"/>
      <c r="AZ274" s="936">
        <f>SUMIFS('911.CTC.YE22'!U:U,'911.CTC.YE22'!R:R,'A0.LS'!E274)</f>
        <v>1170000</v>
      </c>
      <c r="BA274" s="936">
        <f>ROUND(SUMIFS('A5.YE22'!J:J,'A5.YE22'!K:K,'A0.LS'!$BA$5,'A5.YE22'!L:L,"Posted",'A5.YE22'!D:D,'A0.LS'!E274),0)</f>
        <v>0</v>
      </c>
      <c r="BB274" s="936">
        <f t="shared" si="225"/>
        <v>1170000</v>
      </c>
      <c r="BC274" s="937"/>
      <c r="BD274" s="936">
        <f>ROUND(SUMIFS('911.VNSC.YE22'!R:R,'911.VNSC.YE22'!L:L,'A0.LS'!E274),0)</f>
        <v>0</v>
      </c>
      <c r="BE274" s="936">
        <f>ROUND(SUMIFS('A5.YE22'!J:J,'A5.YE22'!K:K,'A0.LS'!$BE$5,'A5.YE22'!L:L,"Posted",'A5.YE22'!D:D,'A0.LS'!E274),0)</f>
        <v>0</v>
      </c>
      <c r="BF274" s="936">
        <f t="shared" si="226"/>
        <v>0</v>
      </c>
      <c r="BG274" s="937"/>
      <c r="BH274" s="936">
        <f>ROUND(SUMIFS('911.XH.YE22'!T:T,'911.XH.YE22'!P:P,'A0.LS'!E274),0)</f>
        <v>0</v>
      </c>
      <c r="BI274" s="936">
        <f>ROUND(SUMIFS('A5.YE22'!J:J,'A5.YE22'!K:K,"XH",'A5.YE22'!L:L,"Posted",'A5.YE22'!D:D,'A0.LS'!E274),0)</f>
        <v>0</v>
      </c>
      <c r="BJ274" s="936">
        <f t="shared" si="227"/>
        <v>0</v>
      </c>
      <c r="BK274" s="937"/>
      <c r="BL274" s="936">
        <f>ROUND(SUMIFS('911.KCG.YE22'!T:T,'911.KCG.YE22'!P:P,'A0.LS'!E274),0)</f>
        <v>0</v>
      </c>
      <c r="BM274" s="936">
        <f>ROUND(SUMIFS('A5.YE22'!J:J,'A5.YE22'!K:K,'A0.LS'!$BM$5,'A5.YE22'!L:L,"Posted",'A5.YE22'!D:D,'A0.LS'!E274),0)</f>
        <v>0</v>
      </c>
      <c r="BN274" s="936">
        <f t="shared" si="228"/>
        <v>0</v>
      </c>
      <c r="BO274" s="937"/>
      <c r="BP274" s="938">
        <f>_xlfn.XLOOKUP(E274,[15]LS!$G:$G,[15]LS!$AX:$AX,0,0,1)</f>
        <v>0</v>
      </c>
      <c r="BQ274" s="938">
        <f>ROUND(SUMIFS('A5.YE22'!J:J,'A5.YE22'!K:K,'A0.LS'!$BQ$5,'A5.YE22'!L:L,"Posted",'A5.YE22'!D:D,'A0.LS'!E274),0)</f>
        <v>0</v>
      </c>
      <c r="BR274" s="938">
        <f t="shared" si="229"/>
        <v>0</v>
      </c>
    </row>
    <row r="275" spans="2:70" s="840" customFormat="1" ht="12.75">
      <c r="B275" s="939">
        <v>25</v>
      </c>
      <c r="C275" s="940" t="s">
        <v>2514</v>
      </c>
      <c r="D275" s="941" t="s">
        <v>2514</v>
      </c>
      <c r="E275" s="928" t="s">
        <v>337</v>
      </c>
      <c r="F275" s="928" t="s">
        <v>338</v>
      </c>
      <c r="G275" s="927" t="s">
        <v>2516</v>
      </c>
      <c r="H275" s="927" t="s">
        <v>2222</v>
      </c>
      <c r="I275" s="942">
        <f>SUMIFS('GL911.Cty Me.FY24'!T:T,'GL911.Cty Me.FY24'!H:H,'A0.LS'!E275)</f>
        <v>111825319</v>
      </c>
      <c r="J275" s="942">
        <f>ROUND(SUMIFS('A5.FY24'!K:K,'A5.FY24'!E:E,'A0.LS'!E275,'A5.FY24'!L:L,"Finhay",'A5.FY24'!M:M,"Posted"),0)</f>
        <v>0</v>
      </c>
      <c r="K275" s="942">
        <f>ROUND(SUMIFS('A5.FY24'!K:K,'A5.FY24'!E:E,'A0.LS'!E275,'A5.FY24'!L:L,"EY",'A5.FY24'!M:M,"Posted"),0)</f>
        <v>0</v>
      </c>
      <c r="L275" s="943">
        <f t="shared" si="216"/>
        <v>111825319</v>
      </c>
      <c r="M275" s="930"/>
      <c r="N275" s="944">
        <v>5151245099</v>
      </c>
      <c r="O275" s="944">
        <v>0</v>
      </c>
      <c r="P275" s="944">
        <v>0</v>
      </c>
      <c r="Q275" s="945">
        <v>5151245099</v>
      </c>
      <c r="R275" s="898"/>
      <c r="S275" s="848">
        <f t="shared" si="214"/>
        <v>-5039419780</v>
      </c>
      <c r="T275" s="946">
        <f t="shared" si="215"/>
        <v>-0.97829159419696254</v>
      </c>
      <c r="U275" s="850"/>
      <c r="V275" s="850" t="s">
        <v>2517</v>
      </c>
      <c r="W275" s="850"/>
      <c r="X275" s="947" t="s">
        <v>676</v>
      </c>
      <c r="Y275" s="947" t="s">
        <v>2516</v>
      </c>
      <c r="Z275" s="936">
        <f>ROUND(SUMIFS('GL911.CtyCon.FY24'!N:N,'GL911.CtyCon.FY24'!G:G,'A0.LS'!E275),0)</f>
        <v>0</v>
      </c>
      <c r="AA275" s="936">
        <f>ROUND(SUMIFS('A5.CTC FY24'!K:K,'A5.CTC FY24'!E:E,'A0.LS'!E275,'A5.CTC FY24'!A:A,'A0.LS'!$AA$5,'A5.CTC FY24'!L:L,"Finhay",'A5.CTC FY24'!M:M,"Posted"),0)</f>
        <v>0</v>
      </c>
      <c r="AB275" s="936">
        <f>ROUND(SUMIFS('A5.CTC FY24'!K:K,'A5.CTC FY24'!E:E,'A0.LS'!E275,'A5.CTC FY24'!A:A,'A0.LS'!$AB$5,'A5.CTC FY24'!L:L,"EY",'A5.CTC FY24'!M:M,"Posted"),0)</f>
        <v>0</v>
      </c>
      <c r="AC275" s="948">
        <f t="shared" si="217"/>
        <v>0</v>
      </c>
      <c r="AD275" s="930"/>
      <c r="AE275" s="936">
        <f>SUMIFS('GL911 VNSC FY24'!T:T,'GL911 VNSC FY24'!AG:AG,'A0.LS'!E275)</f>
        <v>0</v>
      </c>
      <c r="AF275" s="936">
        <f>SUMIFS('A5.CTC FY24'!K:K,'A5.CTC FY24'!E:E,'A0.LS'!E275,'A5.CTC FY24'!A:A,"VNSC",'A5.CTC FY24'!L:L,"VNSC",'A5.CTC FY24'!M:M,"Posted")</f>
        <v>0</v>
      </c>
      <c r="AG275" s="936">
        <f>ROUND(SUMIFS('A5.CTC FY24'!K:K,'A5.CTC FY24'!E:E,'A0.LS'!E275,'A5.CTC FY24'!A:A,"VNSC",'A5.CTC FY24'!L:L,"EY",'A5.CTC FY24'!M:M,"Posted"),0)</f>
        <v>0</v>
      </c>
      <c r="AH275" s="936">
        <f t="shared" si="218"/>
        <v>0</v>
      </c>
      <c r="AI275" s="930"/>
      <c r="AJ275" s="936">
        <f>ROUND(SUMIFS('GL911.KCG.FY24'!L:L,'GL911.KCG.FY24'!F:F,'A0.LS'!E275),0)</f>
        <v>0</v>
      </c>
      <c r="AK275" s="936">
        <f>ROUND(SUMIFS('A5.CTC FY24'!K:K,'A5.CTC FY24'!E:E,'A0.LS'!E275,'A5.CTC FY24'!A:A,'A0.LS'!$AK$5,'A5.CTC FY24'!L:L,"EY",'A5.CTC FY24'!M:M,"Posted"),0)</f>
        <v>0</v>
      </c>
      <c r="AL275" s="948">
        <f t="shared" si="219"/>
        <v>0</v>
      </c>
      <c r="AM275" s="930"/>
      <c r="AN275" s="949">
        <f>ROUND(SUM(AT275,AH275,AC275),0)</f>
        <v>0</v>
      </c>
      <c r="AO275" s="950">
        <f>ROUND(SUMIFS('A5.Consol FY24'!L:L,'A5.Consol FY24'!M:M,"EY",'A5.Consol FY24'!N:N,"Posted",'A5.Consol FY24'!B:B,'A0.LS'!$AO$5,'A5.Consol FY24'!F:F,'A0.LS'!E275),0)</f>
        <v>0</v>
      </c>
      <c r="AP275" s="949">
        <f t="shared" si="221"/>
        <v>0</v>
      </c>
      <c r="AQ275" s="930"/>
      <c r="AR275" s="936">
        <f>ROUND(SUMIFS('GL911.XH.FY24'!L:L,'GL911.XH.FY24'!F:F,'A0.LS'!E275),0)</f>
        <v>0</v>
      </c>
      <c r="AS275" s="936">
        <f>ROUND(SUMIFS('A5.CTC FY24'!K:K,'A5.CTC FY24'!E:E,'A0.LS'!E275,'A5.CTC FY24'!A:A,'A0.LS'!$AS$5,'A5.CTC FY24'!L:L,"EY",'A5.CTC FY24'!M:M,"Posted"),0)</f>
        <v>0</v>
      </c>
      <c r="AT275" s="948">
        <f t="shared" si="222"/>
        <v>0</v>
      </c>
      <c r="AU275" s="930"/>
      <c r="AV275" s="951">
        <f>ROUND(SUM(AP275,AL275,L275),0)</f>
        <v>111825319</v>
      </c>
      <c r="AW275" s="952">
        <f>SUMIFS('A5.Consol FY24'!L:L,'A5.Consol FY24'!B:B,'A0.LS'!$AW$5,'A5.Consol FY24'!M:M,"EY",'A5.Consol FY24'!N:N,"Posted",'A5.Consol FY24'!F:F,'A0.LS'!E275)</f>
        <v>0</v>
      </c>
      <c r="AX275" s="951">
        <f t="shared" si="224"/>
        <v>111825319</v>
      </c>
      <c r="AY275" s="920"/>
      <c r="AZ275" s="936">
        <f>SUMIFS('911.CTC.YE22'!U:U,'911.CTC.YE22'!R:R,'A0.LS'!E275)</f>
        <v>0</v>
      </c>
      <c r="BA275" s="936">
        <f>ROUND(SUMIFS('A5.YE22'!J:J,'A5.YE22'!K:K,'A0.LS'!$BA$5,'A5.YE22'!L:L,"Posted",'A5.YE22'!D:D,'A0.LS'!E275),0)</f>
        <v>0</v>
      </c>
      <c r="BB275" s="936">
        <f t="shared" si="225"/>
        <v>0</v>
      </c>
      <c r="BC275" s="937"/>
      <c r="BD275" s="936">
        <f>ROUND(SUMIFS('911.VNSC.YE22'!R:R,'911.VNSC.YE22'!L:L,'A0.LS'!E275),0)</f>
        <v>0</v>
      </c>
      <c r="BE275" s="936">
        <f>ROUND(SUMIFS('A5.YE22'!J:J,'A5.YE22'!K:K,'A0.LS'!$BE$5,'A5.YE22'!L:L,"Posted",'A5.YE22'!D:D,'A0.LS'!E275),0)</f>
        <v>0</v>
      </c>
      <c r="BF275" s="936">
        <f t="shared" si="226"/>
        <v>0</v>
      </c>
      <c r="BG275" s="937"/>
      <c r="BH275" s="936">
        <f>ROUND(SUMIFS('911.XH.YE22'!T:T,'911.XH.YE22'!P:P,'A0.LS'!E275),0)</f>
        <v>0</v>
      </c>
      <c r="BI275" s="936">
        <f>ROUND(SUMIFS('A5.YE22'!J:J,'A5.YE22'!K:K,"XH",'A5.YE22'!L:L,"Posted",'A5.YE22'!D:D,'A0.LS'!E275),0)</f>
        <v>0</v>
      </c>
      <c r="BJ275" s="936">
        <f t="shared" si="227"/>
        <v>0</v>
      </c>
      <c r="BK275" s="937"/>
      <c r="BL275" s="936">
        <f>ROUND(SUMIFS('911.KCG.YE22'!T:T,'911.KCG.YE22'!P:P,'A0.LS'!E275),0)</f>
        <v>0</v>
      </c>
      <c r="BM275" s="936">
        <f>ROUND(SUMIFS('A5.YE22'!J:J,'A5.YE22'!K:K,'A0.LS'!$BM$5,'A5.YE22'!L:L,"Posted",'A5.YE22'!D:D,'A0.LS'!E275),0)</f>
        <v>0</v>
      </c>
      <c r="BN275" s="936">
        <f t="shared" si="228"/>
        <v>0</v>
      </c>
      <c r="BO275" s="937"/>
      <c r="BP275" s="938">
        <f>_xlfn.XLOOKUP(E275,[15]LS!$G:$G,[15]LS!$AX:$AX,0,0,1)</f>
        <v>5151245099</v>
      </c>
      <c r="BQ275" s="938">
        <f>ROUND(SUMIFS('A5.YE22'!J:J,'A5.YE22'!K:K,'A0.LS'!$BQ$5,'A5.YE22'!L:L,"Posted",'A5.YE22'!D:D,'A0.LS'!E275),0)</f>
        <v>0</v>
      </c>
      <c r="BR275" s="938">
        <f t="shared" si="229"/>
        <v>5151245099</v>
      </c>
    </row>
    <row r="276" spans="2:70" s="840" customFormat="1" ht="12.6" customHeight="1">
      <c r="B276" s="939">
        <v>25</v>
      </c>
      <c r="C276" s="940" t="s">
        <v>2514</v>
      </c>
      <c r="D276" s="941" t="s">
        <v>2514</v>
      </c>
      <c r="E276" s="928" t="s">
        <v>339</v>
      </c>
      <c r="F276" s="928" t="s">
        <v>340</v>
      </c>
      <c r="G276" s="927" t="s">
        <v>2516</v>
      </c>
      <c r="H276" s="927" t="s">
        <v>2222</v>
      </c>
      <c r="I276" s="942">
        <f>SUMIFS('GL911.Cty Me.FY24'!T:T,'GL911.Cty Me.FY24'!H:H,'A0.LS'!E276)</f>
        <v>4230000</v>
      </c>
      <c r="J276" s="942">
        <f>ROUND(SUMIFS('A5.FY24'!K:K,'A5.FY24'!E:E,'A0.LS'!E276,'A5.FY24'!L:L,"Finhay",'A5.FY24'!M:M,"Posted"),0)</f>
        <v>0</v>
      </c>
      <c r="K276" s="942">
        <f>ROUND(SUMIFS('A5.FY24'!K:K,'A5.FY24'!E:E,'A0.LS'!E276,'A5.FY24'!L:L,"EY",'A5.FY24'!M:M,"Posted"),0)</f>
        <v>0</v>
      </c>
      <c r="L276" s="943">
        <f t="shared" si="216"/>
        <v>4230000</v>
      </c>
      <c r="M276" s="930"/>
      <c r="N276" s="944">
        <v>393840500</v>
      </c>
      <c r="O276" s="944">
        <v>0</v>
      </c>
      <c r="P276" s="944">
        <v>0</v>
      </c>
      <c r="Q276" s="945">
        <v>393840500</v>
      </c>
      <c r="R276" s="898"/>
      <c r="S276" s="848">
        <f t="shared" si="214"/>
        <v>-389610500</v>
      </c>
      <c r="T276" s="946">
        <f t="shared" si="215"/>
        <v>-0.98925961144168773</v>
      </c>
      <c r="U276" s="850"/>
      <c r="V276" s="850" t="s">
        <v>2519</v>
      </c>
      <c r="W276" s="850"/>
      <c r="X276" s="947" t="s">
        <v>676</v>
      </c>
      <c r="Y276" s="947" t="s">
        <v>2516</v>
      </c>
      <c r="Z276" s="936">
        <f>ROUND(SUMIFS('GL911.CtyCon.FY24'!N:N,'GL911.CtyCon.FY24'!G:G,'A0.LS'!E276),0)</f>
        <v>0</v>
      </c>
      <c r="AA276" s="936">
        <f>ROUND(SUMIFS('A5.CTC FY24'!K:K,'A5.CTC FY24'!E:E,'A0.LS'!E276,'A5.CTC FY24'!A:A,'A0.LS'!$AA$5,'A5.CTC FY24'!L:L,"Finhay",'A5.CTC FY24'!M:M,"Posted"),0)</f>
        <v>0</v>
      </c>
      <c r="AB276" s="936">
        <f>ROUND(SUMIFS('A5.CTC FY24'!K:K,'A5.CTC FY24'!E:E,'A0.LS'!E276,'A5.CTC FY24'!A:A,'A0.LS'!$AB$5,'A5.CTC FY24'!L:L,"EY",'A5.CTC FY24'!M:M,"Posted"),0)</f>
        <v>0</v>
      </c>
      <c r="AC276" s="948">
        <f t="shared" si="217"/>
        <v>0</v>
      </c>
      <c r="AD276" s="930"/>
      <c r="AE276" s="936">
        <f>SUMIFS('GL911 VNSC FY24'!T:T,'GL911 VNSC FY24'!AG:AG,'A0.LS'!E276)</f>
        <v>0</v>
      </c>
      <c r="AF276" s="936">
        <f>SUMIFS('A5.CTC FY24'!K:K,'A5.CTC FY24'!E:E,'A0.LS'!E276,'A5.CTC FY24'!A:A,"VNSC",'A5.CTC FY24'!L:L,"VNSC",'A5.CTC FY24'!M:M,"Posted")</f>
        <v>0</v>
      </c>
      <c r="AG276" s="936">
        <f>ROUND(SUMIFS('A5.CTC FY24'!K:K,'A5.CTC FY24'!E:E,'A0.LS'!E276,'A5.CTC FY24'!A:A,"VNSC",'A5.CTC FY24'!L:L,"EY",'A5.CTC FY24'!M:M,"Posted"),0)</f>
        <v>0</v>
      </c>
      <c r="AH276" s="936">
        <f t="shared" si="218"/>
        <v>0</v>
      </c>
      <c r="AI276" s="930"/>
      <c r="AJ276" s="936">
        <f>ROUND(SUMIFS('GL911.KCG.FY24'!L:L,'GL911.KCG.FY24'!F:F,'A0.LS'!E276),0)</f>
        <v>0</v>
      </c>
      <c r="AK276" s="936">
        <f>ROUND(SUMIFS('A5.CTC FY24'!K:K,'A5.CTC FY24'!E:E,'A0.LS'!E276,'A5.CTC FY24'!A:A,'A0.LS'!$AK$5,'A5.CTC FY24'!L:L,"EY",'A5.CTC FY24'!M:M,"Posted"),0)</f>
        <v>0</v>
      </c>
      <c r="AL276" s="948">
        <f t="shared" si="219"/>
        <v>0</v>
      </c>
      <c r="AM276" s="930"/>
      <c r="AN276" s="949">
        <f t="shared" si="220"/>
        <v>0</v>
      </c>
      <c r="AO276" s="950">
        <f>ROUND(SUMIFS('A5.Consol FY24'!L:L,'A5.Consol FY24'!M:M,"EY",'A5.Consol FY24'!N:N,"Posted",'A5.Consol FY24'!B:B,'A0.LS'!$AO$5,'A5.Consol FY24'!F:F,'A0.LS'!E276),0)</f>
        <v>0</v>
      </c>
      <c r="AP276" s="949">
        <f t="shared" si="221"/>
        <v>0</v>
      </c>
      <c r="AQ276" s="930"/>
      <c r="AR276" s="936">
        <f>ROUND(SUMIFS('GL911.XH.FY24'!L:L,'GL911.XH.FY24'!F:F,'A0.LS'!E276),0)</f>
        <v>0</v>
      </c>
      <c r="AS276" s="936">
        <f>ROUND(SUMIFS('A5.CTC FY24'!K:K,'A5.CTC FY24'!E:E,'A0.LS'!E276,'A5.CTC FY24'!A:A,'A0.LS'!$AS$5,'A5.CTC FY24'!L:L,"EY",'A5.CTC FY24'!M:M,"Posted"),0)</f>
        <v>0</v>
      </c>
      <c r="AT276" s="948">
        <f t="shared" si="222"/>
        <v>0</v>
      </c>
      <c r="AU276" s="930"/>
      <c r="AV276" s="951">
        <f t="shared" si="223"/>
        <v>4230000</v>
      </c>
      <c r="AW276" s="952">
        <f>SUMIFS('A5.Consol FY24'!L:L,'A5.Consol FY24'!B:B,'A0.LS'!$AW$5,'A5.Consol FY24'!M:M,"EY",'A5.Consol FY24'!N:N,"Posted",'A5.Consol FY24'!F:F,'A0.LS'!E276)</f>
        <v>0</v>
      </c>
      <c r="AX276" s="951">
        <f t="shared" si="224"/>
        <v>4230000</v>
      </c>
      <c r="AY276" s="920"/>
      <c r="AZ276" s="936">
        <f>SUMIFS('911.CTC.YE22'!U:U,'911.CTC.YE22'!R:R,'A0.LS'!E276)</f>
        <v>0</v>
      </c>
      <c r="BA276" s="936">
        <f>ROUND(SUMIFS('A5.YE22'!J:J,'A5.YE22'!K:K,'A0.LS'!$BA$5,'A5.YE22'!L:L,"Posted",'A5.YE22'!D:D,'A0.LS'!E276),0)</f>
        <v>0</v>
      </c>
      <c r="BB276" s="936">
        <f t="shared" si="225"/>
        <v>0</v>
      </c>
      <c r="BC276" s="937"/>
      <c r="BD276" s="936">
        <f>ROUND(SUMIFS('911.VNSC.YE22'!R:R,'911.VNSC.YE22'!L:L,'A0.LS'!E276),0)</f>
        <v>0</v>
      </c>
      <c r="BE276" s="936">
        <f>ROUND(SUMIFS('A5.YE22'!J:J,'A5.YE22'!K:K,'A0.LS'!$BE$5,'A5.YE22'!L:L,"Posted",'A5.YE22'!D:D,'A0.LS'!E276),0)</f>
        <v>0</v>
      </c>
      <c r="BF276" s="936">
        <f t="shared" si="226"/>
        <v>0</v>
      </c>
      <c r="BG276" s="937"/>
      <c r="BH276" s="936">
        <f>ROUND(SUMIFS('911.XH.YE22'!T:T,'911.XH.YE22'!P:P,'A0.LS'!E276),0)</f>
        <v>0</v>
      </c>
      <c r="BI276" s="936">
        <f>ROUND(SUMIFS('A5.YE22'!J:J,'A5.YE22'!K:K,"XH",'A5.YE22'!L:L,"Posted",'A5.YE22'!D:D,'A0.LS'!E276),0)</f>
        <v>0</v>
      </c>
      <c r="BJ276" s="936">
        <f t="shared" si="227"/>
        <v>0</v>
      </c>
      <c r="BK276" s="937"/>
      <c r="BL276" s="936">
        <f>ROUND(SUMIFS('911.KCG.YE22'!T:T,'911.KCG.YE22'!P:P,'A0.LS'!E276),0)</f>
        <v>0</v>
      </c>
      <c r="BM276" s="936">
        <f>ROUND(SUMIFS('A5.YE22'!J:J,'A5.YE22'!K:K,'A0.LS'!$BM$5,'A5.YE22'!L:L,"Posted",'A5.YE22'!D:D,'A0.LS'!E276),0)</f>
        <v>0</v>
      </c>
      <c r="BN276" s="936">
        <f t="shared" si="228"/>
        <v>0</v>
      </c>
      <c r="BO276" s="937"/>
      <c r="BP276" s="938">
        <f>_xlfn.XLOOKUP(E276,[15]LS!$G:$G,[15]LS!$AX:$AX,0,0,1)</f>
        <v>393840500</v>
      </c>
      <c r="BQ276" s="938">
        <f>ROUND(SUMIFS('A5.YE22'!J:J,'A5.YE22'!K:K,'A0.LS'!$BQ$5,'A5.YE22'!L:L,"Posted",'A5.YE22'!D:D,'A0.LS'!E276),0)</f>
        <v>0</v>
      </c>
      <c r="BR276" s="938">
        <f t="shared" si="229"/>
        <v>393840500</v>
      </c>
    </row>
    <row r="277" spans="2:70" s="840" customFormat="1" ht="12.75">
      <c r="B277" s="939">
        <v>25</v>
      </c>
      <c r="C277" s="940" t="s">
        <v>2514</v>
      </c>
      <c r="D277" s="941" t="s">
        <v>2514</v>
      </c>
      <c r="E277" s="928" t="s">
        <v>341</v>
      </c>
      <c r="F277" s="928" t="s">
        <v>342</v>
      </c>
      <c r="G277" s="927" t="s">
        <v>2516</v>
      </c>
      <c r="H277" s="927" t="s">
        <v>2222</v>
      </c>
      <c r="I277" s="942">
        <f>SUMIFS('GL911.Cty Me.FY24'!T:T,'GL911.Cty Me.FY24'!H:H,'A0.LS'!E277)</f>
        <v>37226506</v>
      </c>
      <c r="J277" s="942">
        <f>ROUND(SUMIFS('A5.FY24'!K:K,'A5.FY24'!E:E,'A0.LS'!E277,'A5.FY24'!L:L,"Finhay",'A5.FY24'!M:M,"Posted"),0)</f>
        <v>0</v>
      </c>
      <c r="K277" s="942">
        <f>ROUND(SUMIFS('A5.FY24'!K:K,'A5.FY24'!E:E,'A0.LS'!E277,'A5.FY24'!L:L,"EY",'A5.FY24'!M:M,"Posted"),0)</f>
        <v>0</v>
      </c>
      <c r="L277" s="943">
        <f t="shared" si="216"/>
        <v>37226506</v>
      </c>
      <c r="M277" s="930"/>
      <c r="N277" s="944">
        <v>28515909</v>
      </c>
      <c r="O277" s="944">
        <v>1436376</v>
      </c>
      <c r="P277" s="944">
        <v>0</v>
      </c>
      <c r="Q277" s="945">
        <v>29952285</v>
      </c>
      <c r="R277" s="898"/>
      <c r="S277" s="848">
        <f t="shared" si="214"/>
        <v>7274221</v>
      </c>
      <c r="T277" s="946">
        <f t="shared" si="215"/>
        <v>0.24286030264468972</v>
      </c>
      <c r="U277" s="850"/>
      <c r="V277" s="850" t="s">
        <v>2522</v>
      </c>
      <c r="W277" s="850"/>
      <c r="X277" s="947" t="s">
        <v>676</v>
      </c>
      <c r="Y277" s="947" t="s">
        <v>2516</v>
      </c>
      <c r="Z277" s="936">
        <f>ROUND(SUMIFS('GL911.CtyCon.FY24'!N:N,'GL911.CtyCon.FY24'!G:G,'A0.LS'!E277),0)</f>
        <v>0</v>
      </c>
      <c r="AA277" s="936">
        <f>ROUND(SUMIFS('A5.CTC FY24'!K:K,'A5.CTC FY24'!E:E,'A0.LS'!E277,'A5.CTC FY24'!A:A,'A0.LS'!$AA$5,'A5.CTC FY24'!L:L,"Finhay",'A5.CTC FY24'!M:M,"Posted"),0)</f>
        <v>0</v>
      </c>
      <c r="AB277" s="936">
        <f>ROUND(SUMIFS('A5.CTC FY24'!K:K,'A5.CTC FY24'!E:E,'A0.LS'!E277,'A5.CTC FY24'!A:A,'A0.LS'!$AB$5,'A5.CTC FY24'!L:L,"EY",'A5.CTC FY24'!M:M,"Posted"),0)</f>
        <v>0</v>
      </c>
      <c r="AC277" s="948">
        <f t="shared" si="217"/>
        <v>0</v>
      </c>
      <c r="AD277" s="930"/>
      <c r="AE277" s="936">
        <f>SUMIFS('GL911 VNSC FY24'!T:T,'GL911 VNSC FY24'!AG:AG,'A0.LS'!E277)</f>
        <v>0</v>
      </c>
      <c r="AF277" s="936">
        <f>SUMIFS('A5.CTC FY24'!K:K,'A5.CTC FY24'!E:E,'A0.LS'!E277,'A5.CTC FY24'!A:A,"VNSC",'A5.CTC FY24'!L:L,"VNSC",'A5.CTC FY24'!M:M,"Posted")</f>
        <v>0</v>
      </c>
      <c r="AG277" s="936">
        <f>ROUND(SUMIFS('A5.CTC FY24'!K:K,'A5.CTC FY24'!E:E,'A0.LS'!E277,'A5.CTC FY24'!A:A,"VNSC",'A5.CTC FY24'!L:L,"EY",'A5.CTC FY24'!M:M,"Posted"),0)</f>
        <v>0</v>
      </c>
      <c r="AH277" s="936">
        <f t="shared" si="218"/>
        <v>0</v>
      </c>
      <c r="AI277" s="930"/>
      <c r="AJ277" s="936">
        <f>ROUND(SUMIFS('GL911.KCG.FY24'!L:L,'GL911.KCG.FY24'!F:F,'A0.LS'!E277),0)</f>
        <v>0</v>
      </c>
      <c r="AK277" s="936">
        <f>ROUND(SUMIFS('A5.CTC FY24'!K:K,'A5.CTC FY24'!E:E,'A0.LS'!E277,'A5.CTC FY24'!A:A,'A0.LS'!$AK$5,'A5.CTC FY24'!L:L,"EY",'A5.CTC FY24'!M:M,"Posted"),0)</f>
        <v>0</v>
      </c>
      <c r="AL277" s="948">
        <f t="shared" si="219"/>
        <v>0</v>
      </c>
      <c r="AM277" s="930"/>
      <c r="AN277" s="949">
        <f t="shared" si="220"/>
        <v>0</v>
      </c>
      <c r="AO277" s="950">
        <f>ROUND(SUMIFS('A5.Consol FY24'!L:L,'A5.Consol FY24'!M:M,"EY",'A5.Consol FY24'!N:N,"Posted",'A5.Consol FY24'!B:B,'A0.LS'!$AO$5,'A5.Consol FY24'!F:F,'A0.LS'!E277),0)</f>
        <v>0</v>
      </c>
      <c r="AP277" s="949">
        <f t="shared" si="221"/>
        <v>0</v>
      </c>
      <c r="AQ277" s="930"/>
      <c r="AR277" s="936">
        <f>ROUND(SUMIFS('GL911.XH.FY24'!L:L,'GL911.XH.FY24'!F:F,'A0.LS'!E277),0)</f>
        <v>0</v>
      </c>
      <c r="AS277" s="936">
        <f>ROUND(SUMIFS('A5.CTC FY24'!K:K,'A5.CTC FY24'!E:E,'A0.LS'!E277,'A5.CTC FY24'!A:A,'A0.LS'!$AS$5,'A5.CTC FY24'!L:L,"EY",'A5.CTC FY24'!M:M,"Posted"),0)</f>
        <v>0</v>
      </c>
      <c r="AT277" s="948">
        <f t="shared" si="222"/>
        <v>0</v>
      </c>
      <c r="AU277" s="930"/>
      <c r="AV277" s="951">
        <f t="shared" si="223"/>
        <v>37226506</v>
      </c>
      <c r="AW277" s="952">
        <f>SUMIFS('A5.Consol FY24'!L:L,'A5.Consol FY24'!B:B,'A0.LS'!$AW$5,'A5.Consol FY24'!M:M,"EY",'A5.Consol FY24'!N:N,"Posted",'A5.Consol FY24'!F:F,'A0.LS'!E277)</f>
        <v>0</v>
      </c>
      <c r="AX277" s="951">
        <f t="shared" si="224"/>
        <v>37226506</v>
      </c>
      <c r="AY277" s="920"/>
      <c r="AZ277" s="936">
        <f>SUMIFS('911.CTC.YE22'!U:U,'911.CTC.YE22'!R:R,'A0.LS'!E277)</f>
        <v>0</v>
      </c>
      <c r="BA277" s="936">
        <f>ROUND(SUMIFS('A5.YE22'!J:J,'A5.YE22'!K:K,'A0.LS'!$BA$5,'A5.YE22'!L:L,"Posted",'A5.YE22'!D:D,'A0.LS'!E277),0)</f>
        <v>0</v>
      </c>
      <c r="BB277" s="936">
        <f t="shared" si="225"/>
        <v>0</v>
      </c>
      <c r="BC277" s="937"/>
      <c r="BD277" s="936">
        <f>ROUND(SUMIFS('911.VNSC.YE22'!R:R,'911.VNSC.YE22'!L:L,'A0.LS'!E277),0)</f>
        <v>0</v>
      </c>
      <c r="BE277" s="936">
        <f>ROUND(SUMIFS('A5.YE22'!J:J,'A5.YE22'!K:K,'A0.LS'!$BE$5,'A5.YE22'!L:L,"Posted",'A5.YE22'!D:D,'A0.LS'!E277),0)</f>
        <v>0</v>
      </c>
      <c r="BF277" s="936">
        <f t="shared" si="226"/>
        <v>0</v>
      </c>
      <c r="BG277" s="937"/>
      <c r="BH277" s="936">
        <f>ROUND(SUMIFS('911.XH.YE22'!T:T,'911.XH.YE22'!P:P,'A0.LS'!E277),0)</f>
        <v>0</v>
      </c>
      <c r="BI277" s="936">
        <f>ROUND(SUMIFS('A5.YE22'!J:J,'A5.YE22'!K:K,"XH",'A5.YE22'!L:L,"Posted",'A5.YE22'!D:D,'A0.LS'!E277),0)</f>
        <v>0</v>
      </c>
      <c r="BJ277" s="936">
        <f t="shared" si="227"/>
        <v>0</v>
      </c>
      <c r="BK277" s="937"/>
      <c r="BL277" s="936">
        <f>ROUND(SUMIFS('911.KCG.YE22'!T:T,'911.KCG.YE22'!P:P,'A0.LS'!E277),0)</f>
        <v>0</v>
      </c>
      <c r="BM277" s="936">
        <f>ROUND(SUMIFS('A5.YE22'!J:J,'A5.YE22'!K:K,'A0.LS'!$BM$5,'A5.YE22'!L:L,"Posted",'A5.YE22'!D:D,'A0.LS'!E277),0)</f>
        <v>0</v>
      </c>
      <c r="BN277" s="936">
        <f t="shared" si="228"/>
        <v>0</v>
      </c>
      <c r="BO277" s="937"/>
      <c r="BP277" s="938">
        <f>_xlfn.XLOOKUP(E277,[15]LS!$G:$G,[15]LS!$AX:$AX,0,0,1)</f>
        <v>32316285</v>
      </c>
      <c r="BQ277" s="938">
        <f>ROUND(SUMIFS('A5.YE22'!J:J,'A5.YE22'!K:K,'A0.LS'!$BQ$5,'A5.YE22'!L:L,"Posted",'A5.YE22'!D:D,'A0.LS'!E277),0)</f>
        <v>0</v>
      </c>
      <c r="BR277" s="938">
        <f t="shared" si="229"/>
        <v>32316285</v>
      </c>
    </row>
    <row r="278" spans="2:70" ht="12.6" customHeight="1">
      <c r="B278" s="939">
        <v>25</v>
      </c>
      <c r="C278" s="940" t="s">
        <v>2523</v>
      </c>
      <c r="D278" s="941" t="s">
        <v>2523</v>
      </c>
      <c r="E278" s="928" t="s">
        <v>343</v>
      </c>
      <c r="F278" s="928" t="s">
        <v>344</v>
      </c>
      <c r="G278" s="927" t="s">
        <v>2516</v>
      </c>
      <c r="H278" s="927" t="s">
        <v>2188</v>
      </c>
      <c r="I278" s="942">
        <f>SUMIFS('GL911.Cty Me.FY24'!T:T,'GL911.Cty Me.FY24'!H:H,'A0.LS'!E278)</f>
        <v>53048958</v>
      </c>
      <c r="J278" s="942">
        <f>ROUND(SUMIFS('A5.FY24'!K:K,'A5.FY24'!E:E,'A0.LS'!E278,'A5.FY24'!L:L,"Finhay",'A5.FY24'!M:M,"Posted"),0)</f>
        <v>0</v>
      </c>
      <c r="K278" s="942">
        <f>ROUND(SUMIFS('A5.FY24'!K:K,'A5.FY24'!E:E,'A0.LS'!E278,'A5.FY24'!L:L,"EY",'A5.FY24'!M:M,"Posted"),0)</f>
        <v>0</v>
      </c>
      <c r="L278" s="943">
        <f t="shared" si="216"/>
        <v>53048958</v>
      </c>
      <c r="M278" s="930"/>
      <c r="N278" s="944">
        <v>97373229</v>
      </c>
      <c r="O278" s="944">
        <v>4904791</v>
      </c>
      <c r="P278" s="944">
        <v>0</v>
      </c>
      <c r="Q278" s="945">
        <v>102278020</v>
      </c>
      <c r="R278" s="898"/>
      <c r="S278" s="848">
        <f t="shared" si="214"/>
        <v>-49229062</v>
      </c>
      <c r="T278" s="946">
        <f t="shared" si="215"/>
        <v>-0.48132591929331442</v>
      </c>
      <c r="U278" s="850"/>
      <c r="V278" s="850" t="s">
        <v>2419</v>
      </c>
      <c r="W278" s="850"/>
      <c r="X278" s="947" t="s">
        <v>676</v>
      </c>
      <c r="Y278" s="947" t="s">
        <v>2516</v>
      </c>
      <c r="Z278" s="936">
        <f>ROUND(SUMIFS('GL911.CtyCon.FY24'!N:N,'GL911.CtyCon.FY24'!G:G,'A0.LS'!E278),0)</f>
        <v>0</v>
      </c>
      <c r="AA278" s="936">
        <f>ROUND(SUMIFS('A5.CTC FY24'!K:K,'A5.CTC FY24'!E:E,'A0.LS'!E278,'A5.CTC FY24'!A:A,'A0.LS'!$AA$5,'A5.CTC FY24'!L:L,"Finhay",'A5.CTC FY24'!M:M,"Posted"),0)</f>
        <v>0</v>
      </c>
      <c r="AB278" s="936">
        <f>ROUND(SUMIFS('A5.CTC FY24'!K:K,'A5.CTC FY24'!E:E,'A0.LS'!E278,'A5.CTC FY24'!A:A,'A0.LS'!$AB$5,'A5.CTC FY24'!L:L,"EY",'A5.CTC FY24'!M:M,"Posted"),0)</f>
        <v>0</v>
      </c>
      <c r="AC278" s="948">
        <f t="shared" si="217"/>
        <v>0</v>
      </c>
      <c r="AD278" s="930"/>
      <c r="AE278" s="936">
        <f>SUMIFS('GL911 VNSC FY24'!T:T,'GL911 VNSC FY24'!AG:AG,'A0.LS'!E278)</f>
        <v>0</v>
      </c>
      <c r="AF278" s="936">
        <f>SUMIFS('A5.CTC FY24'!K:K,'A5.CTC FY24'!E:E,'A0.LS'!E278,'A5.CTC FY24'!A:A,"VNSC",'A5.CTC FY24'!L:L,"VNSC",'A5.CTC FY24'!M:M,"Posted")</f>
        <v>0</v>
      </c>
      <c r="AG278" s="936">
        <f>ROUND(SUMIFS('A5.CTC FY24'!K:K,'A5.CTC FY24'!E:E,'A0.LS'!E278,'A5.CTC FY24'!A:A,"VNSC",'A5.CTC FY24'!L:L,"EY",'A5.CTC FY24'!M:M,"Posted"),0)</f>
        <v>0</v>
      </c>
      <c r="AH278" s="936">
        <f t="shared" si="218"/>
        <v>0</v>
      </c>
      <c r="AI278" s="930"/>
      <c r="AJ278" s="936">
        <f>ROUND(SUMIFS('GL911.KCG.FY24'!L:L,'GL911.KCG.FY24'!F:F,'A0.LS'!E278),0)</f>
        <v>0</v>
      </c>
      <c r="AK278" s="936">
        <f>ROUND(SUMIFS('A5.CTC FY24'!K:K,'A5.CTC FY24'!E:E,'A0.LS'!E278,'A5.CTC FY24'!A:A,'A0.LS'!$AK$5,'A5.CTC FY24'!L:L,"EY",'A5.CTC FY24'!M:M,"Posted"),0)</f>
        <v>0</v>
      </c>
      <c r="AL278" s="948">
        <f t="shared" si="219"/>
        <v>0</v>
      </c>
      <c r="AM278" s="930"/>
      <c r="AN278" s="949">
        <f t="shared" si="220"/>
        <v>0</v>
      </c>
      <c r="AO278" s="950">
        <f>ROUND(SUMIFS('A5.Consol FY24'!L:L,'A5.Consol FY24'!M:M,"EY",'A5.Consol FY24'!N:N,"Posted",'A5.Consol FY24'!B:B,'A0.LS'!$AO$5,'A5.Consol FY24'!F:F,'A0.LS'!E278),0)</f>
        <v>0</v>
      </c>
      <c r="AP278" s="949">
        <f t="shared" si="221"/>
        <v>0</v>
      </c>
      <c r="AQ278" s="930"/>
      <c r="AR278" s="936">
        <f>ROUND(SUMIFS('GL911.XH.FY24'!L:L,'GL911.XH.FY24'!F:F,'A0.LS'!E278),0)</f>
        <v>0</v>
      </c>
      <c r="AS278" s="936">
        <f>ROUND(SUMIFS('A5.CTC FY24'!K:K,'A5.CTC FY24'!E:E,'A0.LS'!E278,'A5.CTC FY24'!A:A,'A0.LS'!$AS$5,'A5.CTC FY24'!L:L,"EY",'A5.CTC FY24'!M:M,"Posted"),0)</f>
        <v>0</v>
      </c>
      <c r="AT278" s="948">
        <f t="shared" si="222"/>
        <v>0</v>
      </c>
      <c r="AU278" s="930"/>
      <c r="AV278" s="951">
        <f t="shared" si="223"/>
        <v>53048958</v>
      </c>
      <c r="AW278" s="952">
        <f>SUMIFS('A5.Consol FY24'!L:L,'A5.Consol FY24'!B:B,'A0.LS'!$AW$5,'A5.Consol FY24'!M:M,"EY",'A5.Consol FY24'!N:N,"Posted",'A5.Consol FY24'!F:F,'A0.LS'!E278)</f>
        <v>0</v>
      </c>
      <c r="AX278" s="951">
        <f t="shared" si="224"/>
        <v>53048958</v>
      </c>
      <c r="AY278" s="920"/>
      <c r="AZ278" s="936">
        <f>SUMIFS('911.CTC.YE22'!U:U,'911.CTC.YE22'!R:R,'A0.LS'!E278)</f>
        <v>0</v>
      </c>
      <c r="BA278" s="936">
        <f>ROUND(SUMIFS('A5.YE22'!J:J,'A5.YE22'!K:K,'A0.LS'!$BA$5,'A5.YE22'!L:L,"Posted",'A5.YE22'!D:D,'A0.LS'!E278),0)</f>
        <v>0</v>
      </c>
      <c r="BB278" s="936">
        <f t="shared" si="225"/>
        <v>0</v>
      </c>
      <c r="BC278" s="937"/>
      <c r="BD278" s="936">
        <f>ROUND(SUMIFS('911.VNSC.YE22'!R:R,'911.VNSC.YE22'!L:L,'A0.LS'!E278),0)</f>
        <v>0</v>
      </c>
      <c r="BE278" s="936">
        <f>ROUND(SUMIFS('A5.YE22'!J:J,'A5.YE22'!K:K,'A0.LS'!$BE$5,'A5.YE22'!L:L,"Posted",'A5.YE22'!D:D,'A0.LS'!E278),0)</f>
        <v>0</v>
      </c>
      <c r="BF278" s="936">
        <f t="shared" si="226"/>
        <v>0</v>
      </c>
      <c r="BG278" s="937"/>
      <c r="BH278" s="936">
        <f>ROUND(SUMIFS('911.XH.YE22'!T:T,'911.XH.YE22'!P:P,'A0.LS'!E278),0)</f>
        <v>0</v>
      </c>
      <c r="BI278" s="936">
        <f>ROUND(SUMIFS('A5.YE22'!J:J,'A5.YE22'!K:K,"XH",'A5.YE22'!L:L,"Posted",'A5.YE22'!D:D,'A0.LS'!E278),0)</f>
        <v>0</v>
      </c>
      <c r="BJ278" s="936">
        <f t="shared" si="227"/>
        <v>0</v>
      </c>
      <c r="BK278" s="937"/>
      <c r="BL278" s="936">
        <f>ROUND(SUMIFS('911.KCG.YE22'!T:T,'911.KCG.YE22'!P:P,'A0.LS'!E278),0)</f>
        <v>0</v>
      </c>
      <c r="BM278" s="936">
        <f>ROUND(SUMIFS('A5.YE22'!J:J,'A5.YE22'!K:K,'A0.LS'!$BM$5,'A5.YE22'!L:L,"Posted",'A5.YE22'!D:D,'A0.LS'!E278),0)</f>
        <v>0</v>
      </c>
      <c r="BN278" s="936">
        <f t="shared" si="228"/>
        <v>0</v>
      </c>
      <c r="BO278" s="937"/>
      <c r="BP278" s="938">
        <f>_xlfn.XLOOKUP(E278,[15]LS!$G:$G,[15]LS!$AX:$AX,0,0,1)</f>
        <v>102278020</v>
      </c>
      <c r="BQ278" s="938">
        <f>ROUND(SUMIFS('A5.YE22'!J:J,'A5.YE22'!K:K,'A0.LS'!$BQ$5,'A5.YE22'!L:L,"Posted",'A5.YE22'!D:D,'A0.LS'!E278),0)</f>
        <v>0</v>
      </c>
      <c r="BR278" s="938">
        <f t="shared" si="229"/>
        <v>102278020</v>
      </c>
    </row>
    <row r="279" spans="2:70" ht="12.6" customHeight="1">
      <c r="B279" s="939">
        <v>25</v>
      </c>
      <c r="C279" s="940" t="s">
        <v>2524</v>
      </c>
      <c r="D279" s="941" t="s">
        <v>2524</v>
      </c>
      <c r="E279" s="954" t="s">
        <v>345</v>
      </c>
      <c r="F279" s="928" t="s">
        <v>270</v>
      </c>
      <c r="G279" s="927" t="s">
        <v>2516</v>
      </c>
      <c r="H279" s="927" t="s">
        <v>2188</v>
      </c>
      <c r="I279" s="942">
        <f>SUMIFS('GL911.Cty Me.FY24'!T:T,'GL911.Cty Me.FY24'!H:H,'A0.LS'!E279)</f>
        <v>36956232</v>
      </c>
      <c r="J279" s="942">
        <f>ROUND(SUMIFS('A5.FY24'!K:K,'A5.FY24'!E:E,'A0.LS'!E279,'A5.FY24'!L:L,"Finhay",'A5.FY24'!M:M,"Posted"),0)</f>
        <v>0</v>
      </c>
      <c r="K279" s="942">
        <f>ROUND(SUMIFS('A5.FY24'!K:K,'A5.FY24'!E:E,'A0.LS'!E279,'A5.FY24'!L:L,"EY",'A5.FY24'!M:M,"Posted"),0)</f>
        <v>0</v>
      </c>
      <c r="L279" s="943">
        <f t="shared" si="216"/>
        <v>36956232</v>
      </c>
      <c r="M279" s="930"/>
      <c r="N279" s="944">
        <v>46445004</v>
      </c>
      <c r="O279" s="944">
        <v>0</v>
      </c>
      <c r="P279" s="944">
        <v>0</v>
      </c>
      <c r="Q279" s="945">
        <v>46445004</v>
      </c>
      <c r="R279" s="898"/>
      <c r="S279" s="848">
        <f t="shared" si="214"/>
        <v>-9488772</v>
      </c>
      <c r="T279" s="946">
        <f t="shared" si="215"/>
        <v>-0.20430124195919974</v>
      </c>
      <c r="U279" s="850"/>
      <c r="V279" s="850" t="e">
        <v>#N/A</v>
      </c>
      <c r="W279" s="850"/>
      <c r="X279" s="947"/>
      <c r="Y279" s="947" t="s">
        <v>2516</v>
      </c>
      <c r="Z279" s="936">
        <f>ROUND(SUMIFS('GL911.CtyCon.FY24'!N:N,'GL911.CtyCon.FY24'!G:G,'A0.LS'!E279),0)</f>
        <v>0</v>
      </c>
      <c r="AA279" s="936">
        <f>ROUND(SUMIFS('A5.CTC FY24'!K:K,'A5.CTC FY24'!E:E,'A0.LS'!E279,'A5.CTC FY24'!A:A,'A0.LS'!$AA$5,'A5.CTC FY24'!L:L,"Finhay",'A5.CTC FY24'!M:M,"Posted"),0)</f>
        <v>0</v>
      </c>
      <c r="AB279" s="936">
        <f>ROUND(SUMIFS('A5.CTC FY24'!K:K,'A5.CTC FY24'!E:E,'A0.LS'!E279,'A5.CTC FY24'!A:A,'A0.LS'!$AB$5,'A5.CTC FY24'!L:L,"EY",'A5.CTC FY24'!M:M,"Posted"),0)</f>
        <v>0</v>
      </c>
      <c r="AC279" s="948">
        <f t="shared" si="217"/>
        <v>0</v>
      </c>
      <c r="AD279" s="930"/>
      <c r="AE279" s="936">
        <f>SUMIFS('GL911 VNSC FY24'!T:T,'GL911 VNSC FY24'!AG:AG,'A0.LS'!E279)</f>
        <v>0</v>
      </c>
      <c r="AF279" s="936">
        <f>SUMIFS('A5.CTC FY24'!K:K,'A5.CTC FY24'!E:E,'A0.LS'!E279,'A5.CTC FY24'!A:A,"VNSC",'A5.CTC FY24'!L:L,"VNSC",'A5.CTC FY24'!M:M,"Posted")</f>
        <v>0</v>
      </c>
      <c r="AG279" s="936">
        <f>ROUND(SUMIFS('A5.CTC FY24'!K:K,'A5.CTC FY24'!E:E,'A0.LS'!E279,'A5.CTC FY24'!A:A,"VNSC",'A5.CTC FY24'!L:L,"EY",'A5.CTC FY24'!M:M,"Posted"),0)</f>
        <v>0</v>
      </c>
      <c r="AH279" s="936">
        <f t="shared" si="218"/>
        <v>0</v>
      </c>
      <c r="AI279" s="930"/>
      <c r="AJ279" s="936">
        <f>ROUND(SUMIFS('GL911.KCG.FY24'!L:L,'GL911.KCG.FY24'!F:F,'A0.LS'!E279),0)</f>
        <v>0</v>
      </c>
      <c r="AK279" s="936">
        <f>ROUND(SUMIFS('A5.CTC FY24'!K:K,'A5.CTC FY24'!E:E,'A0.LS'!E279,'A5.CTC FY24'!A:A,'A0.LS'!$AK$5,'A5.CTC FY24'!L:L,"EY",'A5.CTC FY24'!M:M,"Posted"),0)</f>
        <v>0</v>
      </c>
      <c r="AL279" s="948">
        <f t="shared" si="219"/>
        <v>0</v>
      </c>
      <c r="AM279" s="930"/>
      <c r="AN279" s="949">
        <f t="shared" si="220"/>
        <v>0</v>
      </c>
      <c r="AO279" s="950">
        <f>ROUND(SUMIFS('A5.Consol FY24'!L:L,'A5.Consol FY24'!M:M,"EY",'A5.Consol FY24'!N:N,"Posted",'A5.Consol FY24'!B:B,'A0.LS'!$AO$5,'A5.Consol FY24'!F:F,'A0.LS'!E279),0)</f>
        <v>0</v>
      </c>
      <c r="AP279" s="949">
        <f t="shared" si="221"/>
        <v>0</v>
      </c>
      <c r="AQ279" s="930"/>
      <c r="AR279" s="936">
        <f>ROUND(SUMIFS('GL911.XH.FY24'!L:L,'GL911.XH.FY24'!F:F,'A0.LS'!E279),0)</f>
        <v>0</v>
      </c>
      <c r="AS279" s="936">
        <f>ROUND(SUMIFS('A5.CTC FY24'!K:K,'A5.CTC FY24'!E:E,'A0.LS'!E279,'A5.CTC FY24'!A:A,'A0.LS'!$AS$5,'A5.CTC FY24'!L:L,"EY",'A5.CTC FY24'!M:M,"Posted"),0)</f>
        <v>0</v>
      </c>
      <c r="AT279" s="948">
        <f t="shared" si="222"/>
        <v>0</v>
      </c>
      <c r="AU279" s="930"/>
      <c r="AV279" s="951">
        <f t="shared" si="223"/>
        <v>36956232</v>
      </c>
      <c r="AW279" s="952">
        <f>SUMIFS('A5.Consol FY24'!L:L,'A5.Consol FY24'!B:B,'A0.LS'!$AW$5,'A5.Consol FY24'!M:M,"EY",'A5.Consol FY24'!N:N,"Posted",'A5.Consol FY24'!F:F,'A0.LS'!E279)</f>
        <v>0</v>
      </c>
      <c r="AX279" s="951">
        <f t="shared" si="224"/>
        <v>36956232</v>
      </c>
      <c r="AY279" s="920"/>
      <c r="AZ279" s="936">
        <f>SUMIFS('911.CTC.YE22'!U:U,'911.CTC.YE22'!R:R,'A0.LS'!E279)</f>
        <v>0</v>
      </c>
      <c r="BA279" s="936">
        <f>ROUND(SUMIFS('A5.YE22'!J:J,'A5.YE22'!K:K,'A0.LS'!$BA$5,'A5.YE22'!L:L,"Posted",'A5.YE22'!D:D,'A0.LS'!E279),0)</f>
        <v>0</v>
      </c>
      <c r="BB279" s="936">
        <f t="shared" si="225"/>
        <v>0</v>
      </c>
      <c r="BC279" s="937"/>
      <c r="BD279" s="936">
        <f>ROUND(SUMIFS('911.VNSC.YE22'!R:R,'911.VNSC.YE22'!L:L,'A0.LS'!E279),0)</f>
        <v>0</v>
      </c>
      <c r="BE279" s="936">
        <f>ROUND(SUMIFS('A5.YE22'!J:J,'A5.YE22'!K:K,'A0.LS'!$BE$5,'A5.YE22'!L:L,"Posted",'A5.YE22'!D:D,'A0.LS'!E279),0)</f>
        <v>0</v>
      </c>
      <c r="BF279" s="936">
        <f t="shared" si="226"/>
        <v>0</v>
      </c>
      <c r="BG279" s="937"/>
      <c r="BH279" s="936">
        <f>ROUND(SUMIFS('911.XH.YE22'!T:T,'911.XH.YE22'!P:P,'A0.LS'!E279),0)</f>
        <v>0</v>
      </c>
      <c r="BI279" s="936">
        <f>ROUND(SUMIFS('A5.YE22'!J:J,'A5.YE22'!K:K,"XH",'A5.YE22'!L:L,"Posted",'A5.YE22'!D:D,'A0.LS'!E279),0)</f>
        <v>0</v>
      </c>
      <c r="BJ279" s="936">
        <f t="shared" si="227"/>
        <v>0</v>
      </c>
      <c r="BK279" s="937"/>
      <c r="BL279" s="936">
        <f>ROUND(SUMIFS('911.KCG.YE22'!T:T,'911.KCG.YE22'!P:P,'A0.LS'!E279),0)</f>
        <v>0</v>
      </c>
      <c r="BM279" s="936">
        <f>ROUND(SUMIFS('A5.YE22'!J:J,'A5.YE22'!K:K,'A0.LS'!$BM$5,'A5.YE22'!L:L,"Posted",'A5.YE22'!D:D,'A0.LS'!E279),0)</f>
        <v>0</v>
      </c>
      <c r="BN279" s="936">
        <f t="shared" si="228"/>
        <v>0</v>
      </c>
      <c r="BO279" s="937"/>
      <c r="BP279" s="938">
        <f>_xlfn.XLOOKUP(E279,[15]LS!$G:$G,[15]LS!$AX:$AX,0,0,1)</f>
        <v>51338198</v>
      </c>
      <c r="BQ279" s="938">
        <f>ROUND(SUMIFS('A5.YE22'!J:J,'A5.YE22'!K:K,'A0.LS'!$BQ$5,'A5.YE22'!L:L,"Posted",'A5.YE22'!D:D,'A0.LS'!E279),0)</f>
        <v>0</v>
      </c>
      <c r="BR279" s="938">
        <f t="shared" si="229"/>
        <v>51338198</v>
      </c>
    </row>
    <row r="280" spans="2:70" ht="12.75">
      <c r="B280" s="939">
        <v>25</v>
      </c>
      <c r="C280" s="940" t="s">
        <v>2525</v>
      </c>
      <c r="D280" s="941" t="s">
        <v>2525</v>
      </c>
      <c r="E280" s="928" t="s">
        <v>347</v>
      </c>
      <c r="F280" s="928" t="s">
        <v>288</v>
      </c>
      <c r="G280" s="927" t="s">
        <v>2516</v>
      </c>
      <c r="H280" s="927" t="s">
        <v>2188</v>
      </c>
      <c r="I280" s="942">
        <f>SUMIFS('GL911.Cty Me.FY24'!T:T,'GL911.Cty Me.FY24'!H:H,'A0.LS'!E280)</f>
        <v>0</v>
      </c>
      <c r="J280" s="942">
        <f>ROUND(SUMIFS('A5.FY24'!K:K,'A5.FY24'!E:E,'A0.LS'!E280,'A5.FY24'!L:L,"Finhay",'A5.FY24'!M:M,"Posted"),0)</f>
        <v>0</v>
      </c>
      <c r="K280" s="942">
        <f>ROUND(SUMIFS('A5.FY24'!K:K,'A5.FY24'!E:E,'A0.LS'!E280,'A5.FY24'!L:L,"EY",'A5.FY24'!M:M,"Posted"),0)</f>
        <v>0</v>
      </c>
      <c r="L280" s="943">
        <f t="shared" si="216"/>
        <v>0</v>
      </c>
      <c r="M280" s="930"/>
      <c r="N280" s="944">
        <v>1122242818</v>
      </c>
      <c r="O280" s="944">
        <v>56528537</v>
      </c>
      <c r="P280" s="944">
        <v>0</v>
      </c>
      <c r="Q280" s="945">
        <v>1178771355</v>
      </c>
      <c r="R280" s="898"/>
      <c r="S280" s="848">
        <f t="shared" si="214"/>
        <v>-1178771355</v>
      </c>
      <c r="T280" s="946">
        <f t="shared" si="215"/>
        <v>-1</v>
      </c>
      <c r="U280" s="850"/>
      <c r="V280" s="850" t="s">
        <v>2435</v>
      </c>
      <c r="W280" s="850"/>
      <c r="X280" s="947" t="s">
        <v>676</v>
      </c>
      <c r="Y280" s="947" t="s">
        <v>2516</v>
      </c>
      <c r="Z280" s="936">
        <f>ROUND(SUMIFS('GL911.CtyCon.FY24'!N:N,'GL911.CtyCon.FY24'!G:G,'A0.LS'!E280),0)</f>
        <v>0</v>
      </c>
      <c r="AA280" s="936">
        <f>ROUND(SUMIFS('A5.CTC FY24'!K:K,'A5.CTC FY24'!E:E,'A0.LS'!E280,'A5.CTC FY24'!A:A,'A0.LS'!$AA$5,'A5.CTC FY24'!L:L,"Finhay",'A5.CTC FY24'!M:M,"Posted"),0)</f>
        <v>0</v>
      </c>
      <c r="AB280" s="936">
        <f>ROUND(SUMIFS('A5.CTC FY24'!K:K,'A5.CTC FY24'!E:E,'A0.LS'!E280,'A5.CTC FY24'!A:A,'A0.LS'!$AB$5,'A5.CTC FY24'!L:L,"EY",'A5.CTC FY24'!M:M,"Posted"),0)</f>
        <v>0</v>
      </c>
      <c r="AC280" s="948">
        <f t="shared" si="217"/>
        <v>0</v>
      </c>
      <c r="AD280" s="930"/>
      <c r="AE280" s="936">
        <f>SUMIFS('GL911 VNSC FY24'!T:T,'GL911 VNSC FY24'!AG:AG,'A0.LS'!E280)</f>
        <v>0</v>
      </c>
      <c r="AF280" s="936">
        <f>SUMIFS('A5.CTC FY24'!K:K,'A5.CTC FY24'!E:E,'A0.LS'!E280,'A5.CTC FY24'!A:A,"VNSC",'A5.CTC FY24'!L:L,"VNSC",'A5.CTC FY24'!M:M,"Posted")</f>
        <v>0</v>
      </c>
      <c r="AG280" s="936">
        <f>ROUND(SUMIFS('A5.CTC FY24'!K:K,'A5.CTC FY24'!E:E,'A0.LS'!E280,'A5.CTC FY24'!A:A,"VNSC",'A5.CTC FY24'!L:L,"EY",'A5.CTC FY24'!M:M,"Posted"),0)</f>
        <v>0</v>
      </c>
      <c r="AH280" s="936">
        <f t="shared" si="218"/>
        <v>0</v>
      </c>
      <c r="AI280" s="930"/>
      <c r="AJ280" s="936">
        <f>ROUND(SUMIFS('GL911.KCG.FY24'!L:L,'GL911.KCG.FY24'!F:F,'A0.LS'!E280),0)</f>
        <v>0</v>
      </c>
      <c r="AK280" s="936">
        <f>ROUND(SUMIFS('A5.CTC FY24'!K:K,'A5.CTC FY24'!E:E,'A0.LS'!E280,'A5.CTC FY24'!A:A,'A0.LS'!$AK$5,'A5.CTC FY24'!L:L,"EY",'A5.CTC FY24'!M:M,"Posted"),0)</f>
        <v>0</v>
      </c>
      <c r="AL280" s="948">
        <f t="shared" si="219"/>
        <v>0</v>
      </c>
      <c r="AM280" s="930"/>
      <c r="AN280" s="949">
        <f t="shared" si="220"/>
        <v>0</v>
      </c>
      <c r="AO280" s="950">
        <f>ROUND(SUMIFS('A5.Consol FY24'!L:L,'A5.Consol FY24'!M:M,"EY",'A5.Consol FY24'!N:N,"Posted",'A5.Consol FY24'!B:B,'A0.LS'!$AO$5,'A5.Consol FY24'!F:F,'A0.LS'!E280),0)</f>
        <v>0</v>
      </c>
      <c r="AP280" s="949">
        <f t="shared" si="221"/>
        <v>0</v>
      </c>
      <c r="AQ280" s="930"/>
      <c r="AR280" s="936">
        <f>ROUND(SUMIFS('GL911.XH.FY24'!L:L,'GL911.XH.FY24'!F:F,'A0.LS'!E280),0)</f>
        <v>0</v>
      </c>
      <c r="AS280" s="936">
        <f>ROUND(SUMIFS('A5.CTC FY24'!K:K,'A5.CTC FY24'!E:E,'A0.LS'!E280,'A5.CTC FY24'!A:A,'A0.LS'!$AS$5,'A5.CTC FY24'!L:L,"EY",'A5.CTC FY24'!M:M,"Posted"),0)</f>
        <v>0</v>
      </c>
      <c r="AT280" s="948">
        <f t="shared" si="222"/>
        <v>0</v>
      </c>
      <c r="AU280" s="930"/>
      <c r="AV280" s="951">
        <f t="shared" si="223"/>
        <v>0</v>
      </c>
      <c r="AW280" s="952">
        <f>SUMIFS('A5.Consol FY24'!L:L,'A5.Consol FY24'!B:B,'A0.LS'!$AW$5,'A5.Consol FY24'!M:M,"EY",'A5.Consol FY24'!N:N,"Posted",'A5.Consol FY24'!F:F,'A0.LS'!E280)</f>
        <v>0</v>
      </c>
      <c r="AX280" s="951">
        <f t="shared" si="224"/>
        <v>0</v>
      </c>
      <c r="AY280" s="920"/>
      <c r="AZ280" s="936">
        <f>SUMIFS('911.CTC.YE22'!U:U,'911.CTC.YE22'!R:R,'A0.LS'!E280)</f>
        <v>158736684</v>
      </c>
      <c r="BA280" s="936">
        <f>ROUND(SUMIFS('A5.YE22'!J:J,'A5.YE22'!K:K,'A0.LS'!$BA$5,'A5.YE22'!L:L,"Posted",'A5.YE22'!D:D,'A0.LS'!E280),0)</f>
        <v>0</v>
      </c>
      <c r="BB280" s="936">
        <f t="shared" si="225"/>
        <v>158736684</v>
      </c>
      <c r="BC280" s="937"/>
      <c r="BD280" s="936">
        <f>ROUND(SUMIFS('911.VNSC.YE22'!R:R,'911.VNSC.YE22'!L:L,'A0.LS'!E280),0)</f>
        <v>0</v>
      </c>
      <c r="BE280" s="936">
        <f>ROUND(SUMIFS('A5.YE22'!J:J,'A5.YE22'!K:K,'A0.LS'!$BE$5,'A5.YE22'!L:L,"Posted",'A5.YE22'!D:D,'A0.LS'!E280),0)</f>
        <v>0</v>
      </c>
      <c r="BF280" s="936">
        <f t="shared" si="226"/>
        <v>0</v>
      </c>
      <c r="BG280" s="937"/>
      <c r="BH280" s="936">
        <f>ROUND(SUMIFS('911.XH.YE22'!T:T,'911.XH.YE22'!P:P,'A0.LS'!E280),0)</f>
        <v>0</v>
      </c>
      <c r="BI280" s="936">
        <f>ROUND(SUMIFS('A5.YE22'!J:J,'A5.YE22'!K:K,"XH",'A5.YE22'!L:L,"Posted",'A5.YE22'!D:D,'A0.LS'!E280),0)</f>
        <v>0</v>
      </c>
      <c r="BJ280" s="936">
        <f t="shared" si="227"/>
        <v>0</v>
      </c>
      <c r="BK280" s="937"/>
      <c r="BL280" s="936">
        <f>ROUND(SUMIFS('911.KCG.YE22'!T:T,'911.KCG.YE22'!P:P,'A0.LS'!E280),0)</f>
        <v>0</v>
      </c>
      <c r="BM280" s="936">
        <f>ROUND(SUMIFS('A5.YE22'!J:J,'A5.YE22'!K:K,'A0.LS'!$BM$5,'A5.YE22'!L:L,"Posted",'A5.YE22'!D:D,'A0.LS'!E280),0)</f>
        <v>0</v>
      </c>
      <c r="BN280" s="936">
        <f t="shared" si="228"/>
        <v>0</v>
      </c>
      <c r="BO280" s="937"/>
      <c r="BP280" s="938">
        <f>_xlfn.XLOOKUP(E280,[15]LS!$G:$G,[15]LS!$AX:$AX,0,0,1)</f>
        <v>1178771355</v>
      </c>
      <c r="BQ280" s="938">
        <f>ROUND(SUMIFS('A5.YE22'!J:J,'A5.YE22'!K:K,'A0.LS'!$BQ$5,'A5.YE22'!L:L,"Posted",'A5.YE22'!D:D,'A0.LS'!E280),0)</f>
        <v>0</v>
      </c>
      <c r="BR280" s="938">
        <f t="shared" si="229"/>
        <v>1178771355</v>
      </c>
    </row>
    <row r="281" spans="2:70" ht="12.6" customHeight="1">
      <c r="B281" s="939">
        <v>25</v>
      </c>
      <c r="C281" s="940" t="s">
        <v>2526</v>
      </c>
      <c r="D281" s="941" t="s">
        <v>2526</v>
      </c>
      <c r="E281" s="928" t="s">
        <v>348</v>
      </c>
      <c r="F281" s="928" t="s">
        <v>349</v>
      </c>
      <c r="G281" s="927" t="s">
        <v>2516</v>
      </c>
      <c r="H281" s="927" t="s">
        <v>2188</v>
      </c>
      <c r="I281" s="942">
        <f>SUMIFS('GL911.Cty Me.FY24'!T:T,'GL911.Cty Me.FY24'!H:H,'A0.LS'!E281)</f>
        <v>5867117237</v>
      </c>
      <c r="J281" s="942">
        <f>ROUND(SUMIFS('A5.FY24'!K:K,'A5.FY24'!E:E,'A0.LS'!E281,'A5.FY24'!L:L,"Finhay",'A5.FY24'!M:M,"Posted"),0)</f>
        <v>2965</v>
      </c>
      <c r="K281" s="942">
        <f>ROUND(SUMIFS('A5.FY24'!K:K,'A5.FY24'!E:E,'A0.LS'!E281,'A5.FY24'!L:L,"EY",'A5.FY24'!M:M,"Posted"),0)</f>
        <v>0</v>
      </c>
      <c r="L281" s="943">
        <f t="shared" si="216"/>
        <v>5867120202</v>
      </c>
      <c r="M281" s="930"/>
      <c r="N281" s="944">
        <v>4475242422</v>
      </c>
      <c r="O281" s="944">
        <v>225422611</v>
      </c>
      <c r="P281" s="944">
        <v>0</v>
      </c>
      <c r="Q281" s="945">
        <v>4700665033</v>
      </c>
      <c r="R281" s="898"/>
      <c r="S281" s="848">
        <f t="shared" si="214"/>
        <v>1166455169</v>
      </c>
      <c r="T281" s="946">
        <f t="shared" si="215"/>
        <v>0.24814683897090184</v>
      </c>
      <c r="U281" s="850"/>
      <c r="V281" s="850" t="s">
        <v>2430</v>
      </c>
      <c r="W281" s="850"/>
      <c r="X281" s="947" t="s">
        <v>676</v>
      </c>
      <c r="Y281" s="947" t="s">
        <v>2516</v>
      </c>
      <c r="Z281" s="936">
        <f>ROUND(SUMIFS('GL911.CtyCon.FY24'!N:N,'GL911.CtyCon.FY24'!G:G,'A0.LS'!E281),0)</f>
        <v>0</v>
      </c>
      <c r="AA281" s="936">
        <f>ROUND(SUMIFS('A5.CTC FY24'!K:K,'A5.CTC FY24'!E:E,'A0.LS'!E281,'A5.CTC FY24'!A:A,'A0.LS'!$AA$5,'A5.CTC FY24'!L:L,"Finhay",'A5.CTC FY24'!M:M,"Posted"),0)</f>
        <v>0</v>
      </c>
      <c r="AB281" s="936">
        <f>ROUND(SUMIFS('A5.CTC FY24'!K:K,'A5.CTC FY24'!E:E,'A0.LS'!E281,'A5.CTC FY24'!A:A,'A0.LS'!$AB$5,'A5.CTC FY24'!L:L,"EY",'A5.CTC FY24'!M:M,"Posted"),0)</f>
        <v>0</v>
      </c>
      <c r="AC281" s="948">
        <f t="shared" si="217"/>
        <v>0</v>
      </c>
      <c r="AD281" s="930"/>
      <c r="AE281" s="936">
        <f>SUMIFS('GL911 VNSC FY24'!T:T,'GL911 VNSC FY24'!AG:AG,'A0.LS'!E281)</f>
        <v>0</v>
      </c>
      <c r="AF281" s="936">
        <f>SUMIFS('A5.CTC FY24'!K:K,'A5.CTC FY24'!E:E,'A0.LS'!E281,'A5.CTC FY24'!A:A,"VNSC",'A5.CTC FY24'!L:L,"VNSC",'A5.CTC FY24'!M:M,"Posted")</f>
        <v>0</v>
      </c>
      <c r="AG281" s="936">
        <f>ROUND(SUMIFS('A5.CTC FY24'!K:K,'A5.CTC FY24'!E:E,'A0.LS'!E281,'A5.CTC FY24'!A:A,"VNSC",'A5.CTC FY24'!L:L,"EY",'A5.CTC FY24'!M:M,"Posted"),0)</f>
        <v>0</v>
      </c>
      <c r="AH281" s="936">
        <f t="shared" si="218"/>
        <v>0</v>
      </c>
      <c r="AI281" s="930"/>
      <c r="AJ281" s="936">
        <f>ROUND(SUMIFS('GL911.KCG.FY24'!L:L,'GL911.KCG.FY24'!F:F,'A0.LS'!E281),0)</f>
        <v>0</v>
      </c>
      <c r="AK281" s="936">
        <f>ROUND(SUMIFS('A5.CTC FY24'!K:K,'A5.CTC FY24'!E:E,'A0.LS'!E281,'A5.CTC FY24'!A:A,'A0.LS'!$AK$5,'A5.CTC FY24'!L:L,"EY",'A5.CTC FY24'!M:M,"Posted"),0)</f>
        <v>0</v>
      </c>
      <c r="AL281" s="948">
        <f t="shared" si="219"/>
        <v>0</v>
      </c>
      <c r="AM281" s="930"/>
      <c r="AN281" s="949">
        <f t="shared" si="220"/>
        <v>0</v>
      </c>
      <c r="AO281" s="950">
        <f>ROUND(SUMIFS('A5.Consol FY24'!L:L,'A5.Consol FY24'!M:M,"EY",'A5.Consol FY24'!N:N,"Posted",'A5.Consol FY24'!B:B,'A0.LS'!$AO$5,'A5.Consol FY24'!F:F,'A0.LS'!E281),0)</f>
        <v>0</v>
      </c>
      <c r="AP281" s="949">
        <f t="shared" si="221"/>
        <v>0</v>
      </c>
      <c r="AQ281" s="930"/>
      <c r="AR281" s="936">
        <f>ROUND(SUMIFS('GL911.XH.FY24'!L:L,'GL911.XH.FY24'!F:F,'A0.LS'!E281),0)</f>
        <v>0</v>
      </c>
      <c r="AS281" s="936">
        <f>ROUND(SUMIFS('A5.CTC FY24'!K:K,'A5.CTC FY24'!E:E,'A0.LS'!E281,'A5.CTC FY24'!A:A,'A0.LS'!$AS$5,'A5.CTC FY24'!L:L,"EY",'A5.CTC FY24'!M:M,"Posted"),0)</f>
        <v>0</v>
      </c>
      <c r="AT281" s="948">
        <f t="shared" si="222"/>
        <v>0</v>
      </c>
      <c r="AU281" s="930"/>
      <c r="AV281" s="951">
        <f t="shared" si="223"/>
        <v>5867120202</v>
      </c>
      <c r="AW281" s="952">
        <f>SUMIFS('A5.Consol FY24'!L:L,'A5.Consol FY24'!B:B,'A0.LS'!$AW$5,'A5.Consol FY24'!M:M,"EY",'A5.Consol FY24'!N:N,"Posted",'A5.Consol FY24'!F:F,'A0.LS'!E281)</f>
        <v>0</v>
      </c>
      <c r="AX281" s="951">
        <f t="shared" si="224"/>
        <v>5867120202</v>
      </c>
      <c r="AY281" s="920"/>
      <c r="AZ281" s="936">
        <f>SUMIFS('911.CTC.YE22'!U:U,'911.CTC.YE22'!R:R,'A0.LS'!E281)</f>
        <v>0</v>
      </c>
      <c r="BA281" s="936">
        <f>ROUND(SUMIFS('A5.YE22'!J:J,'A5.YE22'!K:K,'A0.LS'!$BA$5,'A5.YE22'!L:L,"Posted",'A5.YE22'!D:D,'A0.LS'!E281),0)</f>
        <v>0</v>
      </c>
      <c r="BB281" s="936">
        <f t="shared" si="225"/>
        <v>0</v>
      </c>
      <c r="BC281" s="937"/>
      <c r="BD281" s="936">
        <f>ROUND(SUMIFS('911.VNSC.YE22'!R:R,'911.VNSC.YE22'!L:L,'A0.LS'!E281),0)</f>
        <v>0</v>
      </c>
      <c r="BE281" s="936">
        <f>ROUND(SUMIFS('A5.YE22'!J:J,'A5.YE22'!K:K,'A0.LS'!$BE$5,'A5.YE22'!L:L,"Posted",'A5.YE22'!D:D,'A0.LS'!E281),0)</f>
        <v>0</v>
      </c>
      <c r="BF281" s="936">
        <f t="shared" si="226"/>
        <v>0</v>
      </c>
      <c r="BG281" s="937"/>
      <c r="BH281" s="936">
        <f>ROUND(SUMIFS('911.XH.YE22'!T:T,'911.XH.YE22'!P:P,'A0.LS'!E281),0)</f>
        <v>0</v>
      </c>
      <c r="BI281" s="936">
        <f>ROUND(SUMIFS('A5.YE22'!J:J,'A5.YE22'!K:K,"XH",'A5.YE22'!L:L,"Posted",'A5.YE22'!D:D,'A0.LS'!E281),0)</f>
        <v>0</v>
      </c>
      <c r="BJ281" s="936">
        <f t="shared" si="227"/>
        <v>0</v>
      </c>
      <c r="BK281" s="937"/>
      <c r="BL281" s="936">
        <f>ROUND(SUMIFS('911.KCG.YE22'!T:T,'911.KCG.YE22'!P:P,'A0.LS'!E281),0)</f>
        <v>0</v>
      </c>
      <c r="BM281" s="936">
        <f>ROUND(SUMIFS('A5.YE22'!J:J,'A5.YE22'!K:K,'A0.LS'!$BM$5,'A5.YE22'!L:L,"Posted",'A5.YE22'!D:D,'A0.LS'!E281),0)</f>
        <v>0</v>
      </c>
      <c r="BN281" s="936">
        <f t="shared" si="228"/>
        <v>0</v>
      </c>
      <c r="BO281" s="937"/>
      <c r="BP281" s="938">
        <f>_xlfn.XLOOKUP(E281,[15]LS!$G:$G,[15]LS!$AX:$AX,0,0,1)</f>
        <v>4708175814</v>
      </c>
      <c r="BQ281" s="938">
        <f>ROUND(SUMIFS('A5.YE22'!J:J,'A5.YE22'!K:K,'A0.LS'!$BQ$5,'A5.YE22'!L:L,"Posted",'A5.YE22'!D:D,'A0.LS'!E281),0)</f>
        <v>0</v>
      </c>
      <c r="BR281" s="938">
        <f t="shared" si="229"/>
        <v>4708175814</v>
      </c>
    </row>
    <row r="282" spans="2:70" ht="12.75">
      <c r="B282" s="939">
        <v>25</v>
      </c>
      <c r="C282" s="940" t="s">
        <v>2526</v>
      </c>
      <c r="D282" s="941" t="s">
        <v>2526</v>
      </c>
      <c r="E282" s="928" t="s">
        <v>350</v>
      </c>
      <c r="F282" s="928" t="s">
        <v>351</v>
      </c>
      <c r="G282" s="927" t="s">
        <v>2516</v>
      </c>
      <c r="H282" s="927" t="s">
        <v>2188</v>
      </c>
      <c r="I282" s="942">
        <f>SUMIFS('GL911.Cty Me.FY24'!T:T,'GL911.Cty Me.FY24'!H:H,'A0.LS'!E282)</f>
        <v>747900786</v>
      </c>
      <c r="J282" s="942">
        <f>ROUND(SUMIFS('A5.FY24'!K:K,'A5.FY24'!E:E,'A0.LS'!E282,'A5.FY24'!L:L,"Finhay",'A5.FY24'!M:M,"Posted"),0)</f>
        <v>0</v>
      </c>
      <c r="K282" s="942">
        <f>ROUND(SUMIFS('A5.FY24'!K:K,'A5.FY24'!E:E,'A0.LS'!E282,'A5.FY24'!L:L,"EY",'A5.FY24'!M:M,"Posted"),0)</f>
        <v>0</v>
      </c>
      <c r="L282" s="943">
        <f t="shared" si="216"/>
        <v>747900786</v>
      </c>
      <c r="M282" s="930"/>
      <c r="N282" s="944">
        <v>2799927436</v>
      </c>
      <c r="O282" s="944">
        <v>141035254</v>
      </c>
      <c r="P282" s="944">
        <v>0</v>
      </c>
      <c r="Q282" s="945">
        <v>2940962690</v>
      </c>
      <c r="R282" s="898"/>
      <c r="S282" s="848">
        <f t="shared" si="214"/>
        <v>-2193061904</v>
      </c>
      <c r="T282" s="946">
        <f t="shared" si="215"/>
        <v>-0.74569524851741664</v>
      </c>
      <c r="U282" s="850" t="s">
        <v>2527</v>
      </c>
      <c r="V282" s="850" t="s">
        <v>2430</v>
      </c>
      <c r="W282" s="850"/>
      <c r="X282" s="947" t="s">
        <v>676</v>
      </c>
      <c r="Y282" s="947" t="s">
        <v>2516</v>
      </c>
      <c r="Z282" s="936">
        <f>ROUND(SUMIFS('GL911.CtyCon.FY24'!N:N,'GL911.CtyCon.FY24'!G:G,'A0.LS'!E282),0)</f>
        <v>0</v>
      </c>
      <c r="AA282" s="936">
        <f>ROUND(SUMIFS('A5.CTC FY24'!K:K,'A5.CTC FY24'!E:E,'A0.LS'!E282,'A5.CTC FY24'!A:A,'A0.LS'!$AA$5,'A5.CTC FY24'!L:L,"Finhay",'A5.CTC FY24'!M:M,"Posted"),0)</f>
        <v>0</v>
      </c>
      <c r="AB282" s="936">
        <f>ROUND(SUMIFS('A5.CTC FY24'!K:K,'A5.CTC FY24'!E:E,'A0.LS'!E282,'A5.CTC FY24'!A:A,'A0.LS'!$AB$5,'A5.CTC FY24'!L:L,"EY",'A5.CTC FY24'!M:M,"Posted"),0)</f>
        <v>0</v>
      </c>
      <c r="AC282" s="948">
        <f t="shared" si="217"/>
        <v>0</v>
      </c>
      <c r="AD282" s="930"/>
      <c r="AE282" s="936">
        <f>SUMIFS('GL911 VNSC FY24'!T:T,'GL911 VNSC FY24'!AG:AG,'A0.LS'!E282)</f>
        <v>0</v>
      </c>
      <c r="AF282" s="936">
        <f>SUMIFS('A5.CTC FY24'!K:K,'A5.CTC FY24'!E:E,'A0.LS'!E282,'A5.CTC FY24'!A:A,"VNSC",'A5.CTC FY24'!L:L,"VNSC",'A5.CTC FY24'!M:M,"Posted")</f>
        <v>0</v>
      </c>
      <c r="AG282" s="936">
        <f>ROUND(SUMIFS('A5.CTC FY24'!K:K,'A5.CTC FY24'!E:E,'A0.LS'!E282,'A5.CTC FY24'!A:A,"VNSC",'A5.CTC FY24'!L:L,"EY",'A5.CTC FY24'!M:M,"Posted"),0)</f>
        <v>0</v>
      </c>
      <c r="AH282" s="936">
        <f t="shared" si="218"/>
        <v>0</v>
      </c>
      <c r="AI282" s="930"/>
      <c r="AJ282" s="936">
        <f>ROUND(SUMIFS('GL911.KCG.FY24'!L:L,'GL911.KCG.FY24'!F:F,'A0.LS'!E282),0)</f>
        <v>0</v>
      </c>
      <c r="AK282" s="936">
        <f>ROUND(SUMIFS('A5.CTC FY24'!K:K,'A5.CTC FY24'!E:E,'A0.LS'!E282,'A5.CTC FY24'!A:A,'A0.LS'!$AK$5,'A5.CTC FY24'!L:L,"EY",'A5.CTC FY24'!M:M,"Posted"),0)</f>
        <v>0</v>
      </c>
      <c r="AL282" s="948">
        <f t="shared" si="219"/>
        <v>0</v>
      </c>
      <c r="AM282" s="930"/>
      <c r="AN282" s="949">
        <f t="shared" si="220"/>
        <v>0</v>
      </c>
      <c r="AO282" s="950">
        <f>ROUND(SUMIFS('A5.Consol FY24'!L:L,'A5.Consol FY24'!M:M,"EY",'A5.Consol FY24'!N:N,"Posted",'A5.Consol FY24'!B:B,'A0.LS'!$AO$5,'A5.Consol FY24'!F:F,'A0.LS'!E282),0)</f>
        <v>0</v>
      </c>
      <c r="AP282" s="949">
        <f t="shared" si="221"/>
        <v>0</v>
      </c>
      <c r="AQ282" s="930"/>
      <c r="AR282" s="936">
        <f>ROUND(SUMIFS('GL911.XH.FY24'!L:L,'GL911.XH.FY24'!F:F,'A0.LS'!E282),0)</f>
        <v>0</v>
      </c>
      <c r="AS282" s="936">
        <f>ROUND(SUMIFS('A5.CTC FY24'!K:K,'A5.CTC FY24'!E:E,'A0.LS'!E282,'A5.CTC FY24'!A:A,'A0.LS'!$AS$5,'A5.CTC FY24'!L:L,"EY",'A5.CTC FY24'!M:M,"Posted"),0)</f>
        <v>0</v>
      </c>
      <c r="AT282" s="948">
        <f t="shared" si="222"/>
        <v>0</v>
      </c>
      <c r="AU282" s="930"/>
      <c r="AV282" s="951">
        <f t="shared" si="223"/>
        <v>747900786</v>
      </c>
      <c r="AW282" s="952">
        <f>SUMIFS('A5.Consol FY24'!L:L,'A5.Consol FY24'!B:B,'A0.LS'!$AW$5,'A5.Consol FY24'!M:M,"EY",'A5.Consol FY24'!N:N,"Posted",'A5.Consol FY24'!F:F,'A0.LS'!E282)</f>
        <v>0</v>
      </c>
      <c r="AX282" s="951">
        <f t="shared" si="224"/>
        <v>747900786</v>
      </c>
      <c r="AY282" s="920"/>
      <c r="AZ282" s="936">
        <f>SUMIFS('911.CTC.YE22'!U:U,'911.CTC.YE22'!R:R,'A0.LS'!E282)</f>
        <v>48255024</v>
      </c>
      <c r="BA282" s="936">
        <f>ROUND(SUMIFS('A5.YE22'!J:J,'A5.YE22'!K:K,'A0.LS'!$BA$5,'A5.YE22'!L:L,"Posted",'A5.YE22'!D:D,'A0.LS'!E282),0)</f>
        <v>0</v>
      </c>
      <c r="BB282" s="936">
        <f t="shared" si="225"/>
        <v>48255024</v>
      </c>
      <c r="BC282" s="937"/>
      <c r="BD282" s="936">
        <f>ROUND(SUMIFS('911.VNSC.YE22'!R:R,'911.VNSC.YE22'!L:L,'A0.LS'!E282),0)</f>
        <v>0</v>
      </c>
      <c r="BE282" s="936">
        <f>ROUND(SUMIFS('A5.YE22'!J:J,'A5.YE22'!K:K,'A0.LS'!$BE$5,'A5.YE22'!L:L,"Posted",'A5.YE22'!D:D,'A0.LS'!E282),0)</f>
        <v>0</v>
      </c>
      <c r="BF282" s="936">
        <f t="shared" si="226"/>
        <v>0</v>
      </c>
      <c r="BG282" s="937"/>
      <c r="BH282" s="936">
        <f>ROUND(SUMIFS('911.XH.YE22'!T:T,'911.XH.YE22'!P:P,'A0.LS'!E282),0)</f>
        <v>0</v>
      </c>
      <c r="BI282" s="936">
        <f>ROUND(SUMIFS('A5.YE22'!J:J,'A5.YE22'!K:K,"XH",'A5.YE22'!L:L,"Posted",'A5.YE22'!D:D,'A0.LS'!E282),0)</f>
        <v>0</v>
      </c>
      <c r="BJ282" s="936">
        <f t="shared" si="227"/>
        <v>0</v>
      </c>
      <c r="BK282" s="937"/>
      <c r="BL282" s="936">
        <f>ROUND(SUMIFS('911.KCG.YE22'!T:T,'911.KCG.YE22'!P:P,'A0.LS'!E282),0)</f>
        <v>0</v>
      </c>
      <c r="BM282" s="936">
        <f>ROUND(SUMIFS('A5.YE22'!J:J,'A5.YE22'!K:K,'A0.LS'!$BM$5,'A5.YE22'!L:L,"Posted",'A5.YE22'!D:D,'A0.LS'!E282),0)</f>
        <v>0</v>
      </c>
      <c r="BN282" s="936">
        <f t="shared" si="228"/>
        <v>0</v>
      </c>
      <c r="BO282" s="937"/>
      <c r="BP282" s="938">
        <f>_xlfn.XLOOKUP(E282,[15]LS!$G:$G,[15]LS!$AX:$AX,0,0,1)</f>
        <v>2974632132</v>
      </c>
      <c r="BQ282" s="938">
        <f>ROUND(SUMIFS('A5.YE22'!J:J,'A5.YE22'!K:K,'A0.LS'!$BQ$5,'A5.YE22'!L:L,"Posted",'A5.YE22'!D:D,'A0.LS'!E282),0)</f>
        <v>0</v>
      </c>
      <c r="BR282" s="938">
        <f t="shared" si="229"/>
        <v>2974632132</v>
      </c>
    </row>
    <row r="283" spans="2:70" ht="12.6" customHeight="1">
      <c r="B283" s="939">
        <v>25</v>
      </c>
      <c r="C283" s="940" t="s">
        <v>2528</v>
      </c>
      <c r="D283" s="941" t="s">
        <v>2528</v>
      </c>
      <c r="E283" s="928" t="s">
        <v>352</v>
      </c>
      <c r="F283" s="928" t="s">
        <v>353</v>
      </c>
      <c r="G283" s="927" t="s">
        <v>2516</v>
      </c>
      <c r="H283" s="927" t="s">
        <v>2188</v>
      </c>
      <c r="I283" s="942">
        <f>SUMIFS('GL911.Cty Me.FY24'!T:T,'GL911.Cty Me.FY24'!H:H,'A0.LS'!E283)</f>
        <v>10800000</v>
      </c>
      <c r="J283" s="942">
        <f>ROUND(SUMIFS('A5.FY24'!K:K,'A5.FY24'!E:E,'A0.LS'!E283,'A5.FY24'!L:L,"Finhay",'A5.FY24'!M:M,"Posted"),0)</f>
        <v>0</v>
      </c>
      <c r="K283" s="942">
        <f>ROUND(SUMIFS('A5.FY24'!K:K,'A5.FY24'!E:E,'A0.LS'!E283,'A5.FY24'!L:L,"EY",'A5.FY24'!M:M,"Posted"),0)</f>
        <v>0</v>
      </c>
      <c r="L283" s="943">
        <f t="shared" si="216"/>
        <v>10800000</v>
      </c>
      <c r="M283" s="930"/>
      <c r="N283" s="944">
        <v>7200000</v>
      </c>
      <c r="O283" s="944">
        <v>362671</v>
      </c>
      <c r="P283" s="944">
        <v>0</v>
      </c>
      <c r="Q283" s="945">
        <v>7562671</v>
      </c>
      <c r="R283" s="898"/>
      <c r="S283" s="848">
        <f t="shared" si="214"/>
        <v>3237329</v>
      </c>
      <c r="T283" s="946">
        <f t="shared" si="215"/>
        <v>0.42806688271908166</v>
      </c>
      <c r="U283" s="850"/>
      <c r="V283" s="850" t="s">
        <v>2430</v>
      </c>
      <c r="W283" s="850"/>
      <c r="X283" s="947" t="s">
        <v>676</v>
      </c>
      <c r="Y283" s="947" t="s">
        <v>2516</v>
      </c>
      <c r="Z283" s="936">
        <f>ROUND(SUMIFS('GL911.CtyCon.FY24'!N:N,'GL911.CtyCon.FY24'!G:G,'A0.LS'!E283),0)</f>
        <v>0</v>
      </c>
      <c r="AA283" s="936">
        <f>ROUND(SUMIFS('A5.CTC FY24'!K:K,'A5.CTC FY24'!E:E,'A0.LS'!E283,'A5.CTC FY24'!A:A,'A0.LS'!$AA$5,'A5.CTC FY24'!L:L,"Finhay",'A5.CTC FY24'!M:M,"Posted"),0)</f>
        <v>0</v>
      </c>
      <c r="AB283" s="936">
        <f>ROUND(SUMIFS('A5.CTC FY24'!K:K,'A5.CTC FY24'!E:E,'A0.LS'!E283,'A5.CTC FY24'!A:A,'A0.LS'!$AB$5,'A5.CTC FY24'!L:L,"EY",'A5.CTC FY24'!M:M,"Posted"),0)</f>
        <v>0</v>
      </c>
      <c r="AC283" s="948">
        <f t="shared" si="217"/>
        <v>0</v>
      </c>
      <c r="AD283" s="930"/>
      <c r="AE283" s="936">
        <f>SUMIFS('GL911 VNSC FY24'!T:T,'GL911 VNSC FY24'!AG:AG,'A0.LS'!E283)</f>
        <v>0</v>
      </c>
      <c r="AF283" s="936">
        <f>SUMIFS('A5.CTC FY24'!K:K,'A5.CTC FY24'!E:E,'A0.LS'!E283,'A5.CTC FY24'!A:A,"VNSC",'A5.CTC FY24'!L:L,"VNSC",'A5.CTC FY24'!M:M,"Posted")</f>
        <v>0</v>
      </c>
      <c r="AG283" s="936">
        <f>ROUND(SUMIFS('A5.CTC FY24'!K:K,'A5.CTC FY24'!E:E,'A0.LS'!E283,'A5.CTC FY24'!A:A,"VNSC",'A5.CTC FY24'!L:L,"EY",'A5.CTC FY24'!M:M,"Posted"),0)</f>
        <v>0</v>
      </c>
      <c r="AH283" s="936">
        <f t="shared" si="218"/>
        <v>0</v>
      </c>
      <c r="AI283" s="930"/>
      <c r="AJ283" s="936">
        <f>ROUND(SUMIFS('GL911.KCG.FY24'!L:L,'GL911.KCG.FY24'!F:F,'A0.LS'!E283),0)</f>
        <v>0</v>
      </c>
      <c r="AK283" s="936">
        <f>ROUND(SUMIFS('A5.CTC FY24'!K:K,'A5.CTC FY24'!E:E,'A0.LS'!E283,'A5.CTC FY24'!A:A,'A0.LS'!$AK$5,'A5.CTC FY24'!L:L,"EY",'A5.CTC FY24'!M:M,"Posted"),0)</f>
        <v>0</v>
      </c>
      <c r="AL283" s="948">
        <f t="shared" si="219"/>
        <v>0</v>
      </c>
      <c r="AM283" s="930"/>
      <c r="AN283" s="949">
        <f t="shared" si="220"/>
        <v>0</v>
      </c>
      <c r="AO283" s="950">
        <f>ROUND(SUMIFS('A5.Consol FY24'!L:L,'A5.Consol FY24'!M:M,"EY",'A5.Consol FY24'!N:N,"Posted",'A5.Consol FY24'!B:B,'A0.LS'!$AO$5,'A5.Consol FY24'!F:F,'A0.LS'!E283),0)</f>
        <v>0</v>
      </c>
      <c r="AP283" s="949">
        <f t="shared" si="221"/>
        <v>0</v>
      </c>
      <c r="AQ283" s="930"/>
      <c r="AR283" s="936">
        <f>ROUND(SUMIFS('GL911.XH.FY24'!L:L,'GL911.XH.FY24'!F:F,'A0.LS'!E283),0)</f>
        <v>0</v>
      </c>
      <c r="AS283" s="936">
        <f>ROUND(SUMIFS('A5.CTC FY24'!K:K,'A5.CTC FY24'!E:E,'A0.LS'!E283,'A5.CTC FY24'!A:A,'A0.LS'!$AS$5,'A5.CTC FY24'!L:L,"EY",'A5.CTC FY24'!M:M,"Posted"),0)</f>
        <v>0</v>
      </c>
      <c r="AT283" s="948">
        <f t="shared" si="222"/>
        <v>0</v>
      </c>
      <c r="AU283" s="930"/>
      <c r="AV283" s="951">
        <f t="shared" si="223"/>
        <v>10800000</v>
      </c>
      <c r="AW283" s="952">
        <f>SUMIFS('A5.Consol FY24'!L:L,'A5.Consol FY24'!B:B,'A0.LS'!$AW$5,'A5.Consol FY24'!M:M,"EY",'A5.Consol FY24'!N:N,"Posted",'A5.Consol FY24'!F:F,'A0.LS'!E283)</f>
        <v>0</v>
      </c>
      <c r="AX283" s="951">
        <f t="shared" si="224"/>
        <v>10800000</v>
      </c>
      <c r="AY283" s="920"/>
      <c r="AZ283" s="936">
        <f>SUMIFS('911.CTC.YE22'!U:U,'911.CTC.YE22'!R:R,'A0.LS'!E283)</f>
        <v>0</v>
      </c>
      <c r="BA283" s="936">
        <f>ROUND(SUMIFS('A5.YE22'!J:J,'A5.YE22'!K:K,'A0.LS'!$BA$5,'A5.YE22'!L:L,"Posted",'A5.YE22'!D:D,'A0.LS'!E283),0)</f>
        <v>0</v>
      </c>
      <c r="BB283" s="936">
        <f t="shared" si="225"/>
        <v>0</v>
      </c>
      <c r="BC283" s="937"/>
      <c r="BD283" s="936">
        <f>ROUND(SUMIFS('911.VNSC.YE22'!R:R,'911.VNSC.YE22'!L:L,'A0.LS'!E283),0)</f>
        <v>0</v>
      </c>
      <c r="BE283" s="936">
        <f>ROUND(SUMIFS('A5.YE22'!J:J,'A5.YE22'!K:K,'A0.LS'!$BE$5,'A5.YE22'!L:L,"Posted",'A5.YE22'!D:D,'A0.LS'!E283),0)</f>
        <v>0</v>
      </c>
      <c r="BF283" s="936">
        <f t="shared" si="226"/>
        <v>0</v>
      </c>
      <c r="BG283" s="937"/>
      <c r="BH283" s="936">
        <f>ROUND(SUMIFS('911.XH.YE22'!T:T,'911.XH.YE22'!P:P,'A0.LS'!E283),0)</f>
        <v>0</v>
      </c>
      <c r="BI283" s="936">
        <f>ROUND(SUMIFS('A5.YE22'!J:J,'A5.YE22'!K:K,"XH",'A5.YE22'!L:L,"Posted",'A5.YE22'!D:D,'A0.LS'!E283),0)</f>
        <v>0</v>
      </c>
      <c r="BJ283" s="936">
        <f t="shared" si="227"/>
        <v>0</v>
      </c>
      <c r="BK283" s="937"/>
      <c r="BL283" s="936">
        <f>ROUND(SUMIFS('911.KCG.YE22'!T:T,'911.KCG.YE22'!P:P,'A0.LS'!E283),0)</f>
        <v>0</v>
      </c>
      <c r="BM283" s="936">
        <f>ROUND(SUMIFS('A5.YE22'!J:J,'A5.YE22'!K:K,'A0.LS'!$BM$5,'A5.YE22'!L:L,"Posted",'A5.YE22'!D:D,'A0.LS'!E283),0)</f>
        <v>0</v>
      </c>
      <c r="BN283" s="936">
        <f t="shared" si="228"/>
        <v>0</v>
      </c>
      <c r="BO283" s="937"/>
      <c r="BP283" s="938">
        <f>_xlfn.XLOOKUP(E283,[15]LS!$G:$G,[15]LS!$AX:$AX,0,0,1)</f>
        <v>7562671</v>
      </c>
      <c r="BQ283" s="938">
        <f>ROUND(SUMIFS('A5.YE22'!J:J,'A5.YE22'!K:K,'A0.LS'!$BQ$5,'A5.YE22'!L:L,"Posted",'A5.YE22'!D:D,'A0.LS'!E283),0)</f>
        <v>0</v>
      </c>
      <c r="BR283" s="938">
        <f t="shared" si="229"/>
        <v>7562671</v>
      </c>
    </row>
    <row r="284" spans="2:70" ht="12.6" customHeight="1">
      <c r="B284" s="939">
        <v>25</v>
      </c>
      <c r="C284" s="940" t="s">
        <v>2528</v>
      </c>
      <c r="D284" s="941" t="s">
        <v>2528</v>
      </c>
      <c r="E284" s="928" t="s">
        <v>354</v>
      </c>
      <c r="F284" s="928" t="s">
        <v>355</v>
      </c>
      <c r="G284" s="927" t="s">
        <v>2516</v>
      </c>
      <c r="H284" s="927" t="s">
        <v>2188</v>
      </c>
      <c r="I284" s="942">
        <f>SUMIFS('GL911.Cty Me.FY24'!T:T,'GL911.Cty Me.FY24'!H:H,'A0.LS'!E284)</f>
        <v>25435712</v>
      </c>
      <c r="J284" s="942">
        <f>ROUND(SUMIFS('A5.FY24'!K:K,'A5.FY24'!E:E,'A0.LS'!E284,'A5.FY24'!L:L,"Finhay",'A5.FY24'!M:M,"Posted"),0)</f>
        <v>627</v>
      </c>
      <c r="K284" s="942">
        <f>ROUND(SUMIFS('A5.FY24'!K:K,'A5.FY24'!E:E,'A0.LS'!E284,'A5.FY24'!L:L,"EY",'A5.FY24'!M:M,"Posted"),0)</f>
        <v>0</v>
      </c>
      <c r="L284" s="943">
        <f t="shared" si="216"/>
        <v>25436339</v>
      </c>
      <c r="M284" s="930"/>
      <c r="N284" s="944">
        <v>54082469</v>
      </c>
      <c r="O284" s="944">
        <v>2724190</v>
      </c>
      <c r="P284" s="944">
        <v>0</v>
      </c>
      <c r="Q284" s="945">
        <v>56806659</v>
      </c>
      <c r="R284" s="898"/>
      <c r="S284" s="848">
        <f t="shared" si="214"/>
        <v>-31370320</v>
      </c>
      <c r="T284" s="946">
        <f t="shared" si="215"/>
        <v>-0.55222962505152784</v>
      </c>
      <c r="U284" s="850"/>
      <c r="V284" s="850" t="s">
        <v>2430</v>
      </c>
      <c r="W284" s="850"/>
      <c r="X284" s="947" t="s">
        <v>676</v>
      </c>
      <c r="Y284" s="947" t="s">
        <v>2516</v>
      </c>
      <c r="Z284" s="936">
        <f>ROUND(SUMIFS('GL911.CtyCon.FY24'!N:N,'GL911.CtyCon.FY24'!G:G,'A0.LS'!E284),0)</f>
        <v>0</v>
      </c>
      <c r="AA284" s="936">
        <f>ROUND(SUMIFS('A5.CTC FY24'!K:K,'A5.CTC FY24'!E:E,'A0.LS'!E284,'A5.CTC FY24'!A:A,'A0.LS'!$AA$5,'A5.CTC FY24'!L:L,"Finhay",'A5.CTC FY24'!M:M,"Posted"),0)</f>
        <v>0</v>
      </c>
      <c r="AB284" s="936">
        <f>ROUND(SUMIFS('A5.CTC FY24'!K:K,'A5.CTC FY24'!E:E,'A0.LS'!E284,'A5.CTC FY24'!A:A,'A0.LS'!$AB$5,'A5.CTC FY24'!L:L,"EY",'A5.CTC FY24'!M:M,"Posted"),0)</f>
        <v>0</v>
      </c>
      <c r="AC284" s="948">
        <f t="shared" si="217"/>
        <v>0</v>
      </c>
      <c r="AD284" s="930"/>
      <c r="AE284" s="936">
        <f>SUMIFS('GL911 VNSC FY24'!T:T,'GL911 VNSC FY24'!AG:AG,'A0.LS'!E284)</f>
        <v>0</v>
      </c>
      <c r="AF284" s="936">
        <f>SUMIFS('A5.CTC FY24'!K:K,'A5.CTC FY24'!E:E,'A0.LS'!E284,'A5.CTC FY24'!A:A,"VNSC",'A5.CTC FY24'!L:L,"VNSC",'A5.CTC FY24'!M:M,"Posted")</f>
        <v>0</v>
      </c>
      <c r="AG284" s="936">
        <f>ROUND(SUMIFS('A5.CTC FY24'!K:K,'A5.CTC FY24'!E:E,'A0.LS'!E284,'A5.CTC FY24'!A:A,"VNSC",'A5.CTC FY24'!L:L,"EY",'A5.CTC FY24'!M:M,"Posted"),0)</f>
        <v>0</v>
      </c>
      <c r="AH284" s="936">
        <f t="shared" si="218"/>
        <v>0</v>
      </c>
      <c r="AI284" s="930"/>
      <c r="AJ284" s="936">
        <f>ROUND(SUMIFS('GL911.KCG.FY24'!L:L,'GL911.KCG.FY24'!F:F,'A0.LS'!E284),0)</f>
        <v>0</v>
      </c>
      <c r="AK284" s="936">
        <f>ROUND(SUMIFS('A5.CTC FY24'!K:K,'A5.CTC FY24'!E:E,'A0.LS'!E284,'A5.CTC FY24'!A:A,'A0.LS'!$AK$5,'A5.CTC FY24'!L:L,"EY",'A5.CTC FY24'!M:M,"Posted"),0)</f>
        <v>0</v>
      </c>
      <c r="AL284" s="948">
        <f t="shared" si="219"/>
        <v>0</v>
      </c>
      <c r="AM284" s="930"/>
      <c r="AN284" s="949">
        <f t="shared" si="220"/>
        <v>0</v>
      </c>
      <c r="AO284" s="950">
        <f>ROUND(SUMIFS('A5.Consol FY24'!L:L,'A5.Consol FY24'!M:M,"EY",'A5.Consol FY24'!N:N,"Posted",'A5.Consol FY24'!B:B,'A0.LS'!$AO$5,'A5.Consol FY24'!F:F,'A0.LS'!E284),0)</f>
        <v>0</v>
      </c>
      <c r="AP284" s="949">
        <f t="shared" si="221"/>
        <v>0</v>
      </c>
      <c r="AQ284" s="930"/>
      <c r="AR284" s="936">
        <f>ROUND(SUMIFS('GL911.XH.FY24'!L:L,'GL911.XH.FY24'!F:F,'A0.LS'!E284),0)</f>
        <v>0</v>
      </c>
      <c r="AS284" s="936">
        <f>ROUND(SUMIFS('A5.CTC FY24'!K:K,'A5.CTC FY24'!E:E,'A0.LS'!E284,'A5.CTC FY24'!A:A,'A0.LS'!$AS$5,'A5.CTC FY24'!L:L,"EY",'A5.CTC FY24'!M:M,"Posted"),0)</f>
        <v>0</v>
      </c>
      <c r="AT284" s="948">
        <f t="shared" si="222"/>
        <v>0</v>
      </c>
      <c r="AU284" s="930"/>
      <c r="AV284" s="951">
        <f t="shared" si="223"/>
        <v>25436339</v>
      </c>
      <c r="AW284" s="952">
        <f>SUMIFS('A5.Consol FY24'!L:L,'A5.Consol FY24'!B:B,'A0.LS'!$AW$5,'A5.Consol FY24'!M:M,"EY",'A5.Consol FY24'!N:N,"Posted",'A5.Consol FY24'!F:F,'A0.LS'!E284)</f>
        <v>0</v>
      </c>
      <c r="AX284" s="951">
        <f t="shared" si="224"/>
        <v>25436339</v>
      </c>
      <c r="AY284" s="920"/>
      <c r="AZ284" s="936">
        <f>SUMIFS('911.CTC.YE22'!U:U,'911.CTC.YE22'!R:R,'A0.LS'!E284)</f>
        <v>0</v>
      </c>
      <c r="BA284" s="936">
        <f>ROUND(SUMIFS('A5.YE22'!J:J,'A5.YE22'!K:K,'A0.LS'!$BA$5,'A5.YE22'!L:L,"Posted",'A5.YE22'!D:D,'A0.LS'!E284),0)</f>
        <v>0</v>
      </c>
      <c r="BB284" s="936">
        <f t="shared" si="225"/>
        <v>0</v>
      </c>
      <c r="BC284" s="937"/>
      <c r="BD284" s="936">
        <f>ROUND(SUMIFS('911.VNSC.YE22'!R:R,'911.VNSC.YE22'!L:L,'A0.LS'!E284),0)</f>
        <v>0</v>
      </c>
      <c r="BE284" s="936">
        <f>ROUND(SUMIFS('A5.YE22'!J:J,'A5.YE22'!K:K,'A0.LS'!$BE$5,'A5.YE22'!L:L,"Posted",'A5.YE22'!D:D,'A0.LS'!E284),0)</f>
        <v>0</v>
      </c>
      <c r="BF284" s="936">
        <f t="shared" si="226"/>
        <v>0</v>
      </c>
      <c r="BG284" s="937"/>
      <c r="BH284" s="936">
        <f>ROUND(SUMIFS('911.XH.YE22'!T:T,'911.XH.YE22'!P:P,'A0.LS'!E284),0)</f>
        <v>0</v>
      </c>
      <c r="BI284" s="936">
        <f>ROUND(SUMIFS('A5.YE22'!J:J,'A5.YE22'!K:K,"XH",'A5.YE22'!L:L,"Posted",'A5.YE22'!D:D,'A0.LS'!E284),0)</f>
        <v>0</v>
      </c>
      <c r="BJ284" s="936">
        <f t="shared" si="227"/>
        <v>0</v>
      </c>
      <c r="BK284" s="937"/>
      <c r="BL284" s="936">
        <f>ROUND(SUMIFS('911.KCG.YE22'!T:T,'911.KCG.YE22'!P:P,'A0.LS'!E284),0)</f>
        <v>0</v>
      </c>
      <c r="BM284" s="936">
        <f>ROUND(SUMIFS('A5.YE22'!J:J,'A5.YE22'!K:K,'A0.LS'!$BM$5,'A5.YE22'!L:L,"Posted",'A5.YE22'!D:D,'A0.LS'!E284),0)</f>
        <v>0</v>
      </c>
      <c r="BN284" s="936">
        <f t="shared" si="228"/>
        <v>0</v>
      </c>
      <c r="BO284" s="937"/>
      <c r="BP284" s="938">
        <f>_xlfn.XLOOKUP(E284,[15]LS!$G:$G,[15]LS!$AX:$AX,0,0,1)</f>
        <v>56806659</v>
      </c>
      <c r="BQ284" s="938">
        <f>ROUND(SUMIFS('A5.YE22'!J:J,'A5.YE22'!K:K,'A0.LS'!$BQ$5,'A5.YE22'!L:L,"Posted",'A5.YE22'!D:D,'A0.LS'!E284),0)</f>
        <v>0</v>
      </c>
      <c r="BR284" s="938">
        <f t="shared" si="229"/>
        <v>56806659</v>
      </c>
    </row>
    <row r="285" spans="2:70" ht="12.75">
      <c r="B285" s="939">
        <v>25</v>
      </c>
      <c r="C285" s="940" t="s">
        <v>2528</v>
      </c>
      <c r="D285" s="941" t="s">
        <v>2528</v>
      </c>
      <c r="E285" s="928" t="s">
        <v>356</v>
      </c>
      <c r="F285" s="928" t="s">
        <v>280</v>
      </c>
      <c r="G285" s="927" t="s">
        <v>2516</v>
      </c>
      <c r="H285" s="927" t="s">
        <v>2188</v>
      </c>
      <c r="I285" s="942">
        <f>SUMIFS('GL911.Cty Me.FY24'!T:T,'GL911.Cty Me.FY24'!H:H,'A0.LS'!E285)</f>
        <v>2167200</v>
      </c>
      <c r="J285" s="942">
        <f>ROUND(SUMIFS('A5.FY24'!K:K,'A5.FY24'!E:E,'A0.LS'!E285,'A5.FY24'!L:L,"Finhay",'A5.FY24'!M:M,"Posted"),0)</f>
        <v>0</v>
      </c>
      <c r="K285" s="942">
        <f>ROUND(SUMIFS('A5.FY24'!K:K,'A5.FY24'!E:E,'A0.LS'!E285,'A5.FY24'!L:L,"EY",'A5.FY24'!M:M,"Posted"),0)</f>
        <v>0</v>
      </c>
      <c r="L285" s="943">
        <f t="shared" si="216"/>
        <v>2167200</v>
      </c>
      <c r="M285" s="930"/>
      <c r="N285" s="944">
        <v>581002</v>
      </c>
      <c r="O285" s="944">
        <v>0</v>
      </c>
      <c r="P285" s="944">
        <v>0</v>
      </c>
      <c r="Q285" s="945">
        <v>581002</v>
      </c>
      <c r="R285" s="898"/>
      <c r="S285" s="848">
        <f t="shared" si="214"/>
        <v>1586198</v>
      </c>
      <c r="T285" s="946">
        <f t="shared" si="215"/>
        <v>2.7301076416260184</v>
      </c>
      <c r="U285" s="850"/>
      <c r="V285" s="850" t="s">
        <v>2430</v>
      </c>
      <c r="W285" s="850"/>
      <c r="X285" s="947" t="s">
        <v>676</v>
      </c>
      <c r="Y285" s="947" t="s">
        <v>2516</v>
      </c>
      <c r="Z285" s="936">
        <f>ROUND(SUMIFS('GL911.CtyCon.FY24'!N:N,'GL911.CtyCon.FY24'!G:G,'A0.LS'!E285),0)</f>
        <v>0</v>
      </c>
      <c r="AA285" s="936">
        <f>ROUND(SUMIFS('A5.CTC FY24'!K:K,'A5.CTC FY24'!E:E,'A0.LS'!E285,'A5.CTC FY24'!A:A,'A0.LS'!$AA$5,'A5.CTC FY24'!L:L,"Finhay",'A5.CTC FY24'!M:M,"Posted"),0)</f>
        <v>0</v>
      </c>
      <c r="AB285" s="936">
        <f>ROUND(SUMIFS('A5.CTC FY24'!K:K,'A5.CTC FY24'!E:E,'A0.LS'!E285,'A5.CTC FY24'!A:A,'A0.LS'!$AB$5,'A5.CTC FY24'!L:L,"EY",'A5.CTC FY24'!M:M,"Posted"),0)</f>
        <v>0</v>
      </c>
      <c r="AC285" s="948">
        <f t="shared" si="217"/>
        <v>0</v>
      </c>
      <c r="AD285" s="930"/>
      <c r="AE285" s="936">
        <f>SUMIFS('GL911 VNSC FY24'!T:T,'GL911 VNSC FY24'!AG:AG,'A0.LS'!E285)</f>
        <v>0</v>
      </c>
      <c r="AF285" s="936">
        <f>SUMIFS('A5.CTC FY24'!K:K,'A5.CTC FY24'!E:E,'A0.LS'!E285,'A5.CTC FY24'!A:A,"VNSC",'A5.CTC FY24'!L:L,"VNSC",'A5.CTC FY24'!M:M,"Posted")</f>
        <v>0</v>
      </c>
      <c r="AG285" s="936">
        <f>ROUND(SUMIFS('A5.CTC FY24'!K:K,'A5.CTC FY24'!E:E,'A0.LS'!E285,'A5.CTC FY24'!A:A,"VNSC",'A5.CTC FY24'!L:L,"EY",'A5.CTC FY24'!M:M,"Posted"),0)</f>
        <v>0</v>
      </c>
      <c r="AH285" s="936">
        <f t="shared" si="218"/>
        <v>0</v>
      </c>
      <c r="AI285" s="930"/>
      <c r="AJ285" s="936">
        <f>ROUND(SUMIFS('GL911.KCG.FY24'!L:L,'GL911.KCG.FY24'!F:F,'A0.LS'!E285),0)</f>
        <v>0</v>
      </c>
      <c r="AK285" s="936">
        <f>ROUND(SUMIFS('A5.CTC FY24'!K:K,'A5.CTC FY24'!E:E,'A0.LS'!E285,'A5.CTC FY24'!A:A,'A0.LS'!$AK$5,'A5.CTC FY24'!L:L,"EY",'A5.CTC FY24'!M:M,"Posted"),0)</f>
        <v>0</v>
      </c>
      <c r="AL285" s="948">
        <f t="shared" si="219"/>
        <v>0</v>
      </c>
      <c r="AM285" s="930"/>
      <c r="AN285" s="949">
        <f t="shared" si="220"/>
        <v>0</v>
      </c>
      <c r="AO285" s="950">
        <f>ROUND(SUMIFS('A5.Consol FY24'!L:L,'A5.Consol FY24'!M:M,"EY",'A5.Consol FY24'!N:N,"Posted",'A5.Consol FY24'!B:B,'A0.LS'!$AO$5,'A5.Consol FY24'!F:F,'A0.LS'!E285),0)</f>
        <v>0</v>
      </c>
      <c r="AP285" s="949">
        <f t="shared" si="221"/>
        <v>0</v>
      </c>
      <c r="AQ285" s="930"/>
      <c r="AR285" s="936">
        <f>ROUND(SUMIFS('GL911.XH.FY24'!L:L,'GL911.XH.FY24'!F:F,'A0.LS'!E285),0)</f>
        <v>0</v>
      </c>
      <c r="AS285" s="936">
        <f>ROUND(SUMIFS('A5.CTC FY24'!K:K,'A5.CTC FY24'!E:E,'A0.LS'!E285,'A5.CTC FY24'!A:A,'A0.LS'!$AS$5,'A5.CTC FY24'!L:L,"EY",'A5.CTC FY24'!M:M,"Posted"),0)</f>
        <v>0</v>
      </c>
      <c r="AT285" s="948">
        <f t="shared" si="222"/>
        <v>0</v>
      </c>
      <c r="AU285" s="930"/>
      <c r="AV285" s="951">
        <f t="shared" si="223"/>
        <v>2167200</v>
      </c>
      <c r="AW285" s="952">
        <f>SUMIFS('A5.Consol FY24'!L:L,'A5.Consol FY24'!B:B,'A0.LS'!$AW$5,'A5.Consol FY24'!M:M,"EY",'A5.Consol FY24'!N:N,"Posted",'A5.Consol FY24'!F:F,'A0.LS'!E285)</f>
        <v>0</v>
      </c>
      <c r="AX285" s="951">
        <f t="shared" si="224"/>
        <v>2167200</v>
      </c>
      <c r="AY285" s="920"/>
      <c r="AZ285" s="936">
        <f>SUMIFS('911.CTC.YE22'!U:U,'911.CTC.YE22'!R:R,'A0.LS'!E285)</f>
        <v>0</v>
      </c>
      <c r="BA285" s="936">
        <f>ROUND(SUMIFS('A5.YE22'!J:J,'A5.YE22'!K:K,'A0.LS'!$BA$5,'A5.YE22'!L:L,"Posted",'A5.YE22'!D:D,'A0.LS'!E285),0)</f>
        <v>0</v>
      </c>
      <c r="BB285" s="936">
        <f t="shared" si="225"/>
        <v>0</v>
      </c>
      <c r="BC285" s="937"/>
      <c r="BD285" s="936">
        <f>ROUND(SUMIFS('911.VNSC.YE22'!R:R,'911.VNSC.YE22'!L:L,'A0.LS'!E285),0)</f>
        <v>0</v>
      </c>
      <c r="BE285" s="936">
        <f>ROUND(SUMIFS('A5.YE22'!J:J,'A5.YE22'!K:K,'A0.LS'!$BE$5,'A5.YE22'!L:L,"Posted",'A5.YE22'!D:D,'A0.LS'!E285),0)</f>
        <v>0</v>
      </c>
      <c r="BF285" s="936">
        <f t="shared" si="226"/>
        <v>0</v>
      </c>
      <c r="BG285" s="937"/>
      <c r="BH285" s="936">
        <f>ROUND(SUMIFS('911.XH.YE22'!T:T,'911.XH.YE22'!P:P,'A0.LS'!E285),0)</f>
        <v>0</v>
      </c>
      <c r="BI285" s="936">
        <f>ROUND(SUMIFS('A5.YE22'!J:J,'A5.YE22'!K:K,"XH",'A5.YE22'!L:L,"Posted",'A5.YE22'!D:D,'A0.LS'!E285),0)</f>
        <v>0</v>
      </c>
      <c r="BJ285" s="936">
        <f t="shared" si="227"/>
        <v>0</v>
      </c>
      <c r="BK285" s="937"/>
      <c r="BL285" s="936">
        <f>ROUND(SUMIFS('911.KCG.YE22'!T:T,'911.KCG.YE22'!P:P,'A0.LS'!E285),0)</f>
        <v>0</v>
      </c>
      <c r="BM285" s="936">
        <f>ROUND(SUMIFS('A5.YE22'!J:J,'A5.YE22'!K:K,'A0.LS'!$BM$5,'A5.YE22'!L:L,"Posted",'A5.YE22'!D:D,'A0.LS'!E285),0)</f>
        <v>0</v>
      </c>
      <c r="BN285" s="936">
        <f t="shared" si="228"/>
        <v>0</v>
      </c>
      <c r="BO285" s="937"/>
      <c r="BP285" s="938">
        <f>_xlfn.XLOOKUP(E285,[15]LS!$G:$G,[15]LS!$AX:$AX,0,0,1)</f>
        <v>581002</v>
      </c>
      <c r="BQ285" s="938">
        <f>ROUND(SUMIFS('A5.YE22'!J:J,'A5.YE22'!K:K,'A0.LS'!$BQ$5,'A5.YE22'!L:L,"Posted",'A5.YE22'!D:D,'A0.LS'!E285),0)</f>
        <v>0</v>
      </c>
      <c r="BR285" s="938">
        <f t="shared" si="229"/>
        <v>581002</v>
      </c>
    </row>
    <row r="286" spans="2:70" ht="12.6" customHeight="1">
      <c r="B286" s="939">
        <v>25</v>
      </c>
      <c r="C286" s="940" t="s">
        <v>2528</v>
      </c>
      <c r="D286" s="941" t="s">
        <v>2528</v>
      </c>
      <c r="E286" s="928" t="s">
        <v>357</v>
      </c>
      <c r="F286" s="928" t="s">
        <v>358</v>
      </c>
      <c r="G286" s="927" t="s">
        <v>2516</v>
      </c>
      <c r="H286" s="927" t="s">
        <v>2188</v>
      </c>
      <c r="I286" s="942">
        <f>SUMIFS('GL911.Cty Me.FY24'!T:T,'GL911.Cty Me.FY24'!H:H,'A0.LS'!E286)</f>
        <v>0</v>
      </c>
      <c r="J286" s="942">
        <f>ROUND(SUMIFS('A5.FY24'!K:K,'A5.FY24'!E:E,'A0.LS'!E286,'A5.FY24'!L:L,"Finhay",'A5.FY24'!M:M,"Posted"),0)</f>
        <v>0</v>
      </c>
      <c r="K286" s="942">
        <f>ROUND(SUMIFS('A5.FY24'!K:K,'A5.FY24'!E:E,'A0.LS'!E286,'A5.FY24'!L:L,"EY",'A5.FY24'!M:M,"Posted"),0)</f>
        <v>0</v>
      </c>
      <c r="L286" s="943">
        <f t="shared" si="216"/>
        <v>0</v>
      </c>
      <c r="M286" s="930"/>
      <c r="N286" s="944">
        <v>102405715</v>
      </c>
      <c r="O286" s="944">
        <v>5158282</v>
      </c>
      <c r="P286" s="944">
        <v>0</v>
      </c>
      <c r="Q286" s="945">
        <v>107563997</v>
      </c>
      <c r="R286" s="898"/>
      <c r="S286" s="848">
        <f t="shared" si="214"/>
        <v>-107563997</v>
      </c>
      <c r="T286" s="946">
        <f t="shared" si="215"/>
        <v>-1</v>
      </c>
      <c r="U286" s="850"/>
      <c r="V286" s="850" t="s">
        <v>2430</v>
      </c>
      <c r="W286" s="850"/>
      <c r="X286" s="947" t="s">
        <v>676</v>
      </c>
      <c r="Y286" s="947" t="s">
        <v>2516</v>
      </c>
      <c r="Z286" s="936">
        <f>ROUND(SUMIFS('GL911.CtyCon.FY24'!N:N,'GL911.CtyCon.FY24'!G:G,'A0.LS'!E286),0)</f>
        <v>0</v>
      </c>
      <c r="AA286" s="936">
        <f>ROUND(SUMIFS('A5.CTC FY24'!K:K,'A5.CTC FY24'!E:E,'A0.LS'!E286,'A5.CTC FY24'!A:A,'A0.LS'!$AA$5,'A5.CTC FY24'!L:L,"Finhay",'A5.CTC FY24'!M:M,"Posted"),0)</f>
        <v>0</v>
      </c>
      <c r="AB286" s="936">
        <f>ROUND(SUMIFS('A5.CTC FY24'!K:K,'A5.CTC FY24'!E:E,'A0.LS'!E286,'A5.CTC FY24'!A:A,'A0.LS'!$AB$5,'A5.CTC FY24'!L:L,"EY",'A5.CTC FY24'!M:M,"Posted"),0)</f>
        <v>0</v>
      </c>
      <c r="AC286" s="948">
        <f t="shared" si="217"/>
        <v>0</v>
      </c>
      <c r="AD286" s="930"/>
      <c r="AE286" s="936">
        <f>SUMIFS('GL911 VNSC FY24'!T:T,'GL911 VNSC FY24'!AG:AG,'A0.LS'!E286)</f>
        <v>0</v>
      </c>
      <c r="AF286" s="936">
        <f>SUMIFS('A5.CTC FY24'!K:K,'A5.CTC FY24'!E:E,'A0.LS'!E286,'A5.CTC FY24'!A:A,"VNSC",'A5.CTC FY24'!L:L,"VNSC",'A5.CTC FY24'!M:M,"Posted")</f>
        <v>0</v>
      </c>
      <c r="AG286" s="936">
        <f>ROUND(SUMIFS('A5.CTC FY24'!K:K,'A5.CTC FY24'!E:E,'A0.LS'!E286,'A5.CTC FY24'!A:A,"VNSC",'A5.CTC FY24'!L:L,"EY",'A5.CTC FY24'!M:M,"Posted"),0)</f>
        <v>0</v>
      </c>
      <c r="AH286" s="936">
        <f t="shared" si="218"/>
        <v>0</v>
      </c>
      <c r="AI286" s="930"/>
      <c r="AJ286" s="936">
        <f>ROUND(SUMIFS('GL911.KCG.FY24'!L:L,'GL911.KCG.FY24'!F:F,'A0.LS'!E286),0)</f>
        <v>0</v>
      </c>
      <c r="AK286" s="936">
        <f>ROUND(SUMIFS('A5.CTC FY24'!K:K,'A5.CTC FY24'!E:E,'A0.LS'!E286,'A5.CTC FY24'!A:A,'A0.LS'!$AK$5,'A5.CTC FY24'!L:L,"EY",'A5.CTC FY24'!M:M,"Posted"),0)</f>
        <v>0</v>
      </c>
      <c r="AL286" s="948">
        <f t="shared" si="219"/>
        <v>0</v>
      </c>
      <c r="AM286" s="930"/>
      <c r="AN286" s="949">
        <f t="shared" si="220"/>
        <v>0</v>
      </c>
      <c r="AO286" s="950">
        <f>ROUND(SUMIFS('A5.Consol FY24'!L:L,'A5.Consol FY24'!M:M,"EY",'A5.Consol FY24'!N:N,"Posted",'A5.Consol FY24'!B:B,'A0.LS'!$AO$5,'A5.Consol FY24'!F:F,'A0.LS'!E286),0)</f>
        <v>0</v>
      </c>
      <c r="AP286" s="949">
        <f t="shared" si="221"/>
        <v>0</v>
      </c>
      <c r="AQ286" s="930"/>
      <c r="AR286" s="936">
        <f>ROUND(SUMIFS('GL911.XH.FY24'!L:L,'GL911.XH.FY24'!F:F,'A0.LS'!E286),0)</f>
        <v>0</v>
      </c>
      <c r="AS286" s="936">
        <f>ROUND(SUMIFS('A5.CTC FY24'!K:K,'A5.CTC FY24'!E:E,'A0.LS'!E286,'A5.CTC FY24'!A:A,'A0.LS'!$AS$5,'A5.CTC FY24'!L:L,"EY",'A5.CTC FY24'!M:M,"Posted"),0)</f>
        <v>0</v>
      </c>
      <c r="AT286" s="948">
        <f t="shared" si="222"/>
        <v>0</v>
      </c>
      <c r="AU286" s="930"/>
      <c r="AV286" s="951">
        <f t="shared" si="223"/>
        <v>0</v>
      </c>
      <c r="AW286" s="952">
        <f>SUMIFS('A5.Consol FY24'!L:L,'A5.Consol FY24'!B:B,'A0.LS'!$AW$5,'A5.Consol FY24'!M:M,"EY",'A5.Consol FY24'!N:N,"Posted",'A5.Consol FY24'!F:F,'A0.LS'!E286)</f>
        <v>0</v>
      </c>
      <c r="AX286" s="951">
        <f t="shared" si="224"/>
        <v>0</v>
      </c>
      <c r="AY286" s="920"/>
      <c r="AZ286" s="936">
        <f>SUMIFS('911.CTC.YE22'!U:U,'911.CTC.YE22'!R:R,'A0.LS'!E286)</f>
        <v>0</v>
      </c>
      <c r="BA286" s="936">
        <f>ROUND(SUMIFS('A5.YE22'!J:J,'A5.YE22'!K:K,'A0.LS'!$BA$5,'A5.YE22'!L:L,"Posted",'A5.YE22'!D:D,'A0.LS'!E286),0)</f>
        <v>0</v>
      </c>
      <c r="BB286" s="936">
        <f t="shared" si="225"/>
        <v>0</v>
      </c>
      <c r="BC286" s="937"/>
      <c r="BD286" s="936">
        <f>ROUND(SUMIFS('911.VNSC.YE22'!R:R,'911.VNSC.YE22'!L:L,'A0.LS'!E286),0)</f>
        <v>0</v>
      </c>
      <c r="BE286" s="936">
        <f>ROUND(SUMIFS('A5.YE22'!J:J,'A5.YE22'!K:K,'A0.LS'!$BE$5,'A5.YE22'!L:L,"Posted",'A5.YE22'!D:D,'A0.LS'!E286),0)</f>
        <v>0</v>
      </c>
      <c r="BF286" s="936">
        <f t="shared" si="226"/>
        <v>0</v>
      </c>
      <c r="BG286" s="937"/>
      <c r="BH286" s="936">
        <f>ROUND(SUMIFS('911.XH.YE22'!T:T,'911.XH.YE22'!P:P,'A0.LS'!E286),0)</f>
        <v>0</v>
      </c>
      <c r="BI286" s="936">
        <f>ROUND(SUMIFS('A5.YE22'!J:J,'A5.YE22'!K:K,"XH",'A5.YE22'!L:L,"Posted",'A5.YE22'!D:D,'A0.LS'!E286),0)</f>
        <v>0</v>
      </c>
      <c r="BJ286" s="936">
        <f t="shared" si="227"/>
        <v>0</v>
      </c>
      <c r="BK286" s="937"/>
      <c r="BL286" s="936">
        <f>ROUND(SUMIFS('911.KCG.YE22'!T:T,'911.KCG.YE22'!P:P,'A0.LS'!E286),0)</f>
        <v>0</v>
      </c>
      <c r="BM286" s="936">
        <f>ROUND(SUMIFS('A5.YE22'!J:J,'A5.YE22'!K:K,'A0.LS'!$BM$5,'A5.YE22'!L:L,"Posted",'A5.YE22'!D:D,'A0.LS'!E286),0)</f>
        <v>0</v>
      </c>
      <c r="BN286" s="936">
        <f t="shared" si="228"/>
        <v>0</v>
      </c>
      <c r="BO286" s="937"/>
      <c r="BP286" s="938">
        <f>_xlfn.XLOOKUP(E286,[15]LS!$G:$G,[15]LS!$AX:$AX,0,0,1)</f>
        <v>107563997</v>
      </c>
      <c r="BQ286" s="938">
        <f>ROUND(SUMIFS('A5.YE22'!J:J,'A5.YE22'!K:K,'A0.LS'!$BQ$5,'A5.YE22'!L:L,"Posted",'A5.YE22'!D:D,'A0.LS'!E286),0)</f>
        <v>0</v>
      </c>
      <c r="BR286" s="938">
        <f t="shared" si="229"/>
        <v>107563997</v>
      </c>
    </row>
    <row r="287" spans="2:70" ht="12.75">
      <c r="B287" s="939">
        <v>25</v>
      </c>
      <c r="C287" s="940" t="s">
        <v>2528</v>
      </c>
      <c r="D287" s="941" t="s">
        <v>2528</v>
      </c>
      <c r="E287" s="928" t="s">
        <v>2529</v>
      </c>
      <c r="F287" s="928" t="s">
        <v>2530</v>
      </c>
      <c r="G287" s="927" t="s">
        <v>2516</v>
      </c>
      <c r="H287" s="927" t="s">
        <v>2188</v>
      </c>
      <c r="I287" s="942">
        <f>SUMIFS('GL911.Cty Me.FY24'!T:T,'GL911.Cty Me.FY24'!H:H,'A0.LS'!E287)</f>
        <v>0</v>
      </c>
      <c r="J287" s="942">
        <f>ROUND(SUMIFS('A5.FY24'!K:K,'A5.FY24'!E:E,'A0.LS'!E287,'A5.FY24'!L:L,"Finhay",'A5.FY24'!M:M,"Posted"),0)</f>
        <v>0</v>
      </c>
      <c r="K287" s="942">
        <f>ROUND(SUMIFS('A5.FY24'!K:K,'A5.FY24'!E:E,'A0.LS'!E287,'A5.FY24'!L:L,"EY",'A5.FY24'!M:M,"Posted"),0)</f>
        <v>0</v>
      </c>
      <c r="L287" s="943">
        <f t="shared" si="216"/>
        <v>0</v>
      </c>
      <c r="M287" s="930"/>
      <c r="N287" s="944">
        <v>0</v>
      </c>
      <c r="O287" s="944">
        <v>0</v>
      </c>
      <c r="P287" s="944">
        <v>0</v>
      </c>
      <c r="Q287" s="945">
        <v>0</v>
      </c>
      <c r="R287" s="898"/>
      <c r="S287" s="848">
        <f t="shared" si="214"/>
        <v>0</v>
      </c>
      <c r="T287" s="946" t="str">
        <f t="shared" si="215"/>
        <v>To check</v>
      </c>
      <c r="U287" s="850"/>
      <c r="V287" s="850" t="s">
        <v>2430</v>
      </c>
      <c r="W287" s="850"/>
      <c r="X287" s="947" t="s">
        <v>676</v>
      </c>
      <c r="Y287" s="947" t="s">
        <v>2516</v>
      </c>
      <c r="Z287" s="936">
        <f>ROUND(SUMIFS('GL911.CtyCon.FY24'!N:N,'GL911.CtyCon.FY24'!G:G,'A0.LS'!E287),0)</f>
        <v>0</v>
      </c>
      <c r="AA287" s="936">
        <f>ROUND(SUMIFS('A5.CTC FY24'!K:K,'A5.CTC FY24'!E:E,'A0.LS'!E287,'A5.CTC FY24'!A:A,'A0.LS'!$AA$5,'A5.CTC FY24'!L:L,"Finhay",'A5.CTC FY24'!M:M,"Posted"),0)</f>
        <v>0</v>
      </c>
      <c r="AB287" s="936">
        <f>ROUND(SUMIFS('A5.CTC FY24'!K:K,'A5.CTC FY24'!E:E,'A0.LS'!E287,'A5.CTC FY24'!A:A,'A0.LS'!$AB$5,'A5.CTC FY24'!L:L,"EY",'A5.CTC FY24'!M:M,"Posted"),0)</f>
        <v>0</v>
      </c>
      <c r="AC287" s="948">
        <f t="shared" si="217"/>
        <v>0</v>
      </c>
      <c r="AD287" s="930"/>
      <c r="AE287" s="936">
        <f>SUMIFS('GL911 VNSC FY24'!T:T,'GL911 VNSC FY24'!AG:AG,'A0.LS'!E287)</f>
        <v>0</v>
      </c>
      <c r="AF287" s="936">
        <f>SUMIFS('A5.CTC FY24'!K:K,'A5.CTC FY24'!E:E,'A0.LS'!E287,'A5.CTC FY24'!A:A,"VNSC",'A5.CTC FY24'!L:L,"VNSC",'A5.CTC FY24'!M:M,"Posted")</f>
        <v>0</v>
      </c>
      <c r="AG287" s="936">
        <f>ROUND(SUMIFS('A5.CTC FY24'!K:K,'A5.CTC FY24'!E:E,'A0.LS'!E287,'A5.CTC FY24'!A:A,"VNSC",'A5.CTC FY24'!L:L,"EY",'A5.CTC FY24'!M:M,"Posted"),0)</f>
        <v>0</v>
      </c>
      <c r="AH287" s="936">
        <f t="shared" si="218"/>
        <v>0</v>
      </c>
      <c r="AI287" s="930"/>
      <c r="AJ287" s="936">
        <f>ROUND(SUMIFS('GL911.KCG.FY24'!L:L,'GL911.KCG.FY24'!F:F,'A0.LS'!E287),0)</f>
        <v>0</v>
      </c>
      <c r="AK287" s="936">
        <f>ROUND(SUMIFS('A5.CTC FY24'!K:K,'A5.CTC FY24'!E:E,'A0.LS'!E287,'A5.CTC FY24'!A:A,'A0.LS'!$AK$5,'A5.CTC FY24'!L:L,"EY",'A5.CTC FY24'!M:M,"Posted"),0)</f>
        <v>0</v>
      </c>
      <c r="AL287" s="948">
        <f t="shared" si="219"/>
        <v>0</v>
      </c>
      <c r="AM287" s="930"/>
      <c r="AN287" s="949">
        <f t="shared" si="220"/>
        <v>0</v>
      </c>
      <c r="AO287" s="950">
        <f>ROUND(SUMIFS('A5.Consol FY24'!L:L,'A5.Consol FY24'!M:M,"EY",'A5.Consol FY24'!N:N,"Posted",'A5.Consol FY24'!B:B,'A0.LS'!$AO$5,'A5.Consol FY24'!F:F,'A0.LS'!E287),0)</f>
        <v>0</v>
      </c>
      <c r="AP287" s="949">
        <f t="shared" si="221"/>
        <v>0</v>
      </c>
      <c r="AQ287" s="930"/>
      <c r="AR287" s="936">
        <f>ROUND(SUMIFS('GL911.XH.FY24'!L:L,'GL911.XH.FY24'!F:F,'A0.LS'!E287),0)</f>
        <v>0</v>
      </c>
      <c r="AS287" s="936">
        <f>ROUND(SUMIFS('A5.CTC FY24'!K:K,'A5.CTC FY24'!E:E,'A0.LS'!E287,'A5.CTC FY24'!A:A,'A0.LS'!$AS$5,'A5.CTC FY24'!L:L,"EY",'A5.CTC FY24'!M:M,"Posted"),0)</f>
        <v>0</v>
      </c>
      <c r="AT287" s="948">
        <f t="shared" si="222"/>
        <v>0</v>
      </c>
      <c r="AU287" s="930"/>
      <c r="AV287" s="951">
        <f t="shared" si="223"/>
        <v>0</v>
      </c>
      <c r="AW287" s="952">
        <f>SUMIFS('A5.Consol FY24'!L:L,'A5.Consol FY24'!B:B,'A0.LS'!$AW$5,'A5.Consol FY24'!M:M,"EY",'A5.Consol FY24'!N:N,"Posted",'A5.Consol FY24'!F:F,'A0.LS'!E287)</f>
        <v>0</v>
      </c>
      <c r="AX287" s="951">
        <f t="shared" si="224"/>
        <v>0</v>
      </c>
      <c r="AY287" s="920"/>
      <c r="AZ287" s="936">
        <f>SUMIFS('911.CTC.YE22'!U:U,'911.CTC.YE22'!R:R,'A0.LS'!E287)</f>
        <v>0</v>
      </c>
      <c r="BA287" s="936">
        <f>ROUND(SUMIFS('A5.YE22'!J:J,'A5.YE22'!K:K,'A0.LS'!$BA$5,'A5.YE22'!L:L,"Posted",'A5.YE22'!D:D,'A0.LS'!E287),0)</f>
        <v>0</v>
      </c>
      <c r="BB287" s="936">
        <f t="shared" si="225"/>
        <v>0</v>
      </c>
      <c r="BC287" s="937"/>
      <c r="BD287" s="936">
        <f>ROUND(SUMIFS('911.VNSC.YE22'!R:R,'911.VNSC.YE22'!L:L,'A0.LS'!E287),0)</f>
        <v>0</v>
      </c>
      <c r="BE287" s="936">
        <f>ROUND(SUMIFS('A5.YE22'!J:J,'A5.YE22'!K:K,'A0.LS'!$BE$5,'A5.YE22'!L:L,"Posted",'A5.YE22'!D:D,'A0.LS'!E287),0)</f>
        <v>0</v>
      </c>
      <c r="BF287" s="936">
        <f t="shared" si="226"/>
        <v>0</v>
      </c>
      <c r="BG287" s="937"/>
      <c r="BH287" s="936">
        <f>ROUND(SUMIFS('911.XH.YE22'!T:T,'911.XH.YE22'!P:P,'A0.LS'!E287),0)</f>
        <v>0</v>
      </c>
      <c r="BI287" s="936">
        <f>ROUND(SUMIFS('A5.YE22'!J:J,'A5.YE22'!K:K,"XH",'A5.YE22'!L:L,"Posted",'A5.YE22'!D:D,'A0.LS'!E287),0)</f>
        <v>0</v>
      </c>
      <c r="BJ287" s="936">
        <f t="shared" si="227"/>
        <v>0</v>
      </c>
      <c r="BK287" s="937"/>
      <c r="BL287" s="936">
        <f>ROUND(SUMIFS('911.KCG.YE22'!T:T,'911.KCG.YE22'!P:P,'A0.LS'!E287),0)</f>
        <v>0</v>
      </c>
      <c r="BM287" s="936">
        <f>ROUND(SUMIFS('A5.YE22'!J:J,'A5.YE22'!K:K,'A0.LS'!$BM$5,'A5.YE22'!L:L,"Posted",'A5.YE22'!D:D,'A0.LS'!E287),0)</f>
        <v>0</v>
      </c>
      <c r="BN287" s="936">
        <f t="shared" si="228"/>
        <v>0</v>
      </c>
      <c r="BO287" s="937"/>
      <c r="BP287" s="938">
        <f>_xlfn.XLOOKUP(E287,[15]LS!$G:$G,[15]LS!$AX:$AX,0,0,1)</f>
        <v>0</v>
      </c>
      <c r="BQ287" s="938">
        <f>ROUND(SUMIFS('A5.YE22'!J:J,'A5.YE22'!K:K,'A0.LS'!$BQ$5,'A5.YE22'!L:L,"Posted",'A5.YE22'!D:D,'A0.LS'!E287),0)</f>
        <v>0</v>
      </c>
      <c r="BR287" s="938">
        <f t="shared" si="229"/>
        <v>0</v>
      </c>
    </row>
    <row r="288" spans="2:70" ht="12.6" customHeight="1">
      <c r="B288" s="939">
        <v>25</v>
      </c>
      <c r="C288" s="940" t="s">
        <v>2526</v>
      </c>
      <c r="D288" s="941" t="s">
        <v>2526</v>
      </c>
      <c r="E288" s="928" t="s">
        <v>359</v>
      </c>
      <c r="F288" s="928" t="s">
        <v>360</v>
      </c>
      <c r="G288" s="927" t="s">
        <v>2516</v>
      </c>
      <c r="H288" s="927" t="s">
        <v>2188</v>
      </c>
      <c r="I288" s="942">
        <f>SUMIFS('GL911.Cty Me.FY24'!T:T,'GL911.Cty Me.FY24'!H:H,'A0.LS'!E288)</f>
        <v>6117876</v>
      </c>
      <c r="J288" s="942">
        <f>ROUND(SUMIFS('A5.FY24'!K:K,'A5.FY24'!E:E,'A0.LS'!E288,'A5.FY24'!L:L,"Finhay",'A5.FY24'!M:M,"Posted"),0)</f>
        <v>0</v>
      </c>
      <c r="K288" s="942">
        <f>ROUND(SUMIFS('A5.FY24'!K:K,'A5.FY24'!E:E,'A0.LS'!E288,'A5.FY24'!L:L,"EY",'A5.FY24'!M:M,"Posted"),0)</f>
        <v>0</v>
      </c>
      <c r="L288" s="943">
        <f t="shared" si="216"/>
        <v>6117876</v>
      </c>
      <c r="M288" s="930"/>
      <c r="N288" s="944">
        <v>10850000</v>
      </c>
      <c r="O288" s="944">
        <v>546526</v>
      </c>
      <c r="P288" s="944">
        <v>0</v>
      </c>
      <c r="Q288" s="945">
        <v>11396526</v>
      </c>
      <c r="R288" s="898"/>
      <c r="S288" s="848">
        <f t="shared" si="214"/>
        <v>-5278650</v>
      </c>
      <c r="T288" s="946">
        <f t="shared" si="215"/>
        <v>-0.46318062188424791</v>
      </c>
      <c r="U288" s="850"/>
      <c r="V288" s="850" t="s">
        <v>2430</v>
      </c>
      <c r="W288" s="850"/>
      <c r="X288" s="947" t="s">
        <v>676</v>
      </c>
      <c r="Y288" s="947" t="s">
        <v>2516</v>
      </c>
      <c r="Z288" s="936">
        <f>ROUND(SUMIFS('GL911.CtyCon.FY24'!N:N,'GL911.CtyCon.FY24'!G:G,'A0.LS'!E288),0)</f>
        <v>0</v>
      </c>
      <c r="AA288" s="936">
        <f>ROUND(SUMIFS('A5.CTC FY24'!K:K,'A5.CTC FY24'!E:E,'A0.LS'!E288,'A5.CTC FY24'!A:A,'A0.LS'!$AA$5,'A5.CTC FY24'!L:L,"Finhay",'A5.CTC FY24'!M:M,"Posted"),0)</f>
        <v>0</v>
      </c>
      <c r="AB288" s="936">
        <f>ROUND(SUMIFS('A5.CTC FY24'!K:K,'A5.CTC FY24'!E:E,'A0.LS'!E288,'A5.CTC FY24'!A:A,'A0.LS'!$AB$5,'A5.CTC FY24'!L:L,"EY",'A5.CTC FY24'!M:M,"Posted"),0)</f>
        <v>0</v>
      </c>
      <c r="AC288" s="948">
        <f t="shared" si="217"/>
        <v>0</v>
      </c>
      <c r="AD288" s="930"/>
      <c r="AE288" s="936">
        <f>SUMIFS('GL911 VNSC FY24'!T:T,'GL911 VNSC FY24'!AG:AG,'A0.LS'!E288)</f>
        <v>0</v>
      </c>
      <c r="AF288" s="936">
        <f>SUMIFS('A5.CTC FY24'!K:K,'A5.CTC FY24'!E:E,'A0.LS'!E288,'A5.CTC FY24'!A:A,"VNSC",'A5.CTC FY24'!L:L,"VNSC",'A5.CTC FY24'!M:M,"Posted")</f>
        <v>0</v>
      </c>
      <c r="AG288" s="936">
        <f>ROUND(SUMIFS('A5.CTC FY24'!K:K,'A5.CTC FY24'!E:E,'A0.LS'!E288,'A5.CTC FY24'!A:A,"VNSC",'A5.CTC FY24'!L:L,"EY",'A5.CTC FY24'!M:M,"Posted"),0)</f>
        <v>0</v>
      </c>
      <c r="AH288" s="936">
        <f t="shared" si="218"/>
        <v>0</v>
      </c>
      <c r="AI288" s="930"/>
      <c r="AJ288" s="936">
        <f>ROUND(SUMIFS('GL911.KCG.FY24'!L:L,'GL911.KCG.FY24'!F:F,'A0.LS'!E288),0)</f>
        <v>0</v>
      </c>
      <c r="AK288" s="936">
        <f>ROUND(SUMIFS('A5.CTC FY24'!K:K,'A5.CTC FY24'!E:E,'A0.LS'!E288,'A5.CTC FY24'!A:A,'A0.LS'!$AK$5,'A5.CTC FY24'!L:L,"EY",'A5.CTC FY24'!M:M,"Posted"),0)</f>
        <v>0</v>
      </c>
      <c r="AL288" s="948">
        <f t="shared" si="219"/>
        <v>0</v>
      </c>
      <c r="AM288" s="930"/>
      <c r="AN288" s="949">
        <f t="shared" si="220"/>
        <v>0</v>
      </c>
      <c r="AO288" s="950">
        <f>ROUND(SUMIFS('A5.Consol FY24'!L:L,'A5.Consol FY24'!M:M,"EY",'A5.Consol FY24'!N:N,"Posted",'A5.Consol FY24'!B:B,'A0.LS'!$AO$5,'A5.Consol FY24'!F:F,'A0.LS'!E288),0)</f>
        <v>0</v>
      </c>
      <c r="AP288" s="949">
        <f t="shared" si="221"/>
        <v>0</v>
      </c>
      <c r="AQ288" s="930"/>
      <c r="AR288" s="936">
        <f>ROUND(SUMIFS('GL911.XH.FY24'!L:L,'GL911.XH.FY24'!F:F,'A0.LS'!E288),0)</f>
        <v>0</v>
      </c>
      <c r="AS288" s="936">
        <f>ROUND(SUMIFS('A5.CTC FY24'!K:K,'A5.CTC FY24'!E:E,'A0.LS'!E288,'A5.CTC FY24'!A:A,'A0.LS'!$AS$5,'A5.CTC FY24'!L:L,"EY",'A5.CTC FY24'!M:M,"Posted"),0)</f>
        <v>0</v>
      </c>
      <c r="AT288" s="948">
        <f t="shared" si="222"/>
        <v>0</v>
      </c>
      <c r="AU288" s="930"/>
      <c r="AV288" s="951">
        <f t="shared" si="223"/>
        <v>6117876</v>
      </c>
      <c r="AW288" s="952">
        <f>SUMIFS('A5.Consol FY24'!L:L,'A5.Consol FY24'!B:B,'A0.LS'!$AW$5,'A5.Consol FY24'!M:M,"EY",'A5.Consol FY24'!N:N,"Posted",'A5.Consol FY24'!F:F,'A0.LS'!E288)</f>
        <v>0</v>
      </c>
      <c r="AX288" s="951">
        <f t="shared" si="224"/>
        <v>6117876</v>
      </c>
      <c r="AY288" s="920"/>
      <c r="AZ288" s="936">
        <f>SUMIFS('911.CTC.YE22'!U:U,'911.CTC.YE22'!R:R,'A0.LS'!E288)</f>
        <v>0</v>
      </c>
      <c r="BA288" s="936">
        <f>ROUND(SUMIFS('A5.YE22'!J:J,'A5.YE22'!K:K,'A0.LS'!$BA$5,'A5.YE22'!L:L,"Posted",'A5.YE22'!D:D,'A0.LS'!E288),0)</f>
        <v>0</v>
      </c>
      <c r="BB288" s="936">
        <f t="shared" si="225"/>
        <v>0</v>
      </c>
      <c r="BC288" s="937"/>
      <c r="BD288" s="936">
        <f>ROUND(SUMIFS('911.VNSC.YE22'!R:R,'911.VNSC.YE22'!L:L,'A0.LS'!E288),0)</f>
        <v>0</v>
      </c>
      <c r="BE288" s="936">
        <f>ROUND(SUMIFS('A5.YE22'!J:J,'A5.YE22'!K:K,'A0.LS'!$BE$5,'A5.YE22'!L:L,"Posted",'A5.YE22'!D:D,'A0.LS'!E288),0)</f>
        <v>0</v>
      </c>
      <c r="BF288" s="936">
        <f t="shared" si="226"/>
        <v>0</v>
      </c>
      <c r="BG288" s="937"/>
      <c r="BH288" s="936">
        <f>ROUND(SUMIFS('911.XH.YE22'!T:T,'911.XH.YE22'!P:P,'A0.LS'!E288),0)</f>
        <v>0</v>
      </c>
      <c r="BI288" s="936">
        <f>ROUND(SUMIFS('A5.YE22'!J:J,'A5.YE22'!K:K,"XH",'A5.YE22'!L:L,"Posted",'A5.YE22'!D:D,'A0.LS'!E288),0)</f>
        <v>0</v>
      </c>
      <c r="BJ288" s="936">
        <f t="shared" si="227"/>
        <v>0</v>
      </c>
      <c r="BK288" s="937"/>
      <c r="BL288" s="936">
        <f>ROUND(SUMIFS('911.KCG.YE22'!T:T,'911.KCG.YE22'!P:P,'A0.LS'!E288),0)</f>
        <v>0</v>
      </c>
      <c r="BM288" s="936">
        <f>ROUND(SUMIFS('A5.YE22'!J:J,'A5.YE22'!K:K,'A0.LS'!$BM$5,'A5.YE22'!L:L,"Posted",'A5.YE22'!D:D,'A0.LS'!E288),0)</f>
        <v>0</v>
      </c>
      <c r="BN288" s="936">
        <f t="shared" si="228"/>
        <v>0</v>
      </c>
      <c r="BO288" s="937"/>
      <c r="BP288" s="938">
        <f>_xlfn.XLOOKUP(E288,[15]LS!$G:$G,[15]LS!$AX:$AX,0,0,1)</f>
        <v>11396526</v>
      </c>
      <c r="BQ288" s="938">
        <f>ROUND(SUMIFS('A5.YE22'!J:J,'A5.YE22'!K:K,'A0.LS'!$BQ$5,'A5.YE22'!L:L,"Posted",'A5.YE22'!D:D,'A0.LS'!E288),0)</f>
        <v>0</v>
      </c>
      <c r="BR288" s="938">
        <f t="shared" si="229"/>
        <v>11396526</v>
      </c>
    </row>
    <row r="289" spans="2:70" ht="12.75">
      <c r="B289" s="939">
        <v>25</v>
      </c>
      <c r="C289" s="940" t="s">
        <v>2528</v>
      </c>
      <c r="D289" s="941" t="s">
        <v>2528</v>
      </c>
      <c r="E289" s="928" t="s">
        <v>361</v>
      </c>
      <c r="F289" s="928" t="s">
        <v>2531</v>
      </c>
      <c r="G289" s="927" t="s">
        <v>2516</v>
      </c>
      <c r="H289" s="927" t="s">
        <v>2188</v>
      </c>
      <c r="I289" s="942">
        <f>SUMIFS('GL911.Cty Me.FY24'!T:T,'GL911.Cty Me.FY24'!H:H,'A0.LS'!E289)</f>
        <v>236006606</v>
      </c>
      <c r="J289" s="942">
        <f>ROUND(SUMIFS('A5.FY24'!K:K,'A5.FY24'!E:E,'A0.LS'!E289,'A5.FY24'!L:L,"Finhay",'A5.FY24'!M:M,"Posted"),0)</f>
        <v>0</v>
      </c>
      <c r="K289" s="942">
        <f>ROUND(SUMIFS('A5.FY24'!K:K,'A5.FY24'!E:E,'A0.LS'!E289,'A5.FY24'!L:L,"EY",'A5.FY24'!M:M,"Posted"),0)</f>
        <v>0</v>
      </c>
      <c r="L289" s="943">
        <f t="shared" si="216"/>
        <v>236006606</v>
      </c>
      <c r="M289" s="930"/>
      <c r="N289" s="944">
        <v>529671189</v>
      </c>
      <c r="O289" s="944">
        <v>26680088</v>
      </c>
      <c r="P289" s="944">
        <v>0</v>
      </c>
      <c r="Q289" s="945">
        <v>556351277</v>
      </c>
      <c r="R289" s="898"/>
      <c r="S289" s="848">
        <f t="shared" si="214"/>
        <v>-320344671</v>
      </c>
      <c r="T289" s="946">
        <f t="shared" si="215"/>
        <v>-0.57579569643011708</v>
      </c>
      <c r="U289" s="850"/>
      <c r="V289" s="850" t="s">
        <v>2432</v>
      </c>
      <c r="W289" s="850"/>
      <c r="X289" s="947" t="s">
        <v>676</v>
      </c>
      <c r="Y289" s="947" t="s">
        <v>2516</v>
      </c>
      <c r="Z289" s="936">
        <f>ROUND(SUMIFS('GL911.CtyCon.FY24'!N:N,'GL911.CtyCon.FY24'!G:G,'A0.LS'!E289),0)</f>
        <v>0</v>
      </c>
      <c r="AA289" s="936">
        <f>ROUND(SUMIFS('A5.CTC FY24'!K:K,'A5.CTC FY24'!E:E,'A0.LS'!E289,'A5.CTC FY24'!A:A,'A0.LS'!$AA$5,'A5.CTC FY24'!L:L,"Finhay",'A5.CTC FY24'!M:M,"Posted"),0)</f>
        <v>0</v>
      </c>
      <c r="AB289" s="936">
        <f>ROUND(SUMIFS('A5.CTC FY24'!K:K,'A5.CTC FY24'!E:E,'A0.LS'!E289,'A5.CTC FY24'!A:A,'A0.LS'!$AB$5,'A5.CTC FY24'!L:L,"EY",'A5.CTC FY24'!M:M,"Posted"),0)</f>
        <v>0</v>
      </c>
      <c r="AC289" s="948">
        <f t="shared" si="217"/>
        <v>0</v>
      </c>
      <c r="AD289" s="930"/>
      <c r="AE289" s="936">
        <f>SUMIFS('GL911 VNSC FY24'!T:T,'GL911 VNSC FY24'!AG:AG,'A0.LS'!E289)</f>
        <v>0</v>
      </c>
      <c r="AF289" s="936">
        <f>SUMIFS('A5.CTC FY24'!K:K,'A5.CTC FY24'!E:E,'A0.LS'!E289,'A5.CTC FY24'!A:A,"VNSC",'A5.CTC FY24'!L:L,"VNSC",'A5.CTC FY24'!M:M,"Posted")</f>
        <v>0</v>
      </c>
      <c r="AG289" s="936">
        <f>ROUND(SUMIFS('A5.CTC FY24'!K:K,'A5.CTC FY24'!E:E,'A0.LS'!E289,'A5.CTC FY24'!A:A,"VNSC",'A5.CTC FY24'!L:L,"EY",'A5.CTC FY24'!M:M,"Posted"),0)</f>
        <v>0</v>
      </c>
      <c r="AH289" s="936">
        <f t="shared" si="218"/>
        <v>0</v>
      </c>
      <c r="AI289" s="930"/>
      <c r="AJ289" s="936">
        <f>ROUND(SUMIFS('GL911.KCG.FY24'!L:L,'GL911.KCG.FY24'!F:F,'A0.LS'!E289),0)</f>
        <v>0</v>
      </c>
      <c r="AK289" s="936">
        <f>ROUND(SUMIFS('A5.CTC FY24'!K:K,'A5.CTC FY24'!E:E,'A0.LS'!E289,'A5.CTC FY24'!A:A,'A0.LS'!$AK$5,'A5.CTC FY24'!L:L,"EY",'A5.CTC FY24'!M:M,"Posted"),0)</f>
        <v>0</v>
      </c>
      <c r="AL289" s="948">
        <f t="shared" si="219"/>
        <v>0</v>
      </c>
      <c r="AM289" s="930"/>
      <c r="AN289" s="949">
        <f t="shared" si="220"/>
        <v>0</v>
      </c>
      <c r="AO289" s="950">
        <f>ROUND(SUMIFS('A5.Consol FY24'!L:L,'A5.Consol FY24'!M:M,"EY",'A5.Consol FY24'!N:N,"Posted",'A5.Consol FY24'!B:B,'A0.LS'!$AO$5,'A5.Consol FY24'!F:F,'A0.LS'!E289),0)</f>
        <v>0</v>
      </c>
      <c r="AP289" s="949">
        <f t="shared" si="221"/>
        <v>0</v>
      </c>
      <c r="AQ289" s="930"/>
      <c r="AR289" s="936">
        <f>ROUND(SUMIFS('GL911.XH.FY24'!L:L,'GL911.XH.FY24'!F:F,'A0.LS'!E289),0)</f>
        <v>0</v>
      </c>
      <c r="AS289" s="936">
        <f>ROUND(SUMIFS('A5.CTC FY24'!K:K,'A5.CTC FY24'!E:E,'A0.LS'!E289,'A5.CTC FY24'!A:A,'A0.LS'!$AS$5,'A5.CTC FY24'!L:L,"EY",'A5.CTC FY24'!M:M,"Posted"),0)</f>
        <v>0</v>
      </c>
      <c r="AT289" s="948">
        <f t="shared" si="222"/>
        <v>0</v>
      </c>
      <c r="AU289" s="930"/>
      <c r="AV289" s="951">
        <f t="shared" si="223"/>
        <v>236006606</v>
      </c>
      <c r="AW289" s="952">
        <f>SUMIFS('A5.Consol FY24'!L:L,'A5.Consol FY24'!B:B,'A0.LS'!$AW$5,'A5.Consol FY24'!M:M,"EY",'A5.Consol FY24'!N:N,"Posted",'A5.Consol FY24'!F:F,'A0.LS'!E289)</f>
        <v>0</v>
      </c>
      <c r="AX289" s="951">
        <f t="shared" si="224"/>
        <v>236006606</v>
      </c>
      <c r="AY289" s="920"/>
      <c r="AZ289" s="936">
        <f>SUMIFS('911.CTC.YE22'!U:U,'911.CTC.YE22'!R:R,'A0.LS'!E289)</f>
        <v>0</v>
      </c>
      <c r="BA289" s="936">
        <f>ROUND(SUMIFS('A5.YE22'!J:J,'A5.YE22'!K:K,'A0.LS'!$BA$5,'A5.YE22'!L:L,"Posted",'A5.YE22'!D:D,'A0.LS'!E289),0)</f>
        <v>0</v>
      </c>
      <c r="BB289" s="936">
        <f t="shared" si="225"/>
        <v>0</v>
      </c>
      <c r="BC289" s="937"/>
      <c r="BD289" s="936">
        <f>ROUND(SUMIFS('911.VNSC.YE22'!R:R,'911.VNSC.YE22'!L:L,'A0.LS'!E289),0)</f>
        <v>0</v>
      </c>
      <c r="BE289" s="936">
        <f>ROUND(SUMIFS('A5.YE22'!J:J,'A5.YE22'!K:K,'A0.LS'!$BE$5,'A5.YE22'!L:L,"Posted",'A5.YE22'!D:D,'A0.LS'!E289),0)</f>
        <v>0</v>
      </c>
      <c r="BF289" s="936">
        <f t="shared" si="226"/>
        <v>0</v>
      </c>
      <c r="BG289" s="937"/>
      <c r="BH289" s="936">
        <f>ROUND(SUMIFS('911.XH.YE22'!T:T,'911.XH.YE22'!P:P,'A0.LS'!E289),0)</f>
        <v>0</v>
      </c>
      <c r="BI289" s="936">
        <f>ROUND(SUMIFS('A5.YE22'!J:J,'A5.YE22'!K:K,"XH",'A5.YE22'!L:L,"Posted",'A5.YE22'!D:D,'A0.LS'!E289),0)</f>
        <v>0</v>
      </c>
      <c r="BJ289" s="936">
        <f t="shared" si="227"/>
        <v>0</v>
      </c>
      <c r="BK289" s="937"/>
      <c r="BL289" s="936">
        <f>ROUND(SUMIFS('911.KCG.YE22'!T:T,'911.KCG.YE22'!P:P,'A0.LS'!E289),0)</f>
        <v>0</v>
      </c>
      <c r="BM289" s="936">
        <f>ROUND(SUMIFS('A5.YE22'!J:J,'A5.YE22'!K:K,'A0.LS'!$BM$5,'A5.YE22'!L:L,"Posted",'A5.YE22'!D:D,'A0.LS'!E289),0)</f>
        <v>0</v>
      </c>
      <c r="BN289" s="936">
        <f t="shared" si="228"/>
        <v>0</v>
      </c>
      <c r="BO289" s="937"/>
      <c r="BP289" s="938">
        <f>_xlfn.XLOOKUP(E289,[15]LS!$G:$G,[15]LS!$AX:$AX,0,0,1)</f>
        <v>556351277</v>
      </c>
      <c r="BQ289" s="938">
        <f>ROUND(SUMIFS('A5.YE22'!J:J,'A5.YE22'!K:K,'A0.LS'!$BQ$5,'A5.YE22'!L:L,"Posted",'A5.YE22'!D:D,'A0.LS'!E289),0)</f>
        <v>0</v>
      </c>
      <c r="BR289" s="938">
        <f t="shared" si="229"/>
        <v>556351277</v>
      </c>
    </row>
    <row r="290" spans="2:70" ht="12.6" customHeight="1">
      <c r="B290" s="939">
        <v>25</v>
      </c>
      <c r="C290" s="940" t="s">
        <v>2528</v>
      </c>
      <c r="D290" s="941" t="s">
        <v>2528</v>
      </c>
      <c r="E290" s="928" t="s">
        <v>363</v>
      </c>
      <c r="F290" s="928" t="s">
        <v>364</v>
      </c>
      <c r="G290" s="927" t="s">
        <v>2516</v>
      </c>
      <c r="H290" s="927" t="s">
        <v>2188</v>
      </c>
      <c r="I290" s="942">
        <f>SUMIFS('GL911.Cty Me.FY24'!T:T,'GL911.Cty Me.FY24'!H:H,'A0.LS'!E290)</f>
        <v>431137633</v>
      </c>
      <c r="J290" s="942">
        <f>ROUND(SUMIFS('A5.FY24'!K:K,'A5.FY24'!E:E,'A0.LS'!E290,'A5.FY24'!L:L,"Finhay",'A5.FY24'!M:M,"Posted"),0)</f>
        <v>300000</v>
      </c>
      <c r="K290" s="942">
        <f>ROUND(SUMIFS('A5.FY24'!K:K,'A5.FY24'!E:E,'A0.LS'!E290,'A5.FY24'!L:L,"EY",'A5.FY24'!M:M,"Posted"),0)</f>
        <v>0</v>
      </c>
      <c r="L290" s="943">
        <f t="shared" si="216"/>
        <v>431437633</v>
      </c>
      <c r="M290" s="930"/>
      <c r="N290" s="944">
        <v>178425860</v>
      </c>
      <c r="O290" s="944">
        <v>8987496</v>
      </c>
      <c r="P290" s="944">
        <v>0</v>
      </c>
      <c r="Q290" s="945">
        <v>187413356</v>
      </c>
      <c r="R290" s="898"/>
      <c r="S290" s="848">
        <f t="shared" si="214"/>
        <v>244024277</v>
      </c>
      <c r="T290" s="946">
        <f t="shared" si="215"/>
        <v>1.3020644964065422</v>
      </c>
      <c r="U290" s="850"/>
      <c r="V290" s="850" t="s">
        <v>2450</v>
      </c>
      <c r="W290" s="850"/>
      <c r="X290" s="947" t="s">
        <v>676</v>
      </c>
      <c r="Y290" s="947" t="s">
        <v>2516</v>
      </c>
      <c r="Z290" s="936">
        <f>ROUND(SUMIFS('GL911.CtyCon.FY24'!N:N,'GL911.CtyCon.FY24'!G:G,'A0.LS'!E290),0)</f>
        <v>0</v>
      </c>
      <c r="AA290" s="936">
        <f>ROUND(SUMIFS('A5.CTC FY24'!K:K,'A5.CTC FY24'!E:E,'A0.LS'!E290,'A5.CTC FY24'!A:A,'A0.LS'!$AA$5,'A5.CTC FY24'!L:L,"Finhay",'A5.CTC FY24'!M:M,"Posted"),0)</f>
        <v>0</v>
      </c>
      <c r="AB290" s="936">
        <f>ROUND(SUMIFS('A5.CTC FY24'!K:K,'A5.CTC FY24'!E:E,'A0.LS'!E290,'A5.CTC FY24'!A:A,'A0.LS'!$AB$5,'A5.CTC FY24'!L:L,"EY",'A5.CTC FY24'!M:M,"Posted"),0)</f>
        <v>0</v>
      </c>
      <c r="AC290" s="948">
        <f t="shared" si="217"/>
        <v>0</v>
      </c>
      <c r="AD290" s="930"/>
      <c r="AE290" s="936">
        <f>SUMIFS('GL911 VNSC FY24'!T:T,'GL911 VNSC FY24'!AG:AG,'A0.LS'!E290)</f>
        <v>0</v>
      </c>
      <c r="AF290" s="936">
        <f>SUMIFS('A5.CTC FY24'!K:K,'A5.CTC FY24'!E:E,'A0.LS'!E290,'A5.CTC FY24'!A:A,"VNSC",'A5.CTC FY24'!L:L,"VNSC",'A5.CTC FY24'!M:M,"Posted")</f>
        <v>0</v>
      </c>
      <c r="AG290" s="936">
        <f>ROUND(SUMIFS('A5.CTC FY24'!K:K,'A5.CTC FY24'!E:E,'A0.LS'!E290,'A5.CTC FY24'!A:A,"VNSC",'A5.CTC FY24'!L:L,"EY",'A5.CTC FY24'!M:M,"Posted"),0)</f>
        <v>0</v>
      </c>
      <c r="AH290" s="936">
        <f t="shared" si="218"/>
        <v>0</v>
      </c>
      <c r="AI290" s="930"/>
      <c r="AJ290" s="936">
        <f>ROUND(SUMIFS('GL911.KCG.FY24'!L:L,'GL911.KCG.FY24'!F:F,'A0.LS'!E290),0)</f>
        <v>0</v>
      </c>
      <c r="AK290" s="936">
        <f>ROUND(SUMIFS('A5.CTC FY24'!K:K,'A5.CTC FY24'!E:E,'A0.LS'!E290,'A5.CTC FY24'!A:A,'A0.LS'!$AK$5,'A5.CTC FY24'!L:L,"EY",'A5.CTC FY24'!M:M,"Posted"),0)</f>
        <v>0</v>
      </c>
      <c r="AL290" s="948">
        <f t="shared" si="219"/>
        <v>0</v>
      </c>
      <c r="AM290" s="930"/>
      <c r="AN290" s="949">
        <f t="shared" si="220"/>
        <v>0</v>
      </c>
      <c r="AO290" s="950">
        <f>ROUND(SUMIFS('A5.Consol FY24'!L:L,'A5.Consol FY24'!M:M,"EY",'A5.Consol FY24'!N:N,"Posted",'A5.Consol FY24'!B:B,'A0.LS'!$AO$5,'A5.Consol FY24'!F:F,'A0.LS'!E290),0)</f>
        <v>0</v>
      </c>
      <c r="AP290" s="949">
        <f t="shared" si="221"/>
        <v>0</v>
      </c>
      <c r="AQ290" s="930"/>
      <c r="AR290" s="936">
        <f>ROUND(SUMIFS('GL911.XH.FY24'!L:L,'GL911.XH.FY24'!F:F,'A0.LS'!E290),0)</f>
        <v>0</v>
      </c>
      <c r="AS290" s="936">
        <f>ROUND(SUMIFS('A5.CTC FY24'!K:K,'A5.CTC FY24'!E:E,'A0.LS'!E290,'A5.CTC FY24'!A:A,'A0.LS'!$AS$5,'A5.CTC FY24'!L:L,"EY",'A5.CTC FY24'!M:M,"Posted"),0)</f>
        <v>0</v>
      </c>
      <c r="AT290" s="948">
        <f t="shared" si="222"/>
        <v>0</v>
      </c>
      <c r="AU290" s="930"/>
      <c r="AV290" s="951">
        <f t="shared" si="223"/>
        <v>431437633</v>
      </c>
      <c r="AW290" s="952">
        <f>SUMIFS('A5.Consol FY24'!L:L,'A5.Consol FY24'!B:B,'A0.LS'!$AW$5,'A5.Consol FY24'!M:M,"EY",'A5.Consol FY24'!N:N,"Posted",'A5.Consol FY24'!F:F,'A0.LS'!E290)</f>
        <v>0</v>
      </c>
      <c r="AX290" s="951">
        <f t="shared" si="224"/>
        <v>431437633</v>
      </c>
      <c r="AY290" s="920"/>
      <c r="AZ290" s="936">
        <f>SUMIFS('911.CTC.YE22'!U:U,'911.CTC.YE22'!R:R,'A0.LS'!E290)</f>
        <v>0</v>
      </c>
      <c r="BA290" s="936">
        <f>ROUND(SUMIFS('A5.YE22'!J:J,'A5.YE22'!K:K,'A0.LS'!$BA$5,'A5.YE22'!L:L,"Posted",'A5.YE22'!D:D,'A0.LS'!E290),0)</f>
        <v>0</v>
      </c>
      <c r="BB290" s="936">
        <f t="shared" si="225"/>
        <v>0</v>
      </c>
      <c r="BC290" s="937"/>
      <c r="BD290" s="936">
        <f>ROUND(SUMIFS('911.VNSC.YE22'!R:R,'911.VNSC.YE22'!L:L,'A0.LS'!E290),0)</f>
        <v>0</v>
      </c>
      <c r="BE290" s="936">
        <f>ROUND(SUMIFS('A5.YE22'!J:J,'A5.YE22'!K:K,'A0.LS'!$BE$5,'A5.YE22'!L:L,"Posted",'A5.YE22'!D:D,'A0.LS'!E290),0)</f>
        <v>0</v>
      </c>
      <c r="BF290" s="936">
        <f t="shared" si="226"/>
        <v>0</v>
      </c>
      <c r="BG290" s="937"/>
      <c r="BH290" s="936">
        <f>ROUND(SUMIFS('911.XH.YE22'!T:T,'911.XH.YE22'!P:P,'A0.LS'!E290),0)</f>
        <v>0</v>
      </c>
      <c r="BI290" s="936">
        <f>ROUND(SUMIFS('A5.YE22'!J:J,'A5.YE22'!K:K,"XH",'A5.YE22'!L:L,"Posted",'A5.YE22'!D:D,'A0.LS'!E290),0)</f>
        <v>0</v>
      </c>
      <c r="BJ290" s="936">
        <f t="shared" si="227"/>
        <v>0</v>
      </c>
      <c r="BK290" s="937"/>
      <c r="BL290" s="936">
        <f>ROUND(SUMIFS('911.KCG.YE22'!T:T,'911.KCG.YE22'!P:P,'A0.LS'!E290),0)</f>
        <v>0</v>
      </c>
      <c r="BM290" s="936">
        <f>ROUND(SUMIFS('A5.YE22'!J:J,'A5.YE22'!K:K,'A0.LS'!$BM$5,'A5.YE22'!L:L,"Posted",'A5.YE22'!D:D,'A0.LS'!E290),0)</f>
        <v>0</v>
      </c>
      <c r="BN290" s="936">
        <f t="shared" si="228"/>
        <v>0</v>
      </c>
      <c r="BO290" s="937"/>
      <c r="BP290" s="938">
        <f>_xlfn.XLOOKUP(E290,[15]LS!$G:$G,[15]LS!$AX:$AX,0,0,1)</f>
        <v>187413356</v>
      </c>
      <c r="BQ290" s="938">
        <f>ROUND(SUMIFS('A5.YE22'!J:J,'A5.YE22'!K:K,'A0.LS'!$BQ$5,'A5.YE22'!L:L,"Posted",'A5.YE22'!D:D,'A0.LS'!E290),0)</f>
        <v>0</v>
      </c>
      <c r="BR290" s="938">
        <f t="shared" si="229"/>
        <v>187413356</v>
      </c>
    </row>
    <row r="291" spans="2:70" ht="12.75">
      <c r="B291" s="939">
        <v>25</v>
      </c>
      <c r="C291" s="940" t="s">
        <v>2528</v>
      </c>
      <c r="D291" s="941" t="s">
        <v>2528</v>
      </c>
      <c r="E291" s="928" t="s">
        <v>2532</v>
      </c>
      <c r="F291" s="928" t="s">
        <v>396</v>
      </c>
      <c r="G291" s="927" t="s">
        <v>2516</v>
      </c>
      <c r="H291" s="927" t="s">
        <v>2188</v>
      </c>
      <c r="I291" s="942">
        <f>SUMIFS('GL911.Cty Me.FY24'!T:T,'GL911.Cty Me.FY24'!H:H,'A0.LS'!E291)</f>
        <v>0</v>
      </c>
      <c r="J291" s="942">
        <f>ROUND(SUMIFS('A5.FY24'!K:K,'A5.FY24'!E:E,'A0.LS'!E291,'A5.FY24'!L:L,"Finhay",'A5.FY24'!M:M,"Posted"),0)</f>
        <v>0</v>
      </c>
      <c r="K291" s="942">
        <f>ROUND(SUMIFS('A5.FY24'!K:K,'A5.FY24'!E:E,'A0.LS'!E291,'A5.FY24'!L:L,"EY",'A5.FY24'!M:M,"Posted"),0)</f>
        <v>0</v>
      </c>
      <c r="L291" s="943">
        <f t="shared" si="216"/>
        <v>0</v>
      </c>
      <c r="M291" s="930"/>
      <c r="N291" s="944">
        <v>0</v>
      </c>
      <c r="O291" s="944">
        <v>0</v>
      </c>
      <c r="P291" s="944">
        <v>0</v>
      </c>
      <c r="Q291" s="945">
        <v>0</v>
      </c>
      <c r="R291" s="898"/>
      <c r="S291" s="848">
        <f t="shared" si="214"/>
        <v>0</v>
      </c>
      <c r="T291" s="946" t="str">
        <f t="shared" si="215"/>
        <v>To check</v>
      </c>
      <c r="U291" s="850"/>
      <c r="V291" s="850" t="s">
        <v>2533</v>
      </c>
      <c r="W291" s="850"/>
      <c r="X291" s="947" t="s">
        <v>676</v>
      </c>
      <c r="Y291" s="947" t="s">
        <v>2516</v>
      </c>
      <c r="Z291" s="936">
        <f>ROUND(SUMIFS('GL911.CtyCon.FY24'!N:N,'GL911.CtyCon.FY24'!G:G,'A0.LS'!E291),0)</f>
        <v>0</v>
      </c>
      <c r="AA291" s="936">
        <f>ROUND(SUMIFS('A5.CTC FY24'!K:K,'A5.CTC FY24'!E:E,'A0.LS'!E291,'A5.CTC FY24'!A:A,'A0.LS'!$AA$5,'A5.CTC FY24'!L:L,"Finhay",'A5.CTC FY24'!M:M,"Posted"),0)</f>
        <v>0</v>
      </c>
      <c r="AB291" s="936">
        <f>ROUND(SUMIFS('A5.CTC FY24'!K:K,'A5.CTC FY24'!E:E,'A0.LS'!E291,'A5.CTC FY24'!A:A,'A0.LS'!$AB$5,'A5.CTC FY24'!L:L,"EY",'A5.CTC FY24'!M:M,"Posted"),0)</f>
        <v>0</v>
      </c>
      <c r="AC291" s="948">
        <f t="shared" si="217"/>
        <v>0</v>
      </c>
      <c r="AD291" s="930"/>
      <c r="AE291" s="936">
        <f>SUMIFS('GL911 VNSC FY24'!T:T,'GL911 VNSC FY24'!AG:AG,'A0.LS'!E291)</f>
        <v>0</v>
      </c>
      <c r="AF291" s="936">
        <f>SUMIFS('A5.CTC FY24'!K:K,'A5.CTC FY24'!E:E,'A0.LS'!E291,'A5.CTC FY24'!A:A,"VNSC",'A5.CTC FY24'!L:L,"VNSC",'A5.CTC FY24'!M:M,"Posted")</f>
        <v>0</v>
      </c>
      <c r="AG291" s="936">
        <f>ROUND(SUMIFS('A5.CTC FY24'!K:K,'A5.CTC FY24'!E:E,'A0.LS'!E291,'A5.CTC FY24'!A:A,"VNSC",'A5.CTC FY24'!L:L,"EY",'A5.CTC FY24'!M:M,"Posted"),0)</f>
        <v>0</v>
      </c>
      <c r="AH291" s="936">
        <f t="shared" si="218"/>
        <v>0</v>
      </c>
      <c r="AI291" s="930"/>
      <c r="AJ291" s="936">
        <f>ROUND(SUMIFS('GL911.KCG.FY24'!L:L,'GL911.KCG.FY24'!F:F,'A0.LS'!E291),0)</f>
        <v>0</v>
      </c>
      <c r="AK291" s="936">
        <f>ROUND(SUMIFS('A5.CTC FY24'!K:K,'A5.CTC FY24'!E:E,'A0.LS'!E291,'A5.CTC FY24'!A:A,'A0.LS'!$AK$5,'A5.CTC FY24'!L:L,"EY",'A5.CTC FY24'!M:M,"Posted"),0)</f>
        <v>0</v>
      </c>
      <c r="AL291" s="948">
        <f t="shared" si="219"/>
        <v>0</v>
      </c>
      <c r="AM291" s="930"/>
      <c r="AN291" s="949">
        <f t="shared" si="220"/>
        <v>0</v>
      </c>
      <c r="AO291" s="950">
        <f>ROUND(SUMIFS('A5.Consol FY24'!L:L,'A5.Consol FY24'!M:M,"EY",'A5.Consol FY24'!N:N,"Posted",'A5.Consol FY24'!B:B,'A0.LS'!$AO$5,'A5.Consol FY24'!F:F,'A0.LS'!E291),0)</f>
        <v>0</v>
      </c>
      <c r="AP291" s="949">
        <f t="shared" si="221"/>
        <v>0</v>
      </c>
      <c r="AQ291" s="930"/>
      <c r="AR291" s="936">
        <f>ROUND(SUMIFS('GL911.XH.FY24'!L:L,'GL911.XH.FY24'!F:F,'A0.LS'!E291),0)</f>
        <v>0</v>
      </c>
      <c r="AS291" s="936">
        <f>ROUND(SUMIFS('A5.CTC FY24'!K:K,'A5.CTC FY24'!E:E,'A0.LS'!E291,'A5.CTC FY24'!A:A,'A0.LS'!$AS$5,'A5.CTC FY24'!L:L,"EY",'A5.CTC FY24'!M:M,"Posted"),0)</f>
        <v>0</v>
      </c>
      <c r="AT291" s="948">
        <f t="shared" si="222"/>
        <v>0</v>
      </c>
      <c r="AU291" s="930"/>
      <c r="AV291" s="951">
        <f t="shared" si="223"/>
        <v>0</v>
      </c>
      <c r="AW291" s="952">
        <f>SUMIFS('A5.Consol FY24'!L:L,'A5.Consol FY24'!B:B,'A0.LS'!$AW$5,'A5.Consol FY24'!M:M,"EY",'A5.Consol FY24'!N:N,"Posted",'A5.Consol FY24'!F:F,'A0.LS'!E291)</f>
        <v>0</v>
      </c>
      <c r="AX291" s="951">
        <f t="shared" si="224"/>
        <v>0</v>
      </c>
      <c r="AY291" s="920"/>
      <c r="AZ291" s="936">
        <f>SUMIFS('911.CTC.YE22'!U:U,'911.CTC.YE22'!R:R,'A0.LS'!E291)</f>
        <v>0</v>
      </c>
      <c r="BA291" s="936">
        <f>ROUND(SUMIFS('A5.YE22'!J:J,'A5.YE22'!K:K,'A0.LS'!$BA$5,'A5.YE22'!L:L,"Posted",'A5.YE22'!D:D,'A0.LS'!E291),0)</f>
        <v>0</v>
      </c>
      <c r="BB291" s="936">
        <f t="shared" si="225"/>
        <v>0</v>
      </c>
      <c r="BC291" s="937"/>
      <c r="BD291" s="936">
        <f>ROUND(SUMIFS('911.VNSC.YE22'!R:R,'911.VNSC.YE22'!L:L,'A0.LS'!E291),0)</f>
        <v>0</v>
      </c>
      <c r="BE291" s="936">
        <f>ROUND(SUMIFS('A5.YE22'!J:J,'A5.YE22'!K:K,'A0.LS'!$BE$5,'A5.YE22'!L:L,"Posted",'A5.YE22'!D:D,'A0.LS'!E291),0)</f>
        <v>0</v>
      </c>
      <c r="BF291" s="936">
        <f t="shared" si="226"/>
        <v>0</v>
      </c>
      <c r="BG291" s="937"/>
      <c r="BH291" s="936">
        <f>ROUND(SUMIFS('911.XH.YE22'!T:T,'911.XH.YE22'!P:P,'A0.LS'!E291),0)</f>
        <v>0</v>
      </c>
      <c r="BI291" s="936">
        <f>ROUND(SUMIFS('A5.YE22'!J:J,'A5.YE22'!K:K,"XH",'A5.YE22'!L:L,"Posted",'A5.YE22'!D:D,'A0.LS'!E291),0)</f>
        <v>0</v>
      </c>
      <c r="BJ291" s="936">
        <f t="shared" si="227"/>
        <v>0</v>
      </c>
      <c r="BK291" s="937"/>
      <c r="BL291" s="936">
        <f>ROUND(SUMIFS('911.KCG.YE22'!T:T,'911.KCG.YE22'!P:P,'A0.LS'!E291),0)</f>
        <v>0</v>
      </c>
      <c r="BM291" s="936">
        <f>ROUND(SUMIFS('A5.YE22'!J:J,'A5.YE22'!K:K,'A0.LS'!$BM$5,'A5.YE22'!L:L,"Posted",'A5.YE22'!D:D,'A0.LS'!E291),0)</f>
        <v>0</v>
      </c>
      <c r="BN291" s="936">
        <f t="shared" si="228"/>
        <v>0</v>
      </c>
      <c r="BO291" s="937"/>
      <c r="BP291" s="938">
        <f>_xlfn.XLOOKUP(E291,[15]LS!$G:$G,[15]LS!$AX:$AX,0,0,1)</f>
        <v>0</v>
      </c>
      <c r="BQ291" s="938">
        <f>ROUND(SUMIFS('A5.YE22'!J:J,'A5.YE22'!K:K,'A0.LS'!$BQ$5,'A5.YE22'!L:L,"Posted",'A5.YE22'!D:D,'A0.LS'!E291),0)</f>
        <v>0</v>
      </c>
      <c r="BR291" s="938">
        <f t="shared" si="229"/>
        <v>0</v>
      </c>
    </row>
    <row r="292" spans="2:70" ht="12.6" customHeight="1">
      <c r="B292" s="939">
        <v>25</v>
      </c>
      <c r="C292" s="940" t="s">
        <v>2528</v>
      </c>
      <c r="D292" s="941" t="s">
        <v>2528</v>
      </c>
      <c r="E292" s="928" t="s">
        <v>365</v>
      </c>
      <c r="F292" s="928" t="s">
        <v>366</v>
      </c>
      <c r="G292" s="927" t="s">
        <v>2516</v>
      </c>
      <c r="H292" s="927" t="s">
        <v>2188</v>
      </c>
      <c r="I292" s="942">
        <f>SUMIFS('GL911.Cty Me.FY24'!T:T,'GL911.Cty Me.FY24'!H:H,'A0.LS'!E292)</f>
        <v>0</v>
      </c>
      <c r="J292" s="942">
        <f>ROUND(SUMIFS('A5.FY24'!K:K,'A5.FY24'!E:E,'A0.LS'!E292,'A5.FY24'!L:L,"Finhay",'A5.FY24'!M:M,"Posted"),0)</f>
        <v>0</v>
      </c>
      <c r="K292" s="942">
        <f>ROUND(SUMIFS('A5.FY24'!K:K,'A5.FY24'!E:E,'A0.LS'!E292,'A5.FY24'!L:L,"EY",'A5.FY24'!M:M,"Posted"),0)</f>
        <v>0</v>
      </c>
      <c r="L292" s="943">
        <f t="shared" si="216"/>
        <v>0</v>
      </c>
      <c r="M292" s="930"/>
      <c r="N292" s="944">
        <v>5090908</v>
      </c>
      <c r="O292" s="944">
        <v>256434</v>
      </c>
      <c r="P292" s="944">
        <v>0</v>
      </c>
      <c r="Q292" s="945">
        <v>5347342</v>
      </c>
      <c r="R292" s="898"/>
      <c r="S292" s="848">
        <f t="shared" si="214"/>
        <v>-5347342</v>
      </c>
      <c r="T292" s="946">
        <f t="shared" si="215"/>
        <v>-1</v>
      </c>
      <c r="U292" s="850"/>
      <c r="V292" s="850" t="s">
        <v>2533</v>
      </c>
      <c r="W292" s="850"/>
      <c r="X292" s="947"/>
      <c r="Y292" s="947" t="s">
        <v>2516</v>
      </c>
      <c r="Z292" s="936">
        <f>ROUND(SUMIFS('GL911.CtyCon.FY24'!N:N,'GL911.CtyCon.FY24'!G:G,'A0.LS'!E292),0)</f>
        <v>0</v>
      </c>
      <c r="AA292" s="936">
        <f>ROUND(SUMIFS('A5.CTC FY24'!K:K,'A5.CTC FY24'!E:E,'A0.LS'!E292,'A5.CTC FY24'!A:A,'A0.LS'!$AA$5,'A5.CTC FY24'!L:L,"Finhay",'A5.CTC FY24'!M:M,"Posted"),0)</f>
        <v>0</v>
      </c>
      <c r="AB292" s="936">
        <f>ROUND(SUMIFS('A5.CTC FY24'!K:K,'A5.CTC FY24'!E:E,'A0.LS'!E292,'A5.CTC FY24'!A:A,'A0.LS'!$AB$5,'A5.CTC FY24'!L:L,"EY",'A5.CTC FY24'!M:M,"Posted"),0)</f>
        <v>0</v>
      </c>
      <c r="AC292" s="948">
        <f t="shared" si="217"/>
        <v>0</v>
      </c>
      <c r="AD292" s="930"/>
      <c r="AE292" s="936">
        <f>SUMIFS('GL911 VNSC FY24'!T:T,'GL911 VNSC FY24'!AG:AG,'A0.LS'!E292)</f>
        <v>0</v>
      </c>
      <c r="AF292" s="936">
        <f>SUMIFS('A5.CTC FY24'!K:K,'A5.CTC FY24'!E:E,'A0.LS'!E292,'A5.CTC FY24'!A:A,"VNSC",'A5.CTC FY24'!L:L,"VNSC",'A5.CTC FY24'!M:M,"Posted")</f>
        <v>0</v>
      </c>
      <c r="AG292" s="936">
        <f>ROUND(SUMIFS('A5.CTC FY24'!K:K,'A5.CTC FY24'!E:E,'A0.LS'!E292,'A5.CTC FY24'!A:A,"VNSC",'A5.CTC FY24'!L:L,"EY",'A5.CTC FY24'!M:M,"Posted"),0)</f>
        <v>0</v>
      </c>
      <c r="AH292" s="936">
        <f t="shared" si="218"/>
        <v>0</v>
      </c>
      <c r="AI292" s="930"/>
      <c r="AJ292" s="936">
        <f>ROUND(SUMIFS('GL911.KCG.FY24'!L:L,'GL911.KCG.FY24'!F:F,'A0.LS'!E292),0)</f>
        <v>0</v>
      </c>
      <c r="AK292" s="936">
        <f>ROUND(SUMIFS('A5.CTC FY24'!K:K,'A5.CTC FY24'!E:E,'A0.LS'!E292,'A5.CTC FY24'!A:A,'A0.LS'!$AK$5,'A5.CTC FY24'!L:L,"EY",'A5.CTC FY24'!M:M,"Posted"),0)</f>
        <v>0</v>
      </c>
      <c r="AL292" s="948">
        <f t="shared" si="219"/>
        <v>0</v>
      </c>
      <c r="AM292" s="930"/>
      <c r="AN292" s="949">
        <f t="shared" si="220"/>
        <v>0</v>
      </c>
      <c r="AO292" s="950">
        <f>ROUND(SUMIFS('A5.Consol FY24'!L:L,'A5.Consol FY24'!M:M,"EY",'A5.Consol FY24'!N:N,"Posted",'A5.Consol FY24'!B:B,'A0.LS'!$AO$5,'A5.Consol FY24'!F:F,'A0.LS'!E292),0)</f>
        <v>0</v>
      </c>
      <c r="AP292" s="949">
        <f t="shared" si="221"/>
        <v>0</v>
      </c>
      <c r="AQ292" s="930"/>
      <c r="AR292" s="936">
        <f>ROUND(SUMIFS('GL911.XH.FY24'!L:L,'GL911.XH.FY24'!F:F,'A0.LS'!E292),0)</f>
        <v>0</v>
      </c>
      <c r="AS292" s="936">
        <f>ROUND(SUMIFS('A5.CTC FY24'!K:K,'A5.CTC FY24'!E:E,'A0.LS'!E292,'A5.CTC FY24'!A:A,'A0.LS'!$AS$5,'A5.CTC FY24'!L:L,"EY",'A5.CTC FY24'!M:M,"Posted"),0)</f>
        <v>0</v>
      </c>
      <c r="AT292" s="948">
        <f t="shared" si="222"/>
        <v>0</v>
      </c>
      <c r="AU292" s="930"/>
      <c r="AV292" s="951">
        <f t="shared" si="223"/>
        <v>0</v>
      </c>
      <c r="AW292" s="952">
        <f>SUMIFS('A5.Consol FY24'!L:L,'A5.Consol FY24'!B:B,'A0.LS'!$AW$5,'A5.Consol FY24'!M:M,"EY",'A5.Consol FY24'!N:N,"Posted",'A5.Consol FY24'!F:F,'A0.LS'!E292)</f>
        <v>0</v>
      </c>
      <c r="AX292" s="951">
        <f t="shared" si="224"/>
        <v>0</v>
      </c>
      <c r="AY292" s="920"/>
      <c r="AZ292" s="936">
        <f>SUMIFS('911.CTC.YE22'!U:U,'911.CTC.YE22'!R:R,'A0.LS'!E292)</f>
        <v>0</v>
      </c>
      <c r="BA292" s="936">
        <f>ROUND(SUMIFS('A5.YE22'!J:J,'A5.YE22'!K:K,'A0.LS'!$BA$5,'A5.YE22'!L:L,"Posted",'A5.YE22'!D:D,'A0.LS'!E292),0)</f>
        <v>0</v>
      </c>
      <c r="BB292" s="936">
        <f t="shared" si="225"/>
        <v>0</v>
      </c>
      <c r="BC292" s="937"/>
      <c r="BD292" s="936">
        <f>ROUND(SUMIFS('911.VNSC.YE22'!R:R,'911.VNSC.YE22'!L:L,'A0.LS'!E292),0)</f>
        <v>0</v>
      </c>
      <c r="BE292" s="936">
        <f>ROUND(SUMIFS('A5.YE22'!J:J,'A5.YE22'!K:K,'A0.LS'!$BE$5,'A5.YE22'!L:L,"Posted",'A5.YE22'!D:D,'A0.LS'!E292),0)</f>
        <v>0</v>
      </c>
      <c r="BF292" s="936">
        <f t="shared" si="226"/>
        <v>0</v>
      </c>
      <c r="BG292" s="937"/>
      <c r="BH292" s="936">
        <f>ROUND(SUMIFS('911.XH.YE22'!T:T,'911.XH.YE22'!P:P,'A0.LS'!E292),0)</f>
        <v>0</v>
      </c>
      <c r="BI292" s="936">
        <f>ROUND(SUMIFS('A5.YE22'!J:J,'A5.YE22'!K:K,"XH",'A5.YE22'!L:L,"Posted",'A5.YE22'!D:D,'A0.LS'!E292),0)</f>
        <v>0</v>
      </c>
      <c r="BJ292" s="936">
        <f t="shared" si="227"/>
        <v>0</v>
      </c>
      <c r="BK292" s="937"/>
      <c r="BL292" s="936">
        <f>ROUND(SUMIFS('911.KCG.YE22'!T:T,'911.KCG.YE22'!P:P,'A0.LS'!E292),0)</f>
        <v>0</v>
      </c>
      <c r="BM292" s="936">
        <f>ROUND(SUMIFS('A5.YE22'!J:J,'A5.YE22'!K:K,'A0.LS'!$BM$5,'A5.YE22'!L:L,"Posted",'A5.YE22'!D:D,'A0.LS'!E292),0)</f>
        <v>0</v>
      </c>
      <c r="BN292" s="936">
        <f t="shared" si="228"/>
        <v>0</v>
      </c>
      <c r="BO292" s="937"/>
      <c r="BP292" s="938">
        <f>_xlfn.XLOOKUP(E292,[15]LS!$G:$G,[15]LS!$AX:$AX,0,0,1)</f>
        <v>5347342</v>
      </c>
      <c r="BQ292" s="938">
        <f>ROUND(SUMIFS('A5.YE22'!J:J,'A5.YE22'!K:K,'A0.LS'!$BQ$5,'A5.YE22'!L:L,"Posted",'A5.YE22'!D:D,'A0.LS'!E292),0)</f>
        <v>0</v>
      </c>
      <c r="BR292" s="938">
        <f t="shared" si="229"/>
        <v>5347342</v>
      </c>
    </row>
    <row r="293" spans="2:70" ht="12.75">
      <c r="B293" s="939">
        <v>25</v>
      </c>
      <c r="C293" s="940" t="s">
        <v>2528</v>
      </c>
      <c r="D293" s="941" t="s">
        <v>2528</v>
      </c>
      <c r="E293" s="928" t="s">
        <v>753</v>
      </c>
      <c r="F293" s="928" t="s">
        <v>399</v>
      </c>
      <c r="G293" s="927" t="s">
        <v>2516</v>
      </c>
      <c r="H293" s="927" t="s">
        <v>2188</v>
      </c>
      <c r="I293" s="942">
        <f>SUMIFS('GL911.Cty Me.FY24'!T:T,'GL911.Cty Me.FY24'!H:H,'A0.LS'!E293)</f>
        <v>1441392</v>
      </c>
      <c r="J293" s="942">
        <f>ROUND(SUMIFS('A5.FY24'!K:K,'A5.FY24'!E:E,'A0.LS'!E293,'A5.FY24'!L:L,"Finhay",'A5.FY24'!M:M,"Posted"),0)</f>
        <v>0</v>
      </c>
      <c r="K293" s="942">
        <f>ROUND(SUMIFS('A5.FY24'!K:K,'A5.FY24'!E:E,'A0.LS'!E293,'A5.FY24'!L:L,"EY",'A5.FY24'!M:M,"Posted"),0)</f>
        <v>0</v>
      </c>
      <c r="L293" s="943">
        <f t="shared" si="216"/>
        <v>1441392</v>
      </c>
      <c r="M293" s="930"/>
      <c r="N293" s="944">
        <v>0</v>
      </c>
      <c r="O293" s="944">
        <v>0</v>
      </c>
      <c r="P293" s="944">
        <v>0</v>
      </c>
      <c r="Q293" s="945">
        <v>0</v>
      </c>
      <c r="R293" s="898"/>
      <c r="S293" s="848">
        <f t="shared" si="214"/>
        <v>1441392</v>
      </c>
      <c r="T293" s="946" t="str">
        <f t="shared" si="215"/>
        <v>To check</v>
      </c>
      <c r="U293" s="850"/>
      <c r="V293" s="850" t="s">
        <v>2533</v>
      </c>
      <c r="W293" s="850"/>
      <c r="X293" s="933"/>
      <c r="Y293" s="947" t="s">
        <v>2516</v>
      </c>
      <c r="Z293" s="936">
        <f>ROUND(SUMIFS('GL911.CtyCon.FY24'!N:N,'GL911.CtyCon.FY24'!G:G,'A0.LS'!E293),0)</f>
        <v>0</v>
      </c>
      <c r="AA293" s="936">
        <f>ROUND(SUMIFS('A5.CTC FY24'!K:K,'A5.CTC FY24'!E:E,'A0.LS'!E293,'A5.CTC FY24'!A:A,'A0.LS'!$AA$5,'A5.CTC FY24'!L:L,"Finhay",'A5.CTC FY24'!M:M,"Posted"),0)</f>
        <v>0</v>
      </c>
      <c r="AB293" s="936">
        <f>ROUND(SUMIFS('A5.CTC FY24'!K:K,'A5.CTC FY24'!E:E,'A0.LS'!E293,'A5.CTC FY24'!A:A,'A0.LS'!$AB$5,'A5.CTC FY24'!L:L,"EY",'A5.CTC FY24'!M:M,"Posted"),0)</f>
        <v>0</v>
      </c>
      <c r="AC293" s="948">
        <f t="shared" si="217"/>
        <v>0</v>
      </c>
      <c r="AD293" s="930"/>
      <c r="AE293" s="936">
        <f>SUMIFS('GL911 VNSC FY24'!T:T,'GL911 VNSC FY24'!AG:AG,'A0.LS'!E293)</f>
        <v>0</v>
      </c>
      <c r="AF293" s="936">
        <f>SUMIFS('A5.CTC FY24'!K:K,'A5.CTC FY24'!E:E,'A0.LS'!E293,'A5.CTC FY24'!A:A,"VNSC",'A5.CTC FY24'!L:L,"VNSC",'A5.CTC FY24'!M:M,"Posted")</f>
        <v>0</v>
      </c>
      <c r="AG293" s="936">
        <f>ROUND(SUMIFS('A5.CTC FY24'!K:K,'A5.CTC FY24'!E:E,'A0.LS'!E293,'A5.CTC FY24'!A:A,"VNSC",'A5.CTC FY24'!L:L,"EY",'A5.CTC FY24'!M:M,"Posted"),0)</f>
        <v>0</v>
      </c>
      <c r="AH293" s="936">
        <f t="shared" si="218"/>
        <v>0</v>
      </c>
      <c r="AI293" s="930"/>
      <c r="AJ293" s="936">
        <f>ROUND(SUMIFS('GL911.KCG.FY24'!L:L,'GL911.KCG.FY24'!F:F,'A0.LS'!E293),0)</f>
        <v>0</v>
      </c>
      <c r="AK293" s="936">
        <f>ROUND(SUMIFS('A5.CTC FY24'!K:K,'A5.CTC FY24'!E:E,'A0.LS'!E293,'A5.CTC FY24'!A:A,'A0.LS'!$AK$5,'A5.CTC FY24'!L:L,"EY",'A5.CTC FY24'!M:M,"Posted"),0)</f>
        <v>0</v>
      </c>
      <c r="AL293" s="948">
        <f t="shared" si="219"/>
        <v>0</v>
      </c>
      <c r="AM293" s="930"/>
      <c r="AN293" s="949">
        <f t="shared" si="220"/>
        <v>0</v>
      </c>
      <c r="AO293" s="950">
        <f>ROUND(SUMIFS('A5.Consol FY24'!L:L,'A5.Consol FY24'!M:M,"EY",'A5.Consol FY24'!N:N,"Posted",'A5.Consol FY24'!B:B,'A0.LS'!$AO$5,'A5.Consol FY24'!F:F,'A0.LS'!E293),0)</f>
        <v>0</v>
      </c>
      <c r="AP293" s="949">
        <f t="shared" si="221"/>
        <v>0</v>
      </c>
      <c r="AQ293" s="930"/>
      <c r="AR293" s="936">
        <f>ROUND(SUMIFS('GL911.XH.FY24'!L:L,'GL911.XH.FY24'!F:F,'A0.LS'!E293),0)</f>
        <v>0</v>
      </c>
      <c r="AS293" s="936">
        <f>ROUND(SUMIFS('A5.CTC FY24'!K:K,'A5.CTC FY24'!E:E,'A0.LS'!E293,'A5.CTC FY24'!A:A,'A0.LS'!$AS$5,'A5.CTC FY24'!L:L,"EY",'A5.CTC FY24'!M:M,"Posted"),0)</f>
        <v>0</v>
      </c>
      <c r="AT293" s="948">
        <f t="shared" si="222"/>
        <v>0</v>
      </c>
      <c r="AU293" s="930"/>
      <c r="AV293" s="951">
        <f t="shared" si="223"/>
        <v>1441392</v>
      </c>
      <c r="AW293" s="952">
        <f>SUMIFS('A5.Consol FY24'!L:L,'A5.Consol FY24'!B:B,'A0.LS'!$AW$5,'A5.Consol FY24'!M:M,"EY",'A5.Consol FY24'!N:N,"Posted",'A5.Consol FY24'!F:F,'A0.LS'!E293)</f>
        <v>0</v>
      </c>
      <c r="AX293" s="951">
        <f t="shared" si="224"/>
        <v>1441392</v>
      </c>
      <c r="AY293" s="920"/>
      <c r="AZ293" s="936">
        <f>SUMIFS('911.CTC.YE22'!U:U,'911.CTC.YE22'!R:R,'A0.LS'!E293)</f>
        <v>0</v>
      </c>
      <c r="BA293" s="936">
        <f>ROUND(SUMIFS('A5.YE22'!J:J,'A5.YE22'!K:K,'A0.LS'!$BA$5,'A5.YE22'!L:L,"Posted",'A5.YE22'!D:D,'A0.LS'!E293),0)</f>
        <v>0</v>
      </c>
      <c r="BB293" s="936">
        <f t="shared" si="225"/>
        <v>0</v>
      </c>
      <c r="BC293" s="937"/>
      <c r="BD293" s="936">
        <f>ROUND(SUMIFS('911.VNSC.YE22'!R:R,'911.VNSC.YE22'!L:L,'A0.LS'!E293),0)</f>
        <v>0</v>
      </c>
      <c r="BE293" s="936">
        <f>ROUND(SUMIFS('A5.YE22'!J:J,'A5.YE22'!K:K,'A0.LS'!$BE$5,'A5.YE22'!L:L,"Posted",'A5.YE22'!D:D,'A0.LS'!E293),0)</f>
        <v>0</v>
      </c>
      <c r="BF293" s="936">
        <f t="shared" si="226"/>
        <v>0</v>
      </c>
      <c r="BG293" s="937"/>
      <c r="BH293" s="936">
        <f>ROUND(SUMIFS('911.XH.YE22'!T:T,'911.XH.YE22'!P:P,'A0.LS'!E293),0)</f>
        <v>0</v>
      </c>
      <c r="BI293" s="936">
        <f>ROUND(SUMIFS('A5.YE22'!J:J,'A5.YE22'!K:K,"XH",'A5.YE22'!L:L,"Posted",'A5.YE22'!D:D,'A0.LS'!E293),0)</f>
        <v>0</v>
      </c>
      <c r="BJ293" s="936">
        <f t="shared" si="227"/>
        <v>0</v>
      </c>
      <c r="BK293" s="937"/>
      <c r="BL293" s="936">
        <f>ROUND(SUMIFS('911.KCG.YE22'!T:T,'911.KCG.YE22'!P:P,'A0.LS'!E293),0)</f>
        <v>0</v>
      </c>
      <c r="BM293" s="936">
        <f>ROUND(SUMIFS('A5.YE22'!J:J,'A5.YE22'!K:K,'A0.LS'!$BM$5,'A5.YE22'!L:L,"Posted",'A5.YE22'!D:D,'A0.LS'!E293),0)</f>
        <v>0</v>
      </c>
      <c r="BN293" s="936">
        <f t="shared" si="228"/>
        <v>0</v>
      </c>
      <c r="BO293" s="937"/>
      <c r="BP293" s="938">
        <f>_xlfn.XLOOKUP(E293,[15]LS!$G:$G,[15]LS!$AX:$AX,0,0,1)</f>
        <v>0</v>
      </c>
      <c r="BQ293" s="938">
        <f>ROUND(SUMIFS('A5.YE22'!J:J,'A5.YE22'!K:K,'A0.LS'!$BQ$5,'A5.YE22'!L:L,"Posted",'A5.YE22'!D:D,'A0.LS'!E293),0)</f>
        <v>0</v>
      </c>
      <c r="BR293" s="938">
        <f t="shared" si="229"/>
        <v>0</v>
      </c>
    </row>
    <row r="294" spans="2:70" ht="12.6" customHeight="1">
      <c r="B294" s="939">
        <v>25</v>
      </c>
      <c r="C294" s="940" t="s">
        <v>2528</v>
      </c>
      <c r="D294" s="941" t="s">
        <v>2528</v>
      </c>
      <c r="E294" s="928" t="s">
        <v>367</v>
      </c>
      <c r="F294" s="928" t="s">
        <v>368</v>
      </c>
      <c r="G294" s="927" t="s">
        <v>2516</v>
      </c>
      <c r="H294" s="927" t="s">
        <v>2188</v>
      </c>
      <c r="I294" s="942">
        <f>SUMIFS('GL911.Cty Me.FY24'!T:T,'GL911.Cty Me.FY24'!H:H,'A0.LS'!E294)</f>
        <v>27084913</v>
      </c>
      <c r="J294" s="942">
        <f>ROUND(SUMIFS('A5.FY24'!K:K,'A5.FY24'!E:E,'A0.LS'!E294,'A5.FY24'!L:L,"Finhay",'A5.FY24'!M:M,"Posted"),0)</f>
        <v>0</v>
      </c>
      <c r="K294" s="942">
        <f>ROUND(SUMIFS('A5.FY24'!K:K,'A5.FY24'!E:E,'A0.LS'!E294,'A5.FY24'!L:L,"EY",'A5.FY24'!M:M,"Posted"),0)</f>
        <v>0</v>
      </c>
      <c r="L294" s="943">
        <f t="shared" si="216"/>
        <v>27084913</v>
      </c>
      <c r="M294" s="930"/>
      <c r="N294" s="944">
        <v>6595176</v>
      </c>
      <c r="O294" s="944">
        <v>332206</v>
      </c>
      <c r="P294" s="944">
        <v>0</v>
      </c>
      <c r="Q294" s="945">
        <v>6927382</v>
      </c>
      <c r="R294" s="898"/>
      <c r="S294" s="848">
        <f t="shared" si="214"/>
        <v>20157531</v>
      </c>
      <c r="T294" s="946">
        <f t="shared" si="215"/>
        <v>2.9098339026200661</v>
      </c>
      <c r="U294" s="850"/>
      <c r="V294" s="850" t="s">
        <v>2533</v>
      </c>
      <c r="W294" s="850"/>
      <c r="X294" s="304"/>
      <c r="Y294" s="947" t="s">
        <v>2516</v>
      </c>
      <c r="Z294" s="936">
        <f>ROUND(SUMIFS('GL911.CtyCon.FY24'!N:N,'GL911.CtyCon.FY24'!G:G,'A0.LS'!E294),0)</f>
        <v>0</v>
      </c>
      <c r="AA294" s="936">
        <f>ROUND(SUMIFS('A5.CTC FY24'!K:K,'A5.CTC FY24'!E:E,'A0.LS'!E294,'A5.CTC FY24'!A:A,'A0.LS'!$AA$5,'A5.CTC FY24'!L:L,"Finhay",'A5.CTC FY24'!M:M,"Posted"),0)</f>
        <v>0</v>
      </c>
      <c r="AB294" s="936">
        <f>ROUND(SUMIFS('A5.CTC FY24'!K:K,'A5.CTC FY24'!E:E,'A0.LS'!E294,'A5.CTC FY24'!A:A,'A0.LS'!$AB$5,'A5.CTC FY24'!L:L,"EY",'A5.CTC FY24'!M:M,"Posted"),0)</f>
        <v>0</v>
      </c>
      <c r="AC294" s="948">
        <f t="shared" si="217"/>
        <v>0</v>
      </c>
      <c r="AD294" s="930"/>
      <c r="AE294" s="936">
        <f>SUMIFS('GL911 VNSC FY24'!T:T,'GL911 VNSC FY24'!AG:AG,'A0.LS'!E294)</f>
        <v>0</v>
      </c>
      <c r="AF294" s="936">
        <f>SUMIFS('A5.CTC FY24'!K:K,'A5.CTC FY24'!E:E,'A0.LS'!E294,'A5.CTC FY24'!A:A,"VNSC",'A5.CTC FY24'!L:L,"VNSC",'A5.CTC FY24'!M:M,"Posted")</f>
        <v>0</v>
      </c>
      <c r="AG294" s="936">
        <f>ROUND(SUMIFS('A5.CTC FY24'!K:K,'A5.CTC FY24'!E:E,'A0.LS'!E294,'A5.CTC FY24'!A:A,"VNSC",'A5.CTC FY24'!L:L,"EY",'A5.CTC FY24'!M:M,"Posted"),0)</f>
        <v>0</v>
      </c>
      <c r="AH294" s="936">
        <f t="shared" si="218"/>
        <v>0</v>
      </c>
      <c r="AI294" s="930"/>
      <c r="AJ294" s="936">
        <f>ROUND(SUMIFS('GL911.KCG.FY24'!L:L,'GL911.KCG.FY24'!F:F,'A0.LS'!E294),0)</f>
        <v>0</v>
      </c>
      <c r="AK294" s="936">
        <f>ROUND(SUMIFS('A5.CTC FY24'!K:K,'A5.CTC FY24'!E:E,'A0.LS'!E294,'A5.CTC FY24'!A:A,'A0.LS'!$AK$5,'A5.CTC FY24'!L:L,"EY",'A5.CTC FY24'!M:M,"Posted"),0)</f>
        <v>0</v>
      </c>
      <c r="AL294" s="948">
        <f t="shared" si="219"/>
        <v>0</v>
      </c>
      <c r="AM294" s="930"/>
      <c r="AN294" s="949">
        <f t="shared" si="220"/>
        <v>0</v>
      </c>
      <c r="AO294" s="950">
        <f>ROUND(SUMIFS('A5.Consol FY24'!L:L,'A5.Consol FY24'!M:M,"EY",'A5.Consol FY24'!N:N,"Posted",'A5.Consol FY24'!B:B,'A0.LS'!$AO$5,'A5.Consol FY24'!F:F,'A0.LS'!E294),0)</f>
        <v>0</v>
      </c>
      <c r="AP294" s="949">
        <f t="shared" si="221"/>
        <v>0</v>
      </c>
      <c r="AQ294" s="930"/>
      <c r="AR294" s="936">
        <f>ROUND(SUMIFS('GL911.XH.FY24'!L:L,'GL911.XH.FY24'!F:F,'A0.LS'!E294),0)</f>
        <v>0</v>
      </c>
      <c r="AS294" s="936">
        <f>ROUND(SUMIFS('A5.CTC FY24'!K:K,'A5.CTC FY24'!E:E,'A0.LS'!E294,'A5.CTC FY24'!A:A,'A0.LS'!$AS$5,'A5.CTC FY24'!L:L,"EY",'A5.CTC FY24'!M:M,"Posted"),0)</f>
        <v>0</v>
      </c>
      <c r="AT294" s="948">
        <f t="shared" si="222"/>
        <v>0</v>
      </c>
      <c r="AU294" s="930"/>
      <c r="AV294" s="951">
        <f t="shared" si="223"/>
        <v>27084913</v>
      </c>
      <c r="AW294" s="952">
        <f>SUMIFS('A5.Consol FY24'!L:L,'A5.Consol FY24'!B:B,'A0.LS'!$AW$5,'A5.Consol FY24'!M:M,"EY",'A5.Consol FY24'!N:N,"Posted",'A5.Consol FY24'!F:F,'A0.LS'!E294)</f>
        <v>0</v>
      </c>
      <c r="AX294" s="951">
        <f t="shared" si="224"/>
        <v>27084913</v>
      </c>
      <c r="AY294" s="920"/>
      <c r="AZ294" s="936">
        <f>SUMIFS('911.CTC.YE22'!U:U,'911.CTC.YE22'!R:R,'A0.LS'!E294)</f>
        <v>0</v>
      </c>
      <c r="BA294" s="936">
        <f>ROUND(SUMIFS('A5.YE22'!J:J,'A5.YE22'!K:K,'A0.LS'!$BA$5,'A5.YE22'!L:L,"Posted",'A5.YE22'!D:D,'A0.LS'!E294),0)</f>
        <v>0</v>
      </c>
      <c r="BB294" s="936">
        <f t="shared" si="225"/>
        <v>0</v>
      </c>
      <c r="BC294" s="937"/>
      <c r="BD294" s="936">
        <f>ROUND(SUMIFS('911.VNSC.YE22'!R:R,'911.VNSC.YE22'!L:L,'A0.LS'!E294),0)</f>
        <v>0</v>
      </c>
      <c r="BE294" s="936">
        <f>ROUND(SUMIFS('A5.YE22'!J:J,'A5.YE22'!K:K,'A0.LS'!$BE$5,'A5.YE22'!L:L,"Posted",'A5.YE22'!D:D,'A0.LS'!E294),0)</f>
        <v>0</v>
      </c>
      <c r="BF294" s="936">
        <f t="shared" si="226"/>
        <v>0</v>
      </c>
      <c r="BG294" s="937"/>
      <c r="BH294" s="936">
        <f>ROUND(SUMIFS('911.XH.YE22'!T:T,'911.XH.YE22'!P:P,'A0.LS'!E294),0)</f>
        <v>0</v>
      </c>
      <c r="BI294" s="936">
        <f>ROUND(SUMIFS('A5.YE22'!J:J,'A5.YE22'!K:K,"XH",'A5.YE22'!L:L,"Posted",'A5.YE22'!D:D,'A0.LS'!E294),0)</f>
        <v>0</v>
      </c>
      <c r="BJ294" s="936">
        <f t="shared" si="227"/>
        <v>0</v>
      </c>
      <c r="BK294" s="937"/>
      <c r="BL294" s="936">
        <f>ROUND(SUMIFS('911.KCG.YE22'!T:T,'911.KCG.YE22'!P:P,'A0.LS'!E294),0)</f>
        <v>0</v>
      </c>
      <c r="BM294" s="936">
        <f>ROUND(SUMIFS('A5.YE22'!J:J,'A5.YE22'!K:K,'A0.LS'!$BM$5,'A5.YE22'!L:L,"Posted",'A5.YE22'!D:D,'A0.LS'!E294),0)</f>
        <v>0</v>
      </c>
      <c r="BN294" s="936">
        <f t="shared" si="228"/>
        <v>0</v>
      </c>
      <c r="BO294" s="937"/>
      <c r="BP294" s="938">
        <f>_xlfn.XLOOKUP(E294,[15]LS!$G:$G,[15]LS!$AX:$AX,0,0,1)</f>
        <v>6927382</v>
      </c>
      <c r="BQ294" s="938">
        <f>ROUND(SUMIFS('A5.YE22'!J:J,'A5.YE22'!K:K,'A0.LS'!$BQ$5,'A5.YE22'!L:L,"Posted",'A5.YE22'!D:D,'A0.LS'!E294),0)</f>
        <v>0</v>
      </c>
      <c r="BR294" s="938">
        <f t="shared" si="229"/>
        <v>6927382</v>
      </c>
    </row>
    <row r="295" spans="2:70" ht="12.75">
      <c r="B295" s="939">
        <v>25</v>
      </c>
      <c r="C295" s="940" t="s">
        <v>2528</v>
      </c>
      <c r="D295" s="941" t="s">
        <v>2528</v>
      </c>
      <c r="E295" s="928" t="s">
        <v>2534</v>
      </c>
      <c r="F295" s="928" t="s">
        <v>402</v>
      </c>
      <c r="G295" s="927" t="s">
        <v>2516</v>
      </c>
      <c r="H295" s="927" t="s">
        <v>2188</v>
      </c>
      <c r="I295" s="942">
        <f>SUMIFS('GL911.Cty Me.FY24'!T:T,'GL911.Cty Me.FY24'!H:H,'A0.LS'!E295)</f>
        <v>0</v>
      </c>
      <c r="J295" s="942">
        <f>ROUND(SUMIFS('A5.FY24'!K:K,'A5.FY24'!E:E,'A0.LS'!E295,'A5.FY24'!L:L,"Finhay",'A5.FY24'!M:M,"Posted"),0)</f>
        <v>0</v>
      </c>
      <c r="K295" s="942">
        <f>ROUND(SUMIFS('A5.FY24'!K:K,'A5.FY24'!E:E,'A0.LS'!E295,'A5.FY24'!L:L,"EY",'A5.FY24'!M:M,"Posted"),0)</f>
        <v>0</v>
      </c>
      <c r="L295" s="943">
        <f t="shared" si="216"/>
        <v>0</v>
      </c>
      <c r="M295" s="930"/>
      <c r="N295" s="944">
        <v>0</v>
      </c>
      <c r="O295" s="944">
        <v>0</v>
      </c>
      <c r="P295" s="944">
        <v>0</v>
      </c>
      <c r="Q295" s="945">
        <v>0</v>
      </c>
      <c r="R295" s="898"/>
      <c r="S295" s="848">
        <f t="shared" si="214"/>
        <v>0</v>
      </c>
      <c r="T295" s="946" t="str">
        <f t="shared" si="215"/>
        <v>To check</v>
      </c>
      <c r="U295" s="850"/>
      <c r="V295" s="850" t="s">
        <v>2533</v>
      </c>
      <c r="W295" s="850"/>
      <c r="X295" s="947" t="s">
        <v>2190</v>
      </c>
      <c r="Y295" s="947" t="s">
        <v>2516</v>
      </c>
      <c r="Z295" s="936">
        <f>ROUND(SUMIFS('GL911.CtyCon.FY24'!N:N,'GL911.CtyCon.FY24'!G:G,'A0.LS'!E295),0)</f>
        <v>0</v>
      </c>
      <c r="AA295" s="936">
        <f>ROUND(SUMIFS('A5.CTC FY24'!K:K,'A5.CTC FY24'!E:E,'A0.LS'!E295,'A5.CTC FY24'!A:A,'A0.LS'!$AA$5,'A5.CTC FY24'!L:L,"Finhay",'A5.CTC FY24'!M:M,"Posted"),0)</f>
        <v>0</v>
      </c>
      <c r="AB295" s="936">
        <f>ROUND(SUMIFS('A5.CTC FY24'!K:K,'A5.CTC FY24'!E:E,'A0.LS'!E295,'A5.CTC FY24'!A:A,'A0.LS'!$AB$5,'A5.CTC FY24'!L:L,"EY",'A5.CTC FY24'!M:M,"Posted"),0)</f>
        <v>0</v>
      </c>
      <c r="AC295" s="948">
        <f t="shared" si="217"/>
        <v>0</v>
      </c>
      <c r="AD295" s="930"/>
      <c r="AE295" s="936">
        <f>SUMIFS('GL911 VNSC FY24'!T:T,'GL911 VNSC FY24'!AG:AG,'A0.LS'!E295)</f>
        <v>0</v>
      </c>
      <c r="AF295" s="936">
        <f>SUMIFS('A5.CTC FY24'!K:K,'A5.CTC FY24'!E:E,'A0.LS'!E295,'A5.CTC FY24'!A:A,"VNSC",'A5.CTC FY24'!L:L,"VNSC",'A5.CTC FY24'!M:M,"Posted")</f>
        <v>0</v>
      </c>
      <c r="AG295" s="936">
        <f>ROUND(SUMIFS('A5.CTC FY24'!K:K,'A5.CTC FY24'!E:E,'A0.LS'!E295,'A5.CTC FY24'!A:A,"VNSC",'A5.CTC FY24'!L:L,"EY",'A5.CTC FY24'!M:M,"Posted"),0)</f>
        <v>0</v>
      </c>
      <c r="AH295" s="936">
        <f t="shared" si="218"/>
        <v>0</v>
      </c>
      <c r="AI295" s="930"/>
      <c r="AJ295" s="936">
        <f>ROUND(SUMIFS('GL911.KCG.FY24'!L:L,'GL911.KCG.FY24'!F:F,'A0.LS'!E295),0)</f>
        <v>0</v>
      </c>
      <c r="AK295" s="936">
        <f>ROUND(SUMIFS('A5.CTC FY24'!K:K,'A5.CTC FY24'!E:E,'A0.LS'!E295,'A5.CTC FY24'!A:A,'A0.LS'!$AK$5,'A5.CTC FY24'!L:L,"EY",'A5.CTC FY24'!M:M,"Posted"),0)</f>
        <v>0</v>
      </c>
      <c r="AL295" s="948">
        <f t="shared" si="219"/>
        <v>0</v>
      </c>
      <c r="AM295" s="930"/>
      <c r="AN295" s="949">
        <f t="shared" si="220"/>
        <v>0</v>
      </c>
      <c r="AO295" s="950">
        <f>ROUND(SUMIFS('A5.Consol FY24'!L:L,'A5.Consol FY24'!M:M,"EY",'A5.Consol FY24'!N:N,"Posted",'A5.Consol FY24'!B:B,'A0.LS'!$AO$5,'A5.Consol FY24'!F:F,'A0.LS'!E295),0)</f>
        <v>0</v>
      </c>
      <c r="AP295" s="949">
        <f t="shared" si="221"/>
        <v>0</v>
      </c>
      <c r="AQ295" s="930"/>
      <c r="AR295" s="936">
        <f>ROUND(SUMIFS('GL911.XH.FY24'!L:L,'GL911.XH.FY24'!F:F,'A0.LS'!E295),0)</f>
        <v>0</v>
      </c>
      <c r="AS295" s="936">
        <f>ROUND(SUMIFS('A5.CTC FY24'!K:K,'A5.CTC FY24'!E:E,'A0.LS'!E295,'A5.CTC FY24'!A:A,'A0.LS'!$AS$5,'A5.CTC FY24'!L:L,"EY",'A5.CTC FY24'!M:M,"Posted"),0)</f>
        <v>0</v>
      </c>
      <c r="AT295" s="948">
        <f t="shared" si="222"/>
        <v>0</v>
      </c>
      <c r="AU295" s="930"/>
      <c r="AV295" s="951">
        <f t="shared" si="223"/>
        <v>0</v>
      </c>
      <c r="AW295" s="952">
        <f>SUMIFS('A5.Consol FY24'!L:L,'A5.Consol FY24'!B:B,'A0.LS'!$AW$5,'A5.Consol FY24'!M:M,"EY",'A5.Consol FY24'!N:N,"Posted",'A5.Consol FY24'!F:F,'A0.LS'!E295)</f>
        <v>0</v>
      </c>
      <c r="AX295" s="951">
        <f t="shared" si="224"/>
        <v>0</v>
      </c>
      <c r="AY295" s="920"/>
      <c r="AZ295" s="936">
        <f>SUMIFS('911.CTC.YE22'!U:U,'911.CTC.YE22'!R:R,'A0.LS'!E295)</f>
        <v>0</v>
      </c>
      <c r="BA295" s="936">
        <f>ROUND(SUMIFS('A5.YE22'!J:J,'A5.YE22'!K:K,'A0.LS'!$BA$5,'A5.YE22'!L:L,"Posted",'A5.YE22'!D:D,'A0.LS'!E295),0)</f>
        <v>0</v>
      </c>
      <c r="BB295" s="936">
        <f t="shared" si="225"/>
        <v>0</v>
      </c>
      <c r="BC295" s="937"/>
      <c r="BD295" s="936">
        <f>ROUND(SUMIFS('911.VNSC.YE22'!R:R,'911.VNSC.YE22'!L:L,'A0.LS'!E295),0)</f>
        <v>0</v>
      </c>
      <c r="BE295" s="936">
        <f>ROUND(SUMIFS('A5.YE22'!J:J,'A5.YE22'!K:K,'A0.LS'!$BE$5,'A5.YE22'!L:L,"Posted",'A5.YE22'!D:D,'A0.LS'!E295),0)</f>
        <v>0</v>
      </c>
      <c r="BF295" s="936">
        <f t="shared" si="226"/>
        <v>0</v>
      </c>
      <c r="BG295" s="937"/>
      <c r="BH295" s="936">
        <f>ROUND(SUMIFS('911.XH.YE22'!T:T,'911.XH.YE22'!P:P,'A0.LS'!E295),0)</f>
        <v>0</v>
      </c>
      <c r="BI295" s="936">
        <f>ROUND(SUMIFS('A5.YE22'!J:J,'A5.YE22'!K:K,"XH",'A5.YE22'!L:L,"Posted",'A5.YE22'!D:D,'A0.LS'!E295),0)</f>
        <v>0</v>
      </c>
      <c r="BJ295" s="936">
        <f t="shared" si="227"/>
        <v>0</v>
      </c>
      <c r="BK295" s="937"/>
      <c r="BL295" s="936">
        <f>ROUND(SUMIFS('911.KCG.YE22'!T:T,'911.KCG.YE22'!P:P,'A0.LS'!E295),0)</f>
        <v>0</v>
      </c>
      <c r="BM295" s="936">
        <f>ROUND(SUMIFS('A5.YE22'!J:J,'A5.YE22'!K:K,'A0.LS'!$BM$5,'A5.YE22'!L:L,"Posted",'A5.YE22'!D:D,'A0.LS'!E295),0)</f>
        <v>0</v>
      </c>
      <c r="BN295" s="936">
        <f t="shared" si="228"/>
        <v>0</v>
      </c>
      <c r="BO295" s="937"/>
      <c r="BP295" s="938">
        <f>_xlfn.XLOOKUP(E295,[15]LS!$G:$G,[15]LS!$AX:$AX,0,0,1)</f>
        <v>0</v>
      </c>
      <c r="BQ295" s="938">
        <f>ROUND(SUMIFS('A5.YE22'!J:J,'A5.YE22'!K:K,'A0.LS'!$BQ$5,'A5.YE22'!L:L,"Posted",'A5.YE22'!D:D,'A0.LS'!E295),0)</f>
        <v>0</v>
      </c>
      <c r="BR295" s="938">
        <f t="shared" si="229"/>
        <v>0</v>
      </c>
    </row>
    <row r="296" spans="2:70" ht="12.6" customHeight="1">
      <c r="B296" s="939">
        <v>25</v>
      </c>
      <c r="C296" s="973" t="s">
        <v>2528</v>
      </c>
      <c r="D296" s="941"/>
      <c r="E296" s="954" t="s">
        <v>369</v>
      </c>
      <c r="F296" s="928" t="s">
        <v>2535</v>
      </c>
      <c r="G296" s="927" t="s">
        <v>2516</v>
      </c>
      <c r="H296" s="927" t="s">
        <v>2188</v>
      </c>
      <c r="I296" s="942"/>
      <c r="J296" s="942"/>
      <c r="K296" s="942"/>
      <c r="L296" s="943">
        <f t="shared" si="216"/>
        <v>0</v>
      </c>
      <c r="M296" s="930"/>
      <c r="N296" s="944">
        <v>0</v>
      </c>
      <c r="O296" s="944"/>
      <c r="P296" s="944">
        <v>0</v>
      </c>
      <c r="Q296" s="945">
        <v>0</v>
      </c>
      <c r="R296" s="898"/>
      <c r="S296" s="848"/>
      <c r="T296" s="946"/>
      <c r="U296" s="850"/>
      <c r="V296" s="850"/>
      <c r="W296" s="850"/>
      <c r="X296" s="947" t="s">
        <v>2190</v>
      </c>
      <c r="Y296" s="947" t="s">
        <v>2516</v>
      </c>
      <c r="Z296" s="936">
        <f>ROUND(SUMIFS('GL911.CtyCon.FY24'!N:N,'GL911.CtyCon.FY24'!G:G,'A0.LS'!E296),0)</f>
        <v>34705000</v>
      </c>
      <c r="AA296" s="936"/>
      <c r="AB296" s="936"/>
      <c r="AC296" s="948">
        <f t="shared" si="217"/>
        <v>34705000</v>
      </c>
      <c r="AD296" s="930"/>
      <c r="AE296" s="936">
        <f>SUMIFS('GL911 VNSC FY24'!T:T,'GL911 VNSC FY24'!AG:AG,'A0.LS'!E296)</f>
        <v>0</v>
      </c>
      <c r="AF296" s="936">
        <f>SUMIFS('A5.CTC FY24'!K:K,'A5.CTC FY24'!E:E,'A0.LS'!E296,'A5.CTC FY24'!A:A,"VNSC",'A5.CTC FY24'!L:L,"VNSC",'A5.CTC FY24'!M:M,"Posted")</f>
        <v>0</v>
      </c>
      <c r="AG296" s="936">
        <f>ROUND(SUMIFS('A5.CTC FY24'!K:K,'A5.CTC FY24'!E:E,'A0.LS'!E296,'A5.CTC FY24'!A:A,"VNSC",'A5.CTC FY24'!L:L,"EY",'A5.CTC FY24'!M:M,"Posted"),0)</f>
        <v>0</v>
      </c>
      <c r="AH296" s="936">
        <f t="shared" si="218"/>
        <v>0</v>
      </c>
      <c r="AI296" s="930"/>
      <c r="AJ296" s="936">
        <f>ROUND(SUMIFS('GL911.KCG.FY24'!L:L,'GL911.KCG.FY24'!F:F,'A0.LS'!E296),0)</f>
        <v>0</v>
      </c>
      <c r="AK296" s="936">
        <f>ROUND(SUMIFS('A5.CTC FY24'!K:K,'A5.CTC FY24'!E:E,'A0.LS'!E296,'A5.CTC FY24'!A:A,'A0.LS'!$AK$5,'A5.CTC FY24'!L:L,"EY",'A5.CTC FY24'!M:M,"Posted"),0)</f>
        <v>0</v>
      </c>
      <c r="AL296" s="948">
        <f t="shared" si="219"/>
        <v>0</v>
      </c>
      <c r="AM296" s="930"/>
      <c r="AN296" s="949">
        <f t="shared" si="220"/>
        <v>34705000</v>
      </c>
      <c r="AO296" s="950">
        <f>ROUND(SUMIFS('A5.Consol FY24'!L:L,'A5.Consol FY24'!M:M,"EY",'A5.Consol FY24'!N:N,"Posted",'A5.Consol FY24'!B:B,'A0.LS'!$AO$5,'A5.Consol FY24'!F:F,'A0.LS'!E296),0)</f>
        <v>0</v>
      </c>
      <c r="AP296" s="949">
        <f t="shared" si="221"/>
        <v>34705000</v>
      </c>
      <c r="AQ296" s="930"/>
      <c r="AR296" s="936">
        <f>ROUND(SUMIFS('GL911.XH.FY24'!L:L,'GL911.XH.FY24'!F:F,'A0.LS'!E296),0)</f>
        <v>0</v>
      </c>
      <c r="AS296" s="936">
        <f>ROUND(SUMIFS('A5.CTC FY24'!K:K,'A5.CTC FY24'!E:E,'A0.LS'!E296,'A5.CTC FY24'!A:A,'A0.LS'!$AS$5,'A5.CTC FY24'!L:L,"EY",'A5.CTC FY24'!M:M,"Posted"),0)</f>
        <v>0</v>
      </c>
      <c r="AT296" s="948">
        <f t="shared" si="222"/>
        <v>0</v>
      </c>
      <c r="AU296" s="930"/>
      <c r="AV296" s="951">
        <f t="shared" si="223"/>
        <v>34705000</v>
      </c>
      <c r="AW296" s="952">
        <f>SUMIFS('A5.Consol FY24'!L:L,'A5.Consol FY24'!B:B,'A0.LS'!$AW$5,'A5.Consol FY24'!M:M,"EY",'A5.Consol FY24'!N:N,"Posted",'A5.Consol FY24'!F:F,'A0.LS'!E296)</f>
        <v>0</v>
      </c>
      <c r="AX296" s="951">
        <f t="shared" si="224"/>
        <v>34705000</v>
      </c>
      <c r="AY296" s="920"/>
      <c r="AZ296" s="936">
        <f>SUMIFS('911.CTC.YE22'!U:U,'911.CTC.YE22'!R:R,'A0.LS'!E296)</f>
        <v>153893832</v>
      </c>
      <c r="BA296" s="936">
        <f>ROUND(SUMIFS('A5.YE22'!J:J,'A5.YE22'!K:K,'A0.LS'!$BA$5,'A5.YE22'!L:L,"Posted",'A5.YE22'!D:D,'A0.LS'!E296),0)</f>
        <v>0</v>
      </c>
      <c r="BB296" s="936">
        <f t="shared" si="225"/>
        <v>153893832</v>
      </c>
      <c r="BC296" s="937"/>
      <c r="BD296" s="936">
        <f>ROUND(SUMIFS('911.VNSC.YE22'!R:R,'911.VNSC.YE22'!L:L,'A0.LS'!E296),0)</f>
        <v>0</v>
      </c>
      <c r="BE296" s="936">
        <f>ROUND(SUMIFS('A5.YE22'!J:J,'A5.YE22'!K:K,'A0.LS'!$BE$5,'A5.YE22'!L:L,"Posted",'A5.YE22'!D:D,'A0.LS'!E296),0)</f>
        <v>0</v>
      </c>
      <c r="BF296" s="936">
        <f t="shared" si="226"/>
        <v>0</v>
      </c>
      <c r="BG296" s="937"/>
      <c r="BH296" s="936">
        <f>ROUND(SUMIFS('911.XH.YE22'!T:T,'911.XH.YE22'!P:P,'A0.LS'!E296),0)</f>
        <v>0</v>
      </c>
      <c r="BI296" s="936">
        <f>ROUND(SUMIFS('A5.YE22'!J:J,'A5.YE22'!K:K,"XH",'A5.YE22'!L:L,"Posted",'A5.YE22'!D:D,'A0.LS'!E296),0)</f>
        <v>0</v>
      </c>
      <c r="BJ296" s="936">
        <f t="shared" si="227"/>
        <v>0</v>
      </c>
      <c r="BK296" s="937"/>
      <c r="BL296" s="936">
        <f>ROUND(SUMIFS('911.KCG.YE22'!T:T,'911.KCG.YE22'!P:P,'A0.LS'!E296),0)</f>
        <v>0</v>
      </c>
      <c r="BM296" s="936">
        <f>ROUND(SUMIFS('A5.YE22'!J:J,'A5.YE22'!K:K,'A0.LS'!$BM$5,'A5.YE22'!L:L,"Posted",'A5.YE22'!D:D,'A0.LS'!E296),0)</f>
        <v>0</v>
      </c>
      <c r="BN296" s="936">
        <f t="shared" si="228"/>
        <v>0</v>
      </c>
      <c r="BO296" s="937"/>
      <c r="BP296" s="938">
        <f>_xlfn.XLOOKUP(E296,[15]LS!$G:$G,[15]LS!$AX:$AX,0,0,1)</f>
        <v>0</v>
      </c>
      <c r="BQ296" s="938">
        <f>ROUND(SUMIFS('A5.YE22'!J:J,'A5.YE22'!K:K,'A0.LS'!$BQ$5,'A5.YE22'!L:L,"Posted",'A5.YE22'!D:D,'A0.LS'!E296),0)</f>
        <v>0</v>
      </c>
      <c r="BR296" s="938">
        <f t="shared" si="229"/>
        <v>0</v>
      </c>
    </row>
    <row r="297" spans="2:70" ht="12.75">
      <c r="B297" s="939">
        <v>25</v>
      </c>
      <c r="C297" s="940" t="s">
        <v>2526</v>
      </c>
      <c r="D297" s="941" t="s">
        <v>2526</v>
      </c>
      <c r="E297" s="928" t="s">
        <v>370</v>
      </c>
      <c r="F297" s="928" t="s">
        <v>371</v>
      </c>
      <c r="G297" s="927" t="s">
        <v>2516</v>
      </c>
      <c r="H297" s="927" t="s">
        <v>2188</v>
      </c>
      <c r="I297" s="942">
        <f>SUMIFS('GL911.Cty Me.FY24'!T:T,'GL911.Cty Me.FY24'!H:H,'A0.LS'!E297)</f>
        <v>3927474854</v>
      </c>
      <c r="J297" s="942">
        <f>ROUND(SUMIFS('A5.FY24'!K:K,'A5.FY24'!E:E,'A0.LS'!E297,'A5.FY24'!L:L,"Finhay",'A5.FY24'!M:M,"Posted"),0)</f>
        <v>0</v>
      </c>
      <c r="K297" s="942">
        <f>ROUND(SUMIFS('A5.FY24'!K:K,'A5.FY24'!E:E,'A0.LS'!E297,'A5.FY24'!L:L,"EY",'A5.FY24'!M:M,"Posted"),0)</f>
        <v>0</v>
      </c>
      <c r="L297" s="943">
        <f t="shared" si="216"/>
        <v>3927474854</v>
      </c>
      <c r="M297" s="930"/>
      <c r="N297" s="944">
        <v>2065006021</v>
      </c>
      <c r="O297" s="944">
        <v>0</v>
      </c>
      <c r="P297" s="944">
        <v>0</v>
      </c>
      <c r="Q297" s="945">
        <v>2065006021</v>
      </c>
      <c r="R297" s="898"/>
      <c r="S297" s="848">
        <f>L297-Q297</f>
        <v>1862468833</v>
      </c>
      <c r="T297" s="946">
        <f>IFERROR(S297/Q297,"To check")</f>
        <v>0.90191932326574076</v>
      </c>
      <c r="U297" s="850" t="s">
        <v>2536</v>
      </c>
      <c r="V297" s="850" t="s">
        <v>2430</v>
      </c>
      <c r="W297" s="850"/>
      <c r="X297" s="947" t="s">
        <v>2190</v>
      </c>
      <c r="Y297" s="947" t="s">
        <v>2516</v>
      </c>
      <c r="Z297" s="936">
        <f>ROUND(SUMIFS('GL911.CtyCon.FY24'!N:N,'GL911.CtyCon.FY24'!G:G,'A0.LS'!E297),0)</f>
        <v>0</v>
      </c>
      <c r="AA297" s="936">
        <f>ROUND(SUMIFS('A5.CTC FY24'!K:K,'A5.CTC FY24'!E:E,'A0.LS'!E297,'A5.CTC FY24'!A:A,'A0.LS'!$AA$5,'A5.CTC FY24'!L:L,"Finhay",'A5.CTC FY24'!M:M,"Posted"),0)</f>
        <v>0</v>
      </c>
      <c r="AB297" s="936">
        <f>ROUND(SUMIFS('A5.CTC FY24'!K:K,'A5.CTC FY24'!E:E,'A0.LS'!E297,'A5.CTC FY24'!A:A,'A0.LS'!$AB$5,'A5.CTC FY24'!L:L,"EY",'A5.CTC FY24'!M:M,"Posted"),0)</f>
        <v>0</v>
      </c>
      <c r="AC297" s="948">
        <f t="shared" si="217"/>
        <v>0</v>
      </c>
      <c r="AD297" s="930"/>
      <c r="AE297" s="936">
        <f>SUMIFS('GL911 VNSC FY24'!T:T,'GL911 VNSC FY24'!AG:AG,'A0.LS'!E297)</f>
        <v>0</v>
      </c>
      <c r="AF297" s="936">
        <f>SUMIFS('A5.CTC FY24'!K:K,'A5.CTC FY24'!E:E,'A0.LS'!E297,'A5.CTC FY24'!A:A,"VNSC",'A5.CTC FY24'!L:L,"VNSC",'A5.CTC FY24'!M:M,"Posted")</f>
        <v>0</v>
      </c>
      <c r="AG297" s="936">
        <f>ROUND(SUMIFS('A5.CTC FY24'!K:K,'A5.CTC FY24'!E:E,'A0.LS'!E297,'A5.CTC FY24'!A:A,"VNSC",'A5.CTC FY24'!L:L,"EY",'A5.CTC FY24'!M:M,"Posted"),0)</f>
        <v>0</v>
      </c>
      <c r="AH297" s="936">
        <f t="shared" si="218"/>
        <v>0</v>
      </c>
      <c r="AI297" s="930"/>
      <c r="AJ297" s="936">
        <f>ROUND(SUMIFS('GL911.KCG.FY24'!L:L,'GL911.KCG.FY24'!F:F,'A0.LS'!E297),0)</f>
        <v>0</v>
      </c>
      <c r="AK297" s="936">
        <f>ROUND(SUMIFS('A5.CTC FY24'!K:K,'A5.CTC FY24'!E:E,'A0.LS'!E297,'A5.CTC FY24'!A:A,'A0.LS'!$AK$5,'A5.CTC FY24'!L:L,"EY",'A5.CTC FY24'!M:M,"Posted"),0)</f>
        <v>0</v>
      </c>
      <c r="AL297" s="948">
        <f t="shared" si="219"/>
        <v>0</v>
      </c>
      <c r="AM297" s="930"/>
      <c r="AN297" s="949">
        <f t="shared" si="220"/>
        <v>0</v>
      </c>
      <c r="AO297" s="950">
        <f>ROUND(SUMIFS('A5.Consol FY24'!L:L,'A5.Consol FY24'!M:M,"EY",'A5.Consol FY24'!N:N,"Posted",'A5.Consol FY24'!B:B,'A0.LS'!$AO$5,'A5.Consol FY24'!F:F,'A0.LS'!E297),0)</f>
        <v>0</v>
      </c>
      <c r="AP297" s="949">
        <f t="shared" si="221"/>
        <v>0</v>
      </c>
      <c r="AQ297" s="930"/>
      <c r="AR297" s="936">
        <f>ROUND(SUMIFS('GL911.XH.FY24'!L:L,'GL911.XH.FY24'!F:F,'A0.LS'!E297),0)</f>
        <v>0</v>
      </c>
      <c r="AS297" s="936">
        <f>ROUND(SUMIFS('A5.CTC FY24'!K:K,'A5.CTC FY24'!E:E,'A0.LS'!E297,'A5.CTC FY24'!A:A,'A0.LS'!$AS$5,'A5.CTC FY24'!L:L,"EY",'A5.CTC FY24'!M:M,"Posted"),0)</f>
        <v>0</v>
      </c>
      <c r="AT297" s="948">
        <f t="shared" si="222"/>
        <v>0</v>
      </c>
      <c r="AU297" s="930"/>
      <c r="AV297" s="951">
        <f t="shared" si="223"/>
        <v>3927474854</v>
      </c>
      <c r="AW297" s="952">
        <f>SUMIFS('A5.Consol FY24'!L:L,'A5.Consol FY24'!B:B,'A0.LS'!$AW$5,'A5.Consol FY24'!M:M,"EY",'A5.Consol FY24'!N:N,"Posted",'A5.Consol FY24'!F:F,'A0.LS'!E297)</f>
        <v>0</v>
      </c>
      <c r="AX297" s="951">
        <f t="shared" si="224"/>
        <v>3927474854</v>
      </c>
      <c r="AY297" s="920"/>
      <c r="AZ297" s="936">
        <f>SUMIFS('911.CTC.YE22'!U:U,'911.CTC.YE22'!R:R,'A0.LS'!E297)</f>
        <v>0</v>
      </c>
      <c r="BA297" s="936">
        <f>ROUND(SUMIFS('A5.YE22'!J:J,'A5.YE22'!K:K,'A0.LS'!$BA$5,'A5.YE22'!L:L,"Posted",'A5.YE22'!D:D,'A0.LS'!E297),0)</f>
        <v>0</v>
      </c>
      <c r="BB297" s="936">
        <f t="shared" si="225"/>
        <v>0</v>
      </c>
      <c r="BC297" s="937"/>
      <c r="BD297" s="936">
        <f>ROUND(SUMIFS('911.VNSC.YE22'!R:R,'911.VNSC.YE22'!L:L,'A0.LS'!E297),0)</f>
        <v>0</v>
      </c>
      <c r="BE297" s="936">
        <f>ROUND(SUMIFS('A5.YE22'!J:J,'A5.YE22'!K:K,'A0.LS'!$BE$5,'A5.YE22'!L:L,"Posted",'A5.YE22'!D:D,'A0.LS'!E297),0)</f>
        <v>0</v>
      </c>
      <c r="BF297" s="936">
        <f t="shared" si="226"/>
        <v>0</v>
      </c>
      <c r="BG297" s="937"/>
      <c r="BH297" s="936">
        <f>ROUND(SUMIFS('911.XH.YE22'!T:T,'911.XH.YE22'!P:P,'A0.LS'!E297),0)</f>
        <v>0</v>
      </c>
      <c r="BI297" s="936">
        <f>ROUND(SUMIFS('A5.YE22'!J:J,'A5.YE22'!K:K,"XH",'A5.YE22'!L:L,"Posted",'A5.YE22'!D:D,'A0.LS'!E297),0)</f>
        <v>0</v>
      </c>
      <c r="BJ297" s="936">
        <f t="shared" si="227"/>
        <v>0</v>
      </c>
      <c r="BK297" s="937"/>
      <c r="BL297" s="936">
        <f>ROUND(SUMIFS('911.KCG.YE22'!T:T,'911.KCG.YE22'!P:P,'A0.LS'!E297),0)</f>
        <v>0</v>
      </c>
      <c r="BM297" s="936">
        <f>ROUND(SUMIFS('A5.YE22'!J:J,'A5.YE22'!K:K,'A0.LS'!$BM$5,'A5.YE22'!L:L,"Posted",'A5.YE22'!D:D,'A0.LS'!E297),0)</f>
        <v>0</v>
      </c>
      <c r="BN297" s="936">
        <f t="shared" si="228"/>
        <v>0</v>
      </c>
      <c r="BO297" s="937"/>
      <c r="BP297" s="938">
        <f>_xlfn.XLOOKUP(E297,[15]LS!$G:$G,[15]LS!$AX:$AX,0,0,1)</f>
        <v>2067761021</v>
      </c>
      <c r="BQ297" s="938">
        <f>ROUND(SUMIFS('A5.YE22'!J:J,'A5.YE22'!K:K,'A0.LS'!$BQ$5,'A5.YE22'!L:L,"Posted",'A5.YE22'!D:D,'A0.LS'!E297),0)</f>
        <v>0</v>
      </c>
      <c r="BR297" s="938">
        <f t="shared" si="229"/>
        <v>2067761021</v>
      </c>
    </row>
    <row r="298" spans="2:70" ht="12.6" customHeight="1">
      <c r="B298" s="939">
        <v>25</v>
      </c>
      <c r="C298" s="940" t="s">
        <v>2528</v>
      </c>
      <c r="D298" s="941" t="s">
        <v>2526</v>
      </c>
      <c r="E298" s="928" t="s">
        <v>372</v>
      </c>
      <c r="F298" s="928" t="s">
        <v>373</v>
      </c>
      <c r="G298" s="927" t="s">
        <v>2516</v>
      </c>
      <c r="H298" s="927" t="s">
        <v>2188</v>
      </c>
      <c r="I298" s="942">
        <f>SUMIFS('GL911.Cty Me.FY24'!T:T,'GL911.Cty Me.FY24'!H:H,'A0.LS'!E298)</f>
        <v>7608582</v>
      </c>
      <c r="J298" s="942">
        <f>ROUND(SUMIFS('A5.FY24'!K:K,'A5.FY24'!E:E,'A0.LS'!E298,'A5.FY24'!L:L,"Finhay",'A5.FY24'!M:M,"Posted"),0)</f>
        <v>0</v>
      </c>
      <c r="K298" s="942">
        <f>ROUND(SUMIFS('A5.FY24'!K:K,'A5.FY24'!E:E,'A0.LS'!E298,'A5.FY24'!L:L,"EY",'A5.FY24'!M:M,"Posted"),0)</f>
        <v>0</v>
      </c>
      <c r="L298" s="943">
        <f t="shared" si="216"/>
        <v>7608582</v>
      </c>
      <c r="M298" s="930"/>
      <c r="N298" s="944">
        <v>145849220</v>
      </c>
      <c r="O298" s="944">
        <v>7346577</v>
      </c>
      <c r="P298" s="944">
        <v>0</v>
      </c>
      <c r="Q298" s="945">
        <v>153195797</v>
      </c>
      <c r="R298" s="898"/>
      <c r="S298" s="848">
        <f>L298-Q298</f>
        <v>-145587215</v>
      </c>
      <c r="T298" s="946">
        <f>IFERROR(S298/Q298,"To check")</f>
        <v>-0.95033426406600441</v>
      </c>
      <c r="U298" s="850"/>
      <c r="V298" s="850" t="s">
        <v>2430</v>
      </c>
      <c r="W298" s="850"/>
      <c r="X298" s="947" t="s">
        <v>2190</v>
      </c>
      <c r="Y298" s="947" t="s">
        <v>2516</v>
      </c>
      <c r="Z298" s="936">
        <f>ROUND(SUMIFS('GL911.CtyCon.FY24'!N:N,'GL911.CtyCon.FY24'!G:G,'A0.LS'!E298),0)</f>
        <v>0</v>
      </c>
      <c r="AA298" s="936">
        <f>ROUND(SUMIFS('A5.CTC FY24'!K:K,'A5.CTC FY24'!E:E,'A0.LS'!E298,'A5.CTC FY24'!A:A,'A0.LS'!$AA$5,'A5.CTC FY24'!L:L,"Finhay",'A5.CTC FY24'!M:M,"Posted"),0)</f>
        <v>0</v>
      </c>
      <c r="AB298" s="936">
        <f>ROUND(SUMIFS('A5.CTC FY24'!K:K,'A5.CTC FY24'!E:E,'A0.LS'!E298,'A5.CTC FY24'!A:A,'A0.LS'!$AB$5,'A5.CTC FY24'!L:L,"EY",'A5.CTC FY24'!M:M,"Posted"),0)</f>
        <v>0</v>
      </c>
      <c r="AC298" s="948">
        <f t="shared" si="217"/>
        <v>0</v>
      </c>
      <c r="AD298" s="930"/>
      <c r="AE298" s="936">
        <f>SUMIFS('GL911 VNSC FY24'!T:T,'GL911 VNSC FY24'!AG:AG,'A0.LS'!E298)</f>
        <v>0</v>
      </c>
      <c r="AF298" s="936">
        <f>SUMIFS('A5.CTC FY24'!K:K,'A5.CTC FY24'!E:E,'A0.LS'!E298,'A5.CTC FY24'!A:A,"VNSC",'A5.CTC FY24'!L:L,"VNSC",'A5.CTC FY24'!M:M,"Posted")</f>
        <v>0</v>
      </c>
      <c r="AG298" s="936">
        <f>ROUND(SUMIFS('A5.CTC FY24'!K:K,'A5.CTC FY24'!E:E,'A0.LS'!E298,'A5.CTC FY24'!A:A,"VNSC",'A5.CTC FY24'!L:L,"EY",'A5.CTC FY24'!M:M,"Posted"),0)</f>
        <v>0</v>
      </c>
      <c r="AH298" s="936">
        <f t="shared" si="218"/>
        <v>0</v>
      </c>
      <c r="AI298" s="930"/>
      <c r="AJ298" s="936">
        <f>ROUND(SUMIFS('GL911.KCG.FY24'!L:L,'GL911.KCG.FY24'!F:F,'A0.LS'!E298),0)</f>
        <v>0</v>
      </c>
      <c r="AK298" s="936">
        <f>ROUND(SUMIFS('A5.CTC FY24'!K:K,'A5.CTC FY24'!E:E,'A0.LS'!E298,'A5.CTC FY24'!A:A,'A0.LS'!$AK$5,'A5.CTC FY24'!L:L,"EY",'A5.CTC FY24'!M:M,"Posted"),0)</f>
        <v>0</v>
      </c>
      <c r="AL298" s="948">
        <f t="shared" si="219"/>
        <v>0</v>
      </c>
      <c r="AM298" s="930"/>
      <c r="AN298" s="949">
        <f t="shared" si="220"/>
        <v>0</v>
      </c>
      <c r="AO298" s="950">
        <f>ROUND(SUMIFS('A5.Consol FY24'!L:L,'A5.Consol FY24'!M:M,"EY",'A5.Consol FY24'!N:N,"Posted",'A5.Consol FY24'!B:B,'A0.LS'!$AO$5,'A5.Consol FY24'!F:F,'A0.LS'!E298),0)</f>
        <v>0</v>
      </c>
      <c r="AP298" s="949">
        <f t="shared" si="221"/>
        <v>0</v>
      </c>
      <c r="AQ298" s="930"/>
      <c r="AR298" s="936">
        <f>ROUND(SUMIFS('GL911.XH.FY24'!L:L,'GL911.XH.FY24'!F:F,'A0.LS'!E298),0)</f>
        <v>0</v>
      </c>
      <c r="AS298" s="936">
        <f>ROUND(SUMIFS('A5.CTC FY24'!K:K,'A5.CTC FY24'!E:E,'A0.LS'!E298,'A5.CTC FY24'!A:A,'A0.LS'!$AS$5,'A5.CTC FY24'!L:L,"EY",'A5.CTC FY24'!M:M,"Posted"),0)</f>
        <v>0</v>
      </c>
      <c r="AT298" s="948">
        <f t="shared" si="222"/>
        <v>0</v>
      </c>
      <c r="AU298" s="930"/>
      <c r="AV298" s="951">
        <f t="shared" si="223"/>
        <v>7608582</v>
      </c>
      <c r="AW298" s="952">
        <f>SUMIFS('A5.Consol FY24'!L:L,'A5.Consol FY24'!B:B,'A0.LS'!$AW$5,'A5.Consol FY24'!M:M,"EY",'A5.Consol FY24'!N:N,"Posted",'A5.Consol FY24'!F:F,'A0.LS'!E298)</f>
        <v>0</v>
      </c>
      <c r="AX298" s="951">
        <f t="shared" si="224"/>
        <v>7608582</v>
      </c>
      <c r="AY298" s="920"/>
      <c r="AZ298" s="936">
        <f>SUMIFS('911.CTC.YE22'!U:U,'911.CTC.YE22'!R:R,'A0.LS'!E298)</f>
        <v>0</v>
      </c>
      <c r="BA298" s="936">
        <f>ROUND(SUMIFS('A5.YE22'!J:J,'A5.YE22'!K:K,'A0.LS'!$BA$5,'A5.YE22'!L:L,"Posted",'A5.YE22'!D:D,'A0.LS'!E298),0)</f>
        <v>0</v>
      </c>
      <c r="BB298" s="936">
        <f t="shared" si="225"/>
        <v>0</v>
      </c>
      <c r="BC298" s="937"/>
      <c r="BD298" s="936">
        <f>ROUND(SUMIFS('911.VNSC.YE22'!R:R,'911.VNSC.YE22'!L:L,'A0.LS'!E298),0)</f>
        <v>0</v>
      </c>
      <c r="BE298" s="936">
        <f>ROUND(SUMIFS('A5.YE22'!J:J,'A5.YE22'!K:K,'A0.LS'!$BE$5,'A5.YE22'!L:L,"Posted",'A5.YE22'!D:D,'A0.LS'!E298),0)</f>
        <v>0</v>
      </c>
      <c r="BF298" s="936">
        <f t="shared" si="226"/>
        <v>0</v>
      </c>
      <c r="BG298" s="937"/>
      <c r="BH298" s="936">
        <f>ROUND(SUMIFS('911.XH.YE22'!T:T,'911.XH.YE22'!P:P,'A0.LS'!E298),0)</f>
        <v>0</v>
      </c>
      <c r="BI298" s="936">
        <f>ROUND(SUMIFS('A5.YE22'!J:J,'A5.YE22'!K:K,"XH",'A5.YE22'!L:L,"Posted",'A5.YE22'!D:D,'A0.LS'!E298),0)</f>
        <v>0</v>
      </c>
      <c r="BJ298" s="936">
        <f t="shared" si="227"/>
        <v>0</v>
      </c>
      <c r="BK298" s="937"/>
      <c r="BL298" s="936">
        <f>ROUND(SUMIFS('911.KCG.YE22'!T:T,'911.KCG.YE22'!P:P,'A0.LS'!E298),0)</f>
        <v>0</v>
      </c>
      <c r="BM298" s="936">
        <f>ROUND(SUMIFS('A5.YE22'!J:J,'A5.YE22'!K:K,'A0.LS'!$BM$5,'A5.YE22'!L:L,"Posted",'A5.YE22'!D:D,'A0.LS'!E298),0)</f>
        <v>0</v>
      </c>
      <c r="BN298" s="936">
        <f t="shared" si="228"/>
        <v>0</v>
      </c>
      <c r="BO298" s="937"/>
      <c r="BP298" s="938">
        <f>_xlfn.XLOOKUP(E298,[15]LS!$G:$G,[15]LS!$AX:$AX,0,0,1)</f>
        <v>257271798</v>
      </c>
      <c r="BQ298" s="938">
        <v>0</v>
      </c>
      <c r="BR298" s="938">
        <f t="shared" si="229"/>
        <v>257271798</v>
      </c>
    </row>
    <row r="299" spans="2:70" ht="12.75">
      <c r="B299" s="939">
        <v>25</v>
      </c>
      <c r="C299" s="973" t="s">
        <v>2528</v>
      </c>
      <c r="D299" s="941" t="s">
        <v>2528</v>
      </c>
      <c r="E299" s="928" t="s">
        <v>723</v>
      </c>
      <c r="F299" s="928" t="s">
        <v>302</v>
      </c>
      <c r="G299" s="927" t="s">
        <v>2516</v>
      </c>
      <c r="H299" s="927" t="s">
        <v>2188</v>
      </c>
      <c r="I299" s="942">
        <f>SUMIFS('GL911.Cty Me.FY24'!T:T,'GL911.Cty Me.FY24'!H:H,'A0.LS'!E299)</f>
        <v>3067440</v>
      </c>
      <c r="J299" s="942">
        <f>ROUND(SUMIFS('A5.FY24'!K:K,'A5.FY24'!E:E,'A0.LS'!E299,'A5.FY24'!L:L,"Finhay",'A5.FY24'!M:M,"Posted"),0)</f>
        <v>0</v>
      </c>
      <c r="K299" s="942">
        <f>ROUND(SUMIFS('A5.FY24'!K:K,'A5.FY24'!E:E,'A0.LS'!E299,'A5.FY24'!L:L,"EY",'A5.FY24'!M:M,"Posted"),0)</f>
        <v>0</v>
      </c>
      <c r="L299" s="943">
        <f t="shared" si="216"/>
        <v>3067440</v>
      </c>
      <c r="M299" s="930"/>
      <c r="N299" s="944">
        <v>0</v>
      </c>
      <c r="O299" s="944">
        <v>0</v>
      </c>
      <c r="P299" s="944">
        <v>0</v>
      </c>
      <c r="Q299" s="945">
        <v>0</v>
      </c>
      <c r="R299" s="898"/>
      <c r="S299" s="848">
        <f>L299-Q299</f>
        <v>3067440</v>
      </c>
      <c r="T299" s="946" t="str">
        <f>IFERROR(S299/Q299,"To check")</f>
        <v>To check</v>
      </c>
      <c r="U299" s="850"/>
      <c r="V299" s="850" t="s">
        <v>2450</v>
      </c>
      <c r="W299" s="850"/>
      <c r="X299" s="947" t="s">
        <v>2190</v>
      </c>
      <c r="Y299" s="947" t="s">
        <v>2516</v>
      </c>
      <c r="Z299" s="936">
        <f>ROUND(SUMIFS('GL911.CtyCon.FY24'!N:N,'GL911.CtyCon.FY24'!G:G,'A0.LS'!E299),0)</f>
        <v>0</v>
      </c>
      <c r="AA299" s="936">
        <f>ROUND(SUMIFS('A5.CTC FY24'!K:K,'A5.CTC FY24'!E:E,'A0.LS'!E299,'A5.CTC FY24'!A:A,'A0.LS'!$AA$5,'A5.CTC FY24'!L:L,"Finhay",'A5.CTC FY24'!M:M,"Posted"),0)</f>
        <v>0</v>
      </c>
      <c r="AB299" s="936">
        <f>ROUND(SUMIFS('A5.CTC FY24'!K:K,'A5.CTC FY24'!E:E,'A0.LS'!E299,'A5.CTC FY24'!A:A,'A0.LS'!$AB$5,'A5.CTC FY24'!L:L,"EY",'A5.CTC FY24'!M:M,"Posted"),0)</f>
        <v>0</v>
      </c>
      <c r="AC299" s="948">
        <f t="shared" si="217"/>
        <v>0</v>
      </c>
      <c r="AD299" s="930"/>
      <c r="AE299" s="936">
        <f>SUMIFS('GL911 VNSC FY24'!T:T,'GL911 VNSC FY24'!AG:AG,'A0.LS'!E299)</f>
        <v>0</v>
      </c>
      <c r="AF299" s="936">
        <f>SUMIFS('A5.CTC FY24'!K:K,'A5.CTC FY24'!E:E,'A0.LS'!E299,'A5.CTC FY24'!A:A,"VNSC",'A5.CTC FY24'!L:L,"VNSC",'A5.CTC FY24'!M:M,"Posted")</f>
        <v>0</v>
      </c>
      <c r="AG299" s="936">
        <f>ROUND(SUMIFS('A5.CTC FY24'!K:K,'A5.CTC FY24'!E:E,'A0.LS'!E299,'A5.CTC FY24'!A:A,"VNSC",'A5.CTC FY24'!L:L,"EY",'A5.CTC FY24'!M:M,"Posted"),0)</f>
        <v>0</v>
      </c>
      <c r="AH299" s="936">
        <f t="shared" si="218"/>
        <v>0</v>
      </c>
      <c r="AI299" s="930"/>
      <c r="AJ299" s="936">
        <f>ROUND(SUMIFS('GL911.KCG.FY24'!L:L,'GL911.KCG.FY24'!F:F,'A0.LS'!E299),0)</f>
        <v>0</v>
      </c>
      <c r="AK299" s="936">
        <f>ROUND(SUMIFS('A5.CTC FY24'!K:K,'A5.CTC FY24'!E:E,'A0.LS'!E299,'A5.CTC FY24'!A:A,'A0.LS'!$AK$5,'A5.CTC FY24'!L:L,"EY",'A5.CTC FY24'!M:M,"Posted"),0)</f>
        <v>0</v>
      </c>
      <c r="AL299" s="948">
        <f t="shared" si="219"/>
        <v>0</v>
      </c>
      <c r="AM299" s="930"/>
      <c r="AN299" s="949">
        <f t="shared" si="220"/>
        <v>0</v>
      </c>
      <c r="AO299" s="950">
        <f>ROUND(SUMIFS('A5.Consol FY24'!L:L,'A5.Consol FY24'!M:M,"EY",'A5.Consol FY24'!N:N,"Posted",'A5.Consol FY24'!B:B,'A0.LS'!$AO$5,'A5.Consol FY24'!F:F,'A0.LS'!E299),0)</f>
        <v>0</v>
      </c>
      <c r="AP299" s="949">
        <f t="shared" si="221"/>
        <v>0</v>
      </c>
      <c r="AQ299" s="930"/>
      <c r="AR299" s="936">
        <f>ROUND(SUMIFS('GL911.XH.FY24'!L:L,'GL911.XH.FY24'!F:F,'A0.LS'!E299),0)</f>
        <v>0</v>
      </c>
      <c r="AS299" s="936">
        <f>ROUND(SUMIFS('A5.CTC FY24'!K:K,'A5.CTC FY24'!E:E,'A0.LS'!E299,'A5.CTC FY24'!A:A,'A0.LS'!$AS$5,'A5.CTC FY24'!L:L,"EY",'A5.CTC FY24'!M:M,"Posted"),0)</f>
        <v>0</v>
      </c>
      <c r="AT299" s="948">
        <f t="shared" si="222"/>
        <v>0</v>
      </c>
      <c r="AU299" s="930"/>
      <c r="AV299" s="951">
        <f t="shared" si="223"/>
        <v>3067440</v>
      </c>
      <c r="AW299" s="952">
        <f>SUMIFS('A5.Consol FY24'!L:L,'A5.Consol FY24'!B:B,'A0.LS'!$AW$5,'A5.Consol FY24'!M:M,"EY",'A5.Consol FY24'!N:N,"Posted",'A5.Consol FY24'!F:F,'A0.LS'!E299)</f>
        <v>0</v>
      </c>
      <c r="AX299" s="951">
        <f t="shared" si="224"/>
        <v>3067440</v>
      </c>
      <c r="AY299" s="920"/>
      <c r="AZ299" s="936">
        <f>SUMIFS('911.CTC.YE22'!U:U,'911.CTC.YE22'!R:R,'A0.LS'!E299)</f>
        <v>0</v>
      </c>
      <c r="BA299" s="936">
        <f>ROUND(SUMIFS('A5.YE22'!J:J,'A5.YE22'!K:K,'A0.LS'!$BA$5,'A5.YE22'!L:L,"Posted",'A5.YE22'!D:D,'A0.LS'!E299),0)</f>
        <v>0</v>
      </c>
      <c r="BB299" s="936">
        <f t="shared" si="225"/>
        <v>0</v>
      </c>
      <c r="BC299" s="937"/>
      <c r="BD299" s="936">
        <f>ROUND(SUMIFS('911.VNSC.YE22'!R:R,'911.VNSC.YE22'!L:L,'A0.LS'!E299),0)</f>
        <v>0</v>
      </c>
      <c r="BE299" s="936">
        <f>ROUND(SUMIFS('A5.YE22'!J:J,'A5.YE22'!K:K,'A0.LS'!$BE$5,'A5.YE22'!L:L,"Posted",'A5.YE22'!D:D,'A0.LS'!E299),0)</f>
        <v>0</v>
      </c>
      <c r="BF299" s="936">
        <f t="shared" si="226"/>
        <v>0</v>
      </c>
      <c r="BG299" s="937"/>
      <c r="BH299" s="936">
        <f>ROUND(SUMIFS('911.XH.YE22'!T:T,'911.XH.YE22'!P:P,'A0.LS'!E299),0)</f>
        <v>0</v>
      </c>
      <c r="BI299" s="936">
        <f>ROUND(SUMIFS('A5.YE22'!J:J,'A5.YE22'!K:K,"XH",'A5.YE22'!L:L,"Posted",'A5.YE22'!D:D,'A0.LS'!E299),0)</f>
        <v>0</v>
      </c>
      <c r="BJ299" s="936">
        <f t="shared" si="227"/>
        <v>0</v>
      </c>
      <c r="BK299" s="937"/>
      <c r="BL299" s="936">
        <f>ROUND(SUMIFS('911.KCG.YE22'!T:T,'911.KCG.YE22'!P:P,'A0.LS'!E299),0)</f>
        <v>0</v>
      </c>
      <c r="BM299" s="936">
        <f>ROUND(SUMIFS('A5.YE22'!J:J,'A5.YE22'!K:K,'A0.LS'!$BM$5,'A5.YE22'!L:L,"Posted",'A5.YE22'!D:D,'A0.LS'!E299),0)</f>
        <v>0</v>
      </c>
      <c r="BN299" s="936">
        <f t="shared" si="228"/>
        <v>0</v>
      </c>
      <c r="BO299" s="937"/>
      <c r="BP299" s="938">
        <f>_xlfn.XLOOKUP(E299,[15]LS!$G:$G,[15]LS!$AX:$AX,0,0,1)</f>
        <v>49500000</v>
      </c>
      <c r="BQ299" s="938">
        <f>ROUND(SUMIFS('A5.YE22'!J:J,'A5.YE22'!K:K,'A0.LS'!$BQ$5,'A5.YE22'!L:L,"Posted",'A5.YE22'!D:D,'A0.LS'!E299),0)</f>
        <v>0</v>
      </c>
      <c r="BR299" s="938">
        <f t="shared" si="229"/>
        <v>49500000</v>
      </c>
    </row>
    <row r="300" spans="2:70" ht="12.6" customHeight="1">
      <c r="B300" s="939">
        <v>25</v>
      </c>
      <c r="C300" s="940" t="s">
        <v>2528</v>
      </c>
      <c r="D300" s="941" t="s">
        <v>2528</v>
      </c>
      <c r="E300" s="928" t="s">
        <v>2537</v>
      </c>
      <c r="F300" s="928" t="s">
        <v>436</v>
      </c>
      <c r="G300" s="927" t="s">
        <v>2516</v>
      </c>
      <c r="H300" s="927" t="s">
        <v>2188</v>
      </c>
      <c r="I300" s="942">
        <f>SUMIFS('GL911.Cty Me.FY24'!T:T,'GL911.Cty Me.FY24'!H:H,'A0.LS'!E300)</f>
        <v>0</v>
      </c>
      <c r="J300" s="942">
        <f>ROUND(SUMIFS('A5.FY24'!K:K,'A5.FY24'!E:E,'A0.LS'!E300,'A5.FY24'!L:L,"Finhay",'A5.FY24'!M:M,"Posted"),0)</f>
        <v>0</v>
      </c>
      <c r="K300" s="942">
        <f>ROUND(SUMIFS('A5.FY24'!K:K,'A5.FY24'!E:E,'A0.LS'!E300,'A5.FY24'!L:L,"EY",'A5.FY24'!M:M,"Posted"),0)</f>
        <v>0</v>
      </c>
      <c r="L300" s="943">
        <f t="shared" si="216"/>
        <v>0</v>
      </c>
      <c r="M300" s="930"/>
      <c r="N300" s="944">
        <v>0</v>
      </c>
      <c r="O300" s="944">
        <v>0</v>
      </c>
      <c r="P300" s="944">
        <v>0</v>
      </c>
      <c r="Q300" s="945">
        <v>0</v>
      </c>
      <c r="R300" s="898"/>
      <c r="S300" s="848">
        <f>L300-Q300</f>
        <v>0</v>
      </c>
      <c r="T300" s="946" t="str">
        <f>IFERROR(S300/Q300,"To check")</f>
        <v>To check</v>
      </c>
      <c r="U300" s="850"/>
      <c r="V300" s="850" t="s">
        <v>2430</v>
      </c>
      <c r="W300" s="850"/>
      <c r="X300" s="947" t="s">
        <v>2190</v>
      </c>
      <c r="Y300" s="947" t="s">
        <v>2516</v>
      </c>
      <c r="Z300" s="936">
        <f>ROUND(SUMIFS('GL911.CtyCon.FY24'!N:N,'GL911.CtyCon.FY24'!G:G,'A0.LS'!E300),0)</f>
        <v>0</v>
      </c>
      <c r="AA300" s="936">
        <f>ROUND(SUMIFS('A5.CTC FY24'!K:K,'A5.CTC FY24'!E:E,'A0.LS'!E300,'A5.CTC FY24'!A:A,'A0.LS'!$AA$5,'A5.CTC FY24'!L:L,"Finhay",'A5.CTC FY24'!M:M,"Posted"),0)</f>
        <v>0</v>
      </c>
      <c r="AB300" s="936">
        <f>ROUND(SUMIFS('A5.CTC FY24'!K:K,'A5.CTC FY24'!E:E,'A0.LS'!E300,'A5.CTC FY24'!A:A,'A0.LS'!$AB$5,'A5.CTC FY24'!L:L,"EY",'A5.CTC FY24'!M:M,"Posted"),0)</f>
        <v>0</v>
      </c>
      <c r="AC300" s="948">
        <f t="shared" si="217"/>
        <v>0</v>
      </c>
      <c r="AD300" s="930"/>
      <c r="AE300" s="936">
        <f>SUMIFS('GL911 VNSC FY24'!T:T,'GL911 VNSC FY24'!AG:AG,'A0.LS'!E300)</f>
        <v>0</v>
      </c>
      <c r="AF300" s="936">
        <f>SUMIFS('A5.CTC FY24'!K:K,'A5.CTC FY24'!E:E,'A0.LS'!E300,'A5.CTC FY24'!A:A,"VNSC",'A5.CTC FY24'!L:L,"VNSC",'A5.CTC FY24'!M:M,"Posted")</f>
        <v>0</v>
      </c>
      <c r="AG300" s="936">
        <f>ROUND(SUMIFS('A5.CTC FY24'!K:K,'A5.CTC FY24'!E:E,'A0.LS'!E300,'A5.CTC FY24'!A:A,"VNSC",'A5.CTC FY24'!L:L,"EY",'A5.CTC FY24'!M:M,"Posted"),0)</f>
        <v>0</v>
      </c>
      <c r="AH300" s="936">
        <f t="shared" si="218"/>
        <v>0</v>
      </c>
      <c r="AI300" s="930"/>
      <c r="AJ300" s="936">
        <f>ROUND(SUMIFS('GL911.KCG.FY24'!L:L,'GL911.KCG.FY24'!F:F,'A0.LS'!E300),0)</f>
        <v>0</v>
      </c>
      <c r="AK300" s="936">
        <f>ROUND(SUMIFS('A5.CTC FY24'!K:K,'A5.CTC FY24'!E:E,'A0.LS'!E300,'A5.CTC FY24'!A:A,'A0.LS'!$AK$5,'A5.CTC FY24'!L:L,"EY",'A5.CTC FY24'!M:M,"Posted"),0)</f>
        <v>0</v>
      </c>
      <c r="AL300" s="948">
        <f t="shared" si="219"/>
        <v>0</v>
      </c>
      <c r="AM300" s="930"/>
      <c r="AN300" s="949">
        <f t="shared" si="220"/>
        <v>0</v>
      </c>
      <c r="AO300" s="950">
        <f>ROUND(SUMIFS('A5.Consol FY24'!L:L,'A5.Consol FY24'!M:M,"EY",'A5.Consol FY24'!N:N,"Posted",'A5.Consol FY24'!B:B,'A0.LS'!$AO$5,'A5.Consol FY24'!F:F,'A0.LS'!E300),0)</f>
        <v>0</v>
      </c>
      <c r="AP300" s="949">
        <f t="shared" si="221"/>
        <v>0</v>
      </c>
      <c r="AQ300" s="930"/>
      <c r="AR300" s="936">
        <f>ROUND(SUMIFS('GL911.XH.FY24'!L:L,'GL911.XH.FY24'!F:F,'A0.LS'!E300),0)</f>
        <v>0</v>
      </c>
      <c r="AS300" s="936">
        <f>ROUND(SUMIFS('A5.CTC FY24'!K:K,'A5.CTC FY24'!E:E,'A0.LS'!E300,'A5.CTC FY24'!A:A,'A0.LS'!$AS$5,'A5.CTC FY24'!L:L,"EY",'A5.CTC FY24'!M:M,"Posted"),0)</f>
        <v>0</v>
      </c>
      <c r="AT300" s="948">
        <f t="shared" si="222"/>
        <v>0</v>
      </c>
      <c r="AU300" s="930"/>
      <c r="AV300" s="951">
        <f t="shared" si="223"/>
        <v>0</v>
      </c>
      <c r="AW300" s="952">
        <f>SUMIFS('A5.Consol FY24'!L:L,'A5.Consol FY24'!B:B,'A0.LS'!$AW$5,'A5.Consol FY24'!M:M,"EY",'A5.Consol FY24'!N:N,"Posted",'A5.Consol FY24'!F:F,'A0.LS'!E300)</f>
        <v>0</v>
      </c>
      <c r="AX300" s="951">
        <f t="shared" si="224"/>
        <v>0</v>
      </c>
      <c r="AY300" s="920"/>
      <c r="AZ300" s="936">
        <f>SUMIFS('911.CTC.YE22'!U:U,'911.CTC.YE22'!R:R,'A0.LS'!E300)</f>
        <v>0</v>
      </c>
      <c r="BA300" s="936">
        <f>ROUND(SUMIFS('A5.YE22'!J:J,'A5.YE22'!K:K,'A0.LS'!$BA$5,'A5.YE22'!L:L,"Posted",'A5.YE22'!D:D,'A0.LS'!E300),0)</f>
        <v>0</v>
      </c>
      <c r="BB300" s="936">
        <f t="shared" si="225"/>
        <v>0</v>
      </c>
      <c r="BC300" s="937"/>
      <c r="BD300" s="936">
        <f>ROUND(SUMIFS('911.VNSC.YE22'!R:R,'911.VNSC.YE22'!L:L,'A0.LS'!E300),0)</f>
        <v>0</v>
      </c>
      <c r="BE300" s="936">
        <f>ROUND(SUMIFS('A5.YE22'!J:J,'A5.YE22'!K:K,'A0.LS'!$BE$5,'A5.YE22'!L:L,"Posted",'A5.YE22'!D:D,'A0.LS'!E300),0)</f>
        <v>0</v>
      </c>
      <c r="BF300" s="936">
        <f t="shared" si="226"/>
        <v>0</v>
      </c>
      <c r="BG300" s="937"/>
      <c r="BH300" s="936">
        <f>ROUND(SUMIFS('911.XH.YE22'!T:T,'911.XH.YE22'!P:P,'A0.LS'!E300),0)</f>
        <v>0</v>
      </c>
      <c r="BI300" s="936">
        <f>ROUND(SUMIFS('A5.YE22'!J:J,'A5.YE22'!K:K,"XH",'A5.YE22'!L:L,"Posted",'A5.YE22'!D:D,'A0.LS'!E300),0)</f>
        <v>0</v>
      </c>
      <c r="BJ300" s="936">
        <f t="shared" si="227"/>
        <v>0</v>
      </c>
      <c r="BK300" s="937"/>
      <c r="BL300" s="936">
        <f>ROUND(SUMIFS('911.KCG.YE22'!T:T,'911.KCG.YE22'!P:P,'A0.LS'!E300),0)</f>
        <v>0</v>
      </c>
      <c r="BM300" s="936">
        <f>ROUND(SUMIFS('A5.YE22'!J:J,'A5.YE22'!K:K,'A0.LS'!$BM$5,'A5.YE22'!L:L,"Posted",'A5.YE22'!D:D,'A0.LS'!E300),0)</f>
        <v>0</v>
      </c>
      <c r="BN300" s="936">
        <f t="shared" si="228"/>
        <v>0</v>
      </c>
      <c r="BO300" s="937"/>
      <c r="BP300" s="938">
        <f>_xlfn.XLOOKUP(E300,[15]LS!$G:$G,[15]LS!$AX:$AX,0,0,1)</f>
        <v>0</v>
      </c>
      <c r="BQ300" s="938">
        <f>ROUND(SUMIFS('A5.YE22'!J:J,'A5.YE22'!K:K,'A0.LS'!$BQ$5,'A5.YE22'!L:L,"Posted",'A5.YE22'!D:D,'A0.LS'!E300),0)</f>
        <v>0</v>
      </c>
      <c r="BR300" s="938">
        <f t="shared" si="229"/>
        <v>0</v>
      </c>
    </row>
    <row r="301" spans="2:70" ht="12.75">
      <c r="B301" s="925"/>
      <c r="C301" s="926"/>
      <c r="D301" s="927"/>
      <c r="E301" s="928"/>
      <c r="F301" s="928"/>
      <c r="G301" s="928"/>
      <c r="H301" s="927"/>
      <c r="I301" s="929"/>
      <c r="J301" s="929"/>
      <c r="K301" s="929"/>
      <c r="L301" s="943"/>
      <c r="M301" s="930"/>
      <c r="N301" s="931"/>
      <c r="O301" s="931"/>
      <c r="P301" s="931"/>
      <c r="Q301" s="932"/>
      <c r="R301" s="898"/>
      <c r="S301" s="850"/>
      <c r="T301" s="850"/>
      <c r="U301" s="850"/>
      <c r="V301" s="850"/>
      <c r="W301" s="850"/>
      <c r="X301" s="947" t="s">
        <v>2190</v>
      </c>
      <c r="Y301" s="933"/>
      <c r="Z301" s="934"/>
      <c r="AA301" s="934"/>
      <c r="AB301" s="934"/>
      <c r="AC301" s="934"/>
      <c r="AD301" s="930"/>
      <c r="AE301" s="934"/>
      <c r="AF301" s="934"/>
      <c r="AG301" s="934"/>
      <c r="AH301" s="934"/>
      <c r="AI301" s="930"/>
      <c r="AJ301" s="934"/>
      <c r="AK301" s="934"/>
      <c r="AL301" s="934"/>
      <c r="AM301" s="930"/>
      <c r="AN301" s="935"/>
      <c r="AO301" s="935"/>
      <c r="AP301" s="935"/>
      <c r="AQ301" s="930"/>
      <c r="AR301" s="934"/>
      <c r="AS301" s="934"/>
      <c r="AT301" s="934"/>
      <c r="AU301" s="930"/>
      <c r="AV301" s="909"/>
      <c r="AW301" s="909"/>
      <c r="AX301" s="909"/>
      <c r="AY301" s="920"/>
      <c r="AZ301" s="936"/>
      <c r="BA301" s="936"/>
      <c r="BB301" s="936"/>
      <c r="BC301" s="937"/>
      <c r="BD301" s="936"/>
      <c r="BE301" s="936"/>
      <c r="BF301" s="936"/>
      <c r="BG301" s="937"/>
      <c r="BH301" s="936"/>
      <c r="BI301" s="936"/>
      <c r="BJ301" s="936"/>
      <c r="BK301" s="937"/>
      <c r="BL301" s="936"/>
      <c r="BM301" s="936"/>
      <c r="BN301" s="936"/>
      <c r="BO301" s="937"/>
      <c r="BP301" s="938"/>
      <c r="BQ301" s="938"/>
      <c r="BR301" s="938"/>
    </row>
    <row r="302" spans="2:70" s="1" customFormat="1" ht="12.75">
      <c r="B302" s="293"/>
      <c r="C302" s="294"/>
      <c r="D302" s="295"/>
      <c r="E302" s="75"/>
      <c r="F302" s="75" t="s">
        <v>2538</v>
      </c>
      <c r="G302" s="75"/>
      <c r="H302" s="295"/>
      <c r="I302" s="68">
        <f>SUM(I303:I348)</f>
        <v>10165281401</v>
      </c>
      <c r="J302" s="68">
        <f>SUM(J303:J348)</f>
        <v>20023551</v>
      </c>
      <c r="K302" s="68">
        <f>SUM(K303:K348)</f>
        <v>0</v>
      </c>
      <c r="L302" s="68">
        <f>SUM(L303:L348)</f>
        <v>10185304952</v>
      </c>
      <c r="M302" s="296"/>
      <c r="N302" s="69">
        <f>SUM(N303:N348)</f>
        <v>28230844491</v>
      </c>
      <c r="O302" s="69">
        <f>SUM(O303:O348)</f>
        <v>704168606</v>
      </c>
      <c r="P302" s="69">
        <f>SUM(P303:P348)</f>
        <v>0</v>
      </c>
      <c r="Q302" s="70">
        <f>SUM(Q303:Q348)</f>
        <v>28935013097</v>
      </c>
      <c r="R302" s="298"/>
      <c r="S302" s="175">
        <f t="shared" ref="S302:S342" si="230">L302-Q302</f>
        <v>-18749708145</v>
      </c>
      <c r="T302" s="176">
        <f t="shared" ref="T302:T342" si="231">IFERROR(S302/Q302,"To check")</f>
        <v>-0.64799376734838876</v>
      </c>
      <c r="X302" s="947" t="s">
        <v>2190</v>
      </c>
      <c r="Y302" s="304"/>
      <c r="Z302" s="235">
        <f>SUM(Z303:Z348)</f>
        <v>518847098</v>
      </c>
      <c r="AA302" s="235">
        <f>SUM(AA303:AA348)</f>
        <v>600000</v>
      </c>
      <c r="AB302" s="235">
        <f>SUM(AB303:AB348)</f>
        <v>0</v>
      </c>
      <c r="AC302" s="235">
        <f>SUM(AC303:AC348)</f>
        <v>519447098</v>
      </c>
      <c r="AD302" s="236"/>
      <c r="AE302" s="235">
        <f>SUM(AE303:AE348)</f>
        <v>32193022489</v>
      </c>
      <c r="AF302" s="235">
        <f>SUM(AF303:AF348)</f>
        <v>0</v>
      </c>
      <c r="AG302" s="235">
        <f>SUM(AG303:AG348)</f>
        <v>280000000</v>
      </c>
      <c r="AH302" s="235">
        <f>SUM(AH303:AH348)</f>
        <v>32473022489</v>
      </c>
      <c r="AI302" s="236"/>
      <c r="AJ302" s="235">
        <f>SUM(AJ303:AJ348)</f>
        <v>4090000</v>
      </c>
      <c r="AK302" s="235">
        <f>SUM(AK303:AK348)</f>
        <v>0</v>
      </c>
      <c r="AL302" s="235">
        <f>SUM(AL303:AL348)</f>
        <v>4090000</v>
      </c>
      <c r="AM302" s="236"/>
      <c r="AN302" s="237">
        <f>SUM(AN303:AN348)</f>
        <v>33095362087</v>
      </c>
      <c r="AO302" s="237">
        <f>SUM(AO303:AO348)</f>
        <v>11939179383</v>
      </c>
      <c r="AP302" s="237">
        <f>SUM(AP303:AP348)</f>
        <v>45034541470</v>
      </c>
      <c r="AQ302" s="236"/>
      <c r="AR302" s="235">
        <f>SUM(AR303:AR348)</f>
        <v>102892500</v>
      </c>
      <c r="AS302" s="235">
        <f>SUM(AS303:AS348)</f>
        <v>0</v>
      </c>
      <c r="AT302" s="235">
        <f>SUM(AT303:AT348)</f>
        <v>102892500</v>
      </c>
      <c r="AU302" s="236"/>
      <c r="AV302" s="238">
        <f>SUM(AV303:AV348)</f>
        <v>55223936422</v>
      </c>
      <c r="AW302" s="238">
        <f>SUM(AW303:AW348)</f>
        <v>2587505032</v>
      </c>
      <c r="AX302" s="238">
        <f>SUM(AX303:AX348)</f>
        <v>57811441454</v>
      </c>
      <c r="AY302" s="614"/>
      <c r="AZ302" s="235">
        <f>SUM(AZ303:AZ348)</f>
        <v>1826873486</v>
      </c>
      <c r="BA302" s="235">
        <f>SUM(BA303:BA348)</f>
        <v>36508333</v>
      </c>
      <c r="BB302" s="235">
        <f>SUM(BB303:BB348)</f>
        <v>1863381819</v>
      </c>
      <c r="BC302" s="236"/>
      <c r="BD302" s="235">
        <f>SUM(BD303:BD348)</f>
        <v>11831220217</v>
      </c>
      <c r="BE302" s="235">
        <f>SUM(BE303:BE348)</f>
        <v>0</v>
      </c>
      <c r="BF302" s="235">
        <f>SUM(BF303:BF348)</f>
        <v>11831220217</v>
      </c>
      <c r="BG302" s="236"/>
      <c r="BH302" s="235">
        <f>SUM(BH303:BH348)</f>
        <v>32745625</v>
      </c>
      <c r="BI302" s="235">
        <f>SUM(BI303:BI348)</f>
        <v>0</v>
      </c>
      <c r="BJ302" s="235">
        <f>SUM(BJ303:BJ348)</f>
        <v>32745625</v>
      </c>
      <c r="BK302" s="236"/>
      <c r="BL302" s="235">
        <f>SUM(BL303:BL348)</f>
        <v>165083</v>
      </c>
      <c r="BM302" s="235">
        <f>SUM(BM303:BM348)</f>
        <v>0</v>
      </c>
      <c r="BN302" s="235">
        <f>SUM(BN303:BN348)</f>
        <v>165083</v>
      </c>
      <c r="BO302" s="236"/>
      <c r="BP302" s="443">
        <f>SUM(BP303:BP348)</f>
        <v>55269601330</v>
      </c>
      <c r="BQ302" s="443">
        <f>SUM(BQ303:BQ348)</f>
        <v>0</v>
      </c>
      <c r="BR302" s="443">
        <f>SUM(BR303:BR348)</f>
        <v>55269601330</v>
      </c>
    </row>
    <row r="303" spans="2:70" ht="12.75">
      <c r="B303" s="939">
        <v>26</v>
      </c>
      <c r="C303" s="940" t="s">
        <v>2539</v>
      </c>
      <c r="D303" s="941" t="s">
        <v>2539</v>
      </c>
      <c r="E303" s="928" t="s">
        <v>721</v>
      </c>
      <c r="F303" s="928" t="s">
        <v>2515</v>
      </c>
      <c r="G303" s="927" t="s">
        <v>2540</v>
      </c>
      <c r="H303" s="927" t="s">
        <v>2222</v>
      </c>
      <c r="I303" s="942">
        <f>SUMIFS('GL911.Cty Me.FY24'!T:T,'GL911.Cty Me.FY24'!H:H,'A0.LS'!E303)</f>
        <v>0</v>
      </c>
      <c r="J303" s="942">
        <f>ROUND(SUMIFS('A5.FY24'!K:K,'A5.FY24'!E:E,'A0.LS'!E303,'A5.FY24'!L:L,"Finhay",'A5.FY24'!M:M,"Posted"),0)</f>
        <v>0</v>
      </c>
      <c r="K303" s="942">
        <f>ROUND(SUMIFS('A5.FY24'!K:K,'A5.FY24'!E:E,'A0.LS'!E303,'A5.FY24'!L:L,"EY",'A5.FY24'!M:M,"Posted"),0)</f>
        <v>0</v>
      </c>
      <c r="L303" s="943">
        <f t="shared" ref="L303:L348" si="232">ROUND(SUM(I303:K303),0)</f>
        <v>0</v>
      </c>
      <c r="M303" s="930"/>
      <c r="N303" s="944">
        <v>0</v>
      </c>
      <c r="O303" s="944">
        <v>0</v>
      </c>
      <c r="P303" s="944">
        <v>0</v>
      </c>
      <c r="Q303" s="945">
        <v>0</v>
      </c>
      <c r="R303" s="898"/>
      <c r="S303" s="848">
        <f t="shared" si="230"/>
        <v>0</v>
      </c>
      <c r="T303" s="946" t="str">
        <f t="shared" si="231"/>
        <v>To check</v>
      </c>
      <c r="U303" s="850"/>
      <c r="V303" s="850" t="s">
        <v>2517</v>
      </c>
      <c r="W303" s="850"/>
      <c r="X303" s="947" t="s">
        <v>2190</v>
      </c>
      <c r="Y303" s="947" t="s">
        <v>2540</v>
      </c>
      <c r="Z303" s="936">
        <f>ROUND(SUMIFS('GL911.CtyCon.FY24'!N:N,'GL911.CtyCon.FY24'!G:G,'A0.LS'!E303),0)</f>
        <v>247421326</v>
      </c>
      <c r="AA303" s="936">
        <f>ROUND(SUMIFS('A5.CTC FY24'!K:K,'A5.CTC FY24'!E:E,'A0.LS'!E303,'A5.CTC FY24'!A:A,'A0.LS'!$AA$5,'A5.CTC FY24'!L:L,"Finhay",'A5.CTC FY24'!M:M,"Posted"),0)</f>
        <v>500000</v>
      </c>
      <c r="AB303" s="936">
        <f>ROUND(SUMIFS('A5.CTC FY24'!K:K,'A5.CTC FY24'!E:E,'A0.LS'!E303,'A5.CTC FY24'!A:A,'A0.LS'!$AB$5,'A5.CTC FY24'!L:L,"EY",'A5.CTC FY24'!M:M,"Posted"),0)</f>
        <v>0</v>
      </c>
      <c r="AC303" s="948">
        <f t="shared" ref="AC303:AC348" si="233">ROUND(SUM(Z303:AB303),0)</f>
        <v>247921326</v>
      </c>
      <c r="AD303" s="930"/>
      <c r="AE303" s="936">
        <f>SUMIFS('GL911 VNSC FY24'!T:T,'GL911 VNSC FY24'!AG:AG,'A0.LS'!E303)</f>
        <v>18940639098</v>
      </c>
      <c r="AF303" s="936">
        <f>SUMIFS('A5.CTC FY24'!K:K,'A5.CTC FY24'!E:E,'A0.LS'!E303,'A5.CTC FY24'!A:A,"VNSC",'A5.CTC FY24'!L:L,"VNSC",'A5.CTC FY24'!M:M,"Posted")</f>
        <v>0</v>
      </c>
      <c r="AG303" s="936">
        <f>ROUND(SUMIFS('A5.CTC FY24'!K:K,'A5.CTC FY24'!E:E,'A0.LS'!E303,'A5.CTC FY24'!A:A,"VNSC",'A5.CTC FY24'!L:L,"EY",'A5.CTC FY24'!M:M,"Posted"),0)</f>
        <v>0</v>
      </c>
      <c r="AH303" s="936">
        <f t="shared" ref="AH303:AH348" si="234">ROUND(SUM(AE303:AG303),0)</f>
        <v>18940639098</v>
      </c>
      <c r="AI303" s="930"/>
      <c r="AJ303" s="936">
        <f>ROUND(SUMIFS('GL911.KCG.FY24'!L:L,'GL911.KCG.FY24'!F:F,'A0.LS'!E303),0)</f>
        <v>0</v>
      </c>
      <c r="AK303" s="936">
        <f>ROUND(SUMIFS('A5.CTC FY24'!K:K,'A5.CTC FY24'!E:E,'A0.LS'!E303,'A5.CTC FY24'!A:A,'A0.LS'!$AK$5,'A5.CTC FY24'!L:L,"EY",'A5.CTC FY24'!M:M,"Posted"),0)</f>
        <v>0</v>
      </c>
      <c r="AL303" s="948">
        <f t="shared" ref="AL303:AL348" si="235">ROUND(SUM(AJ303:AK303),0)</f>
        <v>0</v>
      </c>
      <c r="AM303" s="930"/>
      <c r="AN303" s="949">
        <f>ROUND(SUM(AT303,AH303,AC303),0)</f>
        <v>19188560424</v>
      </c>
      <c r="AO303" s="950">
        <f>ROUND(SUMIFS('A5.Consol FY24'!L:L,'A5.Consol FY24'!M:M,"EY",'A5.Consol FY24'!N:N,"Posted",'A5.Consol FY24'!B:B,'A0.LS'!$AO$5,'A5.Consol FY24'!F:F,'A0.LS'!E303),0)</f>
        <v>0</v>
      </c>
      <c r="AP303" s="949">
        <f t="shared" ref="AP303:AP348" si="236">ROUND(SUM(AN303:AO303),0)</f>
        <v>19188560424</v>
      </c>
      <c r="AQ303" s="930"/>
      <c r="AR303" s="936">
        <f>ROUND(SUMIFS('GL911.XH.FY24'!L:L,'GL911.XH.FY24'!F:F,'A0.LS'!E303),0)</f>
        <v>0</v>
      </c>
      <c r="AS303" s="936">
        <f>ROUND(SUMIFS('A5.CTC FY24'!K:K,'A5.CTC FY24'!E:E,'A0.LS'!E303,'A5.CTC FY24'!A:A,'A0.LS'!$AS$5,'A5.CTC FY24'!L:L,"EY",'A5.CTC FY24'!M:M,"Posted"),0)</f>
        <v>0</v>
      </c>
      <c r="AT303" s="948">
        <f t="shared" ref="AT303:AT348" si="237">ROUND(SUM(AR303:AS303),0)</f>
        <v>0</v>
      </c>
      <c r="AU303" s="930"/>
      <c r="AV303" s="951">
        <f t="shared" ref="AV303:AV348" si="238">ROUND(SUM(AP303,AL303,L303),0)</f>
        <v>19188560424</v>
      </c>
      <c r="AW303" s="952">
        <f>SUMIFS('A5.Consol FY24'!L:L,'A5.Consol FY24'!B:B,'A0.LS'!$AW$5,'A5.Consol FY24'!M:M,"EY",'A5.Consol FY24'!N:N,"Posted",'A5.Consol FY24'!F:F,'A0.LS'!E303)</f>
        <v>0</v>
      </c>
      <c r="AX303" s="951">
        <f t="shared" ref="AX303:AX348" si="239">ROUND(SUM(AV303:AW303),0)</f>
        <v>19188560424</v>
      </c>
      <c r="AY303" s="920"/>
      <c r="AZ303" s="936">
        <f>SUMIFS('911.CTC.YE22'!U:U,'911.CTC.YE22'!R:R,'A0.LS'!E303)</f>
        <v>472263773</v>
      </c>
      <c r="BA303" s="936">
        <f>ROUND(SUMIFS('A5.YE22'!J:J,'A5.YE22'!K:K,'A0.LS'!$BA$5,'A5.YE22'!L:L,"Posted",'A5.YE22'!D:D,'A0.LS'!E303),0)</f>
        <v>0</v>
      </c>
      <c r="BB303" s="936">
        <f t="shared" ref="BB303:BB348" si="240">ROUND(SUM(AZ303:BA303),0)</f>
        <v>472263773</v>
      </c>
      <c r="BC303" s="937"/>
      <c r="BD303" s="936">
        <f>ROUND(SUMIFS('911.VNSC.YE22'!R:R,'911.VNSC.YE22'!L:L,'A0.LS'!E303),0)</f>
        <v>0</v>
      </c>
      <c r="BE303" s="936">
        <f>ROUND(SUMIFS('A5.YE22'!J:J,'A5.YE22'!K:K,'A0.LS'!$BE$5,'A5.YE22'!L:L,"Posted",'A5.YE22'!D:D,'A0.LS'!E303),0)</f>
        <v>0</v>
      </c>
      <c r="BF303" s="936">
        <f t="shared" ref="BF303:BF348" si="241">ROUND(SUM(BD303:BE303),0)</f>
        <v>0</v>
      </c>
      <c r="BG303" s="937"/>
      <c r="BH303" s="936">
        <f>ROUND(SUMIFS('911.XH.YE22'!T:T,'911.XH.YE22'!P:P,'A0.LS'!E303),0)</f>
        <v>0</v>
      </c>
      <c r="BI303" s="936">
        <f>ROUND(SUMIFS('A5.YE22'!J:J,'A5.YE22'!K:K,"XH",'A5.YE22'!L:L,"Posted",'A5.YE22'!D:D,'A0.LS'!E303),0)</f>
        <v>0</v>
      </c>
      <c r="BJ303" s="936">
        <f t="shared" ref="BJ303:BJ348" si="242">ROUND(SUM(BH303:BI303),0)</f>
        <v>0</v>
      </c>
      <c r="BK303" s="937"/>
      <c r="BL303" s="936">
        <f>ROUND(SUMIFS('911.KCG.YE22'!T:T,'911.KCG.YE22'!P:P,'A0.LS'!E303),0)</f>
        <v>0</v>
      </c>
      <c r="BM303" s="936">
        <f>ROUND(SUMIFS('A5.YE22'!J:J,'A5.YE22'!K:K,'A0.LS'!$BM$5,'A5.YE22'!L:L,"Posted",'A5.YE22'!D:D,'A0.LS'!E303),0)</f>
        <v>0</v>
      </c>
      <c r="BN303" s="936">
        <f t="shared" ref="BN303:BN348" si="243">ROUND(SUM(BL303:BM303),0)</f>
        <v>0</v>
      </c>
      <c r="BO303" s="937"/>
      <c r="BP303" s="938">
        <v>7848313255</v>
      </c>
      <c r="BQ303" s="938">
        <f>ROUND(SUMIFS('A5.YE22'!J:J,'A5.YE22'!K:K,'A0.LS'!$BQ$5,'A5.YE22'!L:L,"Posted",'A5.YE22'!D:D,'A0.LS'!E303),0)</f>
        <v>0</v>
      </c>
      <c r="BR303" s="938">
        <f t="shared" ref="BR303:BR348" si="244">ROUND(SUM(BP303:BQ303),0)</f>
        <v>7848313255</v>
      </c>
    </row>
    <row r="304" spans="2:70" ht="12.75">
      <c r="B304" s="939">
        <v>26</v>
      </c>
      <c r="C304" s="940" t="s">
        <v>2541</v>
      </c>
      <c r="D304" s="941" t="s">
        <v>2541</v>
      </c>
      <c r="E304" s="928" t="s">
        <v>722</v>
      </c>
      <c r="F304" s="928" t="s">
        <v>2518</v>
      </c>
      <c r="G304" s="927" t="s">
        <v>2540</v>
      </c>
      <c r="H304" s="927" t="s">
        <v>2222</v>
      </c>
      <c r="I304" s="942">
        <f>SUMIFS('GL911.Cty Me.FY24'!T:T,'GL911.Cty Me.FY24'!H:H,'A0.LS'!E304)</f>
        <v>0</v>
      </c>
      <c r="J304" s="942">
        <f>ROUND(SUMIFS('A5.FY24'!K:K,'A5.FY24'!E:E,'A0.LS'!E304,'A5.FY24'!L:L,"Finhay",'A5.FY24'!M:M,"Posted"),0)</f>
        <v>0</v>
      </c>
      <c r="K304" s="942">
        <f>ROUND(SUMIFS('A5.FY24'!K:K,'A5.FY24'!E:E,'A0.LS'!E304,'A5.FY24'!L:L,"EY",'A5.FY24'!M:M,"Posted"),0)</f>
        <v>0</v>
      </c>
      <c r="L304" s="943">
        <f t="shared" si="232"/>
        <v>0</v>
      </c>
      <c r="M304" s="930"/>
      <c r="N304" s="944">
        <v>0</v>
      </c>
      <c r="O304" s="944">
        <v>0</v>
      </c>
      <c r="P304" s="944">
        <v>0</v>
      </c>
      <c r="Q304" s="945">
        <v>0</v>
      </c>
      <c r="R304" s="898"/>
      <c r="S304" s="848">
        <f t="shared" si="230"/>
        <v>0</v>
      </c>
      <c r="T304" s="946" t="str">
        <f t="shared" si="231"/>
        <v>To check</v>
      </c>
      <c r="U304" s="850"/>
      <c r="V304" s="850" t="s">
        <v>2519</v>
      </c>
      <c r="W304" s="850"/>
      <c r="X304" s="947" t="s">
        <v>2190</v>
      </c>
      <c r="Y304" s="947" t="s">
        <v>2540</v>
      </c>
      <c r="Z304" s="936">
        <f>ROUND(SUMIFS('GL911.CtyCon.FY24'!N:N,'GL911.CtyCon.FY24'!G:G,'A0.LS'!E304),0)</f>
        <v>17220000</v>
      </c>
      <c r="AA304" s="936">
        <f>ROUND(SUMIFS('A5.CTC FY24'!K:K,'A5.CTC FY24'!E:E,'A0.LS'!E304,'A5.CTC FY24'!A:A,'A0.LS'!$AA$5,'A5.CTC FY24'!L:L,"Finhay",'A5.CTC FY24'!M:M,"Posted"),0)</f>
        <v>0</v>
      </c>
      <c r="AB304" s="936">
        <f>ROUND(SUMIFS('A5.CTC FY24'!K:K,'A5.CTC FY24'!E:E,'A0.LS'!E304,'A5.CTC FY24'!A:A,'A0.LS'!$AB$5,'A5.CTC FY24'!L:L,"EY",'A5.CTC FY24'!M:M,"Posted"),0)</f>
        <v>0</v>
      </c>
      <c r="AC304" s="948">
        <f t="shared" si="233"/>
        <v>17220000</v>
      </c>
      <c r="AD304" s="930"/>
      <c r="AE304" s="936">
        <f>SUMIFS('GL911 VNSC FY24'!T:T,'GL911 VNSC FY24'!AG:AG,'A0.LS'!E304)</f>
        <v>1126314000</v>
      </c>
      <c r="AF304" s="936">
        <f>SUMIFS('A5.CTC FY24'!K:K,'A5.CTC FY24'!E:E,'A0.LS'!E304,'A5.CTC FY24'!A:A,"VNSC",'A5.CTC FY24'!L:L,"VNSC",'A5.CTC FY24'!M:M,"Posted")</f>
        <v>0</v>
      </c>
      <c r="AG304" s="936">
        <f>ROUND(SUMIFS('A5.CTC FY24'!K:K,'A5.CTC FY24'!E:E,'A0.LS'!E304,'A5.CTC FY24'!A:A,"VNSC",'A5.CTC FY24'!L:L,"EY",'A5.CTC FY24'!M:M,"Posted"),0)</f>
        <v>0</v>
      </c>
      <c r="AH304" s="936">
        <f t="shared" si="234"/>
        <v>1126314000</v>
      </c>
      <c r="AI304" s="930"/>
      <c r="AJ304" s="936">
        <f>ROUND(SUMIFS('GL911.KCG.FY24'!L:L,'GL911.KCG.FY24'!F:F,'A0.LS'!E304),0)</f>
        <v>0</v>
      </c>
      <c r="AK304" s="936">
        <f>ROUND(SUMIFS('A5.CTC FY24'!K:K,'A5.CTC FY24'!E:E,'A0.LS'!E304,'A5.CTC FY24'!A:A,'A0.LS'!$AK$5,'A5.CTC FY24'!L:L,"EY",'A5.CTC FY24'!M:M,"Posted"),0)</f>
        <v>0</v>
      </c>
      <c r="AL304" s="948">
        <f t="shared" si="235"/>
        <v>0</v>
      </c>
      <c r="AM304" s="930"/>
      <c r="AN304" s="949">
        <f t="shared" ref="AN304:AN348" si="245">ROUND(SUM(AT304,AH304,AC304),0)</f>
        <v>1143534000</v>
      </c>
      <c r="AO304" s="950">
        <f>ROUND(SUMIFS('A5.Consol FY24'!L:L,'A5.Consol FY24'!M:M,"EY",'A5.Consol FY24'!N:N,"Posted",'A5.Consol FY24'!B:B,'A0.LS'!$AO$5,'A5.Consol FY24'!F:F,'A0.LS'!E304),0)</f>
        <v>0</v>
      </c>
      <c r="AP304" s="949">
        <f t="shared" si="236"/>
        <v>1143534000</v>
      </c>
      <c r="AQ304" s="930"/>
      <c r="AR304" s="936">
        <f>ROUND(SUMIFS('GL911.XH.FY24'!L:L,'GL911.XH.FY24'!F:F,'A0.LS'!E304),0)</f>
        <v>0</v>
      </c>
      <c r="AS304" s="936">
        <f>ROUND(SUMIFS('A5.CTC FY24'!K:K,'A5.CTC FY24'!E:E,'A0.LS'!E304,'A5.CTC FY24'!A:A,'A0.LS'!$AS$5,'A5.CTC FY24'!L:L,"EY",'A5.CTC FY24'!M:M,"Posted"),0)</f>
        <v>0</v>
      </c>
      <c r="AT304" s="948">
        <f t="shared" si="237"/>
        <v>0</v>
      </c>
      <c r="AU304" s="930"/>
      <c r="AV304" s="951">
        <f t="shared" si="238"/>
        <v>1143534000</v>
      </c>
      <c r="AW304" s="952">
        <f>SUMIFS('A5.Consol FY24'!L:L,'A5.Consol FY24'!B:B,'A0.LS'!$AW$5,'A5.Consol FY24'!M:M,"EY",'A5.Consol FY24'!N:N,"Posted",'A5.Consol FY24'!F:F,'A0.LS'!E304)</f>
        <v>0</v>
      </c>
      <c r="AX304" s="951">
        <f t="shared" si="239"/>
        <v>1143534000</v>
      </c>
      <c r="AY304" s="920"/>
      <c r="AZ304" s="936">
        <f>SUMIFS('911.CTC.YE22'!U:U,'911.CTC.YE22'!R:R,'A0.LS'!E304)</f>
        <v>29034000</v>
      </c>
      <c r="BA304" s="936">
        <f>ROUND(SUMIFS('A5.YE22'!J:J,'A5.YE22'!K:K,'A0.LS'!$BA$5,'A5.YE22'!L:L,"Posted",'A5.YE22'!D:D,'A0.LS'!E304),0)</f>
        <v>0</v>
      </c>
      <c r="BB304" s="936">
        <f t="shared" si="240"/>
        <v>29034000</v>
      </c>
      <c r="BC304" s="937"/>
      <c r="BD304" s="936">
        <f>ROUND(SUMIFS('911.VNSC.YE22'!R:R,'911.VNSC.YE22'!L:L,'A0.LS'!E304),0)</f>
        <v>0</v>
      </c>
      <c r="BE304" s="936">
        <f>ROUND(SUMIFS('A5.YE22'!J:J,'A5.YE22'!K:K,'A0.LS'!$BE$5,'A5.YE22'!L:L,"Posted",'A5.YE22'!D:D,'A0.LS'!E304),0)</f>
        <v>0</v>
      </c>
      <c r="BF304" s="936">
        <f t="shared" si="241"/>
        <v>0</v>
      </c>
      <c r="BG304" s="937"/>
      <c r="BH304" s="936">
        <f>ROUND(SUMIFS('911.XH.YE22'!T:T,'911.XH.YE22'!P:P,'A0.LS'!E304),0)</f>
        <v>0</v>
      </c>
      <c r="BI304" s="936">
        <f>ROUND(SUMIFS('A5.YE22'!J:J,'A5.YE22'!K:K,"XH",'A5.YE22'!L:L,"Posted",'A5.YE22'!D:D,'A0.LS'!E304),0)</f>
        <v>0</v>
      </c>
      <c r="BJ304" s="936">
        <f t="shared" si="242"/>
        <v>0</v>
      </c>
      <c r="BK304" s="937"/>
      <c r="BL304" s="936">
        <f>ROUND(SUMIFS('911.KCG.YE22'!T:T,'911.KCG.YE22'!P:P,'A0.LS'!E304),0)</f>
        <v>0</v>
      </c>
      <c r="BM304" s="936">
        <f>ROUND(SUMIFS('A5.YE22'!J:J,'A5.YE22'!K:K,'A0.LS'!$BM$5,'A5.YE22'!L:L,"Posted",'A5.YE22'!D:D,'A0.LS'!E304),0)</f>
        <v>0</v>
      </c>
      <c r="BN304" s="936">
        <f t="shared" si="243"/>
        <v>0</v>
      </c>
      <c r="BO304" s="937"/>
      <c r="BP304" s="938">
        <v>335858200</v>
      </c>
      <c r="BQ304" s="938">
        <f>ROUND(SUMIFS('A5.YE22'!J:J,'A5.YE22'!K:K,'A0.LS'!$BQ$5,'A5.YE22'!L:L,"Posted",'A5.YE22'!D:D,'A0.LS'!E304),0)</f>
        <v>0</v>
      </c>
      <c r="BR304" s="938">
        <f t="shared" si="244"/>
        <v>335858200</v>
      </c>
    </row>
    <row r="305" spans="2:70" ht="12.6" customHeight="1">
      <c r="B305" s="939">
        <v>26</v>
      </c>
      <c r="C305" s="940" t="s">
        <v>2541</v>
      </c>
      <c r="D305" s="941" t="s">
        <v>2541</v>
      </c>
      <c r="E305" s="928" t="s">
        <v>724</v>
      </c>
      <c r="F305" s="928" t="s">
        <v>2542</v>
      </c>
      <c r="G305" s="927" t="s">
        <v>2540</v>
      </c>
      <c r="H305" s="927" t="s">
        <v>2222</v>
      </c>
      <c r="I305" s="942">
        <f>SUMIFS('GL911.Cty Me.FY24'!T:T,'GL911.Cty Me.FY24'!H:H,'A0.LS'!E305)</f>
        <v>0</v>
      </c>
      <c r="J305" s="942">
        <f>ROUND(SUMIFS('A5.FY24'!K:K,'A5.FY24'!E:E,'A0.LS'!E305,'A5.FY24'!L:L,"Finhay",'A5.FY24'!M:M,"Posted"),0)</f>
        <v>0</v>
      </c>
      <c r="K305" s="942">
        <f>ROUND(SUMIFS('A5.FY24'!K:K,'A5.FY24'!E:E,'A0.LS'!E305,'A5.FY24'!L:L,"EY",'A5.FY24'!M:M,"Posted"),0)</f>
        <v>0</v>
      </c>
      <c r="L305" s="943">
        <f t="shared" si="232"/>
        <v>0</v>
      </c>
      <c r="M305" s="930"/>
      <c r="N305" s="944">
        <v>0</v>
      </c>
      <c r="O305" s="944">
        <v>0</v>
      </c>
      <c r="P305" s="944">
        <v>0</v>
      </c>
      <c r="Q305" s="945">
        <v>0</v>
      </c>
      <c r="R305" s="898"/>
      <c r="S305" s="848">
        <f t="shared" si="230"/>
        <v>0</v>
      </c>
      <c r="T305" s="946" t="str">
        <f t="shared" si="231"/>
        <v>To check</v>
      </c>
      <c r="U305" s="850"/>
      <c r="V305" s="850" t="s">
        <v>2517</v>
      </c>
      <c r="W305" s="850"/>
      <c r="X305" s="947" t="s">
        <v>2190</v>
      </c>
      <c r="Y305" s="947" t="s">
        <v>2540</v>
      </c>
      <c r="Z305" s="936">
        <f>ROUND(SUMIFS('GL911.CtyCon.FY24'!N:N,'GL911.CtyCon.FY24'!G:G,'A0.LS'!E305),0)</f>
        <v>0</v>
      </c>
      <c r="AA305" s="936">
        <f>ROUND(SUMIFS('A5.CTC FY24'!K:K,'A5.CTC FY24'!E:E,'A0.LS'!E305,'A5.CTC FY24'!A:A,'A0.LS'!$AA$5,'A5.CTC FY24'!L:L,"Finhay",'A5.CTC FY24'!M:M,"Posted"),0)</f>
        <v>0</v>
      </c>
      <c r="AB305" s="936">
        <f>ROUND(SUMIFS('A5.CTC FY24'!K:K,'A5.CTC FY24'!E:E,'A0.LS'!E305,'A5.CTC FY24'!A:A,'A0.LS'!$AB$5,'A5.CTC FY24'!L:L,"EY",'A5.CTC FY24'!M:M,"Posted"),0)</f>
        <v>0</v>
      </c>
      <c r="AC305" s="948">
        <f t="shared" si="233"/>
        <v>0</v>
      </c>
      <c r="AD305" s="930"/>
      <c r="AE305" s="936">
        <f>SUMIFS('GL911 VNSC FY24'!T:T,'GL911 VNSC FY24'!AG:AG,'A0.LS'!E305)</f>
        <v>0</v>
      </c>
      <c r="AF305" s="936">
        <f>SUMIFS('A5.CTC FY24'!K:K,'A5.CTC FY24'!E:E,'A0.LS'!E305,'A5.CTC FY24'!A:A,"VNSC",'A5.CTC FY24'!L:L,"VNSC",'A5.CTC FY24'!M:M,"Posted")</f>
        <v>0</v>
      </c>
      <c r="AG305" s="936">
        <f>ROUND(SUMIFS('A5.CTC FY24'!K:K,'A5.CTC FY24'!E:E,'A0.LS'!E305,'A5.CTC FY24'!A:A,"VNSC",'A5.CTC FY24'!L:L,"EY",'A5.CTC FY24'!M:M,"Posted"),0)</f>
        <v>0</v>
      </c>
      <c r="AH305" s="936">
        <f t="shared" si="234"/>
        <v>0</v>
      </c>
      <c r="AI305" s="930"/>
      <c r="AJ305" s="936">
        <f>ROUND(SUMIFS('GL911.KCG.FY24'!L:L,'GL911.KCG.FY24'!F:F,'A0.LS'!E305),0)</f>
        <v>0</v>
      </c>
      <c r="AK305" s="936">
        <f>ROUND(SUMIFS('A5.CTC FY24'!K:K,'A5.CTC FY24'!E:E,'A0.LS'!E305,'A5.CTC FY24'!A:A,'A0.LS'!$AK$5,'A5.CTC FY24'!L:L,"EY",'A5.CTC FY24'!M:M,"Posted"),0)</f>
        <v>0</v>
      </c>
      <c r="AL305" s="948">
        <f t="shared" si="235"/>
        <v>0</v>
      </c>
      <c r="AM305" s="930"/>
      <c r="AN305" s="949">
        <f t="shared" si="245"/>
        <v>0</v>
      </c>
      <c r="AO305" s="950">
        <f>ROUND(SUMIFS('A5.Consol FY24'!L:L,'A5.Consol FY24'!M:M,"EY",'A5.Consol FY24'!N:N,"Posted",'A5.Consol FY24'!B:B,'A0.LS'!$AO$5,'A5.Consol FY24'!F:F,'A0.LS'!E305),0)</f>
        <v>0</v>
      </c>
      <c r="AP305" s="949">
        <f t="shared" si="236"/>
        <v>0</v>
      </c>
      <c r="AQ305" s="930"/>
      <c r="AR305" s="936">
        <f>ROUND(SUMIFS('GL911.XH.FY24'!L:L,'GL911.XH.FY24'!F:F,'A0.LS'!E305),0)</f>
        <v>0</v>
      </c>
      <c r="AS305" s="936">
        <f>ROUND(SUMIFS('A5.CTC FY24'!K:K,'A5.CTC FY24'!E:E,'A0.LS'!E305,'A5.CTC FY24'!A:A,'A0.LS'!$AS$5,'A5.CTC FY24'!L:L,"EY",'A5.CTC FY24'!M:M,"Posted"),0)</f>
        <v>0</v>
      </c>
      <c r="AT305" s="948">
        <f t="shared" si="237"/>
        <v>0</v>
      </c>
      <c r="AU305" s="930"/>
      <c r="AV305" s="951">
        <f t="shared" si="238"/>
        <v>0</v>
      </c>
      <c r="AW305" s="952">
        <f>SUMIFS('A5.Consol FY24'!L:L,'A5.Consol FY24'!B:B,'A0.LS'!$AW$5,'A5.Consol FY24'!M:M,"EY",'A5.Consol FY24'!N:N,"Posted",'A5.Consol FY24'!F:F,'A0.LS'!E305)</f>
        <v>0</v>
      </c>
      <c r="AX305" s="951">
        <f t="shared" si="239"/>
        <v>0</v>
      </c>
      <c r="AY305" s="920"/>
      <c r="AZ305" s="936">
        <f>SUMIFS('911.CTC.YE22'!U:U,'911.CTC.YE22'!R:R,'A0.LS'!E305)</f>
        <v>6918500</v>
      </c>
      <c r="BA305" s="936">
        <f>ROUND(SUMIFS('A5.YE22'!J:J,'A5.YE22'!K:K,'A0.LS'!$BA$5,'A5.YE22'!L:L,"Posted",'A5.YE22'!D:D,'A0.LS'!E305),0)</f>
        <v>0</v>
      </c>
      <c r="BB305" s="936">
        <f t="shared" si="240"/>
        <v>6918500</v>
      </c>
      <c r="BC305" s="937"/>
      <c r="BD305" s="936">
        <f>ROUND(SUMIFS('911.VNSC.YE22'!R:R,'911.VNSC.YE22'!L:L,'A0.LS'!E305),0)</f>
        <v>0</v>
      </c>
      <c r="BE305" s="936">
        <f>ROUND(SUMIFS('A5.YE22'!J:J,'A5.YE22'!K:K,'A0.LS'!$BE$5,'A5.YE22'!L:L,"Posted",'A5.YE22'!D:D,'A0.LS'!E305),0)</f>
        <v>0</v>
      </c>
      <c r="BF305" s="936">
        <f t="shared" si="241"/>
        <v>0</v>
      </c>
      <c r="BG305" s="937"/>
      <c r="BH305" s="936">
        <f>ROUND(SUMIFS('911.XH.YE22'!T:T,'911.XH.YE22'!P:P,'A0.LS'!E305),0)</f>
        <v>0</v>
      </c>
      <c r="BI305" s="936">
        <f>ROUND(SUMIFS('A5.YE22'!J:J,'A5.YE22'!K:K,"XH",'A5.YE22'!L:L,"Posted",'A5.YE22'!D:D,'A0.LS'!E305),0)</f>
        <v>0</v>
      </c>
      <c r="BJ305" s="936">
        <f t="shared" si="242"/>
        <v>0</v>
      </c>
      <c r="BK305" s="937"/>
      <c r="BL305" s="936">
        <f>ROUND(SUMIFS('911.KCG.YE22'!T:T,'911.KCG.YE22'!P:P,'A0.LS'!E305),0)</f>
        <v>0</v>
      </c>
      <c r="BM305" s="936">
        <f>ROUND(SUMIFS('A5.YE22'!J:J,'A5.YE22'!K:K,'A0.LS'!$BM$5,'A5.YE22'!L:L,"Posted",'A5.YE22'!D:D,'A0.LS'!E305),0)</f>
        <v>0</v>
      </c>
      <c r="BN305" s="936">
        <f t="shared" si="243"/>
        <v>0</v>
      </c>
      <c r="BO305" s="937"/>
      <c r="BP305" s="938">
        <v>300000</v>
      </c>
      <c r="BQ305" s="938">
        <f>ROUND(SUMIFS('A5.YE22'!J:J,'A5.YE22'!K:K,'A0.LS'!$BQ$5,'A5.YE22'!L:L,"Posted",'A5.YE22'!D:D,'A0.LS'!E305),0)</f>
        <v>0</v>
      </c>
      <c r="BR305" s="938">
        <f t="shared" si="244"/>
        <v>300000</v>
      </c>
    </row>
    <row r="306" spans="2:70" s="1" customFormat="1" ht="12.75">
      <c r="B306" s="939">
        <v>26</v>
      </c>
      <c r="C306" s="940" t="s">
        <v>2539</v>
      </c>
      <c r="D306" s="941" t="s">
        <v>2539</v>
      </c>
      <c r="E306" s="928" t="s">
        <v>378</v>
      </c>
      <c r="F306" s="928" t="s">
        <v>2515</v>
      </c>
      <c r="G306" s="927" t="s">
        <v>2540</v>
      </c>
      <c r="H306" s="927" t="s">
        <v>2222</v>
      </c>
      <c r="I306" s="942">
        <f>SUMIFS('GL911.Cty Me.FY24'!T:T,'GL911.Cty Me.FY24'!H:H,'A0.LS'!E306)</f>
        <v>3103448914</v>
      </c>
      <c r="J306" s="942">
        <f>ROUND(SUMIFS('A5.FY24'!K:K,'A5.FY24'!E:E,'A0.LS'!E306,'A5.FY24'!L:L,"Finhay",'A5.FY24'!M:M,"Posted"),0)</f>
        <v>3300000</v>
      </c>
      <c r="K306" s="942">
        <f>ROUND(SUMIFS('A5.FY24'!K:K,'A5.FY24'!E:E,'A0.LS'!E306,'A5.FY24'!L:L,"EY",'A5.FY24'!M:M,"Posted"),0)</f>
        <v>0</v>
      </c>
      <c r="L306" s="943">
        <f t="shared" si="232"/>
        <v>3106748914</v>
      </c>
      <c r="M306" s="930"/>
      <c r="N306" s="944">
        <v>12290649561</v>
      </c>
      <c r="O306" s="944">
        <v>0</v>
      </c>
      <c r="P306" s="944">
        <v>0</v>
      </c>
      <c r="Q306" s="945">
        <v>12290649561</v>
      </c>
      <c r="R306" s="298"/>
      <c r="S306" s="175">
        <f t="shared" si="230"/>
        <v>-9183900647</v>
      </c>
      <c r="T306" s="176">
        <f t="shared" si="231"/>
        <v>-0.74722662959505726</v>
      </c>
      <c r="V306" s="1" t="s">
        <v>2517</v>
      </c>
      <c r="X306" s="321" t="s">
        <v>2190</v>
      </c>
      <c r="Y306" s="321" t="s">
        <v>2540</v>
      </c>
      <c r="Z306" s="235">
        <f>ROUND(SUMIFS('GL911.CtyCon.FY24'!N:N,'GL911.CtyCon.FY24'!G:G,'A0.LS'!E306),0)</f>
        <v>0</v>
      </c>
      <c r="AA306" s="235">
        <f>ROUND(SUMIFS('A5.CTC FY24'!K:K,'A5.CTC FY24'!E:E,'A0.LS'!E306,'A5.CTC FY24'!A:A,'A0.LS'!$AA$5,'A5.CTC FY24'!L:L,"Finhay",'A5.CTC FY24'!M:M,"Posted"),0)</f>
        <v>0</v>
      </c>
      <c r="AB306" s="235">
        <f>ROUND(SUMIFS('A5.CTC FY24'!K:K,'A5.CTC FY24'!E:E,'A0.LS'!E306,'A5.CTC FY24'!A:A,'A0.LS'!$AB$5,'A5.CTC FY24'!L:L,"EY",'A5.CTC FY24'!M:M,"Posted"),0)</f>
        <v>0</v>
      </c>
      <c r="AC306" s="322">
        <f t="shared" si="233"/>
        <v>0</v>
      </c>
      <c r="AD306" s="296"/>
      <c r="AE306" s="235">
        <f>SUMIFS('GL911 VNSC FY24'!T:T,'GL911 VNSC FY24'!AG:AG,'A0.LS'!E306)</f>
        <v>0</v>
      </c>
      <c r="AF306" s="235">
        <f>SUMIFS('A5.CTC FY24'!K:K,'A5.CTC FY24'!E:E,'A0.LS'!E306,'A5.CTC FY24'!A:A,"VNSC",'A5.CTC FY24'!L:L,"VNSC",'A5.CTC FY24'!M:M,"Posted")</f>
        <v>0</v>
      </c>
      <c r="AG306" s="235">
        <f>ROUND(SUMIFS('A5.CTC FY24'!K:K,'A5.CTC FY24'!E:E,'A0.LS'!E306,'A5.CTC FY24'!A:A,"VNSC",'A5.CTC FY24'!L:L,"EY",'A5.CTC FY24'!M:M,"Posted"),0)</f>
        <v>0</v>
      </c>
      <c r="AH306" s="235">
        <f t="shared" si="234"/>
        <v>0</v>
      </c>
      <c r="AI306" s="296"/>
      <c r="AJ306" s="235">
        <f>ROUND(SUMIFS('GL911.KCG.FY24'!L:L,'GL911.KCG.FY24'!F:F,'A0.LS'!E306),0)</f>
        <v>0</v>
      </c>
      <c r="AK306" s="235">
        <f>ROUND(SUMIFS('A5.CTC FY24'!K:K,'A5.CTC FY24'!E:E,'A0.LS'!E306,'A5.CTC FY24'!A:A,'A0.LS'!$AK$5,'A5.CTC FY24'!L:L,"EY",'A5.CTC FY24'!M:M,"Posted"),0)</f>
        <v>0</v>
      </c>
      <c r="AL306" s="322">
        <f t="shared" si="235"/>
        <v>0</v>
      </c>
      <c r="AM306" s="296"/>
      <c r="AN306" s="500">
        <f t="shared" si="245"/>
        <v>0</v>
      </c>
      <c r="AO306" s="237">
        <f>ROUND(SUMIFS('A5.Consol FY24'!L:L,'A5.Consol FY24'!M:M,"EY",'A5.Consol FY24'!N:N,"Posted",'A5.Consol FY24'!B:B,'A0.LS'!$AO$5,'A5.Consol FY24'!F:F,'A0.LS'!E306),0)</f>
        <v>0</v>
      </c>
      <c r="AP306" s="500">
        <f t="shared" si="236"/>
        <v>0</v>
      </c>
      <c r="AQ306" s="296"/>
      <c r="AR306" s="235">
        <f>ROUND(SUMIFS('GL911.XH.FY24'!L:L,'GL911.XH.FY24'!F:F,'A0.LS'!E306),0)</f>
        <v>0</v>
      </c>
      <c r="AS306" s="936">
        <f>ROUND(SUMIFS('A5.CTC FY24'!K:K,'A5.CTC FY24'!E:E,'A0.LS'!E306,'A5.CTC FY24'!A:A,'A0.LS'!$AS$5,'A5.CTC FY24'!L:L,"EY",'A5.CTC FY24'!M:M,"Posted"),0)</f>
        <v>0</v>
      </c>
      <c r="AT306" s="322">
        <f t="shared" si="237"/>
        <v>0</v>
      </c>
      <c r="AU306" s="296"/>
      <c r="AV306" s="951">
        <f t="shared" si="238"/>
        <v>3106748914</v>
      </c>
      <c r="AW306" s="952">
        <f>SUMIFS('A5.Consol FY24'!L:L,'A5.Consol FY24'!B:B,'A0.LS'!$AW$5,'A5.Consol FY24'!M:M,"EY",'A5.Consol FY24'!N:N,"Posted",'A5.Consol FY24'!F:F,'A0.LS'!E306)</f>
        <v>0</v>
      </c>
      <c r="AX306" s="951">
        <f t="shared" si="239"/>
        <v>3106748914</v>
      </c>
      <c r="AY306" s="614"/>
      <c r="AZ306" s="235">
        <f>SUMIFS('911.CTC.YE22'!U:U,'911.CTC.YE22'!R:R,'A0.LS'!E306)</f>
        <v>0</v>
      </c>
      <c r="BA306" s="235">
        <f>ROUND(SUMIFS('A5.YE22'!J:J,'A5.YE22'!K:K,'A0.LS'!$BA$5,'A5.YE22'!L:L,"Posted",'A5.YE22'!D:D,'A0.LS'!E306),0)</f>
        <v>36508333</v>
      </c>
      <c r="BB306" s="235">
        <f t="shared" si="240"/>
        <v>36508333</v>
      </c>
      <c r="BC306" s="236"/>
      <c r="BD306" s="235">
        <f>ROUND(SUMIFS('911.VNSC.YE22'!R:R,'911.VNSC.YE22'!L:L,'A0.LS'!E306),0)</f>
        <v>7217347368</v>
      </c>
      <c r="BE306" s="235">
        <f>ROUND(SUMIFS('A5.YE22'!J:J,'A5.YE22'!K:K,'A0.LS'!$BE$5,'A5.YE22'!L:L,"Posted",'A5.YE22'!D:D,'A0.LS'!E306),0)</f>
        <v>0</v>
      </c>
      <c r="BF306" s="235">
        <f t="shared" si="241"/>
        <v>7217347368</v>
      </c>
      <c r="BG306" s="236"/>
      <c r="BH306" s="235">
        <f>ROUND(SUMIFS('911.XH.YE22'!T:T,'911.XH.YE22'!P:P,'A0.LS'!E306),0)</f>
        <v>0</v>
      </c>
      <c r="BI306" s="235">
        <f>ROUND(SUMIFS('A5.YE22'!J:J,'A5.YE22'!K:K,"XH",'A5.YE22'!L:L,"Posted",'A5.YE22'!D:D,'A0.LS'!E306),0)</f>
        <v>0</v>
      </c>
      <c r="BJ306" s="235">
        <f t="shared" si="242"/>
        <v>0</v>
      </c>
      <c r="BK306" s="236"/>
      <c r="BL306" s="235">
        <f>ROUND(SUMIFS('911.KCG.YE22'!T:T,'911.KCG.YE22'!P:P,'A0.LS'!E306),0)</f>
        <v>0</v>
      </c>
      <c r="BM306" s="235">
        <f>ROUND(SUMIFS('A5.YE22'!J:J,'A5.YE22'!K:K,'A0.LS'!$BM$5,'A5.YE22'!L:L,"Posted",'A5.YE22'!D:D,'A0.LS'!E306),0)</f>
        <v>0</v>
      </c>
      <c r="BN306" s="235">
        <f t="shared" si="243"/>
        <v>0</v>
      </c>
      <c r="BO306" s="236"/>
      <c r="BP306" s="938">
        <v>12290649561</v>
      </c>
      <c r="BQ306" s="443">
        <f>ROUND(SUMIFS('A5.YE22'!J:J,'A5.YE22'!K:K,'A0.LS'!$BQ$5,'A5.YE22'!L:L,"Posted",'A5.YE22'!D:D,'A0.LS'!E306),0)</f>
        <v>0</v>
      </c>
      <c r="BR306" s="938">
        <f t="shared" si="244"/>
        <v>12290649561</v>
      </c>
    </row>
    <row r="307" spans="2:70" s="1" customFormat="1" ht="12.6" customHeight="1">
      <c r="B307" s="939">
        <v>26</v>
      </c>
      <c r="C307" s="940" t="s">
        <v>2541</v>
      </c>
      <c r="D307" s="941" t="s">
        <v>2541</v>
      </c>
      <c r="E307" s="928" t="s">
        <v>379</v>
      </c>
      <c r="F307" s="928" t="s">
        <v>340</v>
      </c>
      <c r="G307" s="927" t="s">
        <v>2540</v>
      </c>
      <c r="H307" s="927" t="s">
        <v>2222</v>
      </c>
      <c r="I307" s="942">
        <f>SUMIFS('GL911.Cty Me.FY24'!T:T,'GL911.Cty Me.FY24'!H:H,'A0.LS'!E307)</f>
        <v>170602000</v>
      </c>
      <c r="J307" s="942">
        <f>ROUND(SUMIFS('A5.FY24'!K:K,'A5.FY24'!E:E,'A0.LS'!E307,'A5.FY24'!L:L,"Finhay",'A5.FY24'!M:M,"Posted"),0)</f>
        <v>0</v>
      </c>
      <c r="K307" s="942">
        <f>ROUND(SUMIFS('A5.FY24'!K:K,'A5.FY24'!E:E,'A0.LS'!E307,'A5.FY24'!L:L,"EY",'A5.FY24'!M:M,"Posted"),0)</f>
        <v>0</v>
      </c>
      <c r="L307" s="943">
        <f t="shared" si="232"/>
        <v>170602000</v>
      </c>
      <c r="M307" s="930"/>
      <c r="N307" s="944">
        <v>909803273</v>
      </c>
      <c r="O307" s="944">
        <v>-1634000</v>
      </c>
      <c r="P307" s="944">
        <v>0</v>
      </c>
      <c r="Q307" s="945">
        <v>908169273</v>
      </c>
      <c r="R307" s="298"/>
      <c r="S307" s="175">
        <f t="shared" si="230"/>
        <v>-737567273</v>
      </c>
      <c r="T307" s="176">
        <f t="shared" si="231"/>
        <v>-0.81214735504490032</v>
      </c>
      <c r="V307" s="1" t="s">
        <v>2519</v>
      </c>
      <c r="X307" s="321" t="s">
        <v>2190</v>
      </c>
      <c r="Y307" s="321" t="s">
        <v>2540</v>
      </c>
      <c r="Z307" s="235">
        <f>ROUND(SUMIFS('GL911.CtyCon.FY24'!N:N,'GL911.CtyCon.FY24'!G:G,'A0.LS'!E307),0)</f>
        <v>0</v>
      </c>
      <c r="AA307" s="235">
        <f>ROUND(SUMIFS('A5.CTC FY24'!K:K,'A5.CTC FY24'!E:E,'A0.LS'!E307,'A5.CTC FY24'!A:A,'A0.LS'!$AA$5,'A5.CTC FY24'!L:L,"Finhay",'A5.CTC FY24'!M:M,"Posted"),0)</f>
        <v>0</v>
      </c>
      <c r="AB307" s="235">
        <f>ROUND(SUMIFS('A5.CTC FY24'!K:K,'A5.CTC FY24'!E:E,'A0.LS'!E307,'A5.CTC FY24'!A:A,'A0.LS'!$AB$5,'A5.CTC FY24'!L:L,"EY",'A5.CTC FY24'!M:M,"Posted"),0)</f>
        <v>0</v>
      </c>
      <c r="AC307" s="322">
        <f t="shared" si="233"/>
        <v>0</v>
      </c>
      <c r="AD307" s="296"/>
      <c r="AE307" s="235">
        <f>SUMIFS('GL911 VNSC FY24'!T:T,'GL911 VNSC FY24'!AG:AG,'A0.LS'!E307)</f>
        <v>0</v>
      </c>
      <c r="AF307" s="235">
        <f>SUMIFS('A5.CTC FY24'!K:K,'A5.CTC FY24'!E:E,'A0.LS'!E307,'A5.CTC FY24'!A:A,"VNSC",'A5.CTC FY24'!L:L,"VNSC",'A5.CTC FY24'!M:M,"Posted")</f>
        <v>0</v>
      </c>
      <c r="AG307" s="235">
        <f>ROUND(SUMIFS('A5.CTC FY24'!K:K,'A5.CTC FY24'!E:E,'A0.LS'!E307,'A5.CTC FY24'!A:A,"VNSC",'A5.CTC FY24'!L:L,"EY",'A5.CTC FY24'!M:M,"Posted"),0)</f>
        <v>0</v>
      </c>
      <c r="AH307" s="235">
        <f t="shared" si="234"/>
        <v>0</v>
      </c>
      <c r="AI307" s="296"/>
      <c r="AJ307" s="235">
        <f>ROUND(SUMIFS('GL911.KCG.FY24'!L:L,'GL911.KCG.FY24'!F:F,'A0.LS'!E307),0)</f>
        <v>0</v>
      </c>
      <c r="AK307" s="235">
        <f>ROUND(SUMIFS('A5.CTC FY24'!K:K,'A5.CTC FY24'!E:E,'A0.LS'!E307,'A5.CTC FY24'!A:A,'A0.LS'!$AK$5,'A5.CTC FY24'!L:L,"EY",'A5.CTC FY24'!M:M,"Posted"),0)</f>
        <v>0</v>
      </c>
      <c r="AL307" s="322">
        <f t="shared" si="235"/>
        <v>0</v>
      </c>
      <c r="AM307" s="296"/>
      <c r="AN307" s="500">
        <f t="shared" si="245"/>
        <v>0</v>
      </c>
      <c r="AO307" s="237">
        <f>ROUND(SUMIFS('A5.Consol FY24'!L:L,'A5.Consol FY24'!M:M,"EY",'A5.Consol FY24'!N:N,"Posted",'A5.Consol FY24'!B:B,'A0.LS'!$AO$5,'A5.Consol FY24'!F:F,'A0.LS'!E307),0)</f>
        <v>0</v>
      </c>
      <c r="AP307" s="500">
        <f t="shared" si="236"/>
        <v>0</v>
      </c>
      <c r="AQ307" s="296"/>
      <c r="AR307" s="235">
        <f>ROUND(SUMIFS('GL911.XH.FY24'!L:L,'GL911.XH.FY24'!F:F,'A0.LS'!E307),0)</f>
        <v>0</v>
      </c>
      <c r="AS307" s="936">
        <f>ROUND(SUMIFS('A5.CTC FY24'!K:K,'A5.CTC FY24'!E:E,'A0.LS'!E307,'A5.CTC FY24'!A:A,'A0.LS'!$AS$5,'A5.CTC FY24'!L:L,"EY",'A5.CTC FY24'!M:M,"Posted"),0)</f>
        <v>0</v>
      </c>
      <c r="AT307" s="322">
        <f t="shared" si="237"/>
        <v>0</v>
      </c>
      <c r="AU307" s="296"/>
      <c r="AV307" s="951">
        <f t="shared" si="238"/>
        <v>170602000</v>
      </c>
      <c r="AW307" s="952">
        <f>SUMIFS('A5.Consol FY24'!L:L,'A5.Consol FY24'!B:B,'A0.LS'!$AW$5,'A5.Consol FY24'!M:M,"EY",'A5.Consol FY24'!N:N,"Posted",'A5.Consol FY24'!F:F,'A0.LS'!E307)</f>
        <v>0</v>
      </c>
      <c r="AX307" s="951">
        <f t="shared" si="239"/>
        <v>170602000</v>
      </c>
      <c r="AY307" s="614"/>
      <c r="AZ307" s="235">
        <f>SUMIFS('911.CTC.YE22'!U:U,'911.CTC.YE22'!R:R,'A0.LS'!E307)</f>
        <v>0</v>
      </c>
      <c r="BA307" s="235">
        <f>ROUND(SUMIFS('A5.YE22'!J:J,'A5.YE22'!K:K,'A0.LS'!$BA$5,'A5.YE22'!L:L,"Posted",'A5.YE22'!D:D,'A0.LS'!E307),0)</f>
        <v>0</v>
      </c>
      <c r="BB307" s="235">
        <f t="shared" si="240"/>
        <v>0</v>
      </c>
      <c r="BC307" s="236"/>
      <c r="BD307" s="235">
        <f>ROUND(SUMIFS('911.VNSC.YE22'!R:R,'911.VNSC.YE22'!L:L,'A0.LS'!E307),0)</f>
        <v>310869642</v>
      </c>
      <c r="BE307" s="235">
        <f>ROUND(SUMIFS('A5.YE22'!J:J,'A5.YE22'!K:K,'A0.LS'!$BE$5,'A5.YE22'!L:L,"Posted",'A5.YE22'!D:D,'A0.LS'!E307),0)</f>
        <v>0</v>
      </c>
      <c r="BF307" s="235">
        <f t="shared" si="241"/>
        <v>310869642</v>
      </c>
      <c r="BG307" s="236"/>
      <c r="BH307" s="235">
        <f>ROUND(SUMIFS('911.XH.YE22'!T:T,'911.XH.YE22'!P:P,'A0.LS'!E307),0)</f>
        <v>0</v>
      </c>
      <c r="BI307" s="235">
        <f>ROUND(SUMIFS('A5.YE22'!J:J,'A5.YE22'!K:K,"XH",'A5.YE22'!L:L,"Posted",'A5.YE22'!D:D,'A0.LS'!E307),0)</f>
        <v>0</v>
      </c>
      <c r="BJ307" s="235">
        <f t="shared" si="242"/>
        <v>0</v>
      </c>
      <c r="BK307" s="236"/>
      <c r="BL307" s="235">
        <f>ROUND(SUMIFS('911.KCG.YE22'!T:T,'911.KCG.YE22'!P:P,'A0.LS'!E307),0)</f>
        <v>0</v>
      </c>
      <c r="BM307" s="235">
        <f>ROUND(SUMIFS('A5.YE22'!J:J,'A5.YE22'!K:K,'A0.LS'!$BM$5,'A5.YE22'!L:L,"Posted",'A5.YE22'!D:D,'A0.LS'!E307),0)</f>
        <v>0</v>
      </c>
      <c r="BN307" s="235">
        <f t="shared" si="243"/>
        <v>0</v>
      </c>
      <c r="BO307" s="236"/>
      <c r="BP307" s="938">
        <v>908169273</v>
      </c>
      <c r="BQ307" s="443">
        <f>ROUND(SUMIFS('A5.YE22'!J:J,'A5.YE22'!K:K,'A0.LS'!$BQ$5,'A5.YE22'!L:L,"Posted",'A5.YE22'!D:D,'A0.LS'!E307),0)</f>
        <v>0</v>
      </c>
      <c r="BR307" s="938">
        <f t="shared" si="244"/>
        <v>908169273</v>
      </c>
    </row>
    <row r="308" spans="2:70" s="1" customFormat="1" ht="12.75">
      <c r="B308" s="939">
        <v>26</v>
      </c>
      <c r="C308" s="940" t="s">
        <v>2543</v>
      </c>
      <c r="D308" s="941" t="s">
        <v>2543</v>
      </c>
      <c r="E308" s="928" t="s">
        <v>380</v>
      </c>
      <c r="F308" s="928" t="s">
        <v>2542</v>
      </c>
      <c r="G308" s="927" t="s">
        <v>2540</v>
      </c>
      <c r="H308" s="927" t="s">
        <v>2222</v>
      </c>
      <c r="I308" s="942">
        <f>SUMIFS('GL911.Cty Me.FY24'!T:T,'GL911.Cty Me.FY24'!H:H,'A0.LS'!E308)</f>
        <v>220724249</v>
      </c>
      <c r="J308" s="942">
        <f>ROUND(SUMIFS('A5.FY24'!K:K,'A5.FY24'!E:E,'A0.LS'!E308,'A5.FY24'!L:L,"Finhay",'A5.FY24'!M:M,"Posted"),0)</f>
        <v>9709</v>
      </c>
      <c r="K308" s="942">
        <f>ROUND(SUMIFS('A5.FY24'!K:K,'A5.FY24'!E:E,'A0.LS'!E308,'A5.FY24'!L:L,"EY",'A5.FY24'!M:M,"Posted"),0)</f>
        <v>0</v>
      </c>
      <c r="L308" s="943">
        <f t="shared" si="232"/>
        <v>220733958</v>
      </c>
      <c r="M308" s="930"/>
      <c r="N308" s="944">
        <v>1634557306</v>
      </c>
      <c r="O308" s="944">
        <v>82334350</v>
      </c>
      <c r="P308" s="944">
        <v>0</v>
      </c>
      <c r="Q308" s="945">
        <v>1716891656</v>
      </c>
      <c r="R308" s="298"/>
      <c r="S308" s="175">
        <f t="shared" si="230"/>
        <v>-1496157698</v>
      </c>
      <c r="T308" s="176">
        <f t="shared" si="231"/>
        <v>-0.87143396193428757</v>
      </c>
      <c r="V308" s="1" t="s">
        <v>2522</v>
      </c>
      <c r="X308" s="321" t="s">
        <v>2190</v>
      </c>
      <c r="Y308" s="321" t="s">
        <v>2540</v>
      </c>
      <c r="Z308" s="235">
        <f>ROUND(SUMIFS('GL911.CtyCon.FY24'!N:N,'GL911.CtyCon.FY24'!G:G,'A0.LS'!E308),0)</f>
        <v>0</v>
      </c>
      <c r="AA308" s="235">
        <f>ROUND(SUMIFS('A5.CTC FY24'!K:K,'A5.CTC FY24'!E:E,'A0.LS'!E308,'A5.CTC FY24'!A:A,'A0.LS'!$AA$5,'A5.CTC FY24'!L:L,"Finhay",'A5.CTC FY24'!M:M,"Posted"),0)</f>
        <v>0</v>
      </c>
      <c r="AB308" s="235">
        <f>ROUND(SUMIFS('A5.CTC FY24'!K:K,'A5.CTC FY24'!E:E,'A0.LS'!E308,'A5.CTC FY24'!A:A,'A0.LS'!$AB$5,'A5.CTC FY24'!L:L,"EY",'A5.CTC FY24'!M:M,"Posted"),0)</f>
        <v>0</v>
      </c>
      <c r="AC308" s="322">
        <f t="shared" si="233"/>
        <v>0</v>
      </c>
      <c r="AD308" s="296"/>
      <c r="AE308" s="235">
        <f>SUMIFS('GL911 VNSC FY24'!T:T,'GL911 VNSC FY24'!AG:AG,'A0.LS'!E308)</f>
        <v>0</v>
      </c>
      <c r="AF308" s="235">
        <f>SUMIFS('A5.CTC FY24'!K:K,'A5.CTC FY24'!E:E,'A0.LS'!E308,'A5.CTC FY24'!A:A,"VNSC",'A5.CTC FY24'!L:L,"VNSC",'A5.CTC FY24'!M:M,"Posted")</f>
        <v>0</v>
      </c>
      <c r="AG308" s="235">
        <f>ROUND(SUMIFS('A5.CTC FY24'!K:K,'A5.CTC FY24'!E:E,'A0.LS'!E308,'A5.CTC FY24'!A:A,"VNSC",'A5.CTC FY24'!L:L,"EY",'A5.CTC FY24'!M:M,"Posted"),0)</f>
        <v>0</v>
      </c>
      <c r="AH308" s="235">
        <f t="shared" si="234"/>
        <v>0</v>
      </c>
      <c r="AI308" s="296"/>
      <c r="AJ308" s="235">
        <f>ROUND(SUMIFS('GL911.KCG.FY24'!L:L,'GL911.KCG.FY24'!F:F,'A0.LS'!E308),0)</f>
        <v>0</v>
      </c>
      <c r="AK308" s="235">
        <f>ROUND(SUMIFS('A5.CTC FY24'!K:K,'A5.CTC FY24'!E:E,'A0.LS'!E308,'A5.CTC FY24'!A:A,'A0.LS'!$AK$5,'A5.CTC FY24'!L:L,"EY",'A5.CTC FY24'!M:M,"Posted"),0)</f>
        <v>0</v>
      </c>
      <c r="AL308" s="322">
        <f t="shared" si="235"/>
        <v>0</v>
      </c>
      <c r="AM308" s="296"/>
      <c r="AN308" s="500">
        <f t="shared" si="245"/>
        <v>0</v>
      </c>
      <c r="AO308" s="237">
        <f>ROUND(SUMIFS('A5.Consol FY24'!L:L,'A5.Consol FY24'!M:M,"EY",'A5.Consol FY24'!N:N,"Posted",'A5.Consol FY24'!B:B,'A0.LS'!$AO$5,'A5.Consol FY24'!F:F,'A0.LS'!E308),0)</f>
        <v>0</v>
      </c>
      <c r="AP308" s="500">
        <f t="shared" si="236"/>
        <v>0</v>
      </c>
      <c r="AQ308" s="296"/>
      <c r="AR308" s="235">
        <f>ROUND(SUMIFS('GL911.XH.FY24'!L:L,'GL911.XH.FY24'!F:F,'A0.LS'!E308),0)</f>
        <v>0</v>
      </c>
      <c r="AS308" s="936">
        <f>ROUND(SUMIFS('A5.CTC FY24'!K:K,'A5.CTC FY24'!E:E,'A0.LS'!E308,'A5.CTC FY24'!A:A,'A0.LS'!$AS$5,'A5.CTC FY24'!L:L,"EY",'A5.CTC FY24'!M:M,"Posted"),0)</f>
        <v>0</v>
      </c>
      <c r="AT308" s="322">
        <f t="shared" si="237"/>
        <v>0</v>
      </c>
      <c r="AU308" s="296"/>
      <c r="AV308" s="951">
        <f t="shared" si="238"/>
        <v>220733958</v>
      </c>
      <c r="AW308" s="952">
        <f>SUMIFS('A5.Consol FY24'!L:L,'A5.Consol FY24'!B:B,'A0.LS'!$AW$5,'A5.Consol FY24'!M:M,"EY",'A5.Consol FY24'!N:N,"Posted",'A5.Consol FY24'!F:F,'A0.LS'!E308)</f>
        <v>0</v>
      </c>
      <c r="AX308" s="951">
        <f t="shared" si="239"/>
        <v>220733958</v>
      </c>
      <c r="AY308" s="614"/>
      <c r="AZ308" s="235">
        <f>SUMIFS('911.CTC.YE22'!U:U,'911.CTC.YE22'!R:R,'A0.LS'!E308)</f>
        <v>0</v>
      </c>
      <c r="BA308" s="235">
        <f>ROUND(SUMIFS('A5.YE22'!J:J,'A5.YE22'!K:K,'A0.LS'!$BA$5,'A5.YE22'!L:L,"Posted",'A5.YE22'!D:D,'A0.LS'!E308),0)</f>
        <v>0</v>
      </c>
      <c r="BB308" s="235">
        <f t="shared" si="240"/>
        <v>0</v>
      </c>
      <c r="BC308" s="236"/>
      <c r="BD308" s="235">
        <f>ROUND(SUMIFS('911.VNSC.YE22'!R:R,'911.VNSC.YE22'!L:L,'A0.LS'!E308),0)</f>
        <v>13120545</v>
      </c>
      <c r="BE308" s="235">
        <f>ROUND(SUMIFS('A5.YE22'!J:J,'A5.YE22'!K:K,'A0.LS'!$BE$5,'A5.YE22'!L:L,"Posted",'A5.YE22'!D:D,'A0.LS'!E308),0)</f>
        <v>0</v>
      </c>
      <c r="BF308" s="235">
        <f t="shared" si="241"/>
        <v>13120545</v>
      </c>
      <c r="BG308" s="236"/>
      <c r="BH308" s="235">
        <f>ROUND(SUMIFS('911.XH.YE22'!T:T,'911.XH.YE22'!P:P,'A0.LS'!E308),0)</f>
        <v>0</v>
      </c>
      <c r="BI308" s="235">
        <f>ROUND(SUMIFS('A5.YE22'!J:J,'A5.YE22'!K:K,"XH",'A5.YE22'!L:L,"Posted",'A5.YE22'!D:D,'A0.LS'!E308),0)</f>
        <v>0</v>
      </c>
      <c r="BJ308" s="235">
        <f t="shared" si="242"/>
        <v>0</v>
      </c>
      <c r="BK308" s="236"/>
      <c r="BL308" s="235">
        <f>ROUND(SUMIFS('911.KCG.YE22'!T:T,'911.KCG.YE22'!P:P,'A0.LS'!E308),0)</f>
        <v>0</v>
      </c>
      <c r="BM308" s="235">
        <f>ROUND(SUMIFS('A5.YE22'!J:J,'A5.YE22'!K:K,'A0.LS'!$BM$5,'A5.YE22'!L:L,"Posted",'A5.YE22'!D:D,'A0.LS'!E308),0)</f>
        <v>0</v>
      </c>
      <c r="BN308" s="235">
        <f t="shared" si="243"/>
        <v>0</v>
      </c>
      <c r="BO308" s="236"/>
      <c r="BP308" s="938">
        <v>1716891656</v>
      </c>
      <c r="BQ308" s="443">
        <f>ROUND(SUMIFS('A5.YE22'!J:J,'A5.YE22'!K:K,'A0.LS'!$BQ$5,'A5.YE22'!L:L,"Posted",'A5.YE22'!D:D,'A0.LS'!E308),0)</f>
        <v>0</v>
      </c>
      <c r="BR308" s="938">
        <f t="shared" si="244"/>
        <v>1716891656</v>
      </c>
    </row>
    <row r="309" spans="2:70" ht="12.6" customHeight="1">
      <c r="B309" s="939">
        <v>26</v>
      </c>
      <c r="C309" s="940" t="s">
        <v>2544</v>
      </c>
      <c r="D309" s="941" t="s">
        <v>2544</v>
      </c>
      <c r="E309" s="928" t="s">
        <v>505</v>
      </c>
      <c r="F309" s="928" t="s">
        <v>2545</v>
      </c>
      <c r="G309" s="927" t="s">
        <v>2540</v>
      </c>
      <c r="H309" s="927" t="s">
        <v>2190</v>
      </c>
      <c r="I309" s="942">
        <f>SUMIFS('GL911.Cty Me.FY24'!T:T,'GL911.Cty Me.FY24'!H:H,'A0.LS'!E309)</f>
        <v>0</v>
      </c>
      <c r="J309" s="942">
        <f>ROUND(SUMIFS('A5.FY24'!K:K,'A5.FY24'!E:E,'A0.LS'!E309,'A5.FY24'!L:L,"Finhay",'A5.FY24'!M:M,"Posted"),0)</f>
        <v>0</v>
      </c>
      <c r="K309" s="942">
        <f>ROUND(SUMIFS('A5.FY24'!K:K,'A5.FY24'!E:E,'A0.LS'!E309,'A5.FY24'!L:L,"EY",'A5.FY24'!M:M,"Posted"),0)</f>
        <v>0</v>
      </c>
      <c r="L309" s="943">
        <f t="shared" si="232"/>
        <v>0</v>
      </c>
      <c r="M309" s="930"/>
      <c r="N309" s="944">
        <v>0</v>
      </c>
      <c r="O309" s="944">
        <v>0</v>
      </c>
      <c r="P309" s="944">
        <v>0</v>
      </c>
      <c r="Q309" s="945">
        <v>0</v>
      </c>
      <c r="R309" s="898"/>
      <c r="S309" s="848">
        <f t="shared" si="230"/>
        <v>0</v>
      </c>
      <c r="T309" s="946" t="str">
        <f t="shared" si="231"/>
        <v>To check</v>
      </c>
      <c r="U309" s="850"/>
      <c r="V309" s="850" t="s">
        <v>2450</v>
      </c>
      <c r="W309" s="850"/>
      <c r="X309" s="947" t="s">
        <v>2190</v>
      </c>
      <c r="Y309" s="947" t="s">
        <v>2540</v>
      </c>
      <c r="Z309" s="936">
        <f>ROUND(SUMIFS('GL911.CtyCon.FY24'!N:N,'GL911.CtyCon.FY24'!G:G,'A0.LS'!E309),0)</f>
        <v>0</v>
      </c>
      <c r="AA309" s="936">
        <f>ROUND(SUMIFS('A5.CTC FY24'!K:K,'A5.CTC FY24'!E:E,'A0.LS'!E309,'A5.CTC FY24'!A:A,'A0.LS'!$AA$5,'A5.CTC FY24'!L:L,"Finhay",'A5.CTC FY24'!M:M,"Posted"),0)</f>
        <v>0</v>
      </c>
      <c r="AB309" s="936">
        <f>ROUND(SUMIFS('A5.CTC FY24'!K:K,'A5.CTC FY24'!E:E,'A0.LS'!E309,'A5.CTC FY24'!A:A,'A0.LS'!$AB$5,'A5.CTC FY24'!L:L,"EY",'A5.CTC FY24'!M:M,"Posted"),0)</f>
        <v>0</v>
      </c>
      <c r="AC309" s="948">
        <f t="shared" si="233"/>
        <v>0</v>
      </c>
      <c r="AD309" s="930"/>
      <c r="AE309" s="936">
        <f>SUMIFS('GL911 VNSC FY24'!T:T,'GL911 VNSC FY24'!AG:AG,'A0.LS'!E309)</f>
        <v>276302355</v>
      </c>
      <c r="AF309" s="936">
        <f>SUMIFS('A5.CTC FY24'!K:K,'A5.CTC FY24'!E:E,'A0.LS'!E309,'A5.CTC FY24'!A:A,"VNSC",'A5.CTC FY24'!L:L,"VNSC",'A5.CTC FY24'!M:M,"Posted")</f>
        <v>0</v>
      </c>
      <c r="AG309" s="936">
        <f>ROUND(SUMIFS('A5.CTC FY24'!K:K,'A5.CTC FY24'!E:E,'A0.LS'!E309,'A5.CTC FY24'!A:A,"VNSC",'A5.CTC FY24'!L:L,"EY",'A5.CTC FY24'!M:M,"Posted"),0)</f>
        <v>0</v>
      </c>
      <c r="AH309" s="936">
        <f t="shared" si="234"/>
        <v>276302355</v>
      </c>
      <c r="AI309" s="930"/>
      <c r="AJ309" s="936">
        <f>ROUND(SUMIFS('GL911.KCG.FY24'!L:L,'GL911.KCG.FY24'!F:F,'A0.LS'!E309),0)</f>
        <v>0</v>
      </c>
      <c r="AK309" s="936">
        <f>ROUND(SUMIFS('A5.CTC FY24'!K:K,'A5.CTC FY24'!E:E,'A0.LS'!E309,'A5.CTC FY24'!A:A,'A0.LS'!$AK$5,'A5.CTC FY24'!L:L,"EY",'A5.CTC FY24'!M:M,"Posted"),0)</f>
        <v>0</v>
      </c>
      <c r="AL309" s="948">
        <f t="shared" si="235"/>
        <v>0</v>
      </c>
      <c r="AM309" s="930"/>
      <c r="AN309" s="949">
        <f t="shared" si="245"/>
        <v>276302355</v>
      </c>
      <c r="AO309" s="950">
        <f>ROUND(SUMIFS('A5.Consol FY24'!L:L,'A5.Consol FY24'!M:M,"EY",'A5.Consol FY24'!N:N,"Posted",'A5.Consol FY24'!B:B,'A0.LS'!$AO$5,'A5.Consol FY24'!F:F,'A0.LS'!E309),0)</f>
        <v>0</v>
      </c>
      <c r="AP309" s="949">
        <f t="shared" si="236"/>
        <v>276302355</v>
      </c>
      <c r="AQ309" s="930"/>
      <c r="AR309" s="936">
        <f>ROUND(SUMIFS('GL911.XH.FY24'!L:L,'GL911.XH.FY24'!F:F,'A0.LS'!E309),0)</f>
        <v>0</v>
      </c>
      <c r="AS309" s="936">
        <f>ROUND(SUMIFS('A5.CTC FY24'!K:K,'A5.CTC FY24'!E:E,'A0.LS'!E309,'A5.CTC FY24'!A:A,'A0.LS'!$AS$5,'A5.CTC FY24'!L:L,"EY",'A5.CTC FY24'!M:M,"Posted"),0)</f>
        <v>0</v>
      </c>
      <c r="AT309" s="948">
        <f t="shared" si="237"/>
        <v>0</v>
      </c>
      <c r="AU309" s="930"/>
      <c r="AV309" s="951">
        <f t="shared" si="238"/>
        <v>276302355</v>
      </c>
      <c r="AW309" s="952">
        <f>SUMIFS('A5.Consol FY24'!L:L,'A5.Consol FY24'!B:B,'A0.LS'!$AW$5,'A5.Consol FY24'!M:M,"EY",'A5.Consol FY24'!N:N,"Posted",'A5.Consol FY24'!F:F,'A0.LS'!E309)</f>
        <v>0</v>
      </c>
      <c r="AX309" s="951">
        <f t="shared" si="239"/>
        <v>276302355</v>
      </c>
      <c r="AY309" s="920"/>
      <c r="AZ309" s="936">
        <f>SUMIFS('911.CTC.YE22'!U:U,'911.CTC.YE22'!R:R,'A0.LS'!E309)</f>
        <v>0</v>
      </c>
      <c r="BA309" s="936">
        <f>ROUND(SUMIFS('A5.YE22'!J:J,'A5.YE22'!K:K,'A0.LS'!$BA$5,'A5.YE22'!L:L,"Posted",'A5.YE22'!D:D,'A0.LS'!E309),0)</f>
        <v>0</v>
      </c>
      <c r="BB309" s="936">
        <f t="shared" si="240"/>
        <v>0</v>
      </c>
      <c r="BC309" s="937"/>
      <c r="BD309" s="936">
        <f>ROUND(SUMIFS('911.VNSC.YE22'!R:R,'911.VNSC.YE22'!L:L,'A0.LS'!E309),0)</f>
        <v>0</v>
      </c>
      <c r="BE309" s="936">
        <f>ROUND(SUMIFS('A5.YE22'!J:J,'A5.YE22'!K:K,'A0.LS'!$BE$5,'A5.YE22'!L:L,"Posted",'A5.YE22'!D:D,'A0.LS'!E309),0)</f>
        <v>0</v>
      </c>
      <c r="BF309" s="936">
        <f t="shared" si="241"/>
        <v>0</v>
      </c>
      <c r="BG309" s="937"/>
      <c r="BH309" s="936">
        <f>ROUND(SUMIFS('911.XH.YE22'!T:T,'911.XH.YE22'!P:P,'A0.LS'!E309),0)</f>
        <v>0</v>
      </c>
      <c r="BI309" s="936">
        <f>ROUND(SUMIFS('A5.YE22'!J:J,'A5.YE22'!K:K,"XH",'A5.YE22'!L:L,"Posted",'A5.YE22'!D:D,'A0.LS'!E309),0)</f>
        <v>0</v>
      </c>
      <c r="BJ309" s="936">
        <f t="shared" si="242"/>
        <v>0</v>
      </c>
      <c r="BK309" s="937"/>
      <c r="BL309" s="936">
        <f>ROUND(SUMIFS('911.KCG.YE22'!T:T,'911.KCG.YE22'!P:P,'A0.LS'!E309),0)</f>
        <v>0</v>
      </c>
      <c r="BM309" s="936">
        <f>ROUND(SUMIFS('A5.YE22'!J:J,'A5.YE22'!K:K,'A0.LS'!$BM$5,'A5.YE22'!L:L,"Posted",'A5.YE22'!D:D,'A0.LS'!E309),0)</f>
        <v>0</v>
      </c>
      <c r="BN309" s="936">
        <f t="shared" si="243"/>
        <v>0</v>
      </c>
      <c r="BO309" s="937"/>
      <c r="BP309" s="938">
        <v>6993417</v>
      </c>
      <c r="BQ309" s="938">
        <f>ROUND(SUMIFS('A5.YE22'!J:J,'A5.YE22'!K:K,'A0.LS'!$BQ$5,'A5.YE22'!L:L,"Posted",'A5.YE22'!D:D,'A0.LS'!E309),0)</f>
        <v>0</v>
      </c>
      <c r="BR309" s="938">
        <f t="shared" si="244"/>
        <v>6993417</v>
      </c>
    </row>
    <row r="310" spans="2:70" ht="12.75">
      <c r="B310" s="939">
        <v>26</v>
      </c>
      <c r="C310" s="940" t="s">
        <v>2544</v>
      </c>
      <c r="D310" s="941" t="s">
        <v>2544</v>
      </c>
      <c r="E310" s="928" t="s">
        <v>381</v>
      </c>
      <c r="F310" s="928" t="s">
        <v>382</v>
      </c>
      <c r="G310" s="927" t="s">
        <v>2540</v>
      </c>
      <c r="H310" s="927" t="s">
        <v>2190</v>
      </c>
      <c r="I310" s="942">
        <f>SUMIFS('GL911.Cty Me.FY24'!T:T,'GL911.Cty Me.FY24'!H:H,'A0.LS'!E310)</f>
        <v>360921404</v>
      </c>
      <c r="J310" s="942">
        <f>ROUND(SUMIFS('A5.FY24'!K:K,'A5.FY24'!E:E,'A0.LS'!E310,'A5.FY24'!L:L,"Finhay",'A5.FY24'!M:M,"Posted"),0)</f>
        <v>7411</v>
      </c>
      <c r="K310" s="942">
        <f>ROUND(SUMIFS('A5.FY24'!K:K,'A5.FY24'!E:E,'A0.LS'!E310,'A5.FY24'!L:L,"EY",'A5.FY24'!M:M,"Posted"),0)</f>
        <v>0</v>
      </c>
      <c r="L310" s="943">
        <f t="shared" si="232"/>
        <v>360928815</v>
      </c>
      <c r="M310" s="930"/>
      <c r="N310" s="944">
        <v>1781625079</v>
      </c>
      <c r="O310" s="944">
        <v>89742306</v>
      </c>
      <c r="P310" s="944">
        <v>0</v>
      </c>
      <c r="Q310" s="945">
        <v>1871367385</v>
      </c>
      <c r="R310" s="898"/>
      <c r="S310" s="848">
        <f t="shared" si="230"/>
        <v>-1510438570</v>
      </c>
      <c r="T310" s="946">
        <f t="shared" si="231"/>
        <v>-0.80713096856713684</v>
      </c>
      <c r="U310" s="850"/>
      <c r="V310" s="850" t="s">
        <v>2419</v>
      </c>
      <c r="W310" s="850"/>
      <c r="X310" s="947" t="s">
        <v>2190</v>
      </c>
      <c r="Y310" s="947" t="s">
        <v>2540</v>
      </c>
      <c r="Z310" s="936">
        <f>ROUND(SUMIFS('GL911.CtyCon.FY24'!N:N,'GL911.CtyCon.FY24'!G:G,'A0.LS'!E310),0)</f>
        <v>0</v>
      </c>
      <c r="AA310" s="936">
        <f>ROUND(SUMIFS('A5.CTC FY24'!K:K,'A5.CTC FY24'!E:E,'A0.LS'!E310,'A5.CTC FY24'!A:A,'A0.LS'!$AA$5,'A5.CTC FY24'!L:L,"Finhay",'A5.CTC FY24'!M:M,"Posted"),0)</f>
        <v>0</v>
      </c>
      <c r="AB310" s="936">
        <f>ROUND(SUMIFS('A5.CTC FY24'!K:K,'A5.CTC FY24'!E:E,'A0.LS'!E310,'A5.CTC FY24'!A:A,'A0.LS'!$AB$5,'A5.CTC FY24'!L:L,"EY",'A5.CTC FY24'!M:M,"Posted"),0)</f>
        <v>0</v>
      </c>
      <c r="AC310" s="948">
        <f t="shared" si="233"/>
        <v>0</v>
      </c>
      <c r="AD310" s="930"/>
      <c r="AE310" s="936">
        <f>SUMIFS('GL911 VNSC FY24'!T:T,'GL911 VNSC FY24'!AG:AG,'A0.LS'!E310)</f>
        <v>515666988</v>
      </c>
      <c r="AF310" s="936">
        <f>SUMIFS('A5.CTC FY24'!K:K,'A5.CTC FY24'!E:E,'A0.LS'!E310,'A5.CTC FY24'!A:A,"VNSC",'A5.CTC FY24'!L:L,"VNSC",'A5.CTC FY24'!M:M,"Posted")</f>
        <v>0</v>
      </c>
      <c r="AG310" s="936">
        <f>ROUND(SUMIFS('A5.CTC FY24'!K:K,'A5.CTC FY24'!E:E,'A0.LS'!E310,'A5.CTC FY24'!A:A,"VNSC",'A5.CTC FY24'!L:L,"EY",'A5.CTC FY24'!M:M,"Posted"),0)</f>
        <v>0</v>
      </c>
      <c r="AH310" s="936">
        <f t="shared" si="234"/>
        <v>515666988</v>
      </c>
      <c r="AI310" s="930"/>
      <c r="AJ310" s="936">
        <f>ROUND(SUMIFS('GL911.KCG.FY24'!L:L,'GL911.KCG.FY24'!F:F,'A0.LS'!E310),0)</f>
        <v>0</v>
      </c>
      <c r="AK310" s="936">
        <f>ROUND(SUMIFS('A5.CTC FY24'!K:K,'A5.CTC FY24'!E:E,'A0.LS'!E310,'A5.CTC FY24'!A:A,'A0.LS'!$AK$5,'A5.CTC FY24'!L:L,"EY",'A5.CTC FY24'!M:M,"Posted"),0)</f>
        <v>0</v>
      </c>
      <c r="AL310" s="948">
        <f t="shared" si="235"/>
        <v>0</v>
      </c>
      <c r="AM310" s="930"/>
      <c r="AN310" s="949">
        <f t="shared" si="245"/>
        <v>520129488</v>
      </c>
      <c r="AO310" s="950">
        <f>ROUND(SUMIFS('A5.Consol FY24'!L:L,'A5.Consol FY24'!M:M,"EY",'A5.Consol FY24'!N:N,"Posted",'A5.Consol FY24'!B:B,'A0.LS'!$AO$5,'A5.Consol FY24'!F:F,'A0.LS'!E310),0)</f>
        <v>0</v>
      </c>
      <c r="AP310" s="949">
        <f t="shared" si="236"/>
        <v>520129488</v>
      </c>
      <c r="AQ310" s="930"/>
      <c r="AR310" s="936">
        <f>ROUND(SUMIFS('GL911.XH.FY24'!L:L,'GL911.XH.FY24'!F:F,'A0.LS'!E310),0)</f>
        <v>4462500</v>
      </c>
      <c r="AS310" s="936">
        <f>ROUND(SUMIFS('A5.CTC FY24'!K:K,'A5.CTC FY24'!E:E,'A0.LS'!E310,'A5.CTC FY24'!A:A,'A0.LS'!$AS$5,'A5.CTC FY24'!L:L,"EY",'A5.CTC FY24'!M:M,"Posted"),0)</f>
        <v>0</v>
      </c>
      <c r="AT310" s="948">
        <f t="shared" si="237"/>
        <v>4462500</v>
      </c>
      <c r="AU310" s="930"/>
      <c r="AV310" s="951">
        <f t="shared" si="238"/>
        <v>881058303</v>
      </c>
      <c r="AW310" s="952">
        <f>SUMIFS('A5.Consol FY24'!L:L,'A5.Consol FY24'!B:B,'A0.LS'!$AW$5,'A5.Consol FY24'!M:M,"EY",'A5.Consol FY24'!N:N,"Posted",'A5.Consol FY24'!F:F,'A0.LS'!E310)</f>
        <v>0</v>
      </c>
      <c r="AX310" s="951">
        <f t="shared" si="239"/>
        <v>881058303</v>
      </c>
      <c r="AY310" s="920"/>
      <c r="AZ310" s="936">
        <f>SUMIFS('911.CTC.YE22'!U:U,'911.CTC.YE22'!R:R,'A0.LS'!E310)</f>
        <v>21195172</v>
      </c>
      <c r="BA310" s="936">
        <f>ROUND(SUMIFS('A5.YE22'!J:J,'A5.YE22'!K:K,'A0.LS'!$BA$5,'A5.YE22'!L:L,"Posted",'A5.YE22'!D:D,'A0.LS'!E310),0)</f>
        <v>0</v>
      </c>
      <c r="BB310" s="936">
        <f t="shared" si="240"/>
        <v>21195172</v>
      </c>
      <c r="BC310" s="937"/>
      <c r="BD310" s="936">
        <f>ROUND(SUMIFS('911.VNSC.YE22'!R:R,'911.VNSC.YE22'!L:L,'A0.LS'!E310),0)</f>
        <v>455744899</v>
      </c>
      <c r="BE310" s="936">
        <f>ROUND(SUMIFS('A5.YE22'!J:J,'A5.YE22'!K:K,'A0.LS'!$BE$5,'A5.YE22'!L:L,"Posted",'A5.YE22'!D:D,'A0.LS'!E310),0)</f>
        <v>0</v>
      </c>
      <c r="BF310" s="936">
        <f t="shared" si="241"/>
        <v>455744899</v>
      </c>
      <c r="BG310" s="937"/>
      <c r="BH310" s="936">
        <f>ROUND(SUMIFS('911.XH.YE22'!T:T,'911.XH.YE22'!P:P,'A0.LS'!E310),0)</f>
        <v>6615625</v>
      </c>
      <c r="BI310" s="936">
        <f>ROUND(SUMIFS('A5.YE22'!J:J,'A5.YE22'!K:K,"XH",'A5.YE22'!L:L,"Posted",'A5.YE22'!D:D,'A0.LS'!E310),0)</f>
        <v>0</v>
      </c>
      <c r="BJ310" s="936">
        <f t="shared" si="242"/>
        <v>6615625</v>
      </c>
      <c r="BK310" s="937"/>
      <c r="BL310" s="936">
        <f>ROUND(SUMIFS('911.KCG.YE22'!T:T,'911.KCG.YE22'!P:P,'A0.LS'!E310),0)</f>
        <v>0</v>
      </c>
      <c r="BM310" s="936">
        <f>ROUND(SUMIFS('A5.YE22'!J:J,'A5.YE22'!K:K,'A0.LS'!$BM$5,'A5.YE22'!L:L,"Posted",'A5.YE22'!D:D,'A0.LS'!E310),0)</f>
        <v>0</v>
      </c>
      <c r="BN310" s="936">
        <f t="shared" si="243"/>
        <v>0</v>
      </c>
      <c r="BO310" s="937"/>
      <c r="BP310" s="938">
        <v>2222852942</v>
      </c>
      <c r="BQ310" s="938">
        <f>ROUND(SUMIFS('A5.YE22'!J:J,'A5.YE22'!K:K,'A0.LS'!$BQ$5,'A5.YE22'!L:L,"Posted",'A5.YE22'!D:D,'A0.LS'!E310),0)</f>
        <v>0</v>
      </c>
      <c r="BR310" s="938">
        <f t="shared" si="244"/>
        <v>2222852942</v>
      </c>
    </row>
    <row r="311" spans="2:70" ht="12.6" customHeight="1">
      <c r="B311" s="939">
        <v>26</v>
      </c>
      <c r="C311" s="940" t="s">
        <v>2546</v>
      </c>
      <c r="D311" s="941" t="s">
        <v>2546</v>
      </c>
      <c r="E311" s="928" t="s">
        <v>383</v>
      </c>
      <c r="F311" s="928" t="s">
        <v>270</v>
      </c>
      <c r="G311" s="927" t="s">
        <v>2540</v>
      </c>
      <c r="H311" s="927" t="s">
        <v>2190</v>
      </c>
      <c r="I311" s="942">
        <f>SUMIFS('GL911.Cty Me.FY24'!T:T,'GL911.Cty Me.FY24'!H:H,'A0.LS'!E311)</f>
        <v>467360389</v>
      </c>
      <c r="J311" s="942">
        <f>ROUND(SUMIFS('A5.FY24'!K:K,'A5.FY24'!E:E,'A0.LS'!E311,'A5.FY24'!L:L,"Finhay",'A5.FY24'!M:M,"Posted"),0)</f>
        <v>0</v>
      </c>
      <c r="K311" s="942">
        <f>ROUND(SUMIFS('A5.FY24'!K:K,'A5.FY24'!E:E,'A0.LS'!E311,'A5.FY24'!L:L,"EY",'A5.FY24'!M:M,"Posted"),0)</f>
        <v>0</v>
      </c>
      <c r="L311" s="943">
        <f>ROUND(SUM(I311:K311),0)</f>
        <v>467360389</v>
      </c>
      <c r="M311" s="930"/>
      <c r="N311" s="944">
        <v>443619362</v>
      </c>
      <c r="O311" s="944">
        <v>0</v>
      </c>
      <c r="P311" s="944">
        <v>0</v>
      </c>
      <c r="Q311" s="945">
        <v>443619362</v>
      </c>
      <c r="R311" s="898"/>
      <c r="S311" s="848">
        <f t="shared" si="230"/>
        <v>23741027</v>
      </c>
      <c r="T311" s="946">
        <f t="shared" si="231"/>
        <v>5.3516660979283405E-2</v>
      </c>
      <c r="U311" s="850"/>
      <c r="V311" s="850">
        <v>0</v>
      </c>
      <c r="W311" s="850"/>
      <c r="X311" s="947" t="s">
        <v>2190</v>
      </c>
      <c r="Y311" s="947" t="s">
        <v>2540</v>
      </c>
      <c r="Z311" s="936">
        <f>ROUND(SUMIFS('GL911.CtyCon.FY24'!N:N,'GL911.CtyCon.FY24'!G:G,'A0.LS'!E311),0)</f>
        <v>0</v>
      </c>
      <c r="AA311" s="936">
        <f>ROUND(SUMIFS('A5.CTC FY24'!K:K,'A5.CTC FY24'!E:E,'A0.LS'!E311,'A5.CTC FY24'!A:A,'A0.LS'!$AA$5,'A5.CTC FY24'!L:L,"Finhay",'A5.CTC FY24'!M:M,"Posted"),0)</f>
        <v>0</v>
      </c>
      <c r="AB311" s="936">
        <f>ROUND(SUMIFS('A5.CTC FY24'!K:K,'A5.CTC FY24'!E:E,'A0.LS'!E311,'A5.CTC FY24'!A:A,'A0.LS'!$AB$5,'A5.CTC FY24'!L:L,"EY",'A5.CTC FY24'!M:M,"Posted"),0)</f>
        <v>0</v>
      </c>
      <c r="AC311" s="948">
        <f t="shared" si="233"/>
        <v>0</v>
      </c>
      <c r="AD311" s="930"/>
      <c r="AE311" s="936">
        <f>SUMIFS('GL911 VNSC FY24'!T:T,'GL911 VNSC FY24'!AG:AG,'A0.LS'!E311)</f>
        <v>1152591094</v>
      </c>
      <c r="AF311" s="936">
        <f>SUMIFS('A5.CTC FY24'!K:K,'A5.CTC FY24'!E:E,'A0.LS'!E311,'A5.CTC FY24'!A:A,"VNSC",'A5.CTC FY24'!L:L,"VNSC",'A5.CTC FY24'!M:M,"Posted")</f>
        <v>0</v>
      </c>
      <c r="AG311" s="936">
        <f>ROUND(SUMIFS('A5.CTC FY24'!K:K,'A5.CTC FY24'!E:E,'A0.LS'!E311,'A5.CTC FY24'!A:A,"VNSC",'A5.CTC FY24'!L:L,"EY",'A5.CTC FY24'!M:M,"Posted"),0)</f>
        <v>0</v>
      </c>
      <c r="AH311" s="936">
        <f t="shared" si="234"/>
        <v>1152591094</v>
      </c>
      <c r="AI311" s="930"/>
      <c r="AJ311" s="936">
        <f>ROUND(SUMIFS('GL911.KCG.FY24'!L:L,'GL911.KCG.FY24'!F:F,'A0.LS'!E311),0)</f>
        <v>0</v>
      </c>
      <c r="AK311" s="936">
        <f>ROUND(SUMIFS('A5.CTC FY24'!K:K,'A5.CTC FY24'!E:E,'A0.LS'!E311,'A5.CTC FY24'!A:A,'A0.LS'!$AK$5,'A5.CTC FY24'!L:L,"EY",'A5.CTC FY24'!M:M,"Posted"),0)</f>
        <v>0</v>
      </c>
      <c r="AL311" s="948">
        <f t="shared" si="235"/>
        <v>0</v>
      </c>
      <c r="AM311" s="930"/>
      <c r="AN311" s="949">
        <f t="shared" si="245"/>
        <v>1152591094</v>
      </c>
      <c r="AO311" s="950">
        <f>ROUND(SUMIFS('A5.Consol FY24'!L:L,'A5.Consol FY24'!M:M,"EY",'A5.Consol FY24'!N:N,"Posted",'A5.Consol FY24'!B:B,'A0.LS'!$AO$5,'A5.Consol FY24'!F:F,'A0.LS'!E311),0)</f>
        <v>0</v>
      </c>
      <c r="AP311" s="949">
        <f t="shared" si="236"/>
        <v>1152591094</v>
      </c>
      <c r="AQ311" s="930"/>
      <c r="AR311" s="936">
        <f>ROUND(SUMIFS('GL911.XH.FY24'!L:L,'GL911.XH.FY24'!F:F,'A0.LS'!E311),0)</f>
        <v>0</v>
      </c>
      <c r="AS311" s="936">
        <f>ROUND(SUMIFS('A5.CTC FY24'!K:K,'A5.CTC FY24'!E:E,'A0.LS'!E311,'A5.CTC FY24'!A:A,'A0.LS'!$AS$5,'A5.CTC FY24'!L:L,"EY",'A5.CTC FY24'!M:M,"Posted"),0)</f>
        <v>0</v>
      </c>
      <c r="AT311" s="948">
        <f t="shared" si="237"/>
        <v>0</v>
      </c>
      <c r="AU311" s="930"/>
      <c r="AV311" s="951">
        <f t="shared" si="238"/>
        <v>1619951483</v>
      </c>
      <c r="AW311" s="952">
        <f>SUMIFS('A5.Consol FY24'!L:L,'A5.Consol FY24'!B:B,'A0.LS'!$AW$5,'A5.Consol FY24'!M:M,"EY",'A5.Consol FY24'!N:N,"Posted",'A5.Consol FY24'!F:F,'A0.LS'!E311)</f>
        <v>0</v>
      </c>
      <c r="AX311" s="951">
        <f t="shared" si="239"/>
        <v>1619951483</v>
      </c>
      <c r="AY311" s="920"/>
      <c r="AZ311" s="936">
        <f>SUMIFS('911.CTC.YE22'!U:U,'911.CTC.YE22'!R:R,'A0.LS'!E311)</f>
        <v>0</v>
      </c>
      <c r="BA311" s="936">
        <f>ROUND(SUMIFS('A5.YE22'!J:J,'A5.YE22'!K:K,'A0.LS'!$BA$5,'A5.YE22'!L:L,"Posted",'A5.YE22'!D:D,'A0.LS'!E311),0)</f>
        <v>0</v>
      </c>
      <c r="BB311" s="936">
        <f t="shared" si="240"/>
        <v>0</v>
      </c>
      <c r="BC311" s="937"/>
      <c r="BD311" s="936">
        <f>ROUND(SUMIFS('911.VNSC.YE22'!R:R,'911.VNSC.YE22'!L:L,'A0.LS'!E311),0)</f>
        <v>465498701</v>
      </c>
      <c r="BE311" s="936">
        <f>ROUND(SUMIFS('A5.YE22'!J:J,'A5.YE22'!K:K,'A0.LS'!$BE$5,'A5.YE22'!L:L,"Posted",'A5.YE22'!D:D,'A0.LS'!E311),0)</f>
        <v>0</v>
      </c>
      <c r="BF311" s="936">
        <f t="shared" si="241"/>
        <v>465498701</v>
      </c>
      <c r="BG311" s="937"/>
      <c r="BH311" s="936">
        <f>ROUND(SUMIFS('911.XH.YE22'!T:T,'911.XH.YE22'!P:P,'A0.LS'!E311),0)</f>
        <v>0</v>
      </c>
      <c r="BI311" s="936">
        <f>ROUND(SUMIFS('A5.YE22'!J:J,'A5.YE22'!K:K,"XH",'A5.YE22'!L:L,"Posted",'A5.YE22'!D:D,'A0.LS'!E311),0)</f>
        <v>0</v>
      </c>
      <c r="BJ311" s="936">
        <f t="shared" si="242"/>
        <v>0</v>
      </c>
      <c r="BK311" s="937"/>
      <c r="BL311" s="936">
        <f>ROUND(SUMIFS('911.KCG.YE22'!T:T,'911.KCG.YE22'!P:P,'A0.LS'!E311),0)</f>
        <v>0</v>
      </c>
      <c r="BM311" s="936">
        <f>ROUND(SUMIFS('A5.YE22'!J:J,'A5.YE22'!K:K,'A0.LS'!$BM$5,'A5.YE22'!L:L,"Posted",'A5.YE22'!D:D,'A0.LS'!E311),0)</f>
        <v>0</v>
      </c>
      <c r="BN311" s="936">
        <f t="shared" si="243"/>
        <v>0</v>
      </c>
      <c r="BO311" s="937"/>
      <c r="BP311" s="938">
        <v>1501186195</v>
      </c>
      <c r="BQ311" s="938">
        <f>ROUND(SUMIFS('A5.YE22'!J:J,'A5.YE22'!K:K,'A0.LS'!$BQ$5,'A5.YE22'!L:L,"Posted",'A5.YE22'!D:D,'A0.LS'!E311),0)</f>
        <v>0</v>
      </c>
      <c r="BR311" s="938">
        <f t="shared" si="244"/>
        <v>1501186195</v>
      </c>
    </row>
    <row r="312" spans="2:70" ht="12.75">
      <c r="B312" s="939">
        <v>26</v>
      </c>
      <c r="C312" s="940" t="s">
        <v>2546</v>
      </c>
      <c r="D312" s="941" t="s">
        <v>2546</v>
      </c>
      <c r="E312" s="928" t="s">
        <v>1209</v>
      </c>
      <c r="F312" s="928" t="s">
        <v>2547</v>
      </c>
      <c r="G312" s="927" t="s">
        <v>2540</v>
      </c>
      <c r="H312" s="927" t="s">
        <v>2190</v>
      </c>
      <c r="I312" s="942">
        <f>SUMIFS('GL911.Cty Me.FY24'!T:T,'GL911.Cty Me.FY24'!H:H,'A0.LS'!E312)</f>
        <v>0</v>
      </c>
      <c r="J312" s="942">
        <f>ROUND(SUMIFS('A5.FY24'!K:K,'A5.FY24'!E:E,'A0.LS'!E312,'A5.FY24'!L:L,"Finhay",'A5.FY24'!M:M,"Posted"),0)</f>
        <v>0</v>
      </c>
      <c r="K312" s="942">
        <f>ROUND(SUMIFS('A5.FY24'!K:K,'A5.FY24'!E:E,'A0.LS'!E312,'A5.FY24'!L:L,"EY",'A5.FY24'!M:M,"Posted"),0)</f>
        <v>0</v>
      </c>
      <c r="L312" s="943">
        <f t="shared" si="232"/>
        <v>0</v>
      </c>
      <c r="M312" s="930"/>
      <c r="N312" s="944">
        <v>0</v>
      </c>
      <c r="O312" s="944">
        <v>0</v>
      </c>
      <c r="P312" s="944">
        <v>0</v>
      </c>
      <c r="Q312" s="945">
        <v>0</v>
      </c>
      <c r="R312" s="898"/>
      <c r="S312" s="848">
        <f t="shared" si="230"/>
        <v>0</v>
      </c>
      <c r="T312" s="946" t="str">
        <f t="shared" si="231"/>
        <v>To check</v>
      </c>
      <c r="U312" s="850"/>
      <c r="V312" s="850">
        <v>0</v>
      </c>
      <c r="W312" s="850"/>
      <c r="X312" s="947" t="s">
        <v>2190</v>
      </c>
      <c r="Y312" s="947" t="s">
        <v>2540</v>
      </c>
      <c r="Z312" s="936">
        <f>ROUND(SUMIFS('GL911.CtyCon.FY24'!N:N,'GL911.CtyCon.FY24'!G:G,'A0.LS'!E312),0)</f>
        <v>0</v>
      </c>
      <c r="AA312" s="936">
        <f>ROUND(SUMIFS('A5.CTC FY24'!K:K,'A5.CTC FY24'!E:E,'A0.LS'!E312,'A5.CTC FY24'!A:A,'A0.LS'!$AA$5,'A5.CTC FY24'!L:L,"Finhay",'A5.CTC FY24'!M:M,"Posted"),0)</f>
        <v>0</v>
      </c>
      <c r="AB312" s="936">
        <f>ROUND(SUMIFS('A5.CTC FY24'!K:K,'A5.CTC FY24'!E:E,'A0.LS'!E312,'A5.CTC FY24'!A:A,'A0.LS'!$AB$5,'A5.CTC FY24'!L:L,"EY",'A5.CTC FY24'!M:M,"Posted"),0)</f>
        <v>0</v>
      </c>
      <c r="AC312" s="948">
        <f t="shared" si="233"/>
        <v>0</v>
      </c>
      <c r="AD312" s="930"/>
      <c r="AE312" s="936">
        <f>SUMIFS('GL911 VNSC FY24'!T:T,'GL911 VNSC FY24'!AG:AG,'A0.LS'!E312)</f>
        <v>0</v>
      </c>
      <c r="AF312" s="936">
        <f>SUMIFS('A5.CTC FY24'!K:K,'A5.CTC FY24'!E:E,'A0.LS'!E312,'A5.CTC FY24'!A:A,"VNSC",'A5.CTC FY24'!L:L,"VNSC",'A5.CTC FY24'!M:M,"Posted")</f>
        <v>0</v>
      </c>
      <c r="AG312" s="936">
        <f>ROUND(SUMIFS('A5.CTC FY24'!K:K,'A5.CTC FY24'!E:E,'A0.LS'!E312,'A5.CTC FY24'!A:A,"VNSC",'A5.CTC FY24'!L:L,"EY",'A5.CTC FY24'!M:M,"Posted"),0)</f>
        <v>0</v>
      </c>
      <c r="AH312" s="936">
        <f t="shared" si="234"/>
        <v>0</v>
      </c>
      <c r="AI312" s="930"/>
      <c r="AJ312" s="936">
        <f>ROUND(SUMIFS('GL911.KCG.FY24'!L:L,'GL911.KCG.FY24'!F:F,'A0.LS'!E312),0)</f>
        <v>0</v>
      </c>
      <c r="AK312" s="936">
        <f>ROUND(SUMIFS('A5.CTC FY24'!K:K,'A5.CTC FY24'!E:E,'A0.LS'!E312,'A5.CTC FY24'!A:A,'A0.LS'!$AK$5,'A5.CTC FY24'!L:L,"EY",'A5.CTC FY24'!M:M,"Posted"),0)</f>
        <v>0</v>
      </c>
      <c r="AL312" s="948">
        <f t="shared" si="235"/>
        <v>0</v>
      </c>
      <c r="AM312" s="930"/>
      <c r="AN312" s="949">
        <f t="shared" si="245"/>
        <v>0</v>
      </c>
      <c r="AO312" s="950">
        <f>ROUND(SUMIFS('A5.Consol FY24'!L:L,'A5.Consol FY24'!M:M,"EY",'A5.Consol FY24'!N:N,"Posted",'A5.Consol FY24'!B:B,'A0.LS'!$AO$5,'A5.Consol FY24'!F:F,'A0.LS'!E312),0)</f>
        <v>11939179383</v>
      </c>
      <c r="AP312" s="949">
        <f t="shared" si="236"/>
        <v>11939179383</v>
      </c>
      <c r="AQ312" s="930"/>
      <c r="AR312" s="936">
        <f>ROUND(SUMIFS('GL911.XH.FY24'!L:L,'GL911.XH.FY24'!F:F,'A0.LS'!E312),0)</f>
        <v>0</v>
      </c>
      <c r="AS312" s="936">
        <f>ROUND(SUMIFS('A5.CTC FY24'!K:K,'A5.CTC FY24'!E:E,'A0.LS'!E312,'A5.CTC FY24'!A:A,'A0.LS'!$AS$5,'A5.CTC FY24'!L:L,"EY",'A5.CTC FY24'!M:M,"Posted"),0)</f>
        <v>0</v>
      </c>
      <c r="AT312" s="948">
        <f t="shared" si="237"/>
        <v>0</v>
      </c>
      <c r="AU312" s="930"/>
      <c r="AV312" s="951">
        <f t="shared" si="238"/>
        <v>11939179383</v>
      </c>
      <c r="AW312" s="952">
        <f>SUMIFS('A5.Consol FY24'!L:L,'A5.Consol FY24'!B:B,'A0.LS'!$AW$5,'A5.Consol FY24'!M:M,"EY",'A5.Consol FY24'!N:N,"Posted",'A5.Consol FY24'!F:F,'A0.LS'!E312)</f>
        <v>0</v>
      </c>
      <c r="AX312" s="951">
        <f t="shared" si="239"/>
        <v>11939179383</v>
      </c>
      <c r="AY312" s="920"/>
      <c r="AZ312" s="936">
        <f>SUMIFS('911.CTC.YE22'!U:U,'911.CTC.YE22'!R:R,'A0.LS'!E312)</f>
        <v>0</v>
      </c>
      <c r="BA312" s="936">
        <f>ROUND(SUMIFS('A5.YE22'!J:J,'A5.YE22'!K:K,'A0.LS'!$BA$5,'A5.YE22'!L:L,"Posted",'A5.YE22'!D:D,'A0.LS'!E312),0)</f>
        <v>0</v>
      </c>
      <c r="BB312" s="936">
        <f t="shared" si="240"/>
        <v>0</v>
      </c>
      <c r="BC312" s="937"/>
      <c r="BD312" s="936">
        <f>ROUND(SUMIFS('911.VNSC.YE22'!R:R,'911.VNSC.YE22'!L:L,'A0.LS'!E312),0)</f>
        <v>0</v>
      </c>
      <c r="BE312" s="936">
        <f>ROUND(SUMIFS('A5.YE22'!J:J,'A5.YE22'!K:K,'A0.LS'!$BE$5,'A5.YE22'!L:L,"Posted",'A5.YE22'!D:D,'A0.LS'!E312),0)</f>
        <v>0</v>
      </c>
      <c r="BF312" s="936">
        <f t="shared" si="241"/>
        <v>0</v>
      </c>
      <c r="BG312" s="937"/>
      <c r="BH312" s="936">
        <f>ROUND(SUMIFS('911.XH.YE22'!T:T,'911.XH.YE22'!P:P,'A0.LS'!E312),0)</f>
        <v>0</v>
      </c>
      <c r="BI312" s="936">
        <f>ROUND(SUMIFS('A5.YE22'!J:J,'A5.YE22'!K:K,"XH",'A5.YE22'!L:L,"Posted",'A5.YE22'!D:D,'A0.LS'!E312),0)</f>
        <v>0</v>
      </c>
      <c r="BJ312" s="936">
        <f t="shared" si="242"/>
        <v>0</v>
      </c>
      <c r="BK312" s="937"/>
      <c r="BL312" s="936">
        <f>ROUND(SUMIFS('911.KCG.YE22'!T:T,'911.KCG.YE22'!P:P,'A0.LS'!E312),0)</f>
        <v>0</v>
      </c>
      <c r="BM312" s="936">
        <f>ROUND(SUMIFS('A5.YE22'!J:J,'A5.YE22'!K:K,'A0.LS'!$BM$5,'A5.YE22'!L:L,"Posted",'A5.YE22'!D:D,'A0.LS'!E312),0)</f>
        <v>0</v>
      </c>
      <c r="BN312" s="936">
        <f t="shared" si="243"/>
        <v>0</v>
      </c>
      <c r="BO312" s="937"/>
      <c r="BP312" s="938">
        <v>12046712204</v>
      </c>
      <c r="BQ312" s="938">
        <v>0</v>
      </c>
      <c r="BR312" s="938">
        <f t="shared" si="244"/>
        <v>12046712204</v>
      </c>
    </row>
    <row r="313" spans="2:70" ht="12.6" customHeight="1">
      <c r="B313" s="939">
        <v>26</v>
      </c>
      <c r="C313" s="940" t="s">
        <v>2548</v>
      </c>
      <c r="D313" s="941" t="s">
        <v>2548</v>
      </c>
      <c r="E313" s="928" t="s">
        <v>384</v>
      </c>
      <c r="F313" s="928" t="s">
        <v>385</v>
      </c>
      <c r="G313" s="927" t="s">
        <v>2540</v>
      </c>
      <c r="H313" s="927" t="s">
        <v>2190</v>
      </c>
      <c r="I313" s="942">
        <f>SUMIFS('GL911.Cty Me.FY24'!T:T,'GL911.Cty Me.FY24'!H:H,'A0.LS'!E313)</f>
        <v>4500000</v>
      </c>
      <c r="J313" s="942">
        <f>ROUND(SUMIFS('A5.FY24'!K:K,'A5.FY24'!E:E,'A0.LS'!E313,'A5.FY24'!L:L,"Finhay",'A5.FY24'!M:M,"Posted"),0)</f>
        <v>0</v>
      </c>
      <c r="K313" s="942">
        <f>ROUND(SUMIFS('A5.FY24'!K:K,'A5.FY24'!E:E,'A0.LS'!E313,'A5.FY24'!L:L,"EY",'A5.FY24'!M:M,"Posted"),0)</f>
        <v>0</v>
      </c>
      <c r="L313" s="943">
        <f t="shared" si="232"/>
        <v>4500000</v>
      </c>
      <c r="M313" s="930"/>
      <c r="N313" s="944">
        <v>5000000</v>
      </c>
      <c r="O313" s="944">
        <v>0</v>
      </c>
      <c r="P313" s="944">
        <v>0</v>
      </c>
      <c r="Q313" s="945">
        <v>5000000</v>
      </c>
      <c r="R313" s="898"/>
      <c r="S313" s="848">
        <f t="shared" si="230"/>
        <v>-500000</v>
      </c>
      <c r="T313" s="946">
        <f t="shared" si="231"/>
        <v>-0.1</v>
      </c>
      <c r="U313" s="850"/>
      <c r="V313" s="850" t="s">
        <v>2549</v>
      </c>
      <c r="W313" s="850"/>
      <c r="X313" s="947" t="s">
        <v>2190</v>
      </c>
      <c r="Y313" s="947" t="s">
        <v>2540</v>
      </c>
      <c r="Z313" s="936">
        <f>ROUND(SUMIFS('GL911.CtyCon.FY24'!N:N,'GL911.CtyCon.FY24'!G:G,'A0.LS'!E313),0)</f>
        <v>3000000</v>
      </c>
      <c r="AA313" s="936">
        <f>ROUND(SUMIFS('A5.CTC FY24'!K:K,'A5.CTC FY24'!E:E,'A0.LS'!E313,'A5.CTC FY24'!A:A,'A0.LS'!$AA$5,'A5.CTC FY24'!L:L,"Finhay",'A5.CTC FY24'!M:M,"Posted"),0)</f>
        <v>0</v>
      </c>
      <c r="AB313" s="936">
        <f>ROUND(SUMIFS('A5.CTC FY24'!K:K,'A5.CTC FY24'!E:E,'A0.LS'!E313,'A5.CTC FY24'!A:A,'A0.LS'!$AB$5,'A5.CTC FY24'!L:L,"EY",'A5.CTC FY24'!M:M,"Posted"),0)</f>
        <v>0</v>
      </c>
      <c r="AC313" s="948">
        <f t="shared" si="233"/>
        <v>3000000</v>
      </c>
      <c r="AD313" s="930"/>
      <c r="AE313" s="936">
        <f>SUMIFS('GL911 VNSC FY24'!T:T,'GL911 VNSC FY24'!AG:AG,'A0.LS'!E313)</f>
        <v>24199469</v>
      </c>
      <c r="AF313" s="936">
        <f>SUMIFS('A5.CTC FY24'!K:K,'A5.CTC FY24'!E:E,'A0.LS'!E313,'A5.CTC FY24'!A:A,"VNSC",'A5.CTC FY24'!L:L,"VNSC",'A5.CTC FY24'!M:M,"Posted")</f>
        <v>0</v>
      </c>
      <c r="AG313" s="936">
        <f>ROUND(SUMIFS('A5.CTC FY24'!K:K,'A5.CTC FY24'!E:E,'A0.LS'!E313,'A5.CTC FY24'!A:A,"VNSC",'A5.CTC FY24'!L:L,"EY",'A5.CTC FY24'!M:M,"Posted"),0)</f>
        <v>0</v>
      </c>
      <c r="AH313" s="936">
        <f t="shared" si="234"/>
        <v>24199469</v>
      </c>
      <c r="AI313" s="930"/>
      <c r="AJ313" s="936">
        <f>ROUND(SUMIFS('GL911.KCG.FY24'!L:L,'GL911.KCG.FY24'!F:F,'A0.LS'!E313),0)</f>
        <v>2000000</v>
      </c>
      <c r="AK313" s="936">
        <f>ROUND(SUMIFS('A5.CTC FY24'!K:K,'A5.CTC FY24'!E:E,'A0.LS'!E313,'A5.CTC FY24'!A:A,'A0.LS'!$AK$5,'A5.CTC FY24'!L:L,"EY",'A5.CTC FY24'!M:M,"Posted"),0)</f>
        <v>0</v>
      </c>
      <c r="AL313" s="948">
        <f t="shared" si="235"/>
        <v>2000000</v>
      </c>
      <c r="AM313" s="930"/>
      <c r="AN313" s="949">
        <f t="shared" si="245"/>
        <v>29199469</v>
      </c>
      <c r="AO313" s="950">
        <f>ROUND(SUMIFS('A5.Consol FY24'!L:L,'A5.Consol FY24'!M:M,"EY",'A5.Consol FY24'!N:N,"Posted",'A5.Consol FY24'!B:B,'A0.LS'!$AO$5,'A5.Consol FY24'!F:F,'A0.LS'!E313),0)</f>
        <v>0</v>
      </c>
      <c r="AP313" s="949">
        <f t="shared" si="236"/>
        <v>29199469</v>
      </c>
      <c r="AQ313" s="930"/>
      <c r="AR313" s="936">
        <f>ROUND(SUMIFS('GL911.XH.FY24'!L:L,'GL911.XH.FY24'!F:F,'A0.LS'!E313),0)</f>
        <v>2000000</v>
      </c>
      <c r="AS313" s="936">
        <f>ROUND(SUMIFS('A5.CTC FY24'!K:K,'A5.CTC FY24'!E:E,'A0.LS'!E313,'A5.CTC FY24'!A:A,'A0.LS'!$AS$5,'A5.CTC FY24'!L:L,"EY",'A5.CTC FY24'!M:M,"Posted"),0)</f>
        <v>0</v>
      </c>
      <c r="AT313" s="948">
        <f t="shared" si="237"/>
        <v>2000000</v>
      </c>
      <c r="AU313" s="930"/>
      <c r="AV313" s="951">
        <f t="shared" si="238"/>
        <v>35699469</v>
      </c>
      <c r="AW313" s="952">
        <f>SUMIFS('A5.Consol FY24'!L:L,'A5.Consol FY24'!B:B,'A0.LS'!$AW$5,'A5.Consol FY24'!M:M,"EY",'A5.Consol FY24'!N:N,"Posted",'A5.Consol FY24'!F:F,'A0.LS'!E313)</f>
        <v>0</v>
      </c>
      <c r="AX313" s="951">
        <f t="shared" si="239"/>
        <v>35699469</v>
      </c>
      <c r="AY313" s="920"/>
      <c r="AZ313" s="936">
        <f>SUMIFS('911.CTC.YE22'!U:U,'911.CTC.YE22'!R:R,'A0.LS'!E313)</f>
        <v>3000000</v>
      </c>
      <c r="BA313" s="936">
        <f>ROUND(SUMIFS('A5.YE22'!J:J,'A5.YE22'!K:K,'A0.LS'!$BA$5,'A5.YE22'!L:L,"Posted",'A5.YE22'!D:D,'A0.LS'!E313),0)</f>
        <v>0</v>
      </c>
      <c r="BB313" s="936">
        <f t="shared" si="240"/>
        <v>3000000</v>
      </c>
      <c r="BC313" s="937"/>
      <c r="BD313" s="936">
        <f>ROUND(SUMIFS('911.VNSC.YE22'!R:R,'911.VNSC.YE22'!L:L,'A0.LS'!E313),0)</f>
        <v>6758500</v>
      </c>
      <c r="BE313" s="936">
        <f>ROUND(SUMIFS('A5.YE22'!J:J,'A5.YE22'!K:K,'A0.LS'!$BE$5,'A5.YE22'!L:L,"Posted",'A5.YE22'!D:D,'A0.LS'!E313),0)</f>
        <v>0</v>
      </c>
      <c r="BF313" s="936">
        <f t="shared" si="241"/>
        <v>6758500</v>
      </c>
      <c r="BG313" s="937"/>
      <c r="BH313" s="936">
        <f>ROUND(SUMIFS('911.XH.YE22'!T:T,'911.XH.YE22'!P:P,'A0.LS'!E313),0)</f>
        <v>0</v>
      </c>
      <c r="BI313" s="936">
        <f>ROUND(SUMIFS('A5.YE22'!J:J,'A5.YE22'!K:K,"XH",'A5.YE22'!L:L,"Posted",'A5.YE22'!D:D,'A0.LS'!E313),0)</f>
        <v>0</v>
      </c>
      <c r="BJ313" s="936">
        <f t="shared" si="242"/>
        <v>0</v>
      </c>
      <c r="BK313" s="937"/>
      <c r="BL313" s="936">
        <f>ROUND(SUMIFS('911.KCG.YE22'!T:T,'911.KCG.YE22'!P:P,'A0.LS'!E313),0)</f>
        <v>0</v>
      </c>
      <c r="BM313" s="936">
        <f>ROUND(SUMIFS('A5.YE22'!J:J,'A5.YE22'!K:K,'A0.LS'!$BM$5,'A5.YE22'!L:L,"Posted",'A5.YE22'!D:D,'A0.LS'!E313),0)</f>
        <v>0</v>
      </c>
      <c r="BN313" s="936">
        <f t="shared" si="243"/>
        <v>0</v>
      </c>
      <c r="BO313" s="937"/>
      <c r="BP313" s="938">
        <v>25033084</v>
      </c>
      <c r="BQ313" s="938">
        <f>ROUND(SUMIFS('A5.YE22'!J:J,'A5.YE22'!K:K,'A0.LS'!$BQ$5,'A5.YE22'!L:L,"Posted",'A5.YE22'!D:D,'A0.LS'!E313),0)</f>
        <v>0</v>
      </c>
      <c r="BR313" s="938">
        <f t="shared" si="244"/>
        <v>25033084</v>
      </c>
    </row>
    <row r="314" spans="2:70" ht="12.75">
      <c r="B314" s="939">
        <v>26</v>
      </c>
      <c r="C314" s="940">
        <v>23.12</v>
      </c>
      <c r="D314" s="927">
        <v>23.12</v>
      </c>
      <c r="E314" s="928" t="s">
        <v>2550</v>
      </c>
      <c r="F314" s="928" t="s">
        <v>2551</v>
      </c>
      <c r="G314" s="927" t="s">
        <v>2540</v>
      </c>
      <c r="H314" s="927" t="s">
        <v>2190</v>
      </c>
      <c r="I314" s="942">
        <f>SUMIFS('GL911.Cty Me.FY24'!T:T,'GL911.Cty Me.FY24'!H:H,'A0.LS'!E314)</f>
        <v>0</v>
      </c>
      <c r="J314" s="942">
        <f>ROUND(SUMIFS('A5.FY24'!K:K,'A5.FY24'!E:E,'A0.LS'!E314,'A5.FY24'!L:L,"Finhay",'A5.FY24'!M:M,"Posted"),0)</f>
        <v>0</v>
      </c>
      <c r="K314" s="942">
        <f>ROUND(SUMIFS('A5.FY24'!K:K,'A5.FY24'!E:E,'A0.LS'!E314,'A5.FY24'!L:L,"EY",'A5.FY24'!M:M,"Posted"),0)</f>
        <v>0</v>
      </c>
      <c r="L314" s="943">
        <f t="shared" si="232"/>
        <v>0</v>
      </c>
      <c r="M314" s="930"/>
      <c r="N314" s="944">
        <v>0</v>
      </c>
      <c r="O314" s="944">
        <v>0</v>
      </c>
      <c r="P314" s="944">
        <v>0</v>
      </c>
      <c r="Q314" s="945">
        <v>0</v>
      </c>
      <c r="R314" s="898"/>
      <c r="S314" s="848">
        <f t="shared" si="230"/>
        <v>0</v>
      </c>
      <c r="T314" s="946" t="str">
        <f t="shared" si="231"/>
        <v>To check</v>
      </c>
      <c r="U314" s="850"/>
      <c r="V314" s="850" t="e">
        <v>#N/A</v>
      </c>
      <c r="W314" s="850"/>
      <c r="X314" s="947" t="s">
        <v>2190</v>
      </c>
      <c r="Y314" s="947" t="s">
        <v>2540</v>
      </c>
      <c r="Z314" s="936">
        <f>ROUND(SUMIFS('GL911.CtyCon.FY24'!N:N,'GL911.CtyCon.FY24'!G:G,'A0.LS'!E314),0)</f>
        <v>0</v>
      </c>
      <c r="AA314" s="936">
        <f>ROUND(SUMIFS('A5.CTC FY24'!K:K,'A5.CTC FY24'!E:E,'A0.LS'!E314,'A5.CTC FY24'!A:A,'A0.LS'!$AA$5,'A5.CTC FY24'!L:L,"Finhay",'A5.CTC FY24'!M:M,"Posted"),0)</f>
        <v>0</v>
      </c>
      <c r="AB314" s="936">
        <f>ROUND(SUMIFS('A5.CTC FY24'!K:K,'A5.CTC FY24'!E:E,'A0.LS'!E314,'A5.CTC FY24'!A:A,'A0.LS'!$AB$5,'A5.CTC FY24'!L:L,"EY",'A5.CTC FY24'!M:M,"Posted"),0)</f>
        <v>0</v>
      </c>
      <c r="AC314" s="948">
        <f t="shared" si="233"/>
        <v>0</v>
      </c>
      <c r="AD314" s="930"/>
      <c r="AE314" s="936">
        <f>SUMIFS('GL911 VNSC FY24'!T:T,'GL911 VNSC FY24'!AG:AG,'A0.LS'!E314)</f>
        <v>0</v>
      </c>
      <c r="AF314" s="936">
        <f>SUMIFS('A5.CTC FY24'!K:K,'A5.CTC FY24'!E:E,'A0.LS'!E314,'A5.CTC FY24'!A:A,"VNSC",'A5.CTC FY24'!L:L,"VNSC",'A5.CTC FY24'!M:M,"Posted")</f>
        <v>0</v>
      </c>
      <c r="AG314" s="936">
        <f>ROUND(SUMIFS('A5.CTC FY24'!K:K,'A5.CTC FY24'!E:E,'A0.LS'!E314,'A5.CTC FY24'!A:A,"VNSC",'A5.CTC FY24'!L:L,"EY",'A5.CTC FY24'!M:M,"Posted"),0)</f>
        <v>0</v>
      </c>
      <c r="AH314" s="936">
        <f t="shared" si="234"/>
        <v>0</v>
      </c>
      <c r="AI314" s="930"/>
      <c r="AJ314" s="936">
        <f>ROUND(SUMIFS('GL911.KCG.FY24'!L:L,'GL911.KCG.FY24'!F:F,'A0.LS'!E314),0)</f>
        <v>0</v>
      </c>
      <c r="AK314" s="936">
        <f>ROUND(SUMIFS('A5.CTC FY24'!K:K,'A5.CTC FY24'!E:E,'A0.LS'!E314,'A5.CTC FY24'!A:A,'A0.LS'!$AK$5,'A5.CTC FY24'!L:L,"EY",'A5.CTC FY24'!M:M,"Posted"),0)</f>
        <v>0</v>
      </c>
      <c r="AL314" s="948">
        <f t="shared" si="235"/>
        <v>0</v>
      </c>
      <c r="AM314" s="930"/>
      <c r="AN314" s="949">
        <f t="shared" si="245"/>
        <v>0</v>
      </c>
      <c r="AO314" s="950">
        <f>ROUND(SUMIFS('A5.Consol FY24'!L:L,'A5.Consol FY24'!M:M,"EY",'A5.Consol FY24'!N:N,"Posted",'A5.Consol FY24'!B:B,'A0.LS'!$AO$5,'A5.Consol FY24'!F:F,'A0.LS'!E314),0)</f>
        <v>0</v>
      </c>
      <c r="AP314" s="949">
        <f t="shared" si="236"/>
        <v>0</v>
      </c>
      <c r="AQ314" s="930"/>
      <c r="AR314" s="936">
        <f>ROUND(SUMIFS('GL911.XH.FY24'!L:L,'GL911.XH.FY24'!F:F,'A0.LS'!E314),0)</f>
        <v>0</v>
      </c>
      <c r="AS314" s="936">
        <f>ROUND(SUMIFS('A5.CTC FY24'!K:K,'A5.CTC FY24'!E:E,'A0.LS'!E314,'A5.CTC FY24'!A:A,'A0.LS'!$AS$5,'A5.CTC FY24'!L:L,"EY",'A5.CTC FY24'!M:M,"Posted"),0)</f>
        <v>0</v>
      </c>
      <c r="AT314" s="948">
        <f t="shared" si="237"/>
        <v>0</v>
      </c>
      <c r="AU314" s="930"/>
      <c r="AV314" s="951">
        <f t="shared" si="238"/>
        <v>0</v>
      </c>
      <c r="AW314" s="952">
        <f>SUMIFS('A5.Consol FY24'!L:L,'A5.Consol FY24'!B:B,'A0.LS'!$AW$5,'A5.Consol FY24'!M:M,"EY",'A5.Consol FY24'!N:N,"Posted",'A5.Consol FY24'!F:F,'A0.LS'!E314)</f>
        <v>0</v>
      </c>
      <c r="AX314" s="951">
        <f t="shared" si="239"/>
        <v>0</v>
      </c>
      <c r="AY314" s="920"/>
      <c r="AZ314" s="936">
        <f>SUMIFS('911.CTC.YE22'!U:U,'911.CTC.YE22'!R:R,'A0.LS'!E314)</f>
        <v>0</v>
      </c>
      <c r="BA314" s="936">
        <f>ROUND(SUMIFS('A5.YE22'!J:J,'A5.YE22'!K:K,'A0.LS'!$BA$5,'A5.YE22'!L:L,"Posted",'A5.YE22'!D:D,'A0.LS'!E314),0)</f>
        <v>0</v>
      </c>
      <c r="BB314" s="936">
        <f t="shared" si="240"/>
        <v>0</v>
      </c>
      <c r="BC314" s="937"/>
      <c r="BD314" s="936">
        <f>ROUND(SUMIFS('911.VNSC.YE22'!R:R,'911.VNSC.YE22'!L:L,'A0.LS'!E314),0)</f>
        <v>0</v>
      </c>
      <c r="BE314" s="936">
        <f>ROUND(SUMIFS('A5.YE22'!J:J,'A5.YE22'!K:K,'A0.LS'!$BE$5,'A5.YE22'!L:L,"Posted",'A5.YE22'!D:D,'A0.LS'!E314),0)</f>
        <v>0</v>
      </c>
      <c r="BF314" s="936">
        <f t="shared" si="241"/>
        <v>0</v>
      </c>
      <c r="BG314" s="937"/>
      <c r="BH314" s="936">
        <f>ROUND(SUMIFS('911.XH.YE22'!T:T,'911.XH.YE22'!P:P,'A0.LS'!E314),0)</f>
        <v>0</v>
      </c>
      <c r="BI314" s="936">
        <f>ROUND(SUMIFS('A5.YE22'!J:J,'A5.YE22'!K:K,"XH",'A5.YE22'!L:L,"Posted",'A5.YE22'!D:D,'A0.LS'!E314),0)</f>
        <v>0</v>
      </c>
      <c r="BJ314" s="936">
        <f t="shared" si="242"/>
        <v>0</v>
      </c>
      <c r="BK314" s="937"/>
      <c r="BL314" s="936">
        <f>ROUND(SUMIFS('911.KCG.YE22'!T:T,'911.KCG.YE22'!P:P,'A0.LS'!E314),0)</f>
        <v>0</v>
      </c>
      <c r="BM314" s="936">
        <f>ROUND(SUMIFS('A5.YE22'!J:J,'A5.YE22'!K:K,'A0.LS'!$BM$5,'A5.YE22'!L:L,"Posted",'A5.YE22'!D:D,'A0.LS'!E314),0)</f>
        <v>0</v>
      </c>
      <c r="BN314" s="936">
        <f t="shared" si="243"/>
        <v>0</v>
      </c>
      <c r="BO314" s="937"/>
      <c r="BP314" s="938">
        <v>0</v>
      </c>
      <c r="BQ314" s="938">
        <f>ROUND(SUMIFS('A5.YE22'!J:J,'A5.YE22'!K:K,'A0.LS'!$BQ$5,'A5.YE22'!L:L,"Posted",'A5.YE22'!D:D,'A0.LS'!E314),0)</f>
        <v>0</v>
      </c>
      <c r="BR314" s="938">
        <f t="shared" si="244"/>
        <v>0</v>
      </c>
    </row>
    <row r="315" spans="2:70" ht="12.6" customHeight="1">
      <c r="B315" s="939">
        <v>26</v>
      </c>
      <c r="C315" s="940" t="s">
        <v>2552</v>
      </c>
      <c r="D315" s="941" t="s">
        <v>2552</v>
      </c>
      <c r="E315" s="928" t="s">
        <v>387</v>
      </c>
      <c r="F315" s="928" t="s">
        <v>388</v>
      </c>
      <c r="G315" s="927" t="s">
        <v>2540</v>
      </c>
      <c r="H315" s="927" t="s">
        <v>2190</v>
      </c>
      <c r="I315" s="942">
        <f>SUMIFS('GL911.Cty Me.FY24'!T:T,'GL911.Cty Me.FY24'!H:H,'A0.LS'!E315)</f>
        <v>2415898541</v>
      </c>
      <c r="J315" s="942">
        <f>ROUND(SUMIFS('A5.FY24'!K:K,'A5.FY24'!E:E,'A0.LS'!E315,'A5.FY24'!L:L,"Finhay",'A5.FY24'!M:M,"Posted"),0)</f>
        <v>0</v>
      </c>
      <c r="K315" s="942">
        <f>ROUND(SUMIFS('A5.FY24'!K:K,'A5.FY24'!E:E,'A0.LS'!E315,'A5.FY24'!L:L,"EY",'A5.FY24'!M:M,"Posted"),0)</f>
        <v>0</v>
      </c>
      <c r="L315" s="943">
        <f t="shared" si="232"/>
        <v>2415898541</v>
      </c>
      <c r="M315" s="930"/>
      <c r="N315" s="944">
        <v>1940124522</v>
      </c>
      <c r="O315" s="944">
        <v>99237219</v>
      </c>
      <c r="P315" s="944">
        <v>0</v>
      </c>
      <c r="Q315" s="945">
        <v>2039361741</v>
      </c>
      <c r="R315" s="898"/>
      <c r="S315" s="848">
        <f t="shared" si="230"/>
        <v>376536800</v>
      </c>
      <c r="T315" s="946">
        <f t="shared" si="231"/>
        <v>0.18463462976184175</v>
      </c>
      <c r="U315" s="850"/>
      <c r="V315" s="850" t="s">
        <v>2432</v>
      </c>
      <c r="W315" s="850"/>
      <c r="X315" s="947" t="s">
        <v>2190</v>
      </c>
      <c r="Y315" s="947" t="s">
        <v>2540</v>
      </c>
      <c r="Z315" s="936">
        <f>ROUND(SUMIFS('GL911.CtyCon.FY24'!N:N,'GL911.CtyCon.FY24'!G:G,'A0.LS'!E315),0)</f>
        <v>2708134</v>
      </c>
      <c r="AA315" s="936">
        <f>ROUND(SUMIFS('A5.CTC FY24'!K:K,'A5.CTC FY24'!E:E,'A0.LS'!E315,'A5.CTC FY24'!A:A,'A0.LS'!$AA$5,'A5.CTC FY24'!L:L,"Finhay",'A5.CTC FY24'!M:M,"Posted"),0)</f>
        <v>0</v>
      </c>
      <c r="AB315" s="936">
        <f>ROUND(SUMIFS('A5.CTC FY24'!K:K,'A5.CTC FY24'!E:E,'A0.LS'!E315,'A5.CTC FY24'!A:A,'A0.LS'!$AB$5,'A5.CTC FY24'!L:L,"EY",'A5.CTC FY24'!M:M,"Posted"),0)</f>
        <v>0</v>
      </c>
      <c r="AC315" s="948">
        <f t="shared" si="233"/>
        <v>2708134</v>
      </c>
      <c r="AD315" s="930"/>
      <c r="AE315" s="936">
        <f>SUMIFS('GL911 VNSC FY24'!T:T,'GL911 VNSC FY24'!AG:AG,'A0.LS'!E315)</f>
        <v>0</v>
      </c>
      <c r="AF315" s="936">
        <f>SUMIFS('A5.CTC FY24'!K:K,'A5.CTC FY24'!E:E,'A0.LS'!E315,'A5.CTC FY24'!A:A,"VNSC",'A5.CTC FY24'!L:L,"VNSC",'A5.CTC FY24'!M:M,"Posted")</f>
        <v>0</v>
      </c>
      <c r="AG315" s="936">
        <f>ROUND(SUMIFS('A5.CTC FY24'!K:K,'A5.CTC FY24'!E:E,'A0.LS'!E315,'A5.CTC FY24'!A:A,"VNSC",'A5.CTC FY24'!L:L,"EY",'A5.CTC FY24'!M:M,"Posted"),0)</f>
        <v>0</v>
      </c>
      <c r="AH315" s="936">
        <f t="shared" si="234"/>
        <v>0</v>
      </c>
      <c r="AI315" s="930"/>
      <c r="AJ315" s="936">
        <f>ROUND(SUMIFS('GL911.KCG.FY24'!L:L,'GL911.KCG.FY24'!F:F,'A0.LS'!E315),0)</f>
        <v>0</v>
      </c>
      <c r="AK315" s="936">
        <f>ROUND(SUMIFS('A5.CTC FY24'!K:K,'A5.CTC FY24'!E:E,'A0.LS'!E315,'A5.CTC FY24'!A:A,'A0.LS'!$AK$5,'A5.CTC FY24'!L:L,"EY",'A5.CTC FY24'!M:M,"Posted"),0)</f>
        <v>0</v>
      </c>
      <c r="AL315" s="948">
        <f t="shared" si="235"/>
        <v>0</v>
      </c>
      <c r="AM315" s="930"/>
      <c r="AN315" s="949">
        <f t="shared" si="245"/>
        <v>2708134</v>
      </c>
      <c r="AO315" s="950">
        <f>ROUND(SUMIFS('A5.Consol FY24'!L:L,'A5.Consol FY24'!M:M,"EY",'A5.Consol FY24'!N:N,"Posted",'A5.Consol FY24'!B:B,'A0.LS'!$AO$5,'A5.Consol FY24'!F:F,'A0.LS'!E315),0)</f>
        <v>0</v>
      </c>
      <c r="AP315" s="949">
        <f t="shared" si="236"/>
        <v>2708134</v>
      </c>
      <c r="AQ315" s="930"/>
      <c r="AR315" s="936">
        <f>ROUND(SUMIFS('GL911.XH.FY24'!L:L,'GL911.XH.FY24'!F:F,'A0.LS'!E315),0)</f>
        <v>0</v>
      </c>
      <c r="AS315" s="936">
        <f>ROUND(SUMIFS('A5.CTC FY24'!K:K,'A5.CTC FY24'!E:E,'A0.LS'!E315,'A5.CTC FY24'!A:A,'A0.LS'!$AS$5,'A5.CTC FY24'!L:L,"EY",'A5.CTC FY24'!M:M,"Posted"),0)</f>
        <v>0</v>
      </c>
      <c r="AT315" s="948">
        <f t="shared" si="237"/>
        <v>0</v>
      </c>
      <c r="AU315" s="930"/>
      <c r="AV315" s="951">
        <f t="shared" si="238"/>
        <v>2418606675</v>
      </c>
      <c r="AW315" s="952">
        <f>SUMIFS('A5.Consol FY24'!L:L,'A5.Consol FY24'!B:B,'A0.LS'!$AW$5,'A5.Consol FY24'!M:M,"EY",'A5.Consol FY24'!N:N,"Posted",'A5.Consol FY24'!F:F,'A0.LS'!E315)</f>
        <v>0</v>
      </c>
      <c r="AX315" s="951">
        <f t="shared" si="239"/>
        <v>2418606675</v>
      </c>
      <c r="AY315" s="920"/>
      <c r="AZ315" s="936">
        <f>SUMIFS('911.CTC.YE22'!U:U,'911.CTC.YE22'!R:R,'A0.LS'!E315)</f>
        <v>2275797</v>
      </c>
      <c r="BA315" s="936">
        <f>ROUND(SUMIFS('A5.YE22'!J:J,'A5.YE22'!K:K,'A0.LS'!$BA$5,'A5.YE22'!L:L,"Posted",'A5.YE22'!D:D,'A0.LS'!E315),0)</f>
        <v>0</v>
      </c>
      <c r="BB315" s="936">
        <f t="shared" si="240"/>
        <v>2275797</v>
      </c>
      <c r="BC315" s="937"/>
      <c r="BD315" s="936">
        <f>ROUND(SUMIFS('911.VNSC.YE22'!R:R,'911.VNSC.YE22'!L:L,'A0.LS'!E315),0)</f>
        <v>0</v>
      </c>
      <c r="BE315" s="936">
        <f>ROUND(SUMIFS('A5.YE22'!J:J,'A5.YE22'!K:K,'A0.LS'!$BE$5,'A5.YE22'!L:L,"Posted",'A5.YE22'!D:D,'A0.LS'!E315),0)</f>
        <v>0</v>
      </c>
      <c r="BF315" s="936">
        <f t="shared" si="241"/>
        <v>0</v>
      </c>
      <c r="BG315" s="937"/>
      <c r="BH315" s="936">
        <f>ROUND(SUMIFS('911.XH.YE22'!T:T,'911.XH.YE22'!P:P,'A0.LS'!E315),0)</f>
        <v>0</v>
      </c>
      <c r="BI315" s="936">
        <f>ROUND(SUMIFS('A5.YE22'!J:J,'A5.YE22'!K:K,"XH",'A5.YE22'!L:L,"Posted",'A5.YE22'!D:D,'A0.LS'!E315),0)</f>
        <v>0</v>
      </c>
      <c r="BJ315" s="936">
        <f t="shared" si="242"/>
        <v>0</v>
      </c>
      <c r="BK315" s="937"/>
      <c r="BL315" s="936">
        <f>ROUND(SUMIFS('911.KCG.YE22'!T:T,'911.KCG.YE22'!P:P,'A0.LS'!E315),0)</f>
        <v>165083</v>
      </c>
      <c r="BM315" s="936">
        <f>ROUND(SUMIFS('A5.YE22'!J:J,'A5.YE22'!K:K,'A0.LS'!$BM$5,'A5.YE22'!L:L,"Posted",'A5.YE22'!D:D,'A0.LS'!E315),0)</f>
        <v>0</v>
      </c>
      <c r="BN315" s="936">
        <f t="shared" si="243"/>
        <v>165083</v>
      </c>
      <c r="BO315" s="937"/>
      <c r="BP315" s="938">
        <v>2043834865</v>
      </c>
      <c r="BQ315" s="938">
        <f>ROUND(SUMIFS('A5.YE22'!J:J,'A5.YE22'!K:K,'A0.LS'!$BQ$5,'A5.YE22'!L:L,"Posted",'A5.YE22'!D:D,'A0.LS'!E315),0)</f>
        <v>0</v>
      </c>
      <c r="BR315" s="938">
        <f t="shared" si="244"/>
        <v>2043834865</v>
      </c>
    </row>
    <row r="316" spans="2:70" ht="12.75">
      <c r="B316" s="939">
        <v>26</v>
      </c>
      <c r="C316" s="940" t="s">
        <v>2552</v>
      </c>
      <c r="D316" s="941" t="s">
        <v>2552</v>
      </c>
      <c r="E316" s="928" t="s">
        <v>389</v>
      </c>
      <c r="F316" s="928" t="s">
        <v>390</v>
      </c>
      <c r="G316" s="927" t="s">
        <v>2540</v>
      </c>
      <c r="H316" s="927" t="s">
        <v>2190</v>
      </c>
      <c r="I316" s="942">
        <f>SUMIFS('GL911.Cty Me.FY24'!T:T,'GL911.Cty Me.FY24'!H:H,'A0.LS'!E316)</f>
        <v>71599663</v>
      </c>
      <c r="J316" s="942">
        <f>ROUND(SUMIFS('A5.FY24'!K:K,'A5.FY24'!E:E,'A0.LS'!E316,'A5.FY24'!L:L,"Finhay",'A5.FY24'!M:M,"Posted"),0)</f>
        <v>479832</v>
      </c>
      <c r="K316" s="942">
        <f>ROUND(SUMIFS('A5.FY24'!K:K,'A5.FY24'!E:E,'A0.LS'!E316,'A5.FY24'!L:L,"EY",'A5.FY24'!M:M,"Posted"),0)</f>
        <v>0</v>
      </c>
      <c r="L316" s="943">
        <f t="shared" si="232"/>
        <v>72079495</v>
      </c>
      <c r="M316" s="930"/>
      <c r="N316" s="944">
        <v>165848437</v>
      </c>
      <c r="O316" s="944">
        <v>19247225</v>
      </c>
      <c r="P316" s="944">
        <v>0</v>
      </c>
      <c r="Q316" s="945">
        <v>185095662</v>
      </c>
      <c r="R316" s="898"/>
      <c r="S316" s="848">
        <f t="shared" si="230"/>
        <v>-113016167</v>
      </c>
      <c r="T316" s="946">
        <f t="shared" si="231"/>
        <v>-0.61058247275400757</v>
      </c>
      <c r="U316" s="850"/>
      <c r="V316" s="850" t="s">
        <v>2533</v>
      </c>
      <c r="W316" s="850"/>
      <c r="X316" s="947" t="s">
        <v>2190</v>
      </c>
      <c r="Y316" s="947" t="s">
        <v>2540</v>
      </c>
      <c r="Z316" s="936">
        <f>ROUND(SUMIFS('GL911.CtyCon.FY24'!N:N,'GL911.CtyCon.FY24'!G:G,'A0.LS'!E316),0)</f>
        <v>80873761</v>
      </c>
      <c r="AA316" s="936">
        <f>ROUND(SUMIFS('A5.CTC FY24'!K:K,'A5.CTC FY24'!E:E,'A0.LS'!E316,'A5.CTC FY24'!A:A,'A0.LS'!$AA$5,'A5.CTC FY24'!L:L,"Finhay",'A5.CTC FY24'!M:M,"Posted"),0)</f>
        <v>0</v>
      </c>
      <c r="AB316" s="936">
        <f>ROUND(SUMIFS('A5.CTC FY24'!K:K,'A5.CTC FY24'!E:E,'A0.LS'!E316,'A5.CTC FY24'!A:A,'A0.LS'!$AB$5,'A5.CTC FY24'!L:L,"EY",'A5.CTC FY24'!M:M,"Posted"),0)</f>
        <v>0</v>
      </c>
      <c r="AC316" s="948">
        <f t="shared" si="233"/>
        <v>80873761</v>
      </c>
      <c r="AD316" s="930"/>
      <c r="AE316" s="936">
        <f>SUMIFS('GL911 VNSC FY24'!T:T,'GL911 VNSC FY24'!AG:AG,'A0.LS'!E316)</f>
        <v>0</v>
      </c>
      <c r="AF316" s="936">
        <f>SUMIFS('A5.CTC FY24'!K:K,'A5.CTC FY24'!E:E,'A0.LS'!E316,'A5.CTC FY24'!A:A,"VNSC",'A5.CTC FY24'!L:L,"VNSC",'A5.CTC FY24'!M:M,"Posted")</f>
        <v>0</v>
      </c>
      <c r="AG316" s="936">
        <f>ROUND(SUMIFS('A5.CTC FY24'!K:K,'A5.CTC FY24'!E:E,'A0.LS'!E316,'A5.CTC FY24'!A:A,"VNSC",'A5.CTC FY24'!L:L,"EY",'A5.CTC FY24'!M:M,"Posted"),0)</f>
        <v>0</v>
      </c>
      <c r="AH316" s="936">
        <f t="shared" si="234"/>
        <v>0</v>
      </c>
      <c r="AI316" s="930"/>
      <c r="AJ316" s="936">
        <f>ROUND(SUMIFS('GL911.KCG.FY24'!L:L,'GL911.KCG.FY24'!F:F,'A0.LS'!E316),0)</f>
        <v>0</v>
      </c>
      <c r="AK316" s="936">
        <f>ROUND(SUMIFS('A5.CTC FY24'!K:K,'A5.CTC FY24'!E:E,'A0.LS'!E316,'A5.CTC FY24'!A:A,'A0.LS'!$AK$5,'A5.CTC FY24'!L:L,"EY",'A5.CTC FY24'!M:M,"Posted"),0)</f>
        <v>0</v>
      </c>
      <c r="AL316" s="948">
        <f t="shared" si="235"/>
        <v>0</v>
      </c>
      <c r="AM316" s="930"/>
      <c r="AN316" s="949">
        <f t="shared" si="245"/>
        <v>80873761</v>
      </c>
      <c r="AO316" s="950">
        <f>ROUND(SUMIFS('A5.Consol FY24'!L:L,'A5.Consol FY24'!M:M,"EY",'A5.Consol FY24'!N:N,"Posted",'A5.Consol FY24'!B:B,'A0.LS'!$AO$5,'A5.Consol FY24'!F:F,'A0.LS'!E316),0)</f>
        <v>0</v>
      </c>
      <c r="AP316" s="949">
        <f t="shared" si="236"/>
        <v>80873761</v>
      </c>
      <c r="AQ316" s="930"/>
      <c r="AR316" s="936">
        <f>ROUND(SUMIFS('GL911.XH.FY24'!L:L,'GL911.XH.FY24'!F:F,'A0.LS'!E316),0)</f>
        <v>0</v>
      </c>
      <c r="AS316" s="936">
        <f>ROUND(SUMIFS('A5.CTC FY24'!K:K,'A5.CTC FY24'!E:E,'A0.LS'!E316,'A5.CTC FY24'!A:A,'A0.LS'!$AS$5,'A5.CTC FY24'!L:L,"EY",'A5.CTC FY24'!M:M,"Posted"),0)</f>
        <v>0</v>
      </c>
      <c r="AT316" s="948">
        <f t="shared" si="237"/>
        <v>0</v>
      </c>
      <c r="AU316" s="930"/>
      <c r="AV316" s="951">
        <f t="shared" si="238"/>
        <v>152953256</v>
      </c>
      <c r="AW316" s="952">
        <f>SUMIFS('A5.Consol FY24'!L:L,'A5.Consol FY24'!B:B,'A0.LS'!$AW$5,'A5.Consol FY24'!M:M,"EY",'A5.Consol FY24'!N:N,"Posted",'A5.Consol FY24'!F:F,'A0.LS'!E316)</f>
        <v>0</v>
      </c>
      <c r="AX316" s="951">
        <f t="shared" si="239"/>
        <v>152953256</v>
      </c>
      <c r="AY316" s="920"/>
      <c r="AZ316" s="936">
        <f>SUMIFS('911.CTC.YE22'!U:U,'911.CTC.YE22'!R:R,'A0.LS'!E316)</f>
        <v>91719936</v>
      </c>
      <c r="BA316" s="936">
        <f>ROUND(SUMIFS('A5.YE22'!J:J,'A5.YE22'!K:K,'A0.LS'!$BA$5,'A5.YE22'!L:L,"Posted",'A5.YE22'!D:D,'A0.LS'!E316),0)</f>
        <v>0</v>
      </c>
      <c r="BB316" s="936">
        <f t="shared" si="240"/>
        <v>91719936</v>
      </c>
      <c r="BC316" s="937"/>
      <c r="BD316" s="936">
        <f>ROUND(SUMIFS('911.VNSC.YE22'!R:R,'911.VNSC.YE22'!L:L,'A0.LS'!E316),0)</f>
        <v>0</v>
      </c>
      <c r="BE316" s="936">
        <f>ROUND(SUMIFS('A5.YE22'!J:J,'A5.YE22'!K:K,'A0.LS'!$BE$5,'A5.YE22'!L:L,"Posted",'A5.YE22'!D:D,'A0.LS'!E316),0)</f>
        <v>0</v>
      </c>
      <c r="BF316" s="936">
        <f t="shared" si="241"/>
        <v>0</v>
      </c>
      <c r="BG316" s="937"/>
      <c r="BH316" s="936">
        <f>ROUND(SUMIFS('911.XH.YE22'!T:T,'911.XH.YE22'!P:P,'A0.LS'!E316),0)</f>
        <v>0</v>
      </c>
      <c r="BI316" s="936">
        <f>ROUND(SUMIFS('A5.YE22'!J:J,'A5.YE22'!K:K,"XH",'A5.YE22'!L:L,"Posted",'A5.YE22'!D:D,'A0.LS'!E316),0)</f>
        <v>0</v>
      </c>
      <c r="BJ316" s="936">
        <f t="shared" si="242"/>
        <v>0</v>
      </c>
      <c r="BK316" s="937"/>
      <c r="BL316" s="936">
        <f>ROUND(SUMIFS('911.KCG.YE22'!T:T,'911.KCG.YE22'!P:P,'A0.LS'!E316),0)</f>
        <v>0</v>
      </c>
      <c r="BM316" s="936">
        <f>ROUND(SUMIFS('A5.YE22'!J:J,'A5.YE22'!K:K,'A0.LS'!$BM$5,'A5.YE22'!L:L,"Posted",'A5.YE22'!D:D,'A0.LS'!E316),0)</f>
        <v>0</v>
      </c>
      <c r="BN316" s="936">
        <f t="shared" si="243"/>
        <v>0</v>
      </c>
      <c r="BO316" s="937"/>
      <c r="BP316" s="938">
        <v>267301755</v>
      </c>
      <c r="BQ316" s="938">
        <f>ROUND(SUMIFS('A5.YE22'!J:J,'A5.YE22'!K:K,'A0.LS'!$BQ$5,'A5.YE22'!L:L,"Posted",'A5.YE22'!D:D,'A0.LS'!E316),0)</f>
        <v>0</v>
      </c>
      <c r="BR316" s="938">
        <f t="shared" si="244"/>
        <v>267301755</v>
      </c>
    </row>
    <row r="317" spans="2:70" ht="12.6" customHeight="1">
      <c r="B317" s="939">
        <v>26</v>
      </c>
      <c r="C317" s="940" t="s">
        <v>2552</v>
      </c>
      <c r="D317" s="941" t="s">
        <v>2552</v>
      </c>
      <c r="E317" s="928" t="s">
        <v>391</v>
      </c>
      <c r="F317" s="928" t="s">
        <v>392</v>
      </c>
      <c r="G317" s="927" t="s">
        <v>2540</v>
      </c>
      <c r="H317" s="927" t="s">
        <v>2190</v>
      </c>
      <c r="I317" s="942">
        <f>SUMIFS('GL911.Cty Me.FY24'!T:T,'GL911.Cty Me.FY24'!H:H,'A0.LS'!E317)</f>
        <v>18412568</v>
      </c>
      <c r="J317" s="942">
        <f>ROUND(SUMIFS('A5.FY24'!K:K,'A5.FY24'!E:E,'A0.LS'!E317,'A5.FY24'!L:L,"Finhay",'A5.FY24'!M:M,"Posted"),0)</f>
        <v>0</v>
      </c>
      <c r="K317" s="942">
        <f>ROUND(SUMIFS('A5.FY24'!K:K,'A5.FY24'!E:E,'A0.LS'!E317,'A5.FY24'!L:L,"EY",'A5.FY24'!M:M,"Posted"),0)</f>
        <v>0</v>
      </c>
      <c r="L317" s="943">
        <f t="shared" si="232"/>
        <v>18412568</v>
      </c>
      <c r="M317" s="930"/>
      <c r="N317" s="944">
        <v>60770262</v>
      </c>
      <c r="O317" s="944">
        <v>3061061</v>
      </c>
      <c r="P317" s="944">
        <v>0</v>
      </c>
      <c r="Q317" s="945">
        <v>63831323</v>
      </c>
      <c r="R317" s="898"/>
      <c r="S317" s="848">
        <f t="shared" si="230"/>
        <v>-45418755</v>
      </c>
      <c r="T317" s="946">
        <f t="shared" si="231"/>
        <v>-0.71154337502921572</v>
      </c>
      <c r="U317" s="850"/>
      <c r="V317" s="850" t="s">
        <v>2430</v>
      </c>
      <c r="W317" s="850"/>
      <c r="X317" s="947" t="s">
        <v>2190</v>
      </c>
      <c r="Y317" s="947" t="s">
        <v>2540</v>
      </c>
      <c r="Z317" s="936">
        <f>ROUND(SUMIFS('GL911.CtyCon.FY24'!N:N,'GL911.CtyCon.FY24'!G:G,'A0.LS'!E317),0)</f>
        <v>0</v>
      </c>
      <c r="AA317" s="936">
        <f>ROUND(SUMIFS('A5.CTC FY24'!K:K,'A5.CTC FY24'!E:E,'A0.LS'!E317,'A5.CTC FY24'!A:A,'A0.LS'!$AA$5,'A5.CTC FY24'!L:L,"Finhay",'A5.CTC FY24'!M:M,"Posted"),0)</f>
        <v>0</v>
      </c>
      <c r="AB317" s="936">
        <f>ROUND(SUMIFS('A5.CTC FY24'!K:K,'A5.CTC FY24'!E:E,'A0.LS'!E317,'A5.CTC FY24'!A:A,'A0.LS'!$AB$5,'A5.CTC FY24'!L:L,"EY",'A5.CTC FY24'!M:M,"Posted"),0)</f>
        <v>0</v>
      </c>
      <c r="AC317" s="948">
        <f t="shared" si="233"/>
        <v>0</v>
      </c>
      <c r="AD317" s="930"/>
      <c r="AE317" s="936">
        <f>SUMIFS('GL911 VNSC FY24'!T:T,'GL911 VNSC FY24'!AG:AG,'A0.LS'!E317)</f>
        <v>63807789</v>
      </c>
      <c r="AF317" s="936">
        <f>SUMIFS('A5.CTC FY24'!K:K,'A5.CTC FY24'!E:E,'A0.LS'!E317,'A5.CTC FY24'!A:A,"VNSC",'A5.CTC FY24'!L:L,"VNSC",'A5.CTC FY24'!M:M,"Posted")</f>
        <v>0</v>
      </c>
      <c r="AG317" s="936">
        <f>ROUND(SUMIFS('A5.CTC FY24'!K:K,'A5.CTC FY24'!E:E,'A0.LS'!E317,'A5.CTC FY24'!A:A,"VNSC",'A5.CTC FY24'!L:L,"EY",'A5.CTC FY24'!M:M,"Posted"),0)</f>
        <v>0</v>
      </c>
      <c r="AH317" s="936">
        <f t="shared" si="234"/>
        <v>63807789</v>
      </c>
      <c r="AI317" s="930"/>
      <c r="AJ317" s="936">
        <f>ROUND(SUMIFS('GL911.KCG.FY24'!L:L,'GL911.KCG.FY24'!F:F,'A0.LS'!E317),0)</f>
        <v>0</v>
      </c>
      <c r="AK317" s="936">
        <f>ROUND(SUMIFS('A5.CTC FY24'!K:K,'A5.CTC FY24'!E:E,'A0.LS'!E317,'A5.CTC FY24'!A:A,'A0.LS'!$AK$5,'A5.CTC FY24'!L:L,"EY",'A5.CTC FY24'!M:M,"Posted"),0)</f>
        <v>0</v>
      </c>
      <c r="AL317" s="948">
        <f t="shared" si="235"/>
        <v>0</v>
      </c>
      <c r="AM317" s="930"/>
      <c r="AN317" s="949">
        <f t="shared" si="245"/>
        <v>63807789</v>
      </c>
      <c r="AO317" s="950">
        <f>ROUND(SUMIFS('A5.Consol FY24'!L:L,'A5.Consol FY24'!M:M,"EY",'A5.Consol FY24'!N:N,"Posted",'A5.Consol FY24'!B:B,'A0.LS'!$AO$5,'A5.Consol FY24'!F:F,'A0.LS'!E317),0)</f>
        <v>0</v>
      </c>
      <c r="AP317" s="949">
        <f t="shared" si="236"/>
        <v>63807789</v>
      </c>
      <c r="AQ317" s="930"/>
      <c r="AR317" s="936">
        <f>ROUND(SUMIFS('GL911.XH.FY24'!L:L,'GL911.XH.FY24'!F:F,'A0.LS'!E317),0)</f>
        <v>0</v>
      </c>
      <c r="AS317" s="936">
        <f>ROUND(SUMIFS('A5.CTC FY24'!K:K,'A5.CTC FY24'!E:E,'A0.LS'!E317,'A5.CTC FY24'!A:A,'A0.LS'!$AS$5,'A5.CTC FY24'!L:L,"EY",'A5.CTC FY24'!M:M,"Posted"),0)</f>
        <v>0</v>
      </c>
      <c r="AT317" s="948">
        <f t="shared" si="237"/>
        <v>0</v>
      </c>
      <c r="AU317" s="930"/>
      <c r="AV317" s="951">
        <f t="shared" si="238"/>
        <v>82220357</v>
      </c>
      <c r="AW317" s="952">
        <f>SUMIFS('A5.Consol FY24'!L:L,'A5.Consol FY24'!B:B,'A0.LS'!$AW$5,'A5.Consol FY24'!M:M,"EY",'A5.Consol FY24'!N:N,"Posted",'A5.Consol FY24'!F:F,'A0.LS'!E317)</f>
        <v>0</v>
      </c>
      <c r="AX317" s="951">
        <f t="shared" si="239"/>
        <v>82220357</v>
      </c>
      <c r="AY317" s="920"/>
      <c r="AZ317" s="936">
        <f>SUMIFS('911.CTC.YE22'!U:U,'911.CTC.YE22'!R:R,'A0.LS'!E317)</f>
        <v>0</v>
      </c>
      <c r="BA317" s="936">
        <f>ROUND(SUMIFS('A5.YE22'!J:J,'A5.YE22'!K:K,'A0.LS'!$BA$5,'A5.YE22'!L:L,"Posted",'A5.YE22'!D:D,'A0.LS'!E317),0)</f>
        <v>0</v>
      </c>
      <c r="BB317" s="936">
        <f t="shared" si="240"/>
        <v>0</v>
      </c>
      <c r="BC317" s="937"/>
      <c r="BD317" s="936">
        <f>ROUND(SUMIFS('911.VNSC.YE22'!R:R,'911.VNSC.YE22'!L:L,'A0.LS'!E317),0)</f>
        <v>0</v>
      </c>
      <c r="BE317" s="936">
        <f>ROUND(SUMIFS('A5.YE22'!J:J,'A5.YE22'!K:K,'A0.LS'!$BE$5,'A5.YE22'!L:L,"Posted",'A5.YE22'!D:D,'A0.LS'!E317),0)</f>
        <v>0</v>
      </c>
      <c r="BF317" s="936">
        <f t="shared" si="241"/>
        <v>0</v>
      </c>
      <c r="BG317" s="937"/>
      <c r="BH317" s="936">
        <f>ROUND(SUMIFS('911.XH.YE22'!T:T,'911.XH.YE22'!P:P,'A0.LS'!E317),0)</f>
        <v>0</v>
      </c>
      <c r="BI317" s="936">
        <f>ROUND(SUMIFS('A5.YE22'!J:J,'A5.YE22'!K:K,"XH",'A5.YE22'!L:L,"Posted",'A5.YE22'!D:D,'A0.LS'!E317),0)</f>
        <v>0</v>
      </c>
      <c r="BJ317" s="936">
        <f t="shared" si="242"/>
        <v>0</v>
      </c>
      <c r="BK317" s="937"/>
      <c r="BL317" s="936">
        <f>ROUND(SUMIFS('911.KCG.YE22'!T:T,'911.KCG.YE22'!P:P,'A0.LS'!E317),0)</f>
        <v>0</v>
      </c>
      <c r="BM317" s="936">
        <f>ROUND(SUMIFS('A5.YE22'!J:J,'A5.YE22'!K:K,'A0.LS'!$BM$5,'A5.YE22'!L:L,"Posted",'A5.YE22'!D:D,'A0.LS'!E317),0)</f>
        <v>0</v>
      </c>
      <c r="BN317" s="936">
        <f t="shared" si="243"/>
        <v>0</v>
      </c>
      <c r="BO317" s="937"/>
      <c r="BP317" s="938">
        <v>166550357</v>
      </c>
      <c r="BQ317" s="938">
        <f>ROUND(SUMIFS('A5.YE22'!J:J,'A5.YE22'!K:K,'A0.LS'!$BQ$5,'A5.YE22'!L:L,"Posted",'A5.YE22'!D:D,'A0.LS'!E317),0)</f>
        <v>0</v>
      </c>
      <c r="BR317" s="938">
        <f t="shared" si="244"/>
        <v>166550357</v>
      </c>
    </row>
    <row r="318" spans="2:70" ht="12.75">
      <c r="B318" s="939">
        <v>26</v>
      </c>
      <c r="C318" s="940" t="s">
        <v>2552</v>
      </c>
      <c r="D318" s="941" t="s">
        <v>2552</v>
      </c>
      <c r="E318" s="954" t="s">
        <v>393</v>
      </c>
      <c r="F318" s="928" t="s">
        <v>394</v>
      </c>
      <c r="G318" s="927" t="s">
        <v>2540</v>
      </c>
      <c r="H318" s="927" t="s">
        <v>2190</v>
      </c>
      <c r="I318" s="942">
        <f>SUMIFS('GL911.Cty Me.FY24'!T:T,'GL911.Cty Me.FY24'!H:H,'A0.LS'!E318)</f>
        <v>95989708</v>
      </c>
      <c r="J318" s="942">
        <f>ROUND(SUMIFS('A5.FY24'!K:K,'A5.FY24'!E:E,'A0.LS'!E318,'A5.FY24'!L:L,"Finhay",'A5.FY24'!M:M,"Posted"),0)</f>
        <v>26945</v>
      </c>
      <c r="K318" s="942">
        <f>ROUND(SUMIFS('A5.FY24'!K:K,'A5.FY24'!E:E,'A0.LS'!E318,'A5.FY24'!L:L,"EY",'A5.FY24'!M:M,"Posted"),0)</f>
        <v>0</v>
      </c>
      <c r="L318" s="943">
        <f t="shared" si="232"/>
        <v>96016653</v>
      </c>
      <c r="M318" s="930"/>
      <c r="N318" s="944">
        <v>89756422</v>
      </c>
      <c r="O318" s="944">
        <v>4521124</v>
      </c>
      <c r="P318" s="944">
        <v>0</v>
      </c>
      <c r="Q318" s="945">
        <v>94277546</v>
      </c>
      <c r="R318" s="898"/>
      <c r="S318" s="848">
        <f t="shared" si="230"/>
        <v>1739107</v>
      </c>
      <c r="T318" s="946">
        <f t="shared" si="231"/>
        <v>1.8446672339137889E-2</v>
      </c>
      <c r="U318" s="850"/>
      <c r="V318" s="850" t="s">
        <v>2450</v>
      </c>
      <c r="W318" s="850"/>
      <c r="X318" s="947" t="s">
        <v>2190</v>
      </c>
      <c r="Y318" s="947" t="s">
        <v>2540</v>
      </c>
      <c r="Z318" s="936">
        <f>ROUND(SUMIFS('GL911.CtyCon.FY24'!N:N,'GL911.CtyCon.FY24'!G:G,'A0.LS'!E318),0)</f>
        <v>0</v>
      </c>
      <c r="AA318" s="936">
        <f>ROUND(SUMIFS('A5.CTC FY24'!K:K,'A5.CTC FY24'!E:E,'A0.LS'!E318,'A5.CTC FY24'!A:A,'A0.LS'!$AA$5,'A5.CTC FY24'!L:L,"Finhay",'A5.CTC FY24'!M:M,"Posted"),0)</f>
        <v>0</v>
      </c>
      <c r="AB318" s="936">
        <f>ROUND(SUMIFS('A5.CTC FY24'!K:K,'A5.CTC FY24'!E:E,'A0.LS'!E318,'A5.CTC FY24'!A:A,'A0.LS'!$AB$5,'A5.CTC FY24'!L:L,"EY",'A5.CTC FY24'!M:M,"Posted"),0)</f>
        <v>0</v>
      </c>
      <c r="AC318" s="948">
        <f t="shared" si="233"/>
        <v>0</v>
      </c>
      <c r="AD318" s="930"/>
      <c r="AE318" s="936">
        <f>SUMIFS('GL911 VNSC FY24'!T:T,'GL911 VNSC FY24'!AG:AG,'A0.LS'!E318)</f>
        <v>22724702</v>
      </c>
      <c r="AF318" s="936">
        <f>SUMIFS('A5.CTC FY24'!K:K,'A5.CTC FY24'!E:E,'A0.LS'!E318,'A5.CTC FY24'!A:A,"VNSC",'A5.CTC FY24'!L:L,"VNSC",'A5.CTC FY24'!M:M,"Posted")</f>
        <v>0</v>
      </c>
      <c r="AG318" s="936">
        <f>ROUND(SUMIFS('A5.CTC FY24'!K:K,'A5.CTC FY24'!E:E,'A0.LS'!E318,'A5.CTC FY24'!A:A,"VNSC",'A5.CTC FY24'!L:L,"EY",'A5.CTC FY24'!M:M,"Posted"),0)</f>
        <v>0</v>
      </c>
      <c r="AH318" s="936">
        <f t="shared" si="234"/>
        <v>22724702</v>
      </c>
      <c r="AI318" s="930"/>
      <c r="AJ318" s="936">
        <f>ROUND(SUMIFS('GL911.KCG.FY24'!L:L,'GL911.KCG.FY24'!F:F,'A0.LS'!E318),0)</f>
        <v>0</v>
      </c>
      <c r="AK318" s="936">
        <f>ROUND(SUMIFS('A5.CTC FY24'!K:K,'A5.CTC FY24'!E:E,'A0.LS'!E318,'A5.CTC FY24'!A:A,'A0.LS'!$AK$5,'A5.CTC FY24'!L:L,"EY",'A5.CTC FY24'!M:M,"Posted"),0)</f>
        <v>0</v>
      </c>
      <c r="AL318" s="948">
        <f t="shared" si="235"/>
        <v>0</v>
      </c>
      <c r="AM318" s="930"/>
      <c r="AN318" s="949">
        <f t="shared" si="245"/>
        <v>23054702</v>
      </c>
      <c r="AO318" s="950">
        <f>ROUND(SUMIFS('A5.Consol FY24'!L:L,'A5.Consol FY24'!M:M,"EY",'A5.Consol FY24'!N:N,"Posted",'A5.Consol FY24'!B:B,'A0.LS'!$AO$5,'A5.Consol FY24'!F:F,'A0.LS'!E318),0)</f>
        <v>0</v>
      </c>
      <c r="AP318" s="949">
        <f t="shared" si="236"/>
        <v>23054702</v>
      </c>
      <c r="AQ318" s="930"/>
      <c r="AR318" s="936">
        <f>ROUND(SUMIFS('GL911.XH.FY24'!L:L,'GL911.XH.FY24'!F:F,'A0.LS'!E318),0)</f>
        <v>330000</v>
      </c>
      <c r="AS318" s="936">
        <f>ROUND(SUMIFS('A5.CTC FY24'!K:K,'A5.CTC FY24'!E:E,'A0.LS'!E318,'A5.CTC FY24'!A:A,'A0.LS'!$AS$5,'A5.CTC FY24'!L:L,"EY",'A5.CTC FY24'!M:M,"Posted"),0)</f>
        <v>0</v>
      </c>
      <c r="AT318" s="948">
        <f t="shared" si="237"/>
        <v>330000</v>
      </c>
      <c r="AU318" s="930"/>
      <c r="AV318" s="951">
        <f t="shared" si="238"/>
        <v>119071355</v>
      </c>
      <c r="AW318" s="952">
        <f>SUMIFS('A5.Consol FY24'!L:L,'A5.Consol FY24'!B:B,'A0.LS'!$AW$5,'A5.Consol FY24'!M:M,"EY",'A5.Consol FY24'!N:N,"Posted",'A5.Consol FY24'!F:F,'A0.LS'!E318)</f>
        <v>0</v>
      </c>
      <c r="AX318" s="951">
        <f t="shared" si="239"/>
        <v>119071355</v>
      </c>
      <c r="AY318" s="920"/>
      <c r="AZ318" s="936">
        <f>SUMIFS('911.CTC.YE22'!U:U,'911.CTC.YE22'!R:R,'A0.LS'!E318)</f>
        <v>0</v>
      </c>
      <c r="BA318" s="936">
        <f>ROUND(SUMIFS('A5.YE22'!J:J,'A5.YE22'!K:K,'A0.LS'!$BA$5,'A5.YE22'!L:L,"Posted",'A5.YE22'!D:D,'A0.LS'!E318),0)</f>
        <v>0</v>
      </c>
      <c r="BB318" s="936">
        <f t="shared" si="240"/>
        <v>0</v>
      </c>
      <c r="BC318" s="937"/>
      <c r="BD318" s="936">
        <f>ROUND(SUMIFS('911.VNSC.YE22'!R:R,'911.VNSC.YE22'!L:L,'A0.LS'!E318),0)</f>
        <v>2245246</v>
      </c>
      <c r="BE318" s="936">
        <f>ROUND(SUMIFS('A5.YE22'!J:J,'A5.YE22'!K:K,'A0.LS'!$BE$5,'A5.YE22'!L:L,"Posted",'A5.YE22'!D:D,'A0.LS'!E318),0)</f>
        <v>0</v>
      </c>
      <c r="BF318" s="936">
        <f t="shared" si="241"/>
        <v>2245246</v>
      </c>
      <c r="BG318" s="937"/>
      <c r="BH318" s="936">
        <f>ROUND(SUMIFS('911.XH.YE22'!T:T,'911.XH.YE22'!P:P,'A0.LS'!E318),0)</f>
        <v>0</v>
      </c>
      <c r="BI318" s="936">
        <f>ROUND(SUMIFS('A5.YE22'!J:J,'A5.YE22'!K:K,"XH",'A5.YE22'!L:L,"Posted",'A5.YE22'!D:D,'A0.LS'!E318),0)</f>
        <v>0</v>
      </c>
      <c r="BJ318" s="936">
        <f t="shared" si="242"/>
        <v>0</v>
      </c>
      <c r="BK318" s="937"/>
      <c r="BL318" s="936">
        <f>ROUND(SUMIFS('911.KCG.YE22'!T:T,'911.KCG.YE22'!P:P,'A0.LS'!E318),0)</f>
        <v>0</v>
      </c>
      <c r="BM318" s="936">
        <f>ROUND(SUMIFS('A5.YE22'!J:J,'A5.YE22'!K:K,'A0.LS'!$BM$5,'A5.YE22'!L:L,"Posted",'A5.YE22'!D:D,'A0.LS'!E318),0)</f>
        <v>0</v>
      </c>
      <c r="BN318" s="936">
        <f t="shared" si="243"/>
        <v>0</v>
      </c>
      <c r="BO318" s="937"/>
      <c r="BP318" s="938">
        <v>101250453</v>
      </c>
      <c r="BQ318" s="938">
        <f>ROUND(SUMIFS('A5.YE22'!J:J,'A5.YE22'!K:K,'A0.LS'!$BQ$5,'A5.YE22'!L:L,"Posted",'A5.YE22'!D:D,'A0.LS'!E318),0)</f>
        <v>0</v>
      </c>
      <c r="BR318" s="938">
        <f t="shared" si="244"/>
        <v>101250453</v>
      </c>
    </row>
    <row r="319" spans="2:70" ht="12.6" customHeight="1">
      <c r="B319" s="939">
        <v>26</v>
      </c>
      <c r="C319" s="940" t="s">
        <v>2553</v>
      </c>
      <c r="D319" s="941" t="s">
        <v>2553</v>
      </c>
      <c r="E319" s="928" t="s">
        <v>395</v>
      </c>
      <c r="F319" s="928" t="s">
        <v>2554</v>
      </c>
      <c r="G319" s="927" t="s">
        <v>2540</v>
      </c>
      <c r="H319" s="927" t="s">
        <v>2190</v>
      </c>
      <c r="I319" s="942">
        <f>SUMIFS('GL911.Cty Me.FY24'!T:T,'GL911.Cty Me.FY24'!H:H,'A0.LS'!E319)</f>
        <v>453256659</v>
      </c>
      <c r="J319" s="942">
        <f>ROUND(SUMIFS('A5.FY24'!K:K,'A5.FY24'!E:E,'A0.LS'!E319,'A5.FY24'!L:L,"Finhay",'A5.FY24'!M:M,"Posted"),0)</f>
        <v>28052</v>
      </c>
      <c r="K319" s="942">
        <f>ROUND(SUMIFS('A5.FY24'!K:K,'A5.FY24'!E:E,'A0.LS'!E319,'A5.FY24'!L:L,"EY",'A5.FY24'!M:M,"Posted"),0)</f>
        <v>0</v>
      </c>
      <c r="L319" s="943">
        <f t="shared" si="232"/>
        <v>453284711</v>
      </c>
      <c r="M319" s="930"/>
      <c r="N319" s="944">
        <v>351584382</v>
      </c>
      <c r="O319" s="944">
        <v>17709671</v>
      </c>
      <c r="P319" s="944">
        <v>0</v>
      </c>
      <c r="Q319" s="945">
        <v>369294053</v>
      </c>
      <c r="R319" s="898"/>
      <c r="S319" s="848">
        <f t="shared" si="230"/>
        <v>83990658</v>
      </c>
      <c r="T319" s="946">
        <f t="shared" si="231"/>
        <v>0.22743571773683557</v>
      </c>
      <c r="U319" s="850"/>
      <c r="V319" s="850" t="s">
        <v>2533</v>
      </c>
      <c r="W319" s="850"/>
      <c r="X319" s="947" t="s">
        <v>2190</v>
      </c>
      <c r="Y319" s="947" t="s">
        <v>2540</v>
      </c>
      <c r="Z319" s="936">
        <f>ROUND(SUMIFS('GL911.CtyCon.FY24'!N:N,'GL911.CtyCon.FY24'!G:G,'A0.LS'!E319),0)</f>
        <v>141053202</v>
      </c>
      <c r="AA319" s="936">
        <f>ROUND(SUMIFS('A5.CTC FY24'!K:K,'A5.CTC FY24'!E:E,'A0.LS'!E319,'A5.CTC FY24'!A:A,'A0.LS'!$AA$5,'A5.CTC FY24'!L:L,"Finhay",'A5.CTC FY24'!M:M,"Posted"),0)</f>
        <v>0</v>
      </c>
      <c r="AB319" s="936">
        <f>ROUND(SUMIFS('A5.CTC FY24'!K:K,'A5.CTC FY24'!E:E,'A0.LS'!E319,'A5.CTC FY24'!A:A,'A0.LS'!$AB$5,'A5.CTC FY24'!L:L,"EY",'A5.CTC FY24'!M:M,"Posted"),0)</f>
        <v>0</v>
      </c>
      <c r="AC319" s="948">
        <f t="shared" si="233"/>
        <v>141053202</v>
      </c>
      <c r="AD319" s="930"/>
      <c r="AE319" s="936">
        <f>SUMIFS('GL911 VNSC FY24'!T:T,'GL911 VNSC FY24'!AG:AG,'A0.LS'!E319)</f>
        <v>0</v>
      </c>
      <c r="AF319" s="936">
        <f>SUMIFS('A5.CTC FY24'!K:K,'A5.CTC FY24'!E:E,'A0.LS'!E319,'A5.CTC FY24'!A:A,"VNSC",'A5.CTC FY24'!L:L,"VNSC",'A5.CTC FY24'!M:M,"Posted")</f>
        <v>0</v>
      </c>
      <c r="AG319" s="936">
        <f>ROUND(SUMIFS('A5.CTC FY24'!K:K,'A5.CTC FY24'!E:E,'A0.LS'!E319,'A5.CTC FY24'!A:A,"VNSC",'A5.CTC FY24'!L:L,"EY",'A5.CTC FY24'!M:M,"Posted"),0)</f>
        <v>0</v>
      </c>
      <c r="AH319" s="936">
        <f t="shared" si="234"/>
        <v>0</v>
      </c>
      <c r="AI319" s="930"/>
      <c r="AJ319" s="936">
        <f>ROUND(SUMIFS('GL911.KCG.FY24'!L:L,'GL911.KCG.FY24'!F:F,'A0.LS'!E319),0)</f>
        <v>0</v>
      </c>
      <c r="AK319" s="936">
        <f>ROUND(SUMIFS('A5.CTC FY24'!K:K,'A5.CTC FY24'!E:E,'A0.LS'!E319,'A5.CTC FY24'!A:A,'A0.LS'!$AK$5,'A5.CTC FY24'!L:L,"EY",'A5.CTC FY24'!M:M,"Posted"),0)</f>
        <v>0</v>
      </c>
      <c r="AL319" s="948">
        <f t="shared" si="235"/>
        <v>0</v>
      </c>
      <c r="AM319" s="930"/>
      <c r="AN319" s="949">
        <f t="shared" si="245"/>
        <v>141053202</v>
      </c>
      <c r="AO319" s="950">
        <f>ROUND(SUMIFS('A5.Consol FY24'!L:L,'A5.Consol FY24'!M:M,"EY",'A5.Consol FY24'!N:N,"Posted",'A5.Consol FY24'!B:B,'A0.LS'!$AO$5,'A5.Consol FY24'!F:F,'A0.LS'!E319),0)</f>
        <v>0</v>
      </c>
      <c r="AP319" s="949">
        <f t="shared" si="236"/>
        <v>141053202</v>
      </c>
      <c r="AQ319" s="930"/>
      <c r="AR319" s="936">
        <f>ROUND(SUMIFS('GL911.XH.FY24'!L:L,'GL911.XH.FY24'!F:F,'A0.LS'!E319),0)</f>
        <v>0</v>
      </c>
      <c r="AS319" s="936">
        <f>ROUND(SUMIFS('A5.CTC FY24'!K:K,'A5.CTC FY24'!E:E,'A0.LS'!E319,'A5.CTC FY24'!A:A,'A0.LS'!$AS$5,'A5.CTC FY24'!L:L,"EY",'A5.CTC FY24'!M:M,"Posted"),0)</f>
        <v>0</v>
      </c>
      <c r="AT319" s="948">
        <f t="shared" si="237"/>
        <v>0</v>
      </c>
      <c r="AU319" s="930"/>
      <c r="AV319" s="951">
        <f t="shared" si="238"/>
        <v>594337913</v>
      </c>
      <c r="AW319" s="952">
        <f>SUMIFS('A5.Consol FY24'!L:L,'A5.Consol FY24'!B:B,'A0.LS'!$AW$5,'A5.Consol FY24'!M:M,"EY",'A5.Consol FY24'!N:N,"Posted",'A5.Consol FY24'!F:F,'A0.LS'!E319)</f>
        <v>0</v>
      </c>
      <c r="AX319" s="951">
        <f t="shared" si="239"/>
        <v>594337913</v>
      </c>
      <c r="AY319" s="920"/>
      <c r="AZ319" s="936">
        <f>SUMIFS('911.CTC.YE22'!U:U,'911.CTC.YE22'!R:R,'A0.LS'!E319)</f>
        <v>491332835</v>
      </c>
      <c r="BA319" s="936">
        <f>ROUND(SUMIFS('A5.YE22'!J:J,'A5.YE22'!K:K,'A0.LS'!$BA$5,'A5.YE22'!L:L,"Posted",'A5.YE22'!D:D,'A0.LS'!E319),0)</f>
        <v>0</v>
      </c>
      <c r="BB319" s="936">
        <f t="shared" si="240"/>
        <v>491332835</v>
      </c>
      <c r="BC319" s="937"/>
      <c r="BD319" s="936">
        <f>ROUND(SUMIFS('911.VNSC.YE22'!R:R,'911.VNSC.YE22'!L:L,'A0.LS'!E319),0)</f>
        <v>20972821</v>
      </c>
      <c r="BE319" s="936">
        <f>ROUND(SUMIFS('A5.YE22'!J:J,'A5.YE22'!K:K,'A0.LS'!$BE$5,'A5.YE22'!L:L,"Posted",'A5.YE22'!D:D,'A0.LS'!E319),0)</f>
        <v>0</v>
      </c>
      <c r="BF319" s="936">
        <f t="shared" si="241"/>
        <v>20972821</v>
      </c>
      <c r="BG319" s="937"/>
      <c r="BH319" s="936">
        <f>ROUND(SUMIFS('911.XH.YE22'!T:T,'911.XH.YE22'!P:P,'A0.LS'!E319),0)</f>
        <v>0</v>
      </c>
      <c r="BI319" s="936">
        <f>ROUND(SUMIFS('A5.YE22'!J:J,'A5.YE22'!K:K,"XH",'A5.YE22'!L:L,"Posted",'A5.YE22'!D:D,'A0.LS'!E319),0)</f>
        <v>0</v>
      </c>
      <c r="BJ319" s="936">
        <f t="shared" si="242"/>
        <v>0</v>
      </c>
      <c r="BK319" s="937"/>
      <c r="BL319" s="936">
        <f>ROUND(SUMIFS('911.KCG.YE22'!T:T,'911.KCG.YE22'!P:P,'A0.LS'!E319),0)</f>
        <v>0</v>
      </c>
      <c r="BM319" s="936">
        <f>ROUND(SUMIFS('A5.YE22'!J:J,'A5.YE22'!K:K,'A0.LS'!$BM$5,'A5.YE22'!L:L,"Posted",'A5.YE22'!D:D,'A0.LS'!E319),0)</f>
        <v>0</v>
      </c>
      <c r="BN319" s="936">
        <f t="shared" si="243"/>
        <v>0</v>
      </c>
      <c r="BO319" s="937"/>
      <c r="BP319" s="938">
        <v>1035348978</v>
      </c>
      <c r="BQ319" s="938">
        <f>ROUND(SUMIFS('A5.YE22'!J:J,'A5.YE22'!K:K,'A0.LS'!$BQ$5,'A5.YE22'!L:L,"Posted",'A5.YE22'!D:D,'A0.LS'!E319),0)</f>
        <v>0</v>
      </c>
      <c r="BR319" s="938">
        <f t="shared" si="244"/>
        <v>1035348978</v>
      </c>
    </row>
    <row r="320" spans="2:70" ht="12.75">
      <c r="B320" s="939">
        <v>26</v>
      </c>
      <c r="C320" s="940" t="s">
        <v>2553</v>
      </c>
      <c r="D320" s="941" t="s">
        <v>2553</v>
      </c>
      <c r="E320" s="928" t="s">
        <v>397</v>
      </c>
      <c r="F320" s="928" t="s">
        <v>366</v>
      </c>
      <c r="G320" s="927" t="s">
        <v>2540</v>
      </c>
      <c r="H320" s="927" t="s">
        <v>2190</v>
      </c>
      <c r="I320" s="942">
        <f>SUMIFS('GL911.Cty Me.FY24'!T:T,'GL911.Cty Me.FY24'!H:H,'A0.LS'!E320)</f>
        <v>229765685</v>
      </c>
      <c r="J320" s="942">
        <f>ROUND(SUMIFS('A5.FY24'!K:K,'A5.FY24'!E:E,'A0.LS'!E320,'A5.FY24'!L:L,"Finhay",'A5.FY24'!M:M,"Posted"),0)</f>
        <v>22698</v>
      </c>
      <c r="K320" s="942">
        <f>ROUND(SUMIFS('A5.FY24'!K:K,'A5.FY24'!E:E,'A0.LS'!E320,'A5.FY24'!L:L,"EY",'A5.FY24'!M:M,"Posted"),0)</f>
        <v>0</v>
      </c>
      <c r="L320" s="943">
        <f t="shared" si="232"/>
        <v>229788383</v>
      </c>
      <c r="M320" s="930"/>
      <c r="N320" s="944">
        <v>409873817</v>
      </c>
      <c r="O320" s="944">
        <v>20645770</v>
      </c>
      <c r="P320" s="944">
        <v>0</v>
      </c>
      <c r="Q320" s="945">
        <v>430519587</v>
      </c>
      <c r="R320" s="898"/>
      <c r="S320" s="848">
        <f t="shared" si="230"/>
        <v>-200731204</v>
      </c>
      <c r="T320" s="946">
        <f t="shared" si="231"/>
        <v>-0.46625336003585827</v>
      </c>
      <c r="U320" s="850"/>
      <c r="V320" s="850" t="s">
        <v>2533</v>
      </c>
      <c r="W320" s="850"/>
      <c r="X320" s="947" t="s">
        <v>2190</v>
      </c>
      <c r="Y320" s="947" t="s">
        <v>2540</v>
      </c>
      <c r="Z320" s="936">
        <f>ROUND(SUMIFS('GL911.CtyCon.FY24'!N:N,'GL911.CtyCon.FY24'!G:G,'A0.LS'!E320),0)</f>
        <v>26570675</v>
      </c>
      <c r="AA320" s="936">
        <f>ROUND(SUMIFS('A5.CTC FY24'!K:K,'A5.CTC FY24'!E:E,'A0.LS'!E320,'A5.CTC FY24'!A:A,'A0.LS'!$AA$5,'A5.CTC FY24'!L:L,"Finhay",'A5.CTC FY24'!M:M,"Posted"),0)</f>
        <v>0</v>
      </c>
      <c r="AB320" s="936">
        <f>ROUND(SUMIFS('A5.CTC FY24'!K:K,'A5.CTC FY24'!E:E,'A0.LS'!E320,'A5.CTC FY24'!A:A,'A0.LS'!$AB$5,'A5.CTC FY24'!L:L,"EY",'A5.CTC FY24'!M:M,"Posted"),0)</f>
        <v>0</v>
      </c>
      <c r="AC320" s="948">
        <f t="shared" si="233"/>
        <v>26570675</v>
      </c>
      <c r="AD320" s="930"/>
      <c r="AE320" s="936">
        <f>SUMIFS('GL911 VNSC FY24'!T:T,'GL911 VNSC FY24'!AG:AG,'A0.LS'!E320)</f>
        <v>0</v>
      </c>
      <c r="AF320" s="936">
        <f>SUMIFS('A5.CTC FY24'!K:K,'A5.CTC FY24'!E:E,'A0.LS'!E320,'A5.CTC FY24'!A:A,"VNSC",'A5.CTC FY24'!L:L,"VNSC",'A5.CTC FY24'!M:M,"Posted")</f>
        <v>0</v>
      </c>
      <c r="AG320" s="936">
        <f>ROUND(SUMIFS('A5.CTC FY24'!K:K,'A5.CTC FY24'!E:E,'A0.LS'!E320,'A5.CTC FY24'!A:A,"VNSC",'A5.CTC FY24'!L:L,"EY",'A5.CTC FY24'!M:M,"Posted"),0)</f>
        <v>0</v>
      </c>
      <c r="AH320" s="936">
        <f t="shared" si="234"/>
        <v>0</v>
      </c>
      <c r="AI320" s="930"/>
      <c r="AJ320" s="936">
        <f>ROUND(SUMIFS('GL911.KCG.FY24'!L:L,'GL911.KCG.FY24'!F:F,'A0.LS'!E320),0)</f>
        <v>0</v>
      </c>
      <c r="AK320" s="936">
        <f>ROUND(SUMIFS('A5.CTC FY24'!K:K,'A5.CTC FY24'!E:E,'A0.LS'!E320,'A5.CTC FY24'!A:A,'A0.LS'!$AK$5,'A5.CTC FY24'!L:L,"EY",'A5.CTC FY24'!M:M,"Posted"),0)</f>
        <v>0</v>
      </c>
      <c r="AL320" s="948">
        <f t="shared" si="235"/>
        <v>0</v>
      </c>
      <c r="AM320" s="930"/>
      <c r="AN320" s="949">
        <f t="shared" si="245"/>
        <v>26570675</v>
      </c>
      <c r="AO320" s="950">
        <f>ROUND(SUMIFS('A5.Consol FY24'!L:L,'A5.Consol FY24'!M:M,"EY",'A5.Consol FY24'!N:N,"Posted",'A5.Consol FY24'!B:B,'A0.LS'!$AO$5,'A5.Consol FY24'!F:F,'A0.LS'!E320),0)</f>
        <v>0</v>
      </c>
      <c r="AP320" s="949">
        <f t="shared" si="236"/>
        <v>26570675</v>
      </c>
      <c r="AQ320" s="930"/>
      <c r="AR320" s="936">
        <f>ROUND(SUMIFS('GL911.XH.FY24'!L:L,'GL911.XH.FY24'!F:F,'A0.LS'!E320),0)</f>
        <v>0</v>
      </c>
      <c r="AS320" s="936">
        <f>ROUND(SUMIFS('A5.CTC FY24'!K:K,'A5.CTC FY24'!E:E,'A0.LS'!E320,'A5.CTC FY24'!A:A,'A0.LS'!$AS$5,'A5.CTC FY24'!L:L,"EY",'A5.CTC FY24'!M:M,"Posted"),0)</f>
        <v>0</v>
      </c>
      <c r="AT320" s="948">
        <f t="shared" si="237"/>
        <v>0</v>
      </c>
      <c r="AU320" s="930"/>
      <c r="AV320" s="951">
        <f t="shared" si="238"/>
        <v>256359058</v>
      </c>
      <c r="AW320" s="952">
        <f>SUMIFS('A5.Consol FY24'!L:L,'A5.Consol FY24'!B:B,'A0.LS'!$AW$5,'A5.Consol FY24'!M:M,"EY",'A5.Consol FY24'!N:N,"Posted",'A5.Consol FY24'!F:F,'A0.LS'!E320)</f>
        <v>0</v>
      </c>
      <c r="AX320" s="951">
        <f t="shared" si="239"/>
        <v>256359058</v>
      </c>
      <c r="AY320" s="920"/>
      <c r="AZ320" s="936">
        <f>SUMIFS('911.CTC.YE22'!U:U,'911.CTC.YE22'!R:R,'A0.LS'!E320)</f>
        <v>555003967</v>
      </c>
      <c r="BA320" s="936">
        <f>ROUND(SUMIFS('A5.YE22'!J:J,'A5.YE22'!K:K,'A0.LS'!$BA$5,'A5.YE22'!L:L,"Posted",'A5.YE22'!D:D,'A0.LS'!E320),0)</f>
        <v>0</v>
      </c>
      <c r="BB320" s="936">
        <f t="shared" si="240"/>
        <v>555003967</v>
      </c>
      <c r="BC320" s="937"/>
      <c r="BD320" s="936">
        <f>ROUND(SUMIFS('911.VNSC.YE22'!R:R,'911.VNSC.YE22'!L:L,'A0.LS'!E320),0)</f>
        <v>0</v>
      </c>
      <c r="BE320" s="936">
        <f>ROUND(SUMIFS('A5.YE22'!J:J,'A5.YE22'!K:K,'A0.LS'!$BE$5,'A5.YE22'!L:L,"Posted",'A5.YE22'!D:D,'A0.LS'!E320),0)</f>
        <v>0</v>
      </c>
      <c r="BF320" s="936">
        <f t="shared" si="241"/>
        <v>0</v>
      </c>
      <c r="BG320" s="937"/>
      <c r="BH320" s="936">
        <f>ROUND(SUMIFS('911.XH.YE22'!T:T,'911.XH.YE22'!P:P,'A0.LS'!E320),0)</f>
        <v>0</v>
      </c>
      <c r="BI320" s="936">
        <f>ROUND(SUMIFS('A5.YE22'!J:J,'A5.YE22'!K:K,"XH",'A5.YE22'!L:L,"Posted",'A5.YE22'!D:D,'A0.LS'!E320),0)</f>
        <v>0</v>
      </c>
      <c r="BJ320" s="936">
        <f t="shared" si="242"/>
        <v>0</v>
      </c>
      <c r="BK320" s="937"/>
      <c r="BL320" s="936">
        <f>ROUND(SUMIFS('911.KCG.YE22'!T:T,'911.KCG.YE22'!P:P,'A0.LS'!E320),0)</f>
        <v>0</v>
      </c>
      <c r="BM320" s="936">
        <f>ROUND(SUMIFS('A5.YE22'!J:J,'A5.YE22'!K:K,'A0.LS'!$BM$5,'A5.YE22'!L:L,"Posted",'A5.YE22'!D:D,'A0.LS'!E320),0)</f>
        <v>0</v>
      </c>
      <c r="BN320" s="936">
        <f t="shared" si="243"/>
        <v>0</v>
      </c>
      <c r="BO320" s="937"/>
      <c r="BP320" s="938">
        <v>513959010</v>
      </c>
      <c r="BQ320" s="938">
        <f>ROUND(SUMIFS('A5.YE22'!J:J,'A5.YE22'!K:K,'A0.LS'!$BQ$5,'A5.YE22'!L:L,"Posted",'A5.YE22'!D:D,'A0.LS'!E320),0)</f>
        <v>0</v>
      </c>
      <c r="BR320" s="938">
        <f t="shared" si="244"/>
        <v>513959010</v>
      </c>
    </row>
    <row r="321" spans="2:70" ht="12.6" customHeight="1">
      <c r="B321" s="939">
        <v>26</v>
      </c>
      <c r="C321" s="940" t="s">
        <v>2553</v>
      </c>
      <c r="D321" s="941" t="s">
        <v>2553</v>
      </c>
      <c r="E321" s="928" t="s">
        <v>398</v>
      </c>
      <c r="F321" s="928" t="s">
        <v>399</v>
      </c>
      <c r="G321" s="927" t="s">
        <v>2540</v>
      </c>
      <c r="H321" s="927" t="s">
        <v>2190</v>
      </c>
      <c r="I321" s="942">
        <f>SUMIFS('GL911.Cty Me.FY24'!T:T,'GL911.Cty Me.FY24'!H:H,'A0.LS'!E321)</f>
        <v>27024312</v>
      </c>
      <c r="J321" s="942">
        <f>ROUND(SUMIFS('A5.FY24'!K:K,'A5.FY24'!E:E,'A0.LS'!E321,'A5.FY24'!L:L,"Finhay",'A5.FY24'!M:M,"Posted"),0)</f>
        <v>24904</v>
      </c>
      <c r="K321" s="942">
        <f>ROUND(SUMIFS('A5.FY24'!K:K,'A5.FY24'!E:E,'A0.LS'!E321,'A5.FY24'!L:L,"EY",'A5.FY24'!M:M,"Posted"),0)</f>
        <v>0</v>
      </c>
      <c r="L321" s="943">
        <f t="shared" si="232"/>
        <v>27049216</v>
      </c>
      <c r="M321" s="930"/>
      <c r="N321" s="944">
        <v>184149695</v>
      </c>
      <c r="O321" s="944">
        <v>9275811</v>
      </c>
      <c r="P321" s="944">
        <v>0</v>
      </c>
      <c r="Q321" s="945">
        <v>193425506</v>
      </c>
      <c r="R321" s="898"/>
      <c r="S321" s="848">
        <f t="shared" si="230"/>
        <v>-166376290</v>
      </c>
      <c r="T321" s="946">
        <f t="shared" si="231"/>
        <v>-0.86015693297449614</v>
      </c>
      <c r="U321" s="850"/>
      <c r="V321" s="850" t="s">
        <v>2533</v>
      </c>
      <c r="W321" s="850"/>
      <c r="X321" s="947" t="s">
        <v>2190</v>
      </c>
      <c r="Y321" s="947" t="s">
        <v>2540</v>
      </c>
      <c r="Z321" s="936">
        <f>ROUND(SUMIFS('GL911.CtyCon.FY24'!N:N,'GL911.CtyCon.FY24'!G:G,'A0.LS'!E321),0)</f>
        <v>0</v>
      </c>
      <c r="AA321" s="936">
        <f>ROUND(SUMIFS('A5.CTC FY24'!K:K,'A5.CTC FY24'!E:E,'A0.LS'!E321,'A5.CTC FY24'!A:A,'A0.LS'!$AA$5,'A5.CTC FY24'!L:L,"Finhay",'A5.CTC FY24'!M:M,"Posted"),0)</f>
        <v>0</v>
      </c>
      <c r="AB321" s="936">
        <f>ROUND(SUMIFS('A5.CTC FY24'!K:K,'A5.CTC FY24'!E:E,'A0.LS'!E321,'A5.CTC FY24'!A:A,'A0.LS'!$AB$5,'A5.CTC FY24'!L:L,"EY",'A5.CTC FY24'!M:M,"Posted"),0)</f>
        <v>0</v>
      </c>
      <c r="AC321" s="948">
        <f t="shared" si="233"/>
        <v>0</v>
      </c>
      <c r="AD321" s="930"/>
      <c r="AE321" s="936">
        <f>SUMIFS('GL911 VNSC FY24'!T:T,'GL911 VNSC FY24'!AG:AG,'A0.LS'!E321)</f>
        <v>0</v>
      </c>
      <c r="AF321" s="936">
        <f>SUMIFS('A5.CTC FY24'!K:K,'A5.CTC FY24'!E:E,'A0.LS'!E321,'A5.CTC FY24'!A:A,"VNSC",'A5.CTC FY24'!L:L,"VNSC",'A5.CTC FY24'!M:M,"Posted")</f>
        <v>0</v>
      </c>
      <c r="AG321" s="936">
        <f>ROUND(SUMIFS('A5.CTC FY24'!K:K,'A5.CTC FY24'!E:E,'A0.LS'!E321,'A5.CTC FY24'!A:A,"VNSC",'A5.CTC FY24'!L:L,"EY",'A5.CTC FY24'!M:M,"Posted"),0)</f>
        <v>0</v>
      </c>
      <c r="AH321" s="936">
        <f t="shared" si="234"/>
        <v>0</v>
      </c>
      <c r="AI321" s="930"/>
      <c r="AJ321" s="936">
        <f>ROUND(SUMIFS('GL911.KCG.FY24'!L:L,'GL911.KCG.FY24'!F:F,'A0.LS'!E321),0)</f>
        <v>0</v>
      </c>
      <c r="AK321" s="936">
        <f>ROUND(SUMIFS('A5.CTC FY24'!K:K,'A5.CTC FY24'!E:E,'A0.LS'!E321,'A5.CTC FY24'!A:A,'A0.LS'!$AK$5,'A5.CTC FY24'!L:L,"EY",'A5.CTC FY24'!M:M,"Posted"),0)</f>
        <v>0</v>
      </c>
      <c r="AL321" s="948">
        <f t="shared" si="235"/>
        <v>0</v>
      </c>
      <c r="AM321" s="930"/>
      <c r="AN321" s="949">
        <f t="shared" si="245"/>
        <v>0</v>
      </c>
      <c r="AO321" s="950">
        <f>ROUND(SUMIFS('A5.Consol FY24'!L:L,'A5.Consol FY24'!M:M,"EY",'A5.Consol FY24'!N:N,"Posted",'A5.Consol FY24'!B:B,'A0.LS'!$AO$5,'A5.Consol FY24'!F:F,'A0.LS'!E321),0)</f>
        <v>0</v>
      </c>
      <c r="AP321" s="949">
        <f t="shared" si="236"/>
        <v>0</v>
      </c>
      <c r="AQ321" s="930"/>
      <c r="AR321" s="936">
        <f>ROUND(SUMIFS('GL911.XH.FY24'!L:L,'GL911.XH.FY24'!F:F,'A0.LS'!E321),0)</f>
        <v>0</v>
      </c>
      <c r="AS321" s="936">
        <f>ROUND(SUMIFS('A5.CTC FY24'!K:K,'A5.CTC FY24'!E:E,'A0.LS'!E321,'A5.CTC FY24'!A:A,'A0.LS'!$AS$5,'A5.CTC FY24'!L:L,"EY",'A5.CTC FY24'!M:M,"Posted"),0)</f>
        <v>0</v>
      </c>
      <c r="AT321" s="948">
        <f t="shared" si="237"/>
        <v>0</v>
      </c>
      <c r="AU321" s="930"/>
      <c r="AV321" s="951">
        <f t="shared" si="238"/>
        <v>27049216</v>
      </c>
      <c r="AW321" s="952">
        <f>SUMIFS('A5.Consol FY24'!L:L,'A5.Consol FY24'!B:B,'A0.LS'!$AW$5,'A5.Consol FY24'!M:M,"EY",'A5.Consol FY24'!N:N,"Posted",'A5.Consol FY24'!F:F,'A0.LS'!E321)</f>
        <v>0</v>
      </c>
      <c r="AX321" s="951">
        <f t="shared" si="239"/>
        <v>27049216</v>
      </c>
      <c r="AY321" s="920"/>
      <c r="AZ321" s="936">
        <f>SUMIFS('911.CTC.YE22'!U:U,'911.CTC.YE22'!R:R,'A0.LS'!E321)</f>
        <v>144765096</v>
      </c>
      <c r="BA321" s="936">
        <f>ROUND(SUMIFS('A5.YE22'!J:J,'A5.YE22'!K:K,'A0.LS'!$BA$5,'A5.YE22'!L:L,"Posted",'A5.YE22'!D:D,'A0.LS'!E321),0)</f>
        <v>0</v>
      </c>
      <c r="BB321" s="936">
        <f t="shared" si="240"/>
        <v>144765096</v>
      </c>
      <c r="BC321" s="937"/>
      <c r="BD321" s="936">
        <f>ROUND(SUMIFS('911.VNSC.YE22'!R:R,'911.VNSC.YE22'!L:L,'A0.LS'!E321),0)</f>
        <v>0</v>
      </c>
      <c r="BE321" s="936">
        <f>ROUND(SUMIFS('A5.YE22'!J:J,'A5.YE22'!K:K,'A0.LS'!$BE$5,'A5.YE22'!L:L,"Posted",'A5.YE22'!D:D,'A0.LS'!E321),0)</f>
        <v>0</v>
      </c>
      <c r="BF321" s="936">
        <f t="shared" si="241"/>
        <v>0</v>
      </c>
      <c r="BG321" s="937"/>
      <c r="BH321" s="936">
        <f>ROUND(SUMIFS('911.XH.YE22'!T:T,'911.XH.YE22'!P:P,'A0.LS'!E321),0)</f>
        <v>0</v>
      </c>
      <c r="BI321" s="936">
        <f>ROUND(SUMIFS('A5.YE22'!J:J,'A5.YE22'!K:K,"XH",'A5.YE22'!L:L,"Posted",'A5.YE22'!D:D,'A0.LS'!E321),0)</f>
        <v>0</v>
      </c>
      <c r="BJ321" s="936">
        <f t="shared" si="242"/>
        <v>0</v>
      </c>
      <c r="BK321" s="937"/>
      <c r="BL321" s="936">
        <f>ROUND(SUMIFS('911.KCG.YE22'!T:T,'911.KCG.YE22'!P:P,'A0.LS'!E321),0)</f>
        <v>0</v>
      </c>
      <c r="BM321" s="936">
        <f>ROUND(SUMIFS('A5.YE22'!J:J,'A5.YE22'!K:K,'A0.LS'!$BM$5,'A5.YE22'!L:L,"Posted",'A5.YE22'!D:D,'A0.LS'!E321),0)</f>
        <v>0</v>
      </c>
      <c r="BN321" s="936">
        <f t="shared" si="243"/>
        <v>0</v>
      </c>
      <c r="BO321" s="937"/>
      <c r="BP321" s="938">
        <v>273582580</v>
      </c>
      <c r="BQ321" s="938">
        <f>ROUND(SUMIFS('A5.YE22'!J:J,'A5.YE22'!K:K,'A0.LS'!$BQ$5,'A5.YE22'!L:L,"Posted",'A5.YE22'!D:D,'A0.LS'!E321),0)</f>
        <v>0</v>
      </c>
      <c r="BR321" s="938">
        <f t="shared" si="244"/>
        <v>273582580</v>
      </c>
    </row>
    <row r="322" spans="2:70" ht="12.75">
      <c r="B322" s="939">
        <v>26</v>
      </c>
      <c r="C322" s="940" t="s">
        <v>2553</v>
      </c>
      <c r="D322" s="941" t="s">
        <v>2553</v>
      </c>
      <c r="E322" s="928" t="s">
        <v>400</v>
      </c>
      <c r="F322" s="928" t="s">
        <v>368</v>
      </c>
      <c r="G322" s="927" t="s">
        <v>2540</v>
      </c>
      <c r="H322" s="927" t="s">
        <v>2190</v>
      </c>
      <c r="I322" s="942">
        <f>SUMIFS('GL911.Cty Me.FY24'!T:T,'GL911.Cty Me.FY24'!H:H,'A0.LS'!E322)</f>
        <v>684720</v>
      </c>
      <c r="J322" s="942">
        <f>ROUND(SUMIFS('A5.FY24'!K:K,'A5.FY24'!E:E,'A0.LS'!E322,'A5.FY24'!L:L,"Finhay",'A5.FY24'!M:M,"Posted"),0)</f>
        <v>0</v>
      </c>
      <c r="K322" s="942">
        <f>ROUND(SUMIFS('A5.FY24'!K:K,'A5.FY24'!E:E,'A0.LS'!E322,'A5.FY24'!L:L,"EY",'A5.FY24'!M:M,"Posted"),0)</f>
        <v>0</v>
      </c>
      <c r="L322" s="943">
        <f t="shared" si="232"/>
        <v>684720</v>
      </c>
      <c r="M322" s="930"/>
      <c r="N322" s="944">
        <v>12419639</v>
      </c>
      <c r="O322" s="944">
        <v>625590</v>
      </c>
      <c r="P322" s="944">
        <v>0</v>
      </c>
      <c r="Q322" s="945">
        <v>13045229</v>
      </c>
      <c r="R322" s="898"/>
      <c r="S322" s="848">
        <f t="shared" si="230"/>
        <v>-12360509</v>
      </c>
      <c r="T322" s="946">
        <f t="shared" si="231"/>
        <v>-0.94751184513510645</v>
      </c>
      <c r="U322" s="850"/>
      <c r="V322" s="850" t="s">
        <v>2533</v>
      </c>
      <c r="W322" s="850"/>
      <c r="X322" s="947" t="s">
        <v>2190</v>
      </c>
      <c r="Y322" s="947" t="s">
        <v>2540</v>
      </c>
      <c r="Z322" s="936">
        <f>ROUND(SUMIFS('GL911.CtyCon.FY24'!N:N,'GL911.CtyCon.FY24'!G:G,'A0.LS'!E322),0)</f>
        <v>0</v>
      </c>
      <c r="AA322" s="936">
        <f>ROUND(SUMIFS('A5.CTC FY24'!K:K,'A5.CTC FY24'!E:E,'A0.LS'!E322,'A5.CTC FY24'!A:A,'A0.LS'!$AA$5,'A5.CTC FY24'!L:L,"Finhay",'A5.CTC FY24'!M:M,"Posted"),0)</f>
        <v>0</v>
      </c>
      <c r="AB322" s="936">
        <f>ROUND(SUMIFS('A5.CTC FY24'!K:K,'A5.CTC FY24'!E:E,'A0.LS'!E322,'A5.CTC FY24'!A:A,'A0.LS'!$AB$5,'A5.CTC FY24'!L:L,"EY",'A5.CTC FY24'!M:M,"Posted"),0)</f>
        <v>0</v>
      </c>
      <c r="AC322" s="948">
        <f t="shared" si="233"/>
        <v>0</v>
      </c>
      <c r="AD322" s="930"/>
      <c r="AE322" s="936">
        <f>SUMIFS('GL911 VNSC FY24'!T:T,'GL911 VNSC FY24'!AG:AG,'A0.LS'!E322)</f>
        <v>504765688</v>
      </c>
      <c r="AF322" s="936">
        <f>SUMIFS('A5.CTC FY24'!K:K,'A5.CTC FY24'!E:E,'A0.LS'!E322,'A5.CTC FY24'!A:A,"VNSC",'A5.CTC FY24'!L:L,"VNSC",'A5.CTC FY24'!M:M,"Posted")</f>
        <v>0</v>
      </c>
      <c r="AG322" s="936">
        <f>ROUND(SUMIFS('A5.CTC FY24'!K:K,'A5.CTC FY24'!E:E,'A0.LS'!E322,'A5.CTC FY24'!A:A,"VNSC",'A5.CTC FY24'!L:L,"EY",'A5.CTC FY24'!M:M,"Posted"),0)</f>
        <v>0</v>
      </c>
      <c r="AH322" s="936">
        <f t="shared" si="234"/>
        <v>504765688</v>
      </c>
      <c r="AI322" s="930"/>
      <c r="AJ322" s="936">
        <f>ROUND(SUMIFS('GL911.KCG.FY24'!L:L,'GL911.KCG.FY24'!F:F,'A0.LS'!E322),0)</f>
        <v>0</v>
      </c>
      <c r="AK322" s="936">
        <f>ROUND(SUMIFS('A5.CTC FY24'!K:K,'A5.CTC FY24'!E:E,'A0.LS'!E322,'A5.CTC FY24'!A:A,'A0.LS'!$AK$5,'A5.CTC FY24'!L:L,"EY",'A5.CTC FY24'!M:M,"Posted"),0)</f>
        <v>0</v>
      </c>
      <c r="AL322" s="948">
        <f t="shared" si="235"/>
        <v>0</v>
      </c>
      <c r="AM322" s="930"/>
      <c r="AN322" s="949">
        <f t="shared" si="245"/>
        <v>504765688</v>
      </c>
      <c r="AO322" s="950">
        <f>ROUND(SUMIFS('A5.Consol FY24'!L:L,'A5.Consol FY24'!M:M,"EY",'A5.Consol FY24'!N:N,"Posted",'A5.Consol FY24'!B:B,'A0.LS'!$AO$5,'A5.Consol FY24'!F:F,'A0.LS'!E322),0)</f>
        <v>0</v>
      </c>
      <c r="AP322" s="949">
        <f t="shared" si="236"/>
        <v>504765688</v>
      </c>
      <c r="AQ322" s="930"/>
      <c r="AR322" s="936">
        <f>ROUND(SUMIFS('GL911.XH.FY24'!L:L,'GL911.XH.FY24'!F:F,'A0.LS'!E322),0)</f>
        <v>0</v>
      </c>
      <c r="AS322" s="936">
        <f>ROUND(SUMIFS('A5.CTC FY24'!K:K,'A5.CTC FY24'!E:E,'A0.LS'!E322,'A5.CTC FY24'!A:A,'A0.LS'!$AS$5,'A5.CTC FY24'!L:L,"EY",'A5.CTC FY24'!M:M,"Posted"),0)</f>
        <v>0</v>
      </c>
      <c r="AT322" s="948">
        <f t="shared" si="237"/>
        <v>0</v>
      </c>
      <c r="AU322" s="930"/>
      <c r="AV322" s="951">
        <f t="shared" si="238"/>
        <v>505450408</v>
      </c>
      <c r="AW322" s="952">
        <f>SUMIFS('A5.Consol FY24'!L:L,'A5.Consol FY24'!B:B,'A0.LS'!$AW$5,'A5.Consol FY24'!M:M,"EY",'A5.Consol FY24'!N:N,"Posted",'A5.Consol FY24'!F:F,'A0.LS'!E322)</f>
        <v>0</v>
      </c>
      <c r="AX322" s="951">
        <f t="shared" si="239"/>
        <v>505450408</v>
      </c>
      <c r="AY322" s="920"/>
      <c r="AZ322" s="936">
        <f>SUMIFS('911.CTC.YE22'!U:U,'911.CTC.YE22'!R:R,'A0.LS'!E322)</f>
        <v>0</v>
      </c>
      <c r="BA322" s="936">
        <f>ROUND(SUMIFS('A5.YE22'!J:J,'A5.YE22'!K:K,'A0.LS'!$BA$5,'A5.YE22'!L:L,"Posted",'A5.YE22'!D:D,'A0.LS'!E322),0)</f>
        <v>0</v>
      </c>
      <c r="BB322" s="936">
        <f t="shared" si="240"/>
        <v>0</v>
      </c>
      <c r="BC322" s="937"/>
      <c r="BD322" s="936">
        <f>ROUND(SUMIFS('911.VNSC.YE22'!R:R,'911.VNSC.YE22'!L:L,'A0.LS'!E322),0)</f>
        <v>30480146</v>
      </c>
      <c r="BE322" s="936">
        <f>ROUND(SUMIFS('A5.YE22'!J:J,'A5.YE22'!K:K,'A0.LS'!$BE$5,'A5.YE22'!L:L,"Posted",'A5.YE22'!D:D,'A0.LS'!E322),0)</f>
        <v>0</v>
      </c>
      <c r="BF322" s="936">
        <f t="shared" si="241"/>
        <v>30480146</v>
      </c>
      <c r="BG322" s="937"/>
      <c r="BH322" s="936">
        <f>ROUND(SUMIFS('911.XH.YE22'!T:T,'911.XH.YE22'!P:P,'A0.LS'!E322),0)</f>
        <v>0</v>
      </c>
      <c r="BI322" s="936">
        <f>ROUND(SUMIFS('A5.YE22'!J:J,'A5.YE22'!K:K,"XH",'A5.YE22'!L:L,"Posted",'A5.YE22'!D:D,'A0.LS'!E322),0)</f>
        <v>0</v>
      </c>
      <c r="BJ322" s="936">
        <f t="shared" si="242"/>
        <v>0</v>
      </c>
      <c r="BK322" s="937"/>
      <c r="BL322" s="936">
        <f>ROUND(SUMIFS('911.KCG.YE22'!T:T,'911.KCG.YE22'!P:P,'A0.LS'!E322),0)</f>
        <v>0</v>
      </c>
      <c r="BM322" s="936">
        <f>ROUND(SUMIFS('A5.YE22'!J:J,'A5.YE22'!K:K,'A0.LS'!$BM$5,'A5.YE22'!L:L,"Posted",'A5.YE22'!D:D,'A0.LS'!E322),0)</f>
        <v>0</v>
      </c>
      <c r="BN322" s="936">
        <f t="shared" si="243"/>
        <v>0</v>
      </c>
      <c r="BO322" s="937"/>
      <c r="BP322" s="938">
        <v>179898996</v>
      </c>
      <c r="BQ322" s="938">
        <f>ROUND(SUMIFS('A5.YE22'!J:J,'A5.YE22'!K:K,'A0.LS'!$BQ$5,'A5.YE22'!L:L,"Posted",'A5.YE22'!D:D,'A0.LS'!E322),0)</f>
        <v>0</v>
      </c>
      <c r="BR322" s="938">
        <f t="shared" si="244"/>
        <v>179898996</v>
      </c>
    </row>
    <row r="323" spans="2:70" ht="12.6" customHeight="1">
      <c r="B323" s="939">
        <v>26</v>
      </c>
      <c r="C323" s="940" t="s">
        <v>2553</v>
      </c>
      <c r="D323" s="941" t="s">
        <v>2553</v>
      </c>
      <c r="E323" s="928" t="s">
        <v>401</v>
      </c>
      <c r="F323" s="928" t="s">
        <v>402</v>
      </c>
      <c r="G323" s="927" t="s">
        <v>2540</v>
      </c>
      <c r="H323" s="927" t="s">
        <v>2190</v>
      </c>
      <c r="I323" s="942">
        <f>SUMIFS('GL911.Cty Me.FY24'!T:T,'GL911.Cty Me.FY24'!H:H,'A0.LS'!E323)</f>
        <v>21783526</v>
      </c>
      <c r="J323" s="942">
        <f>ROUND(SUMIFS('A5.FY24'!K:K,'A5.FY24'!E:E,'A0.LS'!E323,'A5.FY24'!L:L,"Finhay",'A5.FY24'!M:M,"Posted"),0)</f>
        <v>0</v>
      </c>
      <c r="K323" s="942">
        <f>ROUND(SUMIFS('A5.FY24'!K:K,'A5.FY24'!E:E,'A0.LS'!E323,'A5.FY24'!L:L,"EY",'A5.FY24'!M:M,"Posted"),0)</f>
        <v>0</v>
      </c>
      <c r="L323" s="943">
        <f t="shared" si="232"/>
        <v>21783526</v>
      </c>
      <c r="M323" s="930"/>
      <c r="N323" s="944">
        <v>333267704</v>
      </c>
      <c r="O323" s="944">
        <v>16787041</v>
      </c>
      <c r="P323" s="944">
        <v>0</v>
      </c>
      <c r="Q323" s="945">
        <v>350054745</v>
      </c>
      <c r="R323" s="898"/>
      <c r="S323" s="848">
        <f t="shared" si="230"/>
        <v>-328271219</v>
      </c>
      <c r="T323" s="946">
        <f t="shared" si="231"/>
        <v>-0.93777108777657048</v>
      </c>
      <c r="U323" s="850"/>
      <c r="V323" s="850" t="s">
        <v>2533</v>
      </c>
      <c r="W323" s="850"/>
      <c r="X323" s="947" t="s">
        <v>2190</v>
      </c>
      <c r="Y323" s="947" t="s">
        <v>2540</v>
      </c>
      <c r="Z323" s="936">
        <f>ROUND(SUMIFS('GL911.CtyCon.FY24'!N:N,'GL911.CtyCon.FY24'!G:G,'A0.LS'!E323),0)</f>
        <v>0</v>
      </c>
      <c r="AA323" s="936">
        <f>ROUND(SUMIFS('A5.CTC FY24'!K:K,'A5.CTC FY24'!E:E,'A0.LS'!E323,'A5.CTC FY24'!A:A,'A0.LS'!$AA$5,'A5.CTC FY24'!L:L,"Finhay",'A5.CTC FY24'!M:M,"Posted"),0)</f>
        <v>0</v>
      </c>
      <c r="AB323" s="936">
        <f>ROUND(SUMIFS('A5.CTC FY24'!K:K,'A5.CTC FY24'!E:E,'A0.LS'!E323,'A5.CTC FY24'!A:A,'A0.LS'!$AB$5,'A5.CTC FY24'!L:L,"EY",'A5.CTC FY24'!M:M,"Posted"),0)</f>
        <v>0</v>
      </c>
      <c r="AC323" s="948">
        <f t="shared" si="233"/>
        <v>0</v>
      </c>
      <c r="AD323" s="930"/>
      <c r="AE323" s="936">
        <f>SUMIFS('GL911 VNSC FY24'!T:T,'GL911 VNSC FY24'!AG:AG,'A0.LS'!E323)</f>
        <v>0</v>
      </c>
      <c r="AF323" s="936">
        <f>SUMIFS('A5.CTC FY24'!K:K,'A5.CTC FY24'!E:E,'A0.LS'!E323,'A5.CTC FY24'!A:A,"VNSC",'A5.CTC FY24'!L:L,"VNSC",'A5.CTC FY24'!M:M,"Posted")</f>
        <v>0</v>
      </c>
      <c r="AG323" s="936">
        <f>ROUND(SUMIFS('A5.CTC FY24'!K:K,'A5.CTC FY24'!E:E,'A0.LS'!E323,'A5.CTC FY24'!A:A,"VNSC",'A5.CTC FY24'!L:L,"EY",'A5.CTC FY24'!M:M,"Posted"),0)</f>
        <v>0</v>
      </c>
      <c r="AH323" s="936">
        <f t="shared" si="234"/>
        <v>0</v>
      </c>
      <c r="AI323" s="930"/>
      <c r="AJ323" s="936">
        <f>ROUND(SUMIFS('GL911.KCG.FY24'!L:L,'GL911.KCG.FY24'!F:F,'A0.LS'!E323),0)</f>
        <v>0</v>
      </c>
      <c r="AK323" s="936">
        <f>ROUND(SUMIFS('A5.CTC FY24'!K:K,'A5.CTC FY24'!E:E,'A0.LS'!E323,'A5.CTC FY24'!A:A,'A0.LS'!$AK$5,'A5.CTC FY24'!L:L,"EY",'A5.CTC FY24'!M:M,"Posted"),0)</f>
        <v>0</v>
      </c>
      <c r="AL323" s="948">
        <f t="shared" si="235"/>
        <v>0</v>
      </c>
      <c r="AM323" s="930"/>
      <c r="AN323" s="949">
        <f t="shared" si="245"/>
        <v>0</v>
      </c>
      <c r="AO323" s="950">
        <f>ROUND(SUMIFS('A5.Consol FY24'!L:L,'A5.Consol FY24'!M:M,"EY",'A5.Consol FY24'!N:N,"Posted",'A5.Consol FY24'!B:B,'A0.LS'!$AO$5,'A5.Consol FY24'!F:F,'A0.LS'!E323),0)</f>
        <v>0</v>
      </c>
      <c r="AP323" s="949">
        <f t="shared" si="236"/>
        <v>0</v>
      </c>
      <c r="AQ323" s="930"/>
      <c r="AR323" s="936">
        <f>ROUND(SUMIFS('GL911.XH.FY24'!L:L,'GL911.XH.FY24'!F:F,'A0.LS'!E323),0)</f>
        <v>0</v>
      </c>
      <c r="AS323" s="936">
        <f>ROUND(SUMIFS('A5.CTC FY24'!K:K,'A5.CTC FY24'!E:E,'A0.LS'!E323,'A5.CTC FY24'!A:A,'A0.LS'!$AS$5,'A5.CTC FY24'!L:L,"EY",'A5.CTC FY24'!M:M,"Posted"),0)</f>
        <v>0</v>
      </c>
      <c r="AT323" s="948">
        <f t="shared" si="237"/>
        <v>0</v>
      </c>
      <c r="AU323" s="930"/>
      <c r="AV323" s="951">
        <f t="shared" si="238"/>
        <v>21783526</v>
      </c>
      <c r="AW323" s="952">
        <f>SUMIFS('A5.Consol FY24'!L:L,'A5.Consol FY24'!B:B,'A0.LS'!$AW$5,'A5.Consol FY24'!M:M,"EY",'A5.Consol FY24'!N:N,"Posted",'A5.Consol FY24'!F:F,'A0.LS'!E323)</f>
        <v>0</v>
      </c>
      <c r="AX323" s="951">
        <f t="shared" si="239"/>
        <v>21783526</v>
      </c>
      <c r="AY323" s="920"/>
      <c r="AZ323" s="936">
        <f>SUMIFS('911.CTC.YE22'!U:U,'911.CTC.YE22'!R:R,'A0.LS'!E323)</f>
        <v>0</v>
      </c>
      <c r="BA323" s="936">
        <f>ROUND(SUMIFS('A5.YE22'!J:J,'A5.YE22'!K:K,'A0.LS'!$BA$5,'A5.YE22'!L:L,"Posted",'A5.YE22'!D:D,'A0.LS'!E323),0)</f>
        <v>0</v>
      </c>
      <c r="BB323" s="936">
        <f t="shared" si="240"/>
        <v>0</v>
      </c>
      <c r="BC323" s="937"/>
      <c r="BD323" s="936">
        <f>ROUND(SUMIFS('911.VNSC.YE22'!R:R,'911.VNSC.YE22'!L:L,'A0.LS'!E323),0)</f>
        <v>9470100</v>
      </c>
      <c r="BE323" s="936">
        <f>ROUND(SUMIFS('A5.YE22'!J:J,'A5.YE22'!K:K,'A0.LS'!$BE$5,'A5.YE22'!L:L,"Posted",'A5.YE22'!D:D,'A0.LS'!E323),0)</f>
        <v>0</v>
      </c>
      <c r="BF323" s="936">
        <f t="shared" si="241"/>
        <v>9470100</v>
      </c>
      <c r="BG323" s="937"/>
      <c r="BH323" s="936">
        <f>ROUND(SUMIFS('911.XH.YE22'!T:T,'911.XH.YE22'!P:P,'A0.LS'!E323),0)</f>
        <v>0</v>
      </c>
      <c r="BI323" s="936">
        <f>ROUND(SUMIFS('A5.YE22'!J:J,'A5.YE22'!K:K,"XH",'A5.YE22'!L:L,"Posted",'A5.YE22'!D:D,'A0.LS'!E323),0)</f>
        <v>0</v>
      </c>
      <c r="BJ323" s="936">
        <f t="shared" si="242"/>
        <v>0</v>
      </c>
      <c r="BK323" s="937"/>
      <c r="BL323" s="936">
        <f>ROUND(SUMIFS('911.KCG.YE22'!T:T,'911.KCG.YE22'!P:P,'A0.LS'!E323),0)</f>
        <v>0</v>
      </c>
      <c r="BM323" s="936">
        <f>ROUND(SUMIFS('A5.YE22'!J:J,'A5.YE22'!K:K,'A0.LS'!$BM$5,'A5.YE22'!L:L,"Posted",'A5.YE22'!D:D,'A0.LS'!E323),0)</f>
        <v>0</v>
      </c>
      <c r="BN323" s="936">
        <f t="shared" si="243"/>
        <v>0</v>
      </c>
      <c r="BO323" s="937"/>
      <c r="BP323" s="938">
        <v>350054745</v>
      </c>
      <c r="BQ323" s="938">
        <f>ROUND(SUMIFS('A5.YE22'!J:J,'A5.YE22'!K:K,'A0.LS'!$BQ$5,'A5.YE22'!L:L,"Posted",'A5.YE22'!D:D,'A0.LS'!E323),0)</f>
        <v>0</v>
      </c>
      <c r="BR323" s="938">
        <f t="shared" si="244"/>
        <v>350054745</v>
      </c>
    </row>
    <row r="324" spans="2:70" ht="12.75">
      <c r="B324" s="939">
        <v>26</v>
      </c>
      <c r="C324" s="940" t="s">
        <v>2555</v>
      </c>
      <c r="D324" s="941" t="s">
        <v>2555</v>
      </c>
      <c r="E324" s="928" t="s">
        <v>403</v>
      </c>
      <c r="F324" s="928" t="s">
        <v>404</v>
      </c>
      <c r="G324" s="927" t="s">
        <v>2540</v>
      </c>
      <c r="H324" s="927" t="s">
        <v>2190</v>
      </c>
      <c r="I324" s="942">
        <f>SUMIFS('GL911.Cty Me.FY24'!T:T,'GL911.Cty Me.FY24'!H:H,'A0.LS'!E324)</f>
        <v>0</v>
      </c>
      <c r="J324" s="942">
        <f>ROUND(SUMIFS('A5.FY24'!K:K,'A5.FY24'!E:E,'A0.LS'!E324,'A5.FY24'!L:L,"Finhay",'A5.FY24'!M:M,"Posted"),0)</f>
        <v>0</v>
      </c>
      <c r="K324" s="942">
        <f>ROUND(SUMIFS('A5.FY24'!K:K,'A5.FY24'!E:E,'A0.LS'!E324,'A5.FY24'!L:L,"EY",'A5.FY24'!M:M,"Posted"),0)</f>
        <v>0</v>
      </c>
      <c r="L324" s="943">
        <f t="shared" si="232"/>
        <v>0</v>
      </c>
      <c r="M324" s="930"/>
      <c r="N324" s="944">
        <v>30000000</v>
      </c>
      <c r="O324" s="944">
        <v>0</v>
      </c>
      <c r="P324" s="944">
        <v>0</v>
      </c>
      <c r="Q324" s="945">
        <v>30000000</v>
      </c>
      <c r="R324" s="898"/>
      <c r="S324" s="848">
        <f t="shared" si="230"/>
        <v>-30000000</v>
      </c>
      <c r="T324" s="946">
        <f t="shared" si="231"/>
        <v>-1</v>
      </c>
      <c r="U324" s="850"/>
      <c r="V324" s="850" t="s">
        <v>2450</v>
      </c>
      <c r="W324" s="850"/>
      <c r="X324" s="933"/>
      <c r="Y324" s="947" t="s">
        <v>2540</v>
      </c>
      <c r="Z324" s="936">
        <f>ROUND(SUMIFS('GL911.CtyCon.FY24'!N:N,'GL911.CtyCon.FY24'!G:G,'A0.LS'!E324),0)</f>
        <v>0</v>
      </c>
      <c r="AA324" s="936">
        <f>ROUND(SUMIFS('A5.CTC FY24'!K:K,'A5.CTC FY24'!E:E,'A0.LS'!E324,'A5.CTC FY24'!A:A,'A0.LS'!$AA$5,'A5.CTC FY24'!L:L,"Finhay",'A5.CTC FY24'!M:M,"Posted"),0)</f>
        <v>0</v>
      </c>
      <c r="AB324" s="936">
        <f>ROUND(SUMIFS('A5.CTC FY24'!K:K,'A5.CTC FY24'!E:E,'A0.LS'!E324,'A5.CTC FY24'!A:A,'A0.LS'!$AB$5,'A5.CTC FY24'!L:L,"EY",'A5.CTC FY24'!M:M,"Posted"),0)</f>
        <v>0</v>
      </c>
      <c r="AC324" s="948">
        <f t="shared" si="233"/>
        <v>0</v>
      </c>
      <c r="AD324" s="930"/>
      <c r="AE324" s="936">
        <f>SUMIFS('GL911 VNSC FY24'!T:T,'GL911 VNSC FY24'!AG:AG,'A0.LS'!E324)</f>
        <v>0</v>
      </c>
      <c r="AF324" s="936">
        <f>SUMIFS('A5.CTC FY24'!K:K,'A5.CTC FY24'!E:E,'A0.LS'!E324,'A5.CTC FY24'!A:A,"VNSC",'A5.CTC FY24'!L:L,"VNSC",'A5.CTC FY24'!M:M,"Posted")</f>
        <v>0</v>
      </c>
      <c r="AG324" s="936">
        <f>ROUND(SUMIFS('A5.CTC FY24'!K:K,'A5.CTC FY24'!E:E,'A0.LS'!E324,'A5.CTC FY24'!A:A,"VNSC",'A5.CTC FY24'!L:L,"EY",'A5.CTC FY24'!M:M,"Posted"),0)</f>
        <v>0</v>
      </c>
      <c r="AH324" s="936">
        <f t="shared" si="234"/>
        <v>0</v>
      </c>
      <c r="AI324" s="930"/>
      <c r="AJ324" s="936">
        <f>ROUND(SUMIFS('GL911.KCG.FY24'!L:L,'GL911.KCG.FY24'!F:F,'A0.LS'!E324),0)</f>
        <v>0</v>
      </c>
      <c r="AK324" s="936">
        <f>ROUND(SUMIFS('A5.CTC FY24'!K:K,'A5.CTC FY24'!E:E,'A0.LS'!E324,'A5.CTC FY24'!A:A,'A0.LS'!$AK$5,'A5.CTC FY24'!L:L,"EY",'A5.CTC FY24'!M:M,"Posted"),0)</f>
        <v>0</v>
      </c>
      <c r="AL324" s="948">
        <f t="shared" si="235"/>
        <v>0</v>
      </c>
      <c r="AM324" s="930"/>
      <c r="AN324" s="949">
        <f t="shared" si="245"/>
        <v>0</v>
      </c>
      <c r="AO324" s="950">
        <f>ROUND(SUMIFS('A5.Consol FY24'!L:L,'A5.Consol FY24'!M:M,"EY",'A5.Consol FY24'!N:N,"Posted",'A5.Consol FY24'!B:B,'A0.LS'!$AO$5,'A5.Consol FY24'!F:F,'A0.LS'!E324),0)</f>
        <v>0</v>
      </c>
      <c r="AP324" s="949">
        <f t="shared" si="236"/>
        <v>0</v>
      </c>
      <c r="AQ324" s="930"/>
      <c r="AR324" s="936">
        <f>ROUND(SUMIFS('GL911.XH.FY24'!L:L,'GL911.XH.FY24'!F:F,'A0.LS'!E324),0)</f>
        <v>0</v>
      </c>
      <c r="AS324" s="936">
        <f>ROUND(SUMIFS('A5.CTC FY24'!K:K,'A5.CTC FY24'!E:E,'A0.LS'!E324,'A5.CTC FY24'!A:A,'A0.LS'!$AS$5,'A5.CTC FY24'!L:L,"EY",'A5.CTC FY24'!M:M,"Posted"),0)</f>
        <v>0</v>
      </c>
      <c r="AT324" s="948">
        <f t="shared" si="237"/>
        <v>0</v>
      </c>
      <c r="AU324" s="930"/>
      <c r="AV324" s="951">
        <f t="shared" si="238"/>
        <v>0</v>
      </c>
      <c r="AW324" s="952">
        <f>SUMIFS('A5.Consol FY24'!L:L,'A5.Consol FY24'!B:B,'A0.LS'!$AW$5,'A5.Consol FY24'!M:M,"EY",'A5.Consol FY24'!N:N,"Posted",'A5.Consol FY24'!F:F,'A0.LS'!E324)</f>
        <v>0</v>
      </c>
      <c r="AX324" s="951">
        <f t="shared" si="239"/>
        <v>0</v>
      </c>
      <c r="AY324" s="920"/>
      <c r="AZ324" s="936">
        <f>SUMIFS('911.CTC.YE22'!U:U,'911.CTC.YE22'!R:R,'A0.LS'!E324)</f>
        <v>0</v>
      </c>
      <c r="BA324" s="936">
        <f>ROUND(SUMIFS('A5.YE22'!J:J,'A5.YE22'!K:K,'A0.LS'!$BA$5,'A5.YE22'!L:L,"Posted",'A5.YE22'!D:D,'A0.LS'!E324),0)</f>
        <v>0</v>
      </c>
      <c r="BB324" s="936">
        <f t="shared" si="240"/>
        <v>0</v>
      </c>
      <c r="BC324" s="937"/>
      <c r="BD324" s="936">
        <f>ROUND(SUMIFS('911.VNSC.YE22'!R:R,'911.VNSC.YE22'!L:L,'A0.LS'!E324),0)</f>
        <v>0</v>
      </c>
      <c r="BE324" s="936">
        <f>ROUND(SUMIFS('A5.YE22'!J:J,'A5.YE22'!K:K,'A0.LS'!$BE$5,'A5.YE22'!L:L,"Posted",'A5.YE22'!D:D,'A0.LS'!E324),0)</f>
        <v>0</v>
      </c>
      <c r="BF324" s="936">
        <f t="shared" si="241"/>
        <v>0</v>
      </c>
      <c r="BG324" s="937"/>
      <c r="BH324" s="936">
        <f>ROUND(SUMIFS('911.XH.YE22'!T:T,'911.XH.YE22'!P:P,'A0.LS'!E324),0)</f>
        <v>2130000</v>
      </c>
      <c r="BI324" s="936">
        <f>ROUND(SUMIFS('A5.YE22'!J:J,'A5.YE22'!K:K,"XH",'A5.YE22'!L:L,"Posted",'A5.YE22'!D:D,'A0.LS'!E324),0)</f>
        <v>0</v>
      </c>
      <c r="BJ324" s="936">
        <f t="shared" si="242"/>
        <v>2130000</v>
      </c>
      <c r="BK324" s="937"/>
      <c r="BL324" s="936">
        <f>ROUND(SUMIFS('911.KCG.YE22'!T:T,'911.KCG.YE22'!P:P,'A0.LS'!E324),0)</f>
        <v>0</v>
      </c>
      <c r="BM324" s="936">
        <f>ROUND(SUMIFS('A5.YE22'!J:J,'A5.YE22'!K:K,'A0.LS'!$BM$5,'A5.YE22'!L:L,"Posted",'A5.YE22'!D:D,'A0.LS'!E324),0)</f>
        <v>0</v>
      </c>
      <c r="BN324" s="936">
        <f t="shared" si="243"/>
        <v>0</v>
      </c>
      <c r="BO324" s="937"/>
      <c r="BP324" s="938">
        <v>30000000</v>
      </c>
      <c r="BQ324" s="938">
        <f>ROUND(SUMIFS('A5.YE22'!J:J,'A5.YE22'!K:K,'A0.LS'!$BQ$5,'A5.YE22'!L:L,"Posted",'A5.YE22'!D:D,'A0.LS'!E324),0)</f>
        <v>0</v>
      </c>
      <c r="BR324" s="938">
        <f t="shared" si="244"/>
        <v>30000000</v>
      </c>
    </row>
    <row r="325" spans="2:70" ht="12.6" customHeight="1">
      <c r="B325" s="939">
        <v>26</v>
      </c>
      <c r="C325" s="940" t="s">
        <v>2555</v>
      </c>
      <c r="D325" s="941" t="s">
        <v>2555</v>
      </c>
      <c r="E325" s="928" t="s">
        <v>405</v>
      </c>
      <c r="F325" s="928" t="s">
        <v>2556</v>
      </c>
      <c r="G325" s="927" t="s">
        <v>2540</v>
      </c>
      <c r="H325" s="927" t="s">
        <v>2190</v>
      </c>
      <c r="I325" s="942">
        <f>SUMIFS('GL911.Cty Me.FY24'!T:T,'GL911.Cty Me.FY24'!H:H,'A0.LS'!E325)</f>
        <v>144000000</v>
      </c>
      <c r="J325" s="942">
        <f>ROUND(SUMIFS('A5.FY24'!K:K,'A5.FY24'!E:E,'A0.LS'!E325,'A5.FY24'!L:L,"Finhay",'A5.FY24'!M:M,"Posted"),0)</f>
        <v>123772</v>
      </c>
      <c r="K325" s="942">
        <f>ROUND(SUMIFS('A5.FY24'!K:K,'A5.FY24'!E:E,'A0.LS'!E325,'A5.FY24'!L:L,"EY",'A5.FY24'!M:M,"Posted"),0)</f>
        <v>0</v>
      </c>
      <c r="L325" s="943">
        <f t="shared" si="232"/>
        <v>144123772</v>
      </c>
      <c r="M325" s="930"/>
      <c r="N325" s="944">
        <v>144000000</v>
      </c>
      <c r="O325" s="944">
        <v>7253430</v>
      </c>
      <c r="P325" s="944">
        <v>0</v>
      </c>
      <c r="Q325" s="945">
        <v>151253430</v>
      </c>
      <c r="R325" s="898"/>
      <c r="S325" s="848">
        <f t="shared" si="230"/>
        <v>-7129658</v>
      </c>
      <c r="T325" s="946">
        <f t="shared" si="231"/>
        <v>-4.7137165748902358E-2</v>
      </c>
      <c r="U325" s="850"/>
      <c r="V325" s="850" t="s">
        <v>2450</v>
      </c>
      <c r="W325" s="850"/>
      <c r="X325" s="304"/>
      <c r="Y325" s="947" t="s">
        <v>2540</v>
      </c>
      <c r="Z325" s="936">
        <f>ROUND(SUMIFS('GL911.CtyCon.FY24'!N:N,'GL911.CtyCon.FY24'!G:G,'A0.LS'!E325),0)</f>
        <v>0</v>
      </c>
      <c r="AA325" s="936">
        <f>ROUND(SUMIFS('A5.CTC FY24'!K:K,'A5.CTC FY24'!E:E,'A0.LS'!E325,'A5.CTC FY24'!A:A,'A0.LS'!$AA$5,'A5.CTC FY24'!L:L,"Finhay",'A5.CTC FY24'!M:M,"Posted"),0)</f>
        <v>0</v>
      </c>
      <c r="AB325" s="936">
        <f>ROUND(SUMIFS('A5.CTC FY24'!K:K,'A5.CTC FY24'!E:E,'A0.LS'!E325,'A5.CTC FY24'!A:A,'A0.LS'!$AB$5,'A5.CTC FY24'!L:L,"EY",'A5.CTC FY24'!M:M,"Posted"),0)</f>
        <v>0</v>
      </c>
      <c r="AC325" s="948">
        <f t="shared" si="233"/>
        <v>0</v>
      </c>
      <c r="AD325" s="930"/>
      <c r="AE325" s="936">
        <f>SUMIFS('GL911 VNSC FY24'!T:T,'GL911 VNSC FY24'!AG:AG,'A0.LS'!E325)</f>
        <v>0</v>
      </c>
      <c r="AF325" s="936">
        <f>SUMIFS('A5.CTC FY24'!K:K,'A5.CTC FY24'!E:E,'A0.LS'!E325,'A5.CTC FY24'!A:A,"VNSC",'A5.CTC FY24'!L:L,"VNSC",'A5.CTC FY24'!M:M,"Posted")</f>
        <v>0</v>
      </c>
      <c r="AG325" s="936">
        <f>ROUND(SUMIFS('A5.CTC FY24'!K:K,'A5.CTC FY24'!E:E,'A0.LS'!E325,'A5.CTC FY24'!A:A,"VNSC",'A5.CTC FY24'!L:L,"EY",'A5.CTC FY24'!M:M,"Posted"),0)</f>
        <v>0</v>
      </c>
      <c r="AH325" s="936">
        <f t="shared" si="234"/>
        <v>0</v>
      </c>
      <c r="AI325" s="930"/>
      <c r="AJ325" s="936">
        <f>ROUND(SUMIFS('GL911.KCG.FY24'!L:L,'GL911.KCG.FY24'!F:F,'A0.LS'!E325),0)</f>
        <v>0</v>
      </c>
      <c r="AK325" s="936">
        <f>ROUND(SUMIFS('A5.CTC FY24'!K:K,'A5.CTC FY24'!E:E,'A0.LS'!E325,'A5.CTC FY24'!A:A,'A0.LS'!$AK$5,'A5.CTC FY24'!L:L,"EY",'A5.CTC FY24'!M:M,"Posted"),0)</f>
        <v>0</v>
      </c>
      <c r="AL325" s="948">
        <f t="shared" si="235"/>
        <v>0</v>
      </c>
      <c r="AM325" s="930"/>
      <c r="AN325" s="949">
        <f t="shared" si="245"/>
        <v>0</v>
      </c>
      <c r="AO325" s="950">
        <f>ROUND(SUMIFS('A5.Consol FY24'!L:L,'A5.Consol FY24'!M:M,"EY",'A5.Consol FY24'!N:N,"Posted",'A5.Consol FY24'!B:B,'A0.LS'!$AO$5,'A5.Consol FY24'!F:F,'A0.LS'!E325),0)</f>
        <v>0</v>
      </c>
      <c r="AP325" s="949">
        <f t="shared" si="236"/>
        <v>0</v>
      </c>
      <c r="AQ325" s="930"/>
      <c r="AR325" s="936">
        <f>ROUND(SUMIFS('GL911.XH.FY24'!L:L,'GL911.XH.FY24'!F:F,'A0.LS'!E325),0)</f>
        <v>0</v>
      </c>
      <c r="AS325" s="936">
        <f>ROUND(SUMIFS('A5.CTC FY24'!K:K,'A5.CTC FY24'!E:E,'A0.LS'!E325,'A5.CTC FY24'!A:A,'A0.LS'!$AS$5,'A5.CTC FY24'!L:L,"EY",'A5.CTC FY24'!M:M,"Posted"),0)</f>
        <v>0</v>
      </c>
      <c r="AT325" s="948">
        <f t="shared" si="237"/>
        <v>0</v>
      </c>
      <c r="AU325" s="930"/>
      <c r="AV325" s="951">
        <f t="shared" si="238"/>
        <v>144123772</v>
      </c>
      <c r="AW325" s="952">
        <f>SUMIFS('A5.Consol FY24'!L:L,'A5.Consol FY24'!B:B,'A0.LS'!$AW$5,'A5.Consol FY24'!M:M,"EY",'A5.Consol FY24'!N:N,"Posted",'A5.Consol FY24'!F:F,'A0.LS'!E325)</f>
        <v>0</v>
      </c>
      <c r="AX325" s="951">
        <f t="shared" si="239"/>
        <v>144123772</v>
      </c>
      <c r="AY325" s="920"/>
      <c r="AZ325" s="936">
        <f>SUMIFS('911.CTC.YE22'!U:U,'911.CTC.YE22'!R:R,'A0.LS'!E325)</f>
        <v>0</v>
      </c>
      <c r="BA325" s="936">
        <f>ROUND(SUMIFS('A5.YE22'!J:J,'A5.YE22'!K:K,'A0.LS'!$BA$5,'A5.YE22'!L:L,"Posted",'A5.YE22'!D:D,'A0.LS'!E325),0)</f>
        <v>0</v>
      </c>
      <c r="BB325" s="936">
        <f t="shared" si="240"/>
        <v>0</v>
      </c>
      <c r="BC325" s="937"/>
      <c r="BD325" s="936">
        <f>ROUND(SUMIFS('911.VNSC.YE22'!R:R,'911.VNSC.YE22'!L:L,'A0.LS'!E325),0)</f>
        <v>0</v>
      </c>
      <c r="BE325" s="936">
        <f>ROUND(SUMIFS('A5.YE22'!J:J,'A5.YE22'!K:K,'A0.LS'!$BE$5,'A5.YE22'!L:L,"Posted",'A5.YE22'!D:D,'A0.LS'!E325),0)</f>
        <v>0</v>
      </c>
      <c r="BF325" s="936">
        <f t="shared" si="241"/>
        <v>0</v>
      </c>
      <c r="BG325" s="937"/>
      <c r="BH325" s="936">
        <f>ROUND(SUMIFS('911.XH.YE22'!T:T,'911.XH.YE22'!P:P,'A0.LS'!E325),0)</f>
        <v>0</v>
      </c>
      <c r="BI325" s="936">
        <f>ROUND(SUMIFS('A5.YE22'!J:J,'A5.YE22'!K:K,"XH",'A5.YE22'!L:L,"Posted",'A5.YE22'!D:D,'A0.LS'!E325),0)</f>
        <v>0</v>
      </c>
      <c r="BJ325" s="936">
        <f t="shared" si="242"/>
        <v>0</v>
      </c>
      <c r="BK325" s="937"/>
      <c r="BL325" s="936">
        <f>ROUND(SUMIFS('911.KCG.YE22'!T:T,'911.KCG.YE22'!P:P,'A0.LS'!E325),0)</f>
        <v>0</v>
      </c>
      <c r="BM325" s="936">
        <f>ROUND(SUMIFS('A5.YE22'!J:J,'A5.YE22'!K:K,'A0.LS'!$BM$5,'A5.YE22'!L:L,"Posted",'A5.YE22'!D:D,'A0.LS'!E325),0)</f>
        <v>0</v>
      </c>
      <c r="BN325" s="936">
        <f t="shared" si="243"/>
        <v>0</v>
      </c>
      <c r="BO325" s="937"/>
      <c r="BP325" s="938">
        <v>151253430</v>
      </c>
      <c r="BQ325" s="938">
        <f>ROUND(SUMIFS('A5.YE22'!J:J,'A5.YE22'!K:K,'A0.LS'!$BQ$5,'A5.YE22'!L:L,"Posted",'A5.YE22'!D:D,'A0.LS'!E325),0)</f>
        <v>0</v>
      </c>
      <c r="BR325" s="938">
        <f t="shared" si="244"/>
        <v>151253430</v>
      </c>
    </row>
    <row r="326" spans="2:70" ht="12.75">
      <c r="B326" s="939">
        <v>26</v>
      </c>
      <c r="C326" s="940" t="s">
        <v>2555</v>
      </c>
      <c r="D326" s="941" t="s">
        <v>2555</v>
      </c>
      <c r="E326" s="928" t="s">
        <v>407</v>
      </c>
      <c r="F326" s="928" t="s">
        <v>408</v>
      </c>
      <c r="G326" s="927" t="s">
        <v>2540</v>
      </c>
      <c r="H326" s="927" t="s">
        <v>2190</v>
      </c>
      <c r="I326" s="942">
        <f>SUMIFS('GL911.Cty Me.FY24'!T:T,'GL911.Cty Me.FY24'!H:H,'A0.LS'!E326)</f>
        <v>536000000</v>
      </c>
      <c r="J326" s="942">
        <f>ROUND(SUMIFS('A5.FY24'!K:K,'A5.FY24'!E:E,'A0.LS'!E326,'A5.FY24'!L:L,"Finhay",'A5.FY24'!M:M,"Posted"),0)</f>
        <v>464280</v>
      </c>
      <c r="K326" s="942">
        <f>ROUND(SUMIFS('A5.FY24'!K:K,'A5.FY24'!E:E,'A0.LS'!E326,'A5.FY24'!L:L,"EY",'A5.FY24'!M:M,"Posted"),0)</f>
        <v>0</v>
      </c>
      <c r="L326" s="943">
        <f t="shared" si="232"/>
        <v>536464280</v>
      </c>
      <c r="M326" s="930"/>
      <c r="N326" s="944">
        <v>767052183</v>
      </c>
      <c r="O326" s="944">
        <v>38637215</v>
      </c>
      <c r="P326" s="944">
        <v>0</v>
      </c>
      <c r="Q326" s="945">
        <v>805689398</v>
      </c>
      <c r="R326" s="898"/>
      <c r="S326" s="848">
        <f t="shared" si="230"/>
        <v>-269225118</v>
      </c>
      <c r="T326" s="946">
        <f t="shared" si="231"/>
        <v>-0.33415497171529118</v>
      </c>
      <c r="U326" s="850"/>
      <c r="V326" s="850" t="s">
        <v>2450</v>
      </c>
      <c r="W326" s="850"/>
      <c r="X326" s="947" t="s">
        <v>2190</v>
      </c>
      <c r="Y326" s="947" t="s">
        <v>2540</v>
      </c>
      <c r="Z326" s="936">
        <f>ROUND(SUMIFS('GL911.CtyCon.FY24'!N:N,'GL911.CtyCon.FY24'!G:G,'A0.LS'!E326),0)</f>
        <v>0</v>
      </c>
      <c r="AA326" s="936">
        <f>ROUND(SUMIFS('A5.CTC FY24'!K:K,'A5.CTC FY24'!E:E,'A0.LS'!E326,'A5.CTC FY24'!A:A,'A0.LS'!$AA$5,'A5.CTC FY24'!L:L,"Finhay",'A5.CTC FY24'!M:M,"Posted"),0)</f>
        <v>0</v>
      </c>
      <c r="AB326" s="936">
        <f>ROUND(SUMIFS('A5.CTC FY24'!K:K,'A5.CTC FY24'!E:E,'A0.LS'!E326,'A5.CTC FY24'!A:A,'A0.LS'!$AB$5,'A5.CTC FY24'!L:L,"EY",'A5.CTC FY24'!M:M,"Posted"),0)</f>
        <v>0</v>
      </c>
      <c r="AC326" s="948">
        <f t="shared" si="233"/>
        <v>0</v>
      </c>
      <c r="AD326" s="930"/>
      <c r="AE326" s="936">
        <f>SUMIFS('GL911 VNSC FY24'!T:T,'GL911 VNSC FY24'!AG:AG,'A0.LS'!E326)</f>
        <v>0</v>
      </c>
      <c r="AF326" s="936">
        <f>SUMIFS('A5.CTC FY24'!K:K,'A5.CTC FY24'!E:E,'A0.LS'!E326,'A5.CTC FY24'!A:A,"VNSC",'A5.CTC FY24'!L:L,"VNSC",'A5.CTC FY24'!M:M,"Posted")</f>
        <v>0</v>
      </c>
      <c r="AG326" s="936">
        <f>ROUND(SUMIFS('A5.CTC FY24'!K:K,'A5.CTC FY24'!E:E,'A0.LS'!E326,'A5.CTC FY24'!A:A,"VNSC",'A5.CTC FY24'!L:L,"EY",'A5.CTC FY24'!M:M,"Posted"),0)</f>
        <v>280000000</v>
      </c>
      <c r="AH326" s="936">
        <f t="shared" si="234"/>
        <v>280000000</v>
      </c>
      <c r="AI326" s="930"/>
      <c r="AJ326" s="936">
        <f>ROUND(SUMIFS('GL911.KCG.FY24'!L:L,'GL911.KCG.FY24'!F:F,'A0.LS'!E326),0)</f>
        <v>0</v>
      </c>
      <c r="AK326" s="936">
        <f>ROUND(SUMIFS('A5.CTC FY24'!K:K,'A5.CTC FY24'!E:E,'A0.LS'!E326,'A5.CTC FY24'!A:A,'A0.LS'!$AK$5,'A5.CTC FY24'!L:L,"EY",'A5.CTC FY24'!M:M,"Posted"),0)</f>
        <v>0</v>
      </c>
      <c r="AL326" s="948">
        <f t="shared" si="235"/>
        <v>0</v>
      </c>
      <c r="AM326" s="930"/>
      <c r="AN326" s="949">
        <f t="shared" si="245"/>
        <v>280000000</v>
      </c>
      <c r="AO326" s="950">
        <f>ROUND(SUMIFS('A5.Consol FY24'!L:L,'A5.Consol FY24'!M:M,"EY",'A5.Consol FY24'!N:N,"Posted",'A5.Consol FY24'!B:B,'A0.LS'!$AO$5,'A5.Consol FY24'!F:F,'A0.LS'!E326),0)</f>
        <v>0</v>
      </c>
      <c r="AP326" s="949">
        <f t="shared" si="236"/>
        <v>280000000</v>
      </c>
      <c r="AQ326" s="930"/>
      <c r="AR326" s="936">
        <f>ROUND(SUMIFS('GL911.XH.FY24'!L:L,'GL911.XH.FY24'!F:F,'A0.LS'!E326),0)</f>
        <v>0</v>
      </c>
      <c r="AS326" s="936">
        <f>ROUND(SUMIFS('A5.CTC FY24'!K:K,'A5.CTC FY24'!E:E,'A0.LS'!E326,'A5.CTC FY24'!A:A,'A0.LS'!$AS$5,'A5.CTC FY24'!L:L,"EY",'A5.CTC FY24'!M:M,"Posted"),0)</f>
        <v>0</v>
      </c>
      <c r="AT326" s="948">
        <f t="shared" si="237"/>
        <v>0</v>
      </c>
      <c r="AU326" s="930"/>
      <c r="AV326" s="951">
        <f t="shared" si="238"/>
        <v>816464280</v>
      </c>
      <c r="AW326" s="952">
        <f>SUMIFS('A5.Consol FY24'!L:L,'A5.Consol FY24'!B:B,'A0.LS'!$AW$5,'A5.Consol FY24'!M:M,"EY",'A5.Consol FY24'!N:N,"Posted",'A5.Consol FY24'!F:F,'A0.LS'!E326)</f>
        <v>0</v>
      </c>
      <c r="AX326" s="951">
        <f t="shared" si="239"/>
        <v>816464280</v>
      </c>
      <c r="AY326" s="920"/>
      <c r="AZ326" s="936">
        <f>SUMIFS('911.CTC.YE22'!U:U,'911.CTC.YE22'!R:R,'A0.LS'!E326)</f>
        <v>0</v>
      </c>
      <c r="BA326" s="936">
        <f>ROUND(SUMIFS('A5.YE22'!J:J,'A5.YE22'!K:K,'A0.LS'!$BA$5,'A5.YE22'!L:L,"Posted",'A5.YE22'!D:D,'A0.LS'!E326),0)</f>
        <v>0</v>
      </c>
      <c r="BB326" s="936">
        <f t="shared" si="240"/>
        <v>0</v>
      </c>
      <c r="BC326" s="937"/>
      <c r="BD326" s="936">
        <f>ROUND(SUMIFS('911.VNSC.YE22'!R:R,'911.VNSC.YE22'!L:L,'A0.LS'!E326),0)</f>
        <v>977272731</v>
      </c>
      <c r="BE326" s="936">
        <f>ROUND(SUMIFS('A5.YE22'!J:J,'A5.YE22'!K:K,'A0.LS'!$BE$5,'A5.YE22'!L:L,"Posted",'A5.YE22'!D:D,'A0.LS'!E326),0)</f>
        <v>0</v>
      </c>
      <c r="BF326" s="936">
        <f t="shared" si="241"/>
        <v>977272731</v>
      </c>
      <c r="BG326" s="937"/>
      <c r="BH326" s="936">
        <f>ROUND(SUMIFS('911.XH.YE22'!T:T,'911.XH.YE22'!P:P,'A0.LS'!E326),0)</f>
        <v>0</v>
      </c>
      <c r="BI326" s="936">
        <f>ROUND(SUMIFS('A5.YE22'!J:J,'A5.YE22'!K:K,"XH",'A5.YE22'!L:L,"Posted",'A5.YE22'!D:D,'A0.LS'!E326),0)</f>
        <v>0</v>
      </c>
      <c r="BJ326" s="936">
        <f t="shared" si="242"/>
        <v>0</v>
      </c>
      <c r="BK326" s="937"/>
      <c r="BL326" s="936">
        <f>ROUND(SUMIFS('911.KCG.YE22'!T:T,'911.KCG.YE22'!P:P,'A0.LS'!E326),0)</f>
        <v>0</v>
      </c>
      <c r="BM326" s="936">
        <f>ROUND(SUMIFS('A5.YE22'!J:J,'A5.YE22'!K:K,'A0.LS'!$BM$5,'A5.YE22'!L:L,"Posted",'A5.YE22'!D:D,'A0.LS'!E326),0)</f>
        <v>0</v>
      </c>
      <c r="BN326" s="936">
        <f t="shared" si="243"/>
        <v>0</v>
      </c>
      <c r="BO326" s="937"/>
      <c r="BP326" s="938">
        <v>1109689398</v>
      </c>
      <c r="BQ326" s="938">
        <f>ROUND(SUMIFS('A5.YE22'!J:J,'A5.YE22'!K:K,'A0.LS'!$BQ$5,'A5.YE22'!L:L,"Posted",'A5.YE22'!D:D,'A0.LS'!E326),0)</f>
        <v>0</v>
      </c>
      <c r="BR326" s="938">
        <f t="shared" si="244"/>
        <v>1109689398</v>
      </c>
    </row>
    <row r="327" spans="2:70" ht="12.6" customHeight="1">
      <c r="B327" s="939">
        <v>26</v>
      </c>
      <c r="C327" s="940" t="s">
        <v>2555</v>
      </c>
      <c r="D327" s="941" t="s">
        <v>2555</v>
      </c>
      <c r="E327" s="928" t="s">
        <v>409</v>
      </c>
      <c r="F327" s="928" t="s">
        <v>276</v>
      </c>
      <c r="G327" s="927" t="s">
        <v>2540</v>
      </c>
      <c r="H327" s="927" t="s">
        <v>2190</v>
      </c>
      <c r="I327" s="942">
        <f>SUMIFS('GL911.Cty Me.FY24'!T:T,'GL911.Cty Me.FY24'!H:H,'A0.LS'!E327)</f>
        <v>0</v>
      </c>
      <c r="J327" s="942">
        <f>ROUND(SUMIFS('A5.FY24'!K:K,'A5.FY24'!E:E,'A0.LS'!E327,'A5.FY24'!L:L,"Finhay",'A5.FY24'!M:M,"Posted"),0)</f>
        <v>0</v>
      </c>
      <c r="K327" s="942">
        <f>ROUND(SUMIFS('A5.FY24'!K:K,'A5.FY24'!E:E,'A0.LS'!E327,'A5.FY24'!L:L,"EY",'A5.FY24'!M:M,"Posted"),0)</f>
        <v>0</v>
      </c>
      <c r="L327" s="943">
        <f t="shared" si="232"/>
        <v>0</v>
      </c>
      <c r="M327" s="930"/>
      <c r="N327" s="944">
        <v>3000000</v>
      </c>
      <c r="O327" s="944">
        <v>0</v>
      </c>
      <c r="P327" s="944">
        <v>0</v>
      </c>
      <c r="Q327" s="945">
        <v>3000000</v>
      </c>
      <c r="R327" s="898"/>
      <c r="S327" s="848">
        <f t="shared" si="230"/>
        <v>-3000000</v>
      </c>
      <c r="T327" s="946">
        <f t="shared" si="231"/>
        <v>-1</v>
      </c>
      <c r="U327" s="850"/>
      <c r="V327" s="850">
        <v>0</v>
      </c>
      <c r="W327" s="850"/>
      <c r="X327" s="947" t="s">
        <v>2190</v>
      </c>
      <c r="Y327" s="947" t="s">
        <v>2540</v>
      </c>
      <c r="Z327" s="936">
        <f>ROUND(SUMIFS('GL911.CtyCon.FY24'!N:N,'GL911.CtyCon.FY24'!G:G,'A0.LS'!E327),0)</f>
        <v>0</v>
      </c>
      <c r="AA327" s="936">
        <f>ROUND(SUMIFS('A5.CTC FY24'!K:K,'A5.CTC FY24'!E:E,'A0.LS'!E327,'A5.CTC FY24'!A:A,'A0.LS'!$AA$5,'A5.CTC FY24'!L:L,"Finhay",'A5.CTC FY24'!M:M,"Posted"),0)</f>
        <v>0</v>
      </c>
      <c r="AB327" s="936">
        <f>ROUND(SUMIFS('A5.CTC FY24'!K:K,'A5.CTC FY24'!E:E,'A0.LS'!E327,'A5.CTC FY24'!A:A,'A0.LS'!$AB$5,'A5.CTC FY24'!L:L,"EY",'A5.CTC FY24'!M:M,"Posted"),0)</f>
        <v>0</v>
      </c>
      <c r="AC327" s="948">
        <f t="shared" si="233"/>
        <v>0</v>
      </c>
      <c r="AD327" s="930"/>
      <c r="AE327" s="936">
        <f>SUMIFS('GL911 VNSC FY24'!T:T,'GL911 VNSC FY24'!AG:AG,'A0.LS'!E327)</f>
        <v>0</v>
      </c>
      <c r="AF327" s="936">
        <f>SUMIFS('A5.CTC FY24'!K:K,'A5.CTC FY24'!E:E,'A0.LS'!E327,'A5.CTC FY24'!A:A,"VNSC",'A5.CTC FY24'!L:L,"VNSC",'A5.CTC FY24'!M:M,"Posted")</f>
        <v>0</v>
      </c>
      <c r="AG327" s="936">
        <f>ROUND(SUMIFS('A5.CTC FY24'!K:K,'A5.CTC FY24'!E:E,'A0.LS'!E327,'A5.CTC FY24'!A:A,"VNSC",'A5.CTC FY24'!L:L,"EY",'A5.CTC FY24'!M:M,"Posted"),0)</f>
        <v>0</v>
      </c>
      <c r="AH327" s="936">
        <f t="shared" si="234"/>
        <v>0</v>
      </c>
      <c r="AI327" s="930"/>
      <c r="AJ327" s="936">
        <f>ROUND(SUMIFS('GL911.KCG.FY24'!L:L,'GL911.KCG.FY24'!F:F,'A0.LS'!E327),0)</f>
        <v>0</v>
      </c>
      <c r="AK327" s="936">
        <f>ROUND(SUMIFS('A5.CTC FY24'!K:K,'A5.CTC FY24'!E:E,'A0.LS'!E327,'A5.CTC FY24'!A:A,'A0.LS'!$AK$5,'A5.CTC FY24'!L:L,"EY",'A5.CTC FY24'!M:M,"Posted"),0)</f>
        <v>0</v>
      </c>
      <c r="AL327" s="948">
        <f t="shared" si="235"/>
        <v>0</v>
      </c>
      <c r="AM327" s="930"/>
      <c r="AN327" s="949">
        <f t="shared" si="245"/>
        <v>0</v>
      </c>
      <c r="AO327" s="950">
        <f>ROUND(SUMIFS('A5.Consol FY24'!L:L,'A5.Consol FY24'!M:M,"EY",'A5.Consol FY24'!N:N,"Posted",'A5.Consol FY24'!B:B,'A0.LS'!$AO$5,'A5.Consol FY24'!F:F,'A0.LS'!E327),0)</f>
        <v>0</v>
      </c>
      <c r="AP327" s="949">
        <f t="shared" si="236"/>
        <v>0</v>
      </c>
      <c r="AQ327" s="930"/>
      <c r="AR327" s="936">
        <f>ROUND(SUMIFS('GL911.XH.FY24'!L:L,'GL911.XH.FY24'!F:F,'A0.LS'!E327),0)</f>
        <v>0</v>
      </c>
      <c r="AS327" s="936">
        <f>ROUND(SUMIFS('A5.CTC FY24'!K:K,'A5.CTC FY24'!E:E,'A0.LS'!E327,'A5.CTC FY24'!A:A,'A0.LS'!$AS$5,'A5.CTC FY24'!L:L,"EY",'A5.CTC FY24'!M:M,"Posted"),0)</f>
        <v>0</v>
      </c>
      <c r="AT327" s="948">
        <f t="shared" si="237"/>
        <v>0</v>
      </c>
      <c r="AU327" s="930"/>
      <c r="AV327" s="951">
        <f t="shared" si="238"/>
        <v>0</v>
      </c>
      <c r="AW327" s="952">
        <f>SUMIFS('A5.Consol FY24'!L:L,'A5.Consol FY24'!B:B,'A0.LS'!$AW$5,'A5.Consol FY24'!M:M,"EY",'A5.Consol FY24'!N:N,"Posted",'A5.Consol FY24'!F:F,'A0.LS'!E327)</f>
        <v>0</v>
      </c>
      <c r="AX327" s="951">
        <f t="shared" si="239"/>
        <v>0</v>
      </c>
      <c r="AY327" s="920"/>
      <c r="AZ327" s="936">
        <f>SUMIFS('911.CTC.YE22'!U:U,'911.CTC.YE22'!R:R,'A0.LS'!E327)</f>
        <v>0</v>
      </c>
      <c r="BA327" s="936">
        <f>ROUND(SUMIFS('A5.YE22'!J:J,'A5.YE22'!K:K,'A0.LS'!$BA$5,'A5.YE22'!L:L,"Posted",'A5.YE22'!D:D,'A0.LS'!E327),0)</f>
        <v>0</v>
      </c>
      <c r="BB327" s="936">
        <f t="shared" si="240"/>
        <v>0</v>
      </c>
      <c r="BC327" s="937"/>
      <c r="BD327" s="936">
        <f>ROUND(SUMIFS('911.VNSC.YE22'!R:R,'911.VNSC.YE22'!L:L,'A0.LS'!E327),0)</f>
        <v>0</v>
      </c>
      <c r="BE327" s="936">
        <f>ROUND(SUMIFS('A5.YE22'!J:J,'A5.YE22'!K:K,'A0.LS'!$BE$5,'A5.YE22'!L:L,"Posted",'A5.YE22'!D:D,'A0.LS'!E327),0)</f>
        <v>0</v>
      </c>
      <c r="BF327" s="936">
        <f t="shared" si="241"/>
        <v>0</v>
      </c>
      <c r="BG327" s="937"/>
      <c r="BH327" s="936">
        <f>ROUND(SUMIFS('911.XH.YE22'!T:T,'911.XH.YE22'!P:P,'A0.LS'!E327),0)</f>
        <v>0</v>
      </c>
      <c r="BI327" s="936">
        <f>ROUND(SUMIFS('A5.YE22'!J:J,'A5.YE22'!K:K,"XH",'A5.YE22'!L:L,"Posted",'A5.YE22'!D:D,'A0.LS'!E327),0)</f>
        <v>0</v>
      </c>
      <c r="BJ327" s="936">
        <f t="shared" si="242"/>
        <v>0</v>
      </c>
      <c r="BK327" s="937"/>
      <c r="BL327" s="936">
        <f>ROUND(SUMIFS('911.KCG.YE22'!T:T,'911.KCG.YE22'!P:P,'A0.LS'!E327),0)</f>
        <v>0</v>
      </c>
      <c r="BM327" s="936">
        <f>ROUND(SUMIFS('A5.YE22'!J:J,'A5.YE22'!K:K,'A0.LS'!$BM$5,'A5.YE22'!L:L,"Posted",'A5.YE22'!D:D,'A0.LS'!E327),0)</f>
        <v>0</v>
      </c>
      <c r="BN327" s="936">
        <f t="shared" si="243"/>
        <v>0</v>
      </c>
      <c r="BO327" s="937"/>
      <c r="BP327" s="938">
        <v>3000000</v>
      </c>
      <c r="BQ327" s="938">
        <f>ROUND(SUMIFS('A5.YE22'!J:J,'A5.YE22'!K:K,'A0.LS'!$BQ$5,'A5.YE22'!L:L,"Posted",'A5.YE22'!D:D,'A0.LS'!E327),0)</f>
        <v>0</v>
      </c>
      <c r="BR327" s="938">
        <f t="shared" si="244"/>
        <v>3000000</v>
      </c>
    </row>
    <row r="328" spans="2:70" ht="12.6" customHeight="1">
      <c r="B328" s="939">
        <v>26</v>
      </c>
      <c r="C328" s="940" t="s">
        <v>2552</v>
      </c>
      <c r="D328" s="941" t="s">
        <v>2552</v>
      </c>
      <c r="E328" s="928" t="s">
        <v>411</v>
      </c>
      <c r="F328" s="928" t="s">
        <v>412</v>
      </c>
      <c r="G328" s="927" t="s">
        <v>2540</v>
      </c>
      <c r="H328" s="927" t="s">
        <v>2190</v>
      </c>
      <c r="I328" s="942">
        <f>SUMIFS('GL911.Cty Me.FY24'!T:T,'GL911.Cty Me.FY24'!H:H,'A0.LS'!E328)</f>
        <v>0</v>
      </c>
      <c r="J328" s="942">
        <f>ROUND(SUMIFS('A5.FY24'!K:K,'A5.FY24'!E:E,'A0.LS'!E328,'A5.FY24'!L:L,"Finhay",'A5.FY24'!M:M,"Posted"),0)</f>
        <v>0</v>
      </c>
      <c r="K328" s="942">
        <f>ROUND(SUMIFS('A5.FY24'!K:K,'A5.FY24'!E:E,'A0.LS'!E328,'A5.FY24'!L:L,"EY",'A5.FY24'!M:M,"Posted"),0)</f>
        <v>0</v>
      </c>
      <c r="L328" s="943">
        <f t="shared" si="232"/>
        <v>0</v>
      </c>
      <c r="M328" s="930"/>
      <c r="N328" s="944">
        <v>28848100</v>
      </c>
      <c r="O328" s="944">
        <v>1453109</v>
      </c>
      <c r="P328" s="944">
        <v>0</v>
      </c>
      <c r="Q328" s="945">
        <v>30301209</v>
      </c>
      <c r="R328" s="898"/>
      <c r="S328" s="848">
        <f t="shared" si="230"/>
        <v>-30301209</v>
      </c>
      <c r="T328" s="946">
        <f t="shared" si="231"/>
        <v>-1</v>
      </c>
      <c r="U328" s="850"/>
      <c r="V328" s="850" t="s">
        <v>2432</v>
      </c>
      <c r="W328" s="850"/>
      <c r="X328" s="947" t="s">
        <v>2190</v>
      </c>
      <c r="Y328" s="947" t="s">
        <v>2540</v>
      </c>
      <c r="Z328" s="936">
        <f>ROUND(SUMIFS('GL911.CtyCon.FY24'!N:N,'GL911.CtyCon.FY24'!G:G,'A0.LS'!E328),0)</f>
        <v>0</v>
      </c>
      <c r="AA328" s="936">
        <f>ROUND(SUMIFS('A5.CTC FY24'!K:K,'A5.CTC FY24'!E:E,'A0.LS'!E328,'A5.CTC FY24'!A:A,'A0.LS'!$AA$5,'A5.CTC FY24'!L:L,"Finhay",'A5.CTC FY24'!M:M,"Posted"),0)</f>
        <v>0</v>
      </c>
      <c r="AB328" s="936">
        <f>ROUND(SUMIFS('A5.CTC FY24'!K:K,'A5.CTC FY24'!E:E,'A0.LS'!E328,'A5.CTC FY24'!A:A,'A0.LS'!$AB$5,'A5.CTC FY24'!L:L,"EY",'A5.CTC FY24'!M:M,"Posted"),0)</f>
        <v>0</v>
      </c>
      <c r="AC328" s="948">
        <f t="shared" si="233"/>
        <v>0</v>
      </c>
      <c r="AD328" s="930"/>
      <c r="AE328" s="936">
        <f>SUMIFS('GL911 VNSC FY24'!T:T,'GL911 VNSC FY24'!AG:AG,'A0.LS'!E328)</f>
        <v>0</v>
      </c>
      <c r="AF328" s="936">
        <f>SUMIFS('A5.CTC FY24'!K:K,'A5.CTC FY24'!E:E,'A0.LS'!E328,'A5.CTC FY24'!A:A,"VNSC",'A5.CTC FY24'!L:L,"VNSC",'A5.CTC FY24'!M:M,"Posted")</f>
        <v>0</v>
      </c>
      <c r="AG328" s="936">
        <f>ROUND(SUMIFS('A5.CTC FY24'!K:K,'A5.CTC FY24'!E:E,'A0.LS'!E328,'A5.CTC FY24'!A:A,"VNSC",'A5.CTC FY24'!L:L,"EY",'A5.CTC FY24'!M:M,"Posted"),0)</f>
        <v>0</v>
      </c>
      <c r="AH328" s="936">
        <f t="shared" si="234"/>
        <v>0</v>
      </c>
      <c r="AI328" s="930"/>
      <c r="AJ328" s="936">
        <f>ROUND(SUMIFS('GL911.KCG.FY24'!L:L,'GL911.KCG.FY24'!F:F,'A0.LS'!E328),0)</f>
        <v>0</v>
      </c>
      <c r="AK328" s="936">
        <f>ROUND(SUMIFS('A5.CTC FY24'!K:K,'A5.CTC FY24'!E:E,'A0.LS'!E328,'A5.CTC FY24'!A:A,'A0.LS'!$AK$5,'A5.CTC FY24'!L:L,"EY",'A5.CTC FY24'!M:M,"Posted"),0)</f>
        <v>0</v>
      </c>
      <c r="AL328" s="948">
        <f t="shared" si="235"/>
        <v>0</v>
      </c>
      <c r="AM328" s="930"/>
      <c r="AN328" s="949">
        <f t="shared" si="245"/>
        <v>0</v>
      </c>
      <c r="AO328" s="950">
        <f>ROUND(SUMIFS('A5.Consol FY24'!L:L,'A5.Consol FY24'!M:M,"EY",'A5.Consol FY24'!N:N,"Posted",'A5.Consol FY24'!B:B,'A0.LS'!$AO$5,'A5.Consol FY24'!F:F,'A0.LS'!E328),0)</f>
        <v>0</v>
      </c>
      <c r="AP328" s="949">
        <f t="shared" si="236"/>
        <v>0</v>
      </c>
      <c r="AQ328" s="930"/>
      <c r="AR328" s="936">
        <f>ROUND(SUMIFS('GL911.XH.FY24'!L:L,'GL911.XH.FY24'!F:F,'A0.LS'!E328),0)</f>
        <v>0</v>
      </c>
      <c r="AS328" s="936">
        <f>ROUND(SUMIFS('A5.CTC FY24'!K:K,'A5.CTC FY24'!E:E,'A0.LS'!E328,'A5.CTC FY24'!A:A,'A0.LS'!$AS$5,'A5.CTC FY24'!L:L,"EY",'A5.CTC FY24'!M:M,"Posted"),0)</f>
        <v>0</v>
      </c>
      <c r="AT328" s="948">
        <f t="shared" si="237"/>
        <v>0</v>
      </c>
      <c r="AU328" s="930"/>
      <c r="AV328" s="951">
        <f t="shared" si="238"/>
        <v>0</v>
      </c>
      <c r="AW328" s="952">
        <f>SUMIFS('A5.Consol FY24'!L:L,'A5.Consol FY24'!B:B,'A0.LS'!$AW$5,'A5.Consol FY24'!M:M,"EY",'A5.Consol FY24'!N:N,"Posted",'A5.Consol FY24'!F:F,'A0.LS'!E328)</f>
        <v>0</v>
      </c>
      <c r="AX328" s="951">
        <f t="shared" si="239"/>
        <v>0</v>
      </c>
      <c r="AY328" s="920"/>
      <c r="AZ328" s="936">
        <f>SUMIFS('911.CTC.YE22'!U:U,'911.CTC.YE22'!R:R,'A0.LS'!E328)</f>
        <v>0</v>
      </c>
      <c r="BA328" s="936">
        <f>ROUND(SUMIFS('A5.YE22'!J:J,'A5.YE22'!K:K,'A0.LS'!$BA$5,'A5.YE22'!L:L,"Posted",'A5.YE22'!D:D,'A0.LS'!E328),0)</f>
        <v>0</v>
      </c>
      <c r="BB328" s="936">
        <f t="shared" si="240"/>
        <v>0</v>
      </c>
      <c r="BC328" s="937"/>
      <c r="BD328" s="936">
        <f>ROUND(SUMIFS('911.VNSC.YE22'!R:R,'911.VNSC.YE22'!L:L,'A0.LS'!E328),0)</f>
        <v>37919461</v>
      </c>
      <c r="BE328" s="936">
        <f>ROUND(SUMIFS('A5.YE22'!J:J,'A5.YE22'!K:K,'A0.LS'!$BE$5,'A5.YE22'!L:L,"Posted",'A5.YE22'!D:D,'A0.LS'!E328),0)</f>
        <v>0</v>
      </c>
      <c r="BF328" s="936">
        <f t="shared" si="241"/>
        <v>37919461</v>
      </c>
      <c r="BG328" s="937"/>
      <c r="BH328" s="936">
        <f>ROUND(SUMIFS('911.XH.YE22'!T:T,'911.XH.YE22'!P:P,'A0.LS'!E328),0)</f>
        <v>0</v>
      </c>
      <c r="BI328" s="936">
        <f>ROUND(SUMIFS('A5.YE22'!J:J,'A5.YE22'!K:K,"XH",'A5.YE22'!L:L,"Posted",'A5.YE22'!D:D,'A0.LS'!E328),0)</f>
        <v>0</v>
      </c>
      <c r="BJ328" s="936">
        <f t="shared" si="242"/>
        <v>0</v>
      </c>
      <c r="BK328" s="937"/>
      <c r="BL328" s="936">
        <f>ROUND(SUMIFS('911.KCG.YE22'!T:T,'911.KCG.YE22'!P:P,'A0.LS'!E328),0)</f>
        <v>0</v>
      </c>
      <c r="BM328" s="936">
        <f>ROUND(SUMIFS('A5.YE22'!J:J,'A5.YE22'!K:K,'A0.LS'!$BM$5,'A5.YE22'!L:L,"Posted",'A5.YE22'!D:D,'A0.LS'!E328),0)</f>
        <v>0</v>
      </c>
      <c r="BN328" s="936">
        <f t="shared" si="243"/>
        <v>0</v>
      </c>
      <c r="BO328" s="937"/>
      <c r="BP328" s="938">
        <v>30301209</v>
      </c>
      <c r="BQ328" s="938">
        <f>ROUND(SUMIFS('A5.YE22'!J:J,'A5.YE22'!K:K,'A0.LS'!$BQ$5,'A5.YE22'!L:L,"Posted",'A5.YE22'!D:D,'A0.LS'!E328),0)</f>
        <v>0</v>
      </c>
      <c r="BR328" s="938">
        <f t="shared" si="244"/>
        <v>30301209</v>
      </c>
    </row>
    <row r="329" spans="2:70" ht="12.75">
      <c r="B329" s="939">
        <v>26</v>
      </c>
      <c r="C329" s="940" t="s">
        <v>2552</v>
      </c>
      <c r="D329" s="941" t="s">
        <v>2552</v>
      </c>
      <c r="E329" s="928" t="s">
        <v>413</v>
      </c>
      <c r="F329" s="928" t="s">
        <v>414</v>
      </c>
      <c r="G329" s="927" t="s">
        <v>2540</v>
      </c>
      <c r="H329" s="927" t="s">
        <v>2190</v>
      </c>
      <c r="I329" s="942">
        <f>SUMIFS('GL911.Cty Me.FY24'!T:T,'GL911.Cty Me.FY24'!H:H,'A0.LS'!E329)</f>
        <v>192317697</v>
      </c>
      <c r="J329" s="942">
        <f>ROUND(SUMIFS('A5.FY24'!K:K,'A5.FY24'!E:E,'A0.LS'!E329,'A5.FY24'!L:L,"Finhay",'A5.FY24'!M:M,"Posted"),0)</f>
        <v>99752</v>
      </c>
      <c r="K329" s="942">
        <f>ROUND(SUMIFS('A5.FY24'!K:K,'A5.FY24'!E:E,'A0.LS'!E329,'A5.FY24'!L:L,"EY",'A5.FY24'!M:M,"Posted"),0)</f>
        <v>0</v>
      </c>
      <c r="L329" s="943">
        <f t="shared" si="232"/>
        <v>192417449</v>
      </c>
      <c r="M329" s="930"/>
      <c r="N329" s="944">
        <v>312568395</v>
      </c>
      <c r="O329" s="944">
        <v>15744395</v>
      </c>
      <c r="P329" s="944">
        <v>0</v>
      </c>
      <c r="Q329" s="945">
        <v>328312790</v>
      </c>
      <c r="R329" s="898"/>
      <c r="S329" s="848">
        <f t="shared" si="230"/>
        <v>-135895341</v>
      </c>
      <c r="T329" s="946">
        <f t="shared" si="231"/>
        <v>-0.41392033798013167</v>
      </c>
      <c r="U329" s="850"/>
      <c r="V329" s="850" t="s">
        <v>2450</v>
      </c>
      <c r="W329" s="850"/>
      <c r="X329" s="947" t="s">
        <v>2190</v>
      </c>
      <c r="Y329" s="947" t="s">
        <v>2540</v>
      </c>
      <c r="Z329" s="936">
        <f>ROUND(SUMIFS('GL911.CtyCon.FY24'!N:N,'GL911.CtyCon.FY24'!G:G,'A0.LS'!E329),0)</f>
        <v>0</v>
      </c>
      <c r="AA329" s="936">
        <f>ROUND(SUMIFS('A5.CTC FY24'!K:K,'A5.CTC FY24'!E:E,'A0.LS'!E329,'A5.CTC FY24'!A:A,'A0.LS'!$AA$5,'A5.CTC FY24'!L:L,"Finhay",'A5.CTC FY24'!M:M,"Posted"),0)</f>
        <v>0</v>
      </c>
      <c r="AB329" s="936">
        <f>ROUND(SUMIFS('A5.CTC FY24'!K:K,'A5.CTC FY24'!E:E,'A0.LS'!E329,'A5.CTC FY24'!A:A,'A0.LS'!$AB$5,'A5.CTC FY24'!L:L,"EY",'A5.CTC FY24'!M:M,"Posted"),0)</f>
        <v>0</v>
      </c>
      <c r="AC329" s="948">
        <f t="shared" si="233"/>
        <v>0</v>
      </c>
      <c r="AD329" s="930"/>
      <c r="AE329" s="936">
        <f>SUMIFS('GL911 VNSC FY24'!T:T,'GL911 VNSC FY24'!AG:AG,'A0.LS'!E329)</f>
        <v>357750689</v>
      </c>
      <c r="AF329" s="936">
        <f>SUMIFS('A5.CTC FY24'!K:K,'A5.CTC FY24'!E:E,'A0.LS'!E329,'A5.CTC FY24'!A:A,"VNSC",'A5.CTC FY24'!L:L,"VNSC",'A5.CTC FY24'!M:M,"Posted")</f>
        <v>0</v>
      </c>
      <c r="AG329" s="936">
        <f>ROUND(SUMIFS('A5.CTC FY24'!K:K,'A5.CTC FY24'!E:E,'A0.LS'!E329,'A5.CTC FY24'!A:A,"VNSC",'A5.CTC FY24'!L:L,"EY",'A5.CTC FY24'!M:M,"Posted"),0)</f>
        <v>0</v>
      </c>
      <c r="AH329" s="936">
        <f t="shared" si="234"/>
        <v>357750689</v>
      </c>
      <c r="AI329" s="930"/>
      <c r="AJ329" s="936">
        <f>ROUND(SUMIFS('GL911.KCG.FY24'!L:L,'GL911.KCG.FY24'!F:F,'A0.LS'!E329),0)</f>
        <v>0</v>
      </c>
      <c r="AK329" s="936">
        <f>ROUND(SUMIFS('A5.CTC FY24'!K:K,'A5.CTC FY24'!E:E,'A0.LS'!E329,'A5.CTC FY24'!A:A,'A0.LS'!$AK$5,'A5.CTC FY24'!L:L,"EY",'A5.CTC FY24'!M:M,"Posted"),0)</f>
        <v>0</v>
      </c>
      <c r="AL329" s="948">
        <f t="shared" si="235"/>
        <v>0</v>
      </c>
      <c r="AM329" s="930"/>
      <c r="AN329" s="949">
        <f t="shared" si="245"/>
        <v>357750689</v>
      </c>
      <c r="AO329" s="950">
        <f>ROUND(SUMIFS('A5.Consol FY24'!L:L,'A5.Consol FY24'!M:M,"EY",'A5.Consol FY24'!N:N,"Posted",'A5.Consol FY24'!B:B,'A0.LS'!$AO$5,'A5.Consol FY24'!F:F,'A0.LS'!E329),0)</f>
        <v>0</v>
      </c>
      <c r="AP329" s="949">
        <f t="shared" si="236"/>
        <v>357750689</v>
      </c>
      <c r="AQ329" s="930"/>
      <c r="AR329" s="936">
        <f>ROUND(SUMIFS('GL911.XH.FY24'!L:L,'GL911.XH.FY24'!F:F,'A0.LS'!E329),0)</f>
        <v>0</v>
      </c>
      <c r="AS329" s="936">
        <f>ROUND(SUMIFS('A5.CTC FY24'!K:K,'A5.CTC FY24'!E:E,'A0.LS'!E329,'A5.CTC FY24'!A:A,'A0.LS'!$AS$5,'A5.CTC FY24'!L:L,"EY",'A5.CTC FY24'!M:M,"Posted"),0)</f>
        <v>0</v>
      </c>
      <c r="AT329" s="948">
        <f t="shared" si="237"/>
        <v>0</v>
      </c>
      <c r="AU329" s="930"/>
      <c r="AV329" s="951">
        <f t="shared" si="238"/>
        <v>550168138</v>
      </c>
      <c r="AW329" s="952">
        <f>SUMIFS('A5.Consol FY24'!L:L,'A5.Consol FY24'!B:B,'A0.LS'!$AW$5,'A5.Consol FY24'!M:M,"EY",'A5.Consol FY24'!N:N,"Posted",'A5.Consol FY24'!F:F,'A0.LS'!E329)</f>
        <v>0</v>
      </c>
      <c r="AX329" s="951">
        <f t="shared" si="239"/>
        <v>550168138</v>
      </c>
      <c r="AY329" s="920"/>
      <c r="AZ329" s="936">
        <f>SUMIFS('911.CTC.YE22'!U:U,'911.CTC.YE22'!R:R,'A0.LS'!E329)</f>
        <v>0</v>
      </c>
      <c r="BA329" s="936">
        <f>ROUND(SUMIFS('A5.YE22'!J:J,'A5.YE22'!K:K,'A0.LS'!$BA$5,'A5.YE22'!L:L,"Posted",'A5.YE22'!D:D,'A0.LS'!E329),0)</f>
        <v>0</v>
      </c>
      <c r="BB329" s="936">
        <f t="shared" si="240"/>
        <v>0</v>
      </c>
      <c r="BC329" s="937"/>
      <c r="BD329" s="936">
        <f>ROUND(SUMIFS('911.VNSC.YE22'!R:R,'911.VNSC.YE22'!L:L,'A0.LS'!E329),0)</f>
        <v>222243836</v>
      </c>
      <c r="BE329" s="936">
        <f>ROUND(SUMIFS('A5.YE22'!J:J,'A5.YE22'!K:K,'A0.LS'!$BE$5,'A5.YE22'!L:L,"Posted",'A5.YE22'!D:D,'A0.LS'!E329),0)</f>
        <v>0</v>
      </c>
      <c r="BF329" s="936">
        <f t="shared" si="241"/>
        <v>222243836</v>
      </c>
      <c r="BG329" s="937"/>
      <c r="BH329" s="936">
        <f>ROUND(SUMIFS('911.XH.YE22'!T:T,'911.XH.YE22'!P:P,'A0.LS'!E329),0)</f>
        <v>0</v>
      </c>
      <c r="BI329" s="936">
        <f>ROUND(SUMIFS('A5.YE22'!J:J,'A5.YE22'!K:K,"XH",'A5.YE22'!L:L,"Posted",'A5.YE22'!D:D,'A0.LS'!E329),0)</f>
        <v>0</v>
      </c>
      <c r="BJ329" s="936">
        <f t="shared" si="242"/>
        <v>0</v>
      </c>
      <c r="BK329" s="937"/>
      <c r="BL329" s="936">
        <f>ROUND(SUMIFS('911.KCG.YE22'!T:T,'911.KCG.YE22'!P:P,'A0.LS'!E329),0)</f>
        <v>0</v>
      </c>
      <c r="BM329" s="936">
        <f>ROUND(SUMIFS('A5.YE22'!J:J,'A5.YE22'!K:K,'A0.LS'!$BM$5,'A5.YE22'!L:L,"Posted",'A5.YE22'!D:D,'A0.LS'!E329),0)</f>
        <v>0</v>
      </c>
      <c r="BN329" s="936">
        <f t="shared" si="243"/>
        <v>0</v>
      </c>
      <c r="BO329" s="937"/>
      <c r="BP329" s="938">
        <v>484433235</v>
      </c>
      <c r="BQ329" s="938">
        <f>ROUND(SUMIFS('A5.YE22'!J:J,'A5.YE22'!K:K,'A0.LS'!$BQ$5,'A5.YE22'!L:L,"Posted",'A5.YE22'!D:D,'A0.LS'!E329),0)</f>
        <v>0</v>
      </c>
      <c r="BR329" s="938">
        <f t="shared" si="244"/>
        <v>484433235</v>
      </c>
    </row>
    <row r="330" spans="2:70" ht="12.75">
      <c r="B330" s="939">
        <v>26</v>
      </c>
      <c r="C330" s="940" t="s">
        <v>2552</v>
      </c>
      <c r="D330" s="941" t="s">
        <v>2552</v>
      </c>
      <c r="E330" s="928" t="s">
        <v>415</v>
      </c>
      <c r="F330" s="928" t="s">
        <v>416</v>
      </c>
      <c r="G330" s="927" t="s">
        <v>2540</v>
      </c>
      <c r="H330" s="927" t="s">
        <v>2190</v>
      </c>
      <c r="I330" s="942">
        <f>SUMIFS('GL911.Cty Me.FY24'!T:T,'GL911.Cty Me.FY24'!H:H,'A0.LS'!E330)</f>
        <v>28909090</v>
      </c>
      <c r="J330" s="942">
        <f>ROUND(SUMIFS('A5.FY24'!K:K,'A5.FY24'!E:E,'A0.LS'!E330,'A5.FY24'!L:L,"Finhay",'A5.FY24'!M:M,"Posted"),0)</f>
        <v>12670</v>
      </c>
      <c r="K330" s="942">
        <f>ROUND(SUMIFS('A5.FY24'!K:K,'A5.FY24'!E:E,'A0.LS'!E330,'A5.FY24'!L:L,"EY",'A5.FY24'!M:M,"Posted"),0)</f>
        <v>0</v>
      </c>
      <c r="L330" s="943">
        <f t="shared" si="232"/>
        <v>28921760</v>
      </c>
      <c r="M330" s="930"/>
      <c r="N330" s="944">
        <v>74345044</v>
      </c>
      <c r="O330" s="944">
        <v>3744837</v>
      </c>
      <c r="P330" s="944">
        <v>0</v>
      </c>
      <c r="Q330" s="945">
        <v>78089881</v>
      </c>
      <c r="R330" s="898"/>
      <c r="S330" s="848">
        <f t="shared" si="230"/>
        <v>-49168121</v>
      </c>
      <c r="T330" s="946">
        <f t="shared" si="231"/>
        <v>-0.62963498433298937</v>
      </c>
      <c r="U330" s="850"/>
      <c r="V330" s="850" t="s">
        <v>2450</v>
      </c>
      <c r="W330" s="850"/>
      <c r="X330" s="947" t="s">
        <v>2190</v>
      </c>
      <c r="Y330" s="947" t="s">
        <v>2540</v>
      </c>
      <c r="Z330" s="936">
        <f>ROUND(SUMIFS('GL911.CtyCon.FY24'!N:N,'GL911.CtyCon.FY24'!G:G,'A0.LS'!E330),0)</f>
        <v>0</v>
      </c>
      <c r="AA330" s="936">
        <f>ROUND(SUMIFS('A5.CTC FY24'!K:K,'A5.CTC FY24'!E:E,'A0.LS'!E330,'A5.CTC FY24'!A:A,'A0.LS'!$AA$5,'A5.CTC FY24'!L:L,"Finhay",'A5.CTC FY24'!M:M,"Posted"),0)</f>
        <v>0</v>
      </c>
      <c r="AB330" s="936">
        <f>ROUND(SUMIFS('A5.CTC FY24'!K:K,'A5.CTC FY24'!E:E,'A0.LS'!E330,'A5.CTC FY24'!A:A,'A0.LS'!$AB$5,'A5.CTC FY24'!L:L,"EY",'A5.CTC FY24'!M:M,"Posted"),0)</f>
        <v>0</v>
      </c>
      <c r="AC330" s="948">
        <f t="shared" si="233"/>
        <v>0</v>
      </c>
      <c r="AD330" s="930"/>
      <c r="AE330" s="936">
        <f>SUMIFS('GL911 VNSC FY24'!T:T,'GL911 VNSC FY24'!AG:AG,'A0.LS'!E330)</f>
        <v>202610004</v>
      </c>
      <c r="AF330" s="936">
        <f>SUMIFS('A5.CTC FY24'!K:K,'A5.CTC FY24'!E:E,'A0.LS'!E330,'A5.CTC FY24'!A:A,"VNSC",'A5.CTC FY24'!L:L,"VNSC",'A5.CTC FY24'!M:M,"Posted")</f>
        <v>0</v>
      </c>
      <c r="AG330" s="936">
        <f>ROUND(SUMIFS('A5.CTC FY24'!K:K,'A5.CTC FY24'!E:E,'A0.LS'!E330,'A5.CTC FY24'!A:A,"VNSC",'A5.CTC FY24'!L:L,"EY",'A5.CTC FY24'!M:M,"Posted"),0)</f>
        <v>0</v>
      </c>
      <c r="AH330" s="936">
        <f t="shared" si="234"/>
        <v>202610004</v>
      </c>
      <c r="AI330" s="930"/>
      <c r="AJ330" s="936">
        <f>ROUND(SUMIFS('GL911.KCG.FY24'!L:L,'GL911.KCG.FY24'!F:F,'A0.LS'!E330),0)</f>
        <v>0</v>
      </c>
      <c r="AK330" s="936">
        <f>ROUND(SUMIFS('A5.CTC FY24'!K:K,'A5.CTC FY24'!E:E,'A0.LS'!E330,'A5.CTC FY24'!A:A,'A0.LS'!$AK$5,'A5.CTC FY24'!L:L,"EY",'A5.CTC FY24'!M:M,"Posted"),0)</f>
        <v>0</v>
      </c>
      <c r="AL330" s="948">
        <f t="shared" si="235"/>
        <v>0</v>
      </c>
      <c r="AM330" s="930"/>
      <c r="AN330" s="949">
        <f t="shared" si="245"/>
        <v>202610004</v>
      </c>
      <c r="AO330" s="950">
        <f>ROUND(SUMIFS('A5.Consol FY24'!L:L,'A5.Consol FY24'!M:M,"EY",'A5.Consol FY24'!N:N,"Posted",'A5.Consol FY24'!B:B,'A0.LS'!$AO$5,'A5.Consol FY24'!F:F,'A0.LS'!E330),0)</f>
        <v>0</v>
      </c>
      <c r="AP330" s="949">
        <f t="shared" si="236"/>
        <v>202610004</v>
      </c>
      <c r="AQ330" s="930"/>
      <c r="AR330" s="936">
        <f>ROUND(SUMIFS('GL911.XH.FY24'!L:L,'GL911.XH.FY24'!F:F,'A0.LS'!E330),0)</f>
        <v>0</v>
      </c>
      <c r="AS330" s="936">
        <f>ROUND(SUMIFS('A5.CTC FY24'!K:K,'A5.CTC FY24'!E:E,'A0.LS'!E330,'A5.CTC FY24'!A:A,'A0.LS'!$AS$5,'A5.CTC FY24'!L:L,"EY",'A5.CTC FY24'!M:M,"Posted"),0)</f>
        <v>0</v>
      </c>
      <c r="AT330" s="948">
        <f t="shared" si="237"/>
        <v>0</v>
      </c>
      <c r="AU330" s="930"/>
      <c r="AV330" s="951">
        <f t="shared" si="238"/>
        <v>231531764</v>
      </c>
      <c r="AW330" s="952">
        <f>SUMIFS('A5.Consol FY24'!L:L,'A5.Consol FY24'!B:B,'A0.LS'!$AW$5,'A5.Consol FY24'!M:M,"EY",'A5.Consol FY24'!N:N,"Posted",'A5.Consol FY24'!F:F,'A0.LS'!E330)</f>
        <v>0</v>
      </c>
      <c r="AX330" s="951">
        <f t="shared" si="239"/>
        <v>231531764</v>
      </c>
      <c r="AY330" s="920"/>
      <c r="AZ330" s="936">
        <f>SUMIFS('911.CTC.YE22'!U:U,'911.CTC.YE22'!R:R,'A0.LS'!E330)</f>
        <v>0</v>
      </c>
      <c r="BA330" s="936">
        <f>ROUND(SUMIFS('A5.YE22'!J:J,'A5.YE22'!K:K,'A0.LS'!$BA$5,'A5.YE22'!L:L,"Posted",'A5.YE22'!D:D,'A0.LS'!E330),0)</f>
        <v>0</v>
      </c>
      <c r="BB330" s="936">
        <f t="shared" si="240"/>
        <v>0</v>
      </c>
      <c r="BC330" s="937"/>
      <c r="BD330" s="936">
        <f>ROUND(SUMIFS('911.VNSC.YE22'!R:R,'911.VNSC.YE22'!L:L,'A0.LS'!E330),0)</f>
        <v>0</v>
      </c>
      <c r="BE330" s="936">
        <f>ROUND(SUMIFS('A5.YE22'!J:J,'A5.YE22'!K:K,'A0.LS'!$BE$5,'A5.YE22'!L:L,"Posted",'A5.YE22'!D:D,'A0.LS'!E330),0)</f>
        <v>0</v>
      </c>
      <c r="BF330" s="936">
        <f t="shared" si="241"/>
        <v>0</v>
      </c>
      <c r="BG330" s="937"/>
      <c r="BH330" s="936">
        <f>ROUND(SUMIFS('911.XH.YE22'!T:T,'911.XH.YE22'!P:P,'A0.LS'!E330),0)</f>
        <v>0</v>
      </c>
      <c r="BI330" s="936">
        <f>ROUND(SUMIFS('A5.YE22'!J:J,'A5.YE22'!K:K,"XH",'A5.YE22'!L:L,"Posted",'A5.YE22'!D:D,'A0.LS'!E330),0)</f>
        <v>0</v>
      </c>
      <c r="BJ330" s="936">
        <f t="shared" si="242"/>
        <v>0</v>
      </c>
      <c r="BK330" s="937"/>
      <c r="BL330" s="936">
        <f>ROUND(SUMIFS('911.KCG.YE22'!T:T,'911.KCG.YE22'!P:P,'A0.LS'!E330),0)</f>
        <v>0</v>
      </c>
      <c r="BM330" s="936">
        <f>ROUND(SUMIFS('A5.YE22'!J:J,'A5.YE22'!K:K,'A0.LS'!$BM$5,'A5.YE22'!L:L,"Posted",'A5.YE22'!D:D,'A0.LS'!E330),0)</f>
        <v>0</v>
      </c>
      <c r="BN330" s="936">
        <f t="shared" si="243"/>
        <v>0</v>
      </c>
      <c r="BO330" s="937"/>
      <c r="BP330" s="938">
        <v>191990849</v>
      </c>
      <c r="BQ330" s="938">
        <f>ROUND(SUMIFS('A5.YE22'!J:J,'A5.YE22'!K:K,'A0.LS'!$BQ$5,'A5.YE22'!L:L,"Posted",'A5.YE22'!D:D,'A0.LS'!E330),0)</f>
        <v>0</v>
      </c>
      <c r="BR330" s="938">
        <f t="shared" si="244"/>
        <v>191990849</v>
      </c>
    </row>
    <row r="331" spans="2:70" ht="12.6" customHeight="1">
      <c r="B331" s="939">
        <v>26</v>
      </c>
      <c r="C331" s="940" t="s">
        <v>2552</v>
      </c>
      <c r="D331" s="941" t="s">
        <v>2552</v>
      </c>
      <c r="E331" s="928" t="s">
        <v>417</v>
      </c>
      <c r="F331" s="928" t="s">
        <v>418</v>
      </c>
      <c r="G331" s="927" t="s">
        <v>2540</v>
      </c>
      <c r="H331" s="927" t="s">
        <v>2190</v>
      </c>
      <c r="I331" s="942">
        <f>SUMIFS('GL911.Cty Me.FY24'!T:T,'GL911.Cty Me.FY24'!H:H,'A0.LS'!E331)</f>
        <v>8863000</v>
      </c>
      <c r="J331" s="942">
        <f>ROUND(SUMIFS('A5.FY24'!K:K,'A5.FY24'!E:E,'A0.LS'!E331,'A5.FY24'!L:L,"Finhay",'A5.FY24'!M:M,"Posted"),0)</f>
        <v>0</v>
      </c>
      <c r="K331" s="942">
        <f>ROUND(SUMIFS('A5.FY24'!K:K,'A5.FY24'!E:E,'A0.LS'!E331,'A5.FY24'!L:L,"EY",'A5.FY24'!M:M,"Posted"),0)</f>
        <v>0</v>
      </c>
      <c r="L331" s="943">
        <f t="shared" si="232"/>
        <v>8863000</v>
      </c>
      <c r="M331" s="930"/>
      <c r="N331" s="944">
        <v>14394000</v>
      </c>
      <c r="O331" s="944">
        <v>725041</v>
      </c>
      <c r="P331" s="944">
        <v>0</v>
      </c>
      <c r="Q331" s="945">
        <v>15119041</v>
      </c>
      <c r="R331" s="898"/>
      <c r="S331" s="848">
        <f t="shared" si="230"/>
        <v>-6256041</v>
      </c>
      <c r="T331" s="946">
        <f t="shared" si="231"/>
        <v>-0.41378557012974565</v>
      </c>
      <c r="U331" s="850"/>
      <c r="V331" s="850" t="s">
        <v>2450</v>
      </c>
      <c r="W331" s="850"/>
      <c r="X331" s="947" t="s">
        <v>2190</v>
      </c>
      <c r="Y331" s="947" t="s">
        <v>2540</v>
      </c>
      <c r="Z331" s="936">
        <f>ROUND(SUMIFS('GL911.CtyCon.FY24'!N:N,'GL911.CtyCon.FY24'!G:G,'A0.LS'!E331),0)</f>
        <v>0</v>
      </c>
      <c r="AA331" s="936">
        <f>ROUND(SUMIFS('A5.CTC FY24'!K:K,'A5.CTC FY24'!E:E,'A0.LS'!E331,'A5.CTC FY24'!A:A,'A0.LS'!$AA$5,'A5.CTC FY24'!L:L,"Finhay",'A5.CTC FY24'!M:M,"Posted"),0)</f>
        <v>0</v>
      </c>
      <c r="AB331" s="936">
        <f>ROUND(SUMIFS('A5.CTC FY24'!K:K,'A5.CTC FY24'!E:E,'A0.LS'!E331,'A5.CTC FY24'!A:A,'A0.LS'!$AB$5,'A5.CTC FY24'!L:L,"EY",'A5.CTC FY24'!M:M,"Posted"),0)</f>
        <v>0</v>
      </c>
      <c r="AC331" s="948">
        <f t="shared" si="233"/>
        <v>0</v>
      </c>
      <c r="AD331" s="930"/>
      <c r="AE331" s="936">
        <f>SUMIFS('GL911 VNSC FY24'!T:T,'GL911 VNSC FY24'!AG:AG,'A0.LS'!E331)</f>
        <v>0</v>
      </c>
      <c r="AF331" s="936">
        <f>SUMIFS('A5.CTC FY24'!K:K,'A5.CTC FY24'!E:E,'A0.LS'!E331,'A5.CTC FY24'!A:A,"VNSC",'A5.CTC FY24'!L:L,"VNSC",'A5.CTC FY24'!M:M,"Posted")</f>
        <v>0</v>
      </c>
      <c r="AG331" s="936">
        <f>ROUND(SUMIFS('A5.CTC FY24'!K:K,'A5.CTC FY24'!E:E,'A0.LS'!E331,'A5.CTC FY24'!A:A,"VNSC",'A5.CTC FY24'!L:L,"EY",'A5.CTC FY24'!M:M,"Posted"),0)</f>
        <v>0</v>
      </c>
      <c r="AH331" s="936">
        <f t="shared" si="234"/>
        <v>0</v>
      </c>
      <c r="AI331" s="930"/>
      <c r="AJ331" s="936">
        <f>ROUND(SUMIFS('GL911.KCG.FY24'!L:L,'GL911.KCG.FY24'!F:F,'A0.LS'!E331),0)</f>
        <v>0</v>
      </c>
      <c r="AK331" s="936">
        <f>ROUND(SUMIFS('A5.CTC FY24'!K:K,'A5.CTC FY24'!E:E,'A0.LS'!E331,'A5.CTC FY24'!A:A,'A0.LS'!$AK$5,'A5.CTC FY24'!L:L,"EY",'A5.CTC FY24'!M:M,"Posted"),0)</f>
        <v>0</v>
      </c>
      <c r="AL331" s="948">
        <f t="shared" si="235"/>
        <v>0</v>
      </c>
      <c r="AM331" s="930"/>
      <c r="AN331" s="949">
        <f t="shared" si="245"/>
        <v>0</v>
      </c>
      <c r="AO331" s="950">
        <f>ROUND(SUMIFS('A5.Consol FY24'!L:L,'A5.Consol FY24'!M:M,"EY",'A5.Consol FY24'!N:N,"Posted",'A5.Consol FY24'!B:B,'A0.LS'!$AO$5,'A5.Consol FY24'!F:F,'A0.LS'!E331),0)</f>
        <v>0</v>
      </c>
      <c r="AP331" s="949">
        <f t="shared" si="236"/>
        <v>0</v>
      </c>
      <c r="AQ331" s="930"/>
      <c r="AR331" s="936">
        <f>ROUND(SUMIFS('GL911.XH.FY24'!L:L,'GL911.XH.FY24'!F:F,'A0.LS'!E331),0)</f>
        <v>0</v>
      </c>
      <c r="AS331" s="936">
        <f>ROUND(SUMIFS('A5.CTC FY24'!K:K,'A5.CTC FY24'!E:E,'A0.LS'!E331,'A5.CTC FY24'!A:A,'A0.LS'!$AS$5,'A5.CTC FY24'!L:L,"EY",'A5.CTC FY24'!M:M,"Posted"),0)</f>
        <v>0</v>
      </c>
      <c r="AT331" s="948">
        <f t="shared" si="237"/>
        <v>0</v>
      </c>
      <c r="AU331" s="930"/>
      <c r="AV331" s="951">
        <f t="shared" si="238"/>
        <v>8863000</v>
      </c>
      <c r="AW331" s="952">
        <f>SUMIFS('A5.Consol FY24'!L:L,'A5.Consol FY24'!B:B,'A0.LS'!$AW$5,'A5.Consol FY24'!M:M,"EY",'A5.Consol FY24'!N:N,"Posted",'A5.Consol FY24'!F:F,'A0.LS'!E331)</f>
        <v>0</v>
      </c>
      <c r="AX331" s="951">
        <f t="shared" si="239"/>
        <v>8863000</v>
      </c>
      <c r="AY331" s="920"/>
      <c r="AZ331" s="936">
        <f>SUMIFS('911.CTC.YE22'!U:U,'911.CTC.YE22'!R:R,'A0.LS'!E331)</f>
        <v>0</v>
      </c>
      <c r="BA331" s="936">
        <f>ROUND(SUMIFS('A5.YE22'!J:J,'A5.YE22'!K:K,'A0.LS'!$BA$5,'A5.YE22'!L:L,"Posted",'A5.YE22'!D:D,'A0.LS'!E331),0)</f>
        <v>0</v>
      </c>
      <c r="BB331" s="936">
        <f t="shared" si="240"/>
        <v>0</v>
      </c>
      <c r="BC331" s="937"/>
      <c r="BD331" s="936">
        <f>ROUND(SUMIFS('911.VNSC.YE22'!R:R,'911.VNSC.YE22'!L:L,'A0.LS'!E331),0)</f>
        <v>0</v>
      </c>
      <c r="BE331" s="936">
        <f>ROUND(SUMIFS('A5.YE22'!J:J,'A5.YE22'!K:K,'A0.LS'!$BE$5,'A5.YE22'!L:L,"Posted",'A5.YE22'!D:D,'A0.LS'!E331),0)</f>
        <v>0</v>
      </c>
      <c r="BF331" s="936">
        <f t="shared" si="241"/>
        <v>0</v>
      </c>
      <c r="BG331" s="937"/>
      <c r="BH331" s="936">
        <f>ROUND(SUMIFS('911.XH.YE22'!T:T,'911.XH.YE22'!P:P,'A0.LS'!E331),0)</f>
        <v>0</v>
      </c>
      <c r="BI331" s="936">
        <f>ROUND(SUMIFS('A5.YE22'!J:J,'A5.YE22'!K:K,"XH",'A5.YE22'!L:L,"Posted",'A5.YE22'!D:D,'A0.LS'!E331),0)</f>
        <v>0</v>
      </c>
      <c r="BJ331" s="936">
        <f t="shared" si="242"/>
        <v>0</v>
      </c>
      <c r="BK331" s="937"/>
      <c r="BL331" s="936">
        <f>ROUND(SUMIFS('911.KCG.YE22'!T:T,'911.KCG.YE22'!P:P,'A0.LS'!E331),0)</f>
        <v>0</v>
      </c>
      <c r="BM331" s="936">
        <f>ROUND(SUMIFS('A5.YE22'!J:J,'A5.YE22'!K:K,'A0.LS'!$BM$5,'A5.YE22'!L:L,"Posted",'A5.YE22'!D:D,'A0.LS'!E331),0)</f>
        <v>0</v>
      </c>
      <c r="BN331" s="936">
        <f t="shared" si="243"/>
        <v>0</v>
      </c>
      <c r="BO331" s="937"/>
      <c r="BP331" s="938">
        <v>15119041</v>
      </c>
      <c r="BQ331" s="938">
        <f>ROUND(SUMIFS('A5.YE22'!J:J,'A5.YE22'!K:K,'A0.LS'!$BQ$5,'A5.YE22'!L:L,"Posted",'A5.YE22'!D:D,'A0.LS'!E331),0)</f>
        <v>0</v>
      </c>
      <c r="BR331" s="938">
        <f t="shared" si="244"/>
        <v>15119041</v>
      </c>
    </row>
    <row r="332" spans="2:70" ht="12.75">
      <c r="B332" s="939">
        <v>26</v>
      </c>
      <c r="C332" s="940" t="s">
        <v>2552</v>
      </c>
      <c r="D332" s="941" t="s">
        <v>2552</v>
      </c>
      <c r="E332" s="928" t="s">
        <v>419</v>
      </c>
      <c r="F332" s="928" t="s">
        <v>420</v>
      </c>
      <c r="G332" s="927" t="s">
        <v>2540</v>
      </c>
      <c r="H332" s="927" t="s">
        <v>2190</v>
      </c>
      <c r="I332" s="942">
        <f>SUMIFS('GL911.Cty Me.FY24'!T:T,'GL911.Cty Me.FY24'!H:H,'A0.LS'!E332)</f>
        <v>23400000</v>
      </c>
      <c r="J332" s="942">
        <f>ROUND(SUMIFS('A5.FY24'!K:K,'A5.FY24'!E:E,'A0.LS'!E332,'A5.FY24'!L:L,"Finhay",'A5.FY24'!M:M,"Posted"),0)</f>
        <v>0</v>
      </c>
      <c r="K332" s="942">
        <f>ROUND(SUMIFS('A5.FY24'!K:K,'A5.FY24'!E:E,'A0.LS'!E332,'A5.FY24'!L:L,"EY",'A5.FY24'!M:M,"Posted"),0)</f>
        <v>0</v>
      </c>
      <c r="L332" s="943">
        <f t="shared" si="232"/>
        <v>23400000</v>
      </c>
      <c r="M332" s="930"/>
      <c r="N332" s="944">
        <v>111194442</v>
      </c>
      <c r="O332" s="944">
        <v>0</v>
      </c>
      <c r="P332" s="944">
        <v>0</v>
      </c>
      <c r="Q332" s="945">
        <v>111194442</v>
      </c>
      <c r="R332" s="898"/>
      <c r="S332" s="848">
        <f t="shared" si="230"/>
        <v>-87794442</v>
      </c>
      <c r="T332" s="946">
        <f t="shared" si="231"/>
        <v>-0.78955782700002219</v>
      </c>
      <c r="U332" s="850"/>
      <c r="V332" s="850" t="s">
        <v>2450</v>
      </c>
      <c r="W332" s="850"/>
      <c r="X332" s="947" t="s">
        <v>2190</v>
      </c>
      <c r="Y332" s="947" t="s">
        <v>2540</v>
      </c>
      <c r="Z332" s="936">
        <f>ROUND(SUMIFS('GL911.CtyCon.FY24'!N:N,'GL911.CtyCon.FY24'!G:G,'A0.LS'!E332),0)</f>
        <v>0</v>
      </c>
      <c r="AA332" s="936">
        <f>ROUND(SUMIFS('A5.CTC FY24'!K:K,'A5.CTC FY24'!E:E,'A0.LS'!E332,'A5.CTC FY24'!A:A,'A0.LS'!$AA$5,'A5.CTC FY24'!L:L,"Finhay",'A5.CTC FY24'!M:M,"Posted"),0)</f>
        <v>0</v>
      </c>
      <c r="AB332" s="936">
        <f>ROUND(SUMIFS('A5.CTC FY24'!K:K,'A5.CTC FY24'!E:E,'A0.LS'!E332,'A5.CTC FY24'!A:A,'A0.LS'!$AB$5,'A5.CTC FY24'!L:L,"EY",'A5.CTC FY24'!M:M,"Posted"),0)</f>
        <v>0</v>
      </c>
      <c r="AC332" s="948">
        <f t="shared" si="233"/>
        <v>0</v>
      </c>
      <c r="AD332" s="930"/>
      <c r="AE332" s="936">
        <f>SUMIFS('GL911 VNSC FY24'!T:T,'GL911 VNSC FY24'!AG:AG,'A0.LS'!E332)</f>
        <v>0</v>
      </c>
      <c r="AF332" s="936">
        <f>SUMIFS('A5.CTC FY24'!K:K,'A5.CTC FY24'!E:E,'A0.LS'!E332,'A5.CTC FY24'!A:A,"VNSC",'A5.CTC FY24'!L:L,"VNSC",'A5.CTC FY24'!M:M,"Posted")</f>
        <v>0</v>
      </c>
      <c r="AG332" s="936">
        <f>ROUND(SUMIFS('A5.CTC FY24'!K:K,'A5.CTC FY24'!E:E,'A0.LS'!E332,'A5.CTC FY24'!A:A,"VNSC",'A5.CTC FY24'!L:L,"EY",'A5.CTC FY24'!M:M,"Posted"),0)</f>
        <v>0</v>
      </c>
      <c r="AH332" s="936">
        <f t="shared" si="234"/>
        <v>0</v>
      </c>
      <c r="AI332" s="930"/>
      <c r="AJ332" s="936">
        <f>ROUND(SUMIFS('GL911.KCG.FY24'!L:L,'GL911.KCG.FY24'!F:F,'A0.LS'!E332),0)</f>
        <v>0</v>
      </c>
      <c r="AK332" s="936">
        <f>ROUND(SUMIFS('A5.CTC FY24'!K:K,'A5.CTC FY24'!E:E,'A0.LS'!E332,'A5.CTC FY24'!A:A,'A0.LS'!$AK$5,'A5.CTC FY24'!L:L,"EY",'A5.CTC FY24'!M:M,"Posted"),0)</f>
        <v>0</v>
      </c>
      <c r="AL332" s="948">
        <f t="shared" si="235"/>
        <v>0</v>
      </c>
      <c r="AM332" s="930"/>
      <c r="AN332" s="949">
        <f t="shared" si="245"/>
        <v>0</v>
      </c>
      <c r="AO332" s="950">
        <f>ROUND(SUMIFS('A5.Consol FY24'!L:L,'A5.Consol FY24'!M:M,"EY",'A5.Consol FY24'!N:N,"Posted",'A5.Consol FY24'!B:B,'A0.LS'!$AO$5,'A5.Consol FY24'!F:F,'A0.LS'!E332),0)</f>
        <v>0</v>
      </c>
      <c r="AP332" s="949">
        <f t="shared" si="236"/>
        <v>0</v>
      </c>
      <c r="AQ332" s="930"/>
      <c r="AR332" s="936">
        <f>ROUND(SUMIFS('GL911.XH.FY24'!L:L,'GL911.XH.FY24'!F:F,'A0.LS'!E332),0)</f>
        <v>0</v>
      </c>
      <c r="AS332" s="936">
        <f>ROUND(SUMIFS('A5.CTC FY24'!K:K,'A5.CTC FY24'!E:E,'A0.LS'!E332,'A5.CTC FY24'!A:A,'A0.LS'!$AS$5,'A5.CTC FY24'!L:L,"EY",'A5.CTC FY24'!M:M,"Posted"),0)</f>
        <v>0</v>
      </c>
      <c r="AT332" s="948">
        <f t="shared" si="237"/>
        <v>0</v>
      </c>
      <c r="AU332" s="930"/>
      <c r="AV332" s="951">
        <f t="shared" si="238"/>
        <v>23400000</v>
      </c>
      <c r="AW332" s="952">
        <f>SUMIFS('A5.Consol FY24'!L:L,'A5.Consol FY24'!B:B,'A0.LS'!$AW$5,'A5.Consol FY24'!M:M,"EY",'A5.Consol FY24'!N:N,"Posted",'A5.Consol FY24'!F:F,'A0.LS'!E332)</f>
        <v>0</v>
      </c>
      <c r="AX332" s="951">
        <f t="shared" si="239"/>
        <v>23400000</v>
      </c>
      <c r="AY332" s="920"/>
      <c r="AZ332" s="936">
        <f>SUMIFS('911.CTC.YE22'!U:U,'911.CTC.YE22'!R:R,'A0.LS'!E332)</f>
        <v>0</v>
      </c>
      <c r="BA332" s="936">
        <f>ROUND(SUMIFS('A5.YE22'!J:J,'A5.YE22'!K:K,'A0.LS'!$BA$5,'A5.YE22'!L:L,"Posted",'A5.YE22'!D:D,'A0.LS'!E332),0)</f>
        <v>0</v>
      </c>
      <c r="BB332" s="936">
        <f t="shared" si="240"/>
        <v>0</v>
      </c>
      <c r="BC332" s="937"/>
      <c r="BD332" s="936">
        <f>ROUND(SUMIFS('911.VNSC.YE22'!R:R,'911.VNSC.YE22'!L:L,'A0.LS'!E332),0)</f>
        <v>0</v>
      </c>
      <c r="BE332" s="936">
        <f>ROUND(SUMIFS('A5.YE22'!J:J,'A5.YE22'!K:K,'A0.LS'!$BE$5,'A5.YE22'!L:L,"Posted",'A5.YE22'!D:D,'A0.LS'!E332),0)</f>
        <v>0</v>
      </c>
      <c r="BF332" s="936">
        <f t="shared" si="241"/>
        <v>0</v>
      </c>
      <c r="BG332" s="937"/>
      <c r="BH332" s="936">
        <f>ROUND(SUMIFS('911.XH.YE22'!T:T,'911.XH.YE22'!P:P,'A0.LS'!E332),0)</f>
        <v>0</v>
      </c>
      <c r="BI332" s="936">
        <f>ROUND(SUMIFS('A5.YE22'!J:J,'A5.YE22'!K:K,"XH",'A5.YE22'!L:L,"Posted",'A5.YE22'!D:D,'A0.LS'!E332),0)</f>
        <v>0</v>
      </c>
      <c r="BJ332" s="936">
        <f t="shared" si="242"/>
        <v>0</v>
      </c>
      <c r="BK332" s="937"/>
      <c r="BL332" s="936">
        <f>ROUND(SUMIFS('911.KCG.YE22'!T:T,'911.KCG.YE22'!P:P,'A0.LS'!E332),0)</f>
        <v>0</v>
      </c>
      <c r="BM332" s="936">
        <f>ROUND(SUMIFS('A5.YE22'!J:J,'A5.YE22'!K:K,'A0.LS'!$BM$5,'A5.YE22'!L:L,"Posted",'A5.YE22'!D:D,'A0.LS'!E332),0)</f>
        <v>0</v>
      </c>
      <c r="BN332" s="936">
        <f t="shared" si="243"/>
        <v>0</v>
      </c>
      <c r="BO332" s="937"/>
      <c r="BP332" s="938">
        <v>111194442</v>
      </c>
      <c r="BQ332" s="938">
        <f>ROUND(SUMIFS('A5.YE22'!J:J,'A5.YE22'!K:K,'A0.LS'!$BQ$5,'A5.YE22'!L:L,"Posted",'A5.YE22'!D:D,'A0.LS'!E332),0)</f>
        <v>0</v>
      </c>
      <c r="BR332" s="938">
        <f t="shared" si="244"/>
        <v>111194442</v>
      </c>
    </row>
    <row r="333" spans="2:70" ht="12.6" customHeight="1">
      <c r="B333" s="939">
        <v>26</v>
      </c>
      <c r="C333" s="940" t="s">
        <v>2555</v>
      </c>
      <c r="D333" s="941" t="s">
        <v>2555</v>
      </c>
      <c r="E333" s="928" t="s">
        <v>421</v>
      </c>
      <c r="F333" s="928" t="s">
        <v>364</v>
      </c>
      <c r="G333" s="927" t="s">
        <v>2540</v>
      </c>
      <c r="H333" s="927" t="s">
        <v>2190</v>
      </c>
      <c r="I333" s="942">
        <f>SUMIFS('GL911.Cty Me.FY24'!T:T,'GL911.Cty Me.FY24'!H:H,'A0.LS'!E333)</f>
        <v>623522715</v>
      </c>
      <c r="J333" s="942">
        <f>ROUND(SUMIFS('A5.FY24'!K:K,'A5.FY24'!E:E,'A0.LS'!E333,'A5.FY24'!L:L,"Finhay",'A5.FY24'!M:M,"Posted"),0)</f>
        <v>259887</v>
      </c>
      <c r="K333" s="942">
        <f>ROUND(SUMIFS('A5.FY24'!K:K,'A5.FY24'!E:E,'A0.LS'!E333,'A5.FY24'!L:L,"EY",'A5.FY24'!M:M,"Posted"),0)</f>
        <v>0</v>
      </c>
      <c r="L333" s="943">
        <f t="shared" si="232"/>
        <v>623782602</v>
      </c>
      <c r="M333" s="930"/>
      <c r="N333" s="944">
        <v>412086442</v>
      </c>
      <c r="O333" s="944">
        <v>20757222</v>
      </c>
      <c r="P333" s="944">
        <v>0</v>
      </c>
      <c r="Q333" s="945">
        <v>432843664</v>
      </c>
      <c r="R333" s="898"/>
      <c r="S333" s="848">
        <f t="shared" si="230"/>
        <v>190938938</v>
      </c>
      <c r="T333" s="946">
        <f t="shared" si="231"/>
        <v>0.4411267944538978</v>
      </c>
      <c r="U333" s="850"/>
      <c r="V333" s="850" t="s">
        <v>2450</v>
      </c>
      <c r="W333" s="850"/>
      <c r="X333" s="947" t="s">
        <v>2190</v>
      </c>
      <c r="Y333" s="947" t="s">
        <v>2540</v>
      </c>
      <c r="Z333" s="936">
        <f>ROUND(SUMIFS('GL911.CtyCon.FY24'!N:N,'GL911.CtyCon.FY24'!G:G,'A0.LS'!E333),0)</f>
        <v>0</v>
      </c>
      <c r="AA333" s="936">
        <f>ROUND(SUMIFS('A5.CTC FY24'!K:K,'A5.CTC FY24'!E:E,'A0.LS'!E333,'A5.CTC FY24'!A:A,'A0.LS'!$AA$5,'A5.CTC FY24'!L:L,"Finhay",'A5.CTC FY24'!M:M,"Posted"),0)</f>
        <v>0</v>
      </c>
      <c r="AB333" s="936">
        <f>ROUND(SUMIFS('A5.CTC FY24'!K:K,'A5.CTC FY24'!E:E,'A0.LS'!E333,'A5.CTC FY24'!A:A,'A0.LS'!$AB$5,'A5.CTC FY24'!L:L,"EY",'A5.CTC FY24'!M:M,"Posted"),0)</f>
        <v>0</v>
      </c>
      <c r="AC333" s="948">
        <f t="shared" si="233"/>
        <v>0</v>
      </c>
      <c r="AD333" s="930"/>
      <c r="AE333" s="936">
        <f>SUMIFS('GL911 VNSC FY24'!T:T,'GL911 VNSC FY24'!AG:AG,'A0.LS'!E333)</f>
        <v>1871424695</v>
      </c>
      <c r="AF333" s="936">
        <f>SUMIFS('A5.CTC FY24'!K:K,'A5.CTC FY24'!E:E,'A0.LS'!E333,'A5.CTC FY24'!A:A,"VNSC",'A5.CTC FY24'!L:L,"VNSC",'A5.CTC FY24'!M:M,"Posted")</f>
        <v>0</v>
      </c>
      <c r="AG333" s="936">
        <f>ROUND(SUMIFS('A5.CTC FY24'!K:K,'A5.CTC FY24'!E:E,'A0.LS'!E333,'A5.CTC FY24'!A:A,"VNSC",'A5.CTC FY24'!L:L,"EY",'A5.CTC FY24'!M:M,"Posted"),0)</f>
        <v>0</v>
      </c>
      <c r="AH333" s="936">
        <f t="shared" si="234"/>
        <v>1871424695</v>
      </c>
      <c r="AI333" s="930"/>
      <c r="AJ333" s="936">
        <f>ROUND(SUMIFS('GL911.KCG.FY24'!L:L,'GL911.KCG.FY24'!F:F,'A0.LS'!E333),0)</f>
        <v>0</v>
      </c>
      <c r="AK333" s="936">
        <f>ROUND(SUMIFS('A5.CTC FY24'!K:K,'A5.CTC FY24'!E:E,'A0.LS'!E333,'A5.CTC FY24'!A:A,'A0.LS'!$AK$5,'A5.CTC FY24'!L:L,"EY",'A5.CTC FY24'!M:M,"Posted"),0)</f>
        <v>0</v>
      </c>
      <c r="AL333" s="948">
        <f t="shared" si="235"/>
        <v>0</v>
      </c>
      <c r="AM333" s="930"/>
      <c r="AN333" s="949">
        <f t="shared" si="245"/>
        <v>1871424695</v>
      </c>
      <c r="AO333" s="950">
        <f>ROUND(SUMIFS('A5.Consol FY24'!L:L,'A5.Consol FY24'!M:M,"EY",'A5.Consol FY24'!N:N,"Posted",'A5.Consol FY24'!B:B,'A0.LS'!$AO$5,'A5.Consol FY24'!F:F,'A0.LS'!E333),0)</f>
        <v>0</v>
      </c>
      <c r="AP333" s="949">
        <f t="shared" si="236"/>
        <v>1871424695</v>
      </c>
      <c r="AQ333" s="930"/>
      <c r="AR333" s="936">
        <f>ROUND(SUMIFS('GL911.XH.FY24'!L:L,'GL911.XH.FY24'!F:F,'A0.LS'!E333),0)</f>
        <v>0</v>
      </c>
      <c r="AS333" s="936">
        <f>ROUND(SUMIFS('A5.CTC FY24'!K:K,'A5.CTC FY24'!E:E,'A0.LS'!E333,'A5.CTC FY24'!A:A,'A0.LS'!$AS$5,'A5.CTC FY24'!L:L,"EY",'A5.CTC FY24'!M:M,"Posted"),0)</f>
        <v>0</v>
      </c>
      <c r="AT333" s="948">
        <f t="shared" si="237"/>
        <v>0</v>
      </c>
      <c r="AU333" s="930"/>
      <c r="AV333" s="951">
        <f t="shared" si="238"/>
        <v>2495207297</v>
      </c>
      <c r="AW333" s="952">
        <f>SUMIFS('A5.Consol FY24'!L:L,'A5.Consol FY24'!B:B,'A0.LS'!$AW$5,'A5.Consol FY24'!M:M,"EY",'A5.Consol FY24'!N:N,"Posted",'A5.Consol FY24'!F:F,'A0.LS'!E333)</f>
        <v>0</v>
      </c>
      <c r="AX333" s="951">
        <f t="shared" si="239"/>
        <v>2495207297</v>
      </c>
      <c r="AY333" s="920"/>
      <c r="AZ333" s="936">
        <f>SUMIFS('911.CTC.YE22'!U:U,'911.CTC.YE22'!R:R,'A0.LS'!E333)</f>
        <v>0</v>
      </c>
      <c r="BA333" s="936">
        <f>ROUND(SUMIFS('A5.YE22'!J:J,'A5.YE22'!K:K,'A0.LS'!$BA$5,'A5.YE22'!L:L,"Posted",'A5.YE22'!D:D,'A0.LS'!E333),0)</f>
        <v>0</v>
      </c>
      <c r="BB333" s="936">
        <f t="shared" si="240"/>
        <v>0</v>
      </c>
      <c r="BC333" s="937"/>
      <c r="BD333" s="936">
        <f>ROUND(SUMIFS('911.VNSC.YE22'!R:R,'911.VNSC.YE22'!L:L,'A0.LS'!E333),0)</f>
        <v>86307382</v>
      </c>
      <c r="BE333" s="936">
        <f>ROUND(SUMIFS('A5.YE22'!J:J,'A5.YE22'!K:K,'A0.LS'!$BE$5,'A5.YE22'!L:L,"Posted",'A5.YE22'!D:D,'A0.LS'!E333),0)</f>
        <v>0</v>
      </c>
      <c r="BF333" s="936">
        <f t="shared" si="241"/>
        <v>86307382</v>
      </c>
      <c r="BG333" s="937"/>
      <c r="BH333" s="936">
        <f>ROUND(SUMIFS('911.XH.YE22'!T:T,'911.XH.YE22'!P:P,'A0.LS'!E333),0)</f>
        <v>0</v>
      </c>
      <c r="BI333" s="936">
        <f>ROUND(SUMIFS('A5.YE22'!J:J,'A5.YE22'!K:K,"XH",'A5.YE22'!L:L,"Posted",'A5.YE22'!D:D,'A0.LS'!E333),0)</f>
        <v>0</v>
      </c>
      <c r="BJ333" s="936">
        <f t="shared" si="242"/>
        <v>0</v>
      </c>
      <c r="BK333" s="937"/>
      <c r="BL333" s="936">
        <f>ROUND(SUMIFS('911.KCG.YE22'!T:T,'911.KCG.YE22'!P:P,'A0.LS'!E333),0)</f>
        <v>0</v>
      </c>
      <c r="BM333" s="936">
        <f>ROUND(SUMIFS('A5.YE22'!J:J,'A5.YE22'!K:K,'A0.LS'!$BM$5,'A5.YE22'!L:L,"Posted",'A5.YE22'!D:D,'A0.LS'!E333),0)</f>
        <v>0</v>
      </c>
      <c r="BN333" s="936">
        <f t="shared" si="243"/>
        <v>0</v>
      </c>
      <c r="BO333" s="937"/>
      <c r="BP333" s="938">
        <v>432843664</v>
      </c>
      <c r="BQ333" s="938">
        <f>ROUND(SUMIFS('A5.YE22'!J:J,'A5.YE22'!K:K,'A0.LS'!$BQ$5,'A5.YE22'!L:L,"Posted",'A5.YE22'!D:D,'A0.LS'!E333),0)</f>
        <v>0</v>
      </c>
      <c r="BR333" s="938">
        <f t="shared" si="244"/>
        <v>432843664</v>
      </c>
    </row>
    <row r="334" spans="2:70" ht="12.75">
      <c r="B334" s="939">
        <v>26</v>
      </c>
      <c r="C334" s="940" t="s">
        <v>2555</v>
      </c>
      <c r="D334" s="941" t="s">
        <v>2555</v>
      </c>
      <c r="E334" s="928" t="s">
        <v>422</v>
      </c>
      <c r="F334" s="928" t="s">
        <v>423</v>
      </c>
      <c r="G334" s="927" t="s">
        <v>2540</v>
      </c>
      <c r="H334" s="927" t="s">
        <v>2190</v>
      </c>
      <c r="I334" s="942">
        <f>SUMIFS('GL911.Cty Me.FY24'!T:T,'GL911.Cty Me.FY24'!H:H,'A0.LS'!E334)</f>
        <v>32820875</v>
      </c>
      <c r="J334" s="942">
        <f>ROUND(SUMIFS('A5.FY24'!K:K,'A5.FY24'!E:E,'A0.LS'!E334,'A5.FY24'!L:L,"Finhay",'A5.FY24'!M:M,"Posted"),0)</f>
        <v>0</v>
      </c>
      <c r="K334" s="942">
        <f>ROUND(SUMIFS('A5.FY24'!K:K,'A5.FY24'!E:E,'A0.LS'!E334,'A5.FY24'!L:L,"EY",'A5.FY24'!M:M,"Posted"),0)</f>
        <v>0</v>
      </c>
      <c r="L334" s="943">
        <f t="shared" si="232"/>
        <v>32820875</v>
      </c>
      <c r="M334" s="930"/>
      <c r="N334" s="944">
        <v>216260515</v>
      </c>
      <c r="O334" s="944">
        <v>0</v>
      </c>
      <c r="P334" s="944">
        <v>0</v>
      </c>
      <c r="Q334" s="945">
        <v>216260515</v>
      </c>
      <c r="R334" s="898"/>
      <c r="S334" s="848">
        <f t="shared" si="230"/>
        <v>-183439640</v>
      </c>
      <c r="T334" s="946">
        <f t="shared" si="231"/>
        <v>-0.84823454711554724</v>
      </c>
      <c r="U334" s="850"/>
      <c r="V334" s="850" t="s">
        <v>2450</v>
      </c>
      <c r="W334" s="850"/>
      <c r="X334" s="947" t="s">
        <v>2190</v>
      </c>
      <c r="Y334" s="947" t="s">
        <v>2540</v>
      </c>
      <c r="Z334" s="936">
        <f>ROUND(SUMIFS('GL911.CtyCon.FY24'!N:N,'GL911.CtyCon.FY24'!G:G,'A0.LS'!E334),0)</f>
        <v>0</v>
      </c>
      <c r="AA334" s="936">
        <f>ROUND(SUMIFS('A5.CTC FY24'!K:K,'A5.CTC FY24'!E:E,'A0.LS'!E334,'A5.CTC FY24'!A:A,'A0.LS'!$AA$5,'A5.CTC FY24'!L:L,"Finhay",'A5.CTC FY24'!M:M,"Posted"),0)</f>
        <v>0</v>
      </c>
      <c r="AB334" s="936">
        <f>ROUND(SUMIFS('A5.CTC FY24'!K:K,'A5.CTC FY24'!E:E,'A0.LS'!E334,'A5.CTC FY24'!A:A,'A0.LS'!$AB$5,'A5.CTC FY24'!L:L,"EY",'A5.CTC FY24'!M:M,"Posted"),0)</f>
        <v>0</v>
      </c>
      <c r="AC334" s="948">
        <f t="shared" si="233"/>
        <v>0</v>
      </c>
      <c r="AD334" s="930"/>
      <c r="AE334" s="936">
        <f>SUMIFS('GL911 VNSC FY24'!T:T,'GL911 VNSC FY24'!AG:AG,'A0.LS'!E334)</f>
        <v>769260652</v>
      </c>
      <c r="AF334" s="936">
        <f>SUMIFS('A5.CTC FY24'!K:K,'A5.CTC FY24'!E:E,'A0.LS'!E334,'A5.CTC FY24'!A:A,"VNSC",'A5.CTC FY24'!L:L,"VNSC",'A5.CTC FY24'!M:M,"Posted")</f>
        <v>0</v>
      </c>
      <c r="AG334" s="936">
        <f>ROUND(SUMIFS('A5.CTC FY24'!K:K,'A5.CTC FY24'!E:E,'A0.LS'!E334,'A5.CTC FY24'!A:A,"VNSC",'A5.CTC FY24'!L:L,"EY",'A5.CTC FY24'!M:M,"Posted"),0)</f>
        <v>0</v>
      </c>
      <c r="AH334" s="936">
        <f t="shared" si="234"/>
        <v>769260652</v>
      </c>
      <c r="AI334" s="930"/>
      <c r="AJ334" s="936">
        <f>ROUND(SUMIFS('GL911.KCG.FY24'!L:L,'GL911.KCG.FY24'!F:F,'A0.LS'!E334),0)</f>
        <v>0</v>
      </c>
      <c r="AK334" s="936">
        <f>ROUND(SUMIFS('A5.CTC FY24'!K:K,'A5.CTC FY24'!E:E,'A0.LS'!E334,'A5.CTC FY24'!A:A,'A0.LS'!$AK$5,'A5.CTC FY24'!L:L,"EY",'A5.CTC FY24'!M:M,"Posted"),0)</f>
        <v>0</v>
      </c>
      <c r="AL334" s="948">
        <f t="shared" si="235"/>
        <v>0</v>
      </c>
      <c r="AM334" s="930"/>
      <c r="AN334" s="949">
        <f t="shared" si="245"/>
        <v>769260652</v>
      </c>
      <c r="AO334" s="950">
        <f>ROUND(SUMIFS('A5.Consol FY24'!L:L,'A5.Consol FY24'!M:M,"EY",'A5.Consol FY24'!N:N,"Posted",'A5.Consol FY24'!B:B,'A0.LS'!$AO$5,'A5.Consol FY24'!F:F,'A0.LS'!E334),0)</f>
        <v>0</v>
      </c>
      <c r="AP334" s="949">
        <f t="shared" si="236"/>
        <v>769260652</v>
      </c>
      <c r="AQ334" s="930"/>
      <c r="AR334" s="936">
        <f>ROUND(SUMIFS('GL911.XH.FY24'!L:L,'GL911.XH.FY24'!F:F,'A0.LS'!E334),0)</f>
        <v>0</v>
      </c>
      <c r="AS334" s="936">
        <f>ROUND(SUMIFS('A5.CTC FY24'!K:K,'A5.CTC FY24'!E:E,'A0.LS'!E334,'A5.CTC FY24'!A:A,'A0.LS'!$AS$5,'A5.CTC FY24'!L:L,"EY",'A5.CTC FY24'!M:M,"Posted"),0)</f>
        <v>0</v>
      </c>
      <c r="AT334" s="948">
        <f t="shared" si="237"/>
        <v>0</v>
      </c>
      <c r="AU334" s="930"/>
      <c r="AV334" s="951">
        <f t="shared" si="238"/>
        <v>802081527</v>
      </c>
      <c r="AW334" s="952">
        <f>SUMIFS('A5.Consol FY24'!L:L,'A5.Consol FY24'!B:B,'A0.LS'!$AW$5,'A5.Consol FY24'!M:M,"EY",'A5.Consol FY24'!N:N,"Posted",'A5.Consol FY24'!F:F,'A0.LS'!E334)</f>
        <v>0</v>
      </c>
      <c r="AX334" s="951">
        <f t="shared" si="239"/>
        <v>802081527</v>
      </c>
      <c r="AY334" s="920"/>
      <c r="AZ334" s="936">
        <f>SUMIFS('911.CTC.YE22'!U:U,'911.CTC.YE22'!R:R,'A0.LS'!E334)</f>
        <v>400000</v>
      </c>
      <c r="BA334" s="936">
        <f>ROUND(SUMIFS('A5.YE22'!J:J,'A5.YE22'!K:K,'A0.LS'!$BA$5,'A5.YE22'!L:L,"Posted",'A5.YE22'!D:D,'A0.LS'!E334),0)</f>
        <v>0</v>
      </c>
      <c r="BB334" s="936">
        <f t="shared" si="240"/>
        <v>400000</v>
      </c>
      <c r="BC334" s="937"/>
      <c r="BD334" s="936">
        <f>ROUND(SUMIFS('911.VNSC.YE22'!R:R,'911.VNSC.YE22'!L:L,'A0.LS'!E334),0)</f>
        <v>0</v>
      </c>
      <c r="BE334" s="936">
        <f>ROUND(SUMIFS('A5.YE22'!J:J,'A5.YE22'!K:K,'A0.LS'!$BE$5,'A5.YE22'!L:L,"Posted",'A5.YE22'!D:D,'A0.LS'!E334),0)</f>
        <v>0</v>
      </c>
      <c r="BF334" s="936">
        <f t="shared" si="241"/>
        <v>0</v>
      </c>
      <c r="BG334" s="937"/>
      <c r="BH334" s="936">
        <f>ROUND(SUMIFS('911.XH.YE22'!T:T,'911.XH.YE22'!P:P,'A0.LS'!E334),0)</f>
        <v>0</v>
      </c>
      <c r="BI334" s="936">
        <f>ROUND(SUMIFS('A5.YE22'!J:J,'A5.YE22'!K:K,"XH",'A5.YE22'!L:L,"Posted",'A5.YE22'!D:D,'A0.LS'!E334),0)</f>
        <v>0</v>
      </c>
      <c r="BJ334" s="936">
        <f t="shared" si="242"/>
        <v>0</v>
      </c>
      <c r="BK334" s="937"/>
      <c r="BL334" s="936">
        <f>ROUND(SUMIFS('911.KCG.YE22'!T:T,'911.KCG.YE22'!P:P,'A0.LS'!E334),0)</f>
        <v>0</v>
      </c>
      <c r="BM334" s="936">
        <f>ROUND(SUMIFS('A5.YE22'!J:J,'A5.YE22'!K:K,'A0.LS'!$BM$5,'A5.YE22'!L:L,"Posted",'A5.YE22'!D:D,'A0.LS'!E334),0)</f>
        <v>0</v>
      </c>
      <c r="BN334" s="936">
        <f t="shared" si="243"/>
        <v>0</v>
      </c>
      <c r="BO334" s="937"/>
      <c r="BP334" s="938">
        <v>567745841</v>
      </c>
      <c r="BQ334" s="938">
        <f>ROUND(SUMIFS('A5.YE22'!J:J,'A5.YE22'!K:K,'A0.LS'!$BQ$5,'A5.YE22'!L:L,"Posted",'A5.YE22'!D:D,'A0.LS'!E334),0)</f>
        <v>0</v>
      </c>
      <c r="BR334" s="938">
        <f t="shared" si="244"/>
        <v>567745841</v>
      </c>
    </row>
    <row r="335" spans="2:70" s="850" customFormat="1" ht="12.6" customHeight="1">
      <c r="B335" s="939">
        <v>26</v>
      </c>
      <c r="C335" s="940" t="s">
        <v>2557</v>
      </c>
      <c r="D335" s="941" t="s">
        <v>2557</v>
      </c>
      <c r="E335" s="928" t="s">
        <v>424</v>
      </c>
      <c r="F335" s="928" t="s">
        <v>288</v>
      </c>
      <c r="G335" s="927" t="s">
        <v>2540</v>
      </c>
      <c r="H335" s="927" t="s">
        <v>2190</v>
      </c>
      <c r="I335" s="942">
        <f>SUMIFS('GL911.Cty Me.FY24'!T:T,'GL911.Cty Me.FY24'!H:H,'A0.LS'!E335)</f>
        <v>223301863</v>
      </c>
      <c r="J335" s="942">
        <f>ROUND(SUMIFS('A5.FY24'!K:K,'A5.FY24'!E:E,'A0.LS'!E335,'A5.FY24'!L:L,"Finhay",'A5.FY24'!M:M,"Posted"),0)</f>
        <v>30122</v>
      </c>
      <c r="K335" s="942">
        <f>ROUND(SUMIFS('A5.FY24'!K:K,'A5.FY24'!E:E,'A0.LS'!E335,'A5.FY24'!L:L,"EY",'A5.FY24'!M:M,"Posted"),0)</f>
        <v>0</v>
      </c>
      <c r="L335" s="943">
        <f t="shared" si="232"/>
        <v>223331985</v>
      </c>
      <c r="M335" s="930"/>
      <c r="N335" s="944">
        <v>1518185854</v>
      </c>
      <c r="O335" s="944">
        <v>76472599</v>
      </c>
      <c r="P335" s="944">
        <v>0</v>
      </c>
      <c r="Q335" s="945">
        <v>1594658453</v>
      </c>
      <c r="R335" s="898"/>
      <c r="S335" s="848">
        <f t="shared" si="230"/>
        <v>-1371326468</v>
      </c>
      <c r="T335" s="946">
        <f t="shared" si="231"/>
        <v>-0.85994995694541998</v>
      </c>
      <c r="V335" s="850" t="s">
        <v>2435</v>
      </c>
      <c r="X335" s="947" t="s">
        <v>2190</v>
      </c>
      <c r="Y335" s="947" t="s">
        <v>2540</v>
      </c>
      <c r="Z335" s="936">
        <f>ROUND(SUMIFS('GL911.CtyCon.FY24'!N:N,'GL911.CtyCon.FY24'!G:G,'A0.LS'!E335),0)</f>
        <v>0</v>
      </c>
      <c r="AA335" s="936">
        <f>ROUND(SUMIFS('A5.CTC FY24'!K:K,'A5.CTC FY24'!E:E,'A0.LS'!E335,'A5.CTC FY24'!A:A,'A0.LS'!$AA$5,'A5.CTC FY24'!L:L,"Finhay",'A5.CTC FY24'!M:M,"Posted"),0)</f>
        <v>0</v>
      </c>
      <c r="AB335" s="936">
        <f>ROUND(SUMIFS('A5.CTC FY24'!K:K,'A5.CTC FY24'!E:E,'A0.LS'!E335,'A5.CTC FY24'!A:A,'A0.LS'!$AB$5,'A5.CTC FY24'!L:L,"EY",'A5.CTC FY24'!M:M,"Posted"),0)</f>
        <v>0</v>
      </c>
      <c r="AC335" s="948">
        <f t="shared" si="233"/>
        <v>0</v>
      </c>
      <c r="AD335" s="930"/>
      <c r="AE335" s="936">
        <f>SUMIFS('GL911 VNSC FY24'!T:T,'GL911 VNSC FY24'!AG:AG,'A0.LS'!E335)</f>
        <v>4454466235</v>
      </c>
      <c r="AF335" s="936">
        <f>SUMIFS('A5.CTC FY24'!K:K,'A5.CTC FY24'!E:E,'A0.LS'!E335,'A5.CTC FY24'!A:A,"VNSC",'A5.CTC FY24'!L:L,"VNSC",'A5.CTC FY24'!M:M,"Posted")</f>
        <v>0</v>
      </c>
      <c r="AG335" s="936">
        <f>ROUND(SUMIFS('A5.CTC FY24'!K:K,'A5.CTC FY24'!E:E,'A0.LS'!E335,'A5.CTC FY24'!A:A,"VNSC",'A5.CTC FY24'!L:L,"EY",'A5.CTC FY24'!M:M,"Posted"),0)</f>
        <v>0</v>
      </c>
      <c r="AH335" s="936">
        <f t="shared" si="234"/>
        <v>4454466235</v>
      </c>
      <c r="AI335" s="930"/>
      <c r="AJ335" s="936">
        <f>ROUND(SUMIFS('GL911.KCG.FY24'!L:L,'GL911.KCG.FY24'!F:F,'A0.LS'!E335),0)</f>
        <v>0</v>
      </c>
      <c r="AK335" s="936">
        <f>ROUND(SUMIFS('A5.CTC FY24'!K:K,'A5.CTC FY24'!E:E,'A0.LS'!E335,'A5.CTC FY24'!A:A,'A0.LS'!$AK$5,'A5.CTC FY24'!L:L,"EY",'A5.CTC FY24'!M:M,"Posted"),0)</f>
        <v>0</v>
      </c>
      <c r="AL335" s="948">
        <f t="shared" si="235"/>
        <v>0</v>
      </c>
      <c r="AM335" s="930"/>
      <c r="AN335" s="949">
        <f t="shared" si="245"/>
        <v>4550466235</v>
      </c>
      <c r="AO335" s="950">
        <f>ROUND(SUMIFS('A5.Consol FY24'!L:L,'A5.Consol FY24'!M:M,"EY",'A5.Consol FY24'!N:N,"Posted",'A5.Consol FY24'!B:B,'A0.LS'!$AO$5,'A5.Consol FY24'!F:F,'A0.LS'!E335),0)</f>
        <v>0</v>
      </c>
      <c r="AP335" s="949">
        <f t="shared" si="236"/>
        <v>4550466235</v>
      </c>
      <c r="AQ335" s="930"/>
      <c r="AR335" s="936">
        <f>ROUND(SUMIFS('GL911.XH.FY24'!L:L,'GL911.XH.FY24'!F:F,'A0.LS'!E335),0)</f>
        <v>96000000</v>
      </c>
      <c r="AS335" s="936">
        <f>ROUND(SUMIFS('A5.CTC FY24'!K:K,'A5.CTC FY24'!E:E,'A0.LS'!E335,'A5.CTC FY24'!A:A,'A0.LS'!$AS$5,'A5.CTC FY24'!L:L,"EY",'A5.CTC FY24'!M:M,"Posted"),0)</f>
        <v>0</v>
      </c>
      <c r="AT335" s="948">
        <f t="shared" si="237"/>
        <v>96000000</v>
      </c>
      <c r="AU335" s="930"/>
      <c r="AV335" s="951">
        <f>ROUND(SUM(AP335,AL335,L335),0)</f>
        <v>4773798220</v>
      </c>
      <c r="AW335" s="952">
        <f>SUMIFS('A5.Consol FY24'!L:L,'A5.Consol FY24'!B:B,'A0.LS'!$AW$5,'A5.Consol FY24'!M:M,"EY",'A5.Consol FY24'!N:N,"Posted",'A5.Consol FY24'!F:F,'A0.LS'!E335)</f>
        <v>0</v>
      </c>
      <c r="AX335" s="951">
        <f t="shared" si="239"/>
        <v>4773798220</v>
      </c>
      <c r="AY335" s="920"/>
      <c r="AZ335" s="936">
        <f>SUMIFS('911.CTC.YE22'!U:U,'911.CTC.YE22'!R:R,'A0.LS'!E335)</f>
        <v>0</v>
      </c>
      <c r="BA335" s="936">
        <f>ROUND(SUMIFS('A5.YE22'!J:J,'A5.YE22'!K:K,'A0.LS'!$BA$5,'A5.YE22'!L:L,"Posted",'A5.YE22'!D:D,'A0.LS'!E335),0)</f>
        <v>0</v>
      </c>
      <c r="BB335" s="936">
        <f t="shared" si="240"/>
        <v>0</v>
      </c>
      <c r="BC335" s="937"/>
      <c r="BD335" s="936">
        <f>ROUND(SUMIFS('911.VNSC.YE22'!R:R,'911.VNSC.YE22'!L:L,'A0.LS'!E335),0)</f>
        <v>467421511</v>
      </c>
      <c r="BE335" s="936">
        <f>ROUND(SUMIFS('A5.YE22'!J:J,'A5.YE22'!K:K,'A0.LS'!$BE$5,'A5.YE22'!L:L,"Posted",'A5.YE22'!D:D,'A0.LS'!E335),0)</f>
        <v>0</v>
      </c>
      <c r="BF335" s="936">
        <f t="shared" si="241"/>
        <v>467421511</v>
      </c>
      <c r="BG335" s="937"/>
      <c r="BH335" s="936">
        <f>ROUND(SUMIFS('911.XH.YE22'!T:T,'911.XH.YE22'!P:P,'A0.LS'!E335),0)</f>
        <v>24000000</v>
      </c>
      <c r="BI335" s="936">
        <f>ROUND(SUMIFS('A5.YE22'!J:J,'A5.YE22'!K:K,"XH",'A5.YE22'!L:L,"Posted",'A5.YE22'!D:D,'A0.LS'!E335),0)</f>
        <v>0</v>
      </c>
      <c r="BJ335" s="936">
        <f t="shared" si="242"/>
        <v>24000000</v>
      </c>
      <c r="BK335" s="937"/>
      <c r="BL335" s="936">
        <f>ROUND(SUMIFS('911.KCG.YE22'!T:T,'911.KCG.YE22'!P:P,'A0.LS'!E335),0)</f>
        <v>0</v>
      </c>
      <c r="BM335" s="936">
        <f>ROUND(SUMIFS('A5.YE22'!J:J,'A5.YE22'!K:K,'A0.LS'!$BM$5,'A5.YE22'!L:L,"Posted",'A5.YE22'!D:D,'A0.LS'!E335),0)</f>
        <v>0</v>
      </c>
      <c r="BN335" s="936">
        <f t="shared" si="243"/>
        <v>0</v>
      </c>
      <c r="BO335" s="937"/>
      <c r="BP335" s="938">
        <v>2581994384</v>
      </c>
      <c r="BQ335" s="938">
        <f>ROUND(SUMIFS('A5.YE22'!J:J,'A5.YE22'!K:K,'A0.LS'!$BQ$5,'A5.YE22'!L:L,"Posted",'A5.YE22'!D:D,'A0.LS'!E335),0)</f>
        <v>0</v>
      </c>
      <c r="BR335" s="938">
        <f t="shared" si="244"/>
        <v>2581994384</v>
      </c>
    </row>
    <row r="336" spans="2:70" ht="12.75">
      <c r="B336" s="939">
        <v>26</v>
      </c>
      <c r="C336" s="940" t="s">
        <v>2552</v>
      </c>
      <c r="D336" s="941" t="s">
        <v>2552</v>
      </c>
      <c r="E336" s="928" t="s">
        <v>425</v>
      </c>
      <c r="F336" s="928" t="s">
        <v>2558</v>
      </c>
      <c r="G336" s="927" t="s">
        <v>2540</v>
      </c>
      <c r="H336" s="927" t="s">
        <v>2190</v>
      </c>
      <c r="I336" s="942">
        <f>SUMIFS('GL911.Cty Me.FY24'!T:T,'GL911.Cty Me.FY24'!H:H,'A0.LS'!E336)</f>
        <v>55111033</v>
      </c>
      <c r="J336" s="942">
        <f>ROUND(SUMIFS('A5.FY24'!K:K,'A5.FY24'!E:E,'A0.LS'!E336,'A5.FY24'!L:L,"Finhay",'A5.FY24'!M:M,"Posted"),0)</f>
        <v>0</v>
      </c>
      <c r="K336" s="942">
        <f>ROUND(SUMIFS('A5.FY24'!K:K,'A5.FY24'!E:E,'A0.LS'!E336,'A5.FY24'!L:L,"EY",'A5.FY24'!M:M,"Posted"),0)</f>
        <v>0</v>
      </c>
      <c r="L336" s="943">
        <f t="shared" si="232"/>
        <v>55111033</v>
      </c>
      <c r="M336" s="930"/>
      <c r="N336" s="944">
        <v>280428553</v>
      </c>
      <c r="O336" s="944">
        <v>14125478</v>
      </c>
      <c r="P336" s="944">
        <v>0</v>
      </c>
      <c r="Q336" s="945">
        <v>294554031</v>
      </c>
      <c r="R336" s="898"/>
      <c r="S336" s="848">
        <f t="shared" si="230"/>
        <v>-239442998</v>
      </c>
      <c r="T336" s="946">
        <f t="shared" si="231"/>
        <v>-0.81290008894836685</v>
      </c>
      <c r="U336" s="850"/>
      <c r="V336" s="850" t="s">
        <v>2432</v>
      </c>
      <c r="W336" s="850"/>
      <c r="X336" s="947" t="s">
        <v>2190</v>
      </c>
      <c r="Y336" s="947" t="s">
        <v>2540</v>
      </c>
      <c r="Z336" s="936">
        <f>ROUND(SUMIFS('GL911.CtyCon.FY24'!N:N,'GL911.CtyCon.FY24'!G:G,'A0.LS'!E336),0)</f>
        <v>0</v>
      </c>
      <c r="AA336" s="936">
        <f>ROUND(SUMIFS('A5.CTC FY24'!K:K,'A5.CTC FY24'!E:E,'A0.LS'!E336,'A5.CTC FY24'!A:A,'A0.LS'!$AA$5,'A5.CTC FY24'!L:L,"Finhay",'A5.CTC FY24'!M:M,"Posted"),0)</f>
        <v>0</v>
      </c>
      <c r="AB336" s="936">
        <f>ROUND(SUMIFS('A5.CTC FY24'!K:K,'A5.CTC FY24'!E:E,'A0.LS'!E336,'A5.CTC FY24'!A:A,'A0.LS'!$AB$5,'A5.CTC FY24'!L:L,"EY",'A5.CTC FY24'!M:M,"Posted"),0)</f>
        <v>0</v>
      </c>
      <c r="AC336" s="948">
        <f t="shared" si="233"/>
        <v>0</v>
      </c>
      <c r="AD336" s="930"/>
      <c r="AE336" s="936">
        <f>SUMIFS('GL911 VNSC FY24'!T:T,'GL911 VNSC FY24'!AG:AG,'A0.LS'!E336)</f>
        <v>0</v>
      </c>
      <c r="AF336" s="936">
        <f>SUMIFS('A5.CTC FY24'!K:K,'A5.CTC FY24'!E:E,'A0.LS'!E336,'A5.CTC FY24'!A:A,"VNSC",'A5.CTC FY24'!L:L,"VNSC",'A5.CTC FY24'!M:M,"Posted")</f>
        <v>0</v>
      </c>
      <c r="AG336" s="936">
        <f>ROUND(SUMIFS('A5.CTC FY24'!K:K,'A5.CTC FY24'!E:E,'A0.LS'!E336,'A5.CTC FY24'!A:A,"VNSC",'A5.CTC FY24'!L:L,"EY",'A5.CTC FY24'!M:M,"Posted"),0)</f>
        <v>0</v>
      </c>
      <c r="AH336" s="936">
        <f t="shared" si="234"/>
        <v>0</v>
      </c>
      <c r="AI336" s="930"/>
      <c r="AJ336" s="936">
        <f>ROUND(SUMIFS('GL911.KCG.FY24'!L:L,'GL911.KCG.FY24'!F:F,'A0.LS'!E336),0)</f>
        <v>0</v>
      </c>
      <c r="AK336" s="936">
        <f>ROUND(SUMIFS('A5.CTC FY24'!K:K,'A5.CTC FY24'!E:E,'A0.LS'!E336,'A5.CTC FY24'!A:A,'A0.LS'!$AK$5,'A5.CTC FY24'!L:L,"EY",'A5.CTC FY24'!M:M,"Posted"),0)</f>
        <v>0</v>
      </c>
      <c r="AL336" s="948">
        <f t="shared" si="235"/>
        <v>0</v>
      </c>
      <c r="AM336" s="930"/>
      <c r="AN336" s="949">
        <f t="shared" si="245"/>
        <v>0</v>
      </c>
      <c r="AO336" s="950">
        <f>ROUND(SUMIFS('A5.Consol FY24'!L:L,'A5.Consol FY24'!M:M,"EY",'A5.Consol FY24'!N:N,"Posted",'A5.Consol FY24'!B:B,'A0.LS'!$AO$5,'A5.Consol FY24'!F:F,'A0.LS'!E336),0)</f>
        <v>0</v>
      </c>
      <c r="AP336" s="949">
        <f t="shared" si="236"/>
        <v>0</v>
      </c>
      <c r="AQ336" s="930"/>
      <c r="AR336" s="936">
        <f>ROUND(SUMIFS('GL911.XH.FY24'!L:L,'GL911.XH.FY24'!F:F,'A0.LS'!E336),0)</f>
        <v>0</v>
      </c>
      <c r="AS336" s="936">
        <f>ROUND(SUMIFS('A5.CTC FY24'!K:K,'A5.CTC FY24'!E:E,'A0.LS'!E336,'A5.CTC FY24'!A:A,'A0.LS'!$AS$5,'A5.CTC FY24'!L:L,"EY",'A5.CTC FY24'!M:M,"Posted"),0)</f>
        <v>0</v>
      </c>
      <c r="AT336" s="948">
        <f t="shared" si="237"/>
        <v>0</v>
      </c>
      <c r="AU336" s="930"/>
      <c r="AV336" s="951">
        <f t="shared" si="238"/>
        <v>55111033</v>
      </c>
      <c r="AW336" s="952">
        <f>SUMIFS('A5.Consol FY24'!L:L,'A5.Consol FY24'!B:B,'A0.LS'!$AW$5,'A5.Consol FY24'!M:M,"EY",'A5.Consol FY24'!N:N,"Posted",'A5.Consol FY24'!F:F,'A0.LS'!E336)</f>
        <v>0</v>
      </c>
      <c r="AX336" s="951">
        <f t="shared" si="239"/>
        <v>55111033</v>
      </c>
      <c r="AY336" s="920"/>
      <c r="AZ336" s="936">
        <f>SUMIFS('911.CTC.YE22'!U:U,'911.CTC.YE22'!R:R,'A0.LS'!E336)</f>
        <v>0</v>
      </c>
      <c r="BA336" s="936">
        <f>ROUND(SUMIFS('A5.YE22'!J:J,'A5.YE22'!K:K,'A0.LS'!$BA$5,'A5.YE22'!L:L,"Posted",'A5.YE22'!D:D,'A0.LS'!E336),0)</f>
        <v>0</v>
      </c>
      <c r="BB336" s="936">
        <f t="shared" si="240"/>
        <v>0</v>
      </c>
      <c r="BC336" s="937"/>
      <c r="BD336" s="936">
        <f>ROUND(SUMIFS('911.VNSC.YE22'!R:R,'911.VNSC.YE22'!L:L,'A0.LS'!E336),0)</f>
        <v>0</v>
      </c>
      <c r="BE336" s="936">
        <f>ROUND(SUMIFS('A5.YE22'!J:J,'A5.YE22'!K:K,'A0.LS'!$BE$5,'A5.YE22'!L:L,"Posted",'A5.YE22'!D:D,'A0.LS'!E336),0)</f>
        <v>0</v>
      </c>
      <c r="BF336" s="936">
        <f t="shared" si="241"/>
        <v>0</v>
      </c>
      <c r="BG336" s="937"/>
      <c r="BH336" s="936">
        <f>ROUND(SUMIFS('911.XH.YE22'!T:T,'911.XH.YE22'!P:P,'A0.LS'!E336),0)</f>
        <v>0</v>
      </c>
      <c r="BI336" s="936">
        <f>ROUND(SUMIFS('A5.YE22'!J:J,'A5.YE22'!K:K,"XH",'A5.YE22'!L:L,"Posted",'A5.YE22'!D:D,'A0.LS'!E336),0)</f>
        <v>0</v>
      </c>
      <c r="BJ336" s="936">
        <f t="shared" si="242"/>
        <v>0</v>
      </c>
      <c r="BK336" s="937"/>
      <c r="BL336" s="936">
        <f>ROUND(SUMIFS('911.KCG.YE22'!T:T,'911.KCG.YE22'!P:P,'A0.LS'!E336),0)</f>
        <v>0</v>
      </c>
      <c r="BM336" s="936">
        <f>ROUND(SUMIFS('A5.YE22'!J:J,'A5.YE22'!K:K,'A0.LS'!$BM$5,'A5.YE22'!L:L,"Posted",'A5.YE22'!D:D,'A0.LS'!E336),0)</f>
        <v>0</v>
      </c>
      <c r="BN336" s="936">
        <f t="shared" si="243"/>
        <v>0</v>
      </c>
      <c r="BO336" s="937"/>
      <c r="BP336" s="938">
        <v>294554031</v>
      </c>
      <c r="BQ336" s="938">
        <f>ROUND(SUMIFS('A5.YE22'!J:J,'A5.YE22'!K:K,'A0.LS'!$BQ$5,'A5.YE22'!L:L,"Posted",'A5.YE22'!D:D,'A0.LS'!E336),0)</f>
        <v>0</v>
      </c>
      <c r="BR336" s="938">
        <f t="shared" si="244"/>
        <v>294554031</v>
      </c>
    </row>
    <row r="337" spans="2:70" ht="12.6" customHeight="1">
      <c r="B337" s="939">
        <v>26</v>
      </c>
      <c r="C337" s="940" t="s">
        <v>2555</v>
      </c>
      <c r="D337" s="941" t="s">
        <v>2555</v>
      </c>
      <c r="E337" s="928" t="s">
        <v>427</v>
      </c>
      <c r="F337" s="928" t="s">
        <v>428</v>
      </c>
      <c r="G337" s="927" t="s">
        <v>2540</v>
      </c>
      <c r="H337" s="927" t="s">
        <v>2190</v>
      </c>
      <c r="I337" s="942">
        <f>SUMIFS('GL911.Cty Me.FY24'!T:T,'GL911.Cty Me.FY24'!H:H,'A0.LS'!E337)</f>
        <v>125224893</v>
      </c>
      <c r="J337" s="942">
        <f>ROUND(SUMIFS('A5.FY24'!K:K,'A5.FY24'!E:E,'A0.LS'!E337,'A5.FY24'!L:L,"Finhay",'A5.FY24'!M:M,"Posted"),0)</f>
        <v>0</v>
      </c>
      <c r="K337" s="942">
        <f>ROUND(SUMIFS('A5.FY24'!K:K,'A5.FY24'!E:E,'A0.LS'!E337,'A5.FY24'!L:L,"EY",'A5.FY24'!M:M,"Posted"),0)</f>
        <v>0</v>
      </c>
      <c r="L337" s="943">
        <f t="shared" si="232"/>
        <v>125224893</v>
      </c>
      <c r="M337" s="930"/>
      <c r="N337" s="944">
        <v>352566446</v>
      </c>
      <c r="O337" s="944">
        <v>0</v>
      </c>
      <c r="P337" s="944">
        <v>0</v>
      </c>
      <c r="Q337" s="945">
        <v>352566446</v>
      </c>
      <c r="R337" s="898"/>
      <c r="S337" s="848">
        <f t="shared" si="230"/>
        <v>-227341553</v>
      </c>
      <c r="T337" s="946">
        <f t="shared" si="231"/>
        <v>-0.64481902795707335</v>
      </c>
      <c r="U337" s="850"/>
      <c r="V337" s="850" t="s">
        <v>2450</v>
      </c>
      <c r="W337" s="850"/>
      <c r="X337" s="947" t="s">
        <v>2190</v>
      </c>
      <c r="Y337" s="947" t="s">
        <v>2540</v>
      </c>
      <c r="Z337" s="936">
        <f>ROUND(SUMIFS('GL911.CtyCon.FY24'!N:N,'GL911.CtyCon.FY24'!G:G,'A0.LS'!E337),0)</f>
        <v>0</v>
      </c>
      <c r="AA337" s="936">
        <f>ROUND(SUMIFS('A5.CTC FY24'!K:K,'A5.CTC FY24'!E:E,'A0.LS'!E337,'A5.CTC FY24'!A:A,'A0.LS'!$AA$5,'A5.CTC FY24'!L:L,"Finhay",'A5.CTC FY24'!M:M,"Posted"),0)</f>
        <v>0</v>
      </c>
      <c r="AB337" s="936">
        <f>ROUND(SUMIFS('A5.CTC FY24'!K:K,'A5.CTC FY24'!E:E,'A0.LS'!E337,'A5.CTC FY24'!A:A,'A0.LS'!$AB$5,'A5.CTC FY24'!L:L,"EY",'A5.CTC FY24'!M:M,"Posted"),0)</f>
        <v>0</v>
      </c>
      <c r="AC337" s="948">
        <f t="shared" si="233"/>
        <v>0</v>
      </c>
      <c r="AD337" s="930"/>
      <c r="AE337" s="936">
        <f>SUMIFS('GL911 VNSC FY24'!T:T,'GL911 VNSC FY24'!AG:AG,'A0.LS'!E337)</f>
        <v>0</v>
      </c>
      <c r="AF337" s="936">
        <f>SUMIFS('A5.CTC FY24'!K:K,'A5.CTC FY24'!E:E,'A0.LS'!E337,'A5.CTC FY24'!A:A,"VNSC",'A5.CTC FY24'!L:L,"VNSC",'A5.CTC FY24'!M:M,"Posted")</f>
        <v>0</v>
      </c>
      <c r="AG337" s="936">
        <f>ROUND(SUMIFS('A5.CTC FY24'!K:K,'A5.CTC FY24'!E:E,'A0.LS'!E337,'A5.CTC FY24'!A:A,"VNSC",'A5.CTC FY24'!L:L,"EY",'A5.CTC FY24'!M:M,"Posted"),0)</f>
        <v>0</v>
      </c>
      <c r="AH337" s="936">
        <f t="shared" si="234"/>
        <v>0</v>
      </c>
      <c r="AI337" s="930"/>
      <c r="AJ337" s="936">
        <f>ROUND(SUMIFS('GL911.KCG.FY24'!L:L,'GL911.KCG.FY24'!F:F,'A0.LS'!E337),0)</f>
        <v>0</v>
      </c>
      <c r="AK337" s="936">
        <f>ROUND(SUMIFS('A5.CTC FY24'!K:K,'A5.CTC FY24'!E:E,'A0.LS'!E337,'A5.CTC FY24'!A:A,'A0.LS'!$AK$5,'A5.CTC FY24'!L:L,"EY",'A5.CTC FY24'!M:M,"Posted"),0)</f>
        <v>0</v>
      </c>
      <c r="AL337" s="948">
        <f t="shared" si="235"/>
        <v>0</v>
      </c>
      <c r="AM337" s="930"/>
      <c r="AN337" s="949">
        <f t="shared" si="245"/>
        <v>0</v>
      </c>
      <c r="AO337" s="950">
        <f>ROUND(SUMIFS('A5.Consol FY24'!L:L,'A5.Consol FY24'!M:M,"EY",'A5.Consol FY24'!N:N,"Posted",'A5.Consol FY24'!B:B,'A0.LS'!$AO$5,'A5.Consol FY24'!F:F,'A0.LS'!E337),0)</f>
        <v>0</v>
      </c>
      <c r="AP337" s="949">
        <f t="shared" si="236"/>
        <v>0</v>
      </c>
      <c r="AQ337" s="930"/>
      <c r="AR337" s="936">
        <f>ROUND(SUMIFS('GL911.XH.FY24'!L:L,'GL911.XH.FY24'!F:F,'A0.LS'!E337),0)</f>
        <v>0</v>
      </c>
      <c r="AS337" s="936">
        <f>ROUND(SUMIFS('A5.CTC FY24'!K:K,'A5.CTC FY24'!E:E,'A0.LS'!E337,'A5.CTC FY24'!A:A,'A0.LS'!$AS$5,'A5.CTC FY24'!L:L,"EY",'A5.CTC FY24'!M:M,"Posted"),0)</f>
        <v>0</v>
      </c>
      <c r="AT337" s="948">
        <f t="shared" si="237"/>
        <v>0</v>
      </c>
      <c r="AU337" s="930"/>
      <c r="AV337" s="951">
        <f t="shared" si="238"/>
        <v>125224893</v>
      </c>
      <c r="AW337" s="952">
        <f>SUMIFS('A5.Consol FY24'!L:L,'A5.Consol FY24'!B:B,'A0.LS'!$AW$5,'A5.Consol FY24'!M:M,"EY",'A5.Consol FY24'!N:N,"Posted",'A5.Consol FY24'!F:F,'A0.LS'!E337)</f>
        <v>0</v>
      </c>
      <c r="AX337" s="951">
        <f t="shared" si="239"/>
        <v>125224893</v>
      </c>
      <c r="AY337" s="920"/>
      <c r="AZ337" s="936">
        <f>SUMIFS('911.CTC.YE22'!U:U,'911.CTC.YE22'!R:R,'A0.LS'!E337)</f>
        <v>0</v>
      </c>
      <c r="BA337" s="936">
        <f>ROUND(SUMIFS('A5.YE22'!J:J,'A5.YE22'!K:K,'A0.LS'!$BA$5,'A5.YE22'!L:L,"Posted",'A5.YE22'!D:D,'A0.LS'!E337),0)</f>
        <v>0</v>
      </c>
      <c r="BB337" s="936">
        <f t="shared" si="240"/>
        <v>0</v>
      </c>
      <c r="BC337" s="937"/>
      <c r="BD337" s="936">
        <f>ROUND(SUMIFS('911.VNSC.YE22'!R:R,'911.VNSC.YE22'!L:L,'A0.LS'!E337),0)</f>
        <v>0</v>
      </c>
      <c r="BE337" s="936">
        <f>ROUND(SUMIFS('A5.YE22'!J:J,'A5.YE22'!K:K,'A0.LS'!$BE$5,'A5.YE22'!L:L,"Posted",'A5.YE22'!D:D,'A0.LS'!E337),0)</f>
        <v>0</v>
      </c>
      <c r="BF337" s="936">
        <f t="shared" si="241"/>
        <v>0</v>
      </c>
      <c r="BG337" s="937"/>
      <c r="BH337" s="936">
        <f>ROUND(SUMIFS('911.XH.YE22'!T:T,'911.XH.YE22'!P:P,'A0.LS'!E337),0)</f>
        <v>0</v>
      </c>
      <c r="BI337" s="936">
        <f>ROUND(SUMIFS('A5.YE22'!J:J,'A5.YE22'!K:K,"XH",'A5.YE22'!L:L,"Posted",'A5.YE22'!D:D,'A0.LS'!E337),0)</f>
        <v>0</v>
      </c>
      <c r="BJ337" s="936">
        <f t="shared" si="242"/>
        <v>0</v>
      </c>
      <c r="BK337" s="937"/>
      <c r="BL337" s="936">
        <f>ROUND(SUMIFS('911.KCG.YE22'!T:T,'911.KCG.YE22'!P:P,'A0.LS'!E337),0)</f>
        <v>0</v>
      </c>
      <c r="BM337" s="936">
        <f>ROUND(SUMIFS('A5.YE22'!J:J,'A5.YE22'!K:K,'A0.LS'!$BM$5,'A5.YE22'!L:L,"Posted",'A5.YE22'!D:D,'A0.LS'!E337),0)</f>
        <v>0</v>
      </c>
      <c r="BN337" s="936">
        <f t="shared" si="243"/>
        <v>0</v>
      </c>
      <c r="BO337" s="937"/>
      <c r="BP337" s="938">
        <v>352566446</v>
      </c>
      <c r="BQ337" s="938">
        <f>ROUND(SUMIFS('A5.YE22'!J:J,'A5.YE22'!K:K,'A0.LS'!$BQ$5,'A5.YE22'!L:L,"Posted",'A5.YE22'!D:D,'A0.LS'!E337),0)</f>
        <v>0</v>
      </c>
      <c r="BR337" s="938">
        <f t="shared" si="244"/>
        <v>352566446</v>
      </c>
    </row>
    <row r="338" spans="2:70" ht="12.75">
      <c r="B338" s="939">
        <v>26</v>
      </c>
      <c r="C338" s="940" t="s">
        <v>2555</v>
      </c>
      <c r="D338" s="941" t="s">
        <v>2555</v>
      </c>
      <c r="E338" s="928" t="s">
        <v>429</v>
      </c>
      <c r="F338" s="928" t="s">
        <v>430</v>
      </c>
      <c r="G338" s="927" t="s">
        <v>2540</v>
      </c>
      <c r="H338" s="927" t="s">
        <v>2190</v>
      </c>
      <c r="I338" s="942">
        <f>SUMIFS('GL911.Cty Me.FY24'!T:T,'GL911.Cty Me.FY24'!H:H,'A0.LS'!E338)</f>
        <v>0</v>
      </c>
      <c r="J338" s="942">
        <f>ROUND(SUMIFS('A5.FY24'!K:K,'A5.FY24'!E:E,'A0.LS'!E338,'A5.FY24'!L:L,"Finhay",'A5.FY24'!M:M,"Posted"),0)</f>
        <v>0</v>
      </c>
      <c r="K338" s="942">
        <f>ROUND(SUMIFS('A5.FY24'!K:K,'A5.FY24'!E:E,'A0.LS'!E338,'A5.FY24'!L:L,"EY",'A5.FY24'!M:M,"Posted"),0)</f>
        <v>0</v>
      </c>
      <c r="L338" s="943">
        <f t="shared" si="232"/>
        <v>0</v>
      </c>
      <c r="M338" s="930"/>
      <c r="N338" s="944">
        <v>51997500</v>
      </c>
      <c r="O338" s="944">
        <v>2619168</v>
      </c>
      <c r="P338" s="944">
        <v>0</v>
      </c>
      <c r="Q338" s="945">
        <v>54616668</v>
      </c>
      <c r="R338" s="898"/>
      <c r="S338" s="848">
        <f t="shared" si="230"/>
        <v>-54616668</v>
      </c>
      <c r="T338" s="946">
        <f t="shared" si="231"/>
        <v>-1</v>
      </c>
      <c r="U338" s="850"/>
      <c r="V338" s="850" t="s">
        <v>2450</v>
      </c>
      <c r="W338" s="850"/>
      <c r="X338" s="947" t="s">
        <v>2190</v>
      </c>
      <c r="Y338" s="947" t="s">
        <v>2540</v>
      </c>
      <c r="Z338" s="936">
        <f>ROUND(SUMIFS('GL911.CtyCon.FY24'!N:N,'GL911.CtyCon.FY24'!G:G,'A0.LS'!E338),0)</f>
        <v>0</v>
      </c>
      <c r="AA338" s="936">
        <f>ROUND(SUMIFS('A5.CTC FY24'!K:K,'A5.CTC FY24'!E:E,'A0.LS'!E338,'A5.CTC FY24'!A:A,'A0.LS'!$AA$5,'A5.CTC FY24'!L:L,"Finhay",'A5.CTC FY24'!M:M,"Posted"),0)</f>
        <v>0</v>
      </c>
      <c r="AB338" s="936">
        <f>ROUND(SUMIFS('A5.CTC FY24'!K:K,'A5.CTC FY24'!E:E,'A0.LS'!E338,'A5.CTC FY24'!A:A,'A0.LS'!$AB$5,'A5.CTC FY24'!L:L,"EY",'A5.CTC FY24'!M:M,"Posted"),0)</f>
        <v>0</v>
      </c>
      <c r="AC338" s="948">
        <f t="shared" si="233"/>
        <v>0</v>
      </c>
      <c r="AD338" s="930"/>
      <c r="AE338" s="936">
        <f>SUMIFS('GL911 VNSC FY24'!T:T,'GL911 VNSC FY24'!AG:AG,'A0.LS'!E338)</f>
        <v>0</v>
      </c>
      <c r="AF338" s="936">
        <f>SUMIFS('A5.CTC FY24'!K:K,'A5.CTC FY24'!E:E,'A0.LS'!E338,'A5.CTC FY24'!A:A,"VNSC",'A5.CTC FY24'!L:L,"VNSC",'A5.CTC FY24'!M:M,"Posted")</f>
        <v>0</v>
      </c>
      <c r="AG338" s="936">
        <f>ROUND(SUMIFS('A5.CTC FY24'!K:K,'A5.CTC FY24'!E:E,'A0.LS'!E338,'A5.CTC FY24'!A:A,"VNSC",'A5.CTC FY24'!L:L,"EY",'A5.CTC FY24'!M:M,"Posted"),0)</f>
        <v>0</v>
      </c>
      <c r="AH338" s="936">
        <f t="shared" si="234"/>
        <v>0</v>
      </c>
      <c r="AI338" s="930"/>
      <c r="AJ338" s="936">
        <f>ROUND(SUMIFS('GL911.KCG.FY24'!L:L,'GL911.KCG.FY24'!F:F,'A0.LS'!E338),0)</f>
        <v>0</v>
      </c>
      <c r="AK338" s="936">
        <f>ROUND(SUMIFS('A5.CTC FY24'!K:K,'A5.CTC FY24'!E:E,'A0.LS'!E338,'A5.CTC FY24'!A:A,'A0.LS'!$AK$5,'A5.CTC FY24'!L:L,"EY",'A5.CTC FY24'!M:M,"Posted"),0)</f>
        <v>0</v>
      </c>
      <c r="AL338" s="948">
        <f t="shared" si="235"/>
        <v>0</v>
      </c>
      <c r="AM338" s="930"/>
      <c r="AN338" s="949">
        <f t="shared" si="245"/>
        <v>0</v>
      </c>
      <c r="AO338" s="950">
        <f>ROUND(SUMIFS('A5.Consol FY24'!L:L,'A5.Consol FY24'!M:M,"EY",'A5.Consol FY24'!N:N,"Posted",'A5.Consol FY24'!B:B,'A0.LS'!$AO$5,'A5.Consol FY24'!F:F,'A0.LS'!E338),0)</f>
        <v>0</v>
      </c>
      <c r="AP338" s="949">
        <f t="shared" si="236"/>
        <v>0</v>
      </c>
      <c r="AQ338" s="930"/>
      <c r="AR338" s="936">
        <f>ROUND(SUMIFS('GL911.XH.FY24'!L:L,'GL911.XH.FY24'!F:F,'A0.LS'!E338),0)</f>
        <v>0</v>
      </c>
      <c r="AS338" s="936">
        <f>ROUND(SUMIFS('A5.CTC FY24'!K:K,'A5.CTC FY24'!E:E,'A0.LS'!E338,'A5.CTC FY24'!A:A,'A0.LS'!$AS$5,'A5.CTC FY24'!L:L,"EY",'A5.CTC FY24'!M:M,"Posted"),0)</f>
        <v>0</v>
      </c>
      <c r="AT338" s="948">
        <f t="shared" si="237"/>
        <v>0</v>
      </c>
      <c r="AU338" s="930"/>
      <c r="AV338" s="951">
        <f t="shared" si="238"/>
        <v>0</v>
      </c>
      <c r="AW338" s="952">
        <f>SUMIFS('A5.Consol FY24'!L:L,'A5.Consol FY24'!B:B,'A0.LS'!$AW$5,'A5.Consol FY24'!M:M,"EY",'A5.Consol FY24'!N:N,"Posted",'A5.Consol FY24'!F:F,'A0.LS'!E338)</f>
        <v>0</v>
      </c>
      <c r="AX338" s="951">
        <f t="shared" si="239"/>
        <v>0</v>
      </c>
      <c r="AY338" s="920"/>
      <c r="AZ338" s="936">
        <f>SUMIFS('911.CTC.YE22'!U:U,'911.CTC.YE22'!R:R,'A0.LS'!E338)</f>
        <v>0</v>
      </c>
      <c r="BA338" s="936">
        <f>ROUND(SUMIFS('A5.YE22'!J:J,'A5.YE22'!K:K,'A0.LS'!$BA$5,'A5.YE22'!L:L,"Posted",'A5.YE22'!D:D,'A0.LS'!E338),0)</f>
        <v>0</v>
      </c>
      <c r="BB338" s="936">
        <f t="shared" si="240"/>
        <v>0</v>
      </c>
      <c r="BC338" s="937"/>
      <c r="BD338" s="936">
        <f>ROUND(SUMIFS('911.VNSC.YE22'!R:R,'911.VNSC.YE22'!L:L,'A0.LS'!E338),0)</f>
        <v>0</v>
      </c>
      <c r="BE338" s="936">
        <f>ROUND(SUMIFS('A5.YE22'!J:J,'A5.YE22'!K:K,'A0.LS'!$BE$5,'A5.YE22'!L:L,"Posted",'A5.YE22'!D:D,'A0.LS'!E338),0)</f>
        <v>0</v>
      </c>
      <c r="BF338" s="936">
        <f t="shared" si="241"/>
        <v>0</v>
      </c>
      <c r="BG338" s="937"/>
      <c r="BH338" s="936">
        <f>ROUND(SUMIFS('911.XH.YE22'!T:T,'911.XH.YE22'!P:P,'A0.LS'!E338),0)</f>
        <v>0</v>
      </c>
      <c r="BI338" s="936">
        <f>ROUND(SUMIFS('A5.YE22'!J:J,'A5.YE22'!K:K,"XH",'A5.YE22'!L:L,"Posted",'A5.YE22'!D:D,'A0.LS'!E338),0)</f>
        <v>0</v>
      </c>
      <c r="BJ338" s="936">
        <f t="shared" si="242"/>
        <v>0</v>
      </c>
      <c r="BK338" s="937"/>
      <c r="BL338" s="936">
        <f>ROUND(SUMIFS('911.KCG.YE22'!T:T,'911.KCG.YE22'!P:P,'A0.LS'!E338),0)</f>
        <v>0</v>
      </c>
      <c r="BM338" s="936">
        <f>ROUND(SUMIFS('A5.YE22'!J:J,'A5.YE22'!K:K,'A0.LS'!$BM$5,'A5.YE22'!L:L,"Posted",'A5.YE22'!D:D,'A0.LS'!E338),0)</f>
        <v>0</v>
      </c>
      <c r="BN338" s="936">
        <f t="shared" si="243"/>
        <v>0</v>
      </c>
      <c r="BO338" s="937"/>
      <c r="BP338" s="938">
        <v>54616668</v>
      </c>
      <c r="BQ338" s="938">
        <f>ROUND(SUMIFS('A5.YE22'!J:J,'A5.YE22'!K:K,'A0.LS'!$BQ$5,'A5.YE22'!L:L,"Posted",'A5.YE22'!D:D,'A0.LS'!E338),0)</f>
        <v>0</v>
      </c>
      <c r="BR338" s="938">
        <f t="shared" si="244"/>
        <v>54616668</v>
      </c>
    </row>
    <row r="339" spans="2:70" ht="12.6" customHeight="1">
      <c r="B339" s="939">
        <v>26</v>
      </c>
      <c r="C339" s="940" t="s">
        <v>2555</v>
      </c>
      <c r="D339" s="941" t="s">
        <v>2555</v>
      </c>
      <c r="E339" s="928" t="s">
        <v>2559</v>
      </c>
      <c r="F339" s="928" t="s">
        <v>2560</v>
      </c>
      <c r="G339" s="927" t="s">
        <v>2540</v>
      </c>
      <c r="H339" s="927" t="s">
        <v>2190</v>
      </c>
      <c r="I339" s="942">
        <f>SUMIFS('GL911.Cty Me.FY24'!T:T,'GL911.Cty Me.FY24'!H:H,'A0.LS'!E339)</f>
        <v>0</v>
      </c>
      <c r="J339" s="942">
        <f>ROUND(SUMIFS('A5.FY24'!K:K,'A5.FY24'!E:E,'A0.LS'!E339,'A5.FY24'!L:L,"Finhay",'A5.FY24'!M:M,"Posted"),0)</f>
        <v>0</v>
      </c>
      <c r="K339" s="942">
        <f>ROUND(SUMIFS('A5.FY24'!K:K,'A5.FY24'!E:E,'A0.LS'!E339,'A5.FY24'!L:L,"EY",'A5.FY24'!M:M,"Posted"),0)</f>
        <v>0</v>
      </c>
      <c r="L339" s="943">
        <f t="shared" si="232"/>
        <v>0</v>
      </c>
      <c r="M339" s="930"/>
      <c r="N339" s="944">
        <v>0</v>
      </c>
      <c r="O339" s="944">
        <v>0</v>
      </c>
      <c r="P339" s="944">
        <v>0</v>
      </c>
      <c r="Q339" s="945">
        <v>0</v>
      </c>
      <c r="R339" s="898"/>
      <c r="S339" s="848">
        <f t="shared" si="230"/>
        <v>0</v>
      </c>
      <c r="T339" s="946" t="str">
        <f t="shared" si="231"/>
        <v>To check</v>
      </c>
      <c r="U339" s="850"/>
      <c r="V339" s="850" t="s">
        <v>2450</v>
      </c>
      <c r="W339" s="850"/>
      <c r="X339" s="947" t="s">
        <v>2190</v>
      </c>
      <c r="Y339" s="947" t="s">
        <v>2540</v>
      </c>
      <c r="Z339" s="936">
        <f>ROUND(SUMIFS('GL911.CtyCon.FY24'!N:N,'GL911.CtyCon.FY24'!G:G,'A0.LS'!E339),0)</f>
        <v>0</v>
      </c>
      <c r="AA339" s="936">
        <f>ROUND(SUMIFS('A5.CTC FY24'!K:K,'A5.CTC FY24'!E:E,'A0.LS'!E339,'A5.CTC FY24'!A:A,'A0.LS'!$AA$5,'A5.CTC FY24'!L:L,"Finhay",'A5.CTC FY24'!M:M,"Posted"),0)</f>
        <v>0</v>
      </c>
      <c r="AB339" s="936">
        <f>ROUND(SUMIFS('A5.CTC FY24'!K:K,'A5.CTC FY24'!E:E,'A0.LS'!E339,'A5.CTC FY24'!A:A,'A0.LS'!$AB$5,'A5.CTC FY24'!L:L,"EY",'A5.CTC FY24'!M:M,"Posted"),0)</f>
        <v>0</v>
      </c>
      <c r="AC339" s="948">
        <f t="shared" si="233"/>
        <v>0</v>
      </c>
      <c r="AD339" s="930"/>
      <c r="AE339" s="936">
        <f>SUMIFS('GL911 VNSC FY24'!T:T,'GL911 VNSC FY24'!AG:AG,'A0.LS'!E339)</f>
        <v>0</v>
      </c>
      <c r="AF339" s="936">
        <f>SUMIFS('A5.CTC FY24'!K:K,'A5.CTC FY24'!E:E,'A0.LS'!E339,'A5.CTC FY24'!A:A,"VNSC",'A5.CTC FY24'!L:L,"VNSC",'A5.CTC FY24'!M:M,"Posted")</f>
        <v>0</v>
      </c>
      <c r="AG339" s="936">
        <f>ROUND(SUMIFS('A5.CTC FY24'!K:K,'A5.CTC FY24'!E:E,'A0.LS'!E339,'A5.CTC FY24'!A:A,"VNSC",'A5.CTC FY24'!L:L,"EY",'A5.CTC FY24'!M:M,"Posted"),0)</f>
        <v>0</v>
      </c>
      <c r="AH339" s="936">
        <f t="shared" si="234"/>
        <v>0</v>
      </c>
      <c r="AI339" s="930"/>
      <c r="AJ339" s="936">
        <f>ROUND(SUMIFS('GL911.KCG.FY24'!L:L,'GL911.KCG.FY24'!F:F,'A0.LS'!E339),0)</f>
        <v>0</v>
      </c>
      <c r="AK339" s="936">
        <f>ROUND(SUMIFS('A5.CTC FY24'!K:K,'A5.CTC FY24'!E:E,'A0.LS'!E339,'A5.CTC FY24'!A:A,'A0.LS'!$AK$5,'A5.CTC FY24'!L:L,"EY",'A5.CTC FY24'!M:M,"Posted"),0)</f>
        <v>0</v>
      </c>
      <c r="AL339" s="948">
        <f t="shared" si="235"/>
        <v>0</v>
      </c>
      <c r="AM339" s="930"/>
      <c r="AN339" s="949">
        <f t="shared" si="245"/>
        <v>0</v>
      </c>
      <c r="AO339" s="950">
        <f>ROUND(SUMIFS('A5.Consol FY24'!L:L,'A5.Consol FY24'!M:M,"EY",'A5.Consol FY24'!N:N,"Posted",'A5.Consol FY24'!B:B,'A0.LS'!$AO$5,'A5.Consol FY24'!F:F,'A0.LS'!E339),0)</f>
        <v>0</v>
      </c>
      <c r="AP339" s="949">
        <f t="shared" si="236"/>
        <v>0</v>
      </c>
      <c r="AQ339" s="930"/>
      <c r="AR339" s="936">
        <f>ROUND(SUMIFS('GL911.XH.FY24'!L:L,'GL911.XH.FY24'!F:F,'A0.LS'!E339),0)</f>
        <v>0</v>
      </c>
      <c r="AS339" s="936">
        <f>ROUND(SUMIFS('A5.CTC FY24'!K:K,'A5.CTC FY24'!E:E,'A0.LS'!E339,'A5.CTC FY24'!A:A,'A0.LS'!$AS$5,'A5.CTC FY24'!L:L,"EY",'A5.CTC FY24'!M:M,"Posted"),0)</f>
        <v>0</v>
      </c>
      <c r="AT339" s="948">
        <f t="shared" si="237"/>
        <v>0</v>
      </c>
      <c r="AU339" s="930"/>
      <c r="AV339" s="951">
        <f t="shared" si="238"/>
        <v>0</v>
      </c>
      <c r="AW339" s="952">
        <f>SUMIFS('A5.Consol FY24'!L:L,'A5.Consol FY24'!B:B,'A0.LS'!$AW$5,'A5.Consol FY24'!M:M,"EY",'A5.Consol FY24'!N:N,"Posted",'A5.Consol FY24'!F:F,'A0.LS'!E339)</f>
        <v>0</v>
      </c>
      <c r="AX339" s="951">
        <f t="shared" si="239"/>
        <v>0</v>
      </c>
      <c r="AY339" s="920"/>
      <c r="AZ339" s="936">
        <f>SUMIFS('911.CTC.YE22'!U:U,'911.CTC.YE22'!R:R,'A0.LS'!E339)</f>
        <v>0</v>
      </c>
      <c r="BA339" s="936">
        <f>ROUND(SUMIFS('A5.YE22'!J:J,'A5.YE22'!K:K,'A0.LS'!$BA$5,'A5.YE22'!L:L,"Posted",'A5.YE22'!D:D,'A0.LS'!E339),0)</f>
        <v>0</v>
      </c>
      <c r="BB339" s="936">
        <f t="shared" si="240"/>
        <v>0</v>
      </c>
      <c r="BC339" s="937"/>
      <c r="BD339" s="936">
        <f>ROUND(SUMIFS('911.VNSC.YE22'!R:R,'911.VNSC.YE22'!L:L,'A0.LS'!E339),0)</f>
        <v>0</v>
      </c>
      <c r="BE339" s="936">
        <f>ROUND(SUMIFS('A5.YE22'!J:J,'A5.YE22'!K:K,'A0.LS'!$BE$5,'A5.YE22'!L:L,"Posted",'A5.YE22'!D:D,'A0.LS'!E339),0)</f>
        <v>0</v>
      </c>
      <c r="BF339" s="936">
        <f t="shared" si="241"/>
        <v>0</v>
      </c>
      <c r="BG339" s="937"/>
      <c r="BH339" s="936">
        <f>ROUND(SUMIFS('911.XH.YE22'!T:T,'911.XH.YE22'!P:P,'A0.LS'!E339),0)</f>
        <v>0</v>
      </c>
      <c r="BI339" s="936">
        <f>ROUND(SUMIFS('A5.YE22'!J:J,'A5.YE22'!K:K,"XH",'A5.YE22'!L:L,"Posted",'A5.YE22'!D:D,'A0.LS'!E339),0)</f>
        <v>0</v>
      </c>
      <c r="BJ339" s="936">
        <f t="shared" si="242"/>
        <v>0</v>
      </c>
      <c r="BK339" s="937"/>
      <c r="BL339" s="936">
        <f>ROUND(SUMIFS('911.KCG.YE22'!T:T,'911.KCG.YE22'!P:P,'A0.LS'!E339),0)</f>
        <v>0</v>
      </c>
      <c r="BM339" s="936">
        <f>ROUND(SUMIFS('A5.YE22'!J:J,'A5.YE22'!K:K,'A0.LS'!$BM$5,'A5.YE22'!L:L,"Posted",'A5.YE22'!D:D,'A0.LS'!E339),0)</f>
        <v>0</v>
      </c>
      <c r="BN339" s="936">
        <f t="shared" si="243"/>
        <v>0</v>
      </c>
      <c r="BO339" s="937"/>
      <c r="BP339" s="938">
        <v>0</v>
      </c>
      <c r="BQ339" s="938">
        <f>ROUND(SUMIFS('A5.YE22'!J:J,'A5.YE22'!K:K,'A0.LS'!$BQ$5,'A5.YE22'!L:L,"Posted",'A5.YE22'!D:D,'A0.LS'!E339),0)</f>
        <v>0</v>
      </c>
      <c r="BR339" s="938">
        <f t="shared" si="244"/>
        <v>0</v>
      </c>
    </row>
    <row r="340" spans="2:70" ht="12.75">
      <c r="B340" s="939">
        <v>26</v>
      </c>
      <c r="C340" s="940" t="s">
        <v>2555</v>
      </c>
      <c r="D340" s="941" t="s">
        <v>2555</v>
      </c>
      <c r="E340" s="928" t="s">
        <v>431</v>
      </c>
      <c r="F340" s="928" t="s">
        <v>355</v>
      </c>
      <c r="G340" s="927" t="s">
        <v>2540</v>
      </c>
      <c r="H340" s="927" t="s">
        <v>2190</v>
      </c>
      <c r="I340" s="942">
        <f>SUMIFS('GL911.Cty Me.FY24'!T:T,'GL911.Cty Me.FY24'!H:H,'A0.LS'!E340)</f>
        <v>7387068</v>
      </c>
      <c r="J340" s="942">
        <f>ROUND(SUMIFS('A5.FY24'!K:K,'A5.FY24'!E:E,'A0.LS'!E340,'A5.FY24'!L:L,"Finhay",'A5.FY24'!M:M,"Posted"),0)</f>
        <v>1739</v>
      </c>
      <c r="K340" s="942">
        <f>ROUND(SUMIFS('A5.FY24'!K:K,'A5.FY24'!E:E,'A0.LS'!E340,'A5.FY24'!L:L,"EY",'A5.FY24'!M:M,"Posted"),0)</f>
        <v>0</v>
      </c>
      <c r="L340" s="943">
        <f t="shared" si="232"/>
        <v>7388807</v>
      </c>
      <c r="M340" s="930"/>
      <c r="N340" s="944">
        <v>18216192</v>
      </c>
      <c r="O340" s="944">
        <v>917569</v>
      </c>
      <c r="P340" s="944">
        <v>0</v>
      </c>
      <c r="Q340" s="945">
        <v>19133761</v>
      </c>
      <c r="R340" s="898"/>
      <c r="S340" s="848">
        <f t="shared" si="230"/>
        <v>-11744954</v>
      </c>
      <c r="T340" s="946">
        <f t="shared" si="231"/>
        <v>-0.61383404966749611</v>
      </c>
      <c r="U340" s="850"/>
      <c r="V340" s="850" t="s">
        <v>2450</v>
      </c>
      <c r="W340" s="850"/>
      <c r="X340" s="947" t="s">
        <v>2190</v>
      </c>
      <c r="Y340" s="947" t="s">
        <v>2540</v>
      </c>
      <c r="Z340" s="936">
        <f>ROUND(SUMIFS('GL911.CtyCon.FY24'!N:N,'GL911.CtyCon.FY24'!G:G,'A0.LS'!E340),0)</f>
        <v>0</v>
      </c>
      <c r="AA340" s="936">
        <f>ROUND(SUMIFS('A5.CTC FY24'!K:K,'A5.CTC FY24'!E:E,'A0.LS'!E340,'A5.CTC FY24'!A:A,'A0.LS'!$AA$5,'A5.CTC FY24'!L:L,"Finhay",'A5.CTC FY24'!M:M,"Posted"),0)</f>
        <v>0</v>
      </c>
      <c r="AB340" s="936">
        <f>ROUND(SUMIFS('A5.CTC FY24'!K:K,'A5.CTC FY24'!E:E,'A0.LS'!E340,'A5.CTC FY24'!A:A,'A0.LS'!$AB$5,'A5.CTC FY24'!L:L,"EY",'A5.CTC FY24'!M:M,"Posted"),0)</f>
        <v>0</v>
      </c>
      <c r="AC340" s="948">
        <f t="shared" si="233"/>
        <v>0</v>
      </c>
      <c r="AD340" s="930"/>
      <c r="AE340" s="936">
        <f>SUMIFS('GL911 VNSC FY24'!T:T,'GL911 VNSC FY24'!AG:AG,'A0.LS'!E340)</f>
        <v>0</v>
      </c>
      <c r="AF340" s="936">
        <f>SUMIFS('A5.CTC FY24'!K:K,'A5.CTC FY24'!E:E,'A0.LS'!E340,'A5.CTC FY24'!A:A,"VNSC",'A5.CTC FY24'!L:L,"VNSC",'A5.CTC FY24'!M:M,"Posted")</f>
        <v>0</v>
      </c>
      <c r="AG340" s="936">
        <f>ROUND(SUMIFS('A5.CTC FY24'!K:K,'A5.CTC FY24'!E:E,'A0.LS'!E340,'A5.CTC FY24'!A:A,"VNSC",'A5.CTC FY24'!L:L,"EY",'A5.CTC FY24'!M:M,"Posted"),0)</f>
        <v>0</v>
      </c>
      <c r="AH340" s="936">
        <f t="shared" si="234"/>
        <v>0</v>
      </c>
      <c r="AI340" s="930"/>
      <c r="AJ340" s="936">
        <f>ROUND(SUMIFS('GL911.KCG.FY24'!L:L,'GL911.KCG.FY24'!F:F,'A0.LS'!E340),0)</f>
        <v>0</v>
      </c>
      <c r="AK340" s="936">
        <f>ROUND(SUMIFS('A5.CTC FY24'!K:K,'A5.CTC FY24'!E:E,'A0.LS'!E340,'A5.CTC FY24'!A:A,'A0.LS'!$AK$5,'A5.CTC FY24'!L:L,"EY",'A5.CTC FY24'!M:M,"Posted"),0)</f>
        <v>0</v>
      </c>
      <c r="AL340" s="948">
        <f t="shared" si="235"/>
        <v>0</v>
      </c>
      <c r="AM340" s="930"/>
      <c r="AN340" s="949">
        <f t="shared" si="245"/>
        <v>0</v>
      </c>
      <c r="AO340" s="950">
        <f>ROUND(SUMIFS('A5.Consol FY24'!L:L,'A5.Consol FY24'!M:M,"EY",'A5.Consol FY24'!N:N,"Posted",'A5.Consol FY24'!B:B,'A0.LS'!$AO$5,'A5.Consol FY24'!F:F,'A0.LS'!E340),0)</f>
        <v>0</v>
      </c>
      <c r="AP340" s="949">
        <f t="shared" si="236"/>
        <v>0</v>
      </c>
      <c r="AQ340" s="930"/>
      <c r="AR340" s="936">
        <f>ROUND(SUMIFS('GL911.XH.FY24'!L:L,'GL911.XH.FY24'!F:F,'A0.LS'!E340),0)</f>
        <v>0</v>
      </c>
      <c r="AS340" s="936">
        <f>ROUND(SUMIFS('A5.CTC FY24'!K:K,'A5.CTC FY24'!E:E,'A0.LS'!E340,'A5.CTC FY24'!A:A,'A0.LS'!$AS$5,'A5.CTC FY24'!L:L,"EY",'A5.CTC FY24'!M:M,"Posted"),0)</f>
        <v>0</v>
      </c>
      <c r="AT340" s="948">
        <f t="shared" si="237"/>
        <v>0</v>
      </c>
      <c r="AU340" s="930"/>
      <c r="AV340" s="951">
        <f t="shared" si="238"/>
        <v>7388807</v>
      </c>
      <c r="AW340" s="952">
        <f>SUMIFS('A5.Consol FY24'!L:L,'A5.Consol FY24'!B:B,'A0.LS'!$AW$5,'A5.Consol FY24'!M:M,"EY",'A5.Consol FY24'!N:N,"Posted",'A5.Consol FY24'!F:F,'A0.LS'!E340)</f>
        <v>0</v>
      </c>
      <c r="AX340" s="951">
        <f t="shared" si="239"/>
        <v>7388807</v>
      </c>
      <c r="AY340" s="920"/>
      <c r="AZ340" s="936">
        <f>SUMIFS('911.CTC.YE22'!U:U,'911.CTC.YE22'!R:R,'A0.LS'!E340)</f>
        <v>0</v>
      </c>
      <c r="BA340" s="936">
        <f>ROUND(SUMIFS('A5.YE22'!J:J,'A5.YE22'!K:K,'A0.LS'!$BA$5,'A5.YE22'!L:L,"Posted",'A5.YE22'!D:D,'A0.LS'!E340),0)</f>
        <v>0</v>
      </c>
      <c r="BB340" s="936">
        <f t="shared" si="240"/>
        <v>0</v>
      </c>
      <c r="BC340" s="937"/>
      <c r="BD340" s="936">
        <f>ROUND(SUMIFS('911.VNSC.YE22'!R:R,'911.VNSC.YE22'!L:L,'A0.LS'!E340),0)</f>
        <v>0</v>
      </c>
      <c r="BE340" s="936">
        <f>ROUND(SUMIFS('A5.YE22'!J:J,'A5.YE22'!K:K,'A0.LS'!$BE$5,'A5.YE22'!L:L,"Posted",'A5.YE22'!D:D,'A0.LS'!E340),0)</f>
        <v>0</v>
      </c>
      <c r="BF340" s="936">
        <f t="shared" si="241"/>
        <v>0</v>
      </c>
      <c r="BG340" s="937"/>
      <c r="BH340" s="936">
        <f>ROUND(SUMIFS('911.XH.YE22'!T:T,'911.XH.YE22'!P:P,'A0.LS'!E340),0)</f>
        <v>0</v>
      </c>
      <c r="BI340" s="936">
        <f>ROUND(SUMIFS('A5.YE22'!J:J,'A5.YE22'!K:K,"XH",'A5.YE22'!L:L,"Posted",'A5.YE22'!D:D,'A0.LS'!E340),0)</f>
        <v>0</v>
      </c>
      <c r="BJ340" s="936">
        <f t="shared" si="242"/>
        <v>0</v>
      </c>
      <c r="BK340" s="937"/>
      <c r="BL340" s="936">
        <f>ROUND(SUMIFS('911.KCG.YE22'!T:T,'911.KCG.YE22'!P:P,'A0.LS'!E340),0)</f>
        <v>0</v>
      </c>
      <c r="BM340" s="936">
        <f>ROUND(SUMIFS('A5.YE22'!J:J,'A5.YE22'!K:K,'A0.LS'!$BM$5,'A5.YE22'!L:L,"Posted",'A5.YE22'!D:D,'A0.LS'!E340),0)</f>
        <v>0</v>
      </c>
      <c r="BN340" s="936">
        <f t="shared" si="243"/>
        <v>0</v>
      </c>
      <c r="BO340" s="937"/>
      <c r="BP340" s="938">
        <v>19133761</v>
      </c>
      <c r="BQ340" s="938">
        <f>ROUND(SUMIFS('A5.YE22'!J:J,'A5.YE22'!K:K,'A0.LS'!$BQ$5,'A5.YE22'!L:L,"Posted",'A5.YE22'!D:D,'A0.LS'!E340),0)</f>
        <v>0</v>
      </c>
      <c r="BR340" s="938">
        <f t="shared" si="244"/>
        <v>19133761</v>
      </c>
    </row>
    <row r="341" spans="2:70" ht="12.6" customHeight="1">
      <c r="B341" s="939">
        <v>26</v>
      </c>
      <c r="C341" s="940" t="s">
        <v>2555</v>
      </c>
      <c r="D341" s="941" t="s">
        <v>2555</v>
      </c>
      <c r="E341" s="928" t="s">
        <v>2561</v>
      </c>
      <c r="F341" s="928" t="s">
        <v>2562</v>
      </c>
      <c r="G341" s="927" t="s">
        <v>2540</v>
      </c>
      <c r="H341" s="927" t="s">
        <v>2190</v>
      </c>
      <c r="I341" s="942">
        <f>SUMIFS('GL911.Cty Me.FY24'!T:T,'GL911.Cty Me.FY24'!H:H,'A0.LS'!E341)</f>
        <v>0</v>
      </c>
      <c r="J341" s="942">
        <f>ROUND(SUMIFS('A5.FY24'!K:K,'A5.FY24'!E:E,'A0.LS'!E341,'A5.FY24'!L:L,"Finhay",'A5.FY24'!M:M,"Posted"),0)</f>
        <v>0</v>
      </c>
      <c r="K341" s="942">
        <f>ROUND(SUMIFS('A5.FY24'!K:K,'A5.FY24'!E:E,'A0.LS'!E341,'A5.FY24'!L:L,"EY",'A5.FY24'!M:M,"Posted"),0)</f>
        <v>0</v>
      </c>
      <c r="L341" s="943">
        <f t="shared" si="232"/>
        <v>0</v>
      </c>
      <c r="M341" s="930"/>
      <c r="N341" s="944">
        <v>0</v>
      </c>
      <c r="O341" s="944">
        <v>0</v>
      </c>
      <c r="P341" s="944">
        <v>0</v>
      </c>
      <c r="Q341" s="945">
        <v>0</v>
      </c>
      <c r="R341" s="898"/>
      <c r="S341" s="848">
        <f t="shared" si="230"/>
        <v>0</v>
      </c>
      <c r="T341" s="946" t="str">
        <f t="shared" si="231"/>
        <v>To check</v>
      </c>
      <c r="U341" s="850"/>
      <c r="V341" s="850" t="s">
        <v>2450</v>
      </c>
      <c r="W341" s="850"/>
      <c r="X341" s="947" t="s">
        <v>2190</v>
      </c>
      <c r="Y341" s="947" t="s">
        <v>2540</v>
      </c>
      <c r="Z341" s="936">
        <f>ROUND(SUMIFS('GL911.CtyCon.FY24'!N:N,'GL911.CtyCon.FY24'!G:G,'A0.LS'!E341),0)</f>
        <v>0</v>
      </c>
      <c r="AA341" s="936">
        <f>ROUND(SUMIFS('A5.CTC FY24'!K:K,'A5.CTC FY24'!E:E,'A0.LS'!E341,'A5.CTC FY24'!A:A,'A0.LS'!$AA$5,'A5.CTC FY24'!L:L,"Finhay",'A5.CTC FY24'!M:M,"Posted"),0)</f>
        <v>0</v>
      </c>
      <c r="AB341" s="936">
        <f>ROUND(SUMIFS('A5.CTC FY24'!K:K,'A5.CTC FY24'!E:E,'A0.LS'!E341,'A5.CTC FY24'!A:A,'A0.LS'!$AB$5,'A5.CTC FY24'!L:L,"EY",'A5.CTC FY24'!M:M,"Posted"),0)</f>
        <v>0</v>
      </c>
      <c r="AC341" s="948">
        <f t="shared" si="233"/>
        <v>0</v>
      </c>
      <c r="AD341" s="930"/>
      <c r="AE341" s="936">
        <f>SUMIFS('GL911 VNSC FY24'!T:T,'GL911 VNSC FY24'!AG:AG,'A0.LS'!E341)</f>
        <v>0</v>
      </c>
      <c r="AF341" s="936">
        <f>SUMIFS('A5.CTC FY24'!K:K,'A5.CTC FY24'!E:E,'A0.LS'!E341,'A5.CTC FY24'!A:A,"VNSC",'A5.CTC FY24'!L:L,"VNSC",'A5.CTC FY24'!M:M,"Posted")</f>
        <v>0</v>
      </c>
      <c r="AG341" s="936">
        <f>ROUND(SUMIFS('A5.CTC FY24'!K:K,'A5.CTC FY24'!E:E,'A0.LS'!E341,'A5.CTC FY24'!A:A,"VNSC",'A5.CTC FY24'!L:L,"EY",'A5.CTC FY24'!M:M,"Posted"),0)</f>
        <v>0</v>
      </c>
      <c r="AH341" s="936">
        <f t="shared" si="234"/>
        <v>0</v>
      </c>
      <c r="AI341" s="930"/>
      <c r="AJ341" s="936">
        <f>ROUND(SUMIFS('GL911.KCG.FY24'!L:L,'GL911.KCG.FY24'!F:F,'A0.LS'!E341),0)</f>
        <v>0</v>
      </c>
      <c r="AK341" s="936">
        <f>ROUND(SUMIFS('A5.CTC FY24'!K:K,'A5.CTC FY24'!E:E,'A0.LS'!E341,'A5.CTC FY24'!A:A,'A0.LS'!$AK$5,'A5.CTC FY24'!L:L,"EY",'A5.CTC FY24'!M:M,"Posted"),0)</f>
        <v>0</v>
      </c>
      <c r="AL341" s="948">
        <f t="shared" si="235"/>
        <v>0</v>
      </c>
      <c r="AM341" s="930"/>
      <c r="AN341" s="949">
        <f t="shared" si="245"/>
        <v>0</v>
      </c>
      <c r="AO341" s="950">
        <f>ROUND(SUMIFS('A5.Consol FY24'!L:L,'A5.Consol FY24'!M:M,"EY",'A5.Consol FY24'!N:N,"Posted",'A5.Consol FY24'!B:B,'A0.LS'!$AO$5,'A5.Consol FY24'!F:F,'A0.LS'!E341),0)</f>
        <v>0</v>
      </c>
      <c r="AP341" s="949">
        <f t="shared" si="236"/>
        <v>0</v>
      </c>
      <c r="AQ341" s="930"/>
      <c r="AR341" s="936">
        <f>ROUND(SUMIFS('GL911.XH.FY24'!L:L,'GL911.XH.FY24'!F:F,'A0.LS'!E341),0)</f>
        <v>0</v>
      </c>
      <c r="AS341" s="936">
        <f>ROUND(SUMIFS('A5.CTC FY24'!K:K,'A5.CTC FY24'!E:E,'A0.LS'!E341,'A5.CTC FY24'!A:A,'A0.LS'!$AS$5,'A5.CTC FY24'!L:L,"EY",'A5.CTC FY24'!M:M,"Posted"),0)</f>
        <v>0</v>
      </c>
      <c r="AT341" s="948">
        <f t="shared" si="237"/>
        <v>0</v>
      </c>
      <c r="AU341" s="930"/>
      <c r="AV341" s="951">
        <f t="shared" si="238"/>
        <v>0</v>
      </c>
      <c r="AW341" s="952">
        <f>SUMIFS('A5.Consol FY24'!L:L,'A5.Consol FY24'!B:B,'A0.LS'!$AW$5,'A5.Consol FY24'!M:M,"EY",'A5.Consol FY24'!N:N,"Posted",'A5.Consol FY24'!F:F,'A0.LS'!E341)</f>
        <v>0</v>
      </c>
      <c r="AX341" s="951">
        <f t="shared" si="239"/>
        <v>0</v>
      </c>
      <c r="AY341" s="920"/>
      <c r="AZ341" s="936">
        <f>SUMIFS('911.CTC.YE22'!U:U,'911.CTC.YE22'!R:R,'A0.LS'!E341)</f>
        <v>0</v>
      </c>
      <c r="BA341" s="936">
        <f>ROUND(SUMIFS('A5.YE22'!J:J,'A5.YE22'!K:K,'A0.LS'!$BA$5,'A5.YE22'!L:L,"Posted",'A5.YE22'!D:D,'A0.LS'!E341),0)</f>
        <v>0</v>
      </c>
      <c r="BB341" s="936">
        <f t="shared" si="240"/>
        <v>0</v>
      </c>
      <c r="BC341" s="937"/>
      <c r="BD341" s="936">
        <f>ROUND(SUMIFS('911.VNSC.YE22'!R:R,'911.VNSC.YE22'!L:L,'A0.LS'!E341),0)</f>
        <v>0</v>
      </c>
      <c r="BE341" s="936">
        <f>ROUND(SUMIFS('A5.YE22'!J:J,'A5.YE22'!K:K,'A0.LS'!$BE$5,'A5.YE22'!L:L,"Posted",'A5.YE22'!D:D,'A0.LS'!E341),0)</f>
        <v>0</v>
      </c>
      <c r="BF341" s="936">
        <f t="shared" si="241"/>
        <v>0</v>
      </c>
      <c r="BG341" s="937"/>
      <c r="BH341" s="936">
        <f>ROUND(SUMIFS('911.XH.YE22'!T:T,'911.XH.YE22'!P:P,'A0.LS'!E341),0)</f>
        <v>0</v>
      </c>
      <c r="BI341" s="936">
        <f>ROUND(SUMIFS('A5.YE22'!J:J,'A5.YE22'!K:K,"XH",'A5.YE22'!L:L,"Posted",'A5.YE22'!D:D,'A0.LS'!E341),0)</f>
        <v>0</v>
      </c>
      <c r="BJ341" s="936">
        <f t="shared" si="242"/>
        <v>0</v>
      </c>
      <c r="BK341" s="937"/>
      <c r="BL341" s="936">
        <f>ROUND(SUMIFS('911.KCG.YE22'!T:T,'911.KCG.YE22'!P:P,'A0.LS'!E341),0)</f>
        <v>0</v>
      </c>
      <c r="BM341" s="936">
        <f>ROUND(SUMIFS('A5.YE22'!J:J,'A5.YE22'!K:K,'A0.LS'!$BM$5,'A5.YE22'!L:L,"Posted",'A5.YE22'!D:D,'A0.LS'!E341),0)</f>
        <v>0</v>
      </c>
      <c r="BN341" s="936">
        <f t="shared" si="243"/>
        <v>0</v>
      </c>
      <c r="BO341" s="937"/>
      <c r="BP341" s="938">
        <v>0</v>
      </c>
      <c r="BQ341" s="938">
        <f>ROUND(SUMIFS('A5.YE22'!J:J,'A5.YE22'!K:K,'A0.LS'!$BQ$5,'A5.YE22'!L:L,"Posted",'A5.YE22'!D:D,'A0.LS'!E341),0)</f>
        <v>0</v>
      </c>
      <c r="BR341" s="938">
        <f t="shared" si="244"/>
        <v>0</v>
      </c>
    </row>
    <row r="342" spans="2:70" s="850" customFormat="1" ht="12.75">
      <c r="B342" s="939">
        <v>26</v>
      </c>
      <c r="C342" s="940" t="s">
        <v>2555</v>
      </c>
      <c r="D342" s="941" t="s">
        <v>2555</v>
      </c>
      <c r="E342" s="928" t="s">
        <v>432</v>
      </c>
      <c r="F342" s="928" t="s">
        <v>2563</v>
      </c>
      <c r="G342" s="927" t="s">
        <v>2540</v>
      </c>
      <c r="H342" s="927" t="s">
        <v>2190</v>
      </c>
      <c r="I342" s="942">
        <f>SUMIFS('GL911.Cty Me.FY24'!T:T,'GL911.Cty Me.FY24'!H:H,'A0.LS'!E342)</f>
        <v>4072000</v>
      </c>
      <c r="J342" s="942">
        <f>ROUND(SUMIFS('A5.FY24'!K:K,'A5.FY24'!E:E,'A0.LS'!E342,'A5.FY24'!L:L,"Finhay",'A5.FY24'!M:M,"Posted"),0)</f>
        <v>0</v>
      </c>
      <c r="K342" s="942">
        <f>ROUND(SUMIFS('A5.FY24'!K:K,'A5.FY24'!E:E,'A0.LS'!E342,'A5.FY24'!L:L,"EY",'A5.FY24'!M:M,"Posted"),0)</f>
        <v>0</v>
      </c>
      <c r="L342" s="943">
        <f t="shared" si="232"/>
        <v>4072000</v>
      </c>
      <c r="M342" s="930"/>
      <c r="N342" s="944">
        <v>2677419702</v>
      </c>
      <c r="O342" s="944">
        <v>134864412</v>
      </c>
      <c r="P342" s="944">
        <v>0</v>
      </c>
      <c r="Q342" s="945">
        <v>2812284114</v>
      </c>
      <c r="R342" s="898"/>
      <c r="S342" s="848">
        <f t="shared" si="230"/>
        <v>-2808212114</v>
      </c>
      <c r="T342" s="946">
        <f t="shared" si="231"/>
        <v>-0.99855206663518492</v>
      </c>
      <c r="V342" s="850" t="s">
        <v>2450</v>
      </c>
      <c r="X342" s="947" t="s">
        <v>2190</v>
      </c>
      <c r="Y342" s="947" t="s">
        <v>2540</v>
      </c>
      <c r="Z342" s="936">
        <f>ROUND(SUMIFS('GL911.CtyCon.FY24'!N:N,'GL911.CtyCon.FY24'!G:G,'A0.LS'!E342),0)</f>
        <v>0</v>
      </c>
      <c r="AA342" s="936">
        <f>ROUND(SUMIFS('A5.CTC FY24'!K:K,'A5.CTC FY24'!E:E,'A0.LS'!E342,'A5.CTC FY24'!A:A,'A0.LS'!$AA$5,'A5.CTC FY24'!L:L,"Finhay",'A5.CTC FY24'!M:M,"Posted"),0)</f>
        <v>0</v>
      </c>
      <c r="AB342" s="936">
        <f>ROUND(SUMIFS('A5.CTC FY24'!K:K,'A5.CTC FY24'!E:E,'A0.LS'!E342,'A5.CTC FY24'!A:A,'A0.LS'!$AB$5,'A5.CTC FY24'!L:L,"EY",'A5.CTC FY24'!M:M,"Posted"),0)</f>
        <v>0</v>
      </c>
      <c r="AC342" s="948">
        <f t="shared" si="233"/>
        <v>0</v>
      </c>
      <c r="AD342" s="930"/>
      <c r="AE342" s="936">
        <f>SUMIFS('GL911 VNSC FY24'!T:T,'GL911 VNSC FY24'!AG:AG,'A0.LS'!E342)</f>
        <v>0</v>
      </c>
      <c r="AF342" s="936">
        <f>SUMIFS('A5.CTC FY24'!K:K,'A5.CTC FY24'!E:E,'A0.LS'!E342,'A5.CTC FY24'!A:A,"VNSC",'A5.CTC FY24'!L:L,"VNSC",'A5.CTC FY24'!M:M,"Posted")</f>
        <v>0</v>
      </c>
      <c r="AG342" s="936">
        <f>ROUND(SUMIFS('A5.CTC FY24'!K:K,'A5.CTC FY24'!E:E,'A0.LS'!E342,'A5.CTC FY24'!A:A,"VNSC",'A5.CTC FY24'!L:L,"EY",'A5.CTC FY24'!M:M,"Posted"),0)</f>
        <v>0</v>
      </c>
      <c r="AH342" s="936">
        <f t="shared" si="234"/>
        <v>0</v>
      </c>
      <c r="AI342" s="930"/>
      <c r="AJ342" s="936">
        <f>ROUND(SUMIFS('GL911.KCG.FY24'!L:L,'GL911.KCG.FY24'!F:F,'A0.LS'!E342),0)</f>
        <v>2090000</v>
      </c>
      <c r="AK342" s="936">
        <f>ROUND(SUMIFS('A5.CTC FY24'!K:K,'A5.CTC FY24'!E:E,'A0.LS'!E342,'A5.CTC FY24'!A:A,'A0.LS'!$AK$5,'A5.CTC FY24'!L:L,"EY",'A5.CTC FY24'!M:M,"Posted"),0)</f>
        <v>0</v>
      </c>
      <c r="AL342" s="948">
        <f t="shared" si="235"/>
        <v>2090000</v>
      </c>
      <c r="AM342" s="930"/>
      <c r="AN342" s="949">
        <f t="shared" si="245"/>
        <v>0</v>
      </c>
      <c r="AO342" s="950">
        <f>ROUND(SUMIFS('A5.Consol FY24'!L:L,'A5.Consol FY24'!M:M,"EY",'A5.Consol FY24'!N:N,"Posted",'A5.Consol FY24'!B:B,'A0.LS'!$AO$5,'A5.Consol FY24'!F:F,'A0.LS'!E342),0)</f>
        <v>0</v>
      </c>
      <c r="AP342" s="949">
        <f t="shared" si="236"/>
        <v>0</v>
      </c>
      <c r="AQ342" s="930"/>
      <c r="AR342" s="936">
        <f>ROUND(SUMIFS('GL911.XH.FY24'!L:L,'GL911.XH.FY24'!F:F,'A0.LS'!E342),0)</f>
        <v>0</v>
      </c>
      <c r="AS342" s="936">
        <f>ROUND(SUMIFS('A5.CTC FY24'!K:K,'A5.CTC FY24'!E:E,'A0.LS'!E342,'A5.CTC FY24'!A:A,'A0.LS'!$AS$5,'A5.CTC FY24'!L:L,"EY",'A5.CTC FY24'!M:M,"Posted"),0)</f>
        <v>0</v>
      </c>
      <c r="AT342" s="948">
        <f t="shared" si="237"/>
        <v>0</v>
      </c>
      <c r="AU342" s="930"/>
      <c r="AV342" s="951">
        <f t="shared" si="238"/>
        <v>6162000</v>
      </c>
      <c r="AW342" s="952">
        <f>SUMIFS('A5.Consol FY24'!L:L,'A5.Consol FY24'!B:B,'A0.LS'!$AW$5,'A5.Consol FY24'!M:M,"EY",'A5.Consol FY24'!N:N,"Posted",'A5.Consol FY24'!F:F,'A0.LS'!E342)</f>
        <v>0</v>
      </c>
      <c r="AX342" s="951">
        <f t="shared" si="239"/>
        <v>6162000</v>
      </c>
      <c r="AY342" s="920"/>
      <c r="AZ342" s="936">
        <f>SUMIFS('911.CTC.YE22'!U:U,'911.CTC.YE22'!R:R,'A0.LS'!E342)</f>
        <v>0</v>
      </c>
      <c r="BA342" s="936">
        <f>ROUND(SUMIFS('A5.YE22'!J:J,'A5.YE22'!K:K,'A0.LS'!$BA$5,'A5.YE22'!L:L,"Posted",'A5.YE22'!D:D,'A0.LS'!E342),0)</f>
        <v>0</v>
      </c>
      <c r="BB342" s="936">
        <f t="shared" si="240"/>
        <v>0</v>
      </c>
      <c r="BC342" s="937"/>
      <c r="BD342" s="936">
        <f>ROUND(SUMIFS('911.VNSC.YE22'!R:R,'911.VNSC.YE22'!L:L,'A0.LS'!E342),0)</f>
        <v>0</v>
      </c>
      <c r="BE342" s="936">
        <f>ROUND(SUMIFS('A5.YE22'!J:J,'A5.YE22'!K:K,'A0.LS'!$BE$5,'A5.YE22'!L:L,"Posted",'A5.YE22'!D:D,'A0.LS'!E342),0)</f>
        <v>0</v>
      </c>
      <c r="BF342" s="936">
        <f t="shared" si="241"/>
        <v>0</v>
      </c>
      <c r="BG342" s="937"/>
      <c r="BH342" s="936">
        <f>ROUND(SUMIFS('911.XH.YE22'!T:T,'911.XH.YE22'!P:P,'A0.LS'!E342),0)</f>
        <v>0</v>
      </c>
      <c r="BI342" s="936">
        <f>ROUND(SUMIFS('A5.YE22'!J:J,'A5.YE22'!K:K,"XH",'A5.YE22'!L:L,"Posted",'A5.YE22'!D:D,'A0.LS'!E342),0)</f>
        <v>0</v>
      </c>
      <c r="BJ342" s="936">
        <f t="shared" si="242"/>
        <v>0</v>
      </c>
      <c r="BK342" s="937"/>
      <c r="BL342" s="936">
        <f>ROUND(SUMIFS('911.KCG.YE22'!T:T,'911.KCG.YE22'!P:P,'A0.LS'!E342),0)</f>
        <v>0</v>
      </c>
      <c r="BM342" s="936">
        <f>ROUND(SUMIFS('A5.YE22'!J:J,'A5.YE22'!K:K,'A0.LS'!$BM$5,'A5.YE22'!L:L,"Posted",'A5.YE22'!D:D,'A0.LS'!E342),0)</f>
        <v>0</v>
      </c>
      <c r="BN342" s="936">
        <f t="shared" si="243"/>
        <v>0</v>
      </c>
      <c r="BO342" s="937"/>
      <c r="BP342" s="938">
        <v>2814784114</v>
      </c>
      <c r="BQ342" s="938">
        <f>ROUND(SUMIFS('A5.YE22'!J:J,'A5.YE22'!K:K,'A0.LS'!$BQ$5,'A5.YE22'!L:L,"Posted",'A5.YE22'!D:D,'A0.LS'!E342),0)</f>
        <v>0</v>
      </c>
      <c r="BR342" s="938">
        <f t="shared" si="244"/>
        <v>2814784114</v>
      </c>
    </row>
    <row r="343" spans="2:70" ht="12.75">
      <c r="B343" s="939">
        <v>26</v>
      </c>
      <c r="C343" s="940" t="s">
        <v>2555</v>
      </c>
      <c r="D343" s="941" t="s">
        <v>2555</v>
      </c>
      <c r="E343" s="954" t="s">
        <v>1290</v>
      </c>
      <c r="F343" s="928" t="s">
        <v>2564</v>
      </c>
      <c r="G343" s="927" t="s">
        <v>2540</v>
      </c>
      <c r="H343" s="927" t="s">
        <v>2190</v>
      </c>
      <c r="I343" s="942"/>
      <c r="J343" s="942"/>
      <c r="K343" s="942"/>
      <c r="L343" s="943">
        <f t="shared" si="232"/>
        <v>0</v>
      </c>
      <c r="M343" s="930"/>
      <c r="N343" s="944"/>
      <c r="O343" s="944"/>
      <c r="P343" s="944"/>
      <c r="Q343" s="945">
        <v>0</v>
      </c>
      <c r="R343" s="898"/>
      <c r="S343" s="848"/>
      <c r="T343" s="946"/>
      <c r="U343" s="850"/>
      <c r="V343" s="850"/>
      <c r="W343" s="850"/>
      <c r="X343" s="947" t="s">
        <v>2190</v>
      </c>
      <c r="Y343" s="947" t="s">
        <v>2540</v>
      </c>
      <c r="Z343" s="936">
        <f>ROUND(SUMIFS('GL911.CtyCon.FY24'!N:N,'GL911.CtyCon.FY24'!G:G,'A0.LS'!E343),0)</f>
        <v>0</v>
      </c>
      <c r="AA343" s="936">
        <f>ROUND(SUMIFS('A5.CTC FY24'!K:K,'A5.CTC FY24'!E:E,'A0.LS'!E343,'A5.CTC FY24'!A:A,'A0.LS'!$AA$5,'A5.CTC FY24'!L:L,"Finhay",'A5.CTC FY24'!M:M,"Posted"),0)</f>
        <v>0</v>
      </c>
      <c r="AB343" s="936">
        <f>ROUND(SUMIFS('A5.CTC FY24'!K:K,'A5.CTC FY24'!E:E,'A0.LS'!E343,'A5.CTC FY24'!A:A,'A0.LS'!$AB$5,'A5.CTC FY24'!L:L,"EY",'A5.CTC FY24'!M:M,"Posted"),0)</f>
        <v>0</v>
      </c>
      <c r="AC343" s="948">
        <f t="shared" si="233"/>
        <v>0</v>
      </c>
      <c r="AD343" s="930"/>
      <c r="AE343" s="936">
        <f>SUMIFS('GL911 VNSC FY24'!T:T,'GL911 VNSC FY24'!AG:AG,'A0.LS'!E343)</f>
        <v>0</v>
      </c>
      <c r="AF343" s="936"/>
      <c r="AG343" s="936"/>
      <c r="AH343" s="936">
        <f t="shared" si="234"/>
        <v>0</v>
      </c>
      <c r="AI343" s="930"/>
      <c r="AJ343" s="936">
        <f>ROUND(SUMIFS('GL911.KCG.FY24'!L:L,'GL911.KCG.FY24'!F:F,'A0.LS'!E343),0)</f>
        <v>0</v>
      </c>
      <c r="AK343" s="936"/>
      <c r="AL343" s="948">
        <f t="shared" si="235"/>
        <v>0</v>
      </c>
      <c r="AM343" s="930"/>
      <c r="AN343" s="949">
        <f t="shared" si="245"/>
        <v>0</v>
      </c>
      <c r="AO343" s="950">
        <f>ROUND(SUMIFS('A5.Consol FY24'!L:L,'A5.Consol FY24'!M:M,"EY",'A5.Consol FY24'!N:N,"Posted",'A5.Consol FY24'!B:B,'A0.LS'!$AO$5,'A5.Consol FY24'!F:F,'A0.LS'!E343),0)</f>
        <v>0</v>
      </c>
      <c r="AP343" s="949">
        <f t="shared" si="236"/>
        <v>0</v>
      </c>
      <c r="AQ343" s="930"/>
      <c r="AR343" s="936">
        <f>ROUND(SUMIFS('GL911.XH.FY24'!L:L,'GL911.XH.FY24'!F:F,'A0.LS'!E343),0)</f>
        <v>0</v>
      </c>
      <c r="AS343" s="936">
        <f>ROUND(SUMIFS('A5.CTC FY24'!K:K,'A5.CTC FY24'!E:E,'A0.LS'!E343,'A5.CTC FY24'!A:A,'A0.LS'!$AS$5,'A5.CTC FY24'!L:L,"EY",'A5.CTC FY24'!M:M,"Posted"),0)</f>
        <v>0</v>
      </c>
      <c r="AT343" s="948">
        <f t="shared" si="237"/>
        <v>0</v>
      </c>
      <c r="AU343" s="930"/>
      <c r="AV343" s="951">
        <f t="shared" si="238"/>
        <v>0</v>
      </c>
      <c r="AW343" s="952">
        <f>SUMIFS('A5.Consol FY24'!L:L,'A5.Consol FY24'!B:B,'A0.LS'!$AW$5,'A5.Consol FY24'!M:M,"EY",'A5.Consol FY24'!N:N,"Posted",'A5.Consol FY24'!F:F,'A0.LS'!E343)</f>
        <v>2587505032</v>
      </c>
      <c r="AX343" s="951">
        <f t="shared" si="239"/>
        <v>2587505032</v>
      </c>
      <c r="AY343" s="920"/>
      <c r="AZ343" s="936">
        <f>SUMIFS('911.CTC.YE22'!U:U,'911.CTC.YE22'!R:R,'A0.LS'!E343)</f>
        <v>0</v>
      </c>
      <c r="BA343" s="936">
        <f>ROUND(SUMIFS('A5.YE22'!J:J,'A5.YE22'!K:K,'A0.LS'!$BA$5,'A5.YE22'!L:L,"Posted",'A5.YE22'!D:D,'A0.LS'!E343),0)</f>
        <v>0</v>
      </c>
      <c r="BB343" s="936">
        <f t="shared" si="240"/>
        <v>0</v>
      </c>
      <c r="BC343" s="937"/>
      <c r="BD343" s="936">
        <f>ROUND(SUMIFS('911.VNSC.YE22'!R:R,'911.VNSC.YE22'!L:L,'A0.LS'!E343),0)</f>
        <v>0</v>
      </c>
      <c r="BE343" s="936">
        <f>ROUND(SUMIFS('A5.YE22'!J:J,'A5.YE22'!K:K,'A0.LS'!$BE$5,'A5.YE22'!L:L,"Posted",'A5.YE22'!D:D,'A0.LS'!E343),0)</f>
        <v>0</v>
      </c>
      <c r="BF343" s="936">
        <f t="shared" si="241"/>
        <v>0</v>
      </c>
      <c r="BG343" s="937"/>
      <c r="BH343" s="936">
        <f>ROUND(SUMIFS('911.XH.YE22'!T:T,'911.XH.YE22'!P:P,'A0.LS'!E343),0)</f>
        <v>0</v>
      </c>
      <c r="BI343" s="936">
        <f>ROUND(SUMIFS('A5.YE22'!J:J,'A5.YE22'!K:K,"XH",'A5.YE22'!L:L,"Posted",'A5.YE22'!D:D,'A0.LS'!E343),0)</f>
        <v>0</v>
      </c>
      <c r="BJ343" s="936">
        <f t="shared" si="242"/>
        <v>0</v>
      </c>
      <c r="BK343" s="937"/>
      <c r="BL343" s="936">
        <f>ROUND(SUMIFS('911.KCG.YE22'!T:T,'911.KCG.YE22'!P:P,'A0.LS'!E343),0)</f>
        <v>0</v>
      </c>
      <c r="BM343" s="936">
        <f>ROUND(SUMIFS('A5.YE22'!J:J,'A5.YE22'!K:K,'A0.LS'!$BM$5,'A5.YE22'!L:L,"Posted",'A5.YE22'!D:D,'A0.LS'!E343),0)</f>
        <v>0</v>
      </c>
      <c r="BN343" s="936">
        <f t="shared" si="243"/>
        <v>0</v>
      </c>
      <c r="BO343" s="937"/>
      <c r="BP343" s="938">
        <v>0</v>
      </c>
      <c r="BQ343" s="938">
        <f>ROUND(SUMIFS('A5.YE22'!J:J,'A5.YE22'!K:K,'A0.LS'!$BQ$5,'A5.YE22'!L:L,"Posted",'A5.YE22'!D:D,'A0.LS'!E343),0)</f>
        <v>0</v>
      </c>
      <c r="BR343" s="938">
        <f t="shared" si="244"/>
        <v>0</v>
      </c>
    </row>
    <row r="344" spans="2:70" ht="12.6" customHeight="1">
      <c r="B344" s="939">
        <v>26</v>
      </c>
      <c r="C344" s="940" t="s">
        <v>2555</v>
      </c>
      <c r="D344" s="941" t="s">
        <v>2555</v>
      </c>
      <c r="E344" s="928" t="s">
        <v>434</v>
      </c>
      <c r="F344" s="928" t="s">
        <v>302</v>
      </c>
      <c r="G344" s="927" t="s">
        <v>2540</v>
      </c>
      <c r="H344" s="927" t="s">
        <v>2190</v>
      </c>
      <c r="I344" s="942">
        <f>SUMIFS('GL911.Cty Me.FY24'!T:T,'GL911.Cty Me.FY24'!H:H,'A0.LS'!E344)</f>
        <v>0</v>
      </c>
      <c r="J344" s="942">
        <f>ROUND(SUMIFS('A5.FY24'!K:K,'A5.FY24'!E:E,'A0.LS'!E344,'A5.FY24'!L:L,"Finhay",'A5.FY24'!M:M,"Posted"),0)</f>
        <v>0</v>
      </c>
      <c r="K344" s="942">
        <f>ROUND(SUMIFS('A5.FY24'!K:K,'A5.FY24'!E:E,'A0.LS'!E344,'A5.FY24'!L:L,"EY",'A5.FY24'!M:M,"Posted"),0)</f>
        <v>0</v>
      </c>
      <c r="L344" s="943">
        <f t="shared" si="232"/>
        <v>0</v>
      </c>
      <c r="M344" s="930"/>
      <c r="N344" s="944">
        <v>0</v>
      </c>
      <c r="O344" s="944">
        <v>0</v>
      </c>
      <c r="P344" s="944">
        <v>0</v>
      </c>
      <c r="Q344" s="945">
        <v>0</v>
      </c>
      <c r="R344" s="898"/>
      <c r="S344" s="848">
        <f>L344-Q344</f>
        <v>0</v>
      </c>
      <c r="T344" s="946" t="str">
        <f>IFERROR(S344/Q344,"To check")</f>
        <v>To check</v>
      </c>
      <c r="U344" s="850"/>
      <c r="V344" s="850" t="s">
        <v>2450</v>
      </c>
      <c r="W344" s="850"/>
      <c r="X344" s="947" t="s">
        <v>2190</v>
      </c>
      <c r="Y344" s="947" t="s">
        <v>2540</v>
      </c>
      <c r="Z344" s="936">
        <f>ROUND(SUMIFS('GL911.CtyCon.FY24'!N:N,'GL911.CtyCon.FY24'!G:G,'A0.LS'!E344),0)</f>
        <v>0</v>
      </c>
      <c r="AA344" s="936">
        <f>ROUND(SUMIFS('A5.CTC FY24'!K:K,'A5.CTC FY24'!E:E,'A0.LS'!E344,'A5.CTC FY24'!A:A,'A0.LS'!$AA$5,'A5.CTC FY24'!L:L,"Finhay",'A5.CTC FY24'!M:M,"Posted"),0)</f>
        <v>100000</v>
      </c>
      <c r="AB344" s="936">
        <f>ROUND(SUMIFS('A5.CTC FY24'!K:K,'A5.CTC FY24'!E:E,'A0.LS'!E344,'A5.CTC FY24'!A:A,'A0.LS'!$AB$5,'A5.CTC FY24'!L:L,"EY",'A5.CTC FY24'!M:M,"Posted"),0)</f>
        <v>0</v>
      </c>
      <c r="AC344" s="948">
        <f t="shared" si="233"/>
        <v>100000</v>
      </c>
      <c r="AD344" s="930"/>
      <c r="AE344" s="936">
        <f>SUMIFS('GL911 VNSC FY24'!T:T,'GL911 VNSC FY24'!AG:AG,'A0.LS'!E344)</f>
        <v>774682211</v>
      </c>
      <c r="AF344" s="936">
        <f>SUMIFS('A5.CTC FY24'!K:K,'A5.CTC FY24'!E:E,'A0.LS'!E344,'A5.CTC FY24'!A:A,"VNSC",'A5.CTC FY24'!L:L,"VNSC",'A5.CTC FY24'!M:M,"Posted")</f>
        <v>0</v>
      </c>
      <c r="AG344" s="936">
        <f>ROUND(SUMIFS('A5.CTC FY24'!K:K,'A5.CTC FY24'!E:E,'A0.LS'!E344,'A5.CTC FY24'!A:A,"VNSC",'A5.CTC FY24'!L:L,"EY",'A5.CTC FY24'!M:M,"Posted"),0)</f>
        <v>0</v>
      </c>
      <c r="AH344" s="936">
        <f t="shared" si="234"/>
        <v>774682211</v>
      </c>
      <c r="AI344" s="930"/>
      <c r="AJ344" s="936">
        <f>ROUND(SUMIFS('GL911.KCG.FY24'!L:L,'GL911.KCG.FY24'!F:F,'A0.LS'!E344),0)</f>
        <v>0</v>
      </c>
      <c r="AK344" s="936">
        <f>ROUND(SUMIFS('A5.CTC FY24'!K:K,'A5.CTC FY24'!E:E,'A0.LS'!E344,'A5.CTC FY24'!A:A,'A0.LS'!$AK$5,'A5.CTC FY24'!L:L,"EY",'A5.CTC FY24'!M:M,"Posted"),0)</f>
        <v>0</v>
      </c>
      <c r="AL344" s="948">
        <f t="shared" si="235"/>
        <v>0</v>
      </c>
      <c r="AM344" s="930"/>
      <c r="AN344" s="949">
        <f t="shared" si="245"/>
        <v>774882211</v>
      </c>
      <c r="AO344" s="950">
        <f>ROUND(SUMIFS('A5.Consol FY24'!L:L,'A5.Consol FY24'!M:M,"EY",'A5.Consol FY24'!N:N,"Posted",'A5.Consol FY24'!B:B,'A0.LS'!$AO$5,'A5.Consol FY24'!F:F,'A0.LS'!E344),0)</f>
        <v>0</v>
      </c>
      <c r="AP344" s="949">
        <f t="shared" si="236"/>
        <v>774882211</v>
      </c>
      <c r="AQ344" s="930"/>
      <c r="AR344" s="936">
        <f>ROUND(SUMIFS('GL911.XH.FY24'!L:L,'GL911.XH.FY24'!F:F,'A0.LS'!E344),0)</f>
        <v>100000</v>
      </c>
      <c r="AS344" s="936">
        <f>ROUND(SUMIFS('A5.CTC FY24'!K:K,'A5.CTC FY24'!E:E,'A0.LS'!E344,'A5.CTC FY24'!A:A,'A0.LS'!$AS$5,'A5.CTC FY24'!L:L,"EY",'A5.CTC FY24'!M:M,"Posted"),0)</f>
        <v>0</v>
      </c>
      <c r="AT344" s="948">
        <f t="shared" si="237"/>
        <v>100000</v>
      </c>
      <c r="AU344" s="930"/>
      <c r="AV344" s="951">
        <f t="shared" si="238"/>
        <v>774882211</v>
      </c>
      <c r="AW344" s="952">
        <f>SUMIFS('A5.Consol FY24'!L:L,'A5.Consol FY24'!B:B,'A0.LS'!$AW$5,'A5.Consol FY24'!M:M,"EY",'A5.Consol FY24'!N:N,"Posted",'A5.Consol FY24'!F:F,'A0.LS'!E344)</f>
        <v>0</v>
      </c>
      <c r="AX344" s="951">
        <f t="shared" si="239"/>
        <v>774882211</v>
      </c>
      <c r="AY344" s="920"/>
      <c r="AZ344" s="936">
        <f>SUMIFS('911.CTC.YE22'!U:U,'911.CTC.YE22'!R:R,'A0.LS'!E344)</f>
        <v>8964410</v>
      </c>
      <c r="BA344" s="936">
        <f>ROUND(SUMIFS('A5.YE22'!J:J,'A5.YE22'!K:K,'A0.LS'!$BA$5,'A5.YE22'!L:L,"Posted",'A5.YE22'!D:D,'A0.LS'!E344),0)</f>
        <v>0</v>
      </c>
      <c r="BB344" s="936">
        <f t="shared" si="240"/>
        <v>8964410</v>
      </c>
      <c r="BC344" s="937"/>
      <c r="BD344" s="936">
        <f>ROUND(SUMIFS('911.VNSC.YE22'!R:R,'911.VNSC.YE22'!L:L,'A0.LS'!E344),0)</f>
        <v>0</v>
      </c>
      <c r="BE344" s="936">
        <f>ROUND(SUMIFS('A5.YE22'!J:J,'A5.YE22'!K:K,'A0.LS'!$BE$5,'A5.YE22'!L:L,"Posted",'A5.YE22'!D:D,'A0.LS'!E344),0)</f>
        <v>0</v>
      </c>
      <c r="BF344" s="936">
        <f t="shared" si="241"/>
        <v>0</v>
      </c>
      <c r="BG344" s="937"/>
      <c r="BH344" s="936">
        <f>ROUND(SUMIFS('911.XH.YE22'!T:T,'911.XH.YE22'!P:P,'A0.LS'!E344),0)</f>
        <v>0</v>
      </c>
      <c r="BI344" s="936">
        <f>ROUND(SUMIFS('A5.YE22'!J:J,'A5.YE22'!K:K,"XH",'A5.YE22'!L:L,"Posted",'A5.YE22'!D:D,'A0.LS'!E344),0)</f>
        <v>0</v>
      </c>
      <c r="BJ344" s="936">
        <f t="shared" si="242"/>
        <v>0</v>
      </c>
      <c r="BK344" s="937"/>
      <c r="BL344" s="936">
        <f>ROUND(SUMIFS('911.KCG.YE22'!T:T,'911.KCG.YE22'!P:P,'A0.LS'!E344),0)</f>
        <v>0</v>
      </c>
      <c r="BM344" s="936">
        <f>ROUND(SUMIFS('A5.YE22'!J:J,'A5.YE22'!K:K,'A0.LS'!$BM$5,'A5.YE22'!L:L,"Posted",'A5.YE22'!D:D,'A0.LS'!E344),0)</f>
        <v>0</v>
      </c>
      <c r="BN344" s="936">
        <f t="shared" si="243"/>
        <v>0</v>
      </c>
      <c r="BO344" s="937"/>
      <c r="BP344" s="938">
        <v>391487404</v>
      </c>
      <c r="BQ344" s="938">
        <f>ROUND(SUMIFS('A5.YE22'!J:J,'A5.YE22'!K:K,'A0.LS'!$BQ$5,'A5.YE22'!L:L,"Posted",'A5.YE22'!D:D,'A0.LS'!E344),0)</f>
        <v>0</v>
      </c>
      <c r="BR344" s="938">
        <f t="shared" si="244"/>
        <v>391487404</v>
      </c>
    </row>
    <row r="345" spans="2:70" ht="12.75">
      <c r="B345" s="939">
        <v>26</v>
      </c>
      <c r="C345" s="940" t="s">
        <v>2555</v>
      </c>
      <c r="D345" s="941" t="s">
        <v>2555</v>
      </c>
      <c r="E345" s="928" t="s">
        <v>435</v>
      </c>
      <c r="F345" s="928" t="s">
        <v>436</v>
      </c>
      <c r="G345" s="927" t="s">
        <v>2540</v>
      </c>
      <c r="H345" s="927" t="s">
        <v>2190</v>
      </c>
      <c r="I345" s="942">
        <f>SUMIFS('GL911.Cty Me.FY24'!T:T,'GL911.Cty Me.FY24'!H:H,'A0.LS'!E345)</f>
        <v>428579122</v>
      </c>
      <c r="J345" s="942">
        <f>ROUND(SUMIFS('A5.FY24'!K:K,'A5.FY24'!E:E,'A0.LS'!E345,'A5.FY24'!L:L,"Finhay",'A5.FY24'!M:M,"Posted"),0)</f>
        <v>15087387</v>
      </c>
      <c r="K345" s="942">
        <f>ROUND(SUMIFS('A5.FY24'!K:K,'A5.FY24'!E:E,'A0.LS'!E345,'A5.FY24'!L:L,"EY",'A5.FY24'!M:M,"Posted"),0)</f>
        <v>0</v>
      </c>
      <c r="L345" s="943">
        <f t="shared" si="232"/>
        <v>443666509</v>
      </c>
      <c r="M345" s="930"/>
      <c r="N345" s="944">
        <v>490519997</v>
      </c>
      <c r="O345" s="944">
        <v>24708002</v>
      </c>
      <c r="P345" s="944">
        <v>0</v>
      </c>
      <c r="Q345" s="945">
        <v>515227999</v>
      </c>
      <c r="R345" s="898"/>
      <c r="S345" s="848">
        <f>L345-Q345</f>
        <v>-71561490</v>
      </c>
      <c r="T345" s="946">
        <f>IFERROR(S345/Q345,"To check")</f>
        <v>-0.13889285935332096</v>
      </c>
      <c r="U345" s="850"/>
      <c r="V345" s="850" t="s">
        <v>2450</v>
      </c>
      <c r="W345" s="850"/>
      <c r="X345" s="947" t="s">
        <v>2190</v>
      </c>
      <c r="Y345" s="947" t="s">
        <v>2540</v>
      </c>
      <c r="Z345" s="936">
        <f>ROUND(SUMIFS('GL911.CtyCon.FY24'!N:N,'GL911.CtyCon.FY24'!G:G,'A0.LS'!E345),0)</f>
        <v>0</v>
      </c>
      <c r="AA345" s="936">
        <f>ROUND(SUMIFS('A5.CTC FY24'!K:K,'A5.CTC FY24'!E:E,'A0.LS'!E345,'A5.CTC FY24'!A:A,'A0.LS'!$AA$5,'A5.CTC FY24'!L:L,"Finhay",'A5.CTC FY24'!M:M,"Posted"),0)</f>
        <v>0</v>
      </c>
      <c r="AB345" s="936">
        <f>ROUND(SUMIFS('A5.CTC FY24'!K:K,'A5.CTC FY24'!E:E,'A0.LS'!E345,'A5.CTC FY24'!A:A,'A0.LS'!$AB$5,'A5.CTC FY24'!L:L,"EY",'A5.CTC FY24'!M:M,"Posted"),0)</f>
        <v>0</v>
      </c>
      <c r="AC345" s="948">
        <f t="shared" si="233"/>
        <v>0</v>
      </c>
      <c r="AD345" s="930"/>
      <c r="AE345" s="936">
        <f>SUMIFS('GL911 VNSC FY24'!T:T,'GL911 VNSC FY24'!AG:AG,'A0.LS'!E345)</f>
        <v>99681037</v>
      </c>
      <c r="AF345" s="936">
        <f>SUMIFS('A5.CTC FY24'!K:K,'A5.CTC FY24'!E:E,'A0.LS'!E345,'A5.CTC FY24'!A:A,"VNSC",'A5.CTC FY24'!L:L,"VNSC",'A5.CTC FY24'!M:M,"Posted")</f>
        <v>0</v>
      </c>
      <c r="AG345" s="936">
        <f>ROUND(SUMIFS('A5.CTC FY24'!K:K,'A5.CTC FY24'!E:E,'A0.LS'!E345,'A5.CTC FY24'!A:A,"VNSC",'A5.CTC FY24'!L:L,"EY",'A5.CTC FY24'!M:M,"Posted"),0)</f>
        <v>0</v>
      </c>
      <c r="AH345" s="936">
        <f t="shared" si="234"/>
        <v>99681037</v>
      </c>
      <c r="AI345" s="930"/>
      <c r="AJ345" s="936">
        <f>ROUND(SUMIFS('GL911.KCG.FY24'!L:L,'GL911.KCG.FY24'!F:F,'A0.LS'!E345),0)</f>
        <v>0</v>
      </c>
      <c r="AK345" s="936">
        <f>ROUND(SUMIFS('A5.CTC FY24'!K:K,'A5.CTC FY24'!E:E,'A0.LS'!E345,'A5.CTC FY24'!A:A,'A0.LS'!$AK$5,'A5.CTC FY24'!L:L,"EY",'A5.CTC FY24'!M:M,"Posted"),0)</f>
        <v>0</v>
      </c>
      <c r="AL345" s="948">
        <f t="shared" si="235"/>
        <v>0</v>
      </c>
      <c r="AM345" s="930"/>
      <c r="AN345" s="949">
        <f t="shared" si="245"/>
        <v>99681037</v>
      </c>
      <c r="AO345" s="950">
        <f>ROUND(SUMIFS('A5.Consol FY24'!L:L,'A5.Consol FY24'!M:M,"EY",'A5.Consol FY24'!N:N,"Posted",'A5.Consol FY24'!B:B,'A0.LS'!$AO$5,'A5.Consol FY24'!F:F,'A0.LS'!E345),0)</f>
        <v>0</v>
      </c>
      <c r="AP345" s="949">
        <f t="shared" si="236"/>
        <v>99681037</v>
      </c>
      <c r="AQ345" s="930"/>
      <c r="AR345" s="936">
        <f>ROUND(SUMIFS('GL911.XH.FY24'!L:L,'GL911.XH.FY24'!F:F,'A0.LS'!E345),0)</f>
        <v>0</v>
      </c>
      <c r="AS345" s="936">
        <f>ROUND(SUMIFS('A5.CTC FY24'!K:K,'A5.CTC FY24'!E:E,'A0.LS'!E345,'A5.CTC FY24'!A:A,'A0.LS'!$AS$5,'A5.CTC FY24'!L:L,"EY",'A5.CTC FY24'!M:M,"Posted"),0)</f>
        <v>0</v>
      </c>
      <c r="AT345" s="948">
        <f t="shared" si="237"/>
        <v>0</v>
      </c>
      <c r="AU345" s="930"/>
      <c r="AV345" s="951">
        <f t="shared" si="238"/>
        <v>543347546</v>
      </c>
      <c r="AW345" s="952">
        <f>SUMIFS('A5.Consol FY24'!L:L,'A5.Consol FY24'!B:B,'A0.LS'!$AW$5,'A5.Consol FY24'!M:M,"EY",'A5.Consol FY24'!N:N,"Posted",'A5.Consol FY24'!F:F,'A0.LS'!E345)</f>
        <v>0</v>
      </c>
      <c r="AX345" s="951">
        <f t="shared" si="239"/>
        <v>543347546</v>
      </c>
      <c r="AY345" s="920"/>
      <c r="AZ345" s="936">
        <f>SUMIFS('911.CTC.YE22'!U:U,'911.CTC.YE22'!R:R,'A0.LS'!E345)</f>
        <v>0</v>
      </c>
      <c r="BA345" s="936">
        <f>ROUND(SUMIFS('A5.YE22'!J:J,'A5.YE22'!K:K,'A0.LS'!$BA$5,'A5.YE22'!L:L,"Posted",'A5.YE22'!D:D,'A0.LS'!E345),0)</f>
        <v>0</v>
      </c>
      <c r="BB345" s="936">
        <f t="shared" si="240"/>
        <v>0</v>
      </c>
      <c r="BC345" s="937"/>
      <c r="BD345" s="936">
        <f>ROUND(SUMIFS('911.VNSC.YE22'!R:R,'911.VNSC.YE22'!L:L,'A0.LS'!E345),0)</f>
        <v>52048392</v>
      </c>
      <c r="BE345" s="936">
        <f>ROUND(SUMIFS('A5.YE22'!J:J,'A5.YE22'!K:K,'A0.LS'!$BE$5,'A5.YE22'!L:L,"Posted",'A5.YE22'!D:D,'A0.LS'!E345),0)</f>
        <v>0</v>
      </c>
      <c r="BF345" s="936">
        <f t="shared" si="241"/>
        <v>52048392</v>
      </c>
      <c r="BG345" s="937"/>
      <c r="BH345" s="936">
        <f>ROUND(SUMIFS('911.XH.YE22'!T:T,'911.XH.YE22'!P:P,'A0.LS'!E345),0)</f>
        <v>0</v>
      </c>
      <c r="BI345" s="936">
        <f>ROUND(SUMIFS('A5.YE22'!J:J,'A5.YE22'!K:K,"XH",'A5.YE22'!L:L,"Posted",'A5.YE22'!D:D,'A0.LS'!E345),0)</f>
        <v>0</v>
      </c>
      <c r="BJ345" s="936">
        <f t="shared" si="242"/>
        <v>0</v>
      </c>
      <c r="BK345" s="937"/>
      <c r="BL345" s="936">
        <f>ROUND(SUMIFS('911.KCG.YE22'!T:T,'911.KCG.YE22'!P:P,'A0.LS'!E345),0)</f>
        <v>0</v>
      </c>
      <c r="BM345" s="936">
        <f>ROUND(SUMIFS('A5.YE22'!J:J,'A5.YE22'!K:K,'A0.LS'!$BM$5,'A5.YE22'!L:L,"Posted",'A5.YE22'!D:D,'A0.LS'!E345),0)</f>
        <v>0</v>
      </c>
      <c r="BN345" s="936">
        <f t="shared" si="243"/>
        <v>0</v>
      </c>
      <c r="BO345" s="937"/>
      <c r="BP345" s="938">
        <v>556650936</v>
      </c>
      <c r="BQ345" s="938">
        <f>ROUND(SUMIFS('A5.YE22'!J:J,'A5.YE22'!K:K,'A0.LS'!$BQ$5,'A5.YE22'!L:L,"Posted",'A5.YE22'!D:D,'A0.LS'!E345),0)</f>
        <v>0</v>
      </c>
      <c r="BR345" s="938">
        <f t="shared" si="244"/>
        <v>556650936</v>
      </c>
    </row>
    <row r="346" spans="2:70" ht="12.6" customHeight="1">
      <c r="B346" s="939">
        <v>26</v>
      </c>
      <c r="C346" s="940" t="s">
        <v>2555</v>
      </c>
      <c r="D346" s="941" t="s">
        <v>2555</v>
      </c>
      <c r="E346" s="928" t="s">
        <v>437</v>
      </c>
      <c r="F346" s="928" t="s">
        <v>302</v>
      </c>
      <c r="G346" s="927" t="s">
        <v>2540</v>
      </c>
      <c r="H346" s="927" t="s">
        <v>2190</v>
      </c>
      <c r="I346" s="942">
        <f>SUMIFS('GL911.Cty Me.FY24'!T:T,'GL911.Cty Me.FY24'!H:H,'A0.LS'!E346)</f>
        <v>70228807</v>
      </c>
      <c r="J346" s="942">
        <f>ROUND(SUMIFS('A5.FY24'!K:K,'A5.FY24'!E:E,'A0.LS'!E346,'A5.FY24'!L:L,"Finhay",'A5.FY24'!M:M,"Posted"),0)</f>
        <v>44391</v>
      </c>
      <c r="K346" s="942">
        <f>ROUND(SUMIFS('A5.FY24'!K:K,'A5.FY24'!E:E,'A0.LS'!E346,'A5.FY24'!L:L,"EY",'A5.FY24'!M:M,"Posted"),0)</f>
        <v>0</v>
      </c>
      <c r="L346" s="943">
        <f t="shared" si="232"/>
        <v>70273198</v>
      </c>
      <c r="M346" s="930"/>
      <c r="N346" s="944">
        <v>98040665</v>
      </c>
      <c r="O346" s="944">
        <v>-246775</v>
      </c>
      <c r="P346" s="944">
        <v>0</v>
      </c>
      <c r="Q346" s="945">
        <v>97793890</v>
      </c>
      <c r="R346" s="898"/>
      <c r="S346" s="848">
        <f>L346-Q346</f>
        <v>-27520692</v>
      </c>
      <c r="T346" s="946">
        <f>IFERROR(S346/Q346,"To check")</f>
        <v>-0.28141524997113826</v>
      </c>
      <c r="U346" s="850"/>
      <c r="V346" s="850" t="s">
        <v>2450</v>
      </c>
      <c r="W346" s="850"/>
      <c r="X346" s="947" t="s">
        <v>2190</v>
      </c>
      <c r="Y346" s="947" t="s">
        <v>2540</v>
      </c>
      <c r="Z346" s="936">
        <f>ROUND(SUMIFS('GL911.CtyCon.FY24'!N:N,'GL911.CtyCon.FY24'!G:G,'A0.LS'!E346),0)</f>
        <v>0</v>
      </c>
      <c r="AA346" s="936">
        <f>ROUND(SUMIFS('A5.CTC FY24'!K:K,'A5.CTC FY24'!E:E,'A0.LS'!E346,'A5.CTC FY24'!A:A,'A0.LS'!$AA$5,'A5.CTC FY24'!L:L,"Finhay",'A5.CTC FY24'!M:M,"Posted"),0)</f>
        <v>0</v>
      </c>
      <c r="AB346" s="936">
        <f>ROUND(SUMIFS('A5.CTC FY24'!K:K,'A5.CTC FY24'!E:E,'A0.LS'!E346,'A5.CTC FY24'!A:A,'A0.LS'!$AB$5,'A5.CTC FY24'!L:L,"EY",'A5.CTC FY24'!M:M,"Posted"),0)</f>
        <v>0</v>
      </c>
      <c r="AC346" s="948">
        <f t="shared" si="233"/>
        <v>0</v>
      </c>
      <c r="AD346" s="930"/>
      <c r="AE346" s="936">
        <f>SUMIFS('GL911 VNSC FY24'!T:T,'GL911 VNSC FY24'!AG:AG,'A0.LS'!E346)</f>
        <v>1036135783</v>
      </c>
      <c r="AF346" s="936">
        <f>SUMIFS('A5.CTC FY24'!K:K,'A5.CTC FY24'!E:E,'A0.LS'!E346,'A5.CTC FY24'!A:A,"VNSC",'A5.CTC FY24'!L:L,"VNSC",'A5.CTC FY24'!M:M,"Posted")</f>
        <v>0</v>
      </c>
      <c r="AG346" s="936">
        <f>ROUND(SUMIFS('A5.CTC FY24'!K:K,'A5.CTC FY24'!E:E,'A0.LS'!E346,'A5.CTC FY24'!A:A,"VNSC",'A5.CTC FY24'!L:L,"EY",'A5.CTC FY24'!M:M,"Posted"),0)</f>
        <v>0</v>
      </c>
      <c r="AH346" s="936">
        <f t="shared" si="234"/>
        <v>1036135783</v>
      </c>
      <c r="AI346" s="930"/>
      <c r="AJ346" s="936">
        <f>ROUND(SUMIFS('GL911.KCG.FY24'!L:L,'GL911.KCG.FY24'!F:F,'A0.LS'!E346),0)</f>
        <v>0</v>
      </c>
      <c r="AK346" s="936">
        <f>ROUND(SUMIFS('A5.CTC FY24'!K:K,'A5.CTC FY24'!E:E,'A0.LS'!E346,'A5.CTC FY24'!A:A,'A0.LS'!$AK$5,'A5.CTC FY24'!L:L,"EY",'A5.CTC FY24'!M:M,"Posted"),0)</f>
        <v>0</v>
      </c>
      <c r="AL346" s="948">
        <f t="shared" si="235"/>
        <v>0</v>
      </c>
      <c r="AM346" s="930"/>
      <c r="AN346" s="949">
        <f t="shared" si="245"/>
        <v>1036135783</v>
      </c>
      <c r="AO346" s="950">
        <f>ROUND(SUMIFS('A5.Consol FY24'!L:L,'A5.Consol FY24'!M:M,"EY",'A5.Consol FY24'!N:N,"Posted",'A5.Consol FY24'!B:B,'A0.LS'!$AO$5,'A5.Consol FY24'!F:F,'A0.LS'!E346),0)</f>
        <v>0</v>
      </c>
      <c r="AP346" s="949">
        <f t="shared" si="236"/>
        <v>1036135783</v>
      </c>
      <c r="AQ346" s="930"/>
      <c r="AR346" s="936">
        <f>ROUND(SUMIFS('GL911.XH.FY24'!L:L,'GL911.XH.FY24'!F:F,'A0.LS'!E346),0)</f>
        <v>0</v>
      </c>
      <c r="AS346" s="936">
        <f>ROUND(SUMIFS('A5.CTC FY24'!K:K,'A5.CTC FY24'!E:E,'A0.LS'!E346,'A5.CTC FY24'!A:A,'A0.LS'!$AS$5,'A5.CTC FY24'!L:L,"EY",'A5.CTC FY24'!M:M,"Posted"),0)</f>
        <v>0</v>
      </c>
      <c r="AT346" s="948">
        <f t="shared" si="237"/>
        <v>0</v>
      </c>
      <c r="AU346" s="930"/>
      <c r="AV346" s="951">
        <f t="shared" si="238"/>
        <v>1106408981</v>
      </c>
      <c r="AW346" s="952">
        <f>SUMIFS('A5.Consol FY24'!L:L,'A5.Consol FY24'!B:B,'A0.LS'!$AW$5,'A5.Consol FY24'!M:M,"EY",'A5.Consol FY24'!N:N,"Posted",'A5.Consol FY24'!F:F,'A0.LS'!E346)</f>
        <v>0</v>
      </c>
      <c r="AX346" s="951">
        <f t="shared" si="239"/>
        <v>1106408981</v>
      </c>
      <c r="AY346" s="920"/>
      <c r="AZ346" s="936">
        <f>SUMIFS('911.CTC.YE22'!U:U,'911.CTC.YE22'!R:R,'A0.LS'!E346)</f>
        <v>0</v>
      </c>
      <c r="BA346" s="936">
        <f>ROUND(SUMIFS('A5.YE22'!J:J,'A5.YE22'!K:K,'A0.LS'!$BA$5,'A5.YE22'!L:L,"Posted",'A5.YE22'!D:D,'A0.LS'!E346),0)</f>
        <v>0</v>
      </c>
      <c r="BB346" s="936">
        <f t="shared" si="240"/>
        <v>0</v>
      </c>
      <c r="BC346" s="937"/>
      <c r="BD346" s="936">
        <f>ROUND(SUMIFS('911.VNSC.YE22'!R:R,'911.VNSC.YE22'!L:L,'A0.LS'!E346),0)</f>
        <v>1455498936</v>
      </c>
      <c r="BE346" s="936">
        <f>ROUND(SUMIFS('A5.YE22'!J:J,'A5.YE22'!K:K,'A0.LS'!$BE$5,'A5.YE22'!L:L,"Posted",'A5.YE22'!D:D,'A0.LS'!E346),0)</f>
        <v>0</v>
      </c>
      <c r="BF346" s="936">
        <f t="shared" si="241"/>
        <v>1455498936</v>
      </c>
      <c r="BG346" s="937"/>
      <c r="BH346" s="936">
        <f>ROUND(SUMIFS('911.XH.YE22'!T:T,'911.XH.YE22'!P:P,'A0.LS'!E346),0)</f>
        <v>0</v>
      </c>
      <c r="BI346" s="936">
        <f>ROUND(SUMIFS('A5.YE22'!J:J,'A5.YE22'!K:K,"XH",'A5.YE22'!L:L,"Posted",'A5.YE22'!D:D,'A0.LS'!E346),0)</f>
        <v>0</v>
      </c>
      <c r="BJ346" s="936">
        <f t="shared" si="242"/>
        <v>0</v>
      </c>
      <c r="BK346" s="937"/>
      <c r="BL346" s="936">
        <f>ROUND(SUMIFS('911.KCG.YE22'!T:T,'911.KCG.YE22'!P:P,'A0.LS'!E346),0)</f>
        <v>0</v>
      </c>
      <c r="BM346" s="936">
        <f>ROUND(SUMIFS('A5.YE22'!J:J,'A5.YE22'!K:K,'A0.LS'!$BM$5,'A5.YE22'!L:L,"Posted",'A5.YE22'!D:D,'A0.LS'!E346),0)</f>
        <v>0</v>
      </c>
      <c r="BN346" s="936">
        <f t="shared" si="243"/>
        <v>0</v>
      </c>
      <c r="BO346" s="937"/>
      <c r="BP346" s="938">
        <v>1223990215</v>
      </c>
      <c r="BQ346" s="938">
        <f>ROUND(SUMIFS('A5.YE22'!J:J,'A5.YE22'!K:K,'A0.LS'!$BQ$5,'A5.YE22'!L:L,"Posted",'A5.YE22'!D:D,'A0.LS'!E346),0)</f>
        <v>0</v>
      </c>
      <c r="BR346" s="938">
        <f t="shared" si="244"/>
        <v>1223990215</v>
      </c>
    </row>
    <row r="347" spans="2:70" ht="12.75">
      <c r="B347" s="939">
        <v>26</v>
      </c>
      <c r="C347" s="940" t="s">
        <v>2555</v>
      </c>
      <c r="D347" s="941" t="s">
        <v>2555</v>
      </c>
      <c r="E347" s="928" t="s">
        <v>438</v>
      </c>
      <c r="F347" s="928" t="s">
        <v>439</v>
      </c>
      <c r="G347" s="927" t="s">
        <v>2540</v>
      </c>
      <c r="H347" s="927" t="s">
        <v>2190</v>
      </c>
      <c r="I347" s="942">
        <f>SUMIFS('GL911.Cty Me.FY24'!T:T,'GL911.Cty Me.FY24'!H:H,'A0.LS'!E347)</f>
        <v>-429100</v>
      </c>
      <c r="J347" s="942">
        <f>ROUND(SUMIFS('A5.FY24'!K:K,'A5.FY24'!E:E,'A0.LS'!E347,'A5.FY24'!L:L,"Finhay",'A5.FY24'!M:M,"Posted"),0)</f>
        <v>0</v>
      </c>
      <c r="K347" s="942">
        <f>ROUND(SUMIFS('A5.FY24'!K:K,'A5.FY24'!E:E,'A0.LS'!E347,'A5.FY24'!L:L,"EY",'A5.FY24'!M:M,"Posted"),0)</f>
        <v>0</v>
      </c>
      <c r="L347" s="943">
        <f t="shared" si="232"/>
        <v>-429100</v>
      </c>
      <c r="M347" s="930"/>
      <c r="N347" s="944">
        <v>885500</v>
      </c>
      <c r="O347" s="944">
        <v>44604</v>
      </c>
      <c r="P347" s="944">
        <v>0</v>
      </c>
      <c r="Q347" s="945">
        <v>930104</v>
      </c>
      <c r="R347" s="898"/>
      <c r="S347" s="848">
        <f>L347-Q347</f>
        <v>-1359204</v>
      </c>
      <c r="T347" s="946">
        <f>IFERROR(S347/Q347,"To check")</f>
        <v>-1.4613462580528629</v>
      </c>
      <c r="U347" s="850"/>
      <c r="V347" s="850" t="s">
        <v>2450</v>
      </c>
      <c r="W347" s="850"/>
      <c r="X347" s="947" t="s">
        <v>2190</v>
      </c>
      <c r="Y347" s="947" t="s">
        <v>2540</v>
      </c>
      <c r="Z347" s="936">
        <f>ROUND(SUMIFS('GL911.CtyCon.FY24'!N:N,'GL911.CtyCon.FY24'!G:G,'A0.LS'!E347),0)</f>
        <v>0</v>
      </c>
      <c r="AA347" s="936">
        <f>ROUND(SUMIFS('A5.CTC FY24'!K:K,'A5.CTC FY24'!E:E,'A0.LS'!E347,'A5.CTC FY24'!A:A,'A0.LS'!$AA$5,'A5.CTC FY24'!L:L,"Finhay",'A5.CTC FY24'!M:M,"Posted"),0)</f>
        <v>0</v>
      </c>
      <c r="AB347" s="936">
        <f>ROUND(SUMIFS('A5.CTC FY24'!K:K,'A5.CTC FY24'!E:E,'A0.LS'!E347,'A5.CTC FY24'!A:A,'A0.LS'!$AB$5,'A5.CTC FY24'!L:L,"EY",'A5.CTC FY24'!M:M,"Posted"),0)</f>
        <v>0</v>
      </c>
      <c r="AC347" s="948">
        <f t="shared" si="233"/>
        <v>0</v>
      </c>
      <c r="AD347" s="930"/>
      <c r="AE347" s="936">
        <f>SUMIFS('GL911 VNSC FY24'!T:T,'GL911 VNSC FY24'!AG:AG,'A0.LS'!E347)</f>
        <v>0</v>
      </c>
      <c r="AF347" s="936">
        <f>SUMIFS('A5.CTC FY24'!K:K,'A5.CTC FY24'!E:E,'A0.LS'!E347,'A5.CTC FY24'!A:A,"VNSC",'A5.CTC FY24'!L:L,"VNSC",'A5.CTC FY24'!M:M,"Posted")</f>
        <v>0</v>
      </c>
      <c r="AG347" s="936">
        <f>ROUND(SUMIFS('A5.CTC FY24'!K:K,'A5.CTC FY24'!E:E,'A0.LS'!E347,'A5.CTC FY24'!A:A,"VNSC",'A5.CTC FY24'!L:L,"EY",'A5.CTC FY24'!M:M,"Posted"),0)</f>
        <v>0</v>
      </c>
      <c r="AH347" s="936">
        <f t="shared" si="234"/>
        <v>0</v>
      </c>
      <c r="AI347" s="930"/>
      <c r="AJ347" s="936">
        <f>ROUND(SUMIFS('GL911.KCG.FY24'!L:L,'GL911.KCG.FY24'!F:F,'A0.LS'!E347),0)</f>
        <v>0</v>
      </c>
      <c r="AK347" s="936">
        <f>ROUND(SUMIFS('A5.CTC FY24'!K:K,'A5.CTC FY24'!E:E,'A0.LS'!E347,'A5.CTC FY24'!A:A,'A0.LS'!$AK$5,'A5.CTC FY24'!L:L,"EY",'A5.CTC FY24'!M:M,"Posted"),0)</f>
        <v>0</v>
      </c>
      <c r="AL347" s="948">
        <f t="shared" si="235"/>
        <v>0</v>
      </c>
      <c r="AM347" s="930"/>
      <c r="AN347" s="949">
        <f t="shared" si="245"/>
        <v>0</v>
      </c>
      <c r="AO347" s="950">
        <f>ROUND(SUMIFS('A5.Consol FY24'!L:L,'A5.Consol FY24'!M:M,"EY",'A5.Consol FY24'!N:N,"Posted",'A5.Consol FY24'!B:B,'A0.LS'!$AO$5,'A5.Consol FY24'!F:F,'A0.LS'!E347),0)</f>
        <v>0</v>
      </c>
      <c r="AP347" s="949">
        <f t="shared" si="236"/>
        <v>0</v>
      </c>
      <c r="AQ347" s="930"/>
      <c r="AR347" s="936">
        <f>ROUND(SUMIFS('GL911.XH.FY24'!L:L,'GL911.XH.FY24'!F:F,'A0.LS'!E347),0)</f>
        <v>0</v>
      </c>
      <c r="AS347" s="936">
        <f>ROUND(SUMIFS('A5.CTC FY24'!K:K,'A5.CTC FY24'!E:E,'A0.LS'!E347,'A5.CTC FY24'!A:A,'A0.LS'!$AS$5,'A5.CTC FY24'!L:L,"EY",'A5.CTC FY24'!M:M,"Posted"),0)</f>
        <v>0</v>
      </c>
      <c r="AT347" s="948">
        <f t="shared" si="237"/>
        <v>0</v>
      </c>
      <c r="AU347" s="930"/>
      <c r="AV347" s="951">
        <f t="shared" si="238"/>
        <v>-429100</v>
      </c>
      <c r="AW347" s="952">
        <f>SUMIFS('A5.Consol FY24'!L:L,'A5.Consol FY24'!B:B,'A0.LS'!$AW$5,'A5.Consol FY24'!M:M,"EY",'A5.Consol FY24'!N:N,"Posted",'A5.Consol FY24'!F:F,'A0.LS'!E347)</f>
        <v>0</v>
      </c>
      <c r="AX347" s="951">
        <f t="shared" si="239"/>
        <v>-429100</v>
      </c>
      <c r="AY347" s="920"/>
      <c r="AZ347" s="936">
        <f>SUMIFS('911.CTC.YE22'!U:U,'911.CTC.YE22'!R:R,'A0.LS'!E347)</f>
        <v>0</v>
      </c>
      <c r="BA347" s="936">
        <f>ROUND(SUMIFS('A5.YE22'!J:J,'A5.YE22'!K:K,'A0.LS'!$BA$5,'A5.YE22'!L:L,"Posted",'A5.YE22'!D:D,'A0.LS'!E347),0)</f>
        <v>0</v>
      </c>
      <c r="BB347" s="936">
        <f t="shared" si="240"/>
        <v>0</v>
      </c>
      <c r="BC347" s="937"/>
      <c r="BD347" s="936">
        <f>ROUND(SUMIFS('911.VNSC.YE22'!R:R,'911.VNSC.YE22'!L:L,'A0.LS'!E347),0)</f>
        <v>0</v>
      </c>
      <c r="BE347" s="936">
        <f>ROUND(SUMIFS('A5.YE22'!J:J,'A5.YE22'!K:K,'A0.LS'!$BE$5,'A5.YE22'!L:L,"Posted",'A5.YE22'!D:D,'A0.LS'!E347),0)</f>
        <v>0</v>
      </c>
      <c r="BF347" s="936">
        <f t="shared" si="241"/>
        <v>0</v>
      </c>
      <c r="BG347" s="937"/>
      <c r="BH347" s="936">
        <f>ROUND(SUMIFS('911.XH.YE22'!T:T,'911.XH.YE22'!P:P,'A0.LS'!E347),0)</f>
        <v>0</v>
      </c>
      <c r="BI347" s="936">
        <f>ROUND(SUMIFS('A5.YE22'!J:J,'A5.YE22'!K:K,"XH",'A5.YE22'!L:L,"Posted",'A5.YE22'!D:D,'A0.LS'!E347),0)</f>
        <v>0</v>
      </c>
      <c r="BJ347" s="936">
        <f t="shared" si="242"/>
        <v>0</v>
      </c>
      <c r="BK347" s="937"/>
      <c r="BL347" s="936">
        <f>ROUND(SUMIFS('911.KCG.YE22'!T:T,'911.KCG.YE22'!P:P,'A0.LS'!E347),0)</f>
        <v>0</v>
      </c>
      <c r="BM347" s="936">
        <f>ROUND(SUMIFS('A5.YE22'!J:J,'A5.YE22'!K:K,'A0.LS'!$BM$5,'A5.YE22'!L:L,"Posted",'A5.YE22'!D:D,'A0.LS'!E347),0)</f>
        <v>0</v>
      </c>
      <c r="BN347" s="936">
        <f t="shared" si="243"/>
        <v>0</v>
      </c>
      <c r="BO347" s="937"/>
      <c r="BP347" s="938">
        <v>930104</v>
      </c>
      <c r="BQ347" s="938">
        <f>ROUND(SUMIFS('A5.YE22'!J:J,'A5.YE22'!K:K,'A0.LS'!$BQ$5,'A5.YE22'!L:L,"Posted",'A5.YE22'!D:D,'A0.LS'!E347),0)</f>
        <v>0</v>
      </c>
      <c r="BR347" s="938">
        <f t="shared" si="244"/>
        <v>930104</v>
      </c>
    </row>
    <row r="348" spans="2:70" ht="12.6" customHeight="1">
      <c r="B348" s="939">
        <v>26</v>
      </c>
      <c r="C348" s="940" t="s">
        <v>2555</v>
      </c>
      <c r="D348" s="941" t="s">
        <v>2555</v>
      </c>
      <c r="E348" s="928" t="s">
        <v>440</v>
      </c>
      <c r="F348" s="928" t="s">
        <v>2565</v>
      </c>
      <c r="G348" s="927" t="s">
        <v>2540</v>
      </c>
      <c r="H348" s="927" t="s">
        <v>2190</v>
      </c>
      <c r="I348" s="942">
        <f>SUMIFS('GL911.Cty Me.FY24'!T:T,'GL911.Cty Me.FY24'!H:H,'A0.LS'!E348)</f>
        <v>0</v>
      </c>
      <c r="J348" s="942">
        <f>ROUND(SUMIFS('A5.FY24'!K:K,'A5.FY24'!E:E,'A0.LS'!E348,'A5.FY24'!L:L,"Finhay",'A5.FY24'!M:M,"Posted"),0)</f>
        <v>0</v>
      </c>
      <c r="K348" s="942">
        <f>ROUND(SUMIFS('A5.FY24'!K:K,'A5.FY24'!E:E,'A0.LS'!E348,'A5.FY24'!L:L,"EY",'A5.FY24'!M:M,"Posted"),0)</f>
        <v>0</v>
      </c>
      <c r="L348" s="943">
        <f t="shared" si="232"/>
        <v>0</v>
      </c>
      <c r="M348" s="930"/>
      <c r="N348" s="944">
        <v>15785500</v>
      </c>
      <c r="O348" s="944">
        <v>795132</v>
      </c>
      <c r="P348" s="944">
        <v>0</v>
      </c>
      <c r="Q348" s="945">
        <v>16580632</v>
      </c>
      <c r="R348" s="898"/>
      <c r="S348" s="848">
        <f>L348-Q348</f>
        <v>-16580632</v>
      </c>
      <c r="T348" s="946">
        <f>IFERROR(S348/Q348,"To check")</f>
        <v>-1</v>
      </c>
      <c r="U348" s="850"/>
      <c r="V348" s="850" t="s">
        <v>2450</v>
      </c>
      <c r="W348" s="850"/>
      <c r="X348" s="947" t="s">
        <v>2190</v>
      </c>
      <c r="Y348" s="947" t="s">
        <v>2540</v>
      </c>
      <c r="Z348" s="936">
        <f>ROUND(SUMIFS('GL911.CtyCon.FY24'!N:N,'GL911.CtyCon.FY24'!G:G,'A0.LS'!E348),0)</f>
        <v>0</v>
      </c>
      <c r="AA348" s="936">
        <f>ROUND(SUMIFS('A5.CTC FY24'!K:K,'A5.CTC FY24'!E:E,'A0.LS'!E348,'A5.CTC FY24'!A:A,'A0.LS'!$AA$5,'A5.CTC FY24'!L:L,"Finhay",'A5.CTC FY24'!M:M,"Posted"),0)</f>
        <v>0</v>
      </c>
      <c r="AB348" s="936">
        <f>ROUND(SUMIFS('A5.CTC FY24'!K:K,'A5.CTC FY24'!E:E,'A0.LS'!E348,'A5.CTC FY24'!A:A,'A0.LS'!$AB$5,'A5.CTC FY24'!L:L,"EY",'A5.CTC FY24'!M:M,"Posted"),0)</f>
        <v>0</v>
      </c>
      <c r="AC348" s="948">
        <f t="shared" si="233"/>
        <v>0</v>
      </c>
      <c r="AD348" s="930"/>
      <c r="AE348" s="936">
        <f>SUMIFS('GL911 VNSC FY24'!T:T,'GL911 VNSC FY24'!AG:AG,'A0.LS'!E348)</f>
        <v>0</v>
      </c>
      <c r="AF348" s="936">
        <f>SUMIFS('A5.CTC FY24'!K:K,'A5.CTC FY24'!E:E,'A0.LS'!E348,'A5.CTC FY24'!A:A,"VNSC",'A5.CTC FY24'!L:L,"VNSC",'A5.CTC FY24'!M:M,"Posted")</f>
        <v>0</v>
      </c>
      <c r="AG348" s="936">
        <f>ROUND(SUMIFS('A5.CTC FY24'!K:K,'A5.CTC FY24'!E:E,'A0.LS'!E348,'A5.CTC FY24'!A:A,"VNSC",'A5.CTC FY24'!L:L,"EY",'A5.CTC FY24'!M:M,"Posted"),0)</f>
        <v>0</v>
      </c>
      <c r="AH348" s="936">
        <f t="shared" si="234"/>
        <v>0</v>
      </c>
      <c r="AI348" s="930"/>
      <c r="AJ348" s="936">
        <f>ROUND(SUMIFS('GL911.KCG.FY24'!L:L,'GL911.KCG.FY24'!F:F,'A0.LS'!E348),0)</f>
        <v>0</v>
      </c>
      <c r="AK348" s="936">
        <f>ROUND(SUMIFS('A5.CTC FY24'!K:K,'A5.CTC FY24'!E:E,'A0.LS'!E348,'A5.CTC FY24'!A:A,'A0.LS'!$AK$5,'A5.CTC FY24'!L:L,"EY",'A5.CTC FY24'!M:M,"Posted"),0)</f>
        <v>0</v>
      </c>
      <c r="AL348" s="948">
        <f t="shared" si="235"/>
        <v>0</v>
      </c>
      <c r="AM348" s="930"/>
      <c r="AN348" s="949">
        <f t="shared" si="245"/>
        <v>0</v>
      </c>
      <c r="AO348" s="950">
        <f>ROUND(SUMIFS('A5.Consol FY24'!L:L,'A5.Consol FY24'!M:M,"EY",'A5.Consol FY24'!N:N,"Posted",'A5.Consol FY24'!B:B,'A0.LS'!$AO$5,'A5.Consol FY24'!F:F,'A0.LS'!E348),0)</f>
        <v>0</v>
      </c>
      <c r="AP348" s="949">
        <f t="shared" si="236"/>
        <v>0</v>
      </c>
      <c r="AQ348" s="930"/>
      <c r="AR348" s="936">
        <f>ROUND(SUMIFS('GL911.XH.FY24'!L:L,'GL911.XH.FY24'!F:F,'A0.LS'!E348),0)</f>
        <v>0</v>
      </c>
      <c r="AS348" s="936">
        <f>ROUND(SUMIFS('A5.CTC FY24'!K:K,'A5.CTC FY24'!E:E,'A0.LS'!E348,'A5.CTC FY24'!A:A,'A0.LS'!$AS$5,'A5.CTC FY24'!L:L,"EY",'A5.CTC FY24'!M:M,"Posted"),0)</f>
        <v>0</v>
      </c>
      <c r="AT348" s="948">
        <f t="shared" si="237"/>
        <v>0</v>
      </c>
      <c r="AU348" s="930"/>
      <c r="AV348" s="951">
        <f t="shared" si="238"/>
        <v>0</v>
      </c>
      <c r="AW348" s="952">
        <f>SUMIFS('A5.Consol FY24'!L:L,'A5.Consol FY24'!B:B,'A0.LS'!$AW$5,'A5.Consol FY24'!M:M,"EY",'A5.Consol FY24'!N:N,"Posted",'A5.Consol FY24'!F:F,'A0.LS'!E348)</f>
        <v>0</v>
      </c>
      <c r="AX348" s="951">
        <f t="shared" si="239"/>
        <v>0</v>
      </c>
      <c r="AY348" s="920"/>
      <c r="AZ348" s="936">
        <f>SUMIFS('911.CTC.YE22'!U:U,'911.CTC.YE22'!R:R,'A0.LS'!E348)</f>
        <v>0</v>
      </c>
      <c r="BA348" s="936">
        <f>ROUND(SUMIFS('A5.YE22'!J:J,'A5.YE22'!K:K,'A0.LS'!$BA$5,'A5.YE22'!L:L,"Posted",'A5.YE22'!D:D,'A0.LS'!E348),0)</f>
        <v>0</v>
      </c>
      <c r="BB348" s="936">
        <f t="shared" si="240"/>
        <v>0</v>
      </c>
      <c r="BC348" s="937"/>
      <c r="BD348" s="936">
        <f>ROUND(SUMIFS('911.VNSC.YE22'!R:R,'911.VNSC.YE22'!L:L,'A0.LS'!E348),0)</f>
        <v>0</v>
      </c>
      <c r="BE348" s="936">
        <f>ROUND(SUMIFS('A5.YE22'!J:J,'A5.YE22'!K:K,'A0.LS'!$BE$5,'A5.YE22'!L:L,"Posted",'A5.YE22'!D:D,'A0.LS'!E348),0)</f>
        <v>0</v>
      </c>
      <c r="BF348" s="936">
        <f t="shared" si="241"/>
        <v>0</v>
      </c>
      <c r="BG348" s="937"/>
      <c r="BH348" s="936">
        <f>ROUND(SUMIFS('911.XH.YE22'!T:T,'911.XH.YE22'!P:P,'A0.LS'!E348),0)</f>
        <v>0</v>
      </c>
      <c r="BI348" s="936">
        <f>ROUND(SUMIFS('A5.YE22'!J:J,'A5.YE22'!K:K,"XH",'A5.YE22'!L:L,"Posted",'A5.YE22'!D:D,'A0.LS'!E348),0)</f>
        <v>0</v>
      </c>
      <c r="BJ348" s="936">
        <f t="shared" si="242"/>
        <v>0</v>
      </c>
      <c r="BK348" s="937"/>
      <c r="BL348" s="936">
        <f>ROUND(SUMIFS('911.KCG.YE22'!T:T,'911.KCG.YE22'!P:P,'A0.LS'!E348),0)</f>
        <v>0</v>
      </c>
      <c r="BM348" s="936">
        <f>ROUND(SUMIFS('A5.YE22'!J:J,'A5.YE22'!K:K,'A0.LS'!$BM$5,'A5.YE22'!L:L,"Posted",'A5.YE22'!D:D,'A0.LS'!E348),0)</f>
        <v>0</v>
      </c>
      <c r="BN348" s="936">
        <f t="shared" si="243"/>
        <v>0</v>
      </c>
      <c r="BO348" s="937"/>
      <c r="BP348" s="938">
        <v>16580632</v>
      </c>
      <c r="BQ348" s="938">
        <f>ROUND(SUMIFS('A5.YE22'!J:J,'A5.YE22'!K:K,'A0.LS'!$BQ$5,'A5.YE22'!L:L,"Posted",'A5.YE22'!D:D,'A0.LS'!E348),0)</f>
        <v>0</v>
      </c>
      <c r="BR348" s="938">
        <f t="shared" si="244"/>
        <v>16580632</v>
      </c>
    </row>
    <row r="349" spans="2:70" ht="12.75">
      <c r="B349" s="925"/>
      <c r="C349" s="926"/>
      <c r="D349" s="927"/>
      <c r="E349" s="928"/>
      <c r="F349" s="928"/>
      <c r="G349" s="928"/>
      <c r="H349" s="927"/>
      <c r="I349" s="929"/>
      <c r="J349" s="929"/>
      <c r="K349" s="929"/>
      <c r="L349" s="929"/>
      <c r="M349" s="930"/>
      <c r="N349" s="931"/>
      <c r="O349" s="931"/>
      <c r="P349" s="931"/>
      <c r="Q349" s="932"/>
      <c r="R349" s="898"/>
      <c r="S349" s="850"/>
      <c r="T349" s="850"/>
      <c r="U349" s="850"/>
      <c r="V349" s="850"/>
      <c r="W349" s="850"/>
      <c r="X349" s="947" t="s">
        <v>2190</v>
      </c>
      <c r="Y349" s="933"/>
      <c r="Z349" s="934"/>
      <c r="AA349" s="934"/>
      <c r="AB349" s="934"/>
      <c r="AC349" s="934"/>
      <c r="AD349" s="930"/>
      <c r="AE349" s="934"/>
      <c r="AF349" s="934"/>
      <c r="AG349" s="934"/>
      <c r="AH349" s="934"/>
      <c r="AI349" s="930"/>
      <c r="AJ349" s="934"/>
      <c r="AK349" s="934"/>
      <c r="AL349" s="934"/>
      <c r="AM349" s="930"/>
      <c r="AN349" s="935"/>
      <c r="AO349" s="935"/>
      <c r="AP349" s="935"/>
      <c r="AQ349" s="930"/>
      <c r="AR349" s="934"/>
      <c r="AS349" s="934"/>
      <c r="AT349" s="934"/>
      <c r="AU349" s="930"/>
      <c r="AV349" s="909"/>
      <c r="AW349" s="909"/>
      <c r="AX349" s="909"/>
      <c r="AY349" s="920"/>
      <c r="AZ349" s="936"/>
      <c r="BA349" s="936"/>
      <c r="BB349" s="936"/>
      <c r="BC349" s="937"/>
      <c r="BD349" s="936"/>
      <c r="BE349" s="936"/>
      <c r="BF349" s="936"/>
      <c r="BG349" s="937"/>
      <c r="BH349" s="936"/>
      <c r="BI349" s="936"/>
      <c r="BJ349" s="936"/>
      <c r="BK349" s="937"/>
      <c r="BL349" s="936"/>
      <c r="BM349" s="936"/>
      <c r="BN349" s="936"/>
      <c r="BO349" s="937"/>
      <c r="BP349" s="938"/>
      <c r="BQ349" s="938"/>
      <c r="BR349" s="938"/>
    </row>
    <row r="350" spans="2:70" s="1" customFormat="1" ht="12.75">
      <c r="B350" s="293"/>
      <c r="C350" s="294"/>
      <c r="D350" s="295"/>
      <c r="E350" s="75"/>
      <c r="F350" s="75" t="s">
        <v>2566</v>
      </c>
      <c r="G350" s="75"/>
      <c r="H350" s="295"/>
      <c r="I350" s="68">
        <f>SUM(I351:I352)</f>
        <v>24461894433</v>
      </c>
      <c r="J350" s="68">
        <f>SUM(J351:J352)</f>
        <v>0</v>
      </c>
      <c r="K350" s="68">
        <f>SUM(K351:K352)</f>
        <v>1806445698</v>
      </c>
      <c r="L350" s="68">
        <f>SUM(L351:L352)</f>
        <v>26268340131</v>
      </c>
      <c r="M350" s="296"/>
      <c r="N350" s="69">
        <f>SUM(N351:N352)</f>
        <v>85217568280</v>
      </c>
      <c r="O350" s="69">
        <f>SUM(O351:O352)</f>
        <v>0</v>
      </c>
      <c r="P350" s="69">
        <f>SUM(P351:P352)</f>
        <v>-83238697401</v>
      </c>
      <c r="Q350" s="70">
        <f>SUM(Q351:Q352)</f>
        <v>1978870879</v>
      </c>
      <c r="R350" s="298"/>
      <c r="S350" s="175">
        <f>L350-Q350</f>
        <v>24289469252</v>
      </c>
      <c r="T350" s="176">
        <f>IFERROR(S350/Q350,"To check")</f>
        <v>12.274408355675236</v>
      </c>
      <c r="X350" s="947" t="s">
        <v>2190</v>
      </c>
      <c r="Y350" s="304"/>
      <c r="Z350" s="235">
        <f>SUM(Z351:Z352)</f>
        <v>17369622</v>
      </c>
      <c r="AA350" s="235">
        <f>SUM(AA351:AA352)</f>
        <v>0</v>
      </c>
      <c r="AB350" s="235">
        <f>SUM(AB351:AB352)</f>
        <v>0</v>
      </c>
      <c r="AC350" s="235">
        <f>SUM(AC351:AC352)</f>
        <v>17369622</v>
      </c>
      <c r="AD350" s="236"/>
      <c r="AE350" s="235">
        <f>SUM(AE351:AE352)</f>
        <v>-40920292</v>
      </c>
      <c r="AF350" s="235">
        <f>SUM(AF351:AF352)</f>
        <v>0</v>
      </c>
      <c r="AG350" s="235">
        <f>SUM(AG351:AG352)</f>
        <v>38242803</v>
      </c>
      <c r="AH350" s="235">
        <f>SUM(AH351:AH352)</f>
        <v>-2677489</v>
      </c>
      <c r="AI350" s="236"/>
      <c r="AJ350" s="235">
        <f>SUM(AJ351:AJ352)</f>
        <v>0</v>
      </c>
      <c r="AK350" s="235">
        <f>SUM(AK351:AK352)</f>
        <v>0</v>
      </c>
      <c r="AL350" s="235">
        <f>SUM(AL351:AL352)</f>
        <v>0</v>
      </c>
      <c r="AM350" s="236"/>
      <c r="AN350" s="237">
        <f>SUM(AN351:AN352)</f>
        <v>14692133</v>
      </c>
      <c r="AO350" s="237">
        <f>SUM(AO351:AO352)</f>
        <v>0</v>
      </c>
      <c r="AP350" s="237">
        <f>SUM(AP351:AP352)</f>
        <v>14692133</v>
      </c>
      <c r="AQ350" s="236"/>
      <c r="AR350" s="235">
        <f>SUM(AR351:AR352)</f>
        <v>0</v>
      </c>
      <c r="AS350" s="235">
        <f>SUM(AS351:AS352)</f>
        <v>0</v>
      </c>
      <c r="AT350" s="235">
        <f>SUM(AT351:AT352)</f>
        <v>0</v>
      </c>
      <c r="AU350" s="236"/>
      <c r="AV350" s="238">
        <f>SUM(AV351:AV352)</f>
        <v>26283032264</v>
      </c>
      <c r="AW350" s="238">
        <f>SUM(AW351:AW352)</f>
        <v>0</v>
      </c>
      <c r="AX350" s="238">
        <f>SUM(AX351:AX352)</f>
        <v>26283032264</v>
      </c>
      <c r="AY350" s="614"/>
      <c r="AZ350" s="235">
        <f>SUM(AZ351:AZ352)</f>
        <v>494429273</v>
      </c>
      <c r="BA350" s="235">
        <f>SUM(BA351:BA352)</f>
        <v>0</v>
      </c>
      <c r="BB350" s="235">
        <f>SUM(BB351:BB352)</f>
        <v>494429273</v>
      </c>
      <c r="BC350" s="236"/>
      <c r="BD350" s="235">
        <f>SUM(BD351:BD352)</f>
        <v>1569893332</v>
      </c>
      <c r="BE350" s="235">
        <f>SUM(BE351:BE352)</f>
        <v>0</v>
      </c>
      <c r="BF350" s="235">
        <f>SUM(BF351:BF352)</f>
        <v>1569893332</v>
      </c>
      <c r="BG350" s="236"/>
      <c r="BH350" s="235">
        <f>SUM(BH351:BH352)</f>
        <v>300000</v>
      </c>
      <c r="BI350" s="235">
        <f>SUM(BI351:BI352)</f>
        <v>0</v>
      </c>
      <c r="BJ350" s="235">
        <f>SUM(BJ351:BJ352)</f>
        <v>300000</v>
      </c>
      <c r="BK350" s="236"/>
      <c r="BL350" s="235">
        <f>SUM(BL351:BL352)</f>
        <v>0</v>
      </c>
      <c r="BM350" s="235">
        <f>SUM(BM351:BM352)</f>
        <v>0</v>
      </c>
      <c r="BN350" s="235">
        <f>SUM(BN351:BN352)</f>
        <v>0</v>
      </c>
      <c r="BO350" s="236"/>
      <c r="BP350" s="443">
        <f>SUM(BP351:BP352)</f>
        <v>1978860631</v>
      </c>
      <c r="BQ350" s="443">
        <f>SUM(BQ351:BQ352)</f>
        <v>-4</v>
      </c>
      <c r="BR350" s="443">
        <f>SUM(BR351:BR352)</f>
        <v>1978860627</v>
      </c>
    </row>
    <row r="351" spans="2:70" ht="12.75">
      <c r="B351" s="939">
        <v>31</v>
      </c>
      <c r="C351" s="940"/>
      <c r="D351" s="927"/>
      <c r="E351" s="928" t="s">
        <v>442</v>
      </c>
      <c r="F351" s="928" t="s">
        <v>246</v>
      </c>
      <c r="G351" s="927" t="s">
        <v>2567</v>
      </c>
      <c r="H351" s="927" t="s">
        <v>2265</v>
      </c>
      <c r="I351" s="942">
        <f>SUMIFS('GL911.Cty Me.FY24'!T:T,'GL911.Cty Me.FY24'!H:H,'A0.LS'!E351)</f>
        <v>-33867552</v>
      </c>
      <c r="J351" s="942">
        <f>ROUND(SUMIFS('A5.FY24'!K:K,'A5.FY24'!E:E,'A0.LS'!E351,'A5.FY24'!L:L,"Finhay",'A5.FY24'!M:M,"Posted"),0)</f>
        <v>0</v>
      </c>
      <c r="K351" s="942">
        <f>ROUND(SUMIFS('A5.FY24'!K:K,'A5.FY24'!E:E,'A0.LS'!E351,'A5.FY24'!L:L,"EY",'A5.FY24'!M:M,"Posted"),0)</f>
        <v>0</v>
      </c>
      <c r="L351" s="943">
        <f>ROUND(SUM(I351:K351),0)</f>
        <v>-33867552</v>
      </c>
      <c r="M351" s="930"/>
      <c r="N351" s="944">
        <v>8918917249</v>
      </c>
      <c r="O351" s="944">
        <v>0</v>
      </c>
      <c r="P351" s="944">
        <v>-8933895969</v>
      </c>
      <c r="Q351" s="945">
        <v>-14978720</v>
      </c>
      <c r="R351" s="898"/>
      <c r="S351" s="848">
        <f>L351-Q351</f>
        <v>-18888832</v>
      </c>
      <c r="T351" s="946">
        <f>IFERROR(S351/Q351,"To check")</f>
        <v>1.2610444684191973</v>
      </c>
      <c r="U351" s="850"/>
      <c r="V351" s="850" t="s">
        <v>2568</v>
      </c>
      <c r="W351" s="850"/>
      <c r="X351" s="947" t="s">
        <v>2190</v>
      </c>
      <c r="Y351" s="947" t="s">
        <v>2567</v>
      </c>
      <c r="Z351" s="936">
        <f>ROUND(SUMIFS('GL911.CtyCon.FY24'!N:N,'GL911.CtyCon.FY24'!G:G,'A0.LS'!E351),0)</f>
        <v>0</v>
      </c>
      <c r="AA351" s="936">
        <f>ROUND(SUMIFS('A5.CTC FY24'!K:K,'A5.CTC FY24'!E:E,'A0.LS'!E351,'A5.CTC FY24'!A:A,'A0.LS'!$AA$5,'A5.CTC FY24'!L:L,"Finhay",'A5.CTC FY24'!M:M,"Posted"),0)</f>
        <v>0</v>
      </c>
      <c r="AB351" s="936">
        <f>ROUND(SUMIFS('A5.CTC FY24'!K:K,'A5.CTC FY24'!E:E,'A0.LS'!E351,'A5.CTC FY24'!A:A,'A0.LS'!$AB$5,'A5.CTC FY24'!L:L,"EY",'A5.CTC FY24'!M:M,"Posted"),0)</f>
        <v>0</v>
      </c>
      <c r="AC351" s="948">
        <f>ROUND(SUM(Z351:AB351),0)</f>
        <v>0</v>
      </c>
      <c r="AD351" s="930"/>
      <c r="AE351" s="936">
        <f>SUMIFS('GL911 VNSC FY24'!T:T,'GL911 VNSC FY24'!AG:AG,'A0.LS'!E351)</f>
        <v>-442278855</v>
      </c>
      <c r="AF351" s="936">
        <f>SUMIFS('A5.CTC FY24'!K:K,'A5.CTC FY24'!E:E,'A0.LS'!E351,'A5.CTC FY24'!A:A,"VNSC",'A5.CTC FY24'!L:L,"VNSC",'A5.CTC FY24'!M:M,"Posted")</f>
        <v>0</v>
      </c>
      <c r="AG351" s="936">
        <f>ROUND(SUMIFS('A5.CTC FY24'!K:K,'A5.CTC FY24'!E:E,'A0.LS'!E351,'A5.CTC FY24'!A:A,"VNSC",'A5.CTC FY24'!L:L,"EY",'A5.CTC FY24'!M:M,"Posted"),0)</f>
        <v>439572463</v>
      </c>
      <c r="AH351" s="936">
        <f>ROUND(SUM(AE351:AG351),0)</f>
        <v>-2706392</v>
      </c>
      <c r="AI351" s="930"/>
      <c r="AJ351" s="936">
        <f>ROUND(SUMIFS('GL911.KCG.FY24'!L:L,'GL911.KCG.FY24'!F:F,'A0.LS'!E351),0)</f>
        <v>0</v>
      </c>
      <c r="AK351" s="936">
        <f>ROUND(SUMIFS('A5.CTC FY24'!K:K,'A5.CTC FY24'!E:E,'A0.LS'!E351,'A5.CTC FY24'!A:A,'A0.LS'!$AK$5,'A5.CTC FY24'!L:L,"EY",'A5.CTC FY24'!M:M,"Posted"),0)</f>
        <v>0</v>
      </c>
      <c r="AL351" s="948">
        <f>ROUND(SUM(AJ351:AK351),0)</f>
        <v>0</v>
      </c>
      <c r="AM351" s="930"/>
      <c r="AN351" s="949">
        <f>ROUND(SUM(AT351,AH351,AC351),0)</f>
        <v>-2706392</v>
      </c>
      <c r="AO351" s="950">
        <f>ROUND(SUMIFS('A5.Consol FY24'!L:L,'A5.Consol FY24'!M:M,"EY",'A5.Consol FY24'!N:N,"Posted",'A5.Consol FY24'!B:B,'A0.LS'!$AO$5,'A5.Consol FY24'!F:F,'A0.LS'!E351),0)</f>
        <v>0</v>
      </c>
      <c r="AP351" s="949">
        <f>ROUND(SUM(AN351:AO351),0)</f>
        <v>-2706392</v>
      </c>
      <c r="AQ351" s="930"/>
      <c r="AR351" s="936">
        <f>ROUND(SUMIFS('GL911.XH.FY24'!L:L,'GL911.XH.FY24'!F:F,'A0.LS'!E351),0)</f>
        <v>0</v>
      </c>
      <c r="AS351" s="936">
        <f>ROUND(SUMIFS('A5.CTC FY24'!K:K,'A5.CTC FY24'!A:A,'A0.LS'!$AS$5,'A5.CTC FY24'!L:L,"EY",'A5.CTC FY24'!M:M,"Posted"),0)</f>
        <v>0</v>
      </c>
      <c r="AT351" s="948">
        <f>ROUND(SUM(AR351:AS351),0)</f>
        <v>0</v>
      </c>
      <c r="AU351" s="930"/>
      <c r="AV351" s="951">
        <f>ROUND(SUM(AP351,AL351,L351),0)</f>
        <v>-36573944</v>
      </c>
      <c r="AW351" s="952">
        <f>SUMIFS('A5.Consol FY24'!L:L,'A5.Consol FY24'!B:B,'A0.LS'!$AW$5,'A5.Consol FY24'!M:M,"EY",'A5.Consol FY24'!N:N,"Posted",'A5.Consol FY24'!F:F,'A0.LS'!E351)</f>
        <v>0</v>
      </c>
      <c r="AX351" s="951">
        <f>ROUND(SUM(AV351:AW351),0)</f>
        <v>-36573944</v>
      </c>
      <c r="AY351" s="920"/>
      <c r="AZ351" s="936">
        <f>SUMIFS('911.CTC.YE22'!U:U,'911.CTC.YE22'!R:R,'A0.LS'!E351)</f>
        <v>-14631</v>
      </c>
      <c r="BA351" s="936">
        <f>ROUND(SUMIFS('A5.YE22'!J:J,'A5.YE22'!K:K,'A0.LS'!$BA$5,'A5.YE22'!L:L,"Posted",'A5.YE22'!D:D,'A0.LS'!E351),0)</f>
        <v>0</v>
      </c>
      <c r="BB351" s="936">
        <f>ROUND(SUM(AZ351:BA351),0)</f>
        <v>-14631</v>
      </c>
      <c r="BC351" s="937"/>
      <c r="BD351" s="936">
        <f>ROUND(SUMIFS('911.VNSC.YE22'!R:R,'911.VNSC.YE22'!L:L,'A0.LS'!E351),0)</f>
        <v>-19335259</v>
      </c>
      <c r="BE351" s="936">
        <f>ROUND(SUMIFS('A5.YE22'!J:J,'A5.YE22'!K:K,'A0.LS'!$BE$5,'A5.YE22'!L:L,"Posted",'A5.YE22'!D:D,'A0.LS'!E351),0)</f>
        <v>0</v>
      </c>
      <c r="BF351" s="936">
        <f>ROUND(SUM(BD351:BE351),0)</f>
        <v>-19335259</v>
      </c>
      <c r="BG351" s="937"/>
      <c r="BH351" s="936">
        <f>ROUND(SUMIFS('911.XH.YE22'!T:T,'911.XH.YE22'!P:P,'A0.LS'!E351),0)</f>
        <v>0</v>
      </c>
      <c r="BI351" s="936">
        <f>ROUND(SUMIFS('A5.YE22'!J:J,'A5.YE22'!K:K,"XH",'A5.YE22'!L:L,"Posted",'A5.YE22'!D:D,'A0.LS'!E351),0)</f>
        <v>0</v>
      </c>
      <c r="BJ351" s="936">
        <f>ROUND(SUM(BH351:BI351),0)</f>
        <v>0</v>
      </c>
      <c r="BK351" s="937"/>
      <c r="BL351" s="936">
        <f>ROUND(SUMIFS('911.KCG.YE22'!T:T,'911.KCG.YE22'!P:P,'A0.LS'!E351),0)</f>
        <v>0</v>
      </c>
      <c r="BM351" s="936">
        <f>ROUND(SUMIFS('A5.YE22'!J:J,'A5.YE22'!K:K,'A0.LS'!$BM$5,'A5.YE22'!L:L,"Posted",'A5.YE22'!D:D,'A0.LS'!E351),0)</f>
        <v>0</v>
      </c>
      <c r="BN351" s="936">
        <f>ROUND(SUM(BL351:BM351),0)</f>
        <v>0</v>
      </c>
      <c r="BO351" s="937"/>
      <c r="BP351" s="938">
        <v>-14988968</v>
      </c>
      <c r="BQ351" s="938">
        <f>ROUND(SUMIFS('A5.YE22'!J:J,'A5.YE22'!K:K,'A0.LS'!$BQ$5,'A5.YE22'!L:L,"Posted",'A5.YE22'!D:D,'A0.LS'!E351),0)</f>
        <v>0</v>
      </c>
      <c r="BR351" s="938">
        <f>ROUND(SUM(BP351:BQ351),0)</f>
        <v>-14988968</v>
      </c>
    </row>
    <row r="352" spans="2:70" ht="12.6" customHeight="1">
      <c r="B352" s="939">
        <v>32</v>
      </c>
      <c r="C352" s="940"/>
      <c r="D352" s="927"/>
      <c r="E352" s="928" t="s">
        <v>444</v>
      </c>
      <c r="F352" s="928" t="s">
        <v>445</v>
      </c>
      <c r="G352" s="927" t="s">
        <v>2567</v>
      </c>
      <c r="H352" s="927" t="s">
        <v>2265</v>
      </c>
      <c r="I352" s="942">
        <f>SUMIFS('GL911.Cty Me.FY24'!T:T,'GL911.Cty Me.FY24'!H:H,'A0.LS'!E352)</f>
        <v>24495761985</v>
      </c>
      <c r="J352" s="942">
        <f>ROUND(SUMIFS('A5.FY24'!K:K,'A5.FY24'!E:E,'A0.LS'!E352,'A5.FY24'!L:L,"Finhay",'A5.FY24'!M:M,"Posted"),0)</f>
        <v>0</v>
      </c>
      <c r="K352" s="942">
        <f>ROUND(SUMIFS('A5.FY24'!K:K,'A5.FY24'!E:E,'A0.LS'!E352,'A5.FY24'!L:L,"EY",'A5.FY24'!M:M,"Posted"),0)</f>
        <v>1806445698</v>
      </c>
      <c r="L352" s="943">
        <f>ROUND(SUM(I352:K352),0)</f>
        <v>26302207683</v>
      </c>
      <c r="M352" s="930"/>
      <c r="N352" s="944">
        <v>76298651031</v>
      </c>
      <c r="O352" s="944">
        <v>0</v>
      </c>
      <c r="P352" s="944">
        <v>-74304801432</v>
      </c>
      <c r="Q352" s="945">
        <v>1993849599</v>
      </c>
      <c r="R352" s="898"/>
      <c r="S352" s="848">
        <f>L352-Q352</f>
        <v>24308358084</v>
      </c>
      <c r="T352" s="946">
        <f>IFERROR(S352/Q352,"To check")</f>
        <v>12.191670874368693</v>
      </c>
      <c r="U352" s="850"/>
      <c r="V352" s="850" t="s">
        <v>2450</v>
      </c>
      <c r="W352" s="850"/>
      <c r="X352" s="947" t="s">
        <v>2190</v>
      </c>
      <c r="Y352" s="947" t="s">
        <v>2567</v>
      </c>
      <c r="Z352" s="936">
        <f>ROUND(SUMIFS('GL911.CtyCon.FY24'!N:N,'GL911.CtyCon.FY24'!G:G,'A0.LS'!E352),0)</f>
        <v>17369622</v>
      </c>
      <c r="AA352" s="936">
        <f>ROUND(SUMIFS('A5.CTC FY24'!K:K,'A5.CTC FY24'!E:E,'A0.LS'!E352,'A5.CTC FY24'!A:A,'A0.LS'!$AA$5,'A5.CTC FY24'!L:L,"Finhay",'A5.CTC FY24'!M:M,"Posted"),0)</f>
        <v>0</v>
      </c>
      <c r="AB352" s="936">
        <f>ROUND(SUMIFS('A5.CTC FY24'!K:K,'A5.CTC FY24'!E:E,'A0.LS'!E352,'A5.CTC FY24'!A:A,'A0.LS'!$AB$5,'A5.CTC FY24'!L:L,"EY",'A5.CTC FY24'!M:M,"Posted"),0)</f>
        <v>0</v>
      </c>
      <c r="AC352" s="948">
        <f>ROUND(SUM(Z352:AB352),0)</f>
        <v>17369622</v>
      </c>
      <c r="AD352" s="930"/>
      <c r="AE352" s="936">
        <f>SUMIFS('GL911 VNSC FY24'!T:T,'GL911 VNSC FY24'!AG:AG,'A0.LS'!E352)</f>
        <v>401358563</v>
      </c>
      <c r="AF352" s="936">
        <f>SUMIFS('A5.CTC FY24'!K:K,'A5.CTC FY24'!E:E,'A0.LS'!E352,'A5.CTC FY24'!A:A,"VNSC",'A5.CTC FY24'!L:L,"VNSC",'A5.CTC FY24'!M:M,"Posted")</f>
        <v>0</v>
      </c>
      <c r="AG352" s="936">
        <f>ROUND(SUMIFS('A5.CTC FY24'!K:K,'A5.CTC FY24'!E:E,'A0.LS'!E352,'A5.CTC FY24'!A:A,"VNSC",'A5.CTC FY24'!L:L,"EY",'A5.CTC FY24'!M:M,"Posted"),0)</f>
        <v>-401329660</v>
      </c>
      <c r="AH352" s="936">
        <f>ROUND(SUM(AE352:AG352),0)</f>
        <v>28903</v>
      </c>
      <c r="AI352" s="930"/>
      <c r="AJ352" s="936">
        <f>ROUND(SUMIFS('GL911.KCG.FY24'!L:L,'GL911.KCG.FY24'!F:F,'A0.LS'!E352),0)</f>
        <v>0</v>
      </c>
      <c r="AK352" s="936">
        <f>ROUND(SUMIFS('A5.CTC FY24'!K:K,'A5.CTC FY24'!E:E,'A0.LS'!E352,'A5.CTC FY24'!A:A,'A0.LS'!$AK$5,'A5.CTC FY24'!L:L,"EY",'A5.CTC FY24'!M:M,"Posted"),0)</f>
        <v>0</v>
      </c>
      <c r="AL352" s="948">
        <f>ROUND(SUM(AJ352:AK352),0)</f>
        <v>0</v>
      </c>
      <c r="AM352" s="930"/>
      <c r="AN352" s="949">
        <f>ROUND(SUM(AT352,AH352,AC352),0)</f>
        <v>17398525</v>
      </c>
      <c r="AO352" s="950">
        <f>ROUND(SUMIFS('A5.Consol FY24'!L:L,'A5.Consol FY24'!M:M,"EY",'A5.Consol FY24'!N:N,"Posted",'A5.Consol FY24'!B:B,'A0.LS'!$AO$5,'A5.Consol FY24'!F:F,'A0.LS'!E352),0)</f>
        <v>0</v>
      </c>
      <c r="AP352" s="949">
        <f>ROUND(SUM(AN352:AO352),0)</f>
        <v>17398525</v>
      </c>
      <c r="AQ352" s="930"/>
      <c r="AR352" s="936">
        <f>ROUND(SUMIFS('GL911.XH.FY24'!L:L,'GL911.XH.FY24'!F:F,'A0.LS'!E352),0)</f>
        <v>0</v>
      </c>
      <c r="AS352" s="936">
        <f>ROUND(SUMIFS('A5.CTC FY24'!K:K,'A5.CTC FY24'!A:A,'A0.LS'!$AS$5,'A5.CTC FY24'!L:L,"EY",'A5.CTC FY24'!M:M,"Posted"),0)</f>
        <v>0</v>
      </c>
      <c r="AT352" s="948">
        <f>ROUND(SUM(AR352:AS352),0)</f>
        <v>0</v>
      </c>
      <c r="AU352" s="930"/>
      <c r="AV352" s="951">
        <f>ROUND(SUM(AP352,AL352,L352),0)</f>
        <v>26319606208</v>
      </c>
      <c r="AW352" s="952">
        <f>SUMIFS('A5.Consol FY24'!L:L,'A5.Consol FY24'!B:B,'A0.LS'!$AW$5,'A5.Consol FY24'!M:M,"EY",'A5.Consol FY24'!N:N,"Posted",'A5.Consol FY24'!F:F,'A0.LS'!E352)</f>
        <v>0</v>
      </c>
      <c r="AX352" s="951">
        <f>ROUND(SUM(AV352:AW352),0)</f>
        <v>26319606208</v>
      </c>
      <c r="AY352" s="920"/>
      <c r="AZ352" s="936">
        <f>SUMIFS('911.CTC.YE22'!U:U,'911.CTC.YE22'!R:R,'A0.LS'!E352)</f>
        <v>494443904</v>
      </c>
      <c r="BA352" s="936">
        <f>ROUND(SUMIFS('A5.YE22'!J:J,'A5.YE22'!K:K,'A0.LS'!$BA$5,'A5.YE22'!L:L,"Posted",'A5.YE22'!D:D,'A0.LS'!E352),0)</f>
        <v>0</v>
      </c>
      <c r="BB352" s="936">
        <f>ROUND(SUM(AZ352:BA352),0)</f>
        <v>494443904</v>
      </c>
      <c r="BC352" s="937"/>
      <c r="BD352" s="936">
        <f>ROUND(SUMIFS('911.VNSC.YE22'!R:R,'911.VNSC.YE22'!L:L,'A0.LS'!E352),0)</f>
        <v>1589228591</v>
      </c>
      <c r="BE352" s="936">
        <f>ROUND(SUMIFS('A5.YE22'!J:J,'A5.YE22'!K:K,'A0.LS'!$BE$5,'A5.YE22'!L:L,"Posted",'A5.YE22'!D:D,'A0.LS'!E352),0)</f>
        <v>0</v>
      </c>
      <c r="BF352" s="936">
        <f>ROUND(SUM(BD352:BE352),0)</f>
        <v>1589228591</v>
      </c>
      <c r="BG352" s="937"/>
      <c r="BH352" s="936">
        <f>ROUND(SUMIFS('911.XH.YE22'!T:T,'911.XH.YE22'!P:P,'A0.LS'!E352),0)</f>
        <v>300000</v>
      </c>
      <c r="BI352" s="936">
        <f>ROUND(SUMIFS('A5.YE22'!J:J,'A5.YE22'!K:K,"XH",'A5.YE22'!L:L,"Posted",'A5.YE22'!D:D,'A0.LS'!E352),0)</f>
        <v>0</v>
      </c>
      <c r="BJ352" s="936">
        <f>ROUND(SUM(BH352:BI352),0)</f>
        <v>300000</v>
      </c>
      <c r="BK352" s="937"/>
      <c r="BL352" s="936">
        <f>ROUND(SUMIFS('911.KCG.YE22'!T:T,'911.KCG.YE22'!P:P,'A0.LS'!E352),0)</f>
        <v>0</v>
      </c>
      <c r="BM352" s="936">
        <f>ROUND(SUMIFS('A5.YE22'!J:J,'A5.YE22'!K:K,'A0.LS'!$BM$5,'A5.YE22'!L:L,"Posted",'A5.YE22'!D:D,'A0.LS'!E352),0)</f>
        <v>0</v>
      </c>
      <c r="BN352" s="936">
        <f>ROUND(SUM(BL352:BM352),0)</f>
        <v>0</v>
      </c>
      <c r="BO352" s="937"/>
      <c r="BP352" s="938">
        <v>1993849599</v>
      </c>
      <c r="BQ352" s="938">
        <f>-4</f>
        <v>-4</v>
      </c>
      <c r="BR352" s="938">
        <f>ROUND(SUM(BP352:BQ352),0)</f>
        <v>1993849595</v>
      </c>
    </row>
    <row r="353" spans="2:70" ht="12.75">
      <c r="B353" s="925"/>
      <c r="C353" s="926"/>
      <c r="D353" s="927"/>
      <c r="E353" s="928"/>
      <c r="F353" s="928"/>
      <c r="G353" s="928"/>
      <c r="H353" s="927"/>
      <c r="I353" s="929"/>
      <c r="J353" s="929"/>
      <c r="K353" s="929"/>
      <c r="L353" s="929"/>
      <c r="M353" s="930"/>
      <c r="N353" s="931"/>
      <c r="O353" s="931"/>
      <c r="P353" s="931"/>
      <c r="Q353" s="932"/>
      <c r="R353" s="898"/>
      <c r="S353" s="850"/>
      <c r="T353" s="850"/>
      <c r="U353" s="850"/>
      <c r="V353" s="850"/>
      <c r="W353" s="850"/>
      <c r="X353" s="947" t="s">
        <v>2190</v>
      </c>
      <c r="Y353" s="933"/>
      <c r="Z353" s="936">
        <f>ROUND(SUMIFS('GL911.CtyCon.FY24'!N:N,'GL911.CtyCon.FY24'!G:G,'A0.LS'!E353),0)</f>
        <v>0</v>
      </c>
      <c r="AA353" s="934"/>
      <c r="AB353" s="934"/>
      <c r="AC353" s="934"/>
      <c r="AD353" s="930"/>
      <c r="AE353" s="934"/>
      <c r="AF353" s="934"/>
      <c r="AG353" s="934"/>
      <c r="AH353" s="934"/>
      <c r="AI353" s="930"/>
      <c r="AJ353" s="934"/>
      <c r="AK353" s="934"/>
      <c r="AL353" s="934"/>
      <c r="AM353" s="930"/>
      <c r="AN353" s="935"/>
      <c r="AO353" s="935"/>
      <c r="AP353" s="935"/>
      <c r="AQ353" s="930"/>
      <c r="AR353" s="934"/>
      <c r="AS353" s="934"/>
      <c r="AT353" s="934"/>
      <c r="AU353" s="930"/>
      <c r="AV353" s="909"/>
      <c r="AW353" s="909"/>
      <c r="AX353" s="909"/>
      <c r="AY353" s="920"/>
      <c r="AZ353" s="936"/>
      <c r="BA353" s="936"/>
      <c r="BB353" s="936"/>
      <c r="BC353" s="937"/>
      <c r="BD353" s="936"/>
      <c r="BE353" s="936"/>
      <c r="BF353" s="936"/>
      <c r="BG353" s="937"/>
      <c r="BH353" s="936"/>
      <c r="BI353" s="936"/>
      <c r="BJ353" s="936"/>
      <c r="BK353" s="937"/>
      <c r="BL353" s="936"/>
      <c r="BM353" s="936"/>
      <c r="BN353" s="936"/>
      <c r="BO353" s="937"/>
      <c r="BP353" s="938"/>
      <c r="BQ353" s="938"/>
      <c r="BR353" s="938"/>
    </row>
    <row r="354" spans="2:70" ht="12.6" customHeight="1">
      <c r="B354" s="974">
        <v>52</v>
      </c>
      <c r="C354" s="975"/>
      <c r="D354" s="976"/>
      <c r="E354" s="977" t="s">
        <v>872</v>
      </c>
      <c r="F354" s="978" t="s">
        <v>871</v>
      </c>
      <c r="G354" s="976" t="s">
        <v>2277</v>
      </c>
      <c r="H354" s="927" t="s">
        <v>2222</v>
      </c>
      <c r="I354" s="942">
        <f>SUMIFS('GL911.Cty Me.FY24'!T:T,'GL911.Cty Me.FY24'!H:H,'A0.LS'!E354)</f>
        <v>0</v>
      </c>
      <c r="J354" s="979">
        <f>ROUND(SUMIFS('A5.FY24'!K:K,'A5.FY24'!E:E,'A0.LS'!E354,'A5.FY24'!L:L,"Finhay",'A5.FY24'!M:M,"Posted"),0)</f>
        <v>0</v>
      </c>
      <c r="K354" s="979">
        <f>ROUND(SUMIFS('A5.FY24'!K:K,'A5.FY24'!E:E,'A0.LS'!E354,'A5.FY24'!L:L,"EY",'A5.FY24'!M:M,"Posted"),0)</f>
        <v>0</v>
      </c>
      <c r="L354" s="979">
        <f>ROUND(SUM(I354:K354),0)</f>
        <v>0</v>
      </c>
      <c r="M354" s="980"/>
      <c r="N354" s="981">
        <f>SUMIFS('GL911.CTM.HY23'!Z:Z,'GL911.CTM.HY23'!W:W,'A0.LS'!E354)</f>
        <v>0</v>
      </c>
      <c r="O354" s="981">
        <v>0</v>
      </c>
      <c r="P354" s="981">
        <v>0</v>
      </c>
      <c r="Q354" s="982">
        <f>ROUND(SUM(N354:P354),0)</f>
        <v>0</v>
      </c>
      <c r="R354" s="898"/>
      <c r="S354" s="848">
        <f>L354-Q354</f>
        <v>0</v>
      </c>
      <c r="T354" s="946" t="str">
        <f>IFERROR(S354/Q354,"To check")</f>
        <v>To check</v>
      </c>
      <c r="U354" s="850"/>
      <c r="V354" s="850"/>
      <c r="W354" s="850"/>
      <c r="X354" s="947" t="s">
        <v>2190</v>
      </c>
      <c r="Y354" s="947" t="s">
        <v>2277</v>
      </c>
      <c r="Z354" s="936">
        <f>ROUND(SUMIFS('GL911.CtyCon.FY24'!N:N,'GL911.CtyCon.FY24'!G:G,'A0.LS'!E354),0)</f>
        <v>0</v>
      </c>
      <c r="AA354" s="936">
        <f>ROUND(SUMIFS('A5.CTC FY24'!K:K,'A5.CTC FY24'!E:E,'A0.LS'!E354,'A5.CTC FY24'!A:A,'A0.LS'!$AA$5,'A5.CTC FY24'!L:L,"Finhay",'A5.CTC FY24'!M:M,"Posted"),0)</f>
        <v>0</v>
      </c>
      <c r="AB354" s="936">
        <f>ROUND(SUMIFS('A5.CTC FY24'!K:K,'A5.CTC FY24'!E:E,'A0.LS'!E355,'A5.CTC FY24'!A:A,'A0.LS'!$AB$5,'A5.CTC FY24'!L:L,"EY",'A5.CTC FY24'!M:M,"Posted"),0)</f>
        <v>0</v>
      </c>
      <c r="AC354" s="948">
        <f>ROUND(SUM(Z354:AB354),0)</f>
        <v>0</v>
      </c>
      <c r="AD354" s="980"/>
      <c r="AE354" s="936">
        <f>SUMIFS('GL911 VNSC FY24'!T:T,'GL911 VNSC FY24'!AG:AG,'A0.LS'!E354)</f>
        <v>0</v>
      </c>
      <c r="AF354" s="936">
        <f>SUMIFS('A5.CTC FY24'!K:K,'A5.CTC FY24'!E:E,'A0.LS'!E354,'A5.CTC FY24'!A:A,"VNSC",'A5.CTC FY24'!L:L,"VNSC",'A5.CTC FY24'!M:M,"Posted")</f>
        <v>0</v>
      </c>
      <c r="AG354" s="936">
        <f>ROUND(SUMIFS('A5.CTC FY24'!K:K,'A5.CTC FY24'!E:E,'A0.LS'!E354,'A5.CTC FY24'!A:A,"VNSC",'A5.CTC FY24'!L:L,"EY",'A5.CTC FY24'!M:M,"Posted"),0)</f>
        <v>-56773985</v>
      </c>
      <c r="AH354" s="936">
        <f>ROUND(SUM(AE354:AG354),0)</f>
        <v>-56773985</v>
      </c>
      <c r="AI354" s="980"/>
      <c r="AJ354" s="936">
        <f>ROUND(SUMIFS('GL911.KCG.FY24'!L:L,'GL911.KCG.FY24'!F:F,'A0.LS'!E354),0)</f>
        <v>0</v>
      </c>
      <c r="AK354" s="936">
        <f>ROUND(SUMIFS('A5.CTC FY24'!K:K,'A5.CTC FY24'!E:E,'A0.LS'!E354,'A5.CTC FY24'!A:A,'A0.LS'!$AK$5,'A5.CTC FY24'!L:L,"EY",'A5.CTC FY24'!M:M,"Posted"),0)</f>
        <v>0</v>
      </c>
      <c r="AL354" s="948">
        <f>ROUND(SUM(AJ354:AK354),0)</f>
        <v>0</v>
      </c>
      <c r="AM354" s="980"/>
      <c r="AN354" s="949">
        <f>ROUND(SUM(AT354,AH354,AC354),0)</f>
        <v>-56773985</v>
      </c>
      <c r="AO354" s="950">
        <f>ROUND(SUMIFS('A5.Consol FY24'!L:L,'A5.Consol FY24'!M:M,"EY",'A5.Consol FY24'!N:N,"Posted",'A5.Consol FY24'!B:B,'A0.LS'!$AO$5,'A5.Consol FY24'!F:F,'A0.LS'!E354),0)</f>
        <v>0</v>
      </c>
      <c r="AP354" s="949">
        <f>ROUND(SUM(AN354:AO354),0)</f>
        <v>-56773985</v>
      </c>
      <c r="AQ354" s="980"/>
      <c r="AR354" s="936">
        <f>ROUND(SUMIFS('GL911.XH.FY24'!L:L,'GL911.XH.FY24'!F:F,'A0.LS'!E354),0)</f>
        <v>0</v>
      </c>
      <c r="AS354" s="936">
        <f>ROUND(SUMIFS('A5.CTC FY24'!K:K,'A5.CTC FY24'!A:A,'A0.LS'!$AS$5,'A5.CTC FY24'!L:L,"EY",'A5.CTC FY24'!M:M,"Posted"),0)</f>
        <v>0</v>
      </c>
      <c r="AT354" s="948">
        <f>ROUND(SUM(AR354:AS354),0)</f>
        <v>0</v>
      </c>
      <c r="AU354" s="980"/>
      <c r="AV354" s="951">
        <f>ROUND(SUM(AP354,AL354,L354),0)</f>
        <v>-56773985</v>
      </c>
      <c r="AW354" s="952">
        <f>SUMIFS('A5.Consol FY24'!L:L,'A5.Consol FY24'!B:B,'A0.LS'!$AW$5,'A5.Consol FY24'!M:M,"EY",'A5.Consol FY24'!N:N,"Posted",'A5.Consol FY24'!F:F,'A0.LS'!E354)</f>
        <v>0</v>
      </c>
      <c r="AX354" s="951">
        <f>ROUND(SUM(AV354:AW354),0)</f>
        <v>-56773985</v>
      </c>
      <c r="AY354" s="920"/>
      <c r="AZ354" s="936">
        <f>SUMIFS('911.CTC.YE22'!U:U,'911.CTC.YE22'!R:R,'A0.LS'!E354)</f>
        <v>0</v>
      </c>
      <c r="BA354" s="936">
        <f>ROUND(SUMIFS('A5.YE22'!J:J,'A5.YE22'!K:K,'A0.LS'!$BA$5,'A5.YE22'!L:L,"Posted",'A5.YE22'!D:D,'A0.LS'!E354),0)</f>
        <v>0</v>
      </c>
      <c r="BB354" s="936">
        <f>ROUND(SUM(AZ354:BA354),0)</f>
        <v>0</v>
      </c>
      <c r="BC354" s="983"/>
      <c r="BD354" s="936">
        <f>ROUND(SUMIFS('911.VNSC.YE22'!R:R,'911.VNSC.YE22'!L:L,'A0.LS'!E354),0)</f>
        <v>0</v>
      </c>
      <c r="BE354" s="936">
        <f>ROUND(SUMIFS('A5.YE22'!J:J,'A5.YE22'!K:K,'A0.LS'!$BE$5,'A5.YE22'!L:L,"Posted",'A5.YE22'!D:D,'A0.LS'!E354),0)</f>
        <v>0</v>
      </c>
      <c r="BF354" s="936">
        <f>ROUND(SUM(BD354:BE354),0)</f>
        <v>0</v>
      </c>
      <c r="BG354" s="983"/>
      <c r="BH354" s="936">
        <f>ROUND(SUMIFS('911.XH.YE22'!T:T,'911.XH.YE22'!P:P,'A0.LS'!E354),0)</f>
        <v>0</v>
      </c>
      <c r="BI354" s="936">
        <f>ROUND(SUMIFS('A5.YE22'!J:J,'A5.YE22'!K:K,"XH",'A5.YE22'!L:L,"Posted",'A5.YE22'!D:D,'A0.LS'!E354),0)</f>
        <v>0</v>
      </c>
      <c r="BJ354" s="936">
        <f>ROUND(SUM(BH354:BI354),0)</f>
        <v>0</v>
      </c>
      <c r="BK354" s="983"/>
      <c r="BL354" s="936">
        <f>ROUND(SUMIFS('911.KCG.YE22'!T:T,'911.KCG.YE22'!P:P,'A0.LS'!E354),0)</f>
        <v>0</v>
      </c>
      <c r="BM354" s="936">
        <f>ROUND(SUMIFS('A5.YE22'!J:J,'A5.YE22'!K:K,'A0.LS'!$BM$5,'A5.YE22'!L:L,"Posted",'A5.YE22'!D:D,'A0.LS'!E354),0)</f>
        <v>0</v>
      </c>
      <c r="BN354" s="936">
        <f>ROUND(SUM(BL354:BM354),0)</f>
        <v>0</v>
      </c>
      <c r="BO354" s="983"/>
      <c r="BP354" s="938">
        <f>ROUND(SUM(Q354,BB354,BF354,BJ354,BN354),0)</f>
        <v>0</v>
      </c>
      <c r="BQ354" s="938">
        <f>ROUND(SUMIFS('A5.YE22'!J:J,'A5.YE22'!K:K,'A0.LS'!$BQ$5,'A5.YE22'!L:L,"Posted",'A5.YE22'!D:D,'A0.LS'!E354),0)</f>
        <v>0</v>
      </c>
      <c r="BR354" s="938">
        <f>ROUND(SUM(BP354:BQ354),0)</f>
        <v>0</v>
      </c>
    </row>
    <row r="355" spans="2:70" ht="12.75">
      <c r="B355" s="984"/>
      <c r="C355" s="975"/>
      <c r="D355" s="976"/>
      <c r="E355" s="978"/>
      <c r="F355" s="978"/>
      <c r="G355" s="978"/>
      <c r="H355" s="976"/>
      <c r="I355" s="985"/>
      <c r="J355" s="985"/>
      <c r="K355" s="985"/>
      <c r="L355" s="985"/>
      <c r="M355" s="980"/>
      <c r="N355" s="986"/>
      <c r="O355" s="986"/>
      <c r="P355" s="986"/>
      <c r="Q355" s="987"/>
      <c r="R355" s="898"/>
      <c r="S355" s="850"/>
      <c r="T355" s="850"/>
      <c r="U355" s="850"/>
      <c r="V355" s="850"/>
      <c r="W355" s="850"/>
      <c r="X355" s="947" t="s">
        <v>2190</v>
      </c>
      <c r="Y355" s="933"/>
      <c r="Z355" s="934"/>
      <c r="AA355" s="934"/>
      <c r="AB355" s="934"/>
      <c r="AC355" s="934"/>
      <c r="AD355" s="980"/>
      <c r="AE355" s="934"/>
      <c r="AF355" s="934"/>
      <c r="AG355" s="934"/>
      <c r="AH355" s="934"/>
      <c r="AI355" s="980"/>
      <c r="AJ355" s="934"/>
      <c r="AK355" s="934"/>
      <c r="AL355" s="934"/>
      <c r="AM355" s="980"/>
      <c r="AN355" s="935"/>
      <c r="AO355" s="935"/>
      <c r="AP355" s="935"/>
      <c r="AQ355" s="980"/>
      <c r="AR355" s="934"/>
      <c r="AS355" s="934"/>
      <c r="AT355" s="934"/>
      <c r="AU355" s="980"/>
      <c r="AV355" s="909"/>
      <c r="AW355" s="909"/>
      <c r="AX355" s="909"/>
      <c r="AY355" s="920"/>
      <c r="AZ355" s="936"/>
      <c r="BA355" s="936"/>
      <c r="BB355" s="936"/>
      <c r="BC355" s="983"/>
      <c r="BD355" s="936"/>
      <c r="BE355" s="936"/>
      <c r="BF355" s="936"/>
      <c r="BG355" s="983"/>
      <c r="BH355" s="936"/>
      <c r="BI355" s="936"/>
      <c r="BJ355" s="936"/>
      <c r="BK355" s="983"/>
      <c r="BL355" s="936"/>
      <c r="BM355" s="936"/>
      <c r="BN355" s="936"/>
      <c r="BO355" s="983"/>
      <c r="BP355" s="938"/>
      <c r="BQ355" s="938"/>
      <c r="BR355" s="938"/>
    </row>
    <row r="356" spans="2:70" s="1" customFormat="1" ht="12.75">
      <c r="B356" s="314">
        <v>62</v>
      </c>
      <c r="C356" s="315"/>
      <c r="D356" s="316"/>
      <c r="E356" s="304" t="s">
        <v>1217</v>
      </c>
      <c r="F356" s="304" t="s">
        <v>2569</v>
      </c>
      <c r="G356" s="316" t="s">
        <v>2371</v>
      </c>
      <c r="H356" s="927" t="s">
        <v>675</v>
      </c>
      <c r="I356" s="91">
        <f>SUMIFS('GL911.Cty Me.FY24'!T:T,'GL911.Cty Me.FY24'!H:H,'A0.LS'!E356)</f>
        <v>0</v>
      </c>
      <c r="J356" s="317">
        <f>ROUND(SUMIFS('A5.FY24'!K:K,'A5.FY24'!E:E,'A0.LS'!E356,'A5.FY24'!L:L,"Finhay",'A5.FY24'!M:M,"Posted"),0)</f>
        <v>0</v>
      </c>
      <c r="K356" s="317">
        <f>ROUND(SUMIFS('A5.FY24'!K:K,'A5.FY24'!E:E,'A0.LS'!E356,'A5.FY24'!L:L,"EY",'A5.FY24'!M:M,"Posted"),0)</f>
        <v>0</v>
      </c>
      <c r="L356" s="317">
        <f>ROUND(SUM(I356:K356),0)</f>
        <v>0</v>
      </c>
      <c r="M356" s="318"/>
      <c r="N356" s="319">
        <f>SUMIFS('GL911.CTM.HY23'!Z:Z,'GL911.CTM.HY23'!W:W,'A0.LS'!E356)</f>
        <v>0</v>
      </c>
      <c r="O356" s="319">
        <f>SUMIFS('A5.YE22'!J:J,'A5.YE22'!D:D,'A0.LS'!E356,'A5.YE22'!K:K,"Finhay",'A5.YE22'!L:L,"Posted")</f>
        <v>0</v>
      </c>
      <c r="P356" s="319">
        <f>SUMIFS('A5.YE22'!J:J,'A5.YE22'!D:D,'A0.LS'!E356,'A5.YE22'!K:K,"EY",'A5.YE22'!L:L,"Posted")</f>
        <v>0</v>
      </c>
      <c r="Q356" s="320">
        <f>ROUND(SUM(N356:P356),0)</f>
        <v>0</v>
      </c>
      <c r="R356" s="298"/>
      <c r="S356" s="175">
        <f>L356-Q356</f>
        <v>0</v>
      </c>
      <c r="T356" s="176" t="str">
        <f>IFERROR(S356/Q356,"To check")</f>
        <v>To check</v>
      </c>
      <c r="X356" s="947" t="s">
        <v>2190</v>
      </c>
      <c r="Y356" s="321" t="s">
        <v>2371</v>
      </c>
      <c r="Z356" s="235">
        <f>ROUND(SUMIFS('GL911.CtyCon.FY24'!V:V,'GL911.CtyCon.FY24'!X:X,'A0.LS'!E356),0)</f>
        <v>0</v>
      </c>
      <c r="AA356" s="235">
        <f>ROUND(SUMIFS('A5.CTC FY24'!K:K,'A5.CTC FY24'!E:E,'A0.LS'!E356,'A5.CTC FY24'!A:A,'A0.LS'!$AA$5,'A5.CTC FY24'!L:L,"Finhay",'A5.CTC FY24'!M:M,"Posted"),0)</f>
        <v>0</v>
      </c>
      <c r="AB356" s="235">
        <f>ROUND(SUMIFS('A5.CTC FY24'!K:K,'A5.CTC FY24'!E:E,'A0.LS'!E357,'A5.CTC FY24'!A:A,'A0.LS'!$AB$5,'A5.CTC FY24'!L:L,"EY",'A5.CTC FY24'!M:M,"Posted"),0)</f>
        <v>0</v>
      </c>
      <c r="AC356" s="322">
        <f>ROUND(SUM(Z356:AB356),0)</f>
        <v>0</v>
      </c>
      <c r="AD356" s="318"/>
      <c r="AE356" s="235">
        <f>SUMIFS('GL911 VNSC FY24'!V:V,'GL911 VNSC FY24'!AB:AB,'A0.LS'!E356)</f>
        <v>0</v>
      </c>
      <c r="AF356" s="235">
        <f>SUMIFS('A5.CTC FY24'!K:K,'A5.CTC FY24'!E:E,'A0.LS'!E356,'A5.CTC FY24'!A:A,"VNSC",'A5.CTC FY24'!L:L,"VNSC",'A5.CTC FY24'!M:M,"Posted")</f>
        <v>0</v>
      </c>
      <c r="AG356" s="235">
        <f>ROUND(SUMIFS('A5.CTC FY24'!K:K,'A5.CTC FY24'!E:E,'A0.LS'!E356,'A5.CTC FY24'!A:A,"VNSC",'A5.CTC FY24'!L:L,"EY",'A5.CTC FY24'!M:M,"Posted"),0)</f>
        <v>0</v>
      </c>
      <c r="AH356" s="235">
        <f>ROUND(SUM(AE356:AG356),0)</f>
        <v>0</v>
      </c>
      <c r="AI356" s="318"/>
      <c r="AJ356" s="235">
        <f>ROUND(SUMIFS('GL911.KCG.FY24'!T:T,'GL911.KCG.FY24'!U:U,'A0.LS'!E356),0)</f>
        <v>0</v>
      </c>
      <c r="AK356" s="235">
        <f>ROUND(SUMIFS('A5.CTC FY24'!K:K,'A5.CTC FY24'!E:E,'A0.LS'!E356,'A5.CTC FY24'!A:A,'A0.LS'!$AK$5,'A5.CTC FY24'!L:L,"EY",'A5.CTC FY24'!M:M,"Posted"),0)</f>
        <v>0</v>
      </c>
      <c r="AL356" s="322">
        <f>ROUND(SUM(AJ356:AK356),0)</f>
        <v>0</v>
      </c>
      <c r="AM356" s="318"/>
      <c r="AN356" s="949">
        <f>ROUND(SUM(AT356,AH356,AC356),0)</f>
        <v>0</v>
      </c>
      <c r="AO356" s="950">
        <f>ROUND(SUMIFS('A5.Consol FY24'!L:L,'A5.Consol FY24'!M:M,"EY",'A5.Consol FY24'!N:N,"Posted",'A5.Consol FY24'!B:B,'A0.LS'!$AO$5,'A5.Consol FY24'!F:F,'A0.LS'!E356),0)</f>
        <v>-54156299</v>
      </c>
      <c r="AP356" s="949">
        <f>ROUND(SUM(AN356:AO356),0)</f>
        <v>-54156299</v>
      </c>
      <c r="AQ356" s="318"/>
      <c r="AR356" s="235">
        <f>ROUND(SUMIFS('GL911.XH.FY24'!Q:Q,'GL911.XH.FY24'!R:R,'A0.LS'!E356),0)</f>
        <v>0</v>
      </c>
      <c r="AS356" s="235">
        <f>ROUND(SUMIFS('A5.CTC FY24'!K:K,'A5.CTC FY24'!A:A,'A0.LS'!$AS$5,'A5.CTC FY24'!L:L,"EY",'A5.CTC FY24'!M:M,"Posted"),0)</f>
        <v>0</v>
      </c>
      <c r="AT356" s="322">
        <f>ROUND(SUM(AR356:AS356),0)</f>
        <v>0</v>
      </c>
      <c r="AU356" s="318"/>
      <c r="AV356" s="951">
        <f>ROUND(SUM(AP356,AL356,L356),0)</f>
        <v>-54156299</v>
      </c>
      <c r="AW356" s="952">
        <f>SUMIFS('A5.Consol FY24'!L:L,'A5.Consol FY24'!B:B,'A0.LS'!$AW$5,'A5.Consol FY24'!M:M,"EY",'A5.Consol FY24'!N:N,"Posted",'A5.Consol FY24'!F:F,'A0.LS'!E356)</f>
        <v>-1019028</v>
      </c>
      <c r="AX356" s="951">
        <f>ROUND(SUM(AV356:AW356),0)</f>
        <v>-55175327</v>
      </c>
      <c r="AY356" s="614"/>
      <c r="AZ356" s="936">
        <f>SUMIFS('911.CTC.YE22'!U:U,'911.CTC.YE22'!R:R,'A0.LS'!E356)</f>
        <v>0</v>
      </c>
      <c r="BA356" s="936">
        <f>ROUND(SUMIFS('A5.YE22'!J:J,'A5.YE22'!K:K,'A0.LS'!$BA$5,'A5.YE22'!L:L,"Posted",'A5.YE22'!D:D,'A0.LS'!E356),0)</f>
        <v>0</v>
      </c>
      <c r="BB356" s="936">
        <f>ROUND(SUM(AZ356:BA356),0)</f>
        <v>0</v>
      </c>
      <c r="BC356" s="446"/>
      <c r="BD356" s="936">
        <f>ROUND(SUMIFS('911.VNSC.YE22'!R:R,'911.VNSC.YE22'!L:L,'A0.LS'!E356),0)</f>
        <v>0</v>
      </c>
      <c r="BE356" s="936">
        <f>ROUND(SUMIFS('A5.YE22'!J:J,'A5.YE22'!K:K,'A0.LS'!$BE$5,'A5.YE22'!L:L,"Posted",'A5.YE22'!D:D,'A0.LS'!E356),0)</f>
        <v>0</v>
      </c>
      <c r="BF356" s="936">
        <f>ROUND(SUM(BD356:BE356),0)</f>
        <v>0</v>
      </c>
      <c r="BG356" s="446"/>
      <c r="BH356" s="936">
        <f>ROUND(SUMIFS('911.XH.YE22'!T:T,'911.XH.YE22'!P:P,'A0.LS'!E356),0)</f>
        <v>0</v>
      </c>
      <c r="BI356" s="936">
        <f>ROUND(SUMIFS('A5.YE22'!J:J,'A5.YE22'!K:K,"XH",'A5.YE22'!L:L,"Posted",'A5.YE22'!D:D,'A0.LS'!E356),0)</f>
        <v>0</v>
      </c>
      <c r="BJ356" s="936">
        <f>ROUND(SUM(BH356:BI356),0)</f>
        <v>0</v>
      </c>
      <c r="BK356" s="446"/>
      <c r="BL356" s="936">
        <f>ROUND(SUMIFS('911.KCG.YE22'!T:T,'911.KCG.YE22'!P:P,'A0.LS'!E356),0)</f>
        <v>0</v>
      </c>
      <c r="BM356" s="936">
        <f>ROUND(SUMIFS('A5.YE22'!J:J,'A5.YE22'!K:K,'A0.LS'!$BM$5,'A5.YE22'!L:L,"Posted",'A5.YE22'!D:D,'A0.LS'!E356),0)</f>
        <v>0</v>
      </c>
      <c r="BN356" s="936">
        <f>ROUND(SUM(BL356:BM356),0)</f>
        <v>0</v>
      </c>
      <c r="BO356" s="446"/>
      <c r="BP356" s="938">
        <f>ROUND(SUM(Q356,BB356,BF356,BJ356,BN356),0)</f>
        <v>0</v>
      </c>
      <c r="BQ356" s="938">
        <v>0</v>
      </c>
      <c r="BR356" s="938">
        <f>ROUND(SUM(BP356:BQ356),0)</f>
        <v>0</v>
      </c>
    </row>
    <row r="357" spans="2:70" ht="12.75">
      <c r="B357" s="984"/>
      <c r="C357" s="975"/>
      <c r="D357" s="976"/>
      <c r="E357" s="978"/>
      <c r="F357" s="978"/>
      <c r="G357" s="978"/>
      <c r="H357" s="976"/>
      <c r="I357" s="985"/>
      <c r="J357" s="985"/>
      <c r="K357" s="985"/>
      <c r="L357" s="985"/>
      <c r="M357" s="980"/>
      <c r="N357" s="986"/>
      <c r="O357" s="986"/>
      <c r="P357" s="986"/>
      <c r="Q357" s="987"/>
      <c r="R357" s="898"/>
      <c r="S357" s="850"/>
      <c r="T357" s="850"/>
      <c r="U357" s="850"/>
      <c r="V357" s="850"/>
      <c r="W357" s="850"/>
      <c r="X357" s="947" t="s">
        <v>2190</v>
      </c>
      <c r="Y357" s="933"/>
      <c r="Z357" s="934"/>
      <c r="AA357" s="934"/>
      <c r="AB357" s="934"/>
      <c r="AC357" s="934"/>
      <c r="AD357" s="980"/>
      <c r="AE357" s="934"/>
      <c r="AF357" s="934"/>
      <c r="AG357" s="934"/>
      <c r="AH357" s="934"/>
      <c r="AI357" s="980"/>
      <c r="AJ357" s="934"/>
      <c r="AK357" s="934"/>
      <c r="AL357" s="934"/>
      <c r="AM357" s="980"/>
      <c r="AN357" s="935"/>
      <c r="AO357" s="935"/>
      <c r="AP357" s="935"/>
      <c r="AQ357" s="980"/>
      <c r="AR357" s="934"/>
      <c r="AS357" s="934"/>
      <c r="AT357" s="934"/>
      <c r="AU357" s="980"/>
      <c r="AV357" s="909"/>
      <c r="AW357" s="909"/>
      <c r="AX357" s="909"/>
      <c r="AY357" s="920"/>
      <c r="AZ357" s="936"/>
      <c r="BA357" s="936"/>
      <c r="BB357" s="936"/>
      <c r="BC357" s="983"/>
      <c r="BD357" s="936"/>
      <c r="BE357" s="936"/>
      <c r="BF357" s="936"/>
      <c r="BG357" s="983"/>
      <c r="BH357" s="936"/>
      <c r="BI357" s="936"/>
      <c r="BJ357" s="936"/>
      <c r="BK357" s="983"/>
      <c r="BL357" s="936"/>
      <c r="BM357" s="936"/>
      <c r="BN357" s="936"/>
      <c r="BO357" s="983"/>
      <c r="BP357" s="938"/>
      <c r="BQ357" s="938"/>
      <c r="BR357" s="938"/>
    </row>
    <row r="358" spans="2:70" s="1" customFormat="1" ht="13.5" thickBot="1">
      <c r="B358" s="449"/>
      <c r="C358" s="450"/>
      <c r="D358" s="451"/>
      <c r="E358" s="76"/>
      <c r="F358" s="76" t="s">
        <v>2570</v>
      </c>
      <c r="G358" s="76"/>
      <c r="H358" s="451"/>
      <c r="I358" s="107">
        <f>SUM(I185,I209,I235,I250,I271,I302,I350,I354,I356)</f>
        <v>-22012038932</v>
      </c>
      <c r="J358" s="107">
        <f>SUM(J185,J209,J235,J250,J271,J302,J350,J354,J356)</f>
        <v>-30436257</v>
      </c>
      <c r="K358" s="107">
        <f>SUM(K185,K209,K235,K250,K271,K302,K350,K354,K356)</f>
        <v>20236173072</v>
      </c>
      <c r="L358" s="107">
        <f>SUM(L185,L209,L235,L250,L271,L302,L350,L354,L356)</f>
        <v>-1806302117</v>
      </c>
      <c r="M358" s="452"/>
      <c r="N358" s="73">
        <f>SUM(N185,N209,N235,N250,N271,N302,N350,N354,N356)</f>
        <v>358872870726</v>
      </c>
      <c r="O358" s="73">
        <f>SUM(O185,O209,O235,O250,O271,O302,O350,O354,O356)</f>
        <v>1149996666</v>
      </c>
      <c r="P358" s="73">
        <f>SUM(P185,P209,P235,P250,P271,P302,P350,P354,P356)</f>
        <v>-302896693289</v>
      </c>
      <c r="Q358" s="74">
        <f>SUM(Q185,Q209,Q235,Q250,Q271,Q302,Q350,Q354,Q356)</f>
        <v>57126174103</v>
      </c>
      <c r="R358" s="298"/>
      <c r="S358" s="175">
        <f>L358-Q358</f>
        <v>-58932476220</v>
      </c>
      <c r="T358" s="176">
        <f>IFERROR(S358/Q358,"To check")</f>
        <v>-1.0316195184670198</v>
      </c>
      <c r="X358" s="947" t="s">
        <v>2190</v>
      </c>
      <c r="Y358" s="304"/>
      <c r="Z358" s="235">
        <f>SUM(Z185,Z209,Z235,Z250,Z271,Z302,Z350,Z354,Z356)</f>
        <v>-408740169</v>
      </c>
      <c r="AA358" s="235">
        <f>SUM(AA185,AA209,AA235,AA250,AA271,AA302,AA350,AA354,AA356)</f>
        <v>600000</v>
      </c>
      <c r="AB358" s="235">
        <f>SUM(AB185,AB209,AB235,AB250,AB271,AB302,AB350,AB354,AB356)</f>
        <v>21994323936</v>
      </c>
      <c r="AC358" s="235">
        <f>SUM(AC185,AC209,AC235,AC250,AC271,AC302,AC350,AC354,AC356)</f>
        <v>21586183767</v>
      </c>
      <c r="AD358" s="239"/>
      <c r="AE358" s="235">
        <f>SUM(AE185,AE209,AE235,AE250,AE271,AE302,AE350,AE354,AE356)</f>
        <v>21564659840</v>
      </c>
      <c r="AF358" s="235">
        <f>SUM(AF185,AF209,AF235,AF250,AF271,AF302,AF350,AF354,AF356)</f>
        <v>0</v>
      </c>
      <c r="AG358" s="235">
        <f>SUM(AG185,AG209,AG235,AG250,AG271,AG302,AG350,AG354,AG356)</f>
        <v>549161594</v>
      </c>
      <c r="AH358" s="235">
        <f>SUM(AH185,AH209,AH235,AH250,AH271,AH302,AH350,AH354,AH356)</f>
        <v>22113821434</v>
      </c>
      <c r="AI358" s="239"/>
      <c r="AJ358" s="235">
        <f>SUM(AJ185,AJ209,AJ235,AJ250,AJ271,AJ302,AJ350,AJ354,AJ356)</f>
        <v>4076111</v>
      </c>
      <c r="AK358" s="235">
        <f>SUM(AK185,AK209,AK235,AK250,AK271,AK302,AK350,AK354,AK356)</f>
        <v>0</v>
      </c>
      <c r="AL358" s="235">
        <f>SUM(AL185,AL209,AL235,AL250,AL271,AL302,AL350,AL354,AL356)</f>
        <v>4076111</v>
      </c>
      <c r="AM358" s="239"/>
      <c r="AN358" s="237">
        <f>SUM(AN185,AN209,AN235,AN250,AN271,AN302,AN350,AN354,AN356)</f>
        <v>44426205417</v>
      </c>
      <c r="AO358" s="237">
        <f>SUM(AO185,AO209,AO235,AO250,AO271,AO302,AO350,AO354,AO356)</f>
        <v>-11581442922</v>
      </c>
      <c r="AP358" s="237">
        <f>SUM(AP185,AP209,AP235,AP250,AP271,AP302,AP350,AP354,AP356)</f>
        <v>32844762495</v>
      </c>
      <c r="AQ358" s="239"/>
      <c r="AR358" s="235">
        <f>SUM(AR185,AR209,AR235,AR250,AR271,AR302,AR350,AR354,AR356)</f>
        <v>-4827498</v>
      </c>
      <c r="AS358" s="235">
        <f>SUM(AS185,AS209,AS235,AS250,AS271,AS302,AS350,AS354,AS356)</f>
        <v>731027714</v>
      </c>
      <c r="AT358" s="235">
        <f>SUM(AT185,AT209,AT235,AT250,AT271,AT302,AT350,AT354,AT356)</f>
        <v>726200216</v>
      </c>
      <c r="AU358" s="239"/>
      <c r="AV358" s="238">
        <f>SUM(AV185,AV209,AV235,AV250,AV271,AV302,AV350,AV354,AV356)</f>
        <v>31042536489</v>
      </c>
      <c r="AW358" s="238">
        <f>SUM(AW185,AW209,AW235,AW250,AW271,AW302,AW350,AW354,AW356)</f>
        <v>-31006871277</v>
      </c>
      <c r="AX358" s="238">
        <f>SUM(AX185,AX209,AX235,AX250,AX271,AX302,AX350,AX354,AX356)</f>
        <v>35665212</v>
      </c>
      <c r="AY358" s="614"/>
      <c r="AZ358" s="235">
        <f>SUM(AZ185,AZ209,AZ235,AZ250,AZ271,AZ302,AZ350,AZ354,AZ356)</f>
        <v>125860324096</v>
      </c>
      <c r="BA358" s="235">
        <f>SUM(BA185,BA209,BA235,BA250,BA271,BA302,BA350,BA354,BA356)</f>
        <v>36508333</v>
      </c>
      <c r="BB358" s="235">
        <f>SUM(BB185,BB209,BB235,BB250,BB271,BB302,BB350,BB354,BB356)</f>
        <v>125896832429</v>
      </c>
      <c r="BC358" s="239"/>
      <c r="BD358" s="235">
        <f>SUM(BD185,BD209,BD235,BD250,BD271,BD302,BD350,BD354,BD356)</f>
        <v>-2926621933</v>
      </c>
      <c r="BE358" s="235">
        <f>SUM(BE185,BE209,BE235,BE250,BE271,BE302,BE350,BE354,BE356)</f>
        <v>0</v>
      </c>
      <c r="BF358" s="235">
        <f>SUM(BF185,BF209,BF235,BF250,BF271,BF302,BF350,BF354,BF356)</f>
        <v>-2926621933</v>
      </c>
      <c r="BG358" s="239"/>
      <c r="BH358" s="235">
        <f>SUM(BH185,BH209,BH235,BH250,BH271,BH302,BH350,BH354,BH356)</f>
        <v>33027922</v>
      </c>
      <c r="BI358" s="235">
        <f>SUM(BI185,BI209,BI235,BI250,BI271,BI302,BI350,BI354,BI356)</f>
        <v>0</v>
      </c>
      <c r="BJ358" s="235">
        <f>SUM(BJ185,BJ209,BJ235,BJ250,BJ271,BJ302,BJ350,BJ354,BJ356)</f>
        <v>33027922</v>
      </c>
      <c r="BK358" s="239"/>
      <c r="BL358" s="235">
        <f>SUM(BL185,BL209,BL235,BL250,BL271,BL302,BL350,BL354,BL356)</f>
        <v>157283</v>
      </c>
      <c r="BM358" s="235">
        <f>SUM(BM185,BM209,BM235,BM250,BM271,BM302,BM350,BM354,BM356)</f>
        <v>0</v>
      </c>
      <c r="BN358" s="235">
        <f>SUM(BN185,BN209,BN235,BN250,BN271,BN302,BN350,BN354,BN356)</f>
        <v>157283</v>
      </c>
      <c r="BO358" s="239"/>
      <c r="BP358" s="443">
        <f>SUM(BP185,BP209,BP235,BP250,BP271,BP302,BP350,BP354,BP356)</f>
        <v>71616073327</v>
      </c>
      <c r="BQ358" s="443">
        <f>SUM(BQ185,BQ209,BQ235,BQ250,BQ271,BQ302,BQ350,BQ354,BQ356)</f>
        <v>-30286142301</v>
      </c>
      <c r="BR358" s="443">
        <f>SUM(BR185,BR209,BR235,BR250,BR271,BR302,BR350,BR354,BR356)</f>
        <v>41329931026</v>
      </c>
    </row>
    <row r="359" spans="2:70">
      <c r="B359" s="850"/>
      <c r="C359" s="850"/>
      <c r="D359" s="899"/>
      <c r="E359" s="850"/>
      <c r="F359" s="850"/>
      <c r="G359" s="850"/>
      <c r="H359" s="899"/>
      <c r="I359" s="850"/>
      <c r="J359" s="850"/>
      <c r="K359" s="850"/>
      <c r="L359" s="850"/>
      <c r="M359" s="850"/>
      <c r="N359" s="850"/>
      <c r="O359" s="850"/>
      <c r="P359" s="850"/>
      <c r="Q359" s="850"/>
      <c r="R359" s="850"/>
      <c r="S359" s="850"/>
      <c r="T359" s="850"/>
      <c r="U359" s="850"/>
      <c r="V359" s="850"/>
      <c r="W359" s="850"/>
      <c r="X359" s="947" t="s">
        <v>2190</v>
      </c>
      <c r="Y359" s="850"/>
      <c r="Z359" s="850"/>
      <c r="AA359" s="850"/>
      <c r="AB359" s="850"/>
      <c r="AC359" s="850"/>
      <c r="AD359" s="850"/>
      <c r="AE359" s="850"/>
      <c r="AF359" s="850"/>
      <c r="AG359" s="850"/>
      <c r="AH359" s="850"/>
      <c r="AI359" s="850"/>
      <c r="AM359" s="850"/>
      <c r="AN359" s="850"/>
      <c r="AO359" s="850"/>
      <c r="AP359" s="850"/>
      <c r="AQ359" s="850"/>
      <c r="AR359" s="850"/>
      <c r="AS359" s="850"/>
      <c r="AT359" s="850"/>
      <c r="AU359" s="850"/>
      <c r="AV359" s="850"/>
      <c r="AW359" s="850"/>
      <c r="AX359" s="850"/>
      <c r="AY359" s="920"/>
      <c r="AZ359" s="850"/>
      <c r="BA359" s="850"/>
      <c r="BB359" s="850"/>
      <c r="BC359" s="850"/>
      <c r="BD359" s="850"/>
      <c r="BE359" s="850"/>
      <c r="BF359" s="850"/>
      <c r="BG359" s="850"/>
      <c r="BH359" s="850"/>
      <c r="BI359" s="850"/>
      <c r="BJ359" s="850"/>
      <c r="BK359" s="850"/>
      <c r="BL359" s="850"/>
      <c r="BM359" s="850"/>
      <c r="BN359" s="850"/>
      <c r="BO359" s="850"/>
      <c r="BP359" s="850"/>
      <c r="BQ359" s="850"/>
      <c r="BR359" s="850"/>
    </row>
    <row r="360" spans="2:70" ht="12.75">
      <c r="B360" s="850"/>
      <c r="C360" s="850"/>
      <c r="D360" s="899"/>
      <c r="E360" s="850"/>
      <c r="F360" s="1" t="s">
        <v>1970</v>
      </c>
      <c r="G360" s="850"/>
      <c r="H360" s="899"/>
      <c r="I360" s="234">
        <f>I358-I176</f>
        <v>0</v>
      </c>
      <c r="J360" s="234">
        <f>J358-J176</f>
        <v>0</v>
      </c>
      <c r="K360" s="234">
        <f>K358-K176</f>
        <v>0</v>
      </c>
      <c r="L360" s="234">
        <f>L358-L176</f>
        <v>0</v>
      </c>
      <c r="M360" s="1"/>
      <c r="N360" s="234">
        <f>N358-N176</f>
        <v>0</v>
      </c>
      <c r="O360" s="234">
        <f>O358-O176</f>
        <v>0</v>
      </c>
      <c r="P360" s="234">
        <f>P358-P176</f>
        <v>0</v>
      </c>
      <c r="Q360" s="234">
        <f>Q358-Q176</f>
        <v>0</v>
      </c>
      <c r="R360" s="1"/>
      <c r="S360" s="234">
        <f>S358-S176</f>
        <v>0</v>
      </c>
      <c r="T360" s="1"/>
      <c r="U360" s="1"/>
      <c r="V360" s="1"/>
      <c r="W360" s="1"/>
      <c r="X360" s="947" t="s">
        <v>2190</v>
      </c>
      <c r="Y360" s="1"/>
      <c r="Z360" s="234">
        <f>Z358-Z176</f>
        <v>0</v>
      </c>
      <c r="AA360" s="234">
        <f>AA358-AA176</f>
        <v>0</v>
      </c>
      <c r="AB360" s="234">
        <f>AB358-AB176</f>
        <v>0</v>
      </c>
      <c r="AC360" s="234">
        <f>AC358-AC176</f>
        <v>0</v>
      </c>
      <c r="AD360" s="1"/>
      <c r="AE360" s="234">
        <f>-AE176+AE358</f>
        <v>0</v>
      </c>
      <c r="AF360" s="234">
        <f>AF358-AF176</f>
        <v>0</v>
      </c>
      <c r="AG360" s="234">
        <f>AG358-AG176</f>
        <v>0</v>
      </c>
      <c r="AH360" s="234">
        <f>AH358-AH176</f>
        <v>0</v>
      </c>
      <c r="AI360" s="1"/>
      <c r="AJ360" s="234">
        <f>AJ358-AJ176</f>
        <v>0</v>
      </c>
      <c r="AK360" s="234">
        <f>AK358-AK176</f>
        <v>0</v>
      </c>
      <c r="AL360" s="234">
        <f>AL358-AL176</f>
        <v>0</v>
      </c>
      <c r="AM360" s="1"/>
      <c r="AN360" s="234">
        <f>AN358-AN176</f>
        <v>0</v>
      </c>
      <c r="AO360" s="234">
        <f>AO358-AO176</f>
        <v>-1378487464</v>
      </c>
      <c r="AP360" s="234">
        <f>AP358-AP176</f>
        <v>-1378487464</v>
      </c>
      <c r="AQ360" s="1"/>
      <c r="AR360" s="234">
        <f>AR358-AR176</f>
        <v>0</v>
      </c>
      <c r="AS360" s="234">
        <f>AS358-AS176</f>
        <v>0</v>
      </c>
      <c r="AT360" s="234">
        <f>AT358-AT176</f>
        <v>0</v>
      </c>
      <c r="AU360" s="1"/>
      <c r="AV360" s="234">
        <f>AV358-AV176</f>
        <v>-1378487464</v>
      </c>
      <c r="AW360" s="234">
        <f>AW358-AW176</f>
        <v>0</v>
      </c>
      <c r="AX360" s="234">
        <f>AX358-AX176</f>
        <v>-1378487464</v>
      </c>
      <c r="AY360" s="920"/>
      <c r="AZ360" s="234">
        <f>AZ358-AZ176</f>
        <v>0</v>
      </c>
      <c r="BA360" s="234">
        <f>BA358-BA176</f>
        <v>0</v>
      </c>
      <c r="BB360" s="234">
        <f>BB358-BB176</f>
        <v>0</v>
      </c>
      <c r="BC360" s="1"/>
      <c r="BD360" s="234">
        <f>BD358-BD176</f>
        <v>0</v>
      </c>
      <c r="BE360" s="234">
        <f>BE358-BE176</f>
        <v>0</v>
      </c>
      <c r="BF360" s="234">
        <f>BF358-BF176</f>
        <v>0</v>
      </c>
      <c r="BG360" s="1"/>
      <c r="BH360" s="234">
        <f>BH358-BH176</f>
        <v>0</v>
      </c>
      <c r="BI360" s="234">
        <f>BI358-BI176</f>
        <v>0</v>
      </c>
      <c r="BJ360" s="234">
        <f>BJ358-BJ176</f>
        <v>0</v>
      </c>
      <c r="BK360" s="1"/>
      <c r="BL360" s="234">
        <f>BL358-BL176</f>
        <v>0</v>
      </c>
      <c r="BM360" s="234">
        <f>BM358-BM176</f>
        <v>0</v>
      </c>
      <c r="BN360" s="234">
        <f>BN358-BN176</f>
        <v>0</v>
      </c>
      <c r="BO360" s="1"/>
      <c r="BP360" s="234">
        <f>BP358-BP176</f>
        <v>-1957024436</v>
      </c>
      <c r="BQ360" s="234">
        <f>BQ358-BQ176</f>
        <v>-702299587</v>
      </c>
      <c r="BR360" s="234">
        <f>BR358-BR176</f>
        <v>-2659324023</v>
      </c>
    </row>
    <row r="361" spans="2:70">
      <c r="B361" s="850"/>
      <c r="C361" s="850"/>
      <c r="D361" s="899"/>
      <c r="E361" s="850"/>
      <c r="F361" s="850"/>
      <c r="G361" s="850"/>
      <c r="H361" s="899"/>
      <c r="I361" s="850"/>
      <c r="J361" s="850"/>
      <c r="K361" s="850"/>
      <c r="L361" s="857"/>
      <c r="M361" s="850"/>
      <c r="N361" s="850"/>
      <c r="O361" s="850"/>
      <c r="P361" s="850"/>
      <c r="Q361" s="850"/>
      <c r="R361" s="850"/>
      <c r="S361" s="850"/>
      <c r="T361" s="850"/>
      <c r="U361" s="850"/>
      <c r="V361" s="850"/>
      <c r="W361" s="850"/>
      <c r="X361" s="947" t="s">
        <v>2190</v>
      </c>
      <c r="Y361" s="850"/>
      <c r="Z361" s="857"/>
      <c r="AA361" s="850"/>
      <c r="AB361" s="850"/>
      <c r="AC361" s="850"/>
      <c r="AD361" s="850"/>
      <c r="AE361" s="850"/>
      <c r="AF361" s="850"/>
      <c r="AG361" s="850"/>
      <c r="AH361" s="850"/>
      <c r="AI361" s="850"/>
      <c r="AM361" s="850"/>
      <c r="AN361" s="850"/>
      <c r="AO361" s="850"/>
      <c r="AP361" s="850"/>
      <c r="AQ361" s="850"/>
      <c r="AR361" s="850"/>
      <c r="AS361" s="850"/>
      <c r="AT361" s="850"/>
      <c r="AU361" s="850"/>
      <c r="AV361" s="850"/>
      <c r="AW361" s="850"/>
      <c r="AX361" s="850"/>
      <c r="AY361" s="920"/>
      <c r="AZ361" s="850"/>
      <c r="BA361" s="850"/>
      <c r="BB361" s="850"/>
      <c r="BC361" s="850"/>
      <c r="BD361" s="850"/>
      <c r="BE361" s="850"/>
      <c r="BF361" s="850"/>
      <c r="BG361" s="850"/>
      <c r="BH361" s="850"/>
      <c r="BI361" s="850"/>
      <c r="BJ361" s="850"/>
      <c r="BK361" s="850"/>
      <c r="BL361" s="850"/>
      <c r="BM361" s="850"/>
      <c r="BN361" s="850"/>
      <c r="BO361" s="850"/>
      <c r="BP361" s="850"/>
      <c r="BQ361" s="850"/>
      <c r="BR361" s="850"/>
    </row>
    <row r="362" spans="2:70">
      <c r="B362" s="850"/>
      <c r="C362" s="850"/>
      <c r="D362" s="899"/>
      <c r="E362" s="850"/>
      <c r="F362" s="850"/>
      <c r="G362" s="850"/>
      <c r="H362" s="899"/>
      <c r="I362" s="850"/>
      <c r="J362" s="850"/>
      <c r="K362" s="857"/>
      <c r="L362" s="850"/>
      <c r="M362" s="850"/>
      <c r="N362" s="850"/>
      <c r="O362" s="850"/>
      <c r="P362" s="850"/>
      <c r="Q362" s="850"/>
      <c r="R362" s="850"/>
      <c r="S362" s="850"/>
      <c r="T362" s="850"/>
      <c r="U362" s="850"/>
      <c r="V362" s="850"/>
      <c r="W362" s="850"/>
      <c r="X362" s="947" t="s">
        <v>2190</v>
      </c>
      <c r="Y362" s="850"/>
      <c r="Z362" s="850"/>
      <c r="AA362" s="850"/>
      <c r="AB362" s="850"/>
      <c r="AC362" s="850"/>
      <c r="AD362" s="850"/>
      <c r="AE362" s="850"/>
      <c r="AF362" s="850"/>
      <c r="AG362" s="850"/>
      <c r="AH362" s="850"/>
      <c r="AI362" s="850"/>
      <c r="AM362" s="850"/>
      <c r="AN362" s="850"/>
      <c r="AO362" s="850"/>
      <c r="AP362" s="850"/>
      <c r="AQ362" s="850"/>
      <c r="AR362" s="850"/>
      <c r="AS362" s="850"/>
      <c r="AT362" s="850"/>
      <c r="AU362" s="850"/>
      <c r="AV362" s="850"/>
      <c r="AW362" s="850"/>
      <c r="AX362" s="850"/>
      <c r="AY362" s="920"/>
      <c r="AZ362" s="850"/>
      <c r="BA362" s="850"/>
      <c r="BB362" s="850"/>
      <c r="BC362" s="850"/>
      <c r="BD362" s="850"/>
      <c r="BE362" s="850"/>
      <c r="BF362" s="850"/>
      <c r="BG362" s="850"/>
      <c r="BH362" s="850"/>
      <c r="BI362" s="850"/>
      <c r="BJ362" s="850"/>
      <c r="BK362" s="850"/>
      <c r="BL362" s="850"/>
      <c r="BM362" s="850"/>
      <c r="BN362" s="850"/>
      <c r="BO362" s="850"/>
      <c r="BP362" s="850"/>
      <c r="BQ362" s="850"/>
      <c r="BR362" s="850"/>
    </row>
    <row r="363" spans="2:70">
      <c r="B363" s="850"/>
      <c r="C363" s="850"/>
      <c r="D363" s="899"/>
      <c r="E363" s="850"/>
      <c r="F363" s="850"/>
      <c r="G363" s="850"/>
      <c r="H363" s="899"/>
      <c r="I363" s="850"/>
      <c r="J363" s="850"/>
      <c r="K363" s="850"/>
      <c r="L363" s="857"/>
      <c r="M363" s="850"/>
      <c r="N363" s="850"/>
      <c r="O363" s="850"/>
      <c r="P363" s="850"/>
      <c r="Q363" s="850"/>
      <c r="R363" s="850"/>
      <c r="S363" s="850"/>
      <c r="T363" s="850"/>
      <c r="U363" s="850"/>
      <c r="V363" s="850"/>
      <c r="W363" s="850"/>
      <c r="X363" s="947" t="s">
        <v>2190</v>
      </c>
      <c r="Y363" s="850"/>
      <c r="Z363" s="850"/>
      <c r="AA363" s="850"/>
      <c r="AB363" s="850"/>
      <c r="AC363" s="857"/>
      <c r="AD363" s="850"/>
      <c r="AE363" s="850"/>
      <c r="AF363" s="850"/>
      <c r="AG363" s="850"/>
      <c r="AH363" s="850"/>
      <c r="AI363" s="850"/>
      <c r="AM363" s="850"/>
      <c r="AN363" s="850"/>
      <c r="AO363" s="850"/>
      <c r="AP363" s="850"/>
      <c r="AQ363" s="850"/>
      <c r="AR363" s="850"/>
      <c r="AS363" s="850"/>
      <c r="AT363" s="850"/>
      <c r="AU363" s="850"/>
      <c r="AV363" s="850"/>
      <c r="AW363" s="850"/>
      <c r="AX363" s="850"/>
      <c r="AY363" s="920"/>
      <c r="AZ363" s="850"/>
      <c r="BA363" s="850"/>
      <c r="BB363" s="850"/>
      <c r="BC363" s="850"/>
      <c r="BD363" s="850"/>
      <c r="BE363" s="850"/>
      <c r="BF363" s="850"/>
      <c r="BG363" s="850"/>
      <c r="BH363" s="850"/>
      <c r="BI363" s="850"/>
      <c r="BJ363" s="850"/>
      <c r="BK363" s="850"/>
      <c r="BL363" s="850"/>
      <c r="BM363" s="850"/>
      <c r="BN363" s="850"/>
      <c r="BO363" s="850"/>
      <c r="BP363" s="850"/>
      <c r="BQ363" s="850"/>
      <c r="BR363" s="850"/>
    </row>
    <row r="364" spans="2:70">
      <c r="B364" s="850"/>
      <c r="C364" s="850"/>
      <c r="D364" s="899"/>
      <c r="E364" s="850"/>
      <c r="F364" s="850"/>
      <c r="G364" s="850"/>
      <c r="H364" s="899"/>
      <c r="I364" s="850"/>
      <c r="J364" s="850"/>
      <c r="K364" s="850"/>
      <c r="L364" s="857"/>
      <c r="M364" s="850"/>
      <c r="N364" s="850"/>
      <c r="O364" s="850"/>
      <c r="P364" s="850"/>
      <c r="Q364" s="850"/>
      <c r="R364" s="850"/>
      <c r="S364" s="850"/>
      <c r="T364" s="850"/>
      <c r="U364" s="850"/>
      <c r="V364" s="850"/>
      <c r="W364" s="850"/>
      <c r="X364" s="947" t="s">
        <v>2190</v>
      </c>
      <c r="Y364" s="850"/>
      <c r="Z364" s="850"/>
      <c r="AA364" s="850"/>
      <c r="AB364" s="850"/>
      <c r="AC364" s="850"/>
      <c r="AD364" s="850"/>
      <c r="AE364" s="850"/>
      <c r="AF364" s="850"/>
      <c r="AG364" s="850"/>
      <c r="AH364" s="850"/>
      <c r="AI364" s="850"/>
      <c r="AM364" s="850"/>
      <c r="AN364" s="850"/>
      <c r="AO364" s="850" t="s">
        <v>2571</v>
      </c>
      <c r="AP364" s="850"/>
      <c r="AQ364" s="850"/>
      <c r="AR364" s="850"/>
      <c r="AS364" s="850"/>
      <c r="AT364" s="850"/>
      <c r="AU364" s="850"/>
      <c r="AV364" s="850" t="s">
        <v>2571</v>
      </c>
      <c r="AW364" s="850"/>
      <c r="AX364" s="850" t="s">
        <v>2571</v>
      </c>
      <c r="AY364" s="920"/>
      <c r="AZ364" s="850"/>
      <c r="BA364" s="850"/>
      <c r="BB364" s="850"/>
      <c r="BC364" s="850"/>
      <c r="BD364" s="850"/>
      <c r="BE364" s="850"/>
      <c r="BF364" s="850"/>
      <c r="BG364" s="850"/>
      <c r="BH364" s="850"/>
      <c r="BI364" s="850"/>
      <c r="BJ364" s="850"/>
      <c r="BK364" s="850"/>
      <c r="BL364" s="850"/>
      <c r="BM364" s="850"/>
      <c r="BN364" s="850"/>
      <c r="BO364" s="850"/>
      <c r="BP364" s="850"/>
      <c r="BQ364" s="850"/>
      <c r="BR364" s="850"/>
    </row>
    <row r="365" spans="2:70">
      <c r="B365" s="850"/>
      <c r="C365" s="850"/>
      <c r="D365" s="899"/>
      <c r="E365" s="850"/>
      <c r="F365" s="850"/>
      <c r="G365" s="850"/>
      <c r="H365" s="899"/>
      <c r="I365" s="850"/>
      <c r="J365" s="850"/>
      <c r="K365" s="850"/>
      <c r="L365" s="850"/>
      <c r="M365" s="850"/>
      <c r="N365" s="850"/>
      <c r="O365" s="850"/>
      <c r="P365" s="850"/>
      <c r="Q365" s="850"/>
      <c r="R365" s="850"/>
      <c r="S365" s="850"/>
      <c r="T365" s="850"/>
      <c r="U365" s="850"/>
      <c r="V365" s="850"/>
      <c r="W365" s="850"/>
      <c r="X365" s="947" t="s">
        <v>2190</v>
      </c>
      <c r="Y365" s="850"/>
      <c r="Z365" s="850"/>
      <c r="AA365" s="850"/>
      <c r="AB365" s="850"/>
      <c r="AC365" s="850"/>
      <c r="AD365" s="850"/>
      <c r="AE365" s="850"/>
      <c r="AF365" s="850"/>
      <c r="AG365" s="850"/>
      <c r="AH365" s="850"/>
      <c r="AI365" s="850"/>
      <c r="AM365" s="850"/>
      <c r="AN365" s="850"/>
      <c r="AO365" s="850" t="str">
        <f>'A5.Consol FY24'!D117</f>
        <v>Điều chỉnh giảm giá trị NCI tương ứng với Net Asset sau khi phát hành thêm cổ phiếu ngày 12/1/2024</v>
      </c>
      <c r="AP365" s="848">
        <f>'A5.Consol FY24'!L119</f>
        <v>-27974984</v>
      </c>
      <c r="AQ365" s="850"/>
      <c r="AR365" s="850"/>
      <c r="AS365" s="850"/>
      <c r="AT365" s="850"/>
      <c r="AU365" s="850"/>
      <c r="AV365" s="850"/>
      <c r="AW365" s="850"/>
      <c r="AX365" s="850"/>
      <c r="AY365" s="920"/>
      <c r="AZ365" s="850"/>
      <c r="BA365" s="850"/>
      <c r="BB365" s="850"/>
      <c r="BC365" s="850"/>
      <c r="BD365" s="850"/>
      <c r="BE365" s="850"/>
      <c r="BF365" s="850"/>
      <c r="BG365" s="850"/>
      <c r="BH365" s="850"/>
      <c r="BI365" s="850"/>
      <c r="BJ365" s="850"/>
      <c r="BK365" s="850"/>
      <c r="BL365" s="850"/>
      <c r="BM365" s="850"/>
      <c r="BN365" s="850"/>
      <c r="BO365" s="850"/>
      <c r="BP365" s="850"/>
      <c r="BQ365" s="850"/>
      <c r="BR365" s="850"/>
    </row>
    <row r="366" spans="2:70">
      <c r="B366" s="850"/>
      <c r="C366" s="850"/>
      <c r="D366" s="899"/>
      <c r="E366" s="850"/>
      <c r="F366" s="850"/>
      <c r="G366" s="850"/>
      <c r="H366" s="899"/>
      <c r="I366" s="850"/>
      <c r="J366" s="850"/>
      <c r="K366" s="850"/>
      <c r="L366" s="850"/>
      <c r="M366" s="850"/>
      <c r="N366" s="850"/>
      <c r="O366" s="850"/>
      <c r="P366" s="850"/>
      <c r="Q366" s="850"/>
      <c r="R366" s="850"/>
      <c r="S366" s="850"/>
      <c r="T366" s="850"/>
      <c r="U366" s="850"/>
      <c r="V366" s="850"/>
      <c r="W366" s="850"/>
      <c r="X366" s="947" t="s">
        <v>2190</v>
      </c>
      <c r="Y366" s="850"/>
      <c r="Z366" s="850"/>
      <c r="AA366" s="850"/>
      <c r="AB366" s="850"/>
      <c r="AC366" s="850"/>
      <c r="AD366" s="850"/>
      <c r="AE366" s="850"/>
      <c r="AF366" s="850"/>
      <c r="AG366" s="850"/>
      <c r="AH366" s="850"/>
      <c r="AI366" s="850"/>
      <c r="AM366" s="850"/>
      <c r="AN366" s="850"/>
      <c r="AO366" s="850" t="str">
        <f>'A5.Consol FY24'!D121</f>
        <v>Điều chỉnh giảm giá trị NCI tương ứng với Net Asset sau khi Parent mua lại cổ phiếu vào tháng 6/2024</v>
      </c>
      <c r="AP366" s="848">
        <f>'A5.Consol FY24'!L123</f>
        <v>627896288</v>
      </c>
      <c r="AQ366" s="850"/>
      <c r="AR366" s="850"/>
      <c r="AS366" s="850"/>
      <c r="AT366" s="850"/>
      <c r="AU366" s="850"/>
      <c r="AV366" s="850"/>
      <c r="AW366" s="850"/>
      <c r="AX366" s="850"/>
      <c r="AY366" s="920"/>
      <c r="AZ366" s="850"/>
      <c r="BA366" s="850"/>
      <c r="BB366" s="850"/>
      <c r="BC366" s="850"/>
      <c r="BD366" s="850"/>
      <c r="BE366" s="850"/>
      <c r="BF366" s="850"/>
      <c r="BG366" s="850"/>
      <c r="BH366" s="850"/>
      <c r="BI366" s="850"/>
      <c r="BJ366" s="850"/>
      <c r="BK366" s="850"/>
      <c r="BL366" s="850"/>
      <c r="BM366" s="850"/>
      <c r="BN366" s="850"/>
      <c r="BO366" s="850"/>
      <c r="BP366" s="850"/>
      <c r="BQ366" s="850"/>
      <c r="BR366" s="850"/>
    </row>
    <row r="367" spans="2:70">
      <c r="B367" s="850"/>
      <c r="C367" s="850"/>
      <c r="D367" s="899"/>
      <c r="E367" s="850"/>
      <c r="F367" s="850"/>
      <c r="G367" s="850"/>
      <c r="H367" s="899"/>
      <c r="I367" s="850"/>
      <c r="J367" s="850"/>
      <c r="K367" s="850"/>
      <c r="L367" s="850"/>
      <c r="M367" s="850"/>
      <c r="N367" s="850"/>
      <c r="O367" s="850"/>
      <c r="P367" s="850"/>
      <c r="Q367" s="850"/>
      <c r="R367" s="850"/>
      <c r="S367" s="850"/>
      <c r="T367" s="850"/>
      <c r="U367" s="850"/>
      <c r="V367" s="850"/>
      <c r="W367" s="850"/>
      <c r="X367" s="947" t="s">
        <v>2190</v>
      </c>
      <c r="Y367" s="850"/>
      <c r="Z367" s="850"/>
      <c r="AA367" s="850"/>
      <c r="AB367" s="850"/>
      <c r="AC367" s="850"/>
      <c r="AD367" s="850"/>
      <c r="AE367" s="850"/>
      <c r="AF367" s="850"/>
      <c r="AG367" s="850"/>
      <c r="AH367" s="850"/>
      <c r="AI367" s="850"/>
      <c r="AM367" s="850"/>
      <c r="AN367" s="850"/>
      <c r="AO367" s="850" t="str">
        <f>'A5.Consol FY24'!D91</f>
        <v>Phân bổ lại lợi nhuận chưa phân phối do thay đổi tỷ lệ kiểm soát (Mua lại nốt cổ phần của chị Vân)</v>
      </c>
      <c r="AP367" s="848">
        <f>'A5.Consol FY24'!L93</f>
        <v>778566160</v>
      </c>
      <c r="AQ367" s="850"/>
      <c r="AR367" s="850"/>
      <c r="AS367" s="850"/>
      <c r="AT367" s="850"/>
      <c r="AU367" s="850"/>
      <c r="AV367" s="850"/>
      <c r="AW367" s="850"/>
      <c r="AX367" s="850"/>
      <c r="AY367" s="920"/>
      <c r="AZ367" s="850"/>
      <c r="BA367" s="850"/>
      <c r="BB367" s="850"/>
      <c r="BC367" s="850"/>
      <c r="BD367" s="850"/>
      <c r="BE367" s="850"/>
      <c r="BF367" s="850"/>
      <c r="BG367" s="850"/>
      <c r="BH367" s="850"/>
      <c r="BI367" s="850"/>
      <c r="BJ367" s="850"/>
      <c r="BK367" s="850"/>
      <c r="BL367" s="850"/>
      <c r="BM367" s="850"/>
      <c r="BN367" s="850"/>
      <c r="BO367" s="850"/>
      <c r="BP367" s="850"/>
      <c r="BQ367" s="850"/>
      <c r="BR367" s="850"/>
    </row>
    <row r="368" spans="2:70">
      <c r="B368" s="850"/>
      <c r="C368" s="850"/>
      <c r="D368" s="899"/>
      <c r="E368" s="850"/>
      <c r="F368" s="850"/>
      <c r="G368" s="850"/>
      <c r="H368" s="899"/>
      <c r="I368" s="850"/>
      <c r="J368" s="850"/>
      <c r="K368" s="850"/>
      <c r="L368" s="850"/>
      <c r="M368" s="850"/>
      <c r="N368" s="850"/>
      <c r="O368" s="850"/>
      <c r="P368" s="850"/>
      <c r="Q368" s="850"/>
      <c r="R368" s="850"/>
      <c r="S368" s="850"/>
      <c r="T368" s="850"/>
      <c r="U368" s="850"/>
      <c r="V368" s="850"/>
      <c r="W368" s="850"/>
      <c r="X368" s="947" t="s">
        <v>2190</v>
      </c>
      <c r="Y368" s="850"/>
      <c r="Z368" s="850"/>
      <c r="AA368" s="850"/>
      <c r="AB368" s="850"/>
      <c r="AC368" s="850"/>
      <c r="AD368" s="850"/>
      <c r="AE368" s="850"/>
      <c r="AF368" s="850"/>
      <c r="AG368" s="850"/>
      <c r="AH368" s="850"/>
      <c r="AI368" s="850"/>
      <c r="AM368" s="850"/>
      <c r="AN368" s="850"/>
      <c r="AO368" s="850"/>
      <c r="AP368" s="857">
        <f>AP360+SUM(AP365:AP367)</f>
        <v>0</v>
      </c>
      <c r="AQ368" s="850"/>
      <c r="AR368" s="850"/>
      <c r="AS368" s="850"/>
      <c r="AT368" s="850"/>
      <c r="AU368" s="850"/>
      <c r="AV368" s="850"/>
      <c r="AW368" s="850"/>
      <c r="AX368" s="850"/>
      <c r="AY368" s="920"/>
      <c r="AZ368" s="850"/>
      <c r="BA368" s="850"/>
      <c r="BB368" s="850"/>
      <c r="BC368" s="850"/>
      <c r="BD368" s="850"/>
      <c r="BE368" s="850"/>
      <c r="BF368" s="850"/>
      <c r="BG368" s="850"/>
      <c r="BH368" s="850"/>
      <c r="BI368" s="850"/>
      <c r="BJ368" s="850"/>
      <c r="BK368" s="850"/>
      <c r="BL368" s="850"/>
      <c r="BM368" s="850"/>
      <c r="BN368" s="850"/>
      <c r="BO368" s="850"/>
      <c r="BP368" s="850"/>
      <c r="BQ368" s="850"/>
      <c r="BR368" s="850"/>
    </row>
    <row r="369" spans="2:70">
      <c r="B369" s="850"/>
      <c r="C369" s="850"/>
      <c r="D369" s="899"/>
      <c r="E369" s="850"/>
      <c r="F369" s="850"/>
      <c r="G369" s="850"/>
      <c r="H369" s="899"/>
      <c r="I369" s="850"/>
      <c r="J369" s="850"/>
      <c r="K369" s="850"/>
      <c r="L369" s="850"/>
      <c r="M369" s="850"/>
      <c r="N369" s="850"/>
      <c r="O369" s="850"/>
      <c r="P369" s="850"/>
      <c r="Q369" s="850"/>
      <c r="R369" s="850"/>
      <c r="S369" s="850"/>
      <c r="T369" s="850"/>
      <c r="U369" s="850"/>
      <c r="V369" s="850"/>
      <c r="W369" s="850"/>
      <c r="X369" s="947" t="s">
        <v>2190</v>
      </c>
      <c r="Y369" s="850"/>
      <c r="Z369" s="850"/>
      <c r="AA369" s="850"/>
      <c r="AB369" s="850"/>
      <c r="AC369" s="850"/>
      <c r="AD369" s="850"/>
      <c r="AE369" s="850"/>
      <c r="AF369" s="850"/>
      <c r="AG369" s="850"/>
      <c r="AH369" s="850"/>
      <c r="AI369" s="850"/>
      <c r="AM369" s="850"/>
      <c r="AN369" s="850"/>
      <c r="AO369" s="850"/>
      <c r="AP369" s="850"/>
      <c r="AQ369" s="850"/>
      <c r="AR369" s="850"/>
      <c r="AS369" s="850"/>
      <c r="AT369" s="850"/>
      <c r="AU369" s="850"/>
      <c r="AV369" s="850"/>
      <c r="AW369" s="850"/>
      <c r="AX369" s="850"/>
      <c r="AY369" s="920"/>
      <c r="AZ369" s="850"/>
      <c r="BA369" s="850"/>
      <c r="BB369" s="850"/>
      <c r="BC369" s="850"/>
      <c r="BD369" s="850"/>
      <c r="BE369" s="850"/>
      <c r="BF369" s="850"/>
      <c r="BG369" s="850"/>
      <c r="BH369" s="850"/>
      <c r="BI369" s="850"/>
      <c r="BJ369" s="850"/>
      <c r="BK369" s="850"/>
      <c r="BL369" s="850"/>
      <c r="BM369" s="850"/>
      <c r="BN369" s="850"/>
      <c r="BO369" s="850"/>
      <c r="BP369" s="850"/>
      <c r="BQ369" s="850"/>
      <c r="BR369" s="850"/>
    </row>
    <row r="370" spans="2:70">
      <c r="B370" s="850"/>
      <c r="C370" s="850"/>
      <c r="D370" s="899"/>
      <c r="E370" s="850"/>
      <c r="F370" s="850"/>
      <c r="G370" s="850"/>
      <c r="H370" s="899"/>
      <c r="I370" s="850"/>
      <c r="J370" s="850"/>
      <c r="K370" s="850"/>
      <c r="L370" s="850"/>
      <c r="M370" s="850"/>
      <c r="N370" s="850"/>
      <c r="O370" s="850"/>
      <c r="P370" s="850"/>
      <c r="Q370" s="850"/>
      <c r="R370" s="850"/>
      <c r="S370" s="850"/>
      <c r="T370" s="850"/>
      <c r="U370" s="850"/>
      <c r="V370" s="850"/>
      <c r="W370" s="850"/>
      <c r="X370" s="947" t="s">
        <v>2190</v>
      </c>
      <c r="Y370" s="850"/>
      <c r="Z370" s="850"/>
      <c r="AA370" s="850"/>
      <c r="AB370" s="850"/>
      <c r="AC370" s="850"/>
      <c r="AD370" s="850"/>
      <c r="AE370" s="850"/>
      <c r="AF370" s="850"/>
      <c r="AG370" s="850"/>
      <c r="AH370" s="850"/>
      <c r="AI370" s="850"/>
      <c r="AM370" s="850"/>
      <c r="AN370" s="850"/>
      <c r="AO370" s="850"/>
      <c r="AP370" s="850"/>
      <c r="AQ370" s="850"/>
      <c r="AR370" s="850"/>
      <c r="AS370" s="850"/>
      <c r="AT370" s="850"/>
      <c r="AU370" s="850"/>
      <c r="AV370" s="850"/>
      <c r="AW370" s="850"/>
      <c r="AX370" s="850"/>
      <c r="AY370" s="920"/>
      <c r="AZ370" s="850"/>
      <c r="BA370" s="850"/>
      <c r="BB370" s="850"/>
      <c r="BC370" s="850"/>
      <c r="BD370" s="850"/>
      <c r="BE370" s="850"/>
      <c r="BF370" s="850"/>
      <c r="BG370" s="850"/>
      <c r="BH370" s="850"/>
      <c r="BI370" s="850"/>
      <c r="BJ370" s="850"/>
      <c r="BK370" s="850"/>
      <c r="BL370" s="850"/>
      <c r="BM370" s="850"/>
      <c r="BN370" s="850"/>
      <c r="BO370" s="850"/>
      <c r="BP370" s="850"/>
      <c r="BQ370" s="850"/>
      <c r="BR370" s="850"/>
    </row>
    <row r="371" spans="2:70">
      <c r="B371" s="850"/>
      <c r="C371" s="850"/>
      <c r="D371" s="899"/>
      <c r="E371" s="850"/>
      <c r="F371" s="850"/>
      <c r="G371" s="850"/>
      <c r="H371" s="899"/>
      <c r="I371" s="850"/>
      <c r="J371" s="850"/>
      <c r="K371" s="850"/>
      <c r="L371" s="850"/>
      <c r="M371" s="850"/>
      <c r="N371" s="850"/>
      <c r="O371" s="850"/>
      <c r="P371" s="850"/>
      <c r="Q371" s="850"/>
      <c r="R371" s="850"/>
      <c r="S371" s="850"/>
      <c r="T371" s="850"/>
      <c r="U371" s="850"/>
      <c r="V371" s="850"/>
      <c r="W371" s="850"/>
      <c r="X371" s="947" t="s">
        <v>2190</v>
      </c>
      <c r="Y371" s="850"/>
      <c r="Z371" s="850"/>
      <c r="AA371" s="850"/>
      <c r="AB371" s="850"/>
      <c r="AC371" s="850"/>
      <c r="AD371" s="850"/>
      <c r="AE371" s="850"/>
      <c r="AF371" s="850"/>
      <c r="AG371" s="850"/>
      <c r="AH371" s="850"/>
      <c r="AI371" s="850"/>
      <c r="AM371" s="850"/>
      <c r="AN371" s="850"/>
      <c r="AO371" s="850"/>
      <c r="AP371" s="850"/>
      <c r="AQ371" s="850"/>
      <c r="AR371" s="850"/>
      <c r="AS371" s="850"/>
      <c r="AT371" s="850"/>
      <c r="AU371" s="850"/>
      <c r="AV371" s="850"/>
      <c r="AW371" s="850"/>
      <c r="AX371" s="850"/>
      <c r="AY371" s="920"/>
      <c r="AZ371" s="850"/>
      <c r="BA371" s="850"/>
      <c r="BB371" s="850"/>
      <c r="BC371" s="850"/>
      <c r="BD371" s="850"/>
      <c r="BE371" s="850"/>
      <c r="BF371" s="850"/>
      <c r="BG371" s="850"/>
      <c r="BH371" s="850"/>
      <c r="BI371" s="850"/>
      <c r="BJ371" s="850"/>
      <c r="BK371" s="850"/>
      <c r="BL371" s="850"/>
      <c r="BM371" s="850"/>
      <c r="BN371" s="850"/>
      <c r="BO371" s="850"/>
      <c r="BP371" s="850"/>
      <c r="BQ371" s="850"/>
      <c r="BR371" s="850"/>
    </row>
    <row r="372" spans="2:70">
      <c r="B372" s="850"/>
      <c r="C372" s="850"/>
      <c r="D372" s="899"/>
      <c r="E372" s="850"/>
      <c r="F372" s="850"/>
      <c r="G372" s="850"/>
      <c r="H372" s="899"/>
      <c r="I372" s="850"/>
      <c r="J372" s="850"/>
      <c r="K372" s="850"/>
      <c r="L372" s="850"/>
      <c r="M372" s="850"/>
      <c r="N372" s="850"/>
      <c r="O372" s="850"/>
      <c r="P372" s="850"/>
      <c r="Q372" s="850"/>
      <c r="R372" s="850"/>
      <c r="S372" s="850"/>
      <c r="T372" s="850"/>
      <c r="U372" s="850"/>
      <c r="V372" s="850"/>
      <c r="W372" s="850"/>
      <c r="X372" s="933"/>
      <c r="Y372" s="850"/>
      <c r="Z372" s="850"/>
      <c r="AA372" s="850"/>
      <c r="AB372" s="850"/>
      <c r="AC372" s="850"/>
      <c r="AD372" s="850"/>
      <c r="AE372" s="850"/>
      <c r="AF372" s="850"/>
      <c r="AG372" s="850"/>
      <c r="AH372" s="850"/>
      <c r="AI372" s="850"/>
      <c r="AM372" s="850"/>
      <c r="AN372" s="850"/>
      <c r="AO372" s="850"/>
      <c r="AP372" s="850"/>
      <c r="AQ372" s="850"/>
      <c r="AR372" s="850"/>
      <c r="AS372" s="850"/>
      <c r="AT372" s="850"/>
      <c r="AU372" s="850"/>
      <c r="AV372" s="850"/>
      <c r="AW372" s="850"/>
      <c r="AX372" s="857"/>
      <c r="AY372" s="920"/>
      <c r="AZ372" s="850"/>
      <c r="BA372" s="850"/>
      <c r="BB372" s="850"/>
      <c r="BC372" s="850"/>
      <c r="BD372" s="850"/>
      <c r="BE372" s="850"/>
      <c r="BF372" s="850"/>
      <c r="BG372" s="850"/>
      <c r="BH372" s="850"/>
      <c r="BI372" s="850"/>
      <c r="BJ372" s="850"/>
      <c r="BK372" s="850"/>
      <c r="BL372" s="850"/>
      <c r="BM372" s="850"/>
      <c r="BN372" s="850"/>
      <c r="BO372" s="850"/>
      <c r="BP372" s="850"/>
      <c r="BQ372" s="850"/>
      <c r="BR372" s="850"/>
    </row>
    <row r="373" spans="2:70">
      <c r="B373" s="850"/>
      <c r="C373" s="850"/>
      <c r="D373" s="899"/>
      <c r="E373" s="850"/>
      <c r="F373" s="850"/>
      <c r="G373" s="850"/>
      <c r="H373" s="899"/>
      <c r="I373" s="850"/>
      <c r="J373" s="850"/>
      <c r="K373" s="850"/>
      <c r="L373" s="850"/>
      <c r="M373" s="850"/>
      <c r="N373" s="850"/>
      <c r="O373" s="850"/>
      <c r="P373" s="850"/>
      <c r="Q373" s="850"/>
      <c r="R373" s="850"/>
      <c r="S373" s="850"/>
      <c r="T373" s="850"/>
      <c r="U373" s="850"/>
      <c r="V373" s="850"/>
      <c r="W373" s="850"/>
      <c r="X373" s="304"/>
      <c r="Y373" s="850"/>
      <c r="Z373" s="850"/>
      <c r="AA373" s="850"/>
      <c r="AB373" s="850"/>
      <c r="AC373" s="850"/>
      <c r="AD373" s="850"/>
      <c r="AE373" s="850"/>
      <c r="AF373" s="850"/>
      <c r="AG373" s="850"/>
      <c r="AH373" s="850"/>
      <c r="AI373" s="850"/>
      <c r="AM373" s="850"/>
      <c r="AN373" s="850"/>
      <c r="AO373" s="850"/>
      <c r="AP373" s="850"/>
      <c r="AQ373" s="850"/>
      <c r="AR373" s="850"/>
      <c r="AS373" s="850"/>
      <c r="AT373" s="850"/>
      <c r="AU373" s="850"/>
      <c r="AV373" s="850"/>
      <c r="AW373" s="850"/>
      <c r="AX373" s="857"/>
      <c r="AY373" s="920"/>
      <c r="AZ373" s="850"/>
      <c r="BA373" s="850"/>
      <c r="BB373" s="850"/>
      <c r="BC373" s="850"/>
      <c r="BD373" s="850"/>
      <c r="BE373" s="850"/>
      <c r="BF373" s="850"/>
      <c r="BG373" s="850"/>
      <c r="BH373" s="850"/>
      <c r="BI373" s="850"/>
      <c r="BJ373" s="850"/>
      <c r="BK373" s="850"/>
      <c r="BL373" s="850"/>
      <c r="BM373" s="850"/>
      <c r="BN373" s="850"/>
      <c r="BO373" s="850"/>
      <c r="BP373" s="850"/>
      <c r="BQ373" s="850"/>
      <c r="BR373" s="850"/>
    </row>
    <row r="374" spans="2:70">
      <c r="B374" s="850"/>
      <c r="C374" s="850"/>
      <c r="D374" s="899"/>
      <c r="E374" s="850"/>
      <c r="F374" s="850"/>
      <c r="G374" s="850"/>
      <c r="H374" s="899"/>
      <c r="I374" s="850"/>
      <c r="J374" s="850"/>
      <c r="K374" s="850"/>
      <c r="L374" s="850"/>
      <c r="M374" s="850"/>
      <c r="N374" s="850"/>
      <c r="O374" s="850"/>
      <c r="P374" s="850"/>
      <c r="Q374" s="850"/>
      <c r="R374" s="850"/>
      <c r="S374" s="850"/>
      <c r="T374" s="850"/>
      <c r="U374" s="850"/>
      <c r="V374" s="850"/>
      <c r="W374" s="850"/>
      <c r="X374" s="947" t="s">
        <v>676</v>
      </c>
      <c r="Y374" s="850"/>
      <c r="Z374" s="850"/>
      <c r="AA374" s="850"/>
      <c r="AB374" s="850"/>
      <c r="AC374" s="850"/>
      <c r="AD374" s="850"/>
      <c r="AE374" s="850"/>
      <c r="AF374" s="850"/>
      <c r="AG374" s="850"/>
      <c r="AH374" s="850"/>
      <c r="AI374" s="850"/>
      <c r="AM374" s="850"/>
      <c r="AN374" s="850"/>
      <c r="AO374" s="850"/>
      <c r="AP374" s="850"/>
      <c r="AQ374" s="850"/>
      <c r="AR374" s="850"/>
      <c r="AS374" s="850"/>
      <c r="AT374" s="850"/>
      <c r="AU374" s="850"/>
      <c r="AV374" s="850"/>
      <c r="AW374" s="850"/>
      <c r="AX374" s="850"/>
      <c r="AY374" s="920"/>
      <c r="AZ374" s="850"/>
      <c r="BA374" s="850"/>
      <c r="BB374" s="850"/>
      <c r="BC374" s="850"/>
      <c r="BD374" s="850"/>
      <c r="BE374" s="850"/>
      <c r="BF374" s="850"/>
      <c r="BG374" s="850"/>
      <c r="BH374" s="850"/>
      <c r="BI374" s="850"/>
      <c r="BJ374" s="850"/>
      <c r="BK374" s="850"/>
      <c r="BL374" s="850"/>
      <c r="BM374" s="850"/>
      <c r="BN374" s="850"/>
      <c r="BO374" s="850"/>
      <c r="BP374" s="850"/>
      <c r="BQ374" s="850"/>
      <c r="BR374" s="850"/>
    </row>
    <row r="375" spans="2:70">
      <c r="B375" s="850"/>
      <c r="C375" s="850"/>
      <c r="D375" s="899"/>
      <c r="E375" s="850"/>
      <c r="F375" s="850"/>
      <c r="G375" s="850"/>
      <c r="H375" s="899"/>
      <c r="I375" s="850"/>
      <c r="J375" s="850"/>
      <c r="K375" s="850"/>
      <c r="L375" s="850"/>
      <c r="M375" s="850"/>
      <c r="N375" s="850"/>
      <c r="O375" s="850"/>
      <c r="P375" s="850"/>
      <c r="Q375" s="850"/>
      <c r="R375" s="850"/>
      <c r="S375" s="850"/>
      <c r="T375" s="850"/>
      <c r="U375" s="850"/>
      <c r="V375" s="850"/>
      <c r="W375" s="850"/>
      <c r="X375" s="947" t="s">
        <v>676</v>
      </c>
      <c r="Y375" s="850"/>
      <c r="Z375" s="850"/>
      <c r="AA375" s="850"/>
      <c r="AB375" s="850"/>
      <c r="AC375" s="850"/>
      <c r="AD375" s="850"/>
      <c r="AE375" s="850"/>
      <c r="AF375" s="850"/>
      <c r="AG375" s="850"/>
      <c r="AH375" s="850"/>
      <c r="AI375" s="850"/>
      <c r="AM375" s="850"/>
      <c r="AN375" s="850"/>
      <c r="AO375" s="850"/>
      <c r="AP375" s="850"/>
      <c r="AQ375" s="850"/>
      <c r="AR375" s="850"/>
      <c r="AS375" s="850"/>
      <c r="AT375" s="850"/>
      <c r="AU375" s="850"/>
      <c r="AV375" s="850"/>
      <c r="AW375" s="850"/>
      <c r="AX375" s="850"/>
      <c r="AY375" s="920"/>
      <c r="AZ375" s="850"/>
      <c r="BA375" s="850"/>
      <c r="BB375" s="850"/>
      <c r="BC375" s="850"/>
      <c r="BD375" s="850"/>
      <c r="BE375" s="850"/>
      <c r="BF375" s="850"/>
      <c r="BG375" s="850"/>
      <c r="BH375" s="850"/>
      <c r="BI375" s="850"/>
      <c r="BJ375" s="850"/>
      <c r="BK375" s="850"/>
      <c r="BL375" s="850"/>
      <c r="BM375" s="850"/>
      <c r="BN375" s="850"/>
      <c r="BO375" s="850"/>
      <c r="BP375" s="850"/>
      <c r="BQ375" s="850"/>
      <c r="BR375" s="850"/>
    </row>
    <row r="376" spans="2:70">
      <c r="B376" s="850"/>
      <c r="C376" s="850"/>
      <c r="D376" s="899"/>
      <c r="E376" s="850"/>
      <c r="F376" s="850"/>
      <c r="G376" s="850"/>
      <c r="H376" s="899"/>
      <c r="I376" s="850"/>
      <c r="J376" s="850"/>
      <c r="K376" s="850"/>
      <c r="L376" s="850"/>
      <c r="M376" s="850"/>
      <c r="N376" s="850"/>
      <c r="O376" s="850"/>
      <c r="P376" s="850"/>
      <c r="Q376" s="850"/>
      <c r="R376" s="850"/>
      <c r="S376" s="850"/>
      <c r="T376" s="850"/>
      <c r="U376" s="850"/>
      <c r="V376" s="850"/>
      <c r="W376" s="850"/>
      <c r="X376" s="933"/>
      <c r="Y376" s="850"/>
      <c r="Z376" s="850"/>
      <c r="AA376" s="850"/>
      <c r="AB376" s="850"/>
      <c r="AC376" s="850"/>
      <c r="AD376" s="850"/>
      <c r="AE376" s="850"/>
      <c r="AF376" s="850"/>
      <c r="AG376" s="850"/>
      <c r="AH376" s="850"/>
      <c r="AI376" s="850"/>
      <c r="AM376" s="850"/>
      <c r="AN376" s="850"/>
      <c r="AO376" s="850"/>
      <c r="AP376" s="850"/>
      <c r="AQ376" s="850"/>
      <c r="AR376" s="850"/>
      <c r="AS376" s="850"/>
      <c r="AT376" s="850"/>
      <c r="AU376" s="850"/>
      <c r="AV376" s="850"/>
      <c r="AW376" s="850"/>
      <c r="AX376" s="850"/>
      <c r="AY376" s="920"/>
      <c r="AZ376" s="850"/>
      <c r="BA376" s="850"/>
      <c r="BB376" s="850"/>
      <c r="BC376" s="850"/>
      <c r="BD376" s="850"/>
      <c r="BE376" s="850"/>
      <c r="BF376" s="850"/>
      <c r="BG376" s="850"/>
      <c r="BH376" s="850"/>
      <c r="BI376" s="850"/>
      <c r="BJ376" s="850"/>
      <c r="BK376" s="850"/>
      <c r="BL376" s="850"/>
      <c r="BM376" s="850"/>
      <c r="BN376" s="850"/>
      <c r="BO376" s="850"/>
      <c r="BP376" s="850"/>
      <c r="BQ376" s="850"/>
      <c r="BR376" s="850"/>
    </row>
    <row r="377" spans="2:70">
      <c r="B377" s="850"/>
      <c r="C377" s="850"/>
      <c r="D377" s="899"/>
      <c r="E377" s="850"/>
      <c r="F377" s="850"/>
      <c r="G377" s="850"/>
      <c r="H377" s="899"/>
      <c r="I377" s="850"/>
      <c r="J377" s="850"/>
      <c r="K377" s="850"/>
      <c r="L377" s="850"/>
      <c r="M377" s="850"/>
      <c r="N377" s="850"/>
      <c r="O377" s="850"/>
      <c r="P377" s="850"/>
      <c r="Q377" s="850"/>
      <c r="R377" s="850"/>
      <c r="S377" s="850"/>
      <c r="T377" s="850"/>
      <c r="U377" s="850"/>
      <c r="V377" s="850"/>
      <c r="W377" s="850"/>
      <c r="X377" s="947" t="s">
        <v>675</v>
      </c>
      <c r="Y377" s="850"/>
      <c r="Z377" s="850"/>
      <c r="AA377" s="850"/>
      <c r="AB377" s="850"/>
      <c r="AC377" s="850"/>
      <c r="AD377" s="850"/>
      <c r="AE377" s="850"/>
      <c r="AF377" s="850"/>
      <c r="AG377" s="850"/>
      <c r="AH377" s="850"/>
      <c r="AI377" s="850"/>
      <c r="AM377" s="850"/>
      <c r="AN377" s="850"/>
      <c r="AO377" s="850"/>
      <c r="AP377" s="850"/>
      <c r="AQ377" s="850"/>
      <c r="AR377" s="850"/>
      <c r="AS377" s="850"/>
      <c r="AT377" s="850"/>
      <c r="AU377" s="850"/>
      <c r="AV377" s="850"/>
      <c r="AW377" s="850"/>
      <c r="AX377" s="850"/>
      <c r="AY377" s="920"/>
      <c r="AZ377" s="850"/>
      <c r="BA377" s="850"/>
      <c r="BB377" s="850"/>
      <c r="BC377" s="850"/>
      <c r="BD377" s="850"/>
      <c r="BE377" s="850"/>
      <c r="BF377" s="850"/>
      <c r="BG377" s="850"/>
      <c r="BH377" s="850"/>
      <c r="BI377" s="850"/>
      <c r="BJ377" s="850"/>
      <c r="BK377" s="850"/>
      <c r="BL377" s="850"/>
      <c r="BM377" s="850"/>
      <c r="BN377" s="850"/>
      <c r="BO377" s="850"/>
      <c r="BP377" s="850"/>
      <c r="BQ377" s="850"/>
      <c r="BR377" s="850"/>
    </row>
    <row r="378" spans="2:70">
      <c r="B378" s="850"/>
      <c r="C378" s="850"/>
      <c r="D378" s="899"/>
      <c r="E378" s="850"/>
      <c r="F378" s="850"/>
      <c r="G378" s="850"/>
      <c r="H378" s="899"/>
      <c r="I378" s="850"/>
      <c r="J378" s="850"/>
      <c r="K378" s="850"/>
      <c r="L378" s="850"/>
      <c r="M378" s="850"/>
      <c r="N378" s="850"/>
      <c r="O378" s="850"/>
      <c r="P378" s="850"/>
      <c r="Q378" s="850"/>
      <c r="R378" s="850"/>
      <c r="S378" s="850"/>
      <c r="T378" s="850"/>
      <c r="U378" s="850"/>
      <c r="V378" s="850"/>
      <c r="W378" s="850"/>
      <c r="X378" s="933"/>
      <c r="Y378" s="850"/>
      <c r="Z378" s="850"/>
      <c r="AA378" s="850"/>
      <c r="AB378" s="850"/>
      <c r="AC378" s="850"/>
      <c r="AD378" s="850"/>
      <c r="AE378" s="850"/>
      <c r="AF378" s="850"/>
      <c r="AG378" s="850"/>
      <c r="AH378" s="850"/>
      <c r="AI378" s="850"/>
      <c r="AM378" s="850"/>
      <c r="AN378" s="850"/>
      <c r="AO378" s="850"/>
      <c r="AP378" s="850"/>
      <c r="AQ378" s="850"/>
      <c r="AR378" s="850"/>
      <c r="AS378" s="850"/>
      <c r="AT378" s="850"/>
      <c r="AU378" s="850"/>
      <c r="AV378" s="850"/>
      <c r="AW378" s="850"/>
      <c r="AX378" s="850"/>
      <c r="AY378" s="920"/>
      <c r="AZ378" s="850"/>
      <c r="BA378" s="850"/>
      <c r="BB378" s="850"/>
      <c r="BC378" s="850"/>
      <c r="BD378" s="850"/>
      <c r="BE378" s="850"/>
      <c r="BF378" s="850"/>
      <c r="BG378" s="850"/>
      <c r="BH378" s="850"/>
      <c r="BI378" s="850"/>
      <c r="BJ378" s="850"/>
      <c r="BK378" s="850"/>
      <c r="BL378" s="850"/>
      <c r="BM378" s="850"/>
      <c r="BN378" s="850"/>
      <c r="BO378" s="850"/>
      <c r="BP378" s="850"/>
      <c r="BQ378" s="850"/>
      <c r="BR378" s="850"/>
    </row>
    <row r="379" spans="2:70">
      <c r="B379" s="850"/>
      <c r="C379" s="850"/>
      <c r="D379" s="899"/>
      <c r="E379" s="850"/>
      <c r="F379" s="850"/>
      <c r="G379" s="850"/>
      <c r="H379" s="899"/>
      <c r="I379" s="850"/>
      <c r="J379" s="850"/>
      <c r="K379" s="850"/>
      <c r="L379" s="850"/>
      <c r="M379" s="850"/>
      <c r="N379" s="850"/>
      <c r="O379" s="850"/>
      <c r="P379" s="850"/>
      <c r="Q379" s="850"/>
      <c r="R379" s="850"/>
      <c r="S379" s="850"/>
      <c r="T379" s="850"/>
      <c r="U379" s="850"/>
      <c r="V379" s="850"/>
      <c r="W379" s="850"/>
      <c r="X379" s="321" t="s">
        <v>676</v>
      </c>
      <c r="Y379" s="850"/>
      <c r="Z379" s="850"/>
      <c r="AA379" s="850"/>
      <c r="AB379" s="850"/>
      <c r="AC379" s="850"/>
      <c r="AD379" s="850"/>
      <c r="AE379" s="850"/>
      <c r="AF379" s="850"/>
      <c r="AG379" s="850"/>
      <c r="AH379" s="850"/>
      <c r="AI379" s="850"/>
      <c r="AM379" s="850"/>
      <c r="AN379" s="850"/>
      <c r="AO379" s="850"/>
      <c r="AP379" s="850"/>
      <c r="AQ379" s="850"/>
      <c r="AR379" s="850"/>
      <c r="AS379" s="850"/>
      <c r="AT379" s="850"/>
      <c r="AU379" s="850"/>
      <c r="AV379" s="850"/>
      <c r="AW379" s="850"/>
      <c r="AX379" s="850"/>
      <c r="AY379" s="920"/>
      <c r="AZ379" s="850"/>
      <c r="BA379" s="850"/>
      <c r="BB379" s="850"/>
      <c r="BC379" s="850"/>
      <c r="BD379" s="850"/>
      <c r="BE379" s="850"/>
      <c r="BF379" s="850"/>
      <c r="BG379" s="850"/>
      <c r="BH379" s="850"/>
      <c r="BI379" s="850"/>
      <c r="BJ379" s="850"/>
      <c r="BK379" s="850"/>
      <c r="BL379" s="850"/>
      <c r="BM379" s="850"/>
      <c r="BN379" s="850"/>
      <c r="BO379" s="850"/>
      <c r="BP379" s="850"/>
      <c r="BQ379" s="850"/>
      <c r="BR379" s="850"/>
    </row>
    <row r="382" spans="2:70">
      <c r="B382" s="850"/>
      <c r="C382" s="850"/>
      <c r="D382" s="899"/>
      <c r="E382" s="850"/>
      <c r="F382" s="850"/>
      <c r="G382" s="850"/>
      <c r="H382" s="899"/>
      <c r="I382" s="850"/>
      <c r="J382" s="850" t="s">
        <v>2572</v>
      </c>
      <c r="K382" s="850" t="s">
        <v>2573</v>
      </c>
      <c r="L382" s="1512">
        <f>SUM(L236:L237)</f>
        <v>-62740415169</v>
      </c>
      <c r="M382" s="946"/>
      <c r="N382" s="946"/>
      <c r="O382" s="946"/>
      <c r="P382" s="946"/>
      <c r="Q382" s="1512">
        <f>SUM(Q236:Q237)</f>
        <v>-95322002516</v>
      </c>
      <c r="R382" s="850"/>
      <c r="S382" s="850"/>
      <c r="T382" s="850"/>
      <c r="U382" s="850"/>
      <c r="V382" s="850"/>
      <c r="W382" s="850"/>
      <c r="X382" s="850"/>
      <c r="Y382" s="850"/>
      <c r="Z382" s="850"/>
      <c r="AA382" s="850"/>
      <c r="AB382" s="850"/>
      <c r="AC382" s="857">
        <f>AC175+AC176-'[16]A0.LS'!$AE$191</f>
        <v>0</v>
      </c>
      <c r="AD382" s="850"/>
      <c r="AE382" s="850"/>
      <c r="AF382" s="850"/>
      <c r="AG382" s="850"/>
      <c r="AH382" s="850"/>
      <c r="AI382" s="850"/>
      <c r="AM382" s="850"/>
      <c r="AN382" s="850"/>
      <c r="AO382" s="850"/>
      <c r="AP382" s="850"/>
      <c r="AQ382" s="850"/>
      <c r="AR382" s="850"/>
      <c r="AS382" s="850"/>
      <c r="AT382" s="850"/>
      <c r="AU382" s="850"/>
      <c r="AV382" s="850"/>
      <c r="AW382" s="850"/>
      <c r="AX382" s="850"/>
      <c r="AY382" s="920"/>
      <c r="AZ382" s="850"/>
      <c r="BA382" s="850"/>
      <c r="BB382" s="850"/>
      <c r="BC382" s="850"/>
      <c r="BD382" s="850"/>
      <c r="BE382" s="850"/>
      <c r="BF382" s="850"/>
      <c r="BG382" s="850"/>
      <c r="BH382" s="850"/>
      <c r="BI382" s="850"/>
      <c r="BJ382" s="850"/>
      <c r="BK382" s="850"/>
      <c r="BL382" s="850"/>
      <c r="BM382" s="850"/>
      <c r="BN382" s="850"/>
      <c r="BO382" s="850"/>
      <c r="BP382" s="850"/>
      <c r="BQ382" s="850"/>
      <c r="BR382" s="850"/>
    </row>
    <row r="383" spans="2:70">
      <c r="B383" s="850"/>
      <c r="C383" s="850"/>
      <c r="D383" s="899"/>
      <c r="E383" s="850"/>
      <c r="F383" s="850"/>
      <c r="G383" s="850"/>
      <c r="H383" s="899"/>
      <c r="I383" s="850"/>
      <c r="J383" s="850"/>
      <c r="K383" s="850" t="s">
        <v>2574</v>
      </c>
      <c r="L383" s="1512">
        <f>SUM(L252:L253)</f>
        <v>83065444034</v>
      </c>
      <c r="M383" s="946"/>
      <c r="N383" s="946"/>
      <c r="O383" s="946"/>
      <c r="P383" s="946"/>
      <c r="Q383" s="1512">
        <f>SUM(Q252:Q253)</f>
        <v>116766211678</v>
      </c>
      <c r="R383" s="850"/>
      <c r="S383" s="850"/>
      <c r="T383" s="850"/>
      <c r="U383" s="850"/>
      <c r="V383" s="850"/>
      <c r="W383" s="850"/>
      <c r="X383" s="850"/>
      <c r="Y383" s="850"/>
      <c r="Z383" s="850"/>
      <c r="AA383" s="850"/>
      <c r="AB383" s="850"/>
      <c r="AC383" s="850"/>
      <c r="AD383" s="850"/>
      <c r="AE383" s="850"/>
      <c r="AF383" s="850"/>
      <c r="AG383" s="850"/>
      <c r="AH383" s="850"/>
      <c r="AI383" s="850"/>
      <c r="AM383" s="850"/>
      <c r="AN383" s="850"/>
      <c r="AO383" s="850"/>
      <c r="AP383" s="850"/>
      <c r="AQ383" s="850"/>
      <c r="AR383" s="850"/>
      <c r="AS383" s="850"/>
      <c r="AT383" s="850"/>
      <c r="AU383" s="850"/>
      <c r="AV383" s="850"/>
      <c r="AW383" s="850"/>
      <c r="AX383" s="850"/>
      <c r="AY383" s="920"/>
      <c r="AZ383" s="850"/>
      <c r="BA383" s="850"/>
      <c r="BB383" s="850"/>
      <c r="BC383" s="850"/>
      <c r="BD383" s="850"/>
      <c r="BE383" s="850"/>
      <c r="BF383" s="850"/>
      <c r="BG383" s="850"/>
      <c r="BH383" s="850"/>
      <c r="BI383" s="850"/>
      <c r="BJ383" s="850"/>
      <c r="BK383" s="850"/>
      <c r="BL383" s="850"/>
      <c r="BM383" s="850"/>
      <c r="BN383" s="850"/>
      <c r="BO383" s="850"/>
      <c r="BP383" s="850"/>
      <c r="BQ383" s="850"/>
      <c r="BR383" s="850"/>
    </row>
    <row r="384" spans="2:70">
      <c r="B384" s="850"/>
      <c r="C384" s="850"/>
      <c r="D384" s="899"/>
      <c r="E384" s="850"/>
      <c r="F384" s="850"/>
      <c r="G384" s="850"/>
      <c r="H384" s="899"/>
      <c r="I384" s="850"/>
      <c r="J384" s="850"/>
      <c r="K384" s="850" t="s">
        <v>2575</v>
      </c>
      <c r="L384" s="1223">
        <f>(L382+L383)/L382</f>
        <v>-0.32395432529816259</v>
      </c>
      <c r="M384" s="850"/>
      <c r="N384" s="850"/>
      <c r="O384" s="850"/>
      <c r="P384" s="850"/>
      <c r="Q384" s="1223">
        <f>(Q382+Q383)/Q382</f>
        <v>-0.22496599521606298</v>
      </c>
      <c r="R384" s="850"/>
      <c r="S384" s="850"/>
      <c r="T384" s="850"/>
      <c r="U384" s="850"/>
      <c r="V384" s="850"/>
      <c r="W384" s="850"/>
      <c r="X384" s="850"/>
      <c r="Y384" s="850"/>
      <c r="Z384" s="850"/>
      <c r="AA384" s="850"/>
      <c r="AB384" s="850"/>
      <c r="AC384" s="850"/>
      <c r="AD384" s="850"/>
      <c r="AE384" s="850"/>
      <c r="AF384" s="850"/>
      <c r="AG384" s="850"/>
      <c r="AH384" s="850"/>
      <c r="AI384" s="850"/>
      <c r="AM384" s="850"/>
      <c r="AN384" s="850"/>
      <c r="AO384" s="850"/>
      <c r="AP384" s="850"/>
      <c r="AQ384" s="850"/>
      <c r="AR384" s="850"/>
      <c r="AS384" s="850"/>
      <c r="AT384" s="850"/>
      <c r="AU384" s="850"/>
      <c r="AV384" s="850"/>
      <c r="AW384" s="850"/>
      <c r="AX384" s="850"/>
      <c r="AY384" s="920"/>
      <c r="AZ384" s="850"/>
      <c r="BA384" s="850"/>
      <c r="BB384" s="850"/>
      <c r="BC384" s="850"/>
      <c r="BD384" s="850"/>
      <c r="BE384" s="850"/>
      <c r="BF384" s="850"/>
      <c r="BG384" s="850"/>
      <c r="BH384" s="850"/>
      <c r="BI384" s="850"/>
      <c r="BJ384" s="850"/>
      <c r="BK384" s="850"/>
      <c r="BL384" s="850"/>
      <c r="BM384" s="850"/>
      <c r="BN384" s="850"/>
      <c r="BO384" s="850"/>
      <c r="BP384" s="850"/>
      <c r="BQ384" s="850"/>
      <c r="BR384" s="850"/>
    </row>
    <row r="385" spans="2:70">
      <c r="B385" s="850"/>
      <c r="C385" s="850"/>
      <c r="D385" s="899"/>
      <c r="E385" s="850"/>
      <c r="F385" s="850"/>
      <c r="G385" s="850"/>
      <c r="H385" s="899"/>
      <c r="I385" s="850"/>
      <c r="J385" s="850"/>
      <c r="K385" s="850"/>
      <c r="L385" s="850"/>
      <c r="M385" s="850"/>
      <c r="N385" s="850"/>
      <c r="O385" s="850"/>
      <c r="P385" s="850"/>
      <c r="Q385" s="850"/>
      <c r="R385" s="850"/>
      <c r="S385" s="850"/>
      <c r="T385" s="850"/>
      <c r="U385" s="850"/>
      <c r="V385" s="850"/>
      <c r="W385" s="850"/>
      <c r="X385" s="850"/>
      <c r="Y385" s="850"/>
      <c r="Z385" s="850"/>
      <c r="AA385" s="850"/>
      <c r="AB385" s="850"/>
      <c r="AC385" s="850"/>
      <c r="AD385" s="850"/>
      <c r="AE385" s="850"/>
      <c r="AF385" s="850"/>
      <c r="AG385" s="850"/>
      <c r="AH385" s="850"/>
      <c r="AI385" s="850"/>
      <c r="AM385" s="850"/>
      <c r="AN385" s="850"/>
      <c r="AO385" s="850"/>
      <c r="AP385" s="850"/>
      <c r="AQ385" s="850"/>
      <c r="AR385" s="850"/>
      <c r="AS385" s="850"/>
      <c r="AT385" s="850"/>
      <c r="AU385" s="850"/>
      <c r="AV385" s="850"/>
      <c r="AW385" s="850"/>
      <c r="AX385" s="850"/>
      <c r="AY385" s="920"/>
      <c r="AZ385" s="850"/>
      <c r="BA385" s="850"/>
      <c r="BB385" s="850"/>
      <c r="BC385" s="850"/>
      <c r="BD385" s="850"/>
      <c r="BE385" s="850"/>
      <c r="BF385" s="850"/>
      <c r="BG385" s="850"/>
      <c r="BH385" s="850"/>
      <c r="BI385" s="850"/>
      <c r="BJ385" s="850"/>
      <c r="BK385" s="850"/>
      <c r="BL385" s="850"/>
      <c r="BM385" s="850"/>
      <c r="BN385" s="850"/>
      <c r="BO385" s="850"/>
      <c r="BP385" s="850"/>
      <c r="BQ385" s="850"/>
      <c r="BR385" s="850"/>
    </row>
    <row r="386" spans="2:70">
      <c r="B386" s="850"/>
      <c r="C386" s="850"/>
      <c r="D386" s="899"/>
      <c r="E386" s="850"/>
      <c r="F386" s="850"/>
      <c r="G386" s="850"/>
      <c r="H386" s="899"/>
      <c r="I386" s="850"/>
      <c r="J386" s="850" t="s">
        <v>2576</v>
      </c>
      <c r="K386" s="850" t="s">
        <v>2573</v>
      </c>
      <c r="L386" s="857">
        <f>L240</f>
        <v>-75778887050</v>
      </c>
      <c r="M386" s="850"/>
      <c r="N386" s="850"/>
      <c r="O386" s="850"/>
      <c r="P386" s="850"/>
      <c r="Q386" s="857">
        <f>Q240</f>
        <v>-54161334552</v>
      </c>
      <c r="R386" s="850"/>
      <c r="S386" s="850"/>
      <c r="T386" s="850"/>
      <c r="U386" s="850"/>
      <c r="V386" s="850"/>
      <c r="W386" s="850"/>
      <c r="X386" s="850"/>
      <c r="Y386" s="850"/>
      <c r="Z386" s="850"/>
      <c r="AA386" s="850"/>
      <c r="AB386" s="850"/>
      <c r="AC386" s="850"/>
      <c r="AD386" s="850"/>
      <c r="AE386" s="850"/>
      <c r="AF386" s="850"/>
      <c r="AG386" s="850"/>
      <c r="AH386" s="850"/>
      <c r="AI386" s="850"/>
      <c r="AM386" s="850"/>
      <c r="AN386" s="850"/>
      <c r="AO386" s="850"/>
      <c r="AP386" s="850"/>
      <c r="AQ386" s="850"/>
      <c r="AR386" s="850"/>
      <c r="AS386" s="850"/>
      <c r="AT386" s="850"/>
      <c r="AU386" s="850"/>
      <c r="AV386" s="850"/>
      <c r="AW386" s="857"/>
      <c r="AX386" s="850"/>
      <c r="AY386" s="920"/>
      <c r="AZ386" s="850"/>
      <c r="BA386" s="850"/>
      <c r="BB386" s="850"/>
      <c r="BC386" s="850"/>
      <c r="BD386" s="850"/>
      <c r="BE386" s="850"/>
      <c r="BF386" s="850"/>
      <c r="BG386" s="850"/>
      <c r="BH386" s="850"/>
      <c r="BI386" s="850"/>
      <c r="BJ386" s="850"/>
      <c r="BK386" s="850"/>
      <c r="BL386" s="850"/>
      <c r="BM386" s="850"/>
      <c r="BN386" s="850"/>
      <c r="BO386" s="850"/>
      <c r="BP386" s="850"/>
      <c r="BQ386" s="850"/>
      <c r="BR386" s="850"/>
    </row>
    <row r="387" spans="2:70">
      <c r="B387" s="850"/>
      <c r="C387" s="850"/>
      <c r="D387" s="899"/>
      <c r="E387" s="850"/>
      <c r="F387" s="850"/>
      <c r="G387" s="850"/>
      <c r="H387" s="899"/>
      <c r="I387" s="850"/>
      <c r="J387" s="850"/>
      <c r="K387" s="850" t="s">
        <v>2574</v>
      </c>
      <c r="L387" s="857">
        <f>L255</f>
        <v>226709250</v>
      </c>
      <c r="M387" s="850"/>
      <c r="N387" s="850"/>
      <c r="O387" s="850"/>
      <c r="P387" s="850"/>
      <c r="Q387" s="857">
        <f>Q255</f>
        <v>4073810401</v>
      </c>
      <c r="R387" s="850"/>
      <c r="S387" s="850"/>
      <c r="T387" s="850"/>
      <c r="U387" s="850"/>
      <c r="V387" s="850"/>
      <c r="W387" s="850"/>
      <c r="X387" s="850"/>
      <c r="Y387" s="850"/>
      <c r="Z387" s="850"/>
      <c r="AA387" s="850"/>
      <c r="AB387" s="850"/>
      <c r="AC387" s="850"/>
      <c r="AD387" s="850"/>
      <c r="AE387" s="850"/>
      <c r="AF387" s="850"/>
      <c r="AG387" s="850"/>
      <c r="AH387" s="850"/>
      <c r="AI387" s="850"/>
      <c r="AM387" s="850"/>
      <c r="AN387" s="850"/>
      <c r="AO387" s="850"/>
      <c r="AP387" s="850"/>
      <c r="AQ387" s="850"/>
      <c r="AR387" s="850"/>
      <c r="AS387" s="850"/>
      <c r="AT387" s="850"/>
      <c r="AU387" s="850"/>
      <c r="AV387" s="850"/>
      <c r="AW387" s="857"/>
      <c r="AX387" s="850"/>
      <c r="AY387" s="920"/>
      <c r="AZ387" s="850"/>
      <c r="BA387" s="850"/>
      <c r="BB387" s="850"/>
      <c r="BC387" s="850"/>
      <c r="BD387" s="850"/>
      <c r="BE387" s="850"/>
      <c r="BF387" s="850"/>
      <c r="BG387" s="850"/>
      <c r="BH387" s="850"/>
      <c r="BI387" s="850"/>
      <c r="BJ387" s="850"/>
      <c r="BK387" s="850"/>
      <c r="BL387" s="850"/>
      <c r="BM387" s="850"/>
      <c r="BN387" s="850"/>
      <c r="BO387" s="850"/>
      <c r="BP387" s="850"/>
      <c r="BQ387" s="850"/>
      <c r="BR387" s="850"/>
    </row>
    <row r="388" spans="2:70">
      <c r="B388" s="850"/>
      <c r="C388" s="850"/>
      <c r="D388" s="899"/>
      <c r="E388" s="850"/>
      <c r="F388" s="850"/>
      <c r="G388" s="850"/>
      <c r="H388" s="899"/>
      <c r="I388" s="850"/>
      <c r="J388" s="850"/>
      <c r="K388" s="850" t="s">
        <v>2575</v>
      </c>
      <c r="L388" s="1223">
        <f>(L386+L387)/L386</f>
        <v>0.99700827949808213</v>
      </c>
      <c r="M388" s="850"/>
      <c r="N388" s="850"/>
      <c r="O388" s="850"/>
      <c r="P388" s="850"/>
      <c r="Q388" s="1223">
        <f>(Q386+Q387)/Q386</f>
        <v>0.92478378838525932</v>
      </c>
      <c r="R388" s="850"/>
      <c r="S388" s="850"/>
      <c r="T388" s="850"/>
      <c r="U388" s="850"/>
      <c r="V388" s="850"/>
      <c r="W388" s="850"/>
      <c r="X388" s="850"/>
      <c r="Y388" s="850"/>
      <c r="Z388" s="850"/>
      <c r="AA388" s="850"/>
      <c r="AB388" s="850"/>
      <c r="AC388" s="850"/>
      <c r="AD388" s="850"/>
      <c r="AE388" s="850"/>
      <c r="AF388" s="850"/>
      <c r="AG388" s="850"/>
      <c r="AH388" s="850"/>
      <c r="AI388" s="850"/>
      <c r="AM388" s="850"/>
      <c r="AN388" s="850"/>
      <c r="AO388" s="850"/>
      <c r="AP388" s="850"/>
      <c r="AQ388" s="850"/>
      <c r="AR388" s="850"/>
      <c r="AS388" s="850"/>
      <c r="AT388" s="850"/>
      <c r="AU388" s="850"/>
      <c r="AV388" s="850"/>
      <c r="AW388" s="850"/>
      <c r="AX388" s="850"/>
      <c r="AY388" s="920"/>
      <c r="AZ388" s="850"/>
      <c r="BA388" s="850"/>
      <c r="BB388" s="850"/>
      <c r="BC388" s="850"/>
      <c r="BD388" s="850"/>
      <c r="BE388" s="850"/>
      <c r="BF388" s="850"/>
      <c r="BG388" s="850"/>
      <c r="BH388" s="850"/>
      <c r="BI388" s="850"/>
      <c r="BJ388" s="850"/>
      <c r="BK388" s="850"/>
      <c r="BL388" s="850"/>
      <c r="BM388" s="850"/>
      <c r="BN388" s="850"/>
      <c r="BO388" s="850"/>
      <c r="BP388" s="850"/>
      <c r="BQ388" s="850"/>
      <c r="BR388" s="850"/>
    </row>
    <row r="389" spans="2:70">
      <c r="B389" s="850"/>
      <c r="C389" s="850"/>
      <c r="D389" s="899"/>
      <c r="E389" s="850"/>
      <c r="F389" s="850"/>
      <c r="G389" s="850"/>
      <c r="H389" s="899"/>
      <c r="I389" s="850"/>
      <c r="J389" s="850"/>
      <c r="K389" s="850"/>
      <c r="L389" s="850"/>
      <c r="M389" s="850"/>
      <c r="N389" s="850"/>
      <c r="O389" s="850"/>
      <c r="P389" s="850"/>
      <c r="Q389" s="850"/>
      <c r="R389" s="850"/>
      <c r="S389" s="850"/>
      <c r="T389" s="850"/>
      <c r="U389" s="850"/>
      <c r="V389" s="850"/>
      <c r="W389" s="850"/>
      <c r="X389" s="850"/>
      <c r="Y389" s="850"/>
      <c r="Z389" s="850"/>
      <c r="AA389" s="850"/>
      <c r="AB389" s="850"/>
      <c r="AC389" s="850"/>
      <c r="AD389" s="850"/>
      <c r="AE389" s="850"/>
      <c r="AF389" s="850"/>
      <c r="AG389" s="850"/>
      <c r="AH389" s="850"/>
      <c r="AI389" s="850"/>
      <c r="AM389" s="850"/>
      <c r="AN389" s="850"/>
      <c r="AO389" s="850"/>
      <c r="AP389" s="850"/>
      <c r="AQ389" s="850"/>
      <c r="AR389" s="850"/>
      <c r="AS389" s="850"/>
      <c r="AT389" s="850"/>
      <c r="AU389" s="850"/>
      <c r="AV389" s="850"/>
      <c r="AW389" s="850"/>
      <c r="AX389" s="850"/>
      <c r="AY389" s="920"/>
      <c r="AZ389" s="850"/>
      <c r="BA389" s="850"/>
      <c r="BB389" s="850"/>
      <c r="BC389" s="850"/>
      <c r="BD389" s="850"/>
      <c r="BE389" s="850"/>
      <c r="BF389" s="850"/>
      <c r="BG389" s="850"/>
      <c r="BH389" s="850"/>
      <c r="BI389" s="850"/>
      <c r="BJ389" s="850"/>
      <c r="BK389" s="850"/>
      <c r="BL389" s="850"/>
      <c r="BM389" s="850"/>
      <c r="BN389" s="850"/>
      <c r="BO389" s="850"/>
      <c r="BP389" s="850"/>
      <c r="BQ389" s="850"/>
      <c r="BR389" s="850"/>
    </row>
    <row r="390" spans="2:70">
      <c r="B390" s="850"/>
      <c r="C390" s="850"/>
      <c r="D390" s="899"/>
      <c r="E390" s="850"/>
      <c r="F390" s="850"/>
      <c r="G390" s="850"/>
      <c r="H390" s="899"/>
      <c r="I390" s="850"/>
      <c r="J390" s="850" t="s">
        <v>2577</v>
      </c>
      <c r="K390" s="850" t="s">
        <v>2573</v>
      </c>
      <c r="L390" s="857">
        <f>L242</f>
        <v>-13944446992</v>
      </c>
      <c r="M390" s="850"/>
      <c r="N390" s="850"/>
      <c r="O390" s="850"/>
      <c r="P390" s="850"/>
      <c r="Q390" s="857">
        <f>Q242</f>
        <v>0</v>
      </c>
      <c r="R390" s="850"/>
      <c r="S390" s="850"/>
      <c r="T390" s="850"/>
      <c r="U390" s="850"/>
      <c r="V390" s="850"/>
      <c r="W390" s="850"/>
      <c r="X390" s="850"/>
      <c r="Y390" s="850"/>
      <c r="Z390" s="850"/>
      <c r="AA390" s="850"/>
      <c r="AB390" s="850"/>
      <c r="AC390" s="850"/>
      <c r="AD390" s="850"/>
      <c r="AE390" s="850"/>
      <c r="AF390" s="850"/>
      <c r="AG390" s="850"/>
      <c r="AH390" s="850"/>
      <c r="AI390" s="850"/>
      <c r="AM390" s="850"/>
      <c r="AN390" s="850"/>
      <c r="AO390" s="850"/>
      <c r="AP390" s="850"/>
      <c r="AQ390" s="850"/>
      <c r="AR390" s="850"/>
      <c r="AS390" s="850"/>
      <c r="AT390" s="850"/>
      <c r="AU390" s="850"/>
      <c r="AV390" s="850"/>
      <c r="AW390" s="850"/>
      <c r="AX390" s="850"/>
      <c r="AY390" s="920"/>
      <c r="AZ390" s="850"/>
      <c r="BA390" s="850"/>
      <c r="BB390" s="850"/>
      <c r="BC390" s="850"/>
      <c r="BD390" s="850"/>
      <c r="BE390" s="850"/>
      <c r="BF390" s="850"/>
      <c r="BG390" s="850"/>
      <c r="BH390" s="850"/>
      <c r="BI390" s="850"/>
      <c r="BJ390" s="850"/>
      <c r="BK390" s="850"/>
      <c r="BL390" s="850"/>
      <c r="BM390" s="850"/>
      <c r="BN390" s="850"/>
      <c r="BO390" s="850"/>
      <c r="BP390" s="850"/>
      <c r="BQ390" s="850"/>
      <c r="BR390" s="850"/>
    </row>
    <row r="391" spans="2:70">
      <c r="B391" s="850"/>
      <c r="C391" s="850"/>
      <c r="D391" s="899"/>
      <c r="E391" s="850"/>
      <c r="F391" s="850"/>
      <c r="G391" s="850"/>
      <c r="H391" s="899"/>
      <c r="I391" s="850"/>
      <c r="J391" s="850"/>
      <c r="K391" s="850" t="s">
        <v>2574</v>
      </c>
      <c r="L391" s="857">
        <f>L257</f>
        <v>15797144</v>
      </c>
      <c r="M391" s="850"/>
      <c r="N391" s="850"/>
      <c r="O391" s="850"/>
      <c r="P391" s="850"/>
      <c r="Q391" s="857">
        <f>Q257</f>
        <v>0</v>
      </c>
      <c r="R391" s="850"/>
      <c r="S391" s="850"/>
      <c r="T391" s="850"/>
      <c r="U391" s="850"/>
      <c r="V391" s="850"/>
      <c r="W391" s="850"/>
      <c r="X391" s="850"/>
      <c r="Y391" s="850"/>
      <c r="Z391" s="850"/>
      <c r="AA391" s="850"/>
      <c r="AB391" s="850"/>
      <c r="AC391" s="850"/>
      <c r="AD391" s="850"/>
      <c r="AE391" s="850"/>
      <c r="AF391" s="850"/>
      <c r="AG391" s="850"/>
      <c r="AH391" s="850"/>
      <c r="AI391" s="850"/>
      <c r="AM391" s="850"/>
      <c r="AN391" s="850"/>
      <c r="AO391" s="850"/>
      <c r="AP391" s="850"/>
      <c r="AQ391" s="850"/>
      <c r="AR391" s="850"/>
      <c r="AS391" s="850"/>
      <c r="AT391" s="850"/>
      <c r="AU391" s="850"/>
      <c r="AV391" s="850"/>
      <c r="AW391" s="850"/>
      <c r="AX391" s="850"/>
      <c r="AY391" s="920"/>
      <c r="AZ391" s="850"/>
      <c r="BA391" s="850"/>
      <c r="BB391" s="850"/>
      <c r="BC391" s="850"/>
      <c r="BD391" s="850"/>
      <c r="BE391" s="850"/>
      <c r="BF391" s="850"/>
      <c r="BG391" s="850"/>
      <c r="BH391" s="850"/>
      <c r="BI391" s="850"/>
      <c r="BJ391" s="850"/>
      <c r="BK391" s="850"/>
      <c r="BL391" s="850"/>
      <c r="BM391" s="850"/>
      <c r="BN391" s="850"/>
      <c r="BO391" s="850"/>
      <c r="BP391" s="850"/>
      <c r="BQ391" s="850"/>
      <c r="BR391" s="850"/>
    </row>
    <row r="392" spans="2:70">
      <c r="B392" s="850"/>
      <c r="C392" s="850"/>
      <c r="D392" s="899"/>
      <c r="E392" s="850"/>
      <c r="F392" s="850"/>
      <c r="G392" s="850"/>
      <c r="H392" s="899"/>
      <c r="I392" s="850"/>
      <c r="J392" s="850"/>
      <c r="K392" s="850" t="s">
        <v>2575</v>
      </c>
      <c r="L392" s="1223">
        <f>(L390+L391)/L390</f>
        <v>0.9988671372906317</v>
      </c>
      <c r="M392" s="850"/>
      <c r="N392" s="850"/>
      <c r="O392" s="850"/>
      <c r="P392" s="850"/>
      <c r="Q392" s="850"/>
      <c r="R392" s="850"/>
      <c r="S392" s="850"/>
      <c r="T392" s="850"/>
      <c r="U392" s="850"/>
      <c r="V392" s="850"/>
      <c r="W392" s="850"/>
      <c r="X392" s="850"/>
      <c r="Y392" s="850"/>
      <c r="Z392" s="850"/>
      <c r="AA392" s="850"/>
      <c r="AB392" s="850"/>
      <c r="AC392" s="850"/>
      <c r="AD392" s="850"/>
      <c r="AE392" s="850"/>
      <c r="AF392" s="850"/>
      <c r="AG392" s="850"/>
      <c r="AH392" s="850"/>
      <c r="AI392" s="850"/>
      <c r="AM392" s="850"/>
      <c r="AN392" s="850"/>
      <c r="AO392" s="850"/>
      <c r="AP392" s="850"/>
      <c r="AQ392" s="850"/>
      <c r="AR392" s="850"/>
      <c r="AS392" s="850"/>
      <c r="AT392" s="850"/>
      <c r="AU392" s="850"/>
      <c r="AV392" s="850"/>
      <c r="AW392" s="850"/>
      <c r="AX392" s="850"/>
      <c r="AY392" s="920"/>
      <c r="AZ392" s="850"/>
      <c r="BA392" s="850"/>
      <c r="BB392" s="850"/>
      <c r="BC392" s="850"/>
      <c r="BD392" s="850"/>
      <c r="BE392" s="850"/>
      <c r="BF392" s="850"/>
      <c r="BG392" s="850"/>
      <c r="BH392" s="850"/>
      <c r="BI392" s="850"/>
      <c r="BJ392" s="850"/>
      <c r="BK392" s="850"/>
      <c r="BL392" s="850"/>
      <c r="BM392" s="850"/>
      <c r="BN392" s="850"/>
      <c r="BO392" s="850"/>
      <c r="BP392" s="850"/>
      <c r="BQ392" s="850"/>
      <c r="BR392" s="850"/>
    </row>
    <row r="394" spans="2:70">
      <c r="B394" s="850"/>
      <c r="C394" s="850"/>
      <c r="D394" s="899"/>
      <c r="E394" s="850"/>
      <c r="F394" s="850"/>
      <c r="G394" s="850"/>
      <c r="H394" s="899"/>
      <c r="I394" s="850"/>
      <c r="J394" s="850" t="s">
        <v>2578</v>
      </c>
      <c r="K394" s="850" t="s">
        <v>2573</v>
      </c>
      <c r="L394" s="857">
        <f>L241</f>
        <v>-13335304625</v>
      </c>
      <c r="M394" s="850"/>
      <c r="N394" s="850"/>
      <c r="O394" s="850"/>
      <c r="P394" s="850"/>
      <c r="Q394" s="857">
        <f>Q241</f>
        <v>-33504607372</v>
      </c>
      <c r="R394" s="850"/>
      <c r="S394" s="850"/>
      <c r="T394" s="850"/>
      <c r="U394" s="850"/>
      <c r="V394" s="850"/>
      <c r="W394" s="850"/>
      <c r="X394" s="850"/>
      <c r="Y394" s="850"/>
      <c r="Z394" s="850"/>
      <c r="AA394" s="850"/>
      <c r="AB394" s="850"/>
      <c r="AC394" s="850"/>
      <c r="AD394" s="850"/>
      <c r="AE394" s="850"/>
      <c r="AF394" s="850"/>
      <c r="AG394" s="850"/>
      <c r="AH394" s="850"/>
      <c r="AI394" s="850"/>
      <c r="AM394" s="850"/>
      <c r="AN394" s="850"/>
      <c r="AO394" s="850"/>
      <c r="AP394" s="850"/>
      <c r="AQ394" s="850"/>
      <c r="AR394" s="850"/>
      <c r="AS394" s="850"/>
      <c r="AT394" s="850"/>
      <c r="AU394" s="850"/>
      <c r="AV394" s="850"/>
      <c r="AW394" s="850"/>
      <c r="AX394" s="850"/>
      <c r="AY394" s="920"/>
      <c r="AZ394" s="850"/>
      <c r="BA394" s="850"/>
      <c r="BB394" s="850"/>
      <c r="BC394" s="850"/>
      <c r="BD394" s="850"/>
      <c r="BE394" s="850"/>
      <c r="BF394" s="850"/>
      <c r="BG394" s="850"/>
      <c r="BH394" s="850"/>
      <c r="BI394" s="850"/>
      <c r="BJ394" s="850"/>
      <c r="BK394" s="850"/>
      <c r="BL394" s="850"/>
      <c r="BM394" s="850"/>
      <c r="BN394" s="850"/>
      <c r="BO394" s="850"/>
      <c r="BP394" s="850"/>
      <c r="BQ394" s="850"/>
      <c r="BR394" s="850"/>
    </row>
    <row r="395" spans="2:70">
      <c r="B395" s="850"/>
      <c r="C395" s="850"/>
      <c r="D395" s="899"/>
      <c r="E395" s="850"/>
      <c r="F395" s="850"/>
      <c r="G395" s="850"/>
      <c r="H395" s="899"/>
      <c r="I395" s="850"/>
      <c r="J395" s="850"/>
      <c r="K395" s="850" t="s">
        <v>2574</v>
      </c>
      <c r="L395" s="857">
        <f>L256</f>
        <v>2714535375</v>
      </c>
      <c r="M395" s="850"/>
      <c r="N395" s="850"/>
      <c r="O395" s="850"/>
      <c r="P395" s="850"/>
      <c r="Q395" s="857">
        <f>Q256</f>
        <v>23366980484</v>
      </c>
      <c r="R395" s="850"/>
      <c r="S395" s="850"/>
      <c r="T395" s="850"/>
      <c r="U395" s="850"/>
      <c r="V395" s="850"/>
      <c r="W395" s="850"/>
      <c r="X395" s="850"/>
      <c r="Y395" s="850"/>
      <c r="Z395" s="850"/>
      <c r="AA395" s="850"/>
      <c r="AB395" s="850"/>
      <c r="AC395" s="850"/>
      <c r="AD395" s="850"/>
      <c r="AE395" s="850"/>
      <c r="AF395" s="850"/>
      <c r="AG395" s="850"/>
      <c r="AH395" s="850"/>
      <c r="AI395" s="850"/>
      <c r="AM395" s="850"/>
      <c r="AN395" s="850"/>
      <c r="AO395" s="850"/>
      <c r="AP395" s="850"/>
      <c r="AQ395" s="850"/>
      <c r="AR395" s="850"/>
      <c r="AS395" s="850"/>
      <c r="AT395" s="850"/>
      <c r="AU395" s="850"/>
      <c r="AV395" s="850"/>
      <c r="AW395" s="850"/>
      <c r="AX395" s="850"/>
      <c r="AY395" s="920"/>
      <c r="AZ395" s="850"/>
      <c r="BA395" s="850"/>
      <c r="BB395" s="850"/>
      <c r="BC395" s="850"/>
      <c r="BD395" s="850"/>
      <c r="BE395" s="850"/>
      <c r="BF395" s="850"/>
      <c r="BG395" s="850"/>
      <c r="BH395" s="850"/>
      <c r="BI395" s="850"/>
      <c r="BJ395" s="850"/>
      <c r="BK395" s="850"/>
      <c r="BL395" s="850"/>
      <c r="BM395" s="850"/>
      <c r="BN395" s="850"/>
      <c r="BO395" s="850"/>
      <c r="BP395" s="850"/>
      <c r="BQ395" s="850"/>
      <c r="BR395" s="850"/>
    </row>
    <row r="396" spans="2:70">
      <c r="B396" s="850"/>
      <c r="C396" s="850"/>
      <c r="D396" s="899"/>
      <c r="E396" s="850"/>
      <c r="F396" s="850"/>
      <c r="G396" s="850"/>
      <c r="H396" s="899"/>
      <c r="I396" s="850"/>
      <c r="J396" s="850"/>
      <c r="K396" s="850" t="s">
        <v>2575</v>
      </c>
      <c r="L396" s="1223">
        <f>(L394+L395)/L394</f>
        <v>0.79643994259336237</v>
      </c>
      <c r="M396" s="850"/>
      <c r="N396" s="850"/>
      <c r="O396" s="850"/>
      <c r="P396" s="850"/>
      <c r="Q396" s="1223">
        <f>(Q394+Q395)/Q394</f>
        <v>0.30257411392536049</v>
      </c>
      <c r="R396" s="850"/>
      <c r="S396" s="850"/>
      <c r="T396" s="850"/>
      <c r="U396" s="850"/>
      <c r="V396" s="850"/>
      <c r="W396" s="850"/>
      <c r="X396" s="850"/>
      <c r="Y396" s="850"/>
      <c r="Z396" s="850"/>
      <c r="AA396" s="850"/>
      <c r="AB396" s="850"/>
      <c r="AC396" s="850"/>
      <c r="AD396" s="850"/>
      <c r="AE396" s="850"/>
      <c r="AF396" s="850"/>
      <c r="AG396" s="850"/>
      <c r="AH396" s="850"/>
      <c r="AI396" s="850"/>
      <c r="AM396" s="850"/>
      <c r="AN396" s="850"/>
      <c r="AO396" s="850"/>
      <c r="AP396" s="850"/>
      <c r="AQ396" s="850"/>
      <c r="AR396" s="850"/>
      <c r="AS396" s="850"/>
      <c r="AT396" s="850"/>
      <c r="AU396" s="850"/>
      <c r="AV396" s="850"/>
      <c r="AW396" s="850"/>
      <c r="AX396" s="850"/>
      <c r="AY396" s="920"/>
      <c r="AZ396" s="850"/>
      <c r="BA396" s="850"/>
      <c r="BB396" s="850"/>
      <c r="BC396" s="850"/>
      <c r="BD396" s="850"/>
      <c r="BE396" s="850"/>
      <c r="BF396" s="850"/>
      <c r="BG396" s="850"/>
      <c r="BH396" s="850"/>
      <c r="BI396" s="850"/>
      <c r="BJ396" s="850"/>
      <c r="BK396" s="850"/>
      <c r="BL396" s="850"/>
      <c r="BM396" s="850"/>
      <c r="BN396" s="850"/>
      <c r="BO396" s="850"/>
      <c r="BP396" s="850"/>
      <c r="BQ396" s="850"/>
      <c r="BR396" s="850"/>
    </row>
  </sheetData>
  <autoFilter ref="A6:BT379" xr:uid="{00000000-0001-0000-0000-000000000000}"/>
  <conditionalFormatting sqref="G181:W181 Y181:AX181 I360:W360">
    <cfRule type="cellIs" dxfId="170" priority="29" operator="lessThan">
      <formula>0</formula>
    </cfRule>
    <cfRule type="cellIs" dxfId="169" priority="30" operator="greaterThan">
      <formula>0</formula>
    </cfRule>
  </conditionalFormatting>
  <conditionalFormatting sqref="X199">
    <cfRule type="cellIs" dxfId="168" priority="1" operator="lessThan">
      <formula>0</formula>
    </cfRule>
    <cfRule type="cellIs" dxfId="167" priority="2" operator="greaterThan">
      <formula>0</formula>
    </cfRule>
  </conditionalFormatting>
  <conditionalFormatting sqref="Y360:AX360">
    <cfRule type="cellIs" dxfId="166" priority="27" operator="lessThan">
      <formula>0</formula>
    </cfRule>
    <cfRule type="cellIs" dxfId="165" priority="28" operator="greaterThan">
      <formula>0</formula>
    </cfRule>
  </conditionalFormatting>
  <conditionalFormatting sqref="AZ360:BR360">
    <cfRule type="cellIs" dxfId="164" priority="3" operator="lessThan">
      <formula>0</formula>
    </cfRule>
    <cfRule type="cellIs" dxfId="163" priority="4" operator="greaterThan">
      <formula>0</formula>
    </cfRule>
  </conditionalFormatting>
  <conditionalFormatting sqref="BC181">
    <cfRule type="cellIs" dxfId="162" priority="25" operator="lessThan">
      <formula>0</formula>
    </cfRule>
    <cfRule type="cellIs" dxfId="161" priority="26" operator="greaterThan">
      <formula>0</formula>
    </cfRule>
  </conditionalFormatting>
  <conditionalFormatting sqref="BG181">
    <cfRule type="cellIs" dxfId="160" priority="21" operator="lessThan">
      <formula>0</formula>
    </cfRule>
    <cfRule type="cellIs" dxfId="159" priority="22" operator="greaterThan">
      <formula>0</formula>
    </cfRule>
  </conditionalFormatting>
  <conditionalFormatting sqref="BK181">
    <cfRule type="cellIs" dxfId="158" priority="5" operator="lessThan">
      <formula>0</formula>
    </cfRule>
    <cfRule type="cellIs" dxfId="157" priority="6" operator="greaterThan">
      <formula>0</formula>
    </cfRule>
  </conditionalFormatting>
  <conditionalFormatting sqref="BO181">
    <cfRule type="cellIs" dxfId="156" priority="17" operator="lessThan">
      <formula>0</formula>
    </cfRule>
    <cfRule type="cellIs" dxfId="155" priority="18" operator="greaterThan">
      <formula>0</formula>
    </cfRule>
  </conditionalFormatting>
  <pageMargins left="0.7" right="0.7" top="0.75" bottom="0.75" header="0.3" footer="0.3"/>
  <pageSetup paperSize="9" orientation="portrait" horizontalDpi="30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034AB-4755-4B8C-AA10-1F5330C7E182}">
  <sheetPr codeName="Sheet18" filterMode="1">
    <tabColor rgb="FFFF0000"/>
    <outlinePr summaryBelow="0" summaryRight="0"/>
  </sheetPr>
  <dimension ref="A1:Y265"/>
  <sheetViews>
    <sheetView zoomScale="85" zoomScaleNormal="85" workbookViewId="0">
      <pane xSplit="3" ySplit="6" topLeftCell="D199" activePane="bottomRight" state="frozen"/>
      <selection pane="topRight" activeCell="P1" sqref="P1"/>
      <selection pane="bottomLeft" activeCell="A7" sqref="A7"/>
      <selection pane="bottomRight" activeCell="H233" sqref="H233"/>
    </sheetView>
  </sheetViews>
  <sheetFormatPr defaultColWidth="8.85546875" defaultRowHeight="12.75" outlineLevelRow="2"/>
  <cols>
    <col min="1" max="1" width="1.140625" style="2" customWidth="1"/>
    <col min="2" max="2" width="15.140625" style="2" bestFit="1" customWidth="1"/>
    <col min="3" max="3" width="13" style="2" bestFit="1" customWidth="1"/>
    <col min="4" max="5" width="8.85546875" style="2"/>
    <col min="6" max="6" width="15.5703125" style="2" bestFit="1" customWidth="1"/>
    <col min="7" max="7" width="40.85546875" style="2" bestFit="1" customWidth="1"/>
    <col min="8" max="8" width="18.85546875" style="2" bestFit="1" customWidth="1"/>
    <col min="9" max="9" width="18.140625" style="2" bestFit="1" customWidth="1"/>
    <col min="10" max="10" width="17.85546875" style="2" bestFit="1" customWidth="1"/>
    <col min="11" max="11" width="19.140625" style="2" bestFit="1" customWidth="1"/>
    <col min="12" max="12" width="20.140625" style="2" bestFit="1" customWidth="1"/>
    <col min="13" max="13" width="8.85546875" style="2"/>
    <col min="14" max="14" width="18.42578125" style="2" bestFit="1" customWidth="1"/>
    <col min="15" max="15" width="8.85546875" style="2"/>
    <col min="16" max="16" width="14.140625" style="2" bestFit="1" customWidth="1"/>
    <col min="17" max="17" width="11.85546875" style="2" bestFit="1" customWidth="1"/>
    <col min="18" max="18" width="19.140625" style="2" bestFit="1" customWidth="1"/>
    <col min="19" max="19" width="8.85546875" style="2"/>
    <col min="20" max="20" width="16.140625" style="2" bestFit="1" customWidth="1"/>
    <col min="21" max="21" width="18.5703125" style="2" bestFit="1" customWidth="1"/>
    <col min="22" max="22" width="18.42578125" style="2" bestFit="1" customWidth="1"/>
    <col min="23" max="25" width="16.140625" style="2" bestFit="1" customWidth="1"/>
    <col min="26" max="16384" width="8.85546875" style="2"/>
  </cols>
  <sheetData>
    <row r="1" spans="2:25">
      <c r="B1" s="1" t="s">
        <v>0</v>
      </c>
      <c r="C1" s="850" t="s">
        <v>1</v>
      </c>
      <c r="D1" s="850"/>
      <c r="E1" s="850"/>
      <c r="F1" s="850"/>
      <c r="G1" s="850"/>
      <c r="H1" s="848"/>
      <c r="I1" s="848"/>
      <c r="J1" s="848"/>
      <c r="K1" s="848"/>
      <c r="L1" s="848"/>
      <c r="M1" s="850"/>
      <c r="N1" s="850"/>
      <c r="O1" s="850"/>
      <c r="P1" s="850"/>
      <c r="Q1" s="850"/>
      <c r="R1" s="850"/>
      <c r="S1" s="850"/>
      <c r="T1" s="922" t="s">
        <v>1169</v>
      </c>
      <c r="U1" s="922" t="s">
        <v>1170</v>
      </c>
      <c r="V1" s="922" t="s">
        <v>1171</v>
      </c>
      <c r="W1" s="922" t="s">
        <v>494</v>
      </c>
      <c r="X1" s="922" t="s">
        <v>530</v>
      </c>
      <c r="Y1" s="922" t="s">
        <v>555</v>
      </c>
    </row>
    <row r="2" spans="2:25">
      <c r="B2" s="1" t="s">
        <v>2</v>
      </c>
      <c r="C2" s="852">
        <v>45657</v>
      </c>
      <c r="D2" s="850"/>
      <c r="E2" s="850"/>
      <c r="F2" s="850"/>
      <c r="G2" s="850"/>
      <c r="H2" s="848"/>
      <c r="I2" s="848"/>
      <c r="J2" s="848"/>
      <c r="K2" s="848"/>
      <c r="L2" s="848"/>
      <c r="M2" s="850"/>
      <c r="N2" s="850"/>
      <c r="O2" s="850"/>
      <c r="P2" s="850"/>
      <c r="Q2" s="850"/>
      <c r="R2" s="850"/>
      <c r="S2" s="850"/>
      <c r="T2" s="77" t="s">
        <v>1172</v>
      </c>
      <c r="U2" s="77" t="s">
        <v>1172</v>
      </c>
      <c r="V2" s="77" t="s">
        <v>1172</v>
      </c>
      <c r="W2" s="77" t="s">
        <v>1172</v>
      </c>
      <c r="X2" s="77" t="s">
        <v>1172</v>
      </c>
      <c r="Y2" s="77" t="s">
        <v>1172</v>
      </c>
    </row>
    <row r="3" spans="2:25">
      <c r="B3" s="3" t="s">
        <v>1173</v>
      </c>
      <c r="C3" s="850"/>
      <c r="D3" s="850"/>
      <c r="E3" s="850"/>
      <c r="F3" s="850"/>
      <c r="G3" s="850"/>
      <c r="H3" s="848"/>
      <c r="I3" s="848"/>
      <c r="J3" s="848"/>
      <c r="K3" s="848"/>
      <c r="L3" s="848"/>
      <c r="M3" s="850"/>
      <c r="N3" s="850"/>
      <c r="O3" s="850"/>
      <c r="P3" s="850"/>
      <c r="Q3" s="850"/>
      <c r="R3" s="850"/>
      <c r="S3" s="850"/>
      <c r="T3" s="78" t="s">
        <v>1174</v>
      </c>
      <c r="U3" s="78" t="s">
        <v>1175</v>
      </c>
      <c r="V3" s="78" t="s">
        <v>1176</v>
      </c>
      <c r="W3" s="78" t="s">
        <v>1176</v>
      </c>
      <c r="X3" s="78" t="s">
        <v>1175</v>
      </c>
      <c r="Y3" s="78" t="s">
        <v>1176</v>
      </c>
    </row>
    <row r="4" spans="2:25" ht="13.5" thickBot="1">
      <c r="B4" s="850"/>
      <c r="C4" s="850"/>
      <c r="D4" s="850"/>
      <c r="E4" s="850"/>
      <c r="F4" s="850"/>
      <c r="G4" s="850"/>
      <c r="H4" s="848"/>
      <c r="I4" s="848"/>
      <c r="J4" s="848"/>
      <c r="K4" s="848"/>
      <c r="L4" s="848"/>
      <c r="M4" s="850"/>
      <c r="N4" s="1221"/>
      <c r="O4" s="850"/>
      <c r="P4" s="850"/>
      <c r="Q4" s="850"/>
      <c r="R4" s="850"/>
      <c r="S4" s="850" t="s">
        <v>1177</v>
      </c>
      <c r="T4" s="850"/>
      <c r="U4" s="1157">
        <v>1</v>
      </c>
      <c r="V4" s="1157">
        <f>'A4.N2FS Singles'!G19</f>
        <v>1</v>
      </c>
      <c r="W4" s="1157">
        <f>'A4.N2FS Singles'!G20</f>
        <v>0.75</v>
      </c>
      <c r="X4" s="1157">
        <f>'A4.N2FS Singles'!G22</f>
        <v>0.9949409235567821</v>
      </c>
      <c r="Y4" s="1157">
        <f>'A4.N2FS Singles'!G23</f>
        <v>0.99959183669999996</v>
      </c>
    </row>
    <row r="5" spans="2:25" ht="13.5" thickBot="1">
      <c r="B5" s="850"/>
      <c r="C5" s="850"/>
      <c r="D5" s="850"/>
      <c r="E5" s="850"/>
      <c r="F5" s="850"/>
      <c r="G5" s="850"/>
      <c r="H5" s="204" t="s">
        <v>1178</v>
      </c>
      <c r="I5" s="206"/>
      <c r="J5" s="204" t="s">
        <v>1179</v>
      </c>
      <c r="K5" s="206"/>
      <c r="L5" s="848">
        <f>SUBTOTAL(109,L7:L356)</f>
        <v>0</v>
      </c>
      <c r="M5" s="899"/>
      <c r="N5" s="899"/>
      <c r="O5" s="899"/>
      <c r="P5" s="850"/>
      <c r="Q5" s="850"/>
      <c r="R5" s="850"/>
      <c r="S5" s="850"/>
      <c r="T5" s="850"/>
      <c r="U5" s="850"/>
      <c r="V5" s="850"/>
      <c r="W5" s="850"/>
      <c r="X5" s="850"/>
      <c r="Y5" s="850"/>
    </row>
    <row r="6" spans="2:25" ht="25.5">
      <c r="B6" s="177" t="s">
        <v>1180</v>
      </c>
      <c r="C6" s="178" t="s">
        <v>1181</v>
      </c>
      <c r="D6" s="178" t="s">
        <v>1182</v>
      </c>
      <c r="E6" s="178" t="s">
        <v>1183</v>
      </c>
      <c r="F6" s="179" t="s">
        <v>1184</v>
      </c>
      <c r="G6" s="180" t="s">
        <v>775</v>
      </c>
      <c r="H6" s="205" t="s">
        <v>1185</v>
      </c>
      <c r="I6" s="207" t="s">
        <v>1186</v>
      </c>
      <c r="J6" s="205" t="s">
        <v>1185</v>
      </c>
      <c r="K6" s="207" t="s">
        <v>1186</v>
      </c>
      <c r="L6" s="270" t="s">
        <v>1187</v>
      </c>
      <c r="M6" s="271" t="s">
        <v>1188</v>
      </c>
      <c r="N6" s="272" t="s">
        <v>1189</v>
      </c>
      <c r="O6" s="272" t="s">
        <v>1190</v>
      </c>
      <c r="P6" s="273" t="s">
        <v>777</v>
      </c>
      <c r="Q6" s="274" t="s">
        <v>1191</v>
      </c>
      <c r="R6" s="850"/>
      <c r="S6" s="850"/>
      <c r="T6" s="1099" t="s">
        <v>1192</v>
      </c>
      <c r="U6" s="768"/>
      <c r="V6" s="850"/>
      <c r="W6" s="850"/>
      <c r="X6" s="850"/>
      <c r="Y6" s="850"/>
    </row>
    <row r="7" spans="2:25" s="623" customFormat="1" ht="15" hidden="1" collapsed="1">
      <c r="B7" s="171" t="s">
        <v>1193</v>
      </c>
      <c r="C7" s="171"/>
      <c r="D7" s="171"/>
      <c r="E7" s="171"/>
      <c r="F7" s="171"/>
      <c r="G7" s="171"/>
      <c r="H7" s="171"/>
      <c r="I7" s="171"/>
      <c r="J7" s="171"/>
      <c r="K7" s="171"/>
      <c r="L7" s="171"/>
      <c r="M7" s="171"/>
      <c r="N7" s="171"/>
      <c r="O7" s="171"/>
      <c r="P7" s="171"/>
      <c r="Q7" s="171"/>
      <c r="R7" s="850"/>
      <c r="S7" s="850"/>
      <c r="T7" s="771"/>
      <c r="U7" s="770"/>
      <c r="V7" s="850"/>
      <c r="W7" s="850"/>
      <c r="X7" s="850"/>
      <c r="Y7" s="850"/>
    </row>
    <row r="8" spans="2:25" ht="15" hidden="1" outlineLevel="1">
      <c r="B8" s="307" t="s">
        <v>1194</v>
      </c>
      <c r="C8" s="306"/>
      <c r="D8" s="306"/>
      <c r="E8" s="306"/>
      <c r="F8" s="306"/>
      <c r="G8" s="306"/>
      <c r="H8" s="306"/>
      <c r="I8" s="306"/>
      <c r="J8" s="306"/>
      <c r="K8" s="306"/>
      <c r="L8" s="306"/>
      <c r="M8" s="306"/>
      <c r="N8" s="306"/>
      <c r="O8" s="306"/>
      <c r="P8" s="306"/>
      <c r="Q8" s="306"/>
      <c r="R8" s="850"/>
      <c r="S8" s="850"/>
      <c r="T8" s="771"/>
      <c r="U8" s="770"/>
      <c r="V8" s="850"/>
      <c r="W8" s="850"/>
      <c r="X8" s="850"/>
      <c r="Y8" s="850"/>
    </row>
    <row r="9" spans="2:25" ht="15" hidden="1" outlineLevel="2">
      <c r="B9" s="850" t="s">
        <v>1195</v>
      </c>
      <c r="C9" s="19">
        <v>1</v>
      </c>
      <c r="D9" s="1" t="s">
        <v>1196</v>
      </c>
      <c r="E9" s="850"/>
      <c r="F9" s="850"/>
      <c r="G9" s="850"/>
      <c r="H9" s="850"/>
      <c r="I9" s="850"/>
      <c r="J9" s="850"/>
      <c r="K9" s="850"/>
      <c r="L9" s="850"/>
      <c r="M9" s="850"/>
      <c r="N9" s="850"/>
      <c r="O9" s="850"/>
      <c r="P9" s="850"/>
      <c r="Q9" s="850" t="s">
        <v>681</v>
      </c>
      <c r="R9" s="850"/>
      <c r="S9" s="850"/>
      <c r="T9" s="771"/>
      <c r="U9" s="770"/>
      <c r="V9" s="850"/>
      <c r="W9" s="850"/>
      <c r="X9" s="850"/>
      <c r="Y9" s="850"/>
    </row>
    <row r="10" spans="2:25" ht="15" hidden="1" outlineLevel="2">
      <c r="B10" s="850" t="s">
        <v>1195</v>
      </c>
      <c r="C10" s="850"/>
      <c r="D10" s="850"/>
      <c r="E10" s="850" t="s">
        <v>1185</v>
      </c>
      <c r="F10" s="850" t="s">
        <v>1197</v>
      </c>
      <c r="G10" s="850" t="str">
        <f>_xlfn.XLOOKUP(F10,'A0.LS'!E:E,'A0.LS'!F:F)</f>
        <v>Lợi thế thương mại</v>
      </c>
      <c r="H10" s="848">
        <f>GW!L10</f>
        <v>121294625652.79868</v>
      </c>
      <c r="I10" s="850"/>
      <c r="J10" s="850"/>
      <c r="K10" s="850"/>
      <c r="L10" s="848">
        <f>ROUND(SUM(H10:K10),0)</f>
        <v>121294625653</v>
      </c>
      <c r="M10" s="850" t="s">
        <v>1198</v>
      </c>
      <c r="N10" s="850" t="s">
        <v>1199</v>
      </c>
      <c r="O10" s="850">
        <v>2021</v>
      </c>
      <c r="P10" s="850"/>
      <c r="Q10" s="850" t="s">
        <v>681</v>
      </c>
      <c r="R10" s="848">
        <f>SUMIFS($L$10:$L$82,$F$10:$F$82,221)</f>
        <v>-428955330000</v>
      </c>
      <c r="S10" s="850"/>
      <c r="T10" s="1101" t="s">
        <v>1200</v>
      </c>
      <c r="U10" s="770"/>
      <c r="V10" s="850"/>
      <c r="W10" s="850"/>
      <c r="X10" s="850"/>
      <c r="Y10" s="850"/>
    </row>
    <row r="11" spans="2:25" ht="15" hidden="1" outlineLevel="2">
      <c r="B11" s="850" t="s">
        <v>1195</v>
      </c>
      <c r="C11" s="850"/>
      <c r="D11" s="850"/>
      <c r="E11" s="850" t="s">
        <v>1185</v>
      </c>
      <c r="F11" s="850" t="s">
        <v>207</v>
      </c>
      <c r="G11" s="850" t="str">
        <f>_xlfn.XLOOKUP(F11,'A0.LS'!E:E,'A0.LS'!F:F)</f>
        <v>Cổ phiếu phổ thông có quyền biểu quyết</v>
      </c>
      <c r="H11" s="848">
        <f>ROUND(GW!C12*GW!C13,0)</f>
        <v>261473980000</v>
      </c>
      <c r="I11" s="850"/>
      <c r="J11" s="850"/>
      <c r="K11" s="850"/>
      <c r="L11" s="848">
        <f t="shared" ref="L11:L12" si="0">ROUND(SUM(H11:K11),0)</f>
        <v>261473980000</v>
      </c>
      <c r="M11" s="850" t="s">
        <v>1198</v>
      </c>
      <c r="N11" s="850" t="s">
        <v>1199</v>
      </c>
      <c r="O11" s="850">
        <v>2021</v>
      </c>
      <c r="P11" s="850"/>
      <c r="Q11" s="850" t="s">
        <v>681</v>
      </c>
      <c r="R11" s="848">
        <f>Group!W16</f>
        <v>427201256635</v>
      </c>
      <c r="S11" s="850"/>
      <c r="T11" s="1101" t="s">
        <v>1200</v>
      </c>
      <c r="U11" s="770"/>
      <c r="V11" s="850"/>
      <c r="W11" s="850"/>
      <c r="X11" s="850"/>
      <c r="Y11" s="850"/>
    </row>
    <row r="12" spans="2:25" ht="15" hidden="1" outlineLevel="2">
      <c r="B12" s="850" t="s">
        <v>1195</v>
      </c>
      <c r="C12" s="850"/>
      <c r="D12" s="850"/>
      <c r="E12" s="850" t="s">
        <v>1185</v>
      </c>
      <c r="F12" s="850" t="s">
        <v>1201</v>
      </c>
      <c r="G12" s="850" t="str">
        <f>_xlfn.XLOOKUP(F12,'A0.LS'!E:E,'A0.LS'!F:F)</f>
        <v>Dự trữ pháp định</v>
      </c>
      <c r="H12" s="848">
        <f>ROUND(GW!C15*GW!C13,0)</f>
        <v>243696443</v>
      </c>
      <c r="I12" s="850"/>
      <c r="J12" s="850"/>
      <c r="K12" s="850"/>
      <c r="L12" s="848">
        <f t="shared" si="0"/>
        <v>243696443</v>
      </c>
      <c r="M12" s="850" t="s">
        <v>1198</v>
      </c>
      <c r="N12" s="850" t="s">
        <v>1199</v>
      </c>
      <c r="O12" s="850">
        <v>2021</v>
      </c>
      <c r="P12" s="850"/>
      <c r="Q12" s="850" t="s">
        <v>681</v>
      </c>
      <c r="R12" s="850"/>
      <c r="S12" s="850"/>
      <c r="T12" s="1101" t="s">
        <v>1200</v>
      </c>
      <c r="U12" s="770"/>
      <c r="V12" s="850"/>
      <c r="W12" s="850"/>
      <c r="X12" s="850"/>
      <c r="Y12" s="850"/>
    </row>
    <row r="13" spans="2:25" ht="15" hidden="1" outlineLevel="2">
      <c r="B13" s="850" t="s">
        <v>1195</v>
      </c>
      <c r="C13" s="850"/>
      <c r="D13" s="850"/>
      <c r="E13" s="850" t="s">
        <v>1186</v>
      </c>
      <c r="F13" s="850" t="s">
        <v>215</v>
      </c>
      <c r="G13" s="850" t="str">
        <f>_xlfn.XLOOKUP(F13,'A0.LS'!E:E,'A0.LS'!F:F)</f>
        <v>Lợi nhuận sau thuế chưa phân phối năm trước</v>
      </c>
      <c r="H13" s="850"/>
      <c r="I13" s="857">
        <f>-ROUND(SUM(GW!C16:C17)*GW!C13,0)</f>
        <v>-250206972096</v>
      </c>
      <c r="J13" s="850"/>
      <c r="K13" s="850"/>
      <c r="L13" s="175">
        <f>ROUND(SUM(H13:J13),0)</f>
        <v>-250206972096</v>
      </c>
      <c r="M13" s="850" t="s">
        <v>1198</v>
      </c>
      <c r="N13" s="850" t="s">
        <v>1199</v>
      </c>
      <c r="O13" s="850">
        <v>2021</v>
      </c>
      <c r="P13" s="850"/>
      <c r="Q13" s="850" t="s">
        <v>681</v>
      </c>
      <c r="R13" s="848"/>
      <c r="S13" s="850"/>
      <c r="T13" s="1101" t="s">
        <v>1200</v>
      </c>
      <c r="U13" s="770"/>
      <c r="V13" s="850"/>
      <c r="W13" s="850"/>
      <c r="X13" s="850"/>
      <c r="Y13" s="850"/>
    </row>
    <row r="14" spans="2:25" ht="15" hidden="1" outlineLevel="2">
      <c r="B14" s="850" t="s">
        <v>1195</v>
      </c>
      <c r="C14" s="850"/>
      <c r="D14" s="850"/>
      <c r="E14" s="850" t="s">
        <v>1186</v>
      </c>
      <c r="F14" s="850" t="s">
        <v>95</v>
      </c>
      <c r="G14" s="850" t="str">
        <f>_xlfn.XLOOKUP(F14,'A0.LS'!E:E,'A0.LS'!F:F)</f>
        <v>Đầu tư vào công ty con</v>
      </c>
      <c r="H14" s="850"/>
      <c r="I14" s="848">
        <f>-GW!L7</f>
        <v>-132805330000</v>
      </c>
      <c r="J14" s="850"/>
      <c r="K14" s="850"/>
      <c r="L14" s="848">
        <f>ROUND(SUM(H14:J14),0)</f>
        <v>-132805330000</v>
      </c>
      <c r="M14" s="850" t="s">
        <v>1198</v>
      </c>
      <c r="N14" s="850" t="s">
        <v>1199</v>
      </c>
      <c r="O14" s="850">
        <v>2021</v>
      </c>
      <c r="P14" s="850"/>
      <c r="Q14" s="850" t="s">
        <v>681</v>
      </c>
      <c r="R14" s="850"/>
      <c r="S14" s="850"/>
      <c r="T14" s="1101" t="s">
        <v>1200</v>
      </c>
      <c r="U14" s="770"/>
      <c r="V14" s="850"/>
      <c r="W14" s="850"/>
      <c r="X14" s="850"/>
      <c r="Y14" s="850"/>
    </row>
    <row r="15" spans="2:25" ht="15" hidden="1" outlineLevel="2">
      <c r="B15" s="850" t="s">
        <v>1195</v>
      </c>
      <c r="C15" s="850"/>
      <c r="D15" s="850"/>
      <c r="E15" s="850"/>
      <c r="F15" s="850"/>
      <c r="G15" s="850"/>
      <c r="H15" s="850"/>
      <c r="I15" s="850"/>
      <c r="J15" s="850"/>
      <c r="K15" s="848"/>
      <c r="L15" s="848"/>
      <c r="M15" s="850"/>
      <c r="N15" s="850"/>
      <c r="O15" s="850"/>
      <c r="P15" s="850"/>
      <c r="Q15" s="850"/>
      <c r="R15" s="850"/>
      <c r="S15" s="850"/>
      <c r="T15" s="771"/>
      <c r="U15" s="770"/>
      <c r="V15" s="850"/>
      <c r="W15" s="850"/>
      <c r="X15" s="850"/>
      <c r="Y15" s="850"/>
    </row>
    <row r="16" spans="2:25" ht="15" hidden="1" outlineLevel="2">
      <c r="B16" s="850" t="s">
        <v>1195</v>
      </c>
      <c r="C16" s="19">
        <v>2</v>
      </c>
      <c r="D16" s="1" t="s">
        <v>1202</v>
      </c>
      <c r="E16" s="850"/>
      <c r="F16" s="850"/>
      <c r="G16" s="850"/>
      <c r="H16" s="850"/>
      <c r="I16" s="850"/>
      <c r="J16" s="850"/>
      <c r="K16" s="850"/>
      <c r="L16" s="850"/>
      <c r="M16" s="850"/>
      <c r="N16" s="850"/>
      <c r="O16" s="850"/>
      <c r="P16" s="850"/>
      <c r="Q16" s="850"/>
      <c r="R16" s="850"/>
      <c r="S16" s="850"/>
      <c r="T16" s="771"/>
      <c r="U16" s="770"/>
      <c r="V16" s="850"/>
      <c r="W16" s="850"/>
      <c r="X16" s="850"/>
      <c r="Y16" s="850"/>
    </row>
    <row r="17" spans="2:21" ht="15" hidden="1" outlineLevel="2">
      <c r="B17" s="850" t="s">
        <v>1195</v>
      </c>
      <c r="C17" s="850"/>
      <c r="D17" s="850"/>
      <c r="E17" s="850" t="s">
        <v>1185</v>
      </c>
      <c r="F17" s="850" t="s">
        <v>207</v>
      </c>
      <c r="G17" s="850" t="str">
        <f>_xlfn.XLOOKUP(F17,'A0.LS'!E:E,'A0.LS'!F:F)</f>
        <v>Cổ phiếu phổ thông có quyền biểu quyết</v>
      </c>
      <c r="H17" s="848">
        <f>ROUND(GW!C12*GW!C14,0)</f>
        <v>12126000000</v>
      </c>
      <c r="I17" s="850"/>
      <c r="J17" s="850"/>
      <c r="K17" s="850"/>
      <c r="L17" s="848">
        <f t="shared" ref="L17:L18" si="1">ROUND(SUM(H17:K17),0)</f>
        <v>12126000000</v>
      </c>
      <c r="M17" s="850" t="s">
        <v>1198</v>
      </c>
      <c r="N17" s="850" t="s">
        <v>1199</v>
      </c>
      <c r="O17" s="850">
        <v>2021</v>
      </c>
      <c r="P17" s="850"/>
      <c r="Q17" s="850"/>
      <c r="R17" s="850"/>
      <c r="S17" s="850"/>
      <c r="T17" s="1101" t="s">
        <v>1200</v>
      </c>
      <c r="U17" s="770"/>
    </row>
    <row r="18" spans="2:21" ht="15" hidden="1" outlineLevel="2">
      <c r="B18" s="850" t="s">
        <v>1195</v>
      </c>
      <c r="C18" s="850"/>
      <c r="D18" s="850"/>
      <c r="E18" s="850" t="s">
        <v>1185</v>
      </c>
      <c r="F18" s="850" t="s">
        <v>1201</v>
      </c>
      <c r="G18" s="850" t="str">
        <f>_xlfn.XLOOKUP(F18,'A0.LS'!E:E,'A0.LS'!F:F)</f>
        <v>Dự trữ pháp định</v>
      </c>
      <c r="H18" s="848">
        <f>ROUND(GW!C15*GW!C14,0)</f>
        <v>11301557</v>
      </c>
      <c r="I18" s="850"/>
      <c r="J18" s="850"/>
      <c r="K18" s="850"/>
      <c r="L18" s="848">
        <f t="shared" si="1"/>
        <v>11301557</v>
      </c>
      <c r="M18" s="850" t="s">
        <v>1198</v>
      </c>
      <c r="N18" s="850" t="s">
        <v>1199</v>
      </c>
      <c r="O18" s="850">
        <v>2021</v>
      </c>
      <c r="P18" s="850"/>
      <c r="Q18" s="850"/>
      <c r="R18" s="850"/>
      <c r="S18" s="850"/>
      <c r="T18" s="1101" t="s">
        <v>1200</v>
      </c>
      <c r="U18" s="770"/>
    </row>
    <row r="19" spans="2:21" ht="15" hidden="1" outlineLevel="2">
      <c r="B19" s="850" t="s">
        <v>1195</v>
      </c>
      <c r="C19" s="850"/>
      <c r="D19" s="850"/>
      <c r="E19" s="850" t="s">
        <v>1186</v>
      </c>
      <c r="F19" s="850" t="s">
        <v>215</v>
      </c>
      <c r="G19" s="850" t="str">
        <f>_xlfn.XLOOKUP(F19,'A0.LS'!E:E,'A0.LS'!F:F)</f>
        <v>Lợi nhuận sau thuế chưa phân phối năm trước</v>
      </c>
      <c r="H19" s="850"/>
      <c r="I19" s="857">
        <f>-ROUND(SUM(GW!C16:C17)*GW!C14,0)</f>
        <v>-11603486296</v>
      </c>
      <c r="J19" s="850"/>
      <c r="K19" s="850"/>
      <c r="L19" s="175">
        <f>ROUND(SUM(H19:J19),0)</f>
        <v>-11603486296</v>
      </c>
      <c r="M19" s="850" t="s">
        <v>1198</v>
      </c>
      <c r="N19" s="850" t="s">
        <v>1199</v>
      </c>
      <c r="O19" s="850">
        <v>2021</v>
      </c>
      <c r="P19" s="850"/>
      <c r="Q19" s="850"/>
      <c r="R19" s="850"/>
      <c r="S19" s="850"/>
      <c r="T19" s="1101" t="s">
        <v>1200</v>
      </c>
      <c r="U19" s="770"/>
    </row>
    <row r="20" spans="2:21" ht="15" hidden="1" outlineLevel="2">
      <c r="B20" s="850" t="s">
        <v>1195</v>
      </c>
      <c r="C20" s="850"/>
      <c r="D20" s="850"/>
      <c r="E20" s="850" t="s">
        <v>1186</v>
      </c>
      <c r="F20" s="850" t="s">
        <v>1203</v>
      </c>
      <c r="G20" s="850" t="str">
        <f>_xlfn.XLOOKUP(F20,'A0.LS'!E:E,'A0.LS'!F:F)</f>
        <v>Lợi ích cổ đông không kiểm soát-BS</v>
      </c>
      <c r="H20" s="850"/>
      <c r="I20" s="848">
        <f>-ROUND(GW!L8,0)</f>
        <v>-533815261</v>
      </c>
      <c r="J20" s="850"/>
      <c r="K20" s="850"/>
      <c r="L20" s="175">
        <f>ROUND(SUM(H20:J20),0)</f>
        <v>-533815261</v>
      </c>
      <c r="M20" s="850" t="s">
        <v>1198</v>
      </c>
      <c r="N20" s="850" t="s">
        <v>1199</v>
      </c>
      <c r="O20" s="850">
        <v>2021</v>
      </c>
      <c r="P20" s="850"/>
      <c r="Q20" s="850"/>
      <c r="R20" s="850"/>
      <c r="S20" s="850"/>
      <c r="T20" s="1101" t="s">
        <v>1200</v>
      </c>
      <c r="U20" s="770"/>
    </row>
    <row r="21" spans="2:21" ht="15" hidden="1" outlineLevel="2">
      <c r="B21" s="850" t="s">
        <v>1195</v>
      </c>
      <c r="C21" s="850"/>
      <c r="D21" s="850"/>
      <c r="E21" s="850"/>
      <c r="F21" s="850"/>
      <c r="G21" s="850"/>
      <c r="H21" s="850"/>
      <c r="I21" s="850"/>
      <c r="J21" s="850"/>
      <c r="K21" s="850"/>
      <c r="L21" s="850"/>
      <c r="M21" s="850"/>
      <c r="N21" s="850"/>
      <c r="O21" s="850"/>
      <c r="P21" s="850"/>
      <c r="Q21" s="850"/>
      <c r="R21" s="850"/>
      <c r="S21" s="850"/>
      <c r="T21" s="771"/>
      <c r="U21" s="770"/>
    </row>
    <row r="22" spans="2:21" ht="15" hidden="1" outlineLevel="2">
      <c r="B22" s="850" t="s">
        <v>1195</v>
      </c>
      <c r="C22" s="19">
        <v>3</v>
      </c>
      <c r="D22" s="1" t="s">
        <v>1204</v>
      </c>
      <c r="E22" s="850"/>
      <c r="F22" s="850"/>
      <c r="G22" s="850"/>
      <c r="H22" s="850"/>
      <c r="I22" s="850"/>
      <c r="J22" s="850"/>
      <c r="K22" s="850"/>
      <c r="L22" s="850"/>
      <c r="M22" s="850"/>
      <c r="N22" s="850"/>
      <c r="O22" s="850"/>
      <c r="P22" s="850"/>
      <c r="Q22" s="850"/>
      <c r="R22" s="850"/>
      <c r="S22" s="850"/>
      <c r="T22" s="771"/>
      <c r="U22" s="770"/>
    </row>
    <row r="23" spans="2:21" ht="15" hidden="1" outlineLevel="2">
      <c r="B23" s="850" t="s">
        <v>1195</v>
      </c>
      <c r="C23" s="850"/>
      <c r="D23" s="850"/>
      <c r="E23" s="850" t="s">
        <v>1185</v>
      </c>
      <c r="F23" s="850" t="s">
        <v>1203</v>
      </c>
      <c r="G23" s="850" t="str">
        <f>_xlfn.XLOOKUP(F23,'A0.LS'!E:E,'A0.LS'!F:F)</f>
        <v>Lợi ích cổ đông không kiểm soát-BS</v>
      </c>
      <c r="H23" s="848">
        <v>58798782</v>
      </c>
      <c r="I23" s="850"/>
      <c r="J23" s="850"/>
      <c r="K23" s="850"/>
      <c r="L23" s="175">
        <f t="shared" ref="L23:L24" si="2">ROUND(SUM(H23:K23),0)</f>
        <v>58798782</v>
      </c>
      <c r="M23" s="850" t="s">
        <v>1198</v>
      </c>
      <c r="N23" s="850" t="s">
        <v>1199</v>
      </c>
      <c r="O23" s="850">
        <v>2021</v>
      </c>
      <c r="P23" s="850"/>
      <c r="Q23" s="850"/>
      <c r="R23" s="850"/>
      <c r="S23" s="850"/>
      <c r="T23" s="1101" t="s">
        <v>1200</v>
      </c>
      <c r="U23" s="770"/>
    </row>
    <row r="24" spans="2:21" ht="15" hidden="1" outlineLevel="2">
      <c r="B24" s="850" t="s">
        <v>1195</v>
      </c>
      <c r="C24" s="850"/>
      <c r="D24" s="850"/>
      <c r="E24" s="850" t="s">
        <v>1186</v>
      </c>
      <c r="F24" s="850" t="s">
        <v>215</v>
      </c>
      <c r="G24" s="850" t="str">
        <f>_xlfn.XLOOKUP(F24,'A0.LS'!E:E,'A0.LS'!F:F)</f>
        <v>Lợi nhuận sau thuế chưa phân phối năm trước</v>
      </c>
      <c r="H24" s="850"/>
      <c r="I24" s="857">
        <f>-H23</f>
        <v>-58798782</v>
      </c>
      <c r="J24" s="850"/>
      <c r="K24" s="850"/>
      <c r="L24" s="175">
        <f t="shared" si="2"/>
        <v>-58798782</v>
      </c>
      <c r="M24" s="850" t="s">
        <v>1198</v>
      </c>
      <c r="N24" s="850" t="s">
        <v>1199</v>
      </c>
      <c r="O24" s="850">
        <v>2021</v>
      </c>
      <c r="P24" s="850"/>
      <c r="Q24" s="850"/>
      <c r="R24" s="850"/>
      <c r="S24" s="850"/>
      <c r="T24" s="1101" t="s">
        <v>1200</v>
      </c>
      <c r="U24" s="770"/>
    </row>
    <row r="25" spans="2:21" ht="15" hidden="1" outlineLevel="2">
      <c r="B25" s="850" t="s">
        <v>1195</v>
      </c>
      <c r="C25" s="850"/>
      <c r="D25" s="850"/>
      <c r="E25" s="850"/>
      <c r="F25" s="850"/>
      <c r="G25" s="850"/>
      <c r="H25" s="850"/>
      <c r="I25" s="850"/>
      <c r="J25" s="850"/>
      <c r="K25" s="850"/>
      <c r="L25" s="850"/>
      <c r="M25" s="850"/>
      <c r="N25" s="850"/>
      <c r="O25" s="850"/>
      <c r="P25" s="850"/>
      <c r="Q25" s="850"/>
      <c r="R25" s="850"/>
      <c r="S25" s="850"/>
      <c r="T25" s="771"/>
      <c r="U25" s="770"/>
    </row>
    <row r="26" spans="2:21" ht="15" hidden="1" outlineLevel="2">
      <c r="B26" s="850" t="s">
        <v>1195</v>
      </c>
      <c r="C26" s="19">
        <v>4</v>
      </c>
      <c r="D26" s="1" t="s">
        <v>1205</v>
      </c>
      <c r="E26" s="850"/>
      <c r="F26" s="850"/>
      <c r="G26" s="850"/>
      <c r="H26" s="850"/>
      <c r="I26" s="850"/>
      <c r="J26" s="850"/>
      <c r="K26" s="850"/>
      <c r="L26" s="850"/>
      <c r="M26" s="850"/>
      <c r="N26" s="850"/>
      <c r="O26" s="850"/>
      <c r="P26" s="850"/>
      <c r="Q26" s="850"/>
      <c r="R26" s="850"/>
      <c r="S26" s="850"/>
      <c r="T26" s="771"/>
      <c r="U26" s="770"/>
    </row>
    <row r="27" spans="2:21" ht="15" hidden="1" outlineLevel="2">
      <c r="B27" s="850" t="s">
        <v>1195</v>
      </c>
      <c r="C27" s="850"/>
      <c r="D27" s="850"/>
      <c r="E27" s="850" t="s">
        <v>1185</v>
      </c>
      <c r="F27" s="859" t="s">
        <v>215</v>
      </c>
      <c r="G27" s="850" t="str">
        <f>_xlfn.XLOOKUP(F27,'A0.LS'!E:E,'A0.LS'!F:F)</f>
        <v>Lợi nhuận sau thuế chưa phân phối năm trước</v>
      </c>
      <c r="H27" s="848">
        <v>87030229.459620848</v>
      </c>
      <c r="I27" s="850"/>
      <c r="J27" s="850"/>
      <c r="K27" s="850"/>
      <c r="L27" s="175">
        <f t="shared" ref="L27:L28" si="3">ROUND(SUM(H27:K27),0)</f>
        <v>87030229</v>
      </c>
      <c r="M27" s="850" t="s">
        <v>1198</v>
      </c>
      <c r="N27" s="850" t="s">
        <v>1199</v>
      </c>
      <c r="O27" s="850">
        <v>2022</v>
      </c>
      <c r="P27" s="850"/>
      <c r="Q27" s="848"/>
      <c r="R27" s="850"/>
      <c r="S27" s="850"/>
      <c r="T27" s="1101" t="s">
        <v>1200</v>
      </c>
      <c r="U27" s="770"/>
    </row>
    <row r="28" spans="2:21" ht="15" hidden="1" outlineLevel="2">
      <c r="B28" s="850" t="s">
        <v>1195</v>
      </c>
      <c r="C28" s="850"/>
      <c r="D28" s="850"/>
      <c r="E28" s="850" t="s">
        <v>1186</v>
      </c>
      <c r="F28" s="850" t="s">
        <v>1203</v>
      </c>
      <c r="G28" s="850" t="str">
        <f>_xlfn.XLOOKUP(F28,'A0.LS'!E:E,'A0.LS'!F:F)</f>
        <v>Lợi ích cổ đông không kiểm soát-BS</v>
      </c>
      <c r="H28" s="850"/>
      <c r="I28" s="857">
        <f>-H27</f>
        <v>-87030229.459620848</v>
      </c>
      <c r="J28" s="850"/>
      <c r="K28" s="850"/>
      <c r="L28" s="175">
        <f t="shared" si="3"/>
        <v>-87030229</v>
      </c>
      <c r="M28" s="850" t="s">
        <v>1198</v>
      </c>
      <c r="N28" s="850" t="s">
        <v>1199</v>
      </c>
      <c r="O28" s="850">
        <v>2022</v>
      </c>
      <c r="P28" s="850"/>
      <c r="Q28" s="850"/>
      <c r="R28" s="850"/>
      <c r="S28" s="850"/>
      <c r="T28" s="1101" t="s">
        <v>1200</v>
      </c>
      <c r="U28" s="770"/>
    </row>
    <row r="29" spans="2:21" ht="15" hidden="1" outlineLevel="2">
      <c r="B29" s="850" t="s">
        <v>1195</v>
      </c>
      <c r="C29" s="850"/>
      <c r="D29" s="850"/>
      <c r="E29" s="850"/>
      <c r="F29" s="850"/>
      <c r="G29" s="850"/>
      <c r="H29" s="850"/>
      <c r="I29" s="850"/>
      <c r="J29" s="850"/>
      <c r="K29" s="850"/>
      <c r="L29" s="850"/>
      <c r="M29" s="850"/>
      <c r="N29" s="850"/>
      <c r="O29" s="850"/>
      <c r="P29" s="850"/>
      <c r="Q29" s="850"/>
      <c r="R29" s="850"/>
      <c r="S29" s="850"/>
      <c r="T29" s="1102" t="s">
        <v>1206</v>
      </c>
      <c r="U29" s="770" t="s">
        <v>1207</v>
      </c>
    </row>
    <row r="30" spans="2:21" ht="15" hidden="1" outlineLevel="2">
      <c r="B30" s="850" t="s">
        <v>1195</v>
      </c>
      <c r="C30" s="19">
        <v>5</v>
      </c>
      <c r="D30" s="1" t="s">
        <v>1208</v>
      </c>
      <c r="E30" s="850"/>
      <c r="F30" s="850"/>
      <c r="G30" s="850"/>
      <c r="H30" s="850"/>
      <c r="I30" s="850"/>
      <c r="J30" s="850"/>
      <c r="K30" s="850"/>
      <c r="L30" s="850"/>
      <c r="M30" s="850"/>
      <c r="N30" s="850"/>
      <c r="O30" s="850"/>
      <c r="P30" s="850"/>
      <c r="Q30" s="850"/>
      <c r="R30" s="850"/>
      <c r="S30" s="850"/>
      <c r="T30" s="771"/>
      <c r="U30" s="770"/>
    </row>
    <row r="31" spans="2:21" ht="15" hidden="1" outlineLevel="2">
      <c r="B31" s="850" t="s">
        <v>1195</v>
      </c>
      <c r="C31" s="850"/>
      <c r="D31" s="850"/>
      <c r="E31" s="850" t="s">
        <v>1185</v>
      </c>
      <c r="F31" s="850" t="s">
        <v>1209</v>
      </c>
      <c r="G31" s="850" t="str">
        <f>_xlfn.XLOOKUP(F31,'A0.LS'!E:E,'A0.LS'!F:F)</f>
        <v>Chi phí phân bổ lợi thế thương mại</v>
      </c>
      <c r="H31" s="850"/>
      <c r="I31" s="850"/>
      <c r="J31" s="848"/>
      <c r="K31" s="850"/>
      <c r="L31" s="848">
        <f t="shared" ref="L31:L33" si="4">ROUND(SUM(H31:K31),0)</f>
        <v>0</v>
      </c>
      <c r="M31" s="850" t="s">
        <v>1198</v>
      </c>
      <c r="N31" s="850" t="s">
        <v>1199</v>
      </c>
      <c r="O31" s="850">
        <v>2023</v>
      </c>
      <c r="P31" s="850"/>
      <c r="Q31" s="850"/>
      <c r="R31" s="850"/>
      <c r="S31" s="850"/>
      <c r="T31" s="1102" t="s">
        <v>1210</v>
      </c>
      <c r="U31" s="770" t="s">
        <v>1211</v>
      </c>
    </row>
    <row r="32" spans="2:21" ht="15" hidden="1" outlineLevel="2">
      <c r="B32" s="850" t="s">
        <v>1195</v>
      </c>
      <c r="C32" s="850"/>
      <c r="D32" s="850"/>
      <c r="E32" s="850" t="s">
        <v>1185</v>
      </c>
      <c r="F32" s="850" t="s">
        <v>215</v>
      </c>
      <c r="G32" s="850" t="str">
        <f>_xlfn.XLOOKUP(F32,'A0.LS'!E:E,'A0.LS'!F:F)</f>
        <v>Lợi nhuận sau thuế chưa phân phối năm trước</v>
      </c>
      <c r="H32" s="848">
        <f>SUM(GW!J23:J24)+SUM(GW!J25:J32)</f>
        <v>24940497067.603378</v>
      </c>
      <c r="I32" s="850"/>
      <c r="J32" s="850"/>
      <c r="K32" s="850"/>
      <c r="L32" s="848">
        <f>ROUND(SUM(H32:K32),0)</f>
        <v>24940497068</v>
      </c>
      <c r="M32" s="850" t="s">
        <v>1198</v>
      </c>
      <c r="N32" s="850" t="s">
        <v>1199</v>
      </c>
      <c r="O32" s="850">
        <v>2023</v>
      </c>
      <c r="P32" s="850"/>
      <c r="Q32" s="850"/>
      <c r="R32" s="850"/>
      <c r="S32" s="850"/>
      <c r="T32" s="1101" t="s">
        <v>1200</v>
      </c>
      <c r="U32" s="770"/>
    </row>
    <row r="33" spans="2:21" ht="15" hidden="1" outlineLevel="2">
      <c r="B33" s="850" t="s">
        <v>1195</v>
      </c>
      <c r="C33" s="850"/>
      <c r="D33" s="850"/>
      <c r="E33" s="850" t="s">
        <v>1186</v>
      </c>
      <c r="F33" s="850" t="s">
        <v>1197</v>
      </c>
      <c r="G33" s="850" t="str">
        <f>_xlfn.XLOOKUP(F33,'A0.LS'!E:E,'A0.LS'!F:F)</f>
        <v>Lợi thế thương mại</v>
      </c>
      <c r="H33" s="850"/>
      <c r="I33" s="848">
        <f>-SUM(H31:J32)</f>
        <v>-24940497067.603378</v>
      </c>
      <c r="J33" s="850"/>
      <c r="K33" s="850"/>
      <c r="L33" s="848">
        <f t="shared" si="4"/>
        <v>-24940497068</v>
      </c>
      <c r="M33" s="850" t="s">
        <v>1198</v>
      </c>
      <c r="N33" s="850" t="s">
        <v>1199</v>
      </c>
      <c r="O33" s="850">
        <v>2023</v>
      </c>
      <c r="P33" s="850"/>
      <c r="Q33" s="850"/>
      <c r="R33" s="850"/>
      <c r="S33" s="850"/>
      <c r="T33" s="1101" t="s">
        <v>1200</v>
      </c>
      <c r="U33" s="770"/>
    </row>
    <row r="34" spans="2:21" ht="15" hidden="1" outlineLevel="2">
      <c r="B34" s="850" t="s">
        <v>1195</v>
      </c>
      <c r="C34" s="850"/>
      <c r="D34" s="850"/>
      <c r="E34" s="850"/>
      <c r="F34" s="850"/>
      <c r="G34" s="850"/>
      <c r="H34" s="850"/>
      <c r="I34" s="850"/>
      <c r="J34" s="850"/>
      <c r="K34" s="850"/>
      <c r="L34" s="850"/>
      <c r="M34" s="850"/>
      <c r="N34" s="850"/>
      <c r="O34" s="850"/>
      <c r="P34" s="850"/>
      <c r="Q34" s="850"/>
      <c r="R34" s="850"/>
      <c r="S34" s="850"/>
      <c r="T34" s="771"/>
      <c r="U34" s="770"/>
    </row>
    <row r="35" spans="2:21" ht="15" hidden="1" outlineLevel="2">
      <c r="B35" s="850" t="s">
        <v>1195</v>
      </c>
      <c r="C35" s="19">
        <v>7</v>
      </c>
      <c r="D35" s="1" t="s">
        <v>1212</v>
      </c>
      <c r="E35" s="850"/>
      <c r="F35" s="850"/>
      <c r="G35" s="850"/>
      <c r="H35" s="850"/>
      <c r="I35" s="850"/>
      <c r="J35" s="850"/>
      <c r="K35" s="850"/>
      <c r="L35" s="850"/>
      <c r="M35" s="850"/>
      <c r="N35" s="850"/>
      <c r="O35" s="850"/>
      <c r="P35" s="850"/>
      <c r="Q35" s="850"/>
      <c r="R35" s="850"/>
      <c r="S35" s="850"/>
      <c r="T35" s="771"/>
      <c r="U35" s="770"/>
    </row>
    <row r="36" spans="2:21" ht="15" hidden="1" outlineLevel="2">
      <c r="B36" s="850" t="s">
        <v>1195</v>
      </c>
      <c r="C36" s="850"/>
      <c r="D36" s="850"/>
      <c r="E36" s="850" t="s">
        <v>1185</v>
      </c>
      <c r="F36" s="859" t="s">
        <v>207</v>
      </c>
      <c r="G36" s="850" t="str">
        <f>_xlfn.XLOOKUP(F36,'A0.LS'!E:E,'A0.LS'!F:F)</f>
        <v>Cổ phiếu phổ thông có quyền biểu quyết</v>
      </c>
      <c r="H36" s="848">
        <f>Group!H12+Group!L12</f>
        <v>285000000000</v>
      </c>
      <c r="I36" s="850"/>
      <c r="J36" s="850"/>
      <c r="K36" s="850"/>
      <c r="L36" s="848">
        <f t="shared" ref="L36:L37" si="5">ROUND(SUM(H36:K36),0)</f>
        <v>285000000000</v>
      </c>
      <c r="M36" s="850" t="s">
        <v>1198</v>
      </c>
      <c r="N36" s="850" t="s">
        <v>1199</v>
      </c>
      <c r="O36" s="850">
        <v>2022</v>
      </c>
      <c r="P36" s="850"/>
      <c r="Q36" s="850"/>
      <c r="R36" s="850"/>
      <c r="S36" s="850"/>
      <c r="T36" s="1101" t="s">
        <v>1200</v>
      </c>
      <c r="U36" s="770"/>
    </row>
    <row r="37" spans="2:21" ht="15" hidden="1" outlineLevel="2">
      <c r="B37" s="850" t="s">
        <v>1195</v>
      </c>
      <c r="C37" s="850"/>
      <c r="D37" s="850"/>
      <c r="E37" s="850" t="s">
        <v>1186</v>
      </c>
      <c r="F37" s="850" t="s">
        <v>95</v>
      </c>
      <c r="G37" s="850" t="str">
        <f>_xlfn.XLOOKUP(F37,'A0.LS'!E:E,'A0.LS'!F:F)</f>
        <v>Đầu tư vào công ty con</v>
      </c>
      <c r="H37" s="850"/>
      <c r="I37" s="857">
        <f>-H36</f>
        <v>-285000000000</v>
      </c>
      <c r="J37" s="850"/>
      <c r="K37" s="850"/>
      <c r="L37" s="848">
        <f t="shared" si="5"/>
        <v>-285000000000</v>
      </c>
      <c r="M37" s="850" t="s">
        <v>1198</v>
      </c>
      <c r="N37" s="850" t="s">
        <v>1199</v>
      </c>
      <c r="O37" s="850">
        <v>2022</v>
      </c>
      <c r="P37" s="850"/>
      <c r="Q37" s="850"/>
      <c r="R37" s="850"/>
      <c r="S37" s="850"/>
      <c r="T37" s="1101" t="s">
        <v>1200</v>
      </c>
      <c r="U37" s="770"/>
    </row>
    <row r="38" spans="2:21" ht="15" hidden="1" outlineLevel="2">
      <c r="B38" s="850" t="s">
        <v>1195</v>
      </c>
      <c r="C38" s="850"/>
      <c r="D38" s="850"/>
      <c r="E38" s="850"/>
      <c r="F38" s="850"/>
      <c r="G38" s="850"/>
      <c r="H38" s="850"/>
      <c r="I38" s="850"/>
      <c r="J38" s="850"/>
      <c r="K38" s="850"/>
      <c r="L38" s="850"/>
      <c r="M38" s="850"/>
      <c r="N38" s="850"/>
      <c r="O38" s="850"/>
      <c r="P38" s="850"/>
      <c r="Q38" s="850"/>
      <c r="R38" s="850"/>
      <c r="S38" s="850"/>
      <c r="T38" s="771"/>
      <c r="U38" s="770"/>
    </row>
    <row r="39" spans="2:21" ht="15" hidden="1" outlineLevel="2">
      <c r="B39" s="850" t="s">
        <v>1195</v>
      </c>
      <c r="C39" s="19">
        <v>8</v>
      </c>
      <c r="D39" s="1" t="s">
        <v>1213</v>
      </c>
      <c r="E39" s="850"/>
      <c r="F39" s="850"/>
      <c r="G39" s="850"/>
      <c r="H39" s="850"/>
      <c r="I39" s="850"/>
      <c r="J39" s="850"/>
      <c r="K39" s="850"/>
      <c r="L39" s="850"/>
      <c r="M39" s="850"/>
      <c r="N39" s="850"/>
      <c r="O39" s="850"/>
      <c r="P39" s="850"/>
      <c r="Q39" s="850"/>
      <c r="R39" s="850"/>
      <c r="S39" s="850"/>
      <c r="T39" s="771"/>
      <c r="U39" s="770"/>
    </row>
    <row r="40" spans="2:21" ht="15" hidden="1" outlineLevel="2">
      <c r="B40" s="850" t="s">
        <v>1195</v>
      </c>
      <c r="C40" s="850"/>
      <c r="D40" s="850"/>
      <c r="E40" s="850" t="s">
        <v>1185</v>
      </c>
      <c r="F40" s="859" t="s">
        <v>215</v>
      </c>
      <c r="G40" s="850" t="str">
        <f>_xlfn.XLOOKUP(F40,'A0.LS'!E:E,'A0.LS'!F:F)</f>
        <v>Lợi nhuận sau thuế chưa phân phối năm trước</v>
      </c>
      <c r="H40" s="848">
        <v>5782060300.969511</v>
      </c>
      <c r="I40" s="850"/>
      <c r="J40" s="850"/>
      <c r="K40" s="850"/>
      <c r="L40" s="175">
        <f t="shared" ref="L40:L41" si="6">ROUND(SUM(H40:K40),0)</f>
        <v>5782060301</v>
      </c>
      <c r="M40" s="850" t="s">
        <v>1198</v>
      </c>
      <c r="N40" s="850" t="s">
        <v>1199</v>
      </c>
      <c r="O40" s="850">
        <v>2022</v>
      </c>
      <c r="P40" s="850"/>
      <c r="Q40" s="850"/>
      <c r="R40" s="850"/>
      <c r="S40" s="850"/>
      <c r="T40" s="1101" t="s">
        <v>1200</v>
      </c>
      <c r="U40" s="770"/>
    </row>
    <row r="41" spans="2:21" ht="15" hidden="1" outlineLevel="2">
      <c r="B41" s="850" t="s">
        <v>1195</v>
      </c>
      <c r="C41" s="850"/>
      <c r="D41" s="850"/>
      <c r="E41" s="850" t="s">
        <v>1186</v>
      </c>
      <c r="F41" s="850" t="s">
        <v>1203</v>
      </c>
      <c r="G41" s="850" t="str">
        <f>_xlfn.XLOOKUP(F41,'A0.LS'!E:E,'A0.LS'!F:F)</f>
        <v>Lợi ích cổ đông không kiểm soát-BS</v>
      </c>
      <c r="H41" s="850"/>
      <c r="I41" s="857">
        <f>-H40</f>
        <v>-5782060300.969511</v>
      </c>
      <c r="J41" s="850"/>
      <c r="K41" s="850"/>
      <c r="L41" s="175">
        <f t="shared" si="6"/>
        <v>-5782060301</v>
      </c>
      <c r="M41" s="850" t="s">
        <v>1198</v>
      </c>
      <c r="N41" s="850" t="s">
        <v>1199</v>
      </c>
      <c r="O41" s="850">
        <v>2022</v>
      </c>
      <c r="P41" s="850"/>
      <c r="Q41" s="850"/>
      <c r="R41" s="850"/>
      <c r="S41" s="850"/>
      <c r="T41" s="1101" t="s">
        <v>1200</v>
      </c>
      <c r="U41" s="770"/>
    </row>
    <row r="42" spans="2:21" ht="15" hidden="1" outlineLevel="2">
      <c r="B42" s="850" t="s">
        <v>1195</v>
      </c>
      <c r="C42" s="850"/>
      <c r="D42" s="850"/>
      <c r="E42" s="850"/>
      <c r="F42" s="850"/>
      <c r="G42" s="850"/>
      <c r="H42" s="850"/>
      <c r="I42" s="850"/>
      <c r="J42" s="850"/>
      <c r="K42" s="850"/>
      <c r="L42" s="850"/>
      <c r="M42" s="850"/>
      <c r="N42" s="850"/>
      <c r="O42" s="850"/>
      <c r="P42" s="850"/>
      <c r="Q42" s="850"/>
      <c r="R42" s="850"/>
      <c r="S42" s="850"/>
      <c r="T42" s="771"/>
      <c r="U42" s="770"/>
    </row>
    <row r="43" spans="2:21" ht="15" hidden="1" outlineLevel="2">
      <c r="B43" s="850" t="s">
        <v>1195</v>
      </c>
      <c r="C43" s="19">
        <v>9</v>
      </c>
      <c r="D43" s="1" t="s">
        <v>1214</v>
      </c>
      <c r="E43" s="850"/>
      <c r="F43" s="850"/>
      <c r="G43" s="850"/>
      <c r="H43" s="850"/>
      <c r="I43" s="850"/>
      <c r="J43" s="850"/>
      <c r="K43" s="850"/>
      <c r="L43" s="850"/>
      <c r="M43" s="850"/>
      <c r="N43" s="850"/>
      <c r="O43" s="850"/>
      <c r="P43" s="850"/>
      <c r="Q43" s="850"/>
      <c r="R43" s="850"/>
      <c r="S43" s="850"/>
      <c r="T43" s="771"/>
      <c r="U43" s="770"/>
    </row>
    <row r="44" spans="2:21" ht="15" hidden="1" outlineLevel="2">
      <c r="B44" s="850" t="s">
        <v>1195</v>
      </c>
      <c r="C44" s="850"/>
      <c r="D44" s="850"/>
      <c r="E44" s="850" t="s">
        <v>1185</v>
      </c>
      <c r="F44" s="850" t="s">
        <v>1203</v>
      </c>
      <c r="G44" s="850" t="str">
        <f>_xlfn.XLOOKUP(F44,'A0.LS'!E:E,'A0.LS'!F:F)</f>
        <v>Lợi ích cổ đông không kiểm soát-BS</v>
      </c>
      <c r="H44" s="848">
        <v>3730531542.1860185</v>
      </c>
      <c r="I44" s="850"/>
      <c r="J44" s="850"/>
      <c r="K44" s="850"/>
      <c r="L44" s="175">
        <f t="shared" ref="L44" si="7">ROUND(SUM(H44:K44),0)</f>
        <v>3730531542</v>
      </c>
      <c r="M44" s="850" t="s">
        <v>1198</v>
      </c>
      <c r="N44" s="850" t="s">
        <v>1199</v>
      </c>
      <c r="O44" s="850">
        <v>2022</v>
      </c>
      <c r="P44" s="850"/>
      <c r="Q44" s="850"/>
      <c r="R44" s="850"/>
      <c r="S44" s="850"/>
      <c r="T44" s="1101" t="s">
        <v>1200</v>
      </c>
      <c r="U44" s="770"/>
    </row>
    <row r="45" spans="2:21" ht="15" hidden="1" outlineLevel="2">
      <c r="B45" s="850" t="s">
        <v>1195</v>
      </c>
      <c r="C45" s="850"/>
      <c r="D45" s="850"/>
      <c r="E45" s="850" t="s">
        <v>1185</v>
      </c>
      <c r="F45" s="859" t="s">
        <v>215</v>
      </c>
      <c r="G45" s="850" t="str">
        <f>_xlfn.XLOOKUP(F45,'A0.LS'!E:E,'A0.LS'!F:F)</f>
        <v>Lợi nhuận sau thuế chưa phân phối năm trước</v>
      </c>
      <c r="H45" s="848">
        <v>3969468457.8139815</v>
      </c>
      <c r="I45" s="850"/>
      <c r="J45" s="850"/>
      <c r="K45" s="850"/>
      <c r="L45" s="175">
        <f t="shared" ref="L45:L46" si="8">ROUND(SUM(H45:K45),0)</f>
        <v>3969468458</v>
      </c>
      <c r="M45" s="850" t="s">
        <v>1198</v>
      </c>
      <c r="N45" s="850" t="s">
        <v>1199</v>
      </c>
      <c r="O45" s="850">
        <v>2022</v>
      </c>
      <c r="P45" s="850"/>
      <c r="Q45" s="857"/>
      <c r="R45" s="850"/>
      <c r="S45" s="850"/>
      <c r="T45" s="1101" t="s">
        <v>1200</v>
      </c>
      <c r="U45" s="770"/>
    </row>
    <row r="46" spans="2:21" ht="15" hidden="1" outlineLevel="2">
      <c r="B46" s="850" t="s">
        <v>1195</v>
      </c>
      <c r="C46" s="850"/>
      <c r="D46" s="850"/>
      <c r="E46" s="850" t="s">
        <v>1186</v>
      </c>
      <c r="F46" s="850" t="s">
        <v>95</v>
      </c>
      <c r="G46" s="850" t="str">
        <f>_xlfn.XLOOKUP(F46,'A0.LS'!E:E,'A0.LS'!F:F)</f>
        <v>Đầu tư vào công ty con</v>
      </c>
      <c r="H46" s="850"/>
      <c r="I46" s="857">
        <f>-SUM(H44:H45)</f>
        <v>-7700000000</v>
      </c>
      <c r="J46" s="850"/>
      <c r="K46" s="850"/>
      <c r="L46" s="848">
        <f t="shared" si="8"/>
        <v>-7700000000</v>
      </c>
      <c r="M46" s="850" t="s">
        <v>1198</v>
      </c>
      <c r="N46" s="850" t="s">
        <v>1199</v>
      </c>
      <c r="O46" s="850">
        <v>2022</v>
      </c>
      <c r="P46" s="850"/>
      <c r="Q46" s="850"/>
      <c r="R46" s="850"/>
      <c r="S46" s="850"/>
      <c r="T46" s="1101" t="s">
        <v>1200</v>
      </c>
      <c r="U46" s="770"/>
    </row>
    <row r="47" spans="2:21" ht="15" hidden="1" outlineLevel="2">
      <c r="B47" s="850" t="s">
        <v>1195</v>
      </c>
      <c r="C47" s="850"/>
      <c r="D47" s="850"/>
      <c r="E47" s="850"/>
      <c r="F47" s="850"/>
      <c r="G47" s="850"/>
      <c r="H47" s="850"/>
      <c r="I47" s="857"/>
      <c r="J47" s="850"/>
      <c r="K47" s="850"/>
      <c r="L47" s="848"/>
      <c r="M47" s="850"/>
      <c r="N47" s="850"/>
      <c r="O47" s="850"/>
      <c r="P47" s="850"/>
      <c r="Q47" s="850" t="s">
        <v>681</v>
      </c>
      <c r="R47" s="850"/>
      <c r="S47" s="850"/>
      <c r="T47" s="771"/>
      <c r="U47" s="770"/>
    </row>
    <row r="48" spans="2:21" ht="15" hidden="1" outlineLevel="2">
      <c r="B48" s="850" t="s">
        <v>1195</v>
      </c>
      <c r="C48" s="19">
        <v>10</v>
      </c>
      <c r="D48" s="1" t="s">
        <v>1215</v>
      </c>
      <c r="E48" s="850"/>
      <c r="F48" s="850"/>
      <c r="G48" s="850"/>
      <c r="H48" s="850"/>
      <c r="I48" s="857"/>
      <c r="J48" s="850"/>
      <c r="K48" s="850"/>
      <c r="L48" s="848"/>
      <c r="M48" s="850"/>
      <c r="N48" s="850"/>
      <c r="O48" s="850"/>
      <c r="P48" s="850"/>
      <c r="Q48" s="850" t="s">
        <v>681</v>
      </c>
      <c r="R48" s="850"/>
      <c r="S48" s="850"/>
      <c r="T48" s="771"/>
      <c r="U48" s="770"/>
    </row>
    <row r="49" spans="2:21" ht="15" hidden="1" outlineLevel="2">
      <c r="B49" s="850" t="s">
        <v>1195</v>
      </c>
      <c r="C49" s="850"/>
      <c r="D49" s="850"/>
      <c r="E49" s="850" t="s">
        <v>1185</v>
      </c>
      <c r="F49" s="850" t="s">
        <v>1203</v>
      </c>
      <c r="G49" s="850" t="str">
        <f>_xlfn.XLOOKUP(F49,'A0.LS'!E:E,'A0.LS'!F:F)</f>
        <v>Lợi ích cổ đông không kiểm soát-BS</v>
      </c>
      <c r="H49" s="848">
        <f>-I51-H50</f>
        <v>1515442787.4263692</v>
      </c>
      <c r="I49" s="857"/>
      <c r="J49" s="850"/>
      <c r="K49" s="850"/>
      <c r="L49" s="175">
        <f t="shared" ref="L49:L51" si="9">ROUND(SUM(H49:K49),0)</f>
        <v>1515442787</v>
      </c>
      <c r="M49" s="850" t="s">
        <v>1198</v>
      </c>
      <c r="N49" s="850" t="s">
        <v>1199</v>
      </c>
      <c r="O49" s="850">
        <v>2023</v>
      </c>
      <c r="P49" s="850"/>
      <c r="Q49" s="850"/>
      <c r="R49" s="850"/>
      <c r="S49" s="850"/>
      <c r="T49" s="1101" t="s">
        <v>1200</v>
      </c>
      <c r="U49" s="770"/>
    </row>
    <row r="50" spans="2:21" ht="15" hidden="1" outlineLevel="2">
      <c r="B50" s="850" t="s">
        <v>1195</v>
      </c>
      <c r="C50" s="850"/>
      <c r="D50" s="850"/>
      <c r="E50" s="850" t="s">
        <v>1185</v>
      </c>
      <c r="F50" s="859" t="s">
        <v>215</v>
      </c>
      <c r="G50" s="850" t="str">
        <f>_xlfn.XLOOKUP(F50,'A0.LS'!E:E,'A0.LS'!F:F)</f>
        <v>Lợi nhuận sau thuế chưa phân phối năm trước</v>
      </c>
      <c r="H50" s="848">
        <v>1934557212.5736308</v>
      </c>
      <c r="I50" s="857"/>
      <c r="J50" s="850"/>
      <c r="K50" s="850"/>
      <c r="L50" s="175">
        <f>ROUND(SUM(H50:K50),0)</f>
        <v>1934557213</v>
      </c>
      <c r="M50" s="850" t="s">
        <v>1198</v>
      </c>
      <c r="N50" s="850" t="s">
        <v>1199</v>
      </c>
      <c r="O50" s="850">
        <v>2023</v>
      </c>
      <c r="P50" s="850"/>
      <c r="Q50" s="850" t="s">
        <v>681</v>
      </c>
      <c r="R50" s="850"/>
      <c r="S50" s="850"/>
      <c r="T50" s="1101" t="s">
        <v>1200</v>
      </c>
      <c r="U50" s="770"/>
    </row>
    <row r="51" spans="2:21" ht="15" hidden="1" outlineLevel="2">
      <c r="B51" s="850" t="s">
        <v>1195</v>
      </c>
      <c r="C51" s="850"/>
      <c r="D51" s="850"/>
      <c r="E51" s="850" t="s">
        <v>1186</v>
      </c>
      <c r="F51" s="850" t="s">
        <v>95</v>
      </c>
      <c r="G51" s="850" t="str">
        <f>_xlfn.XLOOKUP(F51,'A0.LS'!E:E,'A0.LS'!F:F)</f>
        <v>Đầu tư vào công ty con</v>
      </c>
      <c r="H51" s="850"/>
      <c r="I51" s="857">
        <v>-3450000000</v>
      </c>
      <c r="J51" s="850"/>
      <c r="K51" s="850"/>
      <c r="L51" s="848">
        <f t="shared" si="9"/>
        <v>-3450000000</v>
      </c>
      <c r="M51" s="850" t="s">
        <v>1198</v>
      </c>
      <c r="N51" s="850" t="s">
        <v>1199</v>
      </c>
      <c r="O51" s="850">
        <v>2023</v>
      </c>
      <c r="P51" s="850"/>
      <c r="Q51" s="850" t="s">
        <v>681</v>
      </c>
      <c r="R51" s="850"/>
      <c r="S51" s="850"/>
      <c r="T51" s="1101" t="s">
        <v>1200</v>
      </c>
      <c r="U51" s="770"/>
    </row>
    <row r="52" spans="2:21" ht="15" hidden="1" outlineLevel="2">
      <c r="B52" s="850" t="s">
        <v>1195</v>
      </c>
      <c r="C52" s="850"/>
      <c r="D52" s="850"/>
      <c r="E52" s="850"/>
      <c r="F52" s="850"/>
      <c r="G52" s="850"/>
      <c r="H52" s="850"/>
      <c r="I52" s="857"/>
      <c r="J52" s="850"/>
      <c r="K52" s="850"/>
      <c r="L52" s="848"/>
      <c r="M52" s="850"/>
      <c r="N52" s="850"/>
      <c r="O52" s="850"/>
      <c r="P52" s="850"/>
      <c r="Q52" s="850"/>
      <c r="R52" s="850"/>
      <c r="S52" s="850"/>
      <c r="T52" s="771"/>
      <c r="U52" s="770"/>
    </row>
    <row r="53" spans="2:21" s="779" customFormat="1" hidden="1" outlineLevel="2">
      <c r="B53" s="850" t="s">
        <v>1195</v>
      </c>
      <c r="C53" s="19">
        <v>11</v>
      </c>
      <c r="D53" s="1" t="s">
        <v>1216</v>
      </c>
      <c r="E53" s="850"/>
      <c r="F53" s="850"/>
      <c r="G53" s="850"/>
      <c r="H53" s="850"/>
      <c r="I53" s="857"/>
      <c r="J53" s="850"/>
      <c r="K53" s="850"/>
      <c r="L53" s="848"/>
      <c r="M53" s="850"/>
      <c r="N53" s="850"/>
      <c r="O53" s="850"/>
      <c r="P53" s="850"/>
      <c r="Q53" s="850"/>
      <c r="R53" s="850"/>
      <c r="S53" s="850"/>
      <c r="T53" s="850"/>
      <c r="U53" s="850"/>
    </row>
    <row r="54" spans="2:21" s="779" customFormat="1" hidden="1" outlineLevel="2">
      <c r="B54" s="850" t="s">
        <v>1195</v>
      </c>
      <c r="C54" s="850"/>
      <c r="D54" s="850"/>
      <c r="E54" s="850" t="s">
        <v>1185</v>
      </c>
      <c r="F54" s="859" t="s">
        <v>215</v>
      </c>
      <c r="G54" s="850" t="str">
        <f>_xlfn.XLOOKUP(F54,'A0.LS'!E:E,'A0.LS'!F:F)</f>
        <v>Lợi nhuận sau thuế chưa phân phối năm trước</v>
      </c>
      <c r="H54" s="848">
        <f>22483392.6782136-16169</f>
        <v>22467223.6782136</v>
      </c>
      <c r="I54" s="857"/>
      <c r="J54" s="850"/>
      <c r="K54" s="850"/>
      <c r="L54" s="175">
        <f t="shared" ref="L54:L55" si="10">ROUND(SUM(H54:K54),0)</f>
        <v>22467224</v>
      </c>
      <c r="M54" s="850" t="s">
        <v>1198</v>
      </c>
      <c r="N54" s="850" t="s">
        <v>1199</v>
      </c>
      <c r="O54" s="850">
        <v>2023</v>
      </c>
      <c r="P54" s="850" t="s">
        <v>1217</v>
      </c>
      <c r="Q54" s="850"/>
      <c r="R54" s="850"/>
      <c r="S54" s="850"/>
      <c r="T54" s="850"/>
      <c r="U54" s="850"/>
    </row>
    <row r="55" spans="2:21" s="779" customFormat="1" hidden="1" outlineLevel="2">
      <c r="B55" s="850" t="s">
        <v>1195</v>
      </c>
      <c r="C55" s="850"/>
      <c r="D55" s="850"/>
      <c r="E55" s="850" t="s">
        <v>1186</v>
      </c>
      <c r="F55" s="850" t="s">
        <v>1203</v>
      </c>
      <c r="G55" s="850" t="str">
        <f>_xlfn.XLOOKUP(F55,'A0.LS'!E:E,'A0.LS'!F:F)</f>
        <v>Lợi ích cổ đông không kiểm soát-BS</v>
      </c>
      <c r="H55" s="850"/>
      <c r="I55" s="857">
        <f>-H54</f>
        <v>-22467223.6782136</v>
      </c>
      <c r="J55" s="850"/>
      <c r="K55" s="850"/>
      <c r="L55" s="175">
        <f t="shared" si="10"/>
        <v>-22467224</v>
      </c>
      <c r="M55" s="850" t="s">
        <v>1198</v>
      </c>
      <c r="N55" s="850" t="s">
        <v>1199</v>
      </c>
      <c r="O55" s="850">
        <v>2023</v>
      </c>
      <c r="P55" s="850"/>
      <c r="Q55" s="850"/>
      <c r="R55" s="850"/>
      <c r="S55" s="850"/>
      <c r="T55" s="850"/>
      <c r="U55" s="850"/>
    </row>
    <row r="56" spans="2:21" s="779" customFormat="1" hidden="1" outlineLevel="2">
      <c r="B56" s="850" t="s">
        <v>1195</v>
      </c>
      <c r="C56" s="850"/>
      <c r="D56" s="850"/>
      <c r="E56" s="850"/>
      <c r="F56" s="850"/>
      <c r="G56" s="850"/>
      <c r="H56" s="850"/>
      <c r="I56" s="857"/>
      <c r="J56" s="850"/>
      <c r="K56" s="850"/>
      <c r="L56" s="848"/>
      <c r="M56" s="850"/>
      <c r="N56" s="850"/>
      <c r="O56" s="850"/>
      <c r="P56" s="850"/>
      <c r="Q56" s="850"/>
      <c r="R56" s="850"/>
      <c r="S56" s="850"/>
      <c r="T56" s="850"/>
      <c r="U56" s="850"/>
    </row>
    <row r="57" spans="2:21" s="779" customFormat="1" hidden="1" outlineLevel="2">
      <c r="B57" s="850" t="s">
        <v>1195</v>
      </c>
      <c r="C57" s="19">
        <v>12</v>
      </c>
      <c r="D57" s="1" t="s">
        <v>1218</v>
      </c>
      <c r="E57" s="850"/>
      <c r="F57" s="850"/>
      <c r="G57" s="850"/>
      <c r="H57" s="850"/>
      <c r="I57" s="857"/>
      <c r="J57" s="850"/>
      <c r="K57" s="850"/>
      <c r="L57" s="848"/>
      <c r="M57" s="850"/>
      <c r="N57" s="850"/>
      <c r="O57" s="850"/>
      <c r="P57" s="850"/>
      <c r="Q57" s="850"/>
      <c r="R57" s="850"/>
      <c r="S57" s="850"/>
      <c r="T57" s="850"/>
      <c r="U57" s="850"/>
    </row>
    <row r="58" spans="2:21" s="779" customFormat="1" hidden="1" outlineLevel="2">
      <c r="B58" s="850" t="s">
        <v>1195</v>
      </c>
      <c r="C58" s="850"/>
      <c r="D58" s="850"/>
      <c r="E58" s="850" t="s">
        <v>1185</v>
      </c>
      <c r="F58" s="859" t="s">
        <v>215</v>
      </c>
      <c r="G58" s="850" t="str">
        <f>_xlfn.XLOOKUP(F58,'A0.LS'!E:E,'A0.LS'!F:F)</f>
        <v>Lợi nhuận sau thuế chưa phân phối năm trước</v>
      </c>
      <c r="H58" s="848">
        <v>692224658</v>
      </c>
      <c r="I58" s="857"/>
      <c r="J58" s="850"/>
      <c r="K58" s="850"/>
      <c r="L58" s="175">
        <f t="shared" ref="L58:L59" si="11">ROUND(SUM(H58:K58),0)</f>
        <v>692224658</v>
      </c>
      <c r="M58" s="850" t="s">
        <v>1198</v>
      </c>
      <c r="N58" s="850" t="s">
        <v>1199</v>
      </c>
      <c r="O58" s="850">
        <v>2023</v>
      </c>
      <c r="P58" s="850"/>
      <c r="Q58" s="850" t="s">
        <v>681</v>
      </c>
      <c r="R58" s="850"/>
      <c r="S58" s="850"/>
      <c r="T58" s="850"/>
      <c r="U58" s="850"/>
    </row>
    <row r="59" spans="2:21" s="779" customFormat="1" hidden="1" outlineLevel="2">
      <c r="B59" s="850" t="s">
        <v>1195</v>
      </c>
      <c r="C59" s="850"/>
      <c r="D59" s="850"/>
      <c r="E59" s="850" t="s">
        <v>1186</v>
      </c>
      <c r="F59" s="859" t="s">
        <v>1219</v>
      </c>
      <c r="G59" s="850" t="str">
        <f>_xlfn.XLOOKUP(F59,'A0.LS'!E:E,'A0.LS'!F:F)</f>
        <v>Đánh giá lại trái phiếu (của VNSC revert nếu có số dư)</v>
      </c>
      <c r="H59" s="850"/>
      <c r="I59" s="857">
        <f>-H58</f>
        <v>-692224658</v>
      </c>
      <c r="J59" s="850"/>
      <c r="K59" s="850"/>
      <c r="L59" s="848">
        <f t="shared" si="11"/>
        <v>-692224658</v>
      </c>
      <c r="M59" s="850" t="s">
        <v>1198</v>
      </c>
      <c r="N59" s="850" t="s">
        <v>1199</v>
      </c>
      <c r="O59" s="850">
        <v>2023</v>
      </c>
      <c r="P59" s="850"/>
      <c r="Q59" s="850"/>
      <c r="R59" s="850"/>
      <c r="S59" s="850"/>
      <c r="T59" s="850"/>
      <c r="U59" s="850"/>
    </row>
    <row r="60" spans="2:21" s="779" customFormat="1" hidden="1" outlineLevel="2">
      <c r="B60" s="850" t="s">
        <v>1195</v>
      </c>
      <c r="C60" s="850"/>
      <c r="D60" s="850"/>
      <c r="E60" s="850"/>
      <c r="F60" s="859"/>
      <c r="G60" s="850"/>
      <c r="H60" s="850"/>
      <c r="I60" s="857"/>
      <c r="J60" s="850"/>
      <c r="K60" s="850"/>
      <c r="L60" s="848"/>
      <c r="M60" s="850"/>
      <c r="N60" s="850"/>
      <c r="O60" s="850"/>
      <c r="P60" s="850"/>
      <c r="Q60" s="850"/>
      <c r="R60" s="850"/>
      <c r="S60" s="850"/>
      <c r="T60" s="850"/>
      <c r="U60" s="850"/>
    </row>
    <row r="61" spans="2:21" s="779" customFormat="1" hidden="1" outlineLevel="2">
      <c r="B61" s="850" t="s">
        <v>1195</v>
      </c>
      <c r="C61" s="19">
        <v>13</v>
      </c>
      <c r="D61" s="1" t="s">
        <v>1220</v>
      </c>
      <c r="E61" s="850"/>
      <c r="F61" s="850"/>
      <c r="G61" s="850"/>
      <c r="H61" s="850"/>
      <c r="I61" s="857"/>
      <c r="J61" s="850"/>
      <c r="K61" s="850"/>
      <c r="L61" s="848"/>
      <c r="M61" s="850"/>
      <c r="N61" s="850"/>
      <c r="O61" s="850"/>
      <c r="P61" s="850"/>
      <c r="Q61" s="850"/>
      <c r="R61" s="850"/>
      <c r="S61" s="850"/>
      <c r="T61" s="850"/>
      <c r="U61" s="850"/>
    </row>
    <row r="62" spans="2:21" s="779" customFormat="1" hidden="1" outlineLevel="2">
      <c r="B62" s="850" t="s">
        <v>1195</v>
      </c>
      <c r="C62" s="850"/>
      <c r="D62" s="850"/>
      <c r="E62" s="850" t="s">
        <v>1185</v>
      </c>
      <c r="F62" s="859" t="s">
        <v>215</v>
      </c>
      <c r="G62" s="850" t="str">
        <f>_xlfn.XLOOKUP(F62,'A0.LS'!E:E,'A0.LS'!F:F)</f>
        <v>Lợi nhuận sau thuế chưa phân phối năm trước</v>
      </c>
      <c r="H62" s="848">
        <v>1796773972</v>
      </c>
      <c r="I62" s="857"/>
      <c r="J62" s="850"/>
      <c r="K62" s="850"/>
      <c r="L62" s="175">
        <f t="shared" ref="L62:L63" si="12">ROUND(SUM(H62:K62),0)</f>
        <v>1796773972</v>
      </c>
      <c r="M62" s="850" t="s">
        <v>1198</v>
      </c>
      <c r="N62" s="850" t="s">
        <v>1199</v>
      </c>
      <c r="O62" s="850">
        <v>2023</v>
      </c>
      <c r="P62" s="850"/>
      <c r="Q62" s="850" t="s">
        <v>681</v>
      </c>
      <c r="R62" s="850"/>
      <c r="S62" s="850"/>
      <c r="T62" s="850"/>
      <c r="U62" s="850"/>
    </row>
    <row r="63" spans="2:21" s="779" customFormat="1" hidden="1" outlineLevel="2">
      <c r="B63" s="850" t="s">
        <v>1195</v>
      </c>
      <c r="C63" s="850"/>
      <c r="D63" s="850"/>
      <c r="E63" s="850" t="s">
        <v>1186</v>
      </c>
      <c r="F63" s="859" t="s">
        <v>1221</v>
      </c>
      <c r="G63" s="850" t="str">
        <f>_xlfn.XLOOKUP(F63,'A0.LS'!E:E,'A0.LS'!F:F)</f>
        <v>Lãi dự thu margin và UTTB của VNSC (có cả lãi CCTG, Trái phiếu nếu chưa vert)</v>
      </c>
      <c r="H63" s="850"/>
      <c r="I63" s="857">
        <f>-H62</f>
        <v>-1796773972</v>
      </c>
      <c r="J63" s="850"/>
      <c r="K63" s="850"/>
      <c r="L63" s="848">
        <f t="shared" si="12"/>
        <v>-1796773972</v>
      </c>
      <c r="M63" s="850" t="s">
        <v>1198</v>
      </c>
      <c r="N63" s="850" t="s">
        <v>1199</v>
      </c>
      <c r="O63" s="850">
        <v>2023</v>
      </c>
      <c r="P63" s="850"/>
      <c r="Q63" s="850"/>
      <c r="R63" s="850"/>
      <c r="S63" s="850"/>
      <c r="T63" s="850"/>
      <c r="U63" s="850"/>
    </row>
    <row r="64" spans="2:21" s="779" customFormat="1" hidden="1" outlineLevel="2">
      <c r="B64" s="850" t="s">
        <v>1195</v>
      </c>
      <c r="C64" s="850"/>
      <c r="D64" s="850"/>
      <c r="E64" s="850"/>
      <c r="F64" s="859"/>
      <c r="G64" s="850"/>
      <c r="H64" s="850"/>
      <c r="I64" s="857"/>
      <c r="J64" s="850"/>
      <c r="K64" s="850"/>
      <c r="L64" s="848"/>
      <c r="M64" s="850"/>
      <c r="N64" s="850"/>
      <c r="O64" s="850"/>
      <c r="P64" s="850"/>
      <c r="Q64" s="850"/>
      <c r="R64" s="850"/>
      <c r="S64" s="850"/>
      <c r="T64" s="850"/>
      <c r="U64" s="850"/>
    </row>
    <row r="65" spans="2:21" s="779" customFormat="1" hidden="1" outlineLevel="2">
      <c r="B65" s="850" t="s">
        <v>1195</v>
      </c>
      <c r="C65" s="19" t="s">
        <v>1222</v>
      </c>
      <c r="D65" s="1" t="s">
        <v>1223</v>
      </c>
      <c r="E65" s="850"/>
      <c r="F65" s="850"/>
      <c r="G65" s="850"/>
      <c r="H65" s="850"/>
      <c r="I65" s="857"/>
      <c r="J65" s="850"/>
      <c r="K65" s="850"/>
      <c r="L65" s="848"/>
      <c r="M65" s="850"/>
      <c r="N65" s="850"/>
      <c r="O65" s="850"/>
      <c r="P65" s="850"/>
      <c r="Q65" s="850"/>
      <c r="R65" s="850"/>
      <c r="S65" s="850"/>
      <c r="T65" s="850"/>
      <c r="U65" s="850"/>
    </row>
    <row r="66" spans="2:21" s="779" customFormat="1" hidden="1" outlineLevel="2">
      <c r="B66" s="850" t="s">
        <v>1195</v>
      </c>
      <c r="C66" s="850"/>
      <c r="D66" s="850"/>
      <c r="E66" s="850" t="s">
        <v>1185</v>
      </c>
      <c r="F66" s="859" t="s">
        <v>251</v>
      </c>
      <c r="G66" s="850" t="str">
        <f>_xlfn.XLOOKUP(F66,'A0.LS'!E:E,'A0.LS'!F:F)</f>
        <v>Doanh thu tài chính: Lãi dự thu</v>
      </c>
      <c r="H66" s="848">
        <f>('TB VNSC FY24'!I117+'TB VNSC FY24'!I124+'TB VNSC FY24'!I129-'A5.Consol FY24'!H62)-7101369</f>
        <v>234980226</v>
      </c>
      <c r="I66" s="857"/>
      <c r="J66" s="850"/>
      <c r="K66" s="850"/>
      <c r="L66" s="848">
        <f t="shared" ref="L66:L67" si="13">ROUND(SUM(H66:K66),0)</f>
        <v>234980226</v>
      </c>
      <c r="M66" s="850" t="s">
        <v>1198</v>
      </c>
      <c r="N66" s="850" t="s">
        <v>1199</v>
      </c>
      <c r="O66" s="850" t="s">
        <v>1224</v>
      </c>
      <c r="P66" s="850"/>
      <c r="Q66" s="850" t="s">
        <v>681</v>
      </c>
      <c r="R66" s="850"/>
      <c r="S66" s="850"/>
      <c r="T66" s="850"/>
      <c r="U66" s="850"/>
    </row>
    <row r="67" spans="2:21" s="779" customFormat="1" hidden="1" outlineLevel="2">
      <c r="B67" s="850" t="s">
        <v>1195</v>
      </c>
      <c r="C67" s="850"/>
      <c r="D67" s="850"/>
      <c r="E67" s="850" t="s">
        <v>1186</v>
      </c>
      <c r="F67" s="859" t="s">
        <v>1221</v>
      </c>
      <c r="G67" s="850" t="str">
        <f>_xlfn.XLOOKUP(F67,'A0.LS'!E:E,'A0.LS'!F:F)</f>
        <v>Lãi dự thu margin và UTTB của VNSC (có cả lãi CCTG, Trái phiếu nếu chưa vert)</v>
      </c>
      <c r="H67" s="850"/>
      <c r="I67" s="857">
        <f>-H66</f>
        <v>-234980226</v>
      </c>
      <c r="J67" s="850"/>
      <c r="K67" s="850"/>
      <c r="L67" s="848">
        <f t="shared" si="13"/>
        <v>-234980226</v>
      </c>
      <c r="M67" s="850" t="s">
        <v>1198</v>
      </c>
      <c r="N67" s="850" t="s">
        <v>1199</v>
      </c>
      <c r="O67" s="850" t="s">
        <v>1224</v>
      </c>
      <c r="P67" s="850"/>
      <c r="Q67" s="850"/>
      <c r="R67" s="850"/>
      <c r="S67" s="850"/>
      <c r="T67" s="850"/>
      <c r="U67" s="850"/>
    </row>
    <row r="68" spans="2:21" s="779" customFormat="1" hidden="1" outlineLevel="2">
      <c r="B68" s="850" t="s">
        <v>1195</v>
      </c>
      <c r="C68" s="850"/>
      <c r="D68" s="850"/>
      <c r="E68" s="850"/>
      <c r="F68" s="859"/>
      <c r="G68" s="850"/>
      <c r="H68" s="850"/>
      <c r="I68" s="857"/>
      <c r="J68" s="850"/>
      <c r="K68" s="850"/>
      <c r="L68" s="848"/>
      <c r="M68" s="850"/>
      <c r="N68" s="850"/>
      <c r="O68" s="850"/>
      <c r="P68" s="850"/>
      <c r="Q68" s="850"/>
      <c r="R68" s="850"/>
      <c r="S68" s="850"/>
      <c r="T68" s="850"/>
      <c r="U68" s="850"/>
    </row>
    <row r="69" spans="2:21" ht="15" hidden="1" outlineLevel="2">
      <c r="B69" s="850" t="s">
        <v>1195</v>
      </c>
      <c r="C69" s="19">
        <v>14</v>
      </c>
      <c r="D69" s="1" t="s">
        <v>1225</v>
      </c>
      <c r="E69" s="850"/>
      <c r="F69" s="850"/>
      <c r="G69" s="850"/>
      <c r="H69" s="850"/>
      <c r="I69" s="850"/>
      <c r="J69" s="850"/>
      <c r="K69" s="850"/>
      <c r="L69" s="850"/>
      <c r="M69" s="850"/>
      <c r="N69" s="850"/>
      <c r="O69" s="850"/>
      <c r="P69" s="850"/>
      <c r="Q69" s="850" t="s">
        <v>681</v>
      </c>
      <c r="R69" s="850"/>
      <c r="S69" s="850"/>
      <c r="T69" s="771"/>
      <c r="U69" s="770"/>
    </row>
    <row r="70" spans="2:21" ht="15" hidden="1" outlineLevel="2">
      <c r="B70" s="850" t="s">
        <v>1195</v>
      </c>
      <c r="C70" s="850"/>
      <c r="D70" s="850"/>
      <c r="E70" s="850" t="s">
        <v>1185</v>
      </c>
      <c r="F70" s="859" t="s">
        <v>104</v>
      </c>
      <c r="G70" s="850" t="str">
        <f>_xlfn.XLOOKUP(F70,'A0.LS'!E:E,'A0.LS'!F:F)</f>
        <v>Dự phòng tổn thất đầu tư vào đơn vị khác</v>
      </c>
      <c r="H70" s="848">
        <f>-'A0.LS'!AC92-'A0.LS'!AT92</f>
        <v>281242746542</v>
      </c>
      <c r="I70" s="850"/>
      <c r="J70" s="850"/>
      <c r="K70" s="850"/>
      <c r="L70" s="848">
        <f t="shared" ref="L70:L71" si="14">ROUND(SUM(H70:K70),0)</f>
        <v>281242746542</v>
      </c>
      <c r="M70" s="850" t="s">
        <v>1198</v>
      </c>
      <c r="N70" s="850" t="s">
        <v>1199</v>
      </c>
      <c r="O70" s="850" t="s">
        <v>1224</v>
      </c>
      <c r="P70" s="850"/>
      <c r="Q70" s="850" t="s">
        <v>681</v>
      </c>
      <c r="R70" s="850"/>
      <c r="S70" s="850"/>
      <c r="T70" s="1101" t="s">
        <v>1226</v>
      </c>
      <c r="U70" s="770"/>
    </row>
    <row r="71" spans="2:21" ht="15" hidden="1" outlineLevel="2">
      <c r="B71" s="850" t="s">
        <v>1195</v>
      </c>
      <c r="C71" s="850"/>
      <c r="D71" s="850"/>
      <c r="E71" s="850" t="s">
        <v>1186</v>
      </c>
      <c r="F71" s="859" t="s">
        <v>215</v>
      </c>
      <c r="G71" s="850" t="str">
        <f>_xlfn.XLOOKUP(F71,'A0.LS'!E:E,'A0.LS'!F:F)</f>
        <v>Lợi nhuận sau thuế chưa phân phối năm trước</v>
      </c>
      <c r="H71" s="850"/>
      <c r="I71" s="857">
        <f>-259117394892</f>
        <v>-259117394892</v>
      </c>
      <c r="J71" s="850"/>
      <c r="K71" s="850"/>
      <c r="L71" s="848">
        <f t="shared" si="14"/>
        <v>-259117394892</v>
      </c>
      <c r="M71" s="850" t="s">
        <v>1198</v>
      </c>
      <c r="N71" s="850" t="s">
        <v>1199</v>
      </c>
      <c r="O71" s="850">
        <v>2023</v>
      </c>
      <c r="P71" s="850" t="s">
        <v>1227</v>
      </c>
      <c r="Q71" s="850" t="s">
        <v>681</v>
      </c>
      <c r="R71" s="850"/>
      <c r="S71" s="850"/>
      <c r="T71" s="1101" t="s">
        <v>1226</v>
      </c>
      <c r="U71" s="770"/>
    </row>
    <row r="72" spans="2:21" ht="15" hidden="1" outlineLevel="2">
      <c r="B72" s="850" t="s">
        <v>1195</v>
      </c>
      <c r="C72" s="850"/>
      <c r="D72" s="850"/>
      <c r="E72" s="850" t="s">
        <v>1186</v>
      </c>
      <c r="F72" s="859" t="s">
        <v>321</v>
      </c>
      <c r="G72" s="850" t="str">
        <f>_xlfn.XLOOKUP(F72,'A0.LS'!E:E,'A0.LS'!F:F)</f>
        <v>Lỗ từ dự phòng giảm giá các khoản đầu tư vào công ty con/công ty liên doanh</v>
      </c>
      <c r="H72" s="850"/>
      <c r="I72" s="857">
        <f>-(H70+I71)</f>
        <v>-22125351650</v>
      </c>
      <c r="J72" s="850"/>
      <c r="K72" s="850"/>
      <c r="L72" s="848">
        <f>ROUND(SUM(H72:K72),0)</f>
        <v>-22125351650</v>
      </c>
      <c r="M72" s="850" t="s">
        <v>1198</v>
      </c>
      <c r="N72" s="850" t="s">
        <v>1199</v>
      </c>
      <c r="O72" s="850" t="s">
        <v>1224</v>
      </c>
      <c r="P72" s="850"/>
      <c r="Q72" s="850"/>
      <c r="R72" s="850"/>
      <c r="S72" s="850"/>
      <c r="T72" s="1101"/>
      <c r="U72" s="770"/>
    </row>
    <row r="73" spans="2:21" ht="15" hidden="1" outlineLevel="2">
      <c r="B73" s="850" t="s">
        <v>1195</v>
      </c>
      <c r="C73" s="850"/>
      <c r="D73" s="850"/>
      <c r="E73" s="850"/>
      <c r="F73" s="859"/>
      <c r="G73" s="850"/>
      <c r="H73" s="850"/>
      <c r="I73" s="857"/>
      <c r="J73" s="850"/>
      <c r="K73" s="850"/>
      <c r="L73" s="848"/>
      <c r="M73" s="850"/>
      <c r="N73" s="850"/>
      <c r="O73" s="850"/>
      <c r="P73" s="850"/>
      <c r="Q73" s="850"/>
      <c r="R73" s="850"/>
      <c r="S73" s="850"/>
      <c r="T73" s="771"/>
      <c r="U73" s="770"/>
    </row>
    <row r="74" spans="2:21" ht="15" hidden="1" outlineLevel="2">
      <c r="B74" s="850" t="s">
        <v>1195</v>
      </c>
      <c r="C74" s="19">
        <v>15</v>
      </c>
      <c r="D74" s="1" t="s">
        <v>1228</v>
      </c>
      <c r="E74" s="850"/>
      <c r="F74" s="850"/>
      <c r="G74" s="850"/>
      <c r="H74" s="850"/>
      <c r="I74" s="857"/>
      <c r="J74" s="850"/>
      <c r="K74" s="850"/>
      <c r="L74" s="848"/>
      <c r="M74" s="850"/>
      <c r="N74" s="850"/>
      <c r="O74" s="850"/>
      <c r="P74" s="850"/>
      <c r="Q74" s="850"/>
      <c r="R74" s="850"/>
      <c r="S74" s="850"/>
      <c r="T74" s="771"/>
      <c r="U74" s="770"/>
    </row>
    <row r="75" spans="2:21" ht="15" hidden="1" outlineLevel="2">
      <c r="B75" s="850" t="s">
        <v>1195</v>
      </c>
      <c r="C75" s="850"/>
      <c r="D75" s="850"/>
      <c r="E75" s="850" t="s">
        <v>1185</v>
      </c>
      <c r="F75" s="859" t="s">
        <v>1217</v>
      </c>
      <c r="G75" s="850" t="str">
        <f>_xlfn.XLOOKUP(F75,'A0.LS'!E:E,'A0.LS'!F:F)</f>
        <v>Lợi ích cổ đông không kiểm soát-PL</v>
      </c>
      <c r="H75" s="848">
        <f>Group!E46</f>
        <v>-54156299.328388803</v>
      </c>
      <c r="I75" s="857"/>
      <c r="J75" s="850"/>
      <c r="K75" s="850"/>
      <c r="L75" s="848">
        <f t="shared" ref="L75:L76" si="15">ROUND(SUM(H75:K75),0)</f>
        <v>-54156299</v>
      </c>
      <c r="M75" s="850" t="s">
        <v>1198</v>
      </c>
      <c r="N75" s="850" t="s">
        <v>1199</v>
      </c>
      <c r="O75" s="850" t="s">
        <v>1224</v>
      </c>
      <c r="P75" s="850" t="s">
        <v>1217</v>
      </c>
      <c r="Q75" s="850"/>
      <c r="R75" s="850"/>
      <c r="S75" s="850"/>
      <c r="T75" s="1101" t="s">
        <v>1226</v>
      </c>
      <c r="U75" s="770"/>
    </row>
    <row r="76" spans="2:21" ht="15" hidden="1" outlineLevel="2">
      <c r="B76" s="850" t="s">
        <v>1195</v>
      </c>
      <c r="C76" s="850"/>
      <c r="D76" s="850"/>
      <c r="E76" s="850" t="s">
        <v>1186</v>
      </c>
      <c r="F76" s="850" t="s">
        <v>1203</v>
      </c>
      <c r="G76" s="850" t="str">
        <f>_xlfn.XLOOKUP(F76,'A0.LS'!E:E,'A0.LS'!F:F)</f>
        <v>Lợi ích cổ đông không kiểm soát-BS</v>
      </c>
      <c r="H76" s="850"/>
      <c r="I76" s="857">
        <f>-H75</f>
        <v>54156299.328388803</v>
      </c>
      <c r="J76" s="850"/>
      <c r="K76" s="850"/>
      <c r="L76" s="848">
        <f t="shared" si="15"/>
        <v>54156299</v>
      </c>
      <c r="M76" s="850" t="s">
        <v>1198</v>
      </c>
      <c r="N76" s="850" t="s">
        <v>1199</v>
      </c>
      <c r="O76" s="850" t="s">
        <v>1224</v>
      </c>
      <c r="P76" s="850"/>
      <c r="Q76" s="850"/>
      <c r="R76" s="850"/>
      <c r="S76" s="850"/>
      <c r="T76" s="1101" t="s">
        <v>1226</v>
      </c>
      <c r="U76" s="770"/>
    </row>
    <row r="77" spans="2:21" ht="15" hidden="1" outlineLevel="2">
      <c r="B77" s="850" t="s">
        <v>1195</v>
      </c>
      <c r="C77" s="850"/>
      <c r="D77" s="850"/>
      <c r="E77" s="850"/>
      <c r="F77" s="850"/>
      <c r="G77" s="850"/>
      <c r="H77" s="850"/>
      <c r="I77" s="857"/>
      <c r="J77" s="850"/>
      <c r="K77" s="850"/>
      <c r="L77" s="848"/>
      <c r="M77" s="850"/>
      <c r="N77" s="850"/>
      <c r="O77" s="850"/>
      <c r="P77" s="850"/>
      <c r="Q77" s="850"/>
      <c r="R77" s="850"/>
      <c r="S77" s="850"/>
      <c r="T77" s="771"/>
      <c r="U77" s="770"/>
    </row>
    <row r="78" spans="2:21" ht="15" hidden="1" outlineLevel="2">
      <c r="B78" s="850" t="s">
        <v>1195</v>
      </c>
      <c r="C78" s="19">
        <v>16</v>
      </c>
      <c r="D78" s="1" t="s">
        <v>1229</v>
      </c>
      <c r="E78" s="850"/>
      <c r="F78" s="850"/>
      <c r="G78" s="850"/>
      <c r="H78" s="850"/>
      <c r="I78" s="857"/>
      <c r="J78" s="850"/>
      <c r="K78" s="850"/>
      <c r="L78" s="848"/>
      <c r="M78" s="850"/>
      <c r="N78" s="850"/>
      <c r="O78" s="850"/>
      <c r="P78" s="850"/>
      <c r="Q78" s="850"/>
      <c r="R78" s="850"/>
      <c r="S78" s="850"/>
      <c r="T78" s="771"/>
      <c r="U78" s="770"/>
    </row>
    <row r="79" spans="2:21" ht="15" hidden="1" outlineLevel="2">
      <c r="B79" s="850" t="s">
        <v>1195</v>
      </c>
      <c r="C79" s="850"/>
      <c r="D79" s="850"/>
      <c r="E79" s="850" t="s">
        <v>1185</v>
      </c>
      <c r="F79" s="859" t="s">
        <v>1219</v>
      </c>
      <c r="G79" s="850" t="str">
        <f>_xlfn.XLOOKUP(F79,'A0.LS'!E:E,'A0.LS'!F:F)</f>
        <v>Đánh giá lại trái phiếu (của VNSC revert nếu có số dư)</v>
      </c>
      <c r="H79" s="848">
        <f>-(I80+K81)</f>
        <v>539803873</v>
      </c>
      <c r="I79" s="857"/>
      <c r="J79" s="850"/>
      <c r="K79" s="850"/>
      <c r="L79" s="848">
        <f>ROUND(SUM(H79:K79),0)</f>
        <v>539803873</v>
      </c>
      <c r="M79" s="850" t="s">
        <v>1198</v>
      </c>
      <c r="N79" s="850" t="s">
        <v>1199</v>
      </c>
      <c r="O79" s="850" t="s">
        <v>1224</v>
      </c>
      <c r="P79" s="850"/>
      <c r="Q79" s="850"/>
      <c r="R79" s="850"/>
      <c r="S79" s="850"/>
      <c r="T79" s="1101" t="s">
        <v>1226</v>
      </c>
      <c r="U79" s="770"/>
    </row>
    <row r="80" spans="2:21" ht="15" hidden="1" outlineLevel="2">
      <c r="B80" s="850" t="s">
        <v>1195</v>
      </c>
      <c r="C80" s="850"/>
      <c r="D80" s="850"/>
      <c r="E80" s="850" t="s">
        <v>1186</v>
      </c>
      <c r="F80" s="859" t="s">
        <v>1230</v>
      </c>
      <c r="G80" s="850" t="str">
        <f>_xlfn.XLOOKUP(F80,'A0.LS'!E:E,'A0.LS'!F:F)</f>
        <v>Đánh giá lại cổ phiếu (của VNSC revert nếu có số dư)</v>
      </c>
      <c r="H80" s="848"/>
      <c r="I80" s="857">
        <f>-'A0.LS'!AH26</f>
        <v>-55744000</v>
      </c>
      <c r="J80" s="850"/>
      <c r="K80" s="850"/>
      <c r="L80" s="848">
        <f>ROUND(SUM(H80:K80),0)</f>
        <v>-55744000</v>
      </c>
      <c r="M80" s="850" t="s">
        <v>1198</v>
      </c>
      <c r="N80" s="850" t="s">
        <v>1199</v>
      </c>
      <c r="O80" s="850" t="s">
        <v>1224</v>
      </c>
      <c r="P80" s="850"/>
      <c r="Q80" s="850"/>
      <c r="R80" s="850"/>
      <c r="S80" s="850"/>
      <c r="T80" s="1101"/>
      <c r="U80" s="770"/>
    </row>
    <row r="81" spans="2:21" ht="15" hidden="1" outlineLevel="2">
      <c r="B81" s="850" t="s">
        <v>1195</v>
      </c>
      <c r="C81" s="850"/>
      <c r="D81" s="850"/>
      <c r="E81" s="850" t="s">
        <v>1186</v>
      </c>
      <c r="F81" s="859" t="s">
        <v>1024</v>
      </c>
      <c r="G81" s="850" t="str">
        <f>_xlfn.XLOOKUP(F81,'A0.LS'!E:E,'A0.LS'!F:F)</f>
        <v>Chênh lệch đánh giá giảm FVTPL của VNSC (Revert đầu gốc nếu có phát sinh)</v>
      </c>
      <c r="H81" s="850"/>
      <c r="I81" s="857"/>
      <c r="J81" s="850"/>
      <c r="K81" s="857">
        <f>-'A0.LS'!AH269</f>
        <v>-484059873</v>
      </c>
      <c r="L81" s="848">
        <f>ROUND(SUM(H81:K81),0)</f>
        <v>-484059873</v>
      </c>
      <c r="M81" s="850" t="s">
        <v>1198</v>
      </c>
      <c r="N81" s="850" t="s">
        <v>1199</v>
      </c>
      <c r="O81" s="850" t="s">
        <v>1224</v>
      </c>
      <c r="P81" s="850"/>
      <c r="Q81" s="850"/>
      <c r="R81" s="850"/>
      <c r="S81" s="850"/>
      <c r="T81" s="1101" t="s">
        <v>1226</v>
      </c>
      <c r="U81" s="770"/>
    </row>
    <row r="82" spans="2:21" ht="15" hidden="1" outlineLevel="2">
      <c r="B82" s="850" t="s">
        <v>1195</v>
      </c>
      <c r="C82" s="850"/>
      <c r="D82" s="850"/>
      <c r="E82" s="850"/>
      <c r="F82" s="859"/>
      <c r="G82" s="850"/>
      <c r="H82" s="850"/>
      <c r="I82" s="857"/>
      <c r="J82" s="850"/>
      <c r="K82" s="850"/>
      <c r="L82" s="848"/>
      <c r="M82" s="850"/>
      <c r="N82" s="850"/>
      <c r="O82" s="850"/>
      <c r="P82" s="850"/>
      <c r="Q82" s="850"/>
      <c r="R82" s="850"/>
      <c r="S82" s="850"/>
      <c r="T82" s="771"/>
      <c r="U82" s="770"/>
    </row>
    <row r="83" spans="2:21" ht="15" hidden="1" outlineLevel="2">
      <c r="B83" s="850" t="s">
        <v>1195</v>
      </c>
      <c r="C83" s="19">
        <v>17</v>
      </c>
      <c r="D83" s="1" t="s">
        <v>1229</v>
      </c>
      <c r="E83" s="850"/>
      <c r="F83" s="859"/>
      <c r="G83" s="850"/>
      <c r="H83" s="850"/>
      <c r="I83" s="857"/>
      <c r="J83" s="850"/>
      <c r="K83" s="850"/>
      <c r="L83" s="848"/>
      <c r="M83" s="850"/>
      <c r="N83" s="850"/>
      <c r="O83" s="850"/>
      <c r="P83" s="850"/>
      <c r="Q83" s="850"/>
      <c r="R83" s="850"/>
      <c r="S83" s="850"/>
      <c r="T83" s="771"/>
      <c r="U83" s="770"/>
    </row>
    <row r="84" spans="2:21" ht="15" hidden="1" outlineLevel="2">
      <c r="B84" s="850" t="s">
        <v>1195</v>
      </c>
      <c r="C84" s="850"/>
      <c r="D84" s="850"/>
      <c r="E84" s="850" t="s">
        <v>1185</v>
      </c>
      <c r="F84" s="859" t="s">
        <v>1219</v>
      </c>
      <c r="G84" s="850" t="str">
        <f>_xlfn.XLOOKUP(F84,'A0.LS'!E:E,'A0.LS'!F:F)</f>
        <v>Đánh giá lại trái phiếu (của VNSC revert nếu có số dư)</v>
      </c>
      <c r="H84" s="848">
        <f>'A0.LS'!AH248</f>
        <v>492034709</v>
      </c>
      <c r="I84" s="857"/>
      <c r="J84" s="850"/>
      <c r="K84" s="850"/>
      <c r="L84" s="848">
        <f>ROUND(SUM(H84:K84),0)</f>
        <v>492034709</v>
      </c>
      <c r="M84" s="850" t="s">
        <v>1198</v>
      </c>
      <c r="N84" s="850" t="s">
        <v>1199</v>
      </c>
      <c r="O84" s="850" t="s">
        <v>1224</v>
      </c>
      <c r="P84" s="850"/>
      <c r="Q84" s="850"/>
      <c r="R84" s="850"/>
      <c r="S84" s="850"/>
      <c r="T84" s="1101" t="s">
        <v>1226</v>
      </c>
      <c r="U84" s="770"/>
    </row>
    <row r="85" spans="2:21" ht="15" hidden="1" outlineLevel="2">
      <c r="B85" s="850" t="s">
        <v>1195</v>
      </c>
      <c r="C85" s="850"/>
      <c r="D85" s="850"/>
      <c r="E85" s="850" t="s">
        <v>1186</v>
      </c>
      <c r="F85" s="859" t="s">
        <v>978</v>
      </c>
      <c r="G85" s="850" t="str">
        <f>_xlfn.XLOOKUP(F85,'A0.LS'!E:E,'A0.LS'!F:F)</f>
        <v>Chênh lệch đánh giá tăng FVTPL của VNSC (Revert đầu gốc nếu có phát sinh)</v>
      </c>
      <c r="H85" s="850"/>
      <c r="I85" s="857"/>
      <c r="J85" s="850"/>
      <c r="K85" s="857">
        <f>-H84</f>
        <v>-492034709</v>
      </c>
      <c r="L85" s="848">
        <f>ROUND(SUM(H85:K85),0)</f>
        <v>-492034709</v>
      </c>
      <c r="M85" s="850" t="s">
        <v>1198</v>
      </c>
      <c r="N85" s="850" t="s">
        <v>1199</v>
      </c>
      <c r="O85" s="850" t="s">
        <v>1224</v>
      </c>
      <c r="P85" s="850"/>
      <c r="Q85" s="850"/>
      <c r="R85" s="850"/>
      <c r="S85" s="850"/>
      <c r="T85" s="1101" t="s">
        <v>1226</v>
      </c>
      <c r="U85" s="770"/>
    </row>
    <row r="86" spans="2:21" ht="15" hidden="1" outlineLevel="2">
      <c r="B86" s="850" t="s">
        <v>1195</v>
      </c>
      <c r="C86" s="850"/>
      <c r="D86" s="850"/>
      <c r="E86" s="850"/>
      <c r="F86" s="850"/>
      <c r="G86" s="850"/>
      <c r="H86" s="850"/>
      <c r="I86" s="857"/>
      <c r="J86" s="850"/>
      <c r="K86" s="850"/>
      <c r="L86" s="848"/>
      <c r="M86" s="850"/>
      <c r="N86" s="850"/>
      <c r="O86" s="850"/>
      <c r="P86" s="850"/>
      <c r="Q86" s="850"/>
      <c r="R86" s="850"/>
      <c r="S86" s="850"/>
      <c r="T86" s="771"/>
      <c r="U86" s="770"/>
    </row>
    <row r="87" spans="2:21" ht="15" hidden="1" outlineLevel="2">
      <c r="B87" s="850" t="s">
        <v>1195</v>
      </c>
      <c r="C87" s="19">
        <v>18</v>
      </c>
      <c r="D87" s="1" t="s">
        <v>1231</v>
      </c>
      <c r="E87" s="850"/>
      <c r="F87" s="850"/>
      <c r="G87" s="850"/>
      <c r="H87" s="850"/>
      <c r="I87" s="850"/>
      <c r="J87" s="850"/>
      <c r="K87" s="850"/>
      <c r="L87" s="850"/>
      <c r="M87" s="850"/>
      <c r="N87" s="850"/>
      <c r="O87" s="850"/>
      <c r="P87" s="850"/>
      <c r="Q87" s="850"/>
      <c r="R87" s="850"/>
      <c r="S87" s="850"/>
      <c r="T87" s="771"/>
      <c r="U87" s="770"/>
    </row>
    <row r="88" spans="2:21" ht="15" hidden="1" outlineLevel="2">
      <c r="B88" s="850" t="s">
        <v>1195</v>
      </c>
      <c r="C88" s="850"/>
      <c r="D88" s="850"/>
      <c r="E88" s="850" t="s">
        <v>1185</v>
      </c>
      <c r="F88" s="850" t="s">
        <v>1209</v>
      </c>
      <c r="G88" s="850" t="str">
        <f>_xlfn.XLOOKUP(F88,'A0.LS'!E:E,'A0.LS'!F:F)</f>
        <v>Chi phí phân bổ lợi thế thương mại</v>
      </c>
      <c r="H88" s="850"/>
      <c r="I88" s="850"/>
      <c r="J88" s="848">
        <f>GW!M32</f>
        <v>11939179382.962578</v>
      </c>
      <c r="K88" s="850"/>
      <c r="L88" s="848">
        <f t="shared" ref="L88:L89" si="16">ROUND(SUM(H88:K88),0)</f>
        <v>11939179383</v>
      </c>
      <c r="M88" s="850" t="s">
        <v>1198</v>
      </c>
      <c r="N88" s="850" t="s">
        <v>1199</v>
      </c>
      <c r="O88" s="850" t="s">
        <v>1224</v>
      </c>
      <c r="P88" s="850"/>
      <c r="Q88" s="850"/>
      <c r="R88" s="850"/>
      <c r="S88" s="850"/>
      <c r="T88" s="1101" t="s">
        <v>1200</v>
      </c>
      <c r="U88" s="770"/>
    </row>
    <row r="89" spans="2:21" ht="15" hidden="1" outlineLevel="2">
      <c r="B89" s="850" t="s">
        <v>1195</v>
      </c>
      <c r="C89" s="850"/>
      <c r="D89" s="850"/>
      <c r="E89" s="850" t="s">
        <v>1186</v>
      </c>
      <c r="F89" s="850" t="s">
        <v>1197</v>
      </c>
      <c r="G89" s="850" t="str">
        <f>_xlfn.XLOOKUP(F89,'A0.LS'!E:E,'A0.LS'!F:F)</f>
        <v>Lợi thế thương mại</v>
      </c>
      <c r="H89" s="850"/>
      <c r="I89" s="848">
        <f>-SUM(H88:J88)</f>
        <v>-11939179382.962578</v>
      </c>
      <c r="J89" s="850"/>
      <c r="K89" s="850"/>
      <c r="L89" s="848">
        <f t="shared" si="16"/>
        <v>-11939179383</v>
      </c>
      <c r="M89" s="850" t="s">
        <v>1198</v>
      </c>
      <c r="N89" s="850" t="s">
        <v>1199</v>
      </c>
      <c r="O89" s="850" t="s">
        <v>1224</v>
      </c>
      <c r="P89" s="850"/>
      <c r="Q89" s="850"/>
      <c r="R89" s="850"/>
      <c r="S89" s="850"/>
      <c r="T89" s="1101" t="s">
        <v>1200</v>
      </c>
      <c r="U89" s="770"/>
    </row>
    <row r="90" spans="2:21" ht="15" hidden="1" outlineLevel="2">
      <c r="B90" s="850" t="s">
        <v>1195</v>
      </c>
      <c r="C90" s="850"/>
      <c r="D90" s="850"/>
      <c r="E90" s="850"/>
      <c r="F90" s="850"/>
      <c r="G90" s="850"/>
      <c r="H90" s="850"/>
      <c r="I90" s="848"/>
      <c r="J90" s="850"/>
      <c r="K90" s="850"/>
      <c r="L90" s="848"/>
      <c r="M90" s="850"/>
      <c r="N90" s="850"/>
      <c r="O90" s="850"/>
      <c r="P90" s="850"/>
      <c r="Q90" s="850"/>
      <c r="R90" s="850"/>
      <c r="S90" s="850"/>
      <c r="T90" s="771"/>
      <c r="U90" s="770"/>
    </row>
    <row r="91" spans="2:21" ht="15" hidden="1" outlineLevel="2">
      <c r="B91" s="850" t="s">
        <v>1195</v>
      </c>
      <c r="C91" s="19">
        <v>19</v>
      </c>
      <c r="D91" s="1" t="s">
        <v>1232</v>
      </c>
      <c r="E91" s="850"/>
      <c r="F91" s="850"/>
      <c r="G91" s="850"/>
      <c r="H91" s="850"/>
      <c r="I91" s="857"/>
      <c r="J91" s="850"/>
      <c r="K91" s="850"/>
      <c r="L91" s="848"/>
      <c r="M91" s="850"/>
      <c r="N91" s="850"/>
      <c r="O91" s="850"/>
      <c r="P91" s="850"/>
      <c r="Q91" s="850"/>
      <c r="R91" s="850"/>
      <c r="S91" s="850"/>
      <c r="T91" s="771"/>
      <c r="U91" s="770"/>
    </row>
    <row r="92" spans="2:21" ht="15" hidden="1" outlineLevel="2">
      <c r="B92" s="850" t="s">
        <v>1195</v>
      </c>
      <c r="C92" s="850"/>
      <c r="D92" s="850"/>
      <c r="E92" s="850" t="s">
        <v>1185</v>
      </c>
      <c r="F92" s="850" t="s">
        <v>1203</v>
      </c>
      <c r="G92" s="850" t="str">
        <f>_xlfn.XLOOKUP(F92,'A0.LS'!E:E,'A0.LS'!F:F)</f>
        <v>Lợi ích cổ đông không kiểm soát-BS</v>
      </c>
      <c r="H92" s="848">
        <f>-I94-H93</f>
        <v>679433839.80794263</v>
      </c>
      <c r="I92" s="857"/>
      <c r="J92" s="850"/>
      <c r="K92" s="850"/>
      <c r="L92" s="175">
        <f t="shared" ref="L92" si="17">ROUND(SUM(H92:K92),0)</f>
        <v>679433840</v>
      </c>
      <c r="M92" s="850" t="s">
        <v>1198</v>
      </c>
      <c r="N92" s="850" t="s">
        <v>1199</v>
      </c>
      <c r="O92" s="850" t="s">
        <v>1224</v>
      </c>
      <c r="P92" s="850"/>
      <c r="Q92" s="850"/>
      <c r="R92" s="850" t="s">
        <v>681</v>
      </c>
      <c r="S92" s="850"/>
      <c r="T92" s="771"/>
      <c r="U92" s="770"/>
    </row>
    <row r="93" spans="2:21" ht="15" hidden="1" outlineLevel="2">
      <c r="B93" s="850" t="s">
        <v>1195</v>
      </c>
      <c r="C93" s="850"/>
      <c r="D93" s="850"/>
      <c r="E93" s="850" t="s">
        <v>1185</v>
      </c>
      <c r="F93" s="859" t="s">
        <v>217</v>
      </c>
      <c r="G93" s="850" t="str">
        <f>_xlfn.XLOOKUP(F93,'A0.LS'!E:E,'A0.LS'!F:F)</f>
        <v>Lợi nhuận sau thuế chưa phân phối năm nay</v>
      </c>
      <c r="H93" s="848">
        <f>-Group!C36</f>
        <v>778566160.19205737</v>
      </c>
      <c r="I93" s="857"/>
      <c r="J93" s="850"/>
      <c r="K93" s="850"/>
      <c r="L93" s="848">
        <f>ROUND(SUM(H93:K93),0)</f>
        <v>778566160</v>
      </c>
      <c r="M93" s="850" t="s">
        <v>1198</v>
      </c>
      <c r="N93" s="850" t="s">
        <v>1199</v>
      </c>
      <c r="O93" s="850" t="s">
        <v>1224</v>
      </c>
      <c r="P93" s="850"/>
      <c r="Q93" s="850"/>
      <c r="R93" s="850"/>
      <c r="S93" s="850"/>
      <c r="T93" s="771"/>
      <c r="U93" s="770"/>
    </row>
    <row r="94" spans="2:21" ht="15" hidden="1" outlineLevel="2">
      <c r="B94" s="850" t="s">
        <v>1195</v>
      </c>
      <c r="C94" s="850"/>
      <c r="D94" s="850"/>
      <c r="E94" s="850" t="s">
        <v>1186</v>
      </c>
      <c r="F94" s="859" t="s">
        <v>99</v>
      </c>
      <c r="G94" s="850" t="str">
        <f>_xlfn.XLOOKUP(F94,'A0.LS'!E:E,'A0.LS'!F:F)</f>
        <v>Đầu tư khác</v>
      </c>
      <c r="H94" s="850"/>
      <c r="I94" s="857">
        <f>-Group!C35</f>
        <v>-1458000000</v>
      </c>
      <c r="J94" s="850"/>
      <c r="K94" s="850"/>
      <c r="L94" s="848">
        <f t="shared" ref="L94" si="18">ROUND(SUM(H94:K94),0)</f>
        <v>-1458000000</v>
      </c>
      <c r="M94" s="850" t="s">
        <v>1198</v>
      </c>
      <c r="N94" s="850" t="s">
        <v>1199</v>
      </c>
      <c r="O94" s="850" t="s">
        <v>1224</v>
      </c>
      <c r="P94" s="850"/>
      <c r="Q94" s="850"/>
      <c r="R94" s="850"/>
      <c r="S94" s="850"/>
      <c r="T94" s="771"/>
      <c r="U94" s="770"/>
    </row>
    <row r="95" spans="2:21" ht="15" hidden="1" outlineLevel="2">
      <c r="B95" s="850" t="s">
        <v>1195</v>
      </c>
      <c r="C95" s="19">
        <v>20</v>
      </c>
      <c r="D95" s="1" t="s">
        <v>1233</v>
      </c>
      <c r="E95" s="850"/>
      <c r="F95" s="850"/>
      <c r="G95" s="850"/>
      <c r="H95" s="850"/>
      <c r="I95" s="857"/>
      <c r="J95" s="850"/>
      <c r="K95" s="850"/>
      <c r="L95" s="848"/>
      <c r="M95" s="850"/>
      <c r="N95" s="850"/>
      <c r="O95" s="850"/>
      <c r="P95" s="850"/>
      <c r="Q95" s="850"/>
      <c r="R95" s="850"/>
      <c r="S95" s="850"/>
      <c r="T95" s="771"/>
      <c r="U95" s="770"/>
    </row>
    <row r="96" spans="2:21" ht="15" hidden="1" outlineLevel="2">
      <c r="B96" s="850" t="s">
        <v>1195</v>
      </c>
      <c r="C96" s="850"/>
      <c r="D96" s="850"/>
      <c r="E96" s="850" t="s">
        <v>1185</v>
      </c>
      <c r="F96" s="859" t="s">
        <v>95</v>
      </c>
      <c r="G96" s="850" t="str">
        <f>_xlfn.XLOOKUP(F96,'A0.LS'!E:E,'A0.LS'!F:F)</f>
        <v>Đầu tư vào công ty con</v>
      </c>
      <c r="H96" s="1010">
        <f>Group!T12</f>
        <v>1754073365</v>
      </c>
      <c r="I96" s="857"/>
      <c r="J96" s="850"/>
      <c r="K96" s="850"/>
      <c r="L96" s="848">
        <f t="shared" ref="L96:L97" si="19">ROUND(SUM(H96:K96),0)</f>
        <v>1754073365</v>
      </c>
      <c r="M96" s="850" t="s">
        <v>1198</v>
      </c>
      <c r="N96" s="850" t="s">
        <v>1199</v>
      </c>
      <c r="O96" s="850" t="s">
        <v>1224</v>
      </c>
      <c r="P96" s="850"/>
      <c r="Q96" s="850"/>
      <c r="R96" s="848"/>
      <c r="S96" s="850"/>
      <c r="T96" s="1101" t="s">
        <v>1200</v>
      </c>
      <c r="U96" s="770"/>
    </row>
    <row r="97" spans="1:21" ht="15" hidden="1" outlineLevel="2">
      <c r="A97" s="850"/>
      <c r="B97" s="850" t="s">
        <v>1195</v>
      </c>
      <c r="C97" s="850"/>
      <c r="D97" s="850"/>
      <c r="E97" s="850" t="s">
        <v>1186</v>
      </c>
      <c r="F97" s="850" t="s">
        <v>1197</v>
      </c>
      <c r="G97" s="850" t="str">
        <f>_xlfn.XLOOKUP(F97,'A0.LS'!E:E,'A0.LS'!F:F)</f>
        <v>Lợi thế thương mại</v>
      </c>
      <c r="H97" s="850"/>
      <c r="I97" s="857">
        <f>-H96</f>
        <v>-1754073365</v>
      </c>
      <c r="J97" s="850"/>
      <c r="K97" s="850"/>
      <c r="L97" s="848">
        <f t="shared" si="19"/>
        <v>-1754073365</v>
      </c>
      <c r="M97" s="850" t="s">
        <v>1198</v>
      </c>
      <c r="N97" s="850" t="s">
        <v>1199</v>
      </c>
      <c r="O97" s="850" t="s">
        <v>1224</v>
      </c>
      <c r="P97" s="850"/>
      <c r="Q97" s="850"/>
      <c r="R97" s="850"/>
      <c r="S97" s="850"/>
      <c r="T97" s="1101" t="s">
        <v>1200</v>
      </c>
      <c r="U97" s="770"/>
    </row>
    <row r="98" spans="1:21" ht="15" hidden="1" outlineLevel="2">
      <c r="A98" s="850"/>
      <c r="B98" s="850" t="s">
        <v>1195</v>
      </c>
      <c r="C98" s="850"/>
      <c r="D98" s="850"/>
      <c r="E98" s="850"/>
      <c r="F98" s="850"/>
      <c r="G98" s="850"/>
      <c r="H98" s="850"/>
      <c r="I98" s="857"/>
      <c r="J98" s="850"/>
      <c r="K98" s="850"/>
      <c r="L98" s="848"/>
      <c r="M98" s="850"/>
      <c r="N98" s="850"/>
      <c r="O98" s="850"/>
      <c r="P98" s="850"/>
      <c r="Q98" s="850"/>
      <c r="R98" s="850"/>
      <c r="S98" s="850"/>
      <c r="T98" s="1101"/>
      <c r="U98" s="770"/>
    </row>
    <row r="99" spans="1:21" ht="15" hidden="1" outlineLevel="2">
      <c r="A99" s="850"/>
      <c r="B99" s="850" t="s">
        <v>1195</v>
      </c>
      <c r="C99" s="19">
        <v>21</v>
      </c>
      <c r="D99" s="1" t="s">
        <v>1234</v>
      </c>
      <c r="E99" s="850"/>
      <c r="F99" s="850"/>
      <c r="G99" s="850"/>
      <c r="H99" s="850"/>
      <c r="I99" s="850"/>
      <c r="J99" s="850"/>
      <c r="K99" s="850"/>
      <c r="L99" s="850"/>
      <c r="M99" s="850"/>
      <c r="N99" s="850"/>
      <c r="O99" s="850"/>
      <c r="P99" s="850"/>
      <c r="Q99" s="850"/>
      <c r="R99" s="850"/>
      <c r="S99" s="850"/>
      <c r="T99" s="1101"/>
      <c r="U99" s="770"/>
    </row>
    <row r="100" spans="1:21" ht="15" hidden="1" outlineLevel="2">
      <c r="A100" s="850"/>
      <c r="B100" s="850" t="s">
        <v>1195</v>
      </c>
      <c r="C100" s="850"/>
      <c r="D100" s="850"/>
      <c r="E100" s="850" t="s">
        <v>1185</v>
      </c>
      <c r="F100" s="859" t="s">
        <v>31</v>
      </c>
      <c r="G100" s="850" t="str">
        <f>_xlfn.XLOOKUP(F100,'A0.LS'!E:E,'A0.LS'!F:F)</f>
        <v>Chứng chỉ quỹ + Chứng khoán kinh doanh khác</v>
      </c>
      <c r="H100" s="1017">
        <f>'TB VNSC FY24'!I77</f>
        <v>1245222000</v>
      </c>
      <c r="I100" s="850"/>
      <c r="J100" s="848">
        <f>GW!M44</f>
        <v>0</v>
      </c>
      <c r="K100" s="850"/>
      <c r="L100" s="848">
        <f t="shared" ref="L100:L101" si="20">ROUND(SUM(H100:K100),0)</f>
        <v>1245222000</v>
      </c>
      <c r="M100" s="850" t="s">
        <v>1198</v>
      </c>
      <c r="N100" s="850" t="s">
        <v>1199</v>
      </c>
      <c r="O100" s="850" t="s">
        <v>1224</v>
      </c>
      <c r="P100" s="850"/>
      <c r="Q100" s="850"/>
      <c r="R100" s="850"/>
      <c r="S100" s="850"/>
      <c r="T100" s="1101"/>
      <c r="U100" s="770"/>
    </row>
    <row r="101" spans="1:21" ht="15" hidden="1" outlineLevel="2">
      <c r="A101" s="850"/>
      <c r="B101" s="850" t="s">
        <v>1195</v>
      </c>
      <c r="C101" s="850"/>
      <c r="D101" s="850"/>
      <c r="E101" s="850" t="s">
        <v>1186</v>
      </c>
      <c r="F101" s="859" t="s">
        <v>27</v>
      </c>
      <c r="G101" s="850" t="str">
        <f>_xlfn.XLOOKUP(F101,'A0.LS'!E:E,'A0.LS'!F:F)</f>
        <v>Cổ phiếu</v>
      </c>
      <c r="H101" s="850"/>
      <c r="I101" s="848">
        <f>-SUM(H100:J100)</f>
        <v>-1245222000</v>
      </c>
      <c r="J101" s="850"/>
      <c r="K101" s="850"/>
      <c r="L101" s="848">
        <f t="shared" si="20"/>
        <v>-1245222000</v>
      </c>
      <c r="M101" s="850" t="s">
        <v>1198</v>
      </c>
      <c r="N101" s="850" t="s">
        <v>1199</v>
      </c>
      <c r="O101" s="850" t="s">
        <v>1224</v>
      </c>
      <c r="P101" s="850"/>
      <c r="Q101" s="850"/>
      <c r="R101" s="850"/>
      <c r="S101" s="850"/>
      <c r="T101" s="1101"/>
      <c r="U101" s="770"/>
    </row>
    <row r="102" spans="1:21" ht="15" hidden="1" outlineLevel="2">
      <c r="A102" s="850"/>
      <c r="B102" s="850" t="s">
        <v>1195</v>
      </c>
      <c r="C102" s="850"/>
      <c r="D102" s="850"/>
      <c r="E102" s="850"/>
      <c r="F102" s="850"/>
      <c r="G102" s="850"/>
      <c r="H102" s="850"/>
      <c r="I102" s="857"/>
      <c r="J102" s="850"/>
      <c r="K102" s="850"/>
      <c r="L102" s="848"/>
      <c r="M102" s="850"/>
      <c r="N102" s="850"/>
      <c r="O102" s="850"/>
      <c r="P102" s="850"/>
      <c r="Q102" s="850"/>
      <c r="R102" s="850"/>
      <c r="S102" s="850"/>
      <c r="T102" s="771"/>
      <c r="U102" s="770"/>
    </row>
    <row r="103" spans="1:21" ht="15" hidden="1" outlineLevel="1">
      <c r="A103" s="850"/>
      <c r="B103" s="307" t="s">
        <v>1235</v>
      </c>
      <c r="C103" s="306"/>
      <c r="D103" s="306"/>
      <c r="E103" s="306"/>
      <c r="F103" s="306"/>
      <c r="G103" s="306"/>
      <c r="H103" s="306"/>
      <c r="I103" s="306"/>
      <c r="J103" s="306"/>
      <c r="K103" s="306"/>
      <c r="L103" s="306"/>
      <c r="M103" s="306"/>
      <c r="N103" s="306"/>
      <c r="O103" s="306"/>
      <c r="P103" s="306"/>
      <c r="Q103" s="306"/>
      <c r="R103" s="850"/>
      <c r="S103" s="850"/>
      <c r="T103" s="771"/>
      <c r="U103" s="770"/>
    </row>
    <row r="104" spans="1:21" ht="15" hidden="1" outlineLevel="2">
      <c r="A104" s="850"/>
      <c r="B104" s="850" t="s">
        <v>1195</v>
      </c>
      <c r="C104" s="19">
        <v>1</v>
      </c>
      <c r="D104" s="1" t="s">
        <v>1236</v>
      </c>
      <c r="E104" s="850"/>
      <c r="F104" s="850"/>
      <c r="G104" s="850"/>
      <c r="H104" s="850"/>
      <c r="I104" s="850"/>
      <c r="J104" s="850"/>
      <c r="K104" s="850"/>
      <c r="L104" s="850"/>
      <c r="M104" s="850"/>
      <c r="N104" s="850"/>
      <c r="O104" s="850"/>
      <c r="P104" s="850"/>
      <c r="Q104" s="850"/>
      <c r="R104" s="850"/>
      <c r="S104" s="850"/>
      <c r="T104" s="771"/>
      <c r="U104" s="770"/>
    </row>
    <row r="105" spans="1:21" ht="15" hidden="1" outlineLevel="2">
      <c r="A105" s="850"/>
      <c r="B105" s="850" t="s">
        <v>1195</v>
      </c>
      <c r="C105" s="850"/>
      <c r="D105" s="850"/>
      <c r="E105" s="850" t="s">
        <v>1185</v>
      </c>
      <c r="F105" s="859" t="s">
        <v>207</v>
      </c>
      <c r="G105" s="850" t="str">
        <f>_xlfn.XLOOKUP(F105,'A0.LS'!E:E,'A0.LS'!F:F)</f>
        <v>Cổ phiếu phổ thông có quyền biểu quyết</v>
      </c>
      <c r="H105" s="848">
        <v>2500000000</v>
      </c>
      <c r="I105" s="850"/>
      <c r="J105" s="850"/>
      <c r="K105" s="850"/>
      <c r="L105" s="848">
        <f t="shared" ref="L105:L107" si="21">ROUND(SUM(H105:K105),0)</f>
        <v>2500000000</v>
      </c>
      <c r="M105" s="850" t="s">
        <v>1198</v>
      </c>
      <c r="N105" s="850" t="s">
        <v>1199</v>
      </c>
      <c r="O105" s="850">
        <v>2022</v>
      </c>
      <c r="P105" s="850" t="s">
        <v>1237</v>
      </c>
      <c r="Q105" s="850"/>
      <c r="R105" s="850"/>
      <c r="S105" s="850"/>
      <c r="T105" s="1101" t="s">
        <v>1200</v>
      </c>
      <c r="U105" s="770"/>
    </row>
    <row r="106" spans="1:21" ht="15" hidden="1" outlineLevel="2">
      <c r="A106" s="850"/>
      <c r="B106" s="850" t="s">
        <v>1195</v>
      </c>
      <c r="C106" s="850"/>
      <c r="D106" s="850"/>
      <c r="E106" s="850" t="s">
        <v>1186</v>
      </c>
      <c r="F106" s="850" t="s">
        <v>95</v>
      </c>
      <c r="G106" s="850" t="str">
        <f>_xlfn.XLOOKUP(F106,'A0.LS'!E:E,'A0.LS'!F:F)</f>
        <v>Đầu tư vào công ty con</v>
      </c>
      <c r="H106" s="850"/>
      <c r="I106" s="857">
        <f>-Group!BD53</f>
        <v>-2498000000</v>
      </c>
      <c r="J106" s="850"/>
      <c r="K106" s="850"/>
      <c r="L106" s="848">
        <f t="shared" si="21"/>
        <v>-2498000000</v>
      </c>
      <c r="M106" s="850" t="s">
        <v>1198</v>
      </c>
      <c r="N106" s="850" t="s">
        <v>1199</v>
      </c>
      <c r="O106" s="850">
        <v>2022</v>
      </c>
      <c r="P106" s="850" t="s">
        <v>1237</v>
      </c>
      <c r="Q106" s="850"/>
      <c r="R106" s="850"/>
      <c r="S106" s="850"/>
      <c r="T106" s="1101" t="s">
        <v>1200</v>
      </c>
      <c r="U106" s="770"/>
    </row>
    <row r="107" spans="1:21" ht="15" hidden="1" outlineLevel="2">
      <c r="A107" s="850"/>
      <c r="B107" s="850" t="s">
        <v>1195</v>
      </c>
      <c r="C107" s="850"/>
      <c r="D107" s="850"/>
      <c r="E107" s="850" t="s">
        <v>1186</v>
      </c>
      <c r="F107" s="850" t="s">
        <v>1203</v>
      </c>
      <c r="G107" s="850" t="str">
        <f>_xlfn.XLOOKUP(F107,'A0.LS'!E:E,'A0.LS'!F:F)</f>
        <v>Lợi ích cổ đông không kiểm soát-BS</v>
      </c>
      <c r="H107" s="850"/>
      <c r="I107" s="857">
        <f>-2000000</f>
        <v>-2000000</v>
      </c>
      <c r="J107" s="850"/>
      <c r="K107" s="850"/>
      <c r="L107" s="175">
        <f t="shared" si="21"/>
        <v>-2000000</v>
      </c>
      <c r="M107" s="850" t="s">
        <v>1198</v>
      </c>
      <c r="N107" s="850" t="s">
        <v>1199</v>
      </c>
      <c r="O107" s="850">
        <v>2022</v>
      </c>
      <c r="P107" s="850" t="s">
        <v>1237</v>
      </c>
      <c r="Q107" s="850"/>
      <c r="R107" s="850"/>
      <c r="S107" s="850"/>
      <c r="T107" s="1101" t="s">
        <v>1200</v>
      </c>
      <c r="U107" s="770"/>
    </row>
    <row r="108" spans="1:21" ht="15" hidden="1" outlineLevel="2">
      <c r="A108" s="850"/>
      <c r="B108" s="850" t="s">
        <v>1195</v>
      </c>
      <c r="C108" s="850"/>
      <c r="D108" s="850"/>
      <c r="E108" s="850"/>
      <c r="F108" s="850"/>
      <c r="G108" s="850"/>
      <c r="H108" s="850"/>
      <c r="I108" s="850"/>
      <c r="J108" s="850"/>
      <c r="K108" s="850"/>
      <c r="L108" s="850"/>
      <c r="M108" s="850"/>
      <c r="N108" s="850"/>
      <c r="O108" s="850"/>
      <c r="P108" s="850"/>
      <c r="Q108" s="850"/>
      <c r="R108" s="850"/>
      <c r="S108" s="850"/>
      <c r="T108" s="771"/>
      <c r="U108" s="770"/>
    </row>
    <row r="109" spans="1:21" ht="15" hidden="1" outlineLevel="2">
      <c r="A109" s="850"/>
      <c r="B109" s="850" t="s">
        <v>1195</v>
      </c>
      <c r="C109" s="19">
        <v>2</v>
      </c>
      <c r="D109" s="1" t="s">
        <v>1238</v>
      </c>
      <c r="E109" s="850"/>
      <c r="F109" s="850"/>
      <c r="G109" s="850"/>
      <c r="H109" s="850"/>
      <c r="I109" s="850"/>
      <c r="J109" s="850"/>
      <c r="K109" s="850"/>
      <c r="L109" s="850"/>
      <c r="M109" s="850"/>
      <c r="N109" s="850"/>
      <c r="O109" s="850"/>
      <c r="P109" s="850"/>
      <c r="Q109" s="850" t="s">
        <v>681</v>
      </c>
      <c r="R109" s="850"/>
      <c r="S109" s="850"/>
      <c r="T109" s="771"/>
      <c r="U109" s="770"/>
    </row>
    <row r="110" spans="1:21" ht="15" hidden="1" outlineLevel="2">
      <c r="A110" s="850"/>
      <c r="B110" s="850" t="s">
        <v>1195</v>
      </c>
      <c r="C110" s="850"/>
      <c r="D110" s="850"/>
      <c r="E110" s="850" t="s">
        <v>1185</v>
      </c>
      <c r="F110" s="850" t="s">
        <v>1203</v>
      </c>
      <c r="G110" s="850" t="str">
        <f>_xlfn.XLOOKUP(F110,'A0.LS'!E:E,'A0.LS'!F:F)</f>
        <v>Lợi ích cổ đông không kiểm soát-BS</v>
      </c>
      <c r="H110" s="848">
        <v>330279.21999999997</v>
      </c>
      <c r="I110" s="848"/>
      <c r="J110" s="850"/>
      <c r="K110" s="850"/>
      <c r="L110" s="175">
        <f>ROUND(SUM(H110:K110),0)</f>
        <v>330279</v>
      </c>
      <c r="M110" s="850" t="s">
        <v>1198</v>
      </c>
      <c r="N110" s="850" t="s">
        <v>1199</v>
      </c>
      <c r="O110" s="850">
        <v>2022</v>
      </c>
      <c r="P110" s="850"/>
      <c r="Q110" s="850"/>
      <c r="R110" s="850"/>
      <c r="S110" s="850"/>
      <c r="T110" s="1101" t="s">
        <v>1200</v>
      </c>
      <c r="U110" s="770"/>
    </row>
    <row r="111" spans="1:21" ht="15" hidden="1" outlineLevel="2">
      <c r="A111" s="850"/>
      <c r="B111" s="850" t="s">
        <v>1195</v>
      </c>
      <c r="C111" s="850"/>
      <c r="D111" s="850"/>
      <c r="E111" s="850" t="s">
        <v>1186</v>
      </c>
      <c r="F111" s="850" t="s">
        <v>215</v>
      </c>
      <c r="G111" s="850" t="str">
        <f>_xlfn.XLOOKUP(F111,'A0.LS'!E:E,'A0.LS'!F:F)</f>
        <v>Lợi nhuận sau thuế chưa phân phối năm trước</v>
      </c>
      <c r="H111" s="848"/>
      <c r="I111" s="848">
        <f>-H110</f>
        <v>-330279.21999999997</v>
      </c>
      <c r="J111" s="850"/>
      <c r="K111" s="850"/>
      <c r="L111" s="175">
        <f>ROUND(SUM(H111:K111),0)</f>
        <v>-330279</v>
      </c>
      <c r="M111" s="850" t="s">
        <v>1198</v>
      </c>
      <c r="N111" s="850" t="s">
        <v>1199</v>
      </c>
      <c r="O111" s="850">
        <v>2022</v>
      </c>
      <c r="P111" s="850"/>
      <c r="Q111" s="850" t="s">
        <v>681</v>
      </c>
      <c r="R111" s="850"/>
      <c r="S111" s="850"/>
      <c r="T111" s="1101" t="s">
        <v>1200</v>
      </c>
      <c r="U111" s="770"/>
    </row>
    <row r="112" spans="1:21" ht="15" hidden="1" outlineLevel="2">
      <c r="A112" s="850"/>
      <c r="B112" s="850" t="s">
        <v>1195</v>
      </c>
      <c r="C112" s="850"/>
      <c r="D112" s="850"/>
      <c r="E112" s="850"/>
      <c r="F112" s="859"/>
      <c r="G112" s="850"/>
      <c r="H112" s="850"/>
      <c r="I112" s="857"/>
      <c r="J112" s="850"/>
      <c r="K112" s="850"/>
      <c r="L112" s="848"/>
      <c r="M112" s="850"/>
      <c r="N112" s="850"/>
      <c r="O112" s="850"/>
      <c r="P112" s="850"/>
      <c r="Q112" s="850"/>
      <c r="R112" s="850"/>
      <c r="S112" s="850"/>
      <c r="T112" s="771"/>
      <c r="U112" s="770"/>
    </row>
    <row r="113" spans="1:21" ht="15" hidden="1" outlineLevel="2">
      <c r="A113" s="850"/>
      <c r="B113" s="850" t="s">
        <v>1195</v>
      </c>
      <c r="C113" s="19">
        <v>3</v>
      </c>
      <c r="D113" s="1" t="s">
        <v>1239</v>
      </c>
      <c r="E113" s="850"/>
      <c r="F113" s="850"/>
      <c r="G113" s="850"/>
      <c r="H113" s="850"/>
      <c r="I113" s="857"/>
      <c r="J113" s="850"/>
      <c r="K113" s="850"/>
      <c r="L113" s="848"/>
      <c r="M113" s="850"/>
      <c r="N113" s="850"/>
      <c r="O113" s="850"/>
      <c r="P113" s="850"/>
      <c r="Q113" s="850"/>
      <c r="R113" s="850"/>
      <c r="S113" s="850"/>
      <c r="T113" s="771"/>
      <c r="U113" s="770"/>
    </row>
    <row r="114" spans="1:21" ht="15" hidden="1" outlineLevel="2">
      <c r="A114" s="850"/>
      <c r="B114" s="850" t="s">
        <v>1195</v>
      </c>
      <c r="C114" s="850"/>
      <c r="D114" s="850"/>
      <c r="E114" s="850" t="s">
        <v>1185</v>
      </c>
      <c r="F114" s="859" t="s">
        <v>207</v>
      </c>
      <c r="G114" s="850" t="str">
        <f>_xlfn.XLOOKUP(F114,'A0.LS'!E:E,'A0.LS'!F:F)</f>
        <v>Cổ phiếu phổ thông có quyền biểu quyết</v>
      </c>
      <c r="H114" s="848">
        <f>Group!E72-Group!C72</f>
        <v>2400000000</v>
      </c>
      <c r="I114" s="857"/>
      <c r="J114" s="850"/>
      <c r="K114" s="850"/>
      <c r="L114" s="848">
        <f t="shared" ref="L114:L115" si="22">ROUND(SUM(H114:K114),0)</f>
        <v>2400000000</v>
      </c>
      <c r="M114" s="850" t="s">
        <v>1198</v>
      </c>
      <c r="N114" s="850" t="s">
        <v>1199</v>
      </c>
      <c r="O114" s="850" t="s">
        <v>1224</v>
      </c>
      <c r="P114" s="850"/>
      <c r="Q114" s="850"/>
      <c r="R114" s="850"/>
      <c r="S114" s="850"/>
      <c r="T114" s="1101" t="s">
        <v>1200</v>
      </c>
      <c r="U114" s="770"/>
    </row>
    <row r="115" spans="1:21" s="850" customFormat="1" ht="15" hidden="1" outlineLevel="2">
      <c r="B115" s="850" t="s">
        <v>1195</v>
      </c>
      <c r="E115" s="850" t="s">
        <v>1186</v>
      </c>
      <c r="F115" s="850" t="s">
        <v>1203</v>
      </c>
      <c r="G115" s="850" t="str">
        <f>_xlfn.XLOOKUP(F115,'A0.LS'!E:E,'A0.LS'!F:F)</f>
        <v>Lợi ích cổ đông không kiểm soát-BS</v>
      </c>
      <c r="I115" s="857">
        <f>-H114</f>
        <v>-2400000000</v>
      </c>
      <c r="L115" s="175">
        <f t="shared" si="22"/>
        <v>-2400000000</v>
      </c>
      <c r="M115" s="850" t="s">
        <v>1198</v>
      </c>
      <c r="N115" s="850" t="s">
        <v>1199</v>
      </c>
      <c r="O115" s="850" t="s">
        <v>1224</v>
      </c>
      <c r="T115" s="1101" t="s">
        <v>1200</v>
      </c>
      <c r="U115" s="770"/>
    </row>
    <row r="116" spans="1:21" ht="15" hidden="1" outlineLevel="2">
      <c r="A116" s="850"/>
      <c r="B116" s="850" t="s">
        <v>1195</v>
      </c>
      <c r="C116" s="850"/>
      <c r="D116" s="850"/>
      <c r="E116" s="850"/>
      <c r="F116" s="850"/>
      <c r="G116" s="850"/>
      <c r="H116" s="850"/>
      <c r="I116" s="857"/>
      <c r="J116" s="850"/>
      <c r="K116" s="850"/>
      <c r="L116" s="848"/>
      <c r="M116" s="850"/>
      <c r="N116" s="850"/>
      <c r="O116" s="850"/>
      <c r="P116" s="850"/>
      <c r="Q116" s="850"/>
      <c r="R116" s="850"/>
      <c r="S116" s="850"/>
      <c r="T116" s="771"/>
      <c r="U116" s="770"/>
    </row>
    <row r="117" spans="1:21" ht="15" hidden="1" outlineLevel="2">
      <c r="A117" s="850"/>
      <c r="B117" s="850" t="s">
        <v>1195</v>
      </c>
      <c r="C117" s="19">
        <v>4</v>
      </c>
      <c r="D117" s="1" t="s">
        <v>1240</v>
      </c>
      <c r="E117" s="850"/>
      <c r="F117" s="850"/>
      <c r="G117" s="850"/>
      <c r="H117" s="850"/>
      <c r="I117" s="857"/>
      <c r="J117" s="850"/>
      <c r="K117" s="850"/>
      <c r="L117" s="848"/>
      <c r="M117" s="850"/>
      <c r="N117" s="850"/>
      <c r="O117" s="850"/>
      <c r="P117" s="850"/>
      <c r="Q117" s="850"/>
      <c r="R117" s="850"/>
      <c r="S117" s="850"/>
      <c r="T117" s="771"/>
      <c r="U117" s="770"/>
    </row>
    <row r="118" spans="1:21" s="1" customFormat="1" ht="15" hidden="1" outlineLevel="2">
      <c r="A118" s="850"/>
      <c r="B118" s="850" t="s">
        <v>1195</v>
      </c>
      <c r="C118" s="850"/>
      <c r="D118" s="850"/>
      <c r="E118" s="850" t="s">
        <v>1185</v>
      </c>
      <c r="F118" s="850" t="s">
        <v>1203</v>
      </c>
      <c r="G118" s="850" t="str">
        <f>_xlfn.XLOOKUP(F118,'A0.LS'!E:E,'A0.LS'!F:F)</f>
        <v>Lợi ích cổ đông không kiểm soát-BS</v>
      </c>
      <c r="H118" s="1007">
        <f>-Group!D77</f>
        <v>27974984.155395985</v>
      </c>
      <c r="I118" s="848"/>
      <c r="J118" s="850"/>
      <c r="K118" s="850"/>
      <c r="L118" s="175">
        <f t="shared" ref="L118:L119" si="23">ROUND(SUM(H118:K118),0)</f>
        <v>27974984</v>
      </c>
      <c r="M118" s="850" t="s">
        <v>1198</v>
      </c>
      <c r="N118" s="850" t="s">
        <v>1199</v>
      </c>
      <c r="O118" s="850" t="s">
        <v>1224</v>
      </c>
      <c r="T118" s="838" t="s">
        <v>1241</v>
      </c>
      <c r="U118" s="839"/>
    </row>
    <row r="119" spans="1:21" ht="15" hidden="1" outlineLevel="2">
      <c r="A119" s="850"/>
      <c r="B119" s="850" t="s">
        <v>1195</v>
      </c>
      <c r="C119" s="850"/>
      <c r="D119" s="850"/>
      <c r="E119" s="850" t="s">
        <v>1186</v>
      </c>
      <c r="F119" s="859" t="s">
        <v>217</v>
      </c>
      <c r="G119" s="850" t="str">
        <f>_xlfn.XLOOKUP(F119,'A0.LS'!E:E,'A0.LS'!F:F)</f>
        <v>Lợi nhuận sau thuế chưa phân phối năm nay</v>
      </c>
      <c r="H119" s="848"/>
      <c r="I119" s="848">
        <f>-H118</f>
        <v>-27974984.155395985</v>
      </c>
      <c r="J119" s="850"/>
      <c r="K119" s="850"/>
      <c r="L119" s="848">
        <f t="shared" si="23"/>
        <v>-27974984</v>
      </c>
      <c r="M119" s="850" t="s">
        <v>1198</v>
      </c>
      <c r="N119" s="850" t="s">
        <v>1199</v>
      </c>
      <c r="O119" s="850" t="s">
        <v>1224</v>
      </c>
      <c r="P119" s="850"/>
      <c r="Q119" s="850"/>
      <c r="R119" s="850"/>
      <c r="S119" s="850"/>
      <c r="T119" s="1101" t="s">
        <v>1241</v>
      </c>
      <c r="U119" s="770"/>
    </row>
    <row r="120" spans="1:21" ht="15" hidden="1" outlineLevel="2">
      <c r="A120" s="850"/>
      <c r="B120" s="850" t="s">
        <v>1195</v>
      </c>
      <c r="C120" s="850"/>
      <c r="D120" s="850"/>
      <c r="E120" s="850"/>
      <c r="F120" s="850"/>
      <c r="G120" s="850"/>
      <c r="H120" s="850"/>
      <c r="I120" s="857"/>
      <c r="J120" s="850"/>
      <c r="K120" s="850"/>
      <c r="L120" s="848"/>
      <c r="M120" s="850"/>
      <c r="N120" s="850"/>
      <c r="O120" s="850"/>
      <c r="P120" s="850"/>
      <c r="Q120" s="850"/>
      <c r="R120" s="850"/>
      <c r="S120" s="850"/>
      <c r="T120" s="771"/>
      <c r="U120" s="770"/>
    </row>
    <row r="121" spans="1:21" ht="15" hidden="1" outlineLevel="2">
      <c r="A121" s="850"/>
      <c r="B121" s="850" t="s">
        <v>1195</v>
      </c>
      <c r="C121" s="19">
        <v>5</v>
      </c>
      <c r="D121" s="1" t="s">
        <v>1242</v>
      </c>
      <c r="E121" s="850"/>
      <c r="F121" s="850"/>
      <c r="G121" s="850"/>
      <c r="H121" s="850"/>
      <c r="I121" s="857"/>
      <c r="J121" s="850"/>
      <c r="K121" s="850"/>
      <c r="L121" s="848"/>
      <c r="M121" s="850"/>
      <c r="N121" s="850"/>
      <c r="O121" s="850"/>
      <c r="P121" s="850"/>
      <c r="Q121" s="850"/>
      <c r="R121" s="850"/>
      <c r="S121" s="850"/>
      <c r="T121" s="771"/>
      <c r="U121" s="770"/>
    </row>
    <row r="122" spans="1:21" s="1" customFormat="1" ht="15" hidden="1" outlineLevel="2">
      <c r="A122" s="850"/>
      <c r="B122" s="850" t="s">
        <v>1195</v>
      </c>
      <c r="C122" s="850"/>
      <c r="D122" s="850"/>
      <c r="E122" s="850" t="s">
        <v>1185</v>
      </c>
      <c r="F122" s="850" t="s">
        <v>1203</v>
      </c>
      <c r="G122" s="850" t="str">
        <f>_xlfn.XLOOKUP(F122,'A0.LS'!E:E,'A0.LS'!F:F)</f>
        <v>Lợi ích cổ đông không kiểm soát-BS</v>
      </c>
      <c r="H122" s="1007">
        <f>Group!C84</f>
        <v>2372103711.505445</v>
      </c>
      <c r="I122" s="848"/>
      <c r="J122" s="850"/>
      <c r="K122" s="850"/>
      <c r="L122" s="175">
        <f t="shared" ref="L122" si="24">ROUND(SUM(H122:K122),0)</f>
        <v>2372103712</v>
      </c>
      <c r="M122" s="850" t="s">
        <v>1198</v>
      </c>
      <c r="N122" s="850" t="s">
        <v>1199</v>
      </c>
      <c r="O122" s="850" t="s">
        <v>1224</v>
      </c>
      <c r="T122" s="838" t="s">
        <v>1241</v>
      </c>
      <c r="U122" s="839"/>
    </row>
    <row r="123" spans="1:21" ht="15" hidden="1" outlineLevel="2">
      <c r="A123" s="850"/>
      <c r="B123" s="850" t="s">
        <v>1195</v>
      </c>
      <c r="C123" s="850"/>
      <c r="D123" s="850"/>
      <c r="E123" s="850" t="s">
        <v>1185</v>
      </c>
      <c r="F123" s="859" t="s">
        <v>217</v>
      </c>
      <c r="G123" s="850" t="str">
        <f>_xlfn.XLOOKUP(F123,'A0.LS'!E:E,'A0.LS'!F:F)</f>
        <v>Lợi nhuận sau thuế chưa phân phối năm nay</v>
      </c>
      <c r="H123" s="848">
        <f>-Group!C85</f>
        <v>627896288.494555</v>
      </c>
      <c r="I123" s="848"/>
      <c r="J123" s="850"/>
      <c r="K123" s="850"/>
      <c r="L123" s="175">
        <f t="shared" ref="L123:L124" si="25">ROUND(SUM(H123:K123),0)</f>
        <v>627896288</v>
      </c>
      <c r="M123" s="850" t="s">
        <v>1198</v>
      </c>
      <c r="N123" s="850" t="s">
        <v>1199</v>
      </c>
      <c r="O123" s="850" t="s">
        <v>1224</v>
      </c>
      <c r="P123" s="850"/>
      <c r="Q123" s="850"/>
      <c r="R123" s="850"/>
      <c r="S123" s="850"/>
      <c r="T123" s="1101" t="s">
        <v>1241</v>
      </c>
      <c r="U123" s="770"/>
    </row>
    <row r="124" spans="1:21" ht="15" hidden="1" outlineLevel="2">
      <c r="A124" s="850"/>
      <c r="B124" s="850" t="s">
        <v>1195</v>
      </c>
      <c r="C124" s="850"/>
      <c r="D124" s="850"/>
      <c r="E124" s="850" t="s">
        <v>1186</v>
      </c>
      <c r="F124" s="850" t="s">
        <v>95</v>
      </c>
      <c r="G124" s="850" t="str">
        <f>_xlfn.XLOOKUP(F124,'A0.LS'!E:E,'A0.LS'!F:F)</f>
        <v>Đầu tư vào công ty con</v>
      </c>
      <c r="H124" s="850"/>
      <c r="I124" s="857">
        <f>-(H122+H123)</f>
        <v>-3000000000</v>
      </c>
      <c r="J124" s="850"/>
      <c r="K124" s="850"/>
      <c r="L124" s="848">
        <f t="shared" si="25"/>
        <v>-3000000000</v>
      </c>
      <c r="M124" s="850" t="s">
        <v>1198</v>
      </c>
      <c r="N124" s="850" t="s">
        <v>1199</v>
      </c>
      <c r="O124" s="850" t="s">
        <v>1224</v>
      </c>
      <c r="P124" s="850"/>
      <c r="Q124" s="850"/>
      <c r="R124" s="850"/>
      <c r="S124" s="850"/>
      <c r="T124" s="1101" t="s">
        <v>1241</v>
      </c>
      <c r="U124" s="770"/>
    </row>
    <row r="125" spans="1:21" ht="15" hidden="1" outlineLevel="2">
      <c r="A125" s="850"/>
      <c r="B125" s="850" t="s">
        <v>1195</v>
      </c>
      <c r="C125" s="850"/>
      <c r="D125" s="850"/>
      <c r="E125" s="850"/>
      <c r="F125" s="850"/>
      <c r="G125" s="850"/>
      <c r="H125" s="850"/>
      <c r="I125" s="857"/>
      <c r="J125" s="850"/>
      <c r="K125" s="850"/>
      <c r="L125" s="848"/>
      <c r="M125" s="850"/>
      <c r="N125" s="850"/>
      <c r="O125" s="850"/>
      <c r="P125" s="850"/>
      <c r="Q125" s="850"/>
      <c r="R125" s="850"/>
      <c r="S125" s="850"/>
      <c r="T125" s="1101"/>
      <c r="U125" s="770"/>
    </row>
    <row r="126" spans="1:21" ht="15" hidden="1" outlineLevel="2">
      <c r="A126" s="850"/>
      <c r="B126" s="850" t="s">
        <v>1195</v>
      </c>
      <c r="C126" s="19">
        <v>6</v>
      </c>
      <c r="D126" s="1" t="s">
        <v>1243</v>
      </c>
      <c r="E126" s="850"/>
      <c r="F126" s="850"/>
      <c r="G126" s="850"/>
      <c r="H126" s="850"/>
      <c r="I126" s="857"/>
      <c r="J126" s="850"/>
      <c r="K126" s="850"/>
      <c r="L126" s="848"/>
      <c r="M126" s="850"/>
      <c r="N126" s="850"/>
      <c r="O126" s="850"/>
      <c r="P126" s="850"/>
      <c r="Q126" s="850"/>
      <c r="R126" s="850"/>
      <c r="S126" s="850"/>
      <c r="T126" s="771"/>
      <c r="U126" s="770"/>
    </row>
    <row r="127" spans="1:21" ht="15" hidden="1" outlineLevel="2">
      <c r="A127" s="850"/>
      <c r="B127" s="850" t="s">
        <v>1195</v>
      </c>
      <c r="C127" s="850"/>
      <c r="D127" s="850"/>
      <c r="E127" s="850" t="s">
        <v>1185</v>
      </c>
      <c r="F127" s="859" t="s">
        <v>521</v>
      </c>
      <c r="G127" s="850" t="str">
        <f>_xlfn.XLOOKUP(F127,'A0.LS'!E:E,'A0.LS'!F:F)</f>
        <v>Các khoản tương đương tiền</v>
      </c>
      <c r="H127" s="848">
        <f>'A0.LS'!AR31</f>
        <v>2754582408</v>
      </c>
      <c r="I127" s="857"/>
      <c r="J127" s="850"/>
      <c r="K127" s="850"/>
      <c r="L127" s="848">
        <f t="shared" ref="L127:L128" si="26">ROUND(SUM(H127:K127),0)</f>
        <v>2754582408</v>
      </c>
      <c r="M127" s="850" t="s">
        <v>1198</v>
      </c>
      <c r="N127" s="850" t="s">
        <v>1199</v>
      </c>
      <c r="O127" s="850" t="s">
        <v>1224</v>
      </c>
      <c r="P127" s="850"/>
      <c r="Q127" s="850"/>
      <c r="R127" s="850"/>
      <c r="S127" s="850"/>
      <c r="T127" s="1101" t="s">
        <v>1200</v>
      </c>
      <c r="U127" s="770"/>
    </row>
    <row r="128" spans="1:21" s="850" customFormat="1" ht="15" hidden="1" outlineLevel="2">
      <c r="B128" s="850" t="s">
        <v>1195</v>
      </c>
      <c r="E128" s="850" t="s">
        <v>1186</v>
      </c>
      <c r="F128" s="859" t="s">
        <v>37</v>
      </c>
      <c r="G128" s="850" t="str">
        <f>_xlfn.XLOOKUP(F128,'A0.LS'!E:E,'A0.LS'!F:F)</f>
        <v>Tiền gửi có kỳ hạn &lt; 3 tháng (Finhay)</v>
      </c>
      <c r="I128" s="857">
        <f>-H127</f>
        <v>-2754582408</v>
      </c>
      <c r="L128" s="848">
        <f t="shared" si="26"/>
        <v>-2754582408</v>
      </c>
      <c r="M128" s="850" t="s">
        <v>1198</v>
      </c>
      <c r="N128" s="850" t="s">
        <v>1199</v>
      </c>
      <c r="O128" s="850" t="s">
        <v>1224</v>
      </c>
      <c r="T128" s="1101" t="s">
        <v>1200</v>
      </c>
      <c r="U128" s="770"/>
    </row>
    <row r="129" spans="1:21" ht="15" hidden="1" outlineLevel="2">
      <c r="A129" s="850"/>
      <c r="B129" s="850" t="s">
        <v>1195</v>
      </c>
      <c r="C129" s="850"/>
      <c r="D129" s="850"/>
      <c r="E129" s="850"/>
      <c r="F129" s="850"/>
      <c r="G129" s="850"/>
      <c r="H129" s="850"/>
      <c r="I129" s="857"/>
      <c r="J129" s="850"/>
      <c r="K129" s="850"/>
      <c r="L129" s="848"/>
      <c r="M129" s="850"/>
      <c r="N129" s="850"/>
      <c r="O129" s="850"/>
      <c r="P129" s="850"/>
      <c r="Q129" s="850"/>
      <c r="R129" s="850"/>
      <c r="S129" s="850"/>
      <c r="T129" s="1101"/>
      <c r="U129" s="770"/>
    </row>
    <row r="130" spans="1:21" ht="15" hidden="1" outlineLevel="2">
      <c r="A130" s="850"/>
      <c r="B130" s="850" t="s">
        <v>1195</v>
      </c>
      <c r="C130" s="19">
        <v>7</v>
      </c>
      <c r="D130" s="1" t="s">
        <v>1244</v>
      </c>
      <c r="E130" s="850"/>
      <c r="F130" s="850"/>
      <c r="G130" s="850"/>
      <c r="H130" s="850"/>
      <c r="I130" s="857"/>
      <c r="J130" s="850"/>
      <c r="K130" s="850"/>
      <c r="L130" s="848"/>
      <c r="M130" s="850"/>
      <c r="N130" s="850"/>
      <c r="O130" s="850"/>
      <c r="P130" s="850"/>
      <c r="Q130" s="850"/>
      <c r="R130" s="850"/>
      <c r="S130" s="850"/>
      <c r="T130" s="1101"/>
      <c r="U130" s="770"/>
    </row>
    <row r="131" spans="1:21" ht="15" hidden="1" outlineLevel="2">
      <c r="A131" s="850"/>
      <c r="B131" s="850" t="s">
        <v>1195</v>
      </c>
      <c r="C131" s="850"/>
      <c r="D131" s="850"/>
      <c r="E131" s="850" t="s">
        <v>1185</v>
      </c>
      <c r="F131" s="859" t="s">
        <v>95</v>
      </c>
      <c r="G131" s="850" t="str">
        <f>_xlfn.XLOOKUP(F131,'A0.LS'!E:E,'A0.LS'!F:F)</f>
        <v>Đầu tư vào công ty con</v>
      </c>
      <c r="H131" s="848">
        <f>'A5.CTC FY24'!I109</f>
        <v>600000000</v>
      </c>
      <c r="I131" s="857"/>
      <c r="J131" s="850"/>
      <c r="K131" s="850"/>
      <c r="L131" s="848">
        <f t="shared" ref="L131:L132" si="27">ROUND(SUM(H131:K131),0)</f>
        <v>600000000</v>
      </c>
      <c r="M131" s="850" t="s">
        <v>1198</v>
      </c>
      <c r="N131" s="850" t="s">
        <v>1199</v>
      </c>
      <c r="O131" s="850" t="s">
        <v>1224</v>
      </c>
      <c r="P131" s="850"/>
      <c r="Q131" s="850"/>
      <c r="R131" s="850"/>
      <c r="S131" s="850"/>
      <c r="T131" s="771"/>
      <c r="U131" s="770"/>
    </row>
    <row r="132" spans="1:21" ht="15" hidden="1" outlineLevel="2">
      <c r="A132" s="850"/>
      <c r="B132" s="850" t="s">
        <v>1195</v>
      </c>
      <c r="C132" s="850"/>
      <c r="D132" s="850"/>
      <c r="E132" s="850" t="s">
        <v>1186</v>
      </c>
      <c r="F132" s="859" t="s">
        <v>1245</v>
      </c>
      <c r="G132" s="850" t="str">
        <f>_xlfn.XLOOKUP(F132,'A0.LS'!E:E,'A0.LS'!F:F)</f>
        <v>Chi phí tài chính khác</v>
      </c>
      <c r="H132" s="850"/>
      <c r="I132" s="857"/>
      <c r="J132" s="857">
        <f>-H131</f>
        <v>-600000000</v>
      </c>
      <c r="K132" s="850"/>
      <c r="L132" s="848">
        <f t="shared" si="27"/>
        <v>-600000000</v>
      </c>
      <c r="M132" s="850" t="s">
        <v>1198</v>
      </c>
      <c r="N132" s="850" t="s">
        <v>1199</v>
      </c>
      <c r="O132" s="850" t="s">
        <v>1224</v>
      </c>
      <c r="P132" s="850"/>
      <c r="Q132" s="850"/>
      <c r="R132" s="850"/>
      <c r="S132" s="850"/>
      <c r="T132" s="771"/>
      <c r="U132" s="770"/>
    </row>
    <row r="133" spans="1:21" ht="15" hidden="1" outlineLevel="2">
      <c r="A133" s="850"/>
      <c r="B133" s="850" t="s">
        <v>1195</v>
      </c>
      <c r="C133" s="850"/>
      <c r="D133" s="850"/>
      <c r="E133" s="850"/>
      <c r="F133" s="850"/>
      <c r="G133" s="850"/>
      <c r="H133" s="850"/>
      <c r="I133" s="850"/>
      <c r="J133" s="850"/>
      <c r="K133" s="850"/>
      <c r="L133" s="850"/>
      <c r="M133" s="850"/>
      <c r="N133" s="850"/>
      <c r="O133" s="850"/>
      <c r="P133" s="850"/>
      <c r="Q133" s="850"/>
      <c r="R133" s="850"/>
      <c r="S133" s="850"/>
      <c r="T133" s="1598"/>
      <c r="U133" s="1598"/>
    </row>
    <row r="134" spans="1:21" s="623" customFormat="1" ht="15" hidden="1">
      <c r="A134" s="850"/>
      <c r="B134" s="171" t="s">
        <v>1246</v>
      </c>
      <c r="C134" s="171"/>
      <c r="D134" s="171"/>
      <c r="E134" s="171"/>
      <c r="F134" s="171"/>
      <c r="G134" s="171"/>
      <c r="H134" s="171" t="s">
        <v>1247</v>
      </c>
      <c r="I134" s="171"/>
      <c r="J134" s="171"/>
      <c r="K134" s="171"/>
      <c r="L134" s="171"/>
      <c r="M134" s="171"/>
      <c r="N134" s="171"/>
      <c r="O134" s="171"/>
      <c r="P134" s="171"/>
      <c r="Q134" s="171"/>
      <c r="R134" s="850"/>
      <c r="S134" s="850"/>
      <c r="T134" s="771"/>
      <c r="U134" s="770"/>
    </row>
    <row r="135" spans="1:21" s="623" customFormat="1" ht="15" hidden="1" outlineLevel="1">
      <c r="A135" s="850"/>
      <c r="B135" s="307" t="s">
        <v>1248</v>
      </c>
      <c r="C135" s="306"/>
      <c r="D135" s="306"/>
      <c r="E135" s="306"/>
      <c r="F135" s="306"/>
      <c r="G135" s="306"/>
      <c r="H135" s="306"/>
      <c r="I135" s="306"/>
      <c r="J135" s="306"/>
      <c r="K135" s="306"/>
      <c r="L135" s="306"/>
      <c r="M135" s="306"/>
      <c r="N135" s="306"/>
      <c r="O135" s="306"/>
      <c r="P135" s="306"/>
      <c r="Q135" s="306"/>
      <c r="R135" s="850"/>
      <c r="S135" s="850"/>
      <c r="T135" s="771"/>
      <c r="U135" s="770"/>
    </row>
    <row r="136" spans="1:21" ht="15" outlineLevel="2">
      <c r="A136" s="850"/>
      <c r="B136" s="850" t="s">
        <v>1169</v>
      </c>
      <c r="C136" s="19">
        <v>1</v>
      </c>
      <c r="D136" s="1" t="s">
        <v>1249</v>
      </c>
      <c r="E136" s="850"/>
      <c r="F136" s="850"/>
      <c r="G136" s="850"/>
      <c r="H136" s="390"/>
      <c r="I136" s="390"/>
      <c r="J136" s="390"/>
      <c r="K136" s="390"/>
      <c r="L136" s="390"/>
      <c r="M136" s="850"/>
      <c r="N136" s="850"/>
      <c r="O136" s="850"/>
      <c r="P136" s="850"/>
      <c r="Q136" s="850"/>
      <c r="R136" s="850"/>
      <c r="S136" s="850"/>
      <c r="T136" s="771"/>
      <c r="U136" s="770"/>
    </row>
    <row r="137" spans="1:21" ht="15" outlineLevel="2">
      <c r="A137" s="850"/>
      <c r="B137" s="850" t="s">
        <v>1169</v>
      </c>
      <c r="C137" s="850"/>
      <c r="D137" s="850"/>
      <c r="E137" s="850" t="s">
        <v>1185</v>
      </c>
      <c r="F137" s="850" t="s">
        <v>183</v>
      </c>
      <c r="G137" s="850" t="str">
        <f>_xlfn.XLOOKUP(F137,'A0.LS'!E:E,'A0.LS'!F:F)</f>
        <v>Phải trả, phải nộp khác - Vàng</v>
      </c>
      <c r="H137" s="848">
        <f>'Adj#1-Interco Bal'!H11</f>
        <v>16160183</v>
      </c>
      <c r="I137" s="848"/>
      <c r="J137" s="850"/>
      <c r="K137" s="850"/>
      <c r="L137" s="391">
        <f>ROUND(SUM(H137:K137),0)</f>
        <v>16160183</v>
      </c>
      <c r="M137" s="850" t="s">
        <v>1198</v>
      </c>
      <c r="N137" s="850" t="s">
        <v>1199</v>
      </c>
      <c r="O137" s="850" t="s">
        <v>1224</v>
      </c>
      <c r="P137" s="850"/>
      <c r="Q137" s="850"/>
      <c r="R137" s="850"/>
      <c r="S137" s="850"/>
      <c r="T137" s="1101" t="s">
        <v>1200</v>
      </c>
      <c r="U137" s="770"/>
    </row>
    <row r="138" spans="1:21" ht="15" outlineLevel="2">
      <c r="A138" s="850"/>
      <c r="B138" s="850" t="s">
        <v>1169</v>
      </c>
      <c r="C138" s="850"/>
      <c r="D138" s="850"/>
      <c r="E138" s="850" t="s">
        <v>1186</v>
      </c>
      <c r="F138" s="859" t="s">
        <v>1250</v>
      </c>
      <c r="G138" s="850" t="str">
        <f>_xlfn.XLOOKUP(F138,'A0.LS'!E:E,'A0.LS'!F:F)</f>
        <v>Phải thu khác - Sản phẩm vàng</v>
      </c>
      <c r="H138" s="848"/>
      <c r="I138" s="848">
        <f>-H137</f>
        <v>-16160183</v>
      </c>
      <c r="J138" s="850"/>
      <c r="K138" s="850"/>
      <c r="L138" s="391">
        <f>ROUND(SUM(H138:K138),0)</f>
        <v>-16160183</v>
      </c>
      <c r="M138" s="850" t="s">
        <v>1198</v>
      </c>
      <c r="N138" s="850" t="s">
        <v>1199</v>
      </c>
      <c r="O138" s="850" t="s">
        <v>1224</v>
      </c>
      <c r="P138" s="850"/>
      <c r="Q138" s="850"/>
      <c r="R138" s="850"/>
      <c r="S138" s="850"/>
      <c r="T138" s="1101" t="s">
        <v>1200</v>
      </c>
      <c r="U138" s="770"/>
    </row>
    <row r="139" spans="1:21" ht="15" outlineLevel="2">
      <c r="A139" s="850"/>
      <c r="B139" s="850" t="s">
        <v>1169</v>
      </c>
      <c r="C139" s="390"/>
      <c r="D139" s="390"/>
      <c r="E139" s="390"/>
      <c r="F139" s="390"/>
      <c r="G139" s="390"/>
      <c r="H139" s="848"/>
      <c r="I139" s="848"/>
      <c r="J139" s="850"/>
      <c r="K139" s="850"/>
      <c r="L139" s="850"/>
      <c r="M139" s="850"/>
      <c r="N139" s="850"/>
      <c r="O139" s="850"/>
      <c r="P139" s="850"/>
      <c r="Q139" s="850"/>
      <c r="R139" s="850"/>
      <c r="S139" s="850"/>
      <c r="T139" s="771"/>
      <c r="U139" s="770"/>
    </row>
    <row r="140" spans="1:21" ht="15" outlineLevel="2">
      <c r="A140" s="850"/>
      <c r="B140" s="850" t="s">
        <v>1169</v>
      </c>
      <c r="C140" s="19">
        <v>2</v>
      </c>
      <c r="D140" s="1" t="s">
        <v>1251</v>
      </c>
      <c r="E140" s="850"/>
      <c r="F140" s="850"/>
      <c r="G140" s="850"/>
      <c r="H140" s="848"/>
      <c r="I140" s="848"/>
      <c r="J140" s="850"/>
      <c r="K140" s="850"/>
      <c r="L140" s="850"/>
      <c r="M140" s="850"/>
      <c r="N140" s="850"/>
      <c r="O140" s="850"/>
      <c r="P140" s="850"/>
      <c r="Q140" s="850"/>
      <c r="R140" s="850"/>
      <c r="S140" s="850"/>
      <c r="T140" s="771"/>
      <c r="U140" s="770"/>
    </row>
    <row r="141" spans="1:21" ht="15" outlineLevel="2">
      <c r="A141" s="850"/>
      <c r="B141" s="850" t="s">
        <v>1169</v>
      </c>
      <c r="C141" s="850"/>
      <c r="D141" s="850"/>
      <c r="E141" s="850" t="s">
        <v>1185</v>
      </c>
      <c r="F141" s="850" t="s">
        <v>249</v>
      </c>
      <c r="G141" s="850" t="str">
        <f>_xlfn.XLOOKUP(F141,'A0.LS'!E:E,'A0.LS'!F:F)</f>
        <v>Doanh thu tài chính: Lãi đã nhận</v>
      </c>
      <c r="H141" s="848"/>
      <c r="I141" s="848"/>
      <c r="J141" s="857">
        <f>-K142</f>
        <v>101149864</v>
      </c>
      <c r="K141" s="850"/>
      <c r="L141" s="1033">
        <f>ROUND(SUM(H141:K141),0)</f>
        <v>101149864</v>
      </c>
      <c r="M141" s="850" t="s">
        <v>1198</v>
      </c>
      <c r="N141" s="850" t="s">
        <v>1199</v>
      </c>
      <c r="O141" s="850" t="s">
        <v>1224</v>
      </c>
      <c r="P141" s="850"/>
      <c r="Q141" s="850"/>
      <c r="R141" s="850"/>
      <c r="S141" s="850"/>
      <c r="T141" s="1101" t="s">
        <v>1200</v>
      </c>
      <c r="U141" s="770"/>
    </row>
    <row r="142" spans="1:21" ht="15" outlineLevel="2">
      <c r="A142" s="850"/>
      <c r="B142" s="850" t="s">
        <v>1169</v>
      </c>
      <c r="C142" s="850"/>
      <c r="D142" s="850"/>
      <c r="E142" s="850" t="s">
        <v>1186</v>
      </c>
      <c r="F142" s="859" t="s">
        <v>325</v>
      </c>
      <c r="G142" s="850" t="str">
        <f>_xlfn.XLOOKUP(F142,'A0.LS'!E:E,'A0.LS'!F:F)</f>
        <v>Lãi vay công ty</v>
      </c>
      <c r="H142" s="848"/>
      <c r="I142" s="848"/>
      <c r="J142" s="850"/>
      <c r="K142" s="848">
        <f>-'A0.LS'!L262</f>
        <v>-101149864</v>
      </c>
      <c r="L142" s="1033">
        <f>ROUND(SUM(H142:K142),0)</f>
        <v>-101149864</v>
      </c>
      <c r="M142" s="850" t="s">
        <v>1198</v>
      </c>
      <c r="N142" s="850" t="s">
        <v>1199</v>
      </c>
      <c r="O142" s="850" t="s">
        <v>1224</v>
      </c>
      <c r="P142" s="850"/>
      <c r="Q142" s="850"/>
      <c r="R142" s="850"/>
      <c r="S142" s="850"/>
      <c r="T142" s="1101" t="s">
        <v>1200</v>
      </c>
      <c r="U142" s="770"/>
    </row>
    <row r="143" spans="1:21" ht="15" outlineLevel="2">
      <c r="A143" s="850"/>
      <c r="B143" s="850" t="s">
        <v>1169</v>
      </c>
      <c r="C143" s="390"/>
      <c r="D143" s="390"/>
      <c r="E143" s="390"/>
      <c r="F143" s="390"/>
      <c r="G143" s="390"/>
      <c r="H143" s="848"/>
      <c r="I143" s="848"/>
      <c r="J143" s="850"/>
      <c r="K143" s="850"/>
      <c r="L143" s="850"/>
      <c r="M143" s="850"/>
      <c r="N143" s="850"/>
      <c r="O143" s="850"/>
      <c r="P143" s="850"/>
      <c r="Q143" s="850"/>
      <c r="R143" s="850"/>
      <c r="S143" s="850"/>
      <c r="T143" s="771"/>
      <c r="U143" s="770"/>
    </row>
    <row r="144" spans="1:21" ht="15" outlineLevel="2">
      <c r="A144" s="850"/>
      <c r="B144" s="850" t="s">
        <v>1169</v>
      </c>
      <c r="C144" s="19">
        <v>3</v>
      </c>
      <c r="D144" s="1" t="s">
        <v>1252</v>
      </c>
      <c r="E144" s="850"/>
      <c r="F144" s="850"/>
      <c r="G144" s="850"/>
      <c r="H144" s="850"/>
      <c r="I144" s="850"/>
      <c r="J144" s="850"/>
      <c r="K144" s="850"/>
      <c r="L144" s="850"/>
      <c r="M144" s="850"/>
      <c r="N144" s="850"/>
      <c r="O144" s="850"/>
      <c r="P144" s="850"/>
      <c r="Q144" s="850"/>
      <c r="R144" s="850"/>
      <c r="S144" s="850"/>
      <c r="T144" s="771"/>
      <c r="U144" s="770"/>
    </row>
    <row r="145" spans="1:22" ht="15" outlineLevel="2">
      <c r="A145" s="850"/>
      <c r="B145" s="850" t="s">
        <v>1169</v>
      </c>
      <c r="C145" s="850"/>
      <c r="D145" s="850"/>
      <c r="E145" s="850" t="s">
        <v>1185</v>
      </c>
      <c r="F145" s="859" t="s">
        <v>201</v>
      </c>
      <c r="G145" s="850" t="str">
        <f>_xlfn.XLOOKUP(F145,'A0.LS'!E:E,'A0.LS'!F:F)</f>
        <v>Các khoản đi vay</v>
      </c>
      <c r="H145" s="848">
        <f>'A0.LS'!Z35</f>
        <v>4500000000</v>
      </c>
      <c r="I145" s="850"/>
      <c r="J145" s="848"/>
      <c r="K145" s="848"/>
      <c r="L145" s="1033">
        <f>ROUND(SUM(H145:K145),0)</f>
        <v>4500000000</v>
      </c>
      <c r="M145" s="850" t="s">
        <v>1198</v>
      </c>
      <c r="N145" s="850" t="s">
        <v>1199</v>
      </c>
      <c r="O145" s="850" t="s">
        <v>1224</v>
      </c>
      <c r="P145" s="850"/>
      <c r="Q145" s="850"/>
      <c r="R145" s="850"/>
      <c r="S145" s="850"/>
      <c r="T145" s="1101" t="s">
        <v>1200</v>
      </c>
      <c r="U145" s="770"/>
      <c r="V145" s="850"/>
    </row>
    <row r="146" spans="1:22" ht="15" outlineLevel="2">
      <c r="A146" s="850"/>
      <c r="B146" s="850" t="s">
        <v>1169</v>
      </c>
      <c r="C146" s="850"/>
      <c r="D146" s="850"/>
      <c r="E146" s="850" t="s">
        <v>1186</v>
      </c>
      <c r="F146" s="859" t="s">
        <v>45</v>
      </c>
      <c r="G146" s="850" t="str">
        <f>_xlfn.XLOOKUP(F146,'A0.LS'!E:E,'A0.LS'!F:F)</f>
        <v>Cho vay</v>
      </c>
      <c r="H146" s="850"/>
      <c r="I146" s="857">
        <f>-H145</f>
        <v>-4500000000</v>
      </c>
      <c r="J146" s="848"/>
      <c r="K146" s="848"/>
      <c r="L146" s="1033">
        <f>ROUND(SUM(H146:K146),0)</f>
        <v>-4500000000</v>
      </c>
      <c r="M146" s="850" t="s">
        <v>1198</v>
      </c>
      <c r="N146" s="850" t="s">
        <v>1199</v>
      </c>
      <c r="O146" s="850" t="s">
        <v>1224</v>
      </c>
      <c r="P146" s="850"/>
      <c r="Q146" s="850"/>
      <c r="R146" s="850"/>
      <c r="S146" s="850"/>
      <c r="T146" s="1101" t="s">
        <v>1200</v>
      </c>
      <c r="U146" s="770"/>
      <c r="V146" s="850"/>
    </row>
    <row r="147" spans="1:22" ht="15" outlineLevel="2">
      <c r="A147" s="850"/>
      <c r="B147" s="850" t="s">
        <v>1169</v>
      </c>
      <c r="C147" s="390"/>
      <c r="D147" s="390"/>
      <c r="E147" s="390"/>
      <c r="F147" s="390"/>
      <c r="G147" s="390"/>
      <c r="H147" s="850"/>
      <c r="I147" s="850"/>
      <c r="J147" s="850"/>
      <c r="K147" s="850"/>
      <c r="L147" s="850"/>
      <c r="M147" s="850"/>
      <c r="N147" s="850"/>
      <c r="O147" s="850"/>
      <c r="P147" s="850"/>
      <c r="Q147" s="850"/>
      <c r="R147" s="850"/>
      <c r="S147" s="850"/>
      <c r="T147" s="771"/>
      <c r="U147" s="770"/>
      <c r="V147" s="850"/>
    </row>
    <row r="148" spans="1:22" ht="15" outlineLevel="2">
      <c r="A148" s="850"/>
      <c r="B148" s="850" t="s">
        <v>1169</v>
      </c>
      <c r="C148" s="19">
        <v>4</v>
      </c>
      <c r="D148" s="1" t="s">
        <v>1253</v>
      </c>
      <c r="E148" s="850"/>
      <c r="F148" s="850"/>
      <c r="G148" s="850"/>
      <c r="H148" s="850"/>
      <c r="I148" s="850"/>
      <c r="J148" s="850"/>
      <c r="K148" s="850"/>
      <c r="L148" s="850"/>
      <c r="M148" s="850"/>
      <c r="N148" s="850"/>
      <c r="O148" s="850"/>
      <c r="P148" s="850"/>
      <c r="Q148" s="850"/>
      <c r="R148" s="850"/>
      <c r="S148" s="850"/>
      <c r="T148" s="771"/>
      <c r="U148" s="770"/>
      <c r="V148" s="850"/>
    </row>
    <row r="149" spans="1:22" ht="15" outlineLevel="2">
      <c r="A149" s="850"/>
      <c r="B149" s="850" t="s">
        <v>1169</v>
      </c>
      <c r="C149" s="850"/>
      <c r="D149" s="850"/>
      <c r="E149" s="850" t="s">
        <v>1185</v>
      </c>
      <c r="F149" s="850" t="s">
        <v>233</v>
      </c>
      <c r="G149" s="850" t="str">
        <f>_xlfn.XLOOKUP(F149,'A0.LS'!E:E,'A0.LS'!F:F)</f>
        <v>Doanh thu từ giao dịch mua, bán vàng</v>
      </c>
      <c r="H149" s="850"/>
      <c r="I149" s="850"/>
      <c r="J149" s="848">
        <f>-'A0.LS'!L197</f>
        <v>12880000</v>
      </c>
      <c r="K149" s="850"/>
      <c r="L149" s="1033">
        <f t="shared" ref="L149:L150" si="28">ROUND(SUM(H149:K149),0)</f>
        <v>12880000</v>
      </c>
      <c r="M149" s="850" t="s">
        <v>1198</v>
      </c>
      <c r="N149" s="850" t="s">
        <v>1199</v>
      </c>
      <c r="O149" s="850" t="s">
        <v>1224</v>
      </c>
      <c r="P149" s="850"/>
      <c r="Q149" s="850"/>
      <c r="R149" s="850"/>
      <c r="S149" s="850"/>
      <c r="T149" s="1101" t="s">
        <v>1200</v>
      </c>
      <c r="U149" s="770"/>
      <c r="V149" s="850"/>
    </row>
    <row r="150" spans="1:22" ht="15" outlineLevel="2">
      <c r="A150" s="850"/>
      <c r="B150" s="850" t="s">
        <v>1169</v>
      </c>
      <c r="C150" s="850"/>
      <c r="D150" s="850"/>
      <c r="E150" s="850" t="s">
        <v>1186</v>
      </c>
      <c r="F150" s="859" t="s">
        <v>303</v>
      </c>
      <c r="G150" s="850" t="str">
        <f>_xlfn.XLOOKUP(F150,'A0.LS'!E:E,'A0.LS'!F:F)</f>
        <v>Giá vốn hàng bán</v>
      </c>
      <c r="H150" s="850"/>
      <c r="I150" s="850"/>
      <c r="J150" s="850"/>
      <c r="K150" s="857">
        <f>-J149</f>
        <v>-12880000</v>
      </c>
      <c r="L150" s="1033">
        <f t="shared" si="28"/>
        <v>-12880000</v>
      </c>
      <c r="M150" s="850" t="s">
        <v>1198</v>
      </c>
      <c r="N150" s="850" t="s">
        <v>1199</v>
      </c>
      <c r="O150" s="850" t="s">
        <v>1224</v>
      </c>
      <c r="P150" s="848"/>
      <c r="Q150" s="857"/>
      <c r="R150" s="850"/>
      <c r="S150" s="850"/>
      <c r="T150" s="1101" t="s">
        <v>1200</v>
      </c>
      <c r="U150" s="770"/>
      <c r="V150" s="850"/>
    </row>
    <row r="151" spans="1:22" ht="15" outlineLevel="2">
      <c r="A151" s="850"/>
      <c r="B151" s="850" t="s">
        <v>1169</v>
      </c>
      <c r="C151" s="850"/>
      <c r="D151" s="850"/>
      <c r="E151" s="850"/>
      <c r="F151" s="859"/>
      <c r="G151" s="850"/>
      <c r="H151" s="850"/>
      <c r="I151" s="850"/>
      <c r="J151" s="850"/>
      <c r="K151" s="857"/>
      <c r="L151" s="1033"/>
      <c r="M151" s="850"/>
      <c r="N151" s="850"/>
      <c r="O151" s="850"/>
      <c r="P151" s="848"/>
      <c r="Q151" s="857"/>
      <c r="R151" s="850"/>
      <c r="S151" s="850"/>
      <c r="T151" s="771"/>
      <c r="U151" s="770"/>
      <c r="V151" s="850"/>
    </row>
    <row r="152" spans="1:22" ht="15" outlineLevel="2">
      <c r="A152" s="850"/>
      <c r="B152" s="850" t="s">
        <v>1169</v>
      </c>
      <c r="C152" s="19">
        <v>5</v>
      </c>
      <c r="D152" s="1" t="s">
        <v>1254</v>
      </c>
      <c r="E152" s="850"/>
      <c r="F152" s="859"/>
      <c r="G152" s="850"/>
      <c r="H152" s="850"/>
      <c r="I152" s="850"/>
      <c r="J152" s="850"/>
      <c r="K152" s="857"/>
      <c r="L152" s="1033"/>
      <c r="M152" s="850"/>
      <c r="N152" s="850"/>
      <c r="O152" s="850"/>
      <c r="P152" s="848"/>
      <c r="Q152" s="857"/>
      <c r="R152" s="850"/>
      <c r="S152" s="850"/>
      <c r="T152" s="771"/>
      <c r="U152" s="770"/>
      <c r="V152" s="850"/>
    </row>
    <row r="153" spans="1:22" ht="15" outlineLevel="2">
      <c r="A153" s="850"/>
      <c r="B153" s="850" t="s">
        <v>1169</v>
      </c>
      <c r="C153" s="19"/>
      <c r="D153" s="1"/>
      <c r="E153" s="850" t="s">
        <v>1185</v>
      </c>
      <c r="F153" s="859" t="s">
        <v>207</v>
      </c>
      <c r="G153" s="850" t="str">
        <f>_xlfn.XLOOKUP(F153,'A0.LS'!E:E,'A0.LS'!F:F)</f>
        <v>Cổ phiếu phổ thông có quyền biểu quyết</v>
      </c>
      <c r="H153" s="848">
        <f>-'A0.LS'!AC170</f>
        <v>440000000000</v>
      </c>
      <c r="I153" s="850"/>
      <c r="J153" s="850"/>
      <c r="K153" s="857"/>
      <c r="L153" s="1033">
        <f t="shared" ref="L153:L154" si="29">ROUND(SUM(H153:K153),0)</f>
        <v>440000000000</v>
      </c>
      <c r="M153" s="850" t="s">
        <v>1198</v>
      </c>
      <c r="N153" s="850" t="s">
        <v>1199</v>
      </c>
      <c r="O153" s="850" t="s">
        <v>1224</v>
      </c>
      <c r="P153" s="848" t="s">
        <v>1237</v>
      </c>
      <c r="Q153" s="857"/>
      <c r="R153" s="850"/>
      <c r="S153" s="850"/>
      <c r="T153" s="1101" t="s">
        <v>1200</v>
      </c>
      <c r="U153" s="770"/>
      <c r="V153" s="850"/>
    </row>
    <row r="154" spans="1:22" ht="15" outlineLevel="2">
      <c r="A154" s="850"/>
      <c r="B154" s="850" t="s">
        <v>1169</v>
      </c>
      <c r="C154" s="19"/>
      <c r="D154" s="1"/>
      <c r="E154" s="850" t="s">
        <v>1186</v>
      </c>
      <c r="F154" s="859" t="s">
        <v>95</v>
      </c>
      <c r="G154" s="850" t="str">
        <f>_xlfn.XLOOKUP(F154,'A0.LS'!E:E,'A0.LS'!F:F)</f>
        <v>Đầu tư vào công ty con</v>
      </c>
      <c r="H154" s="850"/>
      <c r="I154" s="857">
        <f>-H153</f>
        <v>-440000000000</v>
      </c>
      <c r="J154" s="850"/>
      <c r="K154" s="857"/>
      <c r="L154" s="1033">
        <f t="shared" si="29"/>
        <v>-440000000000</v>
      </c>
      <c r="M154" s="850" t="s">
        <v>1198</v>
      </c>
      <c r="N154" s="850" t="s">
        <v>1199</v>
      </c>
      <c r="O154" s="850" t="s">
        <v>1224</v>
      </c>
      <c r="P154" s="848" t="s">
        <v>1237</v>
      </c>
      <c r="Q154" s="857"/>
      <c r="R154" s="850"/>
      <c r="S154" s="850"/>
      <c r="T154" s="1101" t="s">
        <v>1200</v>
      </c>
      <c r="U154" s="770"/>
      <c r="V154" s="850"/>
    </row>
    <row r="155" spans="1:22" ht="15" outlineLevel="2">
      <c r="A155" s="850"/>
      <c r="B155" s="850" t="s">
        <v>1169</v>
      </c>
      <c r="C155" s="850"/>
      <c r="D155" s="850"/>
      <c r="E155" s="850"/>
      <c r="F155" s="859"/>
      <c r="G155" s="850"/>
      <c r="H155" s="850"/>
      <c r="I155" s="850"/>
      <c r="J155" s="850"/>
      <c r="K155" s="857"/>
      <c r="L155" s="1033"/>
      <c r="M155" s="850"/>
      <c r="N155" s="850"/>
      <c r="O155" s="850"/>
      <c r="P155" s="848"/>
      <c r="Q155" s="857"/>
      <c r="R155" s="850"/>
      <c r="S155" s="850"/>
      <c r="T155" s="771"/>
      <c r="U155" s="770"/>
      <c r="V155" s="850"/>
    </row>
    <row r="156" spans="1:22" ht="15" outlineLevel="2">
      <c r="A156" s="850"/>
      <c r="B156" s="850" t="s">
        <v>1169</v>
      </c>
      <c r="C156" s="19">
        <v>6</v>
      </c>
      <c r="D156" s="1" t="s">
        <v>1255</v>
      </c>
      <c r="E156" s="850"/>
      <c r="F156" s="859"/>
      <c r="G156" s="850"/>
      <c r="H156" s="850"/>
      <c r="I156" s="850"/>
      <c r="J156" s="850"/>
      <c r="K156" s="857"/>
      <c r="L156" s="1033"/>
      <c r="M156" s="850"/>
      <c r="N156" s="850"/>
      <c r="O156" s="850"/>
      <c r="P156" s="848"/>
      <c r="Q156" s="857" t="s">
        <v>681</v>
      </c>
      <c r="R156" s="850"/>
      <c r="S156" s="850"/>
      <c r="T156" s="771"/>
      <c r="U156" s="770"/>
      <c r="V156" s="850"/>
    </row>
    <row r="157" spans="1:22" ht="15" outlineLevel="2">
      <c r="A157" s="850"/>
      <c r="B157" s="850" t="s">
        <v>1169</v>
      </c>
      <c r="C157" s="850"/>
      <c r="D157" s="850"/>
      <c r="E157" s="850" t="s">
        <v>1185</v>
      </c>
      <c r="F157" s="859" t="s">
        <v>104</v>
      </c>
      <c r="G157" s="850" t="str">
        <f>_xlfn.XLOOKUP(F157,'A0.LS'!E:E,'A0.LS'!F:F)</f>
        <v>Dự phòng tổn thất đầu tư vào đơn vị khác</v>
      </c>
      <c r="H157" s="848">
        <f>'Dự phòng Finhay JSC'!C17</f>
        <v>73388341303.5168</v>
      </c>
      <c r="I157" s="850"/>
      <c r="J157" s="850"/>
      <c r="K157" s="857"/>
      <c r="L157" s="1033">
        <f t="shared" ref="L157:L158" si="30">ROUND(SUM(H157:K157),0)</f>
        <v>73388341304</v>
      </c>
      <c r="M157" s="850" t="s">
        <v>1198</v>
      </c>
      <c r="N157" s="850" t="s">
        <v>1199</v>
      </c>
      <c r="O157" s="850" t="s">
        <v>1224</v>
      </c>
      <c r="P157" s="848"/>
      <c r="Q157" s="857" t="s">
        <v>681</v>
      </c>
      <c r="R157" s="850"/>
      <c r="S157" s="850"/>
      <c r="T157" s="771"/>
      <c r="U157" s="770"/>
      <c r="V157" s="850"/>
    </row>
    <row r="158" spans="1:22" ht="15" outlineLevel="2">
      <c r="A158" s="850"/>
      <c r="B158" s="850" t="s">
        <v>1169</v>
      </c>
      <c r="C158" s="850"/>
      <c r="D158" s="850"/>
      <c r="E158" s="850" t="s">
        <v>1186</v>
      </c>
      <c r="F158" s="859" t="s">
        <v>321</v>
      </c>
      <c r="G158" s="850" t="str">
        <f>_xlfn.XLOOKUP(F158,'A0.LS'!E:E,'A0.LS'!F:F)</f>
        <v>Lỗ từ dự phòng giảm giá các khoản đầu tư vào công ty con/công ty liên doanh</v>
      </c>
      <c r="H158" s="850"/>
      <c r="I158" s="857">
        <f>-SUM(H157,I159)</f>
        <v>-34958107611.5168</v>
      </c>
      <c r="J158" s="850"/>
      <c r="K158" s="857"/>
      <c r="L158" s="1033">
        <f t="shared" si="30"/>
        <v>-34958107612</v>
      </c>
      <c r="M158" s="850" t="s">
        <v>1198</v>
      </c>
      <c r="N158" s="850" t="s">
        <v>1199</v>
      </c>
      <c r="O158" s="850" t="s">
        <v>1224</v>
      </c>
      <c r="P158" s="848"/>
      <c r="Q158" s="857" t="s">
        <v>681</v>
      </c>
      <c r="R158" s="850"/>
      <c r="S158" s="850"/>
      <c r="T158" s="771"/>
      <c r="U158" s="770"/>
      <c r="V158" s="850"/>
    </row>
    <row r="159" spans="1:22" ht="15" outlineLevel="2">
      <c r="A159" s="850"/>
      <c r="B159" s="850" t="s">
        <v>1169</v>
      </c>
      <c r="C159" s="850"/>
      <c r="D159" s="850"/>
      <c r="E159" s="850" t="s">
        <v>1186</v>
      </c>
      <c r="F159" s="859" t="s">
        <v>215</v>
      </c>
      <c r="G159" s="850" t="str">
        <f>_xlfn.XLOOKUP(F159,'A0.LS'!E:E,'A0.LS'!F:F)</f>
        <v>Lợi nhuận sau thuế chưa phân phối năm trước</v>
      </c>
      <c r="H159" s="850"/>
      <c r="I159" s="848">
        <f>-'TB Cty Me 30Jun24'!H52</f>
        <v>-38430233692</v>
      </c>
      <c r="J159" s="850"/>
      <c r="K159" s="857"/>
      <c r="L159" s="1033">
        <f t="shared" ref="L159" si="31">ROUND(SUM(H159:K159),0)</f>
        <v>-38430233692</v>
      </c>
      <c r="M159" s="850" t="s">
        <v>1198</v>
      </c>
      <c r="N159" s="850" t="s">
        <v>1199</v>
      </c>
      <c r="O159" s="850" t="s">
        <v>1224</v>
      </c>
      <c r="P159" s="848"/>
      <c r="Q159" s="857" t="s">
        <v>681</v>
      </c>
      <c r="R159" s="850"/>
      <c r="S159" s="850"/>
      <c r="T159" s="771"/>
      <c r="U159" s="770"/>
      <c r="V159" s="850"/>
    </row>
    <row r="160" spans="1:22" ht="15" outlineLevel="2">
      <c r="A160" s="850"/>
      <c r="B160" s="850" t="s">
        <v>1169</v>
      </c>
      <c r="C160" s="850"/>
      <c r="D160" s="850"/>
      <c r="E160" s="850"/>
      <c r="F160" s="850"/>
      <c r="G160" s="850"/>
      <c r="H160" s="857"/>
      <c r="I160" s="850"/>
      <c r="J160" s="850"/>
      <c r="K160" s="857"/>
      <c r="L160" s="1033"/>
      <c r="M160" s="850"/>
      <c r="N160" s="850"/>
      <c r="O160" s="850"/>
      <c r="P160" s="848"/>
      <c r="Q160" s="857"/>
      <c r="R160" s="850"/>
      <c r="S160" s="850"/>
      <c r="T160" s="771"/>
      <c r="U160" s="770"/>
      <c r="V160" s="850"/>
    </row>
    <row r="161" spans="1:22" ht="15" outlineLevel="2">
      <c r="A161" s="850"/>
      <c r="B161" s="850" t="s">
        <v>1169</v>
      </c>
      <c r="C161" s="1453">
        <v>7</v>
      </c>
      <c r="D161" s="1454" t="s">
        <v>1256</v>
      </c>
      <c r="E161" s="1455"/>
      <c r="F161" s="1456"/>
      <c r="G161" s="1455"/>
      <c r="H161" s="1455"/>
      <c r="I161" s="1455"/>
      <c r="J161" s="1455"/>
      <c r="K161" s="1457"/>
      <c r="L161" s="1458"/>
      <c r="M161" s="1455"/>
      <c r="N161" s="1455"/>
      <c r="O161" s="1455"/>
      <c r="P161" s="848"/>
      <c r="Q161" s="857"/>
      <c r="R161" s="850"/>
      <c r="S161" s="850"/>
      <c r="T161" s="771"/>
      <c r="U161" s="770"/>
      <c r="V161" s="850"/>
    </row>
    <row r="162" spans="1:22" ht="15" outlineLevel="2">
      <c r="A162" s="850"/>
      <c r="B162" s="850" t="s">
        <v>1169</v>
      </c>
      <c r="C162" s="1455"/>
      <c r="D162" s="1455"/>
      <c r="E162" s="1455" t="s">
        <v>1185</v>
      </c>
      <c r="F162" s="1456" t="s">
        <v>104</v>
      </c>
      <c r="G162" s="1455" t="str">
        <f>_xlfn.XLOOKUP(F162,'A0.LS'!E:E,'A0.LS'!F:F)</f>
        <v>Dự phòng tổn thất đầu tư vào đơn vị khác</v>
      </c>
      <c r="H162" s="1459">
        <f>'Dự phòng Finhay JSC'!J7</f>
        <v>2024152.75</v>
      </c>
      <c r="I162" s="1455"/>
      <c r="J162" s="1527"/>
      <c r="K162" s="1457"/>
      <c r="L162" s="1459"/>
      <c r="M162" s="1455" t="s">
        <v>1198</v>
      </c>
      <c r="N162" s="1455"/>
      <c r="O162" s="1455" t="s">
        <v>1257</v>
      </c>
      <c r="P162" s="848"/>
      <c r="Q162" s="857"/>
      <c r="R162" s="850"/>
      <c r="S162" s="850"/>
      <c r="T162" s="1101" t="s">
        <v>1200</v>
      </c>
      <c r="U162" s="770"/>
      <c r="V162" s="850"/>
    </row>
    <row r="163" spans="1:22" ht="15" outlineLevel="2">
      <c r="A163" s="850"/>
      <c r="B163" s="850" t="s">
        <v>1169</v>
      </c>
      <c r="C163" s="1455"/>
      <c r="D163" s="1455"/>
      <c r="E163" s="1455" t="s">
        <v>1186</v>
      </c>
      <c r="F163" s="1456" t="s">
        <v>321</v>
      </c>
      <c r="G163" s="1455" t="str">
        <f>_xlfn.XLOOKUP(F163,'A0.LS'!E:E,'A0.LS'!F:F)</f>
        <v>Lỗ từ dự phòng giảm giá các khoản đầu tư vào công ty con/công ty liên doanh</v>
      </c>
      <c r="H163" s="1455"/>
      <c r="I163" s="1457"/>
      <c r="J163" s="1455"/>
      <c r="K163" s="1457">
        <f>-H162</f>
        <v>-2024152.75</v>
      </c>
      <c r="L163" s="1458"/>
      <c r="M163" s="1455" t="s">
        <v>1198</v>
      </c>
      <c r="N163" s="1455"/>
      <c r="O163" s="1455" t="s">
        <v>1257</v>
      </c>
      <c r="P163" s="848"/>
      <c r="Q163" s="857"/>
      <c r="R163" s="850"/>
      <c r="S163" s="850"/>
      <c r="T163" s="1101" t="s">
        <v>1200</v>
      </c>
      <c r="U163" s="770"/>
      <c r="V163" s="850"/>
    </row>
    <row r="164" spans="1:22" ht="15" outlineLevel="2">
      <c r="A164" s="850"/>
      <c r="B164" s="850" t="s">
        <v>1169</v>
      </c>
      <c r="C164" s="850"/>
      <c r="D164" s="850"/>
      <c r="E164" s="850"/>
      <c r="F164" s="859"/>
      <c r="G164" s="850"/>
      <c r="H164" s="850"/>
      <c r="I164" s="850"/>
      <c r="J164" s="850"/>
      <c r="K164" s="857"/>
      <c r="L164" s="1033"/>
      <c r="M164" s="850"/>
      <c r="N164" s="850"/>
      <c r="O164" s="850"/>
      <c r="P164" s="848"/>
      <c r="Q164" s="857"/>
      <c r="R164" s="850"/>
      <c r="S164" s="850"/>
      <c r="T164" s="771"/>
      <c r="U164" s="770"/>
      <c r="V164" s="850"/>
    </row>
    <row r="165" spans="1:22" s="623" customFormat="1" ht="15" hidden="1" outlineLevel="1">
      <c r="A165" s="850"/>
      <c r="B165" s="307" t="s">
        <v>1258</v>
      </c>
      <c r="C165" s="306"/>
      <c r="D165" s="306"/>
      <c r="E165" s="306"/>
      <c r="F165" s="306"/>
      <c r="G165" s="306"/>
      <c r="H165" s="306"/>
      <c r="I165" s="306"/>
      <c r="J165" s="306"/>
      <c r="K165" s="306"/>
      <c r="L165" s="306"/>
      <c r="M165" s="306"/>
      <c r="N165" s="306"/>
      <c r="O165" s="306"/>
      <c r="P165" s="306"/>
      <c r="Q165" s="306"/>
      <c r="R165" s="850"/>
      <c r="S165" s="850"/>
      <c r="T165" s="771"/>
      <c r="U165" s="770"/>
      <c r="V165" s="850"/>
    </row>
    <row r="166" spans="1:22" ht="15" outlineLevel="2">
      <c r="A166" s="850"/>
      <c r="B166" s="850" t="s">
        <v>1169</v>
      </c>
      <c r="C166" s="19">
        <v>1</v>
      </c>
      <c r="D166" s="1" t="s">
        <v>1259</v>
      </c>
      <c r="E166" s="850"/>
      <c r="F166" s="850"/>
      <c r="G166" s="850"/>
      <c r="H166" s="850"/>
      <c r="I166" s="850"/>
      <c r="J166" s="850"/>
      <c r="K166" s="850"/>
      <c r="L166" s="850"/>
      <c r="M166" s="850"/>
      <c r="N166" s="850"/>
      <c r="O166" s="850"/>
      <c r="P166" s="850"/>
      <c r="Q166" s="850"/>
      <c r="R166" s="850"/>
      <c r="S166" s="850"/>
      <c r="T166" s="771"/>
      <c r="U166" s="770"/>
      <c r="V166" s="850"/>
    </row>
    <row r="167" spans="1:22" ht="15" outlineLevel="2">
      <c r="A167" s="850"/>
      <c r="B167" s="850" t="s">
        <v>1169</v>
      </c>
      <c r="C167" s="899"/>
      <c r="D167" s="850"/>
      <c r="E167" s="850" t="s">
        <v>1185</v>
      </c>
      <c r="F167" s="850" t="s">
        <v>243</v>
      </c>
      <c r="G167" s="850" t="str">
        <f>_xlfn.XLOOKUP(F167,'A0.LS'!E:E,'A0.LS'!F:F)</f>
        <v>Doanh thu cung cấp và sử dụng dịch vụ phần mềm</v>
      </c>
      <c r="H167" s="850"/>
      <c r="I167" s="850"/>
      <c r="J167" s="848">
        <f>-'A0.LS'!L204</f>
        <v>3792000000</v>
      </c>
      <c r="K167" s="850"/>
      <c r="L167" s="1033">
        <f t="shared" ref="L167:L168" si="32">ROUND(SUM(H167:K167),0)</f>
        <v>3792000000</v>
      </c>
      <c r="M167" s="850" t="s">
        <v>1198</v>
      </c>
      <c r="N167" s="850" t="s">
        <v>1199</v>
      </c>
      <c r="O167" s="850" t="s">
        <v>1224</v>
      </c>
      <c r="P167" s="850"/>
      <c r="Q167" s="850"/>
      <c r="R167" s="850"/>
      <c r="S167" s="850"/>
      <c r="T167" s="1101" t="s">
        <v>1200</v>
      </c>
      <c r="U167" s="770"/>
      <c r="V167" s="850"/>
    </row>
    <row r="168" spans="1:22" ht="15" outlineLevel="2">
      <c r="A168" s="850"/>
      <c r="B168" s="850" t="s">
        <v>1169</v>
      </c>
      <c r="C168" s="899"/>
      <c r="D168" s="850"/>
      <c r="E168" s="850" t="s">
        <v>1186</v>
      </c>
      <c r="F168" s="850" t="s">
        <v>789</v>
      </c>
      <c r="G168" s="850" t="str">
        <f>_xlfn.XLOOKUP(F168,'A0.LS'!E:E,'A0.LS'!F:F)</f>
        <v>Chi phí môi giới chứng khoán</v>
      </c>
      <c r="H168" s="850"/>
      <c r="I168" s="850"/>
      <c r="J168" s="850"/>
      <c r="K168" s="857">
        <f>-J167</f>
        <v>-3792000000</v>
      </c>
      <c r="L168" s="1033">
        <f t="shared" si="32"/>
        <v>-3792000000</v>
      </c>
      <c r="M168" s="850" t="s">
        <v>1198</v>
      </c>
      <c r="N168" s="850" t="s">
        <v>1199</v>
      </c>
      <c r="O168" s="850" t="s">
        <v>1224</v>
      </c>
      <c r="P168" s="850"/>
      <c r="Q168" s="850"/>
      <c r="R168" s="850"/>
      <c r="S168" s="850"/>
      <c r="T168" s="1101" t="s">
        <v>1200</v>
      </c>
      <c r="U168" s="770"/>
      <c r="V168" s="850"/>
    </row>
    <row r="169" spans="1:22" ht="15" outlineLevel="2">
      <c r="A169" s="850"/>
      <c r="B169" s="850" t="s">
        <v>1169</v>
      </c>
      <c r="C169" s="899"/>
      <c r="D169" s="850"/>
      <c r="E169" s="850"/>
      <c r="F169" s="850"/>
      <c r="G169" s="850"/>
      <c r="H169" s="850"/>
      <c r="I169" s="850"/>
      <c r="J169" s="850"/>
      <c r="K169" s="850"/>
      <c r="L169" s="850"/>
      <c r="M169" s="850"/>
      <c r="N169" s="850"/>
      <c r="O169" s="850"/>
      <c r="P169" s="850"/>
      <c r="Q169" s="850"/>
      <c r="R169" s="850"/>
      <c r="S169" s="850"/>
      <c r="T169" s="771"/>
      <c r="U169" s="770"/>
      <c r="V169" s="850"/>
    </row>
    <row r="170" spans="1:22" ht="15" outlineLevel="2">
      <c r="A170" s="850"/>
      <c r="B170" s="850" t="s">
        <v>1169</v>
      </c>
      <c r="C170" s="19">
        <v>2</v>
      </c>
      <c r="D170" s="1" t="s">
        <v>1260</v>
      </c>
      <c r="E170" s="850"/>
      <c r="F170" s="850"/>
      <c r="G170" s="850"/>
      <c r="H170" s="850"/>
      <c r="I170" s="850"/>
      <c r="J170" s="850"/>
      <c r="K170" s="850"/>
      <c r="L170" s="850"/>
      <c r="M170" s="850"/>
      <c r="N170" s="850"/>
      <c r="O170" s="850"/>
      <c r="P170" s="850"/>
      <c r="Q170" s="850"/>
      <c r="R170" s="850"/>
      <c r="S170" s="850"/>
      <c r="T170" s="771"/>
      <c r="U170" s="770"/>
      <c r="V170" s="850"/>
    </row>
    <row r="171" spans="1:22" ht="15" outlineLevel="2">
      <c r="A171" s="850"/>
      <c r="B171" s="850" t="s">
        <v>1169</v>
      </c>
      <c r="C171" s="899"/>
      <c r="D171" s="850"/>
      <c r="E171" s="850" t="s">
        <v>1185</v>
      </c>
      <c r="F171" s="850" t="s">
        <v>1261</v>
      </c>
      <c r="G171" s="850" t="str">
        <f>_xlfn.XLOOKUP(F171,'A0.LS'!E:E,'A0.LS'!F:F)</f>
        <v>Doanh thu chưa thực hiện dài hạn</v>
      </c>
      <c r="H171" s="848">
        <f>-'A0.LS'!L163</f>
        <v>30336000000</v>
      </c>
      <c r="I171" s="850"/>
      <c r="J171" s="850"/>
      <c r="K171" s="850"/>
      <c r="L171" s="1033">
        <f t="shared" ref="L171:L172" si="33">ROUND(SUM(H171:K171),0)</f>
        <v>30336000000</v>
      </c>
      <c r="M171" s="850" t="s">
        <v>1198</v>
      </c>
      <c r="N171" s="850" t="s">
        <v>1199</v>
      </c>
      <c r="O171" s="850" t="s">
        <v>1224</v>
      </c>
      <c r="P171" s="850"/>
      <c r="Q171" s="850"/>
      <c r="R171" s="850"/>
      <c r="S171" s="850"/>
      <c r="T171" s="1101" t="s">
        <v>1200</v>
      </c>
      <c r="U171" s="770"/>
      <c r="V171" s="850"/>
    </row>
    <row r="172" spans="1:22" ht="15" outlineLevel="2">
      <c r="A172" s="850"/>
      <c r="B172" s="850" t="s">
        <v>1169</v>
      </c>
      <c r="C172" s="899"/>
      <c r="D172" s="850"/>
      <c r="E172" s="850" t="s">
        <v>1186</v>
      </c>
      <c r="F172" s="850" t="s">
        <v>1262</v>
      </c>
      <c r="G172" s="850" t="str">
        <f>_xlfn.XLOOKUP(F172,'A0.LS'!E:E,'A0.LS'!F:F)</f>
        <v>Chi phí trả trước dài hạn chờ phân bổ</v>
      </c>
      <c r="H172" s="850"/>
      <c r="I172" s="857">
        <f>-H171</f>
        <v>-30336000000</v>
      </c>
      <c r="J172" s="850"/>
      <c r="K172" s="850"/>
      <c r="L172" s="1033">
        <f t="shared" si="33"/>
        <v>-30336000000</v>
      </c>
      <c r="M172" s="850" t="s">
        <v>1198</v>
      </c>
      <c r="N172" s="850" t="s">
        <v>1199</v>
      </c>
      <c r="O172" s="850" t="s">
        <v>1224</v>
      </c>
      <c r="P172" s="850"/>
      <c r="Q172" s="850"/>
      <c r="R172" s="850"/>
      <c r="S172" s="850"/>
      <c r="T172" s="1101" t="s">
        <v>1200</v>
      </c>
      <c r="U172" s="770"/>
      <c r="V172" s="850"/>
    </row>
    <row r="173" spans="1:22" ht="15" outlineLevel="2">
      <c r="A173" s="850"/>
      <c r="B173" s="850" t="s">
        <v>1169</v>
      </c>
      <c r="C173" s="899"/>
      <c r="D173" s="850"/>
      <c r="E173" s="850"/>
      <c r="F173" s="850"/>
      <c r="G173" s="850"/>
      <c r="H173" s="850"/>
      <c r="I173" s="850"/>
      <c r="J173" s="850"/>
      <c r="K173" s="850"/>
      <c r="L173" s="850"/>
      <c r="M173" s="850"/>
      <c r="N173" s="850"/>
      <c r="O173" s="850"/>
      <c r="P173" s="850"/>
      <c r="Q173" s="850"/>
      <c r="R173" s="850"/>
      <c r="S173" s="850"/>
      <c r="T173" s="771"/>
      <c r="U173" s="770"/>
      <c r="V173" s="850"/>
    </row>
    <row r="174" spans="1:22" ht="15" outlineLevel="2">
      <c r="A174" s="850"/>
      <c r="B174" s="850" t="s">
        <v>1169</v>
      </c>
      <c r="C174" s="19">
        <v>3</v>
      </c>
      <c r="D174" s="1" t="s">
        <v>1263</v>
      </c>
      <c r="E174" s="850"/>
      <c r="F174" s="850"/>
      <c r="G174" s="850"/>
      <c r="H174" s="850"/>
      <c r="I174" s="850"/>
      <c r="J174" s="850"/>
      <c r="K174" s="850"/>
      <c r="L174" s="850"/>
      <c r="M174" s="850"/>
      <c r="N174" s="850"/>
      <c r="O174" s="850"/>
      <c r="P174" s="850"/>
      <c r="Q174" s="850"/>
      <c r="R174" s="850"/>
      <c r="S174" s="850"/>
      <c r="T174" s="771"/>
      <c r="U174" s="770"/>
      <c r="V174" s="850"/>
    </row>
    <row r="175" spans="1:22" ht="15" outlineLevel="2">
      <c r="A175" s="850"/>
      <c r="B175" s="850" t="s">
        <v>1169</v>
      </c>
      <c r="C175" s="899"/>
      <c r="D175" s="850"/>
      <c r="E175" s="850" t="s">
        <v>1185</v>
      </c>
      <c r="F175" s="850" t="s">
        <v>125</v>
      </c>
      <c r="G175" s="850" t="str">
        <f>_xlfn.XLOOKUP(F175,'A0.LS'!E:E,'A0.LS'!F:F)</f>
        <v>Phải trả cho người bán</v>
      </c>
      <c r="H175" s="1007">
        <v>1435892</v>
      </c>
      <c r="I175" s="850"/>
      <c r="J175" s="850"/>
      <c r="K175" s="850"/>
      <c r="L175" s="1033">
        <f t="shared" ref="L175:L176" si="34">ROUND(SUM(H175:K175),0)</f>
        <v>1435892</v>
      </c>
      <c r="M175" s="850" t="s">
        <v>1198</v>
      </c>
      <c r="N175" s="850" t="s">
        <v>1199</v>
      </c>
      <c r="O175" s="850" t="s">
        <v>1224</v>
      </c>
      <c r="P175" s="850"/>
      <c r="Q175" s="850"/>
      <c r="R175" s="850"/>
      <c r="S175" s="850"/>
      <c r="T175" s="1102" t="s">
        <v>1264</v>
      </c>
      <c r="U175" s="775">
        <v>3462521</v>
      </c>
      <c r="V175" s="850" t="s">
        <v>1265</v>
      </c>
    </row>
    <row r="176" spans="1:22" ht="15" outlineLevel="2">
      <c r="A176" s="850"/>
      <c r="B176" s="850" t="s">
        <v>1169</v>
      </c>
      <c r="C176" s="899"/>
      <c r="D176" s="850"/>
      <c r="E176" s="850" t="s">
        <v>1186</v>
      </c>
      <c r="F176" s="850" t="s">
        <v>1266</v>
      </c>
      <c r="G176" s="850" t="str">
        <f>_xlfn.XLOOKUP(F176,'A0.LS'!E:E,'A0.LS'!F:F)</f>
        <v>Phải thu hoạt động nghiệp vụ chứng khoán</v>
      </c>
      <c r="H176" s="850"/>
      <c r="I176" s="857">
        <f>-H175</f>
        <v>-1435892</v>
      </c>
      <c r="J176" s="850"/>
      <c r="K176" s="850"/>
      <c r="L176" s="1033">
        <f t="shared" si="34"/>
        <v>-1435892</v>
      </c>
      <c r="M176" s="850" t="s">
        <v>1198</v>
      </c>
      <c r="N176" s="850" t="s">
        <v>1199</v>
      </c>
      <c r="O176" s="850" t="s">
        <v>1224</v>
      </c>
      <c r="P176" s="850"/>
      <c r="Q176" s="850"/>
      <c r="R176" s="850"/>
      <c r="S176" s="850"/>
      <c r="T176" s="771"/>
      <c r="U176" s="770"/>
      <c r="V176" s="850"/>
    </row>
    <row r="177" spans="2:25" ht="15" outlineLevel="2">
      <c r="B177" s="850" t="s">
        <v>1169</v>
      </c>
      <c r="C177" s="899"/>
      <c r="D177" s="850"/>
      <c r="E177" s="850"/>
      <c r="F177" s="850"/>
      <c r="G177" s="850"/>
      <c r="H177" s="850"/>
      <c r="I177" s="850"/>
      <c r="J177" s="850"/>
      <c r="K177" s="850"/>
      <c r="L177" s="850"/>
      <c r="M177" s="850"/>
      <c r="N177" s="850"/>
      <c r="O177" s="850"/>
      <c r="P177" s="850"/>
      <c r="Q177" s="850"/>
      <c r="R177" s="850"/>
      <c r="S177" s="850"/>
      <c r="T177" s="771"/>
      <c r="U177" s="770"/>
      <c r="V177" s="850"/>
      <c r="W177" s="850"/>
      <c r="X177" s="850"/>
      <c r="Y177" s="850"/>
    </row>
    <row r="178" spans="2:25" ht="15" outlineLevel="2">
      <c r="B178" s="850" t="s">
        <v>1169</v>
      </c>
      <c r="C178" s="19">
        <v>4</v>
      </c>
      <c r="D178" s="1" t="s">
        <v>1267</v>
      </c>
      <c r="E178" s="850"/>
      <c r="F178" s="850"/>
      <c r="G178" s="850"/>
      <c r="H178" s="850"/>
      <c r="I178" s="850"/>
      <c r="J178" s="850"/>
      <c r="K178" s="848"/>
      <c r="L178" s="1033"/>
      <c r="M178" s="850"/>
      <c r="N178" s="850"/>
      <c r="O178" s="850"/>
      <c r="P178" s="850"/>
      <c r="Q178" s="850"/>
      <c r="R178" s="850"/>
      <c r="S178" s="850"/>
      <c r="T178" s="771"/>
      <c r="U178" s="770"/>
      <c r="V178" s="850"/>
      <c r="W178" s="850"/>
      <c r="X178" s="850"/>
      <c r="Y178" s="850"/>
    </row>
    <row r="179" spans="2:25" ht="15" outlineLevel="2">
      <c r="B179" s="850" t="s">
        <v>1169</v>
      </c>
      <c r="C179" s="850"/>
      <c r="D179" s="850"/>
      <c r="E179" s="850" t="s">
        <v>1185</v>
      </c>
      <c r="F179" s="850" t="s">
        <v>942</v>
      </c>
      <c r="G179" s="850" t="s">
        <v>1268</v>
      </c>
      <c r="H179" s="850"/>
      <c r="I179" s="850"/>
      <c r="J179" s="1007">
        <v>541757342</v>
      </c>
      <c r="K179" s="848"/>
      <c r="L179" s="1033">
        <f t="shared" ref="L179" si="35">ROUND(SUM(H179:K179),0)</f>
        <v>541757342</v>
      </c>
      <c r="M179" s="850" t="s">
        <v>1198</v>
      </c>
      <c r="N179" s="850" t="s">
        <v>1199</v>
      </c>
      <c r="O179" s="850" t="s">
        <v>1224</v>
      </c>
      <c r="P179" s="850"/>
      <c r="Q179" s="850"/>
      <c r="R179" s="850"/>
      <c r="S179" s="850"/>
      <c r="T179" s="1101" t="s">
        <v>1200</v>
      </c>
      <c r="U179" s="770"/>
      <c r="V179" s="850"/>
      <c r="W179" s="850"/>
      <c r="X179" s="850"/>
      <c r="Y179" s="850"/>
    </row>
    <row r="180" spans="2:25" ht="15" outlineLevel="2">
      <c r="B180" s="850" t="s">
        <v>1169</v>
      </c>
      <c r="C180" s="850"/>
      <c r="D180" s="850"/>
      <c r="E180" s="850" t="s">
        <v>1186</v>
      </c>
      <c r="F180" s="850" t="s">
        <v>273</v>
      </c>
      <c r="G180" s="850" t="s">
        <v>274</v>
      </c>
      <c r="H180" s="850"/>
      <c r="I180" s="850"/>
      <c r="J180" s="850"/>
      <c r="K180" s="848">
        <f>-J179</f>
        <v>-541757342</v>
      </c>
      <c r="L180" s="1033">
        <f>ROUND(SUM(H180:K180),0)</f>
        <v>-541757342</v>
      </c>
      <c r="M180" s="850" t="s">
        <v>1198</v>
      </c>
      <c r="N180" s="850" t="s">
        <v>1199</v>
      </c>
      <c r="O180" s="850" t="s">
        <v>1224</v>
      </c>
      <c r="P180" s="850"/>
      <c r="Q180" s="850"/>
      <c r="R180" s="850"/>
      <c r="S180" s="850"/>
      <c r="T180" s="1101" t="s">
        <v>1200</v>
      </c>
      <c r="U180" s="770"/>
      <c r="V180" s="850"/>
      <c r="W180" s="850"/>
      <c r="X180" s="850"/>
      <c r="Y180" s="850"/>
    </row>
    <row r="181" spans="2:25" ht="15" outlineLevel="2">
      <c r="B181" s="850" t="s">
        <v>1169</v>
      </c>
      <c r="C181" s="850"/>
      <c r="D181" s="850"/>
      <c r="E181" s="850"/>
      <c r="F181" s="850"/>
      <c r="G181" s="850"/>
      <c r="H181" s="850"/>
      <c r="I181" s="850"/>
      <c r="J181" s="850"/>
      <c r="K181" s="848"/>
      <c r="L181" s="1033"/>
      <c r="M181" s="850"/>
      <c r="N181" s="850"/>
      <c r="O181" s="850"/>
      <c r="P181" s="850"/>
      <c r="Q181" s="850"/>
      <c r="R181" s="850"/>
      <c r="S181" s="850"/>
      <c r="T181" s="1101"/>
      <c r="U181" s="770"/>
      <c r="V181" s="850"/>
      <c r="W181" s="850"/>
      <c r="X181" s="850"/>
      <c r="Y181" s="850"/>
    </row>
    <row r="182" spans="2:25" ht="15" outlineLevel="2">
      <c r="B182" s="850" t="s">
        <v>1169</v>
      </c>
      <c r="C182" s="19">
        <v>5</v>
      </c>
      <c r="D182" s="1" t="s">
        <v>1269</v>
      </c>
      <c r="E182" s="850"/>
      <c r="F182" s="850"/>
      <c r="G182" s="850"/>
      <c r="H182" s="850"/>
      <c r="I182" s="850"/>
      <c r="J182" s="850"/>
      <c r="K182" s="850"/>
      <c r="L182" s="850"/>
      <c r="M182" s="850"/>
      <c r="N182" s="850"/>
      <c r="O182" s="850"/>
      <c r="P182" s="850"/>
      <c r="Q182" s="850"/>
      <c r="R182" s="850"/>
      <c r="S182" s="850"/>
      <c r="T182" s="1101"/>
      <c r="U182" s="770"/>
      <c r="V182" s="850"/>
      <c r="W182" s="850"/>
      <c r="X182" s="850"/>
      <c r="Y182" s="850"/>
    </row>
    <row r="183" spans="2:25" ht="15" outlineLevel="2">
      <c r="B183" s="850" t="s">
        <v>1169</v>
      </c>
      <c r="C183" s="899"/>
      <c r="D183" s="850"/>
      <c r="E183" s="850" t="s">
        <v>1185</v>
      </c>
      <c r="F183" s="850" t="s">
        <v>125</v>
      </c>
      <c r="G183" s="850" t="str">
        <f>_xlfn.XLOOKUP(F183,'A0.LS'!E:E,'A0.LS'!F:F)</f>
        <v>Phải trả cho người bán</v>
      </c>
      <c r="H183" s="1010">
        <v>1404862</v>
      </c>
      <c r="I183" s="850"/>
      <c r="J183" s="850"/>
      <c r="K183" s="850"/>
      <c r="L183" s="1033">
        <f t="shared" ref="L183:L184" si="36">ROUND(SUM(H183:K183),0)</f>
        <v>1404862</v>
      </c>
      <c r="M183" s="850" t="s">
        <v>1198</v>
      </c>
      <c r="N183" s="850" t="s">
        <v>1199</v>
      </c>
      <c r="O183" s="850" t="s">
        <v>1224</v>
      </c>
      <c r="P183" s="850"/>
      <c r="Q183" s="850"/>
      <c r="R183" s="850"/>
      <c r="S183" s="850"/>
      <c r="T183" s="1101"/>
      <c r="U183" s="770"/>
      <c r="V183" s="850"/>
      <c r="W183" s="850"/>
      <c r="X183" s="850"/>
      <c r="Y183" s="850"/>
    </row>
    <row r="184" spans="2:25" ht="15" outlineLevel="2">
      <c r="B184" s="850" t="s">
        <v>1169</v>
      </c>
      <c r="C184" s="899"/>
      <c r="D184" s="850"/>
      <c r="E184" s="850" t="s">
        <v>1186</v>
      </c>
      <c r="F184" s="850" t="s">
        <v>1266</v>
      </c>
      <c r="G184" s="850" t="str">
        <f>_xlfn.XLOOKUP(F184,'A0.LS'!E:E,'A0.LS'!F:F)</f>
        <v>Phải thu hoạt động nghiệp vụ chứng khoán</v>
      </c>
      <c r="H184" s="850"/>
      <c r="I184" s="857">
        <f>-H183</f>
        <v>-1404862</v>
      </c>
      <c r="J184" s="850"/>
      <c r="K184" s="850"/>
      <c r="L184" s="1033">
        <f t="shared" si="36"/>
        <v>-1404862</v>
      </c>
      <c r="M184" s="850" t="s">
        <v>1198</v>
      </c>
      <c r="N184" s="850" t="s">
        <v>1199</v>
      </c>
      <c r="O184" s="850" t="s">
        <v>1224</v>
      </c>
      <c r="P184" s="850"/>
      <c r="Q184" s="850"/>
      <c r="R184" s="850"/>
      <c r="S184" s="850"/>
      <c r="T184" s="1101"/>
      <c r="U184" s="770"/>
      <c r="V184" s="850"/>
      <c r="W184" s="850"/>
      <c r="X184" s="850"/>
      <c r="Y184" s="850"/>
    </row>
    <row r="185" spans="2:25" ht="15" outlineLevel="2">
      <c r="B185" s="850" t="s">
        <v>1169</v>
      </c>
      <c r="C185" s="899"/>
      <c r="D185" s="850"/>
      <c r="E185" s="850"/>
      <c r="F185" s="850"/>
      <c r="G185" s="850"/>
      <c r="H185" s="850"/>
      <c r="I185" s="850"/>
      <c r="J185" s="850"/>
      <c r="K185" s="850"/>
      <c r="L185" s="850"/>
      <c r="M185" s="850"/>
      <c r="N185" s="850"/>
      <c r="O185" s="850"/>
      <c r="P185" s="850"/>
      <c r="Q185" s="850"/>
      <c r="R185" s="850"/>
      <c r="S185" s="850"/>
      <c r="T185" s="1101"/>
      <c r="U185" s="770"/>
      <c r="V185" s="850"/>
      <c r="W185" s="850"/>
      <c r="X185" s="850"/>
      <c r="Y185" s="850"/>
    </row>
    <row r="186" spans="2:25" ht="15" outlineLevel="2">
      <c r="B186" s="850" t="s">
        <v>1169</v>
      </c>
      <c r="C186" s="19">
        <v>6</v>
      </c>
      <c r="D186" s="1" t="s">
        <v>1270</v>
      </c>
      <c r="E186" s="850"/>
      <c r="F186" s="850"/>
      <c r="G186" s="850"/>
      <c r="H186" s="850"/>
      <c r="I186" s="850"/>
      <c r="J186" s="850"/>
      <c r="K186" s="848"/>
      <c r="L186" s="1033"/>
      <c r="M186" s="850"/>
      <c r="N186" s="850"/>
      <c r="O186" s="850"/>
      <c r="P186" s="850"/>
      <c r="Q186" s="850"/>
      <c r="R186" s="850"/>
      <c r="S186" s="850"/>
      <c r="T186" s="1101"/>
      <c r="U186" s="770"/>
      <c r="V186" s="850"/>
      <c r="W186" s="850"/>
      <c r="X186" s="850"/>
      <c r="Y186" s="850"/>
    </row>
    <row r="187" spans="2:25" ht="15" outlineLevel="2">
      <c r="B187" s="850" t="s">
        <v>1169</v>
      </c>
      <c r="C187" s="850"/>
      <c r="D187" s="850"/>
      <c r="E187" s="850" t="s">
        <v>1185</v>
      </c>
      <c r="F187" s="850" t="s">
        <v>942</v>
      </c>
      <c r="G187" s="850" t="str">
        <f>_xlfn.XLOOKUP(F187,'A0.LS'!E:E,'A0.LS'!F:F)</f>
        <v>Doanh thu môi giới chứng khoán</v>
      </c>
      <c r="H187" s="850"/>
      <c r="I187" s="850"/>
      <c r="J187" s="1010">
        <v>19756505</v>
      </c>
      <c r="K187" s="848"/>
      <c r="L187" s="1033">
        <f t="shared" ref="L187:L188" si="37">ROUND(SUM(H187:K187),0)</f>
        <v>19756505</v>
      </c>
      <c r="M187" s="850" t="s">
        <v>1198</v>
      </c>
      <c r="N187" s="850" t="s">
        <v>1199</v>
      </c>
      <c r="O187" s="850" t="s">
        <v>1224</v>
      </c>
      <c r="P187" s="850"/>
      <c r="Q187" s="850"/>
      <c r="R187" s="850"/>
      <c r="S187" s="850"/>
      <c r="T187" s="1101"/>
      <c r="U187" s="770"/>
      <c r="V187" s="850"/>
      <c r="W187" s="850"/>
      <c r="X187" s="850"/>
      <c r="Y187" s="850"/>
    </row>
    <row r="188" spans="2:25" ht="15" outlineLevel="2">
      <c r="B188" s="850" t="s">
        <v>1169</v>
      </c>
      <c r="C188" s="850"/>
      <c r="D188" s="850"/>
      <c r="E188" s="850" t="s">
        <v>1186</v>
      </c>
      <c r="F188" s="850" t="s">
        <v>273</v>
      </c>
      <c r="G188" s="850" t="str">
        <f>_xlfn.XLOOKUP(F188,'A0.LS'!E:E,'A0.LS'!F:F)</f>
        <v>Phí mua bán CCQ</v>
      </c>
      <c r="H188" s="850"/>
      <c r="I188" s="850"/>
      <c r="J188" s="850"/>
      <c r="K188" s="848">
        <f>-J187</f>
        <v>-19756505</v>
      </c>
      <c r="L188" s="1033">
        <f t="shared" si="37"/>
        <v>-19756505</v>
      </c>
      <c r="M188" s="850" t="s">
        <v>1198</v>
      </c>
      <c r="N188" s="850" t="s">
        <v>1199</v>
      </c>
      <c r="O188" s="850" t="s">
        <v>1224</v>
      </c>
      <c r="P188" s="850"/>
      <c r="Q188" s="850"/>
      <c r="R188" s="850"/>
      <c r="S188" s="850"/>
      <c r="T188" s="1101"/>
      <c r="U188" s="770"/>
      <c r="V188" s="850"/>
      <c r="W188" s="850"/>
      <c r="X188" s="850"/>
      <c r="Y188" s="850"/>
    </row>
    <row r="189" spans="2:25" ht="15" outlineLevel="2">
      <c r="B189" s="850" t="s">
        <v>1169</v>
      </c>
      <c r="C189" s="850"/>
      <c r="D189" s="850"/>
      <c r="E189" s="850"/>
      <c r="F189" s="850"/>
      <c r="G189" s="850"/>
      <c r="H189" s="850"/>
      <c r="I189" s="850"/>
      <c r="J189" s="850"/>
      <c r="K189" s="848"/>
      <c r="L189" s="1033"/>
      <c r="M189" s="850"/>
      <c r="N189" s="850"/>
      <c r="O189" s="850"/>
      <c r="P189" s="850"/>
      <c r="Q189" s="850"/>
      <c r="R189" s="850"/>
      <c r="S189" s="850"/>
      <c r="T189" s="1101"/>
      <c r="U189" s="770"/>
      <c r="V189" s="850"/>
      <c r="W189" s="850"/>
      <c r="X189" s="850"/>
      <c r="Y189" s="850"/>
    </row>
    <row r="190" spans="2:25" ht="15" outlineLevel="2">
      <c r="B190" s="850" t="s">
        <v>1169</v>
      </c>
      <c r="C190" s="19">
        <v>7</v>
      </c>
      <c r="D190" s="1" t="s">
        <v>1271</v>
      </c>
      <c r="E190" s="850"/>
      <c r="F190" s="850"/>
      <c r="G190" s="850"/>
      <c r="H190" s="850"/>
      <c r="I190" s="850"/>
      <c r="J190" s="850"/>
      <c r="K190" s="848"/>
      <c r="L190" s="1033"/>
      <c r="M190" s="850"/>
      <c r="N190" s="850"/>
      <c r="O190" s="850"/>
      <c r="P190" s="850"/>
      <c r="Q190" s="850"/>
      <c r="R190" s="850"/>
      <c r="S190" s="850"/>
      <c r="T190" s="1101"/>
      <c r="U190" s="770"/>
      <c r="V190" s="850"/>
      <c r="W190" s="850"/>
      <c r="X190" s="850"/>
      <c r="Y190" s="850"/>
    </row>
    <row r="191" spans="2:25" ht="15" outlineLevel="2">
      <c r="B191" s="850" t="s">
        <v>1169</v>
      </c>
      <c r="C191" s="850"/>
      <c r="D191" s="850"/>
      <c r="E191" s="1455" t="s">
        <v>1185</v>
      </c>
      <c r="F191" s="1456" t="s">
        <v>257</v>
      </c>
      <c r="G191" s="1455" t="str">
        <f>_xlfn.XLOOKUP(F191,'A0.LS'!E:E,'A0.LS'!F:F)</f>
        <v>Lãi từ việc mua bán tài sản - FI</v>
      </c>
      <c r="H191" s="1455"/>
      <c r="I191" s="1455"/>
      <c r="J191" s="1597">
        <v>784109580</v>
      </c>
      <c r="K191" s="1459"/>
      <c r="L191" s="1458">
        <f t="shared" ref="L191:L192" si="38">ROUND(SUM(H191:K191),0)</f>
        <v>784109580</v>
      </c>
      <c r="M191" s="1455"/>
      <c r="N191" s="1455"/>
      <c r="O191" s="1455"/>
      <c r="P191" s="850"/>
      <c r="Q191" s="850"/>
      <c r="R191" s="850"/>
      <c r="S191" s="850"/>
      <c r="T191" s="1101"/>
      <c r="U191" s="770"/>
      <c r="V191" s="850"/>
      <c r="W191" s="850"/>
      <c r="X191" s="850"/>
      <c r="Y191" s="850"/>
    </row>
    <row r="192" spans="2:25" ht="15" outlineLevel="2">
      <c r="B192" s="850" t="s">
        <v>1169</v>
      </c>
      <c r="C192" s="850"/>
      <c r="D192" s="850"/>
      <c r="E192" s="1455" t="s">
        <v>1186</v>
      </c>
      <c r="F192" s="1455" t="s">
        <v>273</v>
      </c>
      <c r="G192" s="1455" t="s">
        <v>274</v>
      </c>
      <c r="H192" s="1455"/>
      <c r="I192" s="1455"/>
      <c r="J192" s="1455"/>
      <c r="K192" s="1459">
        <f>-J191</f>
        <v>-784109580</v>
      </c>
      <c r="L192" s="1458">
        <f t="shared" si="38"/>
        <v>-784109580</v>
      </c>
      <c r="M192" s="1455"/>
      <c r="N192" s="1455"/>
      <c r="O192" s="1455"/>
      <c r="P192" s="850"/>
      <c r="Q192" s="850"/>
      <c r="R192" s="850"/>
      <c r="S192" s="850"/>
      <c r="T192" s="1101"/>
      <c r="U192" s="770"/>
      <c r="V192" s="850"/>
      <c r="W192" s="850"/>
      <c r="X192" s="850"/>
      <c r="Y192" s="850"/>
    </row>
    <row r="193" spans="2:25" ht="15" outlineLevel="2">
      <c r="B193" s="850" t="s">
        <v>1169</v>
      </c>
      <c r="C193" s="850"/>
      <c r="D193" s="850"/>
      <c r="E193" s="850"/>
      <c r="F193" s="850"/>
      <c r="G193" s="850"/>
      <c r="H193" s="850"/>
      <c r="I193" s="850"/>
      <c r="J193" s="850"/>
      <c r="K193" s="848"/>
      <c r="L193" s="1033"/>
      <c r="M193" s="850"/>
      <c r="N193" s="850"/>
      <c r="O193" s="850"/>
      <c r="P193" s="850"/>
      <c r="Q193" s="850"/>
      <c r="R193" s="850"/>
      <c r="S193" s="850"/>
      <c r="T193" s="1101"/>
      <c r="U193" s="770"/>
      <c r="V193" s="850"/>
      <c r="W193" s="850"/>
      <c r="X193" s="850"/>
      <c r="Y193" s="850"/>
    </row>
    <row r="194" spans="2:25" ht="15" outlineLevel="2">
      <c r="B194" s="850" t="s">
        <v>1169</v>
      </c>
      <c r="C194" s="850"/>
      <c r="D194" s="850"/>
      <c r="E194" s="850"/>
      <c r="F194" s="850"/>
      <c r="G194" s="850"/>
      <c r="H194" s="850"/>
      <c r="I194" s="850"/>
      <c r="J194" s="850"/>
      <c r="K194" s="848"/>
      <c r="L194" s="1033"/>
      <c r="M194" s="850"/>
      <c r="N194" s="850"/>
      <c r="O194" s="850"/>
      <c r="P194" s="850"/>
      <c r="Q194" s="850"/>
      <c r="R194" s="850"/>
      <c r="S194" s="850"/>
      <c r="T194" s="1101"/>
      <c r="U194" s="770"/>
      <c r="V194" s="850"/>
      <c r="W194" s="850"/>
      <c r="X194" s="850"/>
      <c r="Y194" s="850"/>
    </row>
    <row r="195" spans="2:25" ht="15" outlineLevel="2">
      <c r="B195" s="850" t="s">
        <v>1169</v>
      </c>
      <c r="C195" s="19">
        <v>8</v>
      </c>
      <c r="D195" s="1" t="s">
        <v>1272</v>
      </c>
      <c r="E195" s="850"/>
      <c r="F195" s="850"/>
      <c r="G195" s="850"/>
      <c r="H195" s="850"/>
      <c r="I195" s="850"/>
      <c r="J195" s="850"/>
      <c r="K195" s="848"/>
      <c r="L195" s="1033"/>
      <c r="M195" s="850"/>
      <c r="N195" s="850"/>
      <c r="O195" s="850"/>
      <c r="P195" s="850"/>
      <c r="Q195" s="850"/>
      <c r="R195" s="850"/>
      <c r="S195" s="850"/>
      <c r="T195" s="1101"/>
      <c r="U195" s="770"/>
      <c r="V195" s="850"/>
      <c r="W195" s="850"/>
      <c r="X195" s="850"/>
      <c r="Y195" s="850"/>
    </row>
    <row r="196" spans="2:25" ht="15" outlineLevel="2">
      <c r="B196" s="850" t="s">
        <v>1169</v>
      </c>
      <c r="C196" s="850"/>
      <c r="D196" s="850"/>
      <c r="E196" s="850" t="s">
        <v>1185</v>
      </c>
      <c r="F196" s="859" t="s">
        <v>257</v>
      </c>
      <c r="G196" s="850" t="str">
        <f>_xlfn.XLOOKUP(F196,'A0.LS'!E:E,'A0.LS'!F:F)</f>
        <v>Lãi từ việc mua bán tài sản - FI</v>
      </c>
      <c r="H196" s="850"/>
      <c r="I196" s="850"/>
      <c r="J196" s="1007">
        <v>169175000</v>
      </c>
      <c r="K196" s="848"/>
      <c r="L196" s="1033">
        <f t="shared" ref="L196:L197" si="39">ROUND(SUM(H196:K196),0)</f>
        <v>169175000</v>
      </c>
      <c r="M196" s="850" t="s">
        <v>1198</v>
      </c>
      <c r="N196" s="850" t="s">
        <v>1199</v>
      </c>
      <c r="O196" s="850" t="s">
        <v>1224</v>
      </c>
      <c r="P196" s="850"/>
      <c r="Q196" s="850" t="s">
        <v>1273</v>
      </c>
      <c r="R196" s="850"/>
      <c r="S196" s="850"/>
      <c r="T196" s="1101"/>
      <c r="U196" s="770"/>
      <c r="V196" s="850"/>
      <c r="W196" s="850"/>
      <c r="X196" s="850"/>
      <c r="Y196" s="850"/>
    </row>
    <row r="197" spans="2:25" ht="15" outlineLevel="2">
      <c r="B197" s="850" t="s">
        <v>1169</v>
      </c>
      <c r="C197" s="850"/>
      <c r="D197" s="850"/>
      <c r="E197" s="850" t="s">
        <v>1186</v>
      </c>
      <c r="F197" s="859" t="s">
        <v>315</v>
      </c>
      <c r="G197" s="850" t="str">
        <f>_xlfn.XLOOKUP(F197,'A0.LS'!E:E,'A0.LS'!F:F)</f>
        <v>Lỗ từ việc mua bán tài sản-FI</v>
      </c>
      <c r="H197" s="850"/>
      <c r="I197" s="850"/>
      <c r="J197" s="850"/>
      <c r="K197" s="848">
        <f>-J196</f>
        <v>-169175000</v>
      </c>
      <c r="L197" s="1033">
        <f t="shared" si="39"/>
        <v>-169175000</v>
      </c>
      <c r="M197" s="850" t="s">
        <v>1198</v>
      </c>
      <c r="N197" s="850" t="s">
        <v>1199</v>
      </c>
      <c r="O197" s="850" t="s">
        <v>1224</v>
      </c>
      <c r="P197" s="850"/>
      <c r="Q197" s="850"/>
      <c r="R197" s="850"/>
      <c r="S197" s="850"/>
      <c r="T197" s="1101"/>
      <c r="U197" s="770"/>
      <c r="V197" s="850"/>
      <c r="W197" s="850"/>
      <c r="X197" s="850"/>
      <c r="Y197" s="850"/>
    </row>
    <row r="198" spans="2:25" ht="15" outlineLevel="2">
      <c r="B198" s="850" t="s">
        <v>1169</v>
      </c>
      <c r="C198" s="850"/>
      <c r="D198" s="850"/>
      <c r="E198" s="850"/>
      <c r="F198" s="850"/>
      <c r="G198" s="850"/>
      <c r="H198" s="850"/>
      <c r="I198" s="850"/>
      <c r="J198" s="850"/>
      <c r="K198" s="848"/>
      <c r="L198" s="1033"/>
      <c r="M198" s="850"/>
      <c r="N198" s="850"/>
      <c r="O198" s="850"/>
      <c r="P198" s="850"/>
      <c r="Q198" s="850"/>
      <c r="R198" s="850"/>
      <c r="S198" s="850"/>
      <c r="T198" s="1101"/>
      <c r="U198" s="770"/>
      <c r="V198" s="850"/>
      <c r="W198" s="850"/>
      <c r="X198" s="850"/>
      <c r="Y198" s="850"/>
    </row>
    <row r="199" spans="2:25" ht="15" outlineLevel="2">
      <c r="B199" s="850" t="s">
        <v>1169</v>
      </c>
      <c r="C199" s="19">
        <v>9</v>
      </c>
      <c r="D199" s="1" t="s">
        <v>1274</v>
      </c>
      <c r="E199" s="850"/>
      <c r="F199" s="850"/>
      <c r="G199" s="850"/>
      <c r="H199" s="850"/>
      <c r="I199" s="850"/>
      <c r="J199" s="850"/>
      <c r="K199" s="848"/>
      <c r="L199" s="1033"/>
      <c r="M199" s="850"/>
      <c r="N199" s="850"/>
      <c r="O199" s="850"/>
      <c r="P199" s="850"/>
      <c r="Q199" s="850"/>
      <c r="R199" s="850"/>
      <c r="S199" s="850"/>
      <c r="T199" s="1101"/>
      <c r="U199" s="770"/>
      <c r="V199" s="850"/>
      <c r="W199" s="850"/>
      <c r="X199" s="850"/>
      <c r="Y199" s="850"/>
    </row>
    <row r="200" spans="2:25" ht="15" outlineLevel="2">
      <c r="B200" s="850" t="s">
        <v>1169</v>
      </c>
      <c r="C200" s="850"/>
      <c r="D200" s="850"/>
      <c r="E200" s="850" t="s">
        <v>1185</v>
      </c>
      <c r="F200" s="859" t="s">
        <v>257</v>
      </c>
      <c r="G200" s="850" t="str">
        <f>_xlfn.XLOOKUP(F200,'A0.LS'!E:E,'A0.LS'!F:F)</f>
        <v>Lãi từ việc mua bán tài sản - FI</v>
      </c>
      <c r="H200" s="850"/>
      <c r="I200" s="850"/>
      <c r="J200" s="1007">
        <v>209000000</v>
      </c>
      <c r="K200" s="848"/>
      <c r="L200" s="1033">
        <f t="shared" ref="L200:L201" si="40">ROUND(SUM(H200:K200),0)</f>
        <v>209000000</v>
      </c>
      <c r="M200" s="850" t="s">
        <v>1198</v>
      </c>
      <c r="N200" s="850" t="s">
        <v>1199</v>
      </c>
      <c r="O200" s="850" t="s">
        <v>1224</v>
      </c>
      <c r="P200" s="850"/>
      <c r="Q200" s="850" t="s">
        <v>1273</v>
      </c>
      <c r="R200" s="850"/>
      <c r="S200" s="850"/>
      <c r="T200" s="1101"/>
      <c r="U200" s="770"/>
      <c r="V200" s="850"/>
      <c r="W200" s="850"/>
      <c r="X200" s="850"/>
      <c r="Y200" s="850"/>
    </row>
    <row r="201" spans="2:25" ht="15" outlineLevel="2">
      <c r="B201" s="850" t="s">
        <v>1169</v>
      </c>
      <c r="C201" s="850"/>
      <c r="D201" s="850"/>
      <c r="E201" s="850" t="s">
        <v>1186</v>
      </c>
      <c r="F201" s="859" t="s">
        <v>29</v>
      </c>
      <c r="G201" s="850" t="str">
        <f>_xlfn.XLOOKUP(F201,'A0.LS'!E:E,'A0.LS'!F:F)</f>
        <v>Trái phiếu</v>
      </c>
      <c r="H201" s="850"/>
      <c r="I201" s="850"/>
      <c r="J201" s="850"/>
      <c r="K201" s="848">
        <f>-J200</f>
        <v>-209000000</v>
      </c>
      <c r="L201" s="1033">
        <f t="shared" si="40"/>
        <v>-209000000</v>
      </c>
      <c r="M201" s="850" t="s">
        <v>1198</v>
      </c>
      <c r="N201" s="850" t="s">
        <v>1199</v>
      </c>
      <c r="O201" s="850" t="s">
        <v>1224</v>
      </c>
      <c r="P201" s="850"/>
      <c r="Q201" s="850"/>
      <c r="R201" s="850"/>
      <c r="S201" s="850"/>
      <c r="T201" s="1101"/>
      <c r="U201" s="770"/>
      <c r="V201" s="850"/>
      <c r="W201" s="850"/>
      <c r="X201" s="850"/>
      <c r="Y201" s="850"/>
    </row>
    <row r="202" spans="2:25" ht="15" outlineLevel="2">
      <c r="B202" s="850" t="s">
        <v>1169</v>
      </c>
      <c r="C202" s="850"/>
      <c r="D202" s="850"/>
      <c r="E202" s="850"/>
      <c r="F202" s="850"/>
      <c r="G202" s="850"/>
      <c r="H202" s="850"/>
      <c r="I202" s="850"/>
      <c r="J202" s="850"/>
      <c r="K202" s="848"/>
      <c r="L202" s="1033"/>
      <c r="M202" s="850"/>
      <c r="N202" s="850"/>
      <c r="O202" s="850"/>
      <c r="P202" s="850"/>
      <c r="Q202" s="850"/>
      <c r="R202" s="850"/>
      <c r="S202" s="850"/>
      <c r="T202" s="1101"/>
      <c r="U202" s="770"/>
      <c r="V202" s="850"/>
      <c r="W202" s="850"/>
      <c r="X202" s="850"/>
      <c r="Y202" s="850"/>
    </row>
    <row r="203" spans="2:25" ht="15" outlineLevel="2">
      <c r="B203" s="850" t="s">
        <v>1169</v>
      </c>
      <c r="C203" s="19">
        <v>10</v>
      </c>
      <c r="D203" s="1" t="s">
        <v>1275</v>
      </c>
      <c r="E203" s="850"/>
      <c r="F203" s="850"/>
      <c r="G203" s="850"/>
      <c r="H203" s="850"/>
      <c r="I203" s="850"/>
      <c r="J203" s="850"/>
      <c r="K203" s="848"/>
      <c r="L203" s="1033"/>
      <c r="M203" s="850"/>
      <c r="N203" s="850"/>
      <c r="O203" s="850"/>
      <c r="P203" s="850"/>
      <c r="Q203" s="850"/>
      <c r="R203" s="850"/>
      <c r="S203" s="850"/>
      <c r="T203" s="1101"/>
      <c r="U203" s="770"/>
      <c r="V203" s="850"/>
      <c r="W203" s="850"/>
      <c r="X203" s="850"/>
      <c r="Y203" s="850"/>
    </row>
    <row r="204" spans="2:25" ht="15" outlineLevel="2">
      <c r="B204" s="850" t="s">
        <v>1169</v>
      </c>
      <c r="C204" s="850"/>
      <c r="D204" s="850"/>
      <c r="E204" s="850" t="s">
        <v>1185</v>
      </c>
      <c r="F204" s="859" t="s">
        <v>257</v>
      </c>
      <c r="G204" s="850" t="str">
        <f>_xlfn.XLOOKUP(F204,'A0.LS'!E:E,'A0.LS'!F:F)</f>
        <v>Lãi từ việc mua bán tài sản - FI</v>
      </c>
      <c r="H204" s="850"/>
      <c r="I204" s="850"/>
      <c r="J204" s="1007">
        <v>2043121123</v>
      </c>
      <c r="K204" s="848"/>
      <c r="L204" s="1033">
        <f t="shared" ref="L204:L205" si="41">ROUND(SUM(H204:K204),0)</f>
        <v>2043121123</v>
      </c>
      <c r="M204" s="850" t="s">
        <v>1198</v>
      </c>
      <c r="N204" s="850" t="s">
        <v>1199</v>
      </c>
      <c r="O204" s="850" t="s">
        <v>1224</v>
      </c>
      <c r="P204" s="850"/>
      <c r="Q204" s="850" t="s">
        <v>1273</v>
      </c>
      <c r="R204" s="850"/>
      <c r="S204" s="850"/>
      <c r="T204" s="1101"/>
      <c r="U204" s="770"/>
      <c r="V204" s="850"/>
      <c r="W204" s="850"/>
      <c r="X204" s="850"/>
      <c r="Y204" s="850"/>
    </row>
    <row r="205" spans="2:25" ht="15" outlineLevel="2">
      <c r="B205" s="850" t="s">
        <v>1169</v>
      </c>
      <c r="C205" s="850"/>
      <c r="D205" s="850"/>
      <c r="E205" s="850" t="s">
        <v>1186</v>
      </c>
      <c r="F205" s="859" t="s">
        <v>29</v>
      </c>
      <c r="G205" s="850" t="str">
        <f>_xlfn.XLOOKUP(F205,'A0.LS'!E:E,'A0.LS'!F:F)</f>
        <v>Trái phiếu</v>
      </c>
      <c r="H205" s="850"/>
      <c r="I205" s="850"/>
      <c r="J205" s="850"/>
      <c r="K205" s="848">
        <f>-J204</f>
        <v>-2043121123</v>
      </c>
      <c r="L205" s="1033">
        <f t="shared" si="41"/>
        <v>-2043121123</v>
      </c>
      <c r="M205" s="850" t="s">
        <v>1198</v>
      </c>
      <c r="N205" s="850" t="s">
        <v>1199</v>
      </c>
      <c r="O205" s="850" t="s">
        <v>1224</v>
      </c>
      <c r="P205" s="850"/>
      <c r="Q205" s="850"/>
      <c r="R205" s="850"/>
      <c r="S205" s="850"/>
      <c r="T205" s="1101"/>
      <c r="U205" s="770"/>
      <c r="V205" s="850"/>
      <c r="W205" s="850"/>
      <c r="X205" s="850"/>
      <c r="Y205" s="850"/>
    </row>
    <row r="206" spans="2:25" ht="15" outlineLevel="2">
      <c r="B206" s="850" t="s">
        <v>1169</v>
      </c>
      <c r="C206" s="850"/>
      <c r="D206" s="850"/>
      <c r="E206" s="850"/>
      <c r="F206" s="850"/>
      <c r="G206" s="850"/>
      <c r="H206" s="850"/>
      <c r="I206" s="850"/>
      <c r="J206" s="850"/>
      <c r="K206" s="848"/>
      <c r="L206" s="1033"/>
      <c r="M206" s="850"/>
      <c r="N206" s="850"/>
      <c r="O206" s="850"/>
      <c r="P206" s="850"/>
      <c r="Q206" s="850"/>
      <c r="R206" s="850"/>
      <c r="S206" s="850"/>
      <c r="T206" s="1101"/>
      <c r="U206" s="770"/>
      <c r="V206" s="850"/>
      <c r="W206" s="850"/>
      <c r="X206" s="850"/>
      <c r="Y206" s="850"/>
    </row>
    <row r="207" spans="2:25" ht="15" outlineLevel="2">
      <c r="B207" s="850" t="s">
        <v>1169</v>
      </c>
      <c r="C207" s="19">
        <v>11</v>
      </c>
      <c r="D207" s="1" t="s">
        <v>1276</v>
      </c>
      <c r="E207" s="850"/>
      <c r="F207" s="850"/>
      <c r="G207" s="850"/>
      <c r="H207" s="850"/>
      <c r="I207" s="850"/>
      <c r="J207" s="850"/>
      <c r="K207" s="848"/>
      <c r="L207" s="1033"/>
      <c r="M207" s="850"/>
      <c r="N207" s="850"/>
      <c r="O207" s="850"/>
      <c r="P207" s="850"/>
      <c r="Q207" s="850"/>
      <c r="R207" s="850"/>
      <c r="S207" s="850"/>
      <c r="T207" s="1101"/>
      <c r="U207" s="770"/>
      <c r="V207" s="850"/>
      <c r="W207" s="850"/>
      <c r="X207" s="850"/>
      <c r="Y207" s="850"/>
    </row>
    <row r="208" spans="2:25" ht="15" outlineLevel="2">
      <c r="B208" s="850" t="s">
        <v>1169</v>
      </c>
      <c r="C208" s="850"/>
      <c r="D208" s="850"/>
      <c r="E208" s="850" t="s">
        <v>1185</v>
      </c>
      <c r="F208" s="859" t="s">
        <v>257</v>
      </c>
      <c r="G208" s="850" t="str">
        <f>_xlfn.XLOOKUP(F208,'A0.LS'!E:E,'A0.LS'!F:F)</f>
        <v>Lãi từ việc mua bán tài sản - FI</v>
      </c>
      <c r="H208" s="850"/>
      <c r="I208" s="850"/>
      <c r="J208" s="1007">
        <v>642600000</v>
      </c>
      <c r="K208" s="848"/>
      <c r="L208" s="1033">
        <f t="shared" ref="L208:L209" si="42">ROUND(SUM(H208:K208),0)</f>
        <v>642600000</v>
      </c>
      <c r="M208" s="850" t="s">
        <v>1198</v>
      </c>
      <c r="N208" s="850" t="s">
        <v>1199</v>
      </c>
      <c r="O208" s="850" t="s">
        <v>1224</v>
      </c>
      <c r="P208" s="850"/>
      <c r="Q208" s="850" t="s">
        <v>1273</v>
      </c>
      <c r="R208" s="850"/>
      <c r="S208" s="850"/>
      <c r="T208" s="1101"/>
      <c r="U208" s="770"/>
      <c r="V208" s="850"/>
      <c r="W208" s="850"/>
      <c r="X208" s="850"/>
      <c r="Y208" s="850"/>
    </row>
    <row r="209" spans="2:25" ht="15" outlineLevel="2">
      <c r="B209" s="850" t="s">
        <v>1169</v>
      </c>
      <c r="C209" s="850"/>
      <c r="D209" s="850"/>
      <c r="E209" s="850" t="s">
        <v>1186</v>
      </c>
      <c r="F209" s="859" t="s">
        <v>29</v>
      </c>
      <c r="G209" s="850" t="str">
        <f>_xlfn.XLOOKUP(F209,'A0.LS'!E:E,'A0.LS'!F:F)</f>
        <v>Trái phiếu</v>
      </c>
      <c r="H209" s="850"/>
      <c r="I209" s="850"/>
      <c r="J209" s="850"/>
      <c r="K209" s="848">
        <f>-J208</f>
        <v>-642600000</v>
      </c>
      <c r="L209" s="1033">
        <f t="shared" si="42"/>
        <v>-642600000</v>
      </c>
      <c r="M209" s="850" t="s">
        <v>1198</v>
      </c>
      <c r="N209" s="850" t="s">
        <v>1199</v>
      </c>
      <c r="O209" s="850" t="s">
        <v>1224</v>
      </c>
      <c r="P209" s="850"/>
      <c r="Q209" s="850"/>
      <c r="R209" s="850"/>
      <c r="S209" s="850"/>
      <c r="T209" s="1101"/>
      <c r="U209" s="770"/>
      <c r="V209" s="850"/>
      <c r="W209" s="850"/>
      <c r="X209" s="850"/>
      <c r="Y209" s="850"/>
    </row>
    <row r="210" spans="2:25" ht="15" outlineLevel="2">
      <c r="B210" s="850" t="s">
        <v>1169</v>
      </c>
      <c r="C210" s="850"/>
      <c r="D210" s="850"/>
      <c r="E210" s="850"/>
      <c r="F210" s="850"/>
      <c r="G210" s="850"/>
      <c r="H210" s="850"/>
      <c r="I210" s="850"/>
      <c r="J210" s="850"/>
      <c r="K210" s="848"/>
      <c r="L210" s="1033"/>
      <c r="M210" s="850"/>
      <c r="N210" s="850"/>
      <c r="O210" s="850"/>
      <c r="P210" s="850"/>
      <c r="Q210" s="850"/>
      <c r="R210" s="850"/>
      <c r="S210" s="850"/>
      <c r="T210" s="1101"/>
      <c r="U210" s="770"/>
      <c r="V210" s="850"/>
      <c r="W210" s="850"/>
      <c r="X210" s="850"/>
      <c r="Y210" s="850"/>
    </row>
    <row r="211" spans="2:25" ht="15" outlineLevel="2">
      <c r="B211" s="850" t="s">
        <v>1169</v>
      </c>
      <c r="C211" s="19">
        <v>12</v>
      </c>
      <c r="D211" s="1" t="s">
        <v>1277</v>
      </c>
      <c r="E211" s="850"/>
      <c r="F211" s="850"/>
      <c r="G211" s="850"/>
      <c r="H211" s="850"/>
      <c r="I211" s="850"/>
      <c r="J211" s="850"/>
      <c r="K211" s="848"/>
      <c r="L211" s="1033"/>
      <c r="M211" s="850"/>
      <c r="N211" s="850"/>
      <c r="O211" s="850"/>
      <c r="P211" s="850"/>
      <c r="Q211" s="850"/>
      <c r="R211" s="850"/>
      <c r="S211" s="850"/>
      <c r="T211" s="1101"/>
      <c r="U211" s="770"/>
      <c r="V211" s="850"/>
      <c r="W211" s="850"/>
      <c r="X211" s="850"/>
      <c r="Y211" s="850"/>
    </row>
    <row r="212" spans="2:25" ht="15" outlineLevel="2">
      <c r="B212" s="850" t="s">
        <v>1169</v>
      </c>
      <c r="C212" s="850"/>
      <c r="D212" s="850"/>
      <c r="E212" s="850" t="s">
        <v>1185</v>
      </c>
      <c r="F212" s="859" t="s">
        <v>257</v>
      </c>
      <c r="G212" s="850" t="str">
        <f>_xlfn.XLOOKUP(F212,'A0.LS'!E:E,'A0.LS'!F:F)</f>
        <v>Lãi từ việc mua bán tài sản - FI</v>
      </c>
      <c r="H212" s="850"/>
      <c r="I212" s="850"/>
      <c r="J212" s="1007">
        <v>1057534240</v>
      </c>
      <c r="K212" s="848"/>
      <c r="L212" s="1033">
        <f t="shared" ref="L212:L213" si="43">ROUND(SUM(H212:K212),0)</f>
        <v>1057534240</v>
      </c>
      <c r="M212" s="850" t="s">
        <v>1198</v>
      </c>
      <c r="N212" s="850" t="s">
        <v>1199</v>
      </c>
      <c r="O212" s="850" t="s">
        <v>1224</v>
      </c>
      <c r="P212" s="850"/>
      <c r="Q212" s="850" t="s">
        <v>1273</v>
      </c>
      <c r="R212" s="850"/>
      <c r="S212" s="850"/>
      <c r="T212" s="1101"/>
      <c r="U212" s="770"/>
      <c r="V212" s="850"/>
      <c r="W212" s="850"/>
      <c r="X212" s="850"/>
      <c r="Y212" s="850"/>
    </row>
    <row r="213" spans="2:25" ht="15" outlineLevel="2">
      <c r="B213" s="850" t="s">
        <v>1169</v>
      </c>
      <c r="C213" s="850"/>
      <c r="D213" s="850"/>
      <c r="E213" s="850" t="s">
        <v>1186</v>
      </c>
      <c r="F213" s="859" t="s">
        <v>31</v>
      </c>
      <c r="G213" s="850" t="str">
        <f>_xlfn.XLOOKUP(F213,'A0.LS'!E:E,'A0.LS'!F:F)</f>
        <v>Chứng chỉ quỹ + Chứng khoán kinh doanh khác</v>
      </c>
      <c r="H213" s="850"/>
      <c r="I213" s="850"/>
      <c r="J213" s="850"/>
      <c r="K213" s="848">
        <f>-J212</f>
        <v>-1057534240</v>
      </c>
      <c r="L213" s="1033">
        <f t="shared" si="43"/>
        <v>-1057534240</v>
      </c>
      <c r="M213" s="850" t="s">
        <v>1198</v>
      </c>
      <c r="N213" s="850" t="s">
        <v>1199</v>
      </c>
      <c r="O213" s="850" t="s">
        <v>1224</v>
      </c>
      <c r="P213" s="850"/>
      <c r="Q213" s="850"/>
      <c r="R213" s="850"/>
      <c r="S213" s="850"/>
      <c r="T213" s="1101"/>
      <c r="U213" s="770"/>
      <c r="V213" s="850"/>
      <c r="W213" s="850"/>
      <c r="X213" s="850"/>
      <c r="Y213" s="850"/>
    </row>
    <row r="214" spans="2:25" ht="15" outlineLevel="2">
      <c r="B214" s="850" t="s">
        <v>1169</v>
      </c>
      <c r="C214" s="850"/>
      <c r="D214" s="850"/>
      <c r="E214" s="850"/>
      <c r="F214" s="850"/>
      <c r="G214" s="850"/>
      <c r="H214" s="850"/>
      <c r="I214" s="850"/>
      <c r="J214" s="850"/>
      <c r="K214" s="848"/>
      <c r="L214" s="1033"/>
      <c r="M214" s="850"/>
      <c r="N214" s="850"/>
      <c r="O214" s="850"/>
      <c r="P214" s="850"/>
      <c r="Q214" s="850"/>
      <c r="R214" s="850"/>
      <c r="S214" s="850"/>
      <c r="T214" s="1101"/>
      <c r="U214" s="770"/>
      <c r="V214" s="850"/>
      <c r="W214" s="850"/>
      <c r="X214" s="850"/>
      <c r="Y214" s="850"/>
    </row>
    <row r="215" spans="2:25" ht="15" outlineLevel="2">
      <c r="B215" s="850" t="s">
        <v>1169</v>
      </c>
      <c r="C215" s="850"/>
      <c r="D215" s="850"/>
      <c r="E215" s="850"/>
      <c r="F215" s="850"/>
      <c r="G215" s="850"/>
      <c r="H215" s="850"/>
      <c r="I215" s="850"/>
      <c r="J215" s="850"/>
      <c r="K215" s="848"/>
      <c r="L215" s="1033"/>
      <c r="M215" s="850"/>
      <c r="N215" s="850"/>
      <c r="O215" s="850"/>
      <c r="P215" s="850"/>
      <c r="Q215" s="850"/>
      <c r="R215" s="850"/>
      <c r="S215" s="850"/>
      <c r="T215" s="1101"/>
      <c r="U215" s="770"/>
      <c r="V215" s="850"/>
      <c r="W215" s="850"/>
      <c r="X215" s="850"/>
      <c r="Y215" s="850"/>
    </row>
    <row r="216" spans="2:25" ht="15" outlineLevel="2">
      <c r="B216" s="850" t="s">
        <v>1169</v>
      </c>
      <c r="C216" s="850"/>
      <c r="D216" s="850"/>
      <c r="E216" s="850"/>
      <c r="F216" s="850"/>
      <c r="G216" s="850"/>
      <c r="H216" s="850"/>
      <c r="I216" s="850"/>
      <c r="J216" s="850"/>
      <c r="K216" s="850"/>
      <c r="L216" s="850"/>
      <c r="M216" s="850"/>
      <c r="N216" s="850"/>
      <c r="O216" s="850"/>
      <c r="P216" s="850"/>
      <c r="Q216" s="850"/>
      <c r="R216" s="850"/>
      <c r="S216" s="850"/>
      <c r="T216" s="771"/>
      <c r="U216" s="770"/>
      <c r="V216" s="850"/>
      <c r="W216" s="850"/>
      <c r="X216" s="850"/>
      <c r="Y216" s="850"/>
    </row>
    <row r="217" spans="2:25" s="623" customFormat="1" ht="15" hidden="1" outlineLevel="1">
      <c r="B217" s="307" t="s">
        <v>1278</v>
      </c>
      <c r="C217" s="306"/>
      <c r="D217" s="306"/>
      <c r="E217" s="306"/>
      <c r="F217" s="306"/>
      <c r="G217" s="306"/>
      <c r="H217" s="306"/>
      <c r="I217" s="306"/>
      <c r="J217" s="306"/>
      <c r="K217" s="306"/>
      <c r="L217" s="306"/>
      <c r="M217" s="306"/>
      <c r="N217" s="306"/>
      <c r="O217" s="306"/>
      <c r="P217" s="306"/>
      <c r="Q217" s="306"/>
      <c r="R217" s="850"/>
      <c r="S217" s="850"/>
      <c r="T217" s="771"/>
      <c r="U217" s="770"/>
      <c r="V217" s="850"/>
      <c r="W217" s="850"/>
      <c r="X217" s="850"/>
      <c r="Y217" s="850"/>
    </row>
    <row r="218" spans="2:25" ht="15" outlineLevel="2">
      <c r="B218" s="850" t="s">
        <v>1169</v>
      </c>
      <c r="C218" s="19">
        <v>1</v>
      </c>
      <c r="D218" s="1" t="s">
        <v>1279</v>
      </c>
      <c r="E218" s="850"/>
      <c r="F218" s="850"/>
      <c r="G218" s="850"/>
      <c r="H218" s="850"/>
      <c r="I218" s="850"/>
      <c r="J218" s="850"/>
      <c r="K218" s="850"/>
      <c r="L218" s="850"/>
      <c r="M218" s="850"/>
      <c r="N218" s="850"/>
      <c r="O218" s="850"/>
      <c r="P218" s="850"/>
      <c r="Q218" s="850"/>
      <c r="R218" s="850"/>
      <c r="S218" s="850"/>
      <c r="T218" s="771"/>
      <c r="U218" s="770"/>
      <c r="V218" s="850"/>
      <c r="W218" s="850"/>
      <c r="X218" s="850"/>
      <c r="Y218" s="850"/>
    </row>
    <row r="219" spans="2:25" ht="15" outlineLevel="2">
      <c r="B219" s="850" t="s">
        <v>1169</v>
      </c>
      <c r="C219" s="850"/>
      <c r="D219" s="850"/>
      <c r="E219" s="850" t="s">
        <v>1185</v>
      </c>
      <c r="F219" s="859" t="s">
        <v>207</v>
      </c>
      <c r="G219" s="850" t="str">
        <f>_xlfn.XLOOKUP(F219,'A0.LS'!E:E,'A0.LS'!F:F)</f>
        <v>Cổ phiếu phổ thông có quyền biểu quyết</v>
      </c>
      <c r="H219" s="848">
        <v>20000000</v>
      </c>
      <c r="I219" s="850"/>
      <c r="J219" s="850"/>
      <c r="K219" s="850"/>
      <c r="L219" s="1033">
        <f t="shared" ref="L219:L222" si="44">ROUND(SUM(H219:K219),0)</f>
        <v>20000000</v>
      </c>
      <c r="M219" s="850" t="s">
        <v>1198</v>
      </c>
      <c r="N219" s="850" t="s">
        <v>1199</v>
      </c>
      <c r="O219" s="850">
        <v>2023</v>
      </c>
      <c r="P219" s="850"/>
      <c r="Q219" s="850"/>
      <c r="R219" s="850"/>
      <c r="S219" s="850"/>
      <c r="T219" s="1101" t="s">
        <v>1200</v>
      </c>
      <c r="U219" s="770"/>
      <c r="V219" s="850"/>
      <c r="W219" s="850"/>
      <c r="X219" s="850"/>
      <c r="Y219" s="850"/>
    </row>
    <row r="220" spans="2:25" ht="15" outlineLevel="2">
      <c r="B220" s="850" t="s">
        <v>1169</v>
      </c>
      <c r="C220" s="850"/>
      <c r="D220" s="850"/>
      <c r="E220" s="850" t="s">
        <v>1186</v>
      </c>
      <c r="F220" s="859" t="s">
        <v>95</v>
      </c>
      <c r="G220" s="850" t="str">
        <f>_xlfn.XLOOKUP(F220,'A0.LS'!E:E,'A0.LS'!F:F)</f>
        <v>Đầu tư vào công ty con</v>
      </c>
      <c r="H220" s="850"/>
      <c r="I220" s="848">
        <v>-10000000</v>
      </c>
      <c r="J220" s="850"/>
      <c r="K220" s="850"/>
      <c r="L220" s="1033">
        <f t="shared" si="44"/>
        <v>-10000000</v>
      </c>
      <c r="M220" s="850" t="s">
        <v>1198</v>
      </c>
      <c r="N220" s="850" t="s">
        <v>1199</v>
      </c>
      <c r="O220" s="850">
        <v>2023</v>
      </c>
      <c r="P220" s="850"/>
      <c r="Q220" s="850"/>
      <c r="R220" s="850"/>
      <c r="S220" s="850"/>
      <c r="T220" s="1101" t="s">
        <v>1200</v>
      </c>
      <c r="U220" s="770"/>
      <c r="V220" s="850"/>
      <c r="W220" s="850"/>
      <c r="X220" s="850"/>
      <c r="Y220" s="850"/>
    </row>
    <row r="221" spans="2:25" ht="15" outlineLevel="2">
      <c r="B221" s="850" t="s">
        <v>1169</v>
      </c>
      <c r="C221" s="850"/>
      <c r="D221" s="850"/>
      <c r="E221" s="850" t="s">
        <v>1186</v>
      </c>
      <c r="F221" s="859" t="s">
        <v>99</v>
      </c>
      <c r="G221" s="850" t="str">
        <f>_xlfn.XLOOKUP(F221,'A0.LS'!E:E,'A0.LS'!F:F)</f>
        <v>Đầu tư khác</v>
      </c>
      <c r="H221" s="850"/>
      <c r="I221" s="848">
        <f>-5000000</f>
        <v>-5000000</v>
      </c>
      <c r="J221" s="850"/>
      <c r="K221" s="850"/>
      <c r="L221" s="1033">
        <f t="shared" si="44"/>
        <v>-5000000</v>
      </c>
      <c r="M221" s="850" t="s">
        <v>1198</v>
      </c>
      <c r="N221" s="850" t="s">
        <v>1199</v>
      </c>
      <c r="O221" s="850">
        <v>2023</v>
      </c>
      <c r="P221" s="850"/>
      <c r="Q221" s="850"/>
      <c r="R221" s="850"/>
      <c r="S221" s="850"/>
      <c r="T221" s="1101" t="s">
        <v>1200</v>
      </c>
      <c r="U221" s="770"/>
      <c r="V221" s="850"/>
      <c r="W221" s="850"/>
      <c r="X221" s="850"/>
      <c r="Y221" s="850"/>
    </row>
    <row r="222" spans="2:25" ht="15" outlineLevel="2">
      <c r="B222" s="850" t="s">
        <v>1169</v>
      </c>
      <c r="C222" s="850"/>
      <c r="D222" s="850"/>
      <c r="E222" s="850" t="s">
        <v>1186</v>
      </c>
      <c r="F222" s="850" t="s">
        <v>1203</v>
      </c>
      <c r="G222" s="850" t="str">
        <f>_xlfn.XLOOKUP(F222,'A0.LS'!E:E,'A0.LS'!F:F)</f>
        <v>Lợi ích cổ đông không kiểm soát-BS</v>
      </c>
      <c r="H222" s="850"/>
      <c r="I222" s="857">
        <f>-SUM(H219:I221)</f>
        <v>-5000000</v>
      </c>
      <c r="J222" s="850"/>
      <c r="K222" s="850"/>
      <c r="L222" s="1033">
        <f t="shared" si="44"/>
        <v>-5000000</v>
      </c>
      <c r="M222" s="850" t="s">
        <v>1198</v>
      </c>
      <c r="N222" s="850" t="s">
        <v>1199</v>
      </c>
      <c r="O222" s="850">
        <v>2022</v>
      </c>
      <c r="P222" s="850"/>
      <c r="Q222" s="850"/>
      <c r="R222" s="850"/>
      <c r="S222" s="850"/>
      <c r="T222" s="1101" t="s">
        <v>1200</v>
      </c>
      <c r="U222" s="770"/>
      <c r="V222" s="850"/>
      <c r="W222" s="850"/>
      <c r="X222" s="850"/>
      <c r="Y222" s="850"/>
    </row>
    <row r="223" spans="2:25" ht="15" outlineLevel="2">
      <c r="B223" s="850" t="s">
        <v>1169</v>
      </c>
      <c r="C223" s="850"/>
      <c r="D223" s="850"/>
      <c r="E223" s="850"/>
      <c r="F223" s="850"/>
      <c r="G223" s="850"/>
      <c r="H223" s="850"/>
      <c r="I223" s="850"/>
      <c r="J223" s="850"/>
      <c r="K223" s="850"/>
      <c r="L223" s="850"/>
      <c r="M223" s="850"/>
      <c r="N223" s="850"/>
      <c r="O223" s="850"/>
      <c r="P223" s="850"/>
      <c r="Q223" s="850"/>
      <c r="R223" s="850"/>
      <c r="S223" s="850"/>
      <c r="T223" s="771"/>
      <c r="U223" s="770"/>
      <c r="V223" s="850"/>
      <c r="W223" s="850"/>
      <c r="X223" s="850"/>
      <c r="Y223" s="850"/>
    </row>
    <row r="224" spans="2:25" ht="15" outlineLevel="2">
      <c r="B224" s="850" t="s">
        <v>1169</v>
      </c>
      <c r="C224" s="19">
        <v>2</v>
      </c>
      <c r="D224" s="1" t="s">
        <v>1280</v>
      </c>
      <c r="E224" s="850"/>
      <c r="F224" s="850"/>
      <c r="G224" s="850"/>
      <c r="H224" s="850"/>
      <c r="I224" s="850"/>
      <c r="J224" s="850"/>
      <c r="K224" s="850"/>
      <c r="L224" s="850"/>
      <c r="M224" s="850"/>
      <c r="N224" s="850"/>
      <c r="O224" s="850"/>
      <c r="P224" s="850"/>
      <c r="Q224" s="850"/>
      <c r="R224" s="850"/>
      <c r="S224" s="850"/>
      <c r="T224" s="771"/>
      <c r="U224" s="770"/>
      <c r="V224" s="850"/>
      <c r="W224" s="850"/>
      <c r="X224" s="850"/>
      <c r="Y224" s="850"/>
    </row>
    <row r="225" spans="2:25" ht="15" outlineLevel="2">
      <c r="B225" s="850" t="s">
        <v>1169</v>
      </c>
      <c r="C225" s="850"/>
      <c r="D225" s="850"/>
      <c r="E225" s="850" t="s">
        <v>1185</v>
      </c>
      <c r="F225" s="850" t="s">
        <v>1203</v>
      </c>
      <c r="G225" s="850" t="str">
        <f>_xlfn.XLOOKUP(F225,'A0.LS'!E:E,'A0.LS'!F:F)</f>
        <v>Lợi ích cổ đông không kiểm soát-BS</v>
      </c>
      <c r="H225" s="848">
        <v>39320.75</v>
      </c>
      <c r="I225" s="848"/>
      <c r="J225" s="850"/>
      <c r="K225" s="850"/>
      <c r="L225" s="848">
        <f>ROUND(SUM(H225:K225),0)</f>
        <v>39321</v>
      </c>
      <c r="M225" s="850" t="s">
        <v>1198</v>
      </c>
      <c r="N225" s="850" t="s">
        <v>1199</v>
      </c>
      <c r="O225" s="850">
        <v>2022</v>
      </c>
      <c r="P225" s="850"/>
      <c r="Q225" s="850"/>
      <c r="R225" s="850"/>
      <c r="S225" s="850"/>
      <c r="T225" s="1101" t="s">
        <v>1200</v>
      </c>
      <c r="U225" s="770"/>
      <c r="V225" s="850"/>
      <c r="W225" s="850"/>
      <c r="X225" s="850"/>
      <c r="Y225" s="850"/>
    </row>
    <row r="226" spans="2:25" ht="15" outlineLevel="2">
      <c r="B226" s="850" t="s">
        <v>1169</v>
      </c>
      <c r="C226" s="850"/>
      <c r="D226" s="850"/>
      <c r="E226" s="850" t="s">
        <v>1186</v>
      </c>
      <c r="F226" s="850" t="s">
        <v>215</v>
      </c>
      <c r="G226" s="850" t="str">
        <f>_xlfn.XLOOKUP(F226,'A0.LS'!E:E,'A0.LS'!F:F)</f>
        <v>Lợi nhuận sau thuế chưa phân phối năm trước</v>
      </c>
      <c r="H226" s="848"/>
      <c r="I226" s="848">
        <f>-H225</f>
        <v>-39320.75</v>
      </c>
      <c r="J226" s="850"/>
      <c r="K226" s="850"/>
      <c r="L226" s="848">
        <f>ROUND(SUM(H226:K226),0)</f>
        <v>-39321</v>
      </c>
      <c r="M226" s="850" t="s">
        <v>1198</v>
      </c>
      <c r="N226" s="850" t="s">
        <v>1199</v>
      </c>
      <c r="O226" s="850">
        <v>2022</v>
      </c>
      <c r="P226" s="850"/>
      <c r="Q226" s="850"/>
      <c r="R226" s="850"/>
      <c r="S226" s="850"/>
      <c r="T226" s="1101" t="s">
        <v>1200</v>
      </c>
      <c r="U226" s="770"/>
      <c r="V226" s="850"/>
      <c r="W226" s="850"/>
      <c r="X226" s="850"/>
      <c r="Y226" s="850"/>
    </row>
    <row r="227" spans="2:25" ht="15" outlineLevel="2">
      <c r="B227" s="850" t="s">
        <v>1169</v>
      </c>
      <c r="C227" s="850"/>
      <c r="D227" s="850"/>
      <c r="E227" s="850"/>
      <c r="F227" s="850"/>
      <c r="G227" s="850"/>
      <c r="H227" s="850"/>
      <c r="I227" s="850"/>
      <c r="J227" s="850"/>
      <c r="K227" s="850"/>
      <c r="L227" s="850"/>
      <c r="M227" s="850"/>
      <c r="N227" s="850"/>
      <c r="O227" s="850"/>
      <c r="P227" s="850"/>
      <c r="Q227" s="850"/>
      <c r="R227" s="850"/>
      <c r="S227" s="850"/>
      <c r="T227" s="771"/>
      <c r="U227" s="770"/>
      <c r="V227" s="850"/>
      <c r="W227" s="850"/>
      <c r="X227" s="850"/>
      <c r="Y227" s="850"/>
    </row>
    <row r="228" spans="2:25" ht="15" outlineLevel="2">
      <c r="B228" s="850" t="s">
        <v>1169</v>
      </c>
      <c r="C228" s="19">
        <v>3</v>
      </c>
      <c r="D228" s="1" t="s">
        <v>1281</v>
      </c>
      <c r="E228" s="850"/>
      <c r="F228" s="850"/>
      <c r="G228" s="850"/>
      <c r="H228" s="850"/>
      <c r="I228" s="850"/>
      <c r="J228" s="850"/>
      <c r="K228" s="850"/>
      <c r="L228" s="850"/>
      <c r="M228" s="850"/>
      <c r="N228" s="850"/>
      <c r="O228" s="850"/>
      <c r="P228" s="850"/>
      <c r="Q228" s="850"/>
      <c r="R228" s="850"/>
      <c r="S228" s="850"/>
      <c r="T228" s="771"/>
      <c r="U228" s="770"/>
      <c r="V228" s="850"/>
      <c r="W228" s="850"/>
      <c r="X228" s="850"/>
      <c r="Y228" s="850"/>
    </row>
    <row r="229" spans="2:25" ht="15" outlineLevel="2">
      <c r="B229" s="850" t="s">
        <v>1169</v>
      </c>
      <c r="C229" s="850"/>
      <c r="D229" s="850"/>
      <c r="E229" s="850" t="s">
        <v>1185</v>
      </c>
      <c r="F229" s="850" t="s">
        <v>1203</v>
      </c>
      <c r="G229" s="850" t="str">
        <f>_xlfn.XLOOKUP(F229,'A0.LS'!E:E,'A0.LS'!F:F)</f>
        <v>Lợi ích cổ đông không kiểm soát-BS</v>
      </c>
      <c r="H229" s="848">
        <f>965804</f>
        <v>965804</v>
      </c>
      <c r="I229" s="848"/>
      <c r="J229" s="850"/>
      <c r="K229" s="850"/>
      <c r="L229" s="175">
        <f>ROUND(SUM(H229:K229),0)</f>
        <v>965804</v>
      </c>
      <c r="M229" s="850" t="s">
        <v>1198</v>
      </c>
      <c r="N229" s="850" t="s">
        <v>1199</v>
      </c>
      <c r="O229" s="850">
        <v>2023</v>
      </c>
      <c r="P229" s="850"/>
      <c r="Q229" s="850"/>
      <c r="R229" s="850"/>
      <c r="S229" s="850"/>
      <c r="T229" s="1101" t="s">
        <v>1200</v>
      </c>
      <c r="U229" s="770"/>
      <c r="V229" s="850"/>
      <c r="W229" s="850"/>
      <c r="X229" s="850"/>
      <c r="Y229" s="850"/>
    </row>
    <row r="230" spans="2:25" ht="15" outlineLevel="2">
      <c r="B230" s="850" t="s">
        <v>1169</v>
      </c>
      <c r="C230" s="850"/>
      <c r="D230" s="850"/>
      <c r="E230" s="850" t="s">
        <v>1186</v>
      </c>
      <c r="F230" s="850" t="s">
        <v>215</v>
      </c>
      <c r="G230" s="850" t="str">
        <f>_xlfn.XLOOKUP(F230,'A0.LS'!E:E,'A0.LS'!F:F)</f>
        <v>Lợi nhuận sau thuế chưa phân phối năm trước</v>
      </c>
      <c r="H230" s="848"/>
      <c r="I230" s="848">
        <f>-H229</f>
        <v>-965804</v>
      </c>
      <c r="J230" s="850"/>
      <c r="K230" s="850"/>
      <c r="L230" s="848">
        <f>ROUND(SUM(H230:K230),0)</f>
        <v>-965804</v>
      </c>
      <c r="M230" s="850" t="s">
        <v>1198</v>
      </c>
      <c r="N230" s="850" t="s">
        <v>1199</v>
      </c>
      <c r="O230" s="850">
        <v>2023</v>
      </c>
      <c r="P230" s="850"/>
      <c r="Q230" s="850"/>
      <c r="R230" s="850"/>
      <c r="S230" s="850"/>
      <c r="T230" s="1101" t="s">
        <v>1200</v>
      </c>
      <c r="U230" s="770"/>
      <c r="V230" s="850"/>
      <c r="W230" s="850"/>
      <c r="X230" s="850"/>
      <c r="Y230" s="850"/>
    </row>
    <row r="231" spans="2:25" ht="15" outlineLevel="2">
      <c r="B231" s="850" t="s">
        <v>1169</v>
      </c>
      <c r="C231" s="850"/>
      <c r="D231" s="850"/>
      <c r="E231" s="850"/>
      <c r="F231" s="850"/>
      <c r="G231" s="850"/>
      <c r="H231" s="850"/>
      <c r="I231" s="850"/>
      <c r="J231" s="850"/>
      <c r="K231" s="850"/>
      <c r="L231" s="850"/>
      <c r="M231" s="850"/>
      <c r="N231" s="850"/>
      <c r="O231" s="850"/>
      <c r="P231" s="850"/>
      <c r="Q231" s="850"/>
      <c r="R231" s="850"/>
      <c r="S231" s="850"/>
      <c r="T231" s="771"/>
      <c r="U231" s="770"/>
      <c r="V231" s="850"/>
      <c r="W231" s="850"/>
      <c r="X231" s="850"/>
      <c r="Y231" s="850"/>
    </row>
    <row r="232" spans="2:25" ht="15" outlineLevel="2">
      <c r="B232" s="850" t="s">
        <v>1169</v>
      </c>
      <c r="C232" s="19">
        <v>4</v>
      </c>
      <c r="D232" s="1" t="s">
        <v>1282</v>
      </c>
      <c r="E232" s="850"/>
      <c r="F232" s="850"/>
      <c r="G232" s="850"/>
      <c r="H232" s="850"/>
      <c r="I232" s="850"/>
      <c r="J232" s="850"/>
      <c r="K232" s="850"/>
      <c r="L232" s="850"/>
      <c r="M232" s="850"/>
      <c r="N232" s="850"/>
      <c r="O232" s="850"/>
      <c r="P232" s="850"/>
      <c r="Q232" s="850"/>
      <c r="R232" s="850"/>
      <c r="S232" s="850"/>
      <c r="T232" s="771"/>
      <c r="U232" s="770"/>
      <c r="V232" s="850"/>
      <c r="W232" s="850"/>
      <c r="X232" s="850"/>
      <c r="Y232" s="850"/>
    </row>
    <row r="233" spans="2:25" ht="15" outlineLevel="2">
      <c r="B233" s="850" t="s">
        <v>1169</v>
      </c>
      <c r="C233" s="850"/>
      <c r="D233" s="850"/>
      <c r="E233" s="850" t="s">
        <v>1185</v>
      </c>
      <c r="F233" s="859" t="s">
        <v>1203</v>
      </c>
      <c r="G233" s="850" t="str">
        <f>_xlfn.XLOOKUP(F233,'A0.LS'!E:E,'A0.LS'!F:F)</f>
        <v>Lợi ích cổ đông không kiểm soát-BS</v>
      </c>
      <c r="H233" s="848">
        <f>-Group!C118</f>
        <v>1019027.75</v>
      </c>
      <c r="I233" s="850"/>
      <c r="J233" s="850"/>
      <c r="K233" s="850"/>
      <c r="L233" s="1033">
        <f t="shared" ref="L233:L234" si="45">ROUND(SUM(H233:K233),0)</f>
        <v>1019028</v>
      </c>
      <c r="M233" s="850" t="s">
        <v>1198</v>
      </c>
      <c r="N233" s="850" t="s">
        <v>1199</v>
      </c>
      <c r="O233" s="850" t="s">
        <v>1224</v>
      </c>
      <c r="P233" s="850"/>
      <c r="Q233" s="850"/>
      <c r="R233" s="850"/>
      <c r="S233" s="850"/>
      <c r="T233" s="1101" t="s">
        <v>1200</v>
      </c>
      <c r="U233" s="770"/>
      <c r="V233" s="850"/>
      <c r="W233" s="850"/>
      <c r="X233" s="850"/>
      <c r="Y233" s="850"/>
    </row>
    <row r="234" spans="2:25" ht="15" outlineLevel="2">
      <c r="B234" s="850" t="s">
        <v>1169</v>
      </c>
      <c r="C234" s="850"/>
      <c r="D234" s="850"/>
      <c r="E234" s="850" t="s">
        <v>1186</v>
      </c>
      <c r="F234" s="850" t="s">
        <v>1217</v>
      </c>
      <c r="G234" s="850" t="str">
        <f>_xlfn.XLOOKUP(F234,'A0.LS'!E:E,'A0.LS'!F:F)</f>
        <v>Lợi ích cổ đông không kiểm soát-PL</v>
      </c>
      <c r="H234" s="850"/>
      <c r="I234" s="857">
        <f>-H233</f>
        <v>-1019027.75</v>
      </c>
      <c r="J234" s="850"/>
      <c r="K234" s="850"/>
      <c r="L234" s="1033">
        <f t="shared" si="45"/>
        <v>-1019028</v>
      </c>
      <c r="M234" s="850" t="s">
        <v>1198</v>
      </c>
      <c r="N234" s="850" t="s">
        <v>1199</v>
      </c>
      <c r="O234" s="850" t="s">
        <v>1224</v>
      </c>
      <c r="P234" s="850" t="s">
        <v>1217</v>
      </c>
      <c r="Q234" s="850"/>
      <c r="R234" s="850"/>
      <c r="S234" s="850"/>
      <c r="T234" s="1101" t="s">
        <v>1200</v>
      </c>
      <c r="U234" s="770"/>
      <c r="V234" s="850"/>
      <c r="W234" s="850"/>
      <c r="X234" s="850"/>
      <c r="Y234" s="850"/>
    </row>
    <row r="235" spans="2:25" ht="15" outlineLevel="2">
      <c r="B235" s="850" t="s">
        <v>1169</v>
      </c>
      <c r="C235" s="850"/>
      <c r="D235" s="850"/>
      <c r="E235" s="850"/>
      <c r="F235" s="850"/>
      <c r="G235" s="850"/>
      <c r="H235" s="850"/>
      <c r="I235" s="850"/>
      <c r="J235" s="850"/>
      <c r="K235" s="850"/>
      <c r="L235" s="850"/>
      <c r="M235" s="850"/>
      <c r="N235" s="850"/>
      <c r="O235" s="850"/>
      <c r="P235" s="850"/>
      <c r="Q235" s="850"/>
      <c r="R235" s="850"/>
      <c r="S235" s="850"/>
      <c r="T235" s="771"/>
      <c r="U235" s="770"/>
      <c r="V235" s="850"/>
      <c r="W235" s="850"/>
      <c r="X235" s="850"/>
      <c r="Y235" s="850"/>
    </row>
    <row r="236" spans="2:25" s="623" customFormat="1" ht="15" hidden="1" outlineLevel="1">
      <c r="B236" s="307" t="s">
        <v>1283</v>
      </c>
      <c r="C236" s="306"/>
      <c r="D236" s="306"/>
      <c r="E236" s="306"/>
      <c r="F236" s="306"/>
      <c r="G236" s="306"/>
      <c r="H236" s="306"/>
      <c r="I236" s="306"/>
      <c r="J236" s="306"/>
      <c r="K236" s="306"/>
      <c r="L236" s="306"/>
      <c r="M236" s="306"/>
      <c r="N236" s="306"/>
      <c r="O236" s="306"/>
      <c r="P236" s="306"/>
      <c r="Q236" s="306"/>
      <c r="R236" s="850"/>
      <c r="S236" s="850"/>
      <c r="T236" s="771"/>
      <c r="U236" s="770"/>
      <c r="V236" s="850"/>
      <c r="W236" s="850"/>
      <c r="X236" s="850"/>
      <c r="Y236" s="850"/>
    </row>
    <row r="237" spans="2:25" ht="15" outlineLevel="2">
      <c r="B237" s="850" t="s">
        <v>1169</v>
      </c>
      <c r="C237" s="19">
        <v>1</v>
      </c>
      <c r="D237" s="1" t="s">
        <v>1284</v>
      </c>
      <c r="E237" s="850"/>
      <c r="F237" s="850"/>
      <c r="G237" s="850"/>
      <c r="H237" s="850"/>
      <c r="I237" s="850"/>
      <c r="J237" s="850"/>
      <c r="K237" s="850"/>
      <c r="L237" s="850"/>
      <c r="M237" s="850"/>
      <c r="N237" s="850"/>
      <c r="O237" s="850"/>
      <c r="P237" s="850"/>
      <c r="Q237" s="850"/>
      <c r="R237" s="850"/>
      <c r="S237" s="850"/>
      <c r="T237" s="771"/>
      <c r="U237" s="770"/>
      <c r="V237" s="850"/>
      <c r="W237" s="850"/>
      <c r="X237" s="850"/>
      <c r="Y237" s="850"/>
    </row>
    <row r="238" spans="2:25" ht="15" outlineLevel="2">
      <c r="B238" s="850" t="s">
        <v>1169</v>
      </c>
      <c r="C238" s="850"/>
      <c r="D238" s="850"/>
      <c r="E238" s="850" t="s">
        <v>1185</v>
      </c>
      <c r="F238" s="850" t="s">
        <v>1203</v>
      </c>
      <c r="G238" s="850" t="str">
        <f>_xlfn.XLOOKUP(F238,'A0.LS'!E:E,'A0.LS'!F:F)</f>
        <v>Lợi ích cổ đông không kiểm soát-BS</v>
      </c>
      <c r="H238" s="848">
        <v>1000000</v>
      </c>
      <c r="I238" s="850"/>
      <c r="J238" s="850"/>
      <c r="K238" s="850"/>
      <c r="L238" s="1033">
        <f t="shared" ref="L238:L239" si="46">ROUND(SUM(H238:K238),0)</f>
        <v>1000000</v>
      </c>
      <c r="M238" s="850" t="s">
        <v>1198</v>
      </c>
      <c r="N238" s="850" t="s">
        <v>1199</v>
      </c>
      <c r="O238" s="850">
        <v>2022</v>
      </c>
      <c r="P238" s="850"/>
      <c r="Q238" s="850"/>
      <c r="R238" s="850"/>
      <c r="S238" s="850"/>
      <c r="T238" s="1101" t="s">
        <v>1200</v>
      </c>
      <c r="U238" s="770"/>
      <c r="V238" s="850"/>
      <c r="W238" s="850"/>
      <c r="X238" s="850"/>
      <c r="Y238" s="850"/>
    </row>
    <row r="239" spans="2:25" ht="15" outlineLevel="2">
      <c r="B239" s="850" t="s">
        <v>1169</v>
      </c>
      <c r="C239" s="850"/>
      <c r="D239" s="850"/>
      <c r="E239" s="850" t="s">
        <v>1186</v>
      </c>
      <c r="F239" s="859" t="s">
        <v>99</v>
      </c>
      <c r="G239" s="850" t="str">
        <f>_xlfn.XLOOKUP(F239,'A0.LS'!E:E,'A0.LS'!F:F)</f>
        <v>Đầu tư khác</v>
      </c>
      <c r="H239" s="850"/>
      <c r="I239" s="857">
        <f>-H238</f>
        <v>-1000000</v>
      </c>
      <c r="J239" s="850"/>
      <c r="K239" s="850"/>
      <c r="L239" s="1033">
        <f t="shared" si="46"/>
        <v>-1000000</v>
      </c>
      <c r="M239" s="850" t="s">
        <v>1198</v>
      </c>
      <c r="N239" s="850" t="s">
        <v>1199</v>
      </c>
      <c r="O239" s="850"/>
      <c r="P239" s="850"/>
      <c r="Q239" s="850"/>
      <c r="R239" s="850"/>
      <c r="S239" s="850"/>
      <c r="T239" s="1101" t="s">
        <v>1200</v>
      </c>
      <c r="U239" s="770"/>
      <c r="V239" s="850"/>
      <c r="W239" s="850"/>
      <c r="X239" s="850"/>
      <c r="Y239" s="850"/>
    </row>
    <row r="240" spans="2:25" ht="15" outlineLevel="2">
      <c r="B240" s="850" t="s">
        <v>1169</v>
      </c>
      <c r="C240" s="850"/>
      <c r="D240" s="850"/>
      <c r="E240" s="850"/>
      <c r="F240" s="850"/>
      <c r="G240" s="850"/>
      <c r="H240" s="850"/>
      <c r="I240" s="850"/>
      <c r="J240" s="850"/>
      <c r="K240" s="850"/>
      <c r="L240" s="850"/>
      <c r="M240" s="850"/>
      <c r="N240" s="850"/>
      <c r="O240" s="850"/>
      <c r="P240" s="850"/>
      <c r="Q240" s="850"/>
      <c r="R240" s="850"/>
      <c r="S240" s="850"/>
      <c r="T240" s="771"/>
      <c r="U240" s="770"/>
      <c r="V240" s="850"/>
      <c r="W240" s="850"/>
      <c r="X240" s="850"/>
      <c r="Y240" s="850"/>
    </row>
    <row r="241" spans="2:25" ht="15" outlineLevel="2">
      <c r="B241" s="850" t="s">
        <v>1169</v>
      </c>
      <c r="C241" s="19">
        <v>2</v>
      </c>
      <c r="D241" s="1" t="s">
        <v>1285</v>
      </c>
      <c r="E241" s="850"/>
      <c r="F241" s="850"/>
      <c r="G241" s="850"/>
      <c r="H241" s="850"/>
      <c r="I241" s="850"/>
      <c r="J241" s="850"/>
      <c r="K241" s="850"/>
      <c r="L241" s="850"/>
      <c r="M241" s="850"/>
      <c r="N241" s="850"/>
      <c r="O241" s="850"/>
      <c r="P241" s="850"/>
      <c r="Q241" s="850"/>
      <c r="R241" s="850"/>
      <c r="S241" s="850"/>
      <c r="T241" s="1101" t="s">
        <v>1200</v>
      </c>
      <c r="U241" s="770"/>
      <c r="V241" s="850"/>
      <c r="W241" s="850"/>
      <c r="X241" s="850"/>
      <c r="Y241" s="850"/>
    </row>
    <row r="242" spans="2:25" ht="15" outlineLevel="2">
      <c r="B242" s="850" t="s">
        <v>1169</v>
      </c>
      <c r="C242" s="850"/>
      <c r="D242" s="850"/>
      <c r="E242" s="850" t="s">
        <v>1185</v>
      </c>
      <c r="F242" s="850" t="s">
        <v>215</v>
      </c>
      <c r="G242" s="850" t="str">
        <f>_xlfn.XLOOKUP(F242,'A0.LS'!E:E,'A0.LS'!F:F)</f>
        <v>Lợi nhuận sau thuế chưa phân phối năm trước</v>
      </c>
      <c r="H242" s="848">
        <v>8085</v>
      </c>
      <c r="I242" s="850"/>
      <c r="J242" s="850"/>
      <c r="K242" s="850"/>
      <c r="L242" s="1033">
        <f t="shared" ref="L242:L243" si="47">ROUND(SUM(H242:K242),0)</f>
        <v>8085</v>
      </c>
      <c r="M242" s="850" t="s">
        <v>1198</v>
      </c>
      <c r="N242" s="850" t="s">
        <v>1199</v>
      </c>
      <c r="O242" s="850">
        <v>2023</v>
      </c>
      <c r="P242" s="850" t="s">
        <v>1217</v>
      </c>
      <c r="Q242" s="850"/>
      <c r="R242" s="850"/>
      <c r="S242" s="850"/>
      <c r="T242" s="1158" t="s">
        <v>1200</v>
      </c>
      <c r="U242" s="773"/>
      <c r="V242" s="850"/>
      <c r="W242" s="850"/>
      <c r="X242" s="850"/>
      <c r="Y242" s="850"/>
    </row>
    <row r="243" spans="2:25" outlineLevel="2">
      <c r="B243" s="850" t="s">
        <v>1169</v>
      </c>
      <c r="C243" s="850"/>
      <c r="D243" s="850"/>
      <c r="E243" s="850" t="s">
        <v>1186</v>
      </c>
      <c r="F243" s="850" t="s">
        <v>1203</v>
      </c>
      <c r="G243" s="850" t="str">
        <f>_xlfn.XLOOKUP(F243,'A0.LS'!E:E,'A0.LS'!F:F)</f>
        <v>Lợi ích cổ đông không kiểm soát-BS</v>
      </c>
      <c r="H243" s="850"/>
      <c r="I243" s="857">
        <f>-H242</f>
        <v>-8085</v>
      </c>
      <c r="J243" s="850"/>
      <c r="K243" s="850"/>
      <c r="L243" s="1033">
        <f t="shared" si="47"/>
        <v>-8085</v>
      </c>
      <c r="M243" s="850" t="s">
        <v>1198</v>
      </c>
      <c r="N243" s="850" t="s">
        <v>1199</v>
      </c>
      <c r="O243" s="850">
        <v>2023</v>
      </c>
      <c r="P243" s="850"/>
      <c r="Q243" s="850"/>
      <c r="R243" s="850"/>
      <c r="S243" s="850"/>
      <c r="T243" s="850"/>
      <c r="U243" s="850"/>
      <c r="V243" s="850"/>
      <c r="W243" s="850"/>
      <c r="X243" s="850"/>
      <c r="Y243" s="850"/>
    </row>
    <row r="244" spans="2:25" outlineLevel="2">
      <c r="B244" s="850" t="s">
        <v>1169</v>
      </c>
      <c r="C244" s="850"/>
      <c r="D244" s="850"/>
      <c r="E244" s="850"/>
      <c r="F244" s="850"/>
      <c r="G244" s="850"/>
      <c r="H244" s="850"/>
      <c r="I244" s="850"/>
      <c r="J244" s="850"/>
      <c r="K244" s="850"/>
      <c r="L244" s="850"/>
      <c r="M244" s="850"/>
      <c r="N244" s="850"/>
      <c r="O244" s="850"/>
      <c r="P244" s="850"/>
      <c r="Q244" s="850"/>
      <c r="R244" s="850"/>
      <c r="S244" s="850"/>
      <c r="T244" s="850"/>
      <c r="U244" s="850"/>
      <c r="V244" s="850"/>
      <c r="W244" s="850"/>
      <c r="X244" s="850"/>
      <c r="Y244" s="850"/>
    </row>
    <row r="245" spans="2:25" outlineLevel="2">
      <c r="B245" s="850" t="s">
        <v>1169</v>
      </c>
      <c r="C245" s="19">
        <v>3</v>
      </c>
      <c r="D245" s="1" t="s">
        <v>1286</v>
      </c>
      <c r="E245" s="850"/>
      <c r="F245" s="850"/>
      <c r="G245" s="850"/>
      <c r="H245" s="850"/>
      <c r="I245" s="850"/>
      <c r="J245" s="850"/>
      <c r="K245" s="850"/>
      <c r="L245" s="850"/>
      <c r="M245" s="850"/>
      <c r="N245" s="850"/>
      <c r="O245" s="850"/>
      <c r="P245" s="850"/>
      <c r="Q245" s="850"/>
      <c r="R245" s="850"/>
      <c r="S245" s="850"/>
      <c r="T245" s="850"/>
      <c r="U245" s="850"/>
      <c r="V245" s="850"/>
      <c r="W245" s="850"/>
      <c r="X245" s="850"/>
      <c r="Y245" s="850"/>
    </row>
    <row r="246" spans="2:25" outlineLevel="2">
      <c r="B246" s="850" t="s">
        <v>1169</v>
      </c>
      <c r="C246" s="850"/>
      <c r="D246" s="850"/>
      <c r="E246" s="850" t="s">
        <v>1185</v>
      </c>
      <c r="F246" s="859" t="s">
        <v>104</v>
      </c>
      <c r="G246" s="850" t="str">
        <f>_xlfn.XLOOKUP(F246,'A0.LS'!E:E,'A0.LS'!F:F)</f>
        <v>Dự phòng tổn thất đầu tư vào đơn vị khác</v>
      </c>
      <c r="H246" s="848">
        <v>1005125</v>
      </c>
      <c r="I246" s="850"/>
      <c r="J246" s="850"/>
      <c r="K246" s="850"/>
      <c r="L246" s="1033">
        <f t="shared" ref="L246:L247" si="48">ROUND(SUM(H246:K246),0)</f>
        <v>1005125</v>
      </c>
      <c r="M246" s="850"/>
      <c r="N246" s="850"/>
      <c r="O246" s="850"/>
      <c r="P246" s="850"/>
      <c r="Q246" s="850"/>
      <c r="R246" s="850"/>
      <c r="S246" s="850"/>
      <c r="T246" s="850"/>
      <c r="U246" s="850"/>
      <c r="V246" s="850"/>
      <c r="W246" s="850"/>
      <c r="X246" s="850"/>
      <c r="Y246" s="850"/>
    </row>
    <row r="247" spans="2:25" outlineLevel="2">
      <c r="B247" s="850" t="s">
        <v>1169</v>
      </c>
      <c r="C247" s="850"/>
      <c r="D247" s="850"/>
      <c r="E247" s="850" t="s">
        <v>1186</v>
      </c>
      <c r="F247" s="859" t="s">
        <v>215</v>
      </c>
      <c r="G247" s="850" t="str">
        <f>_xlfn.XLOOKUP(F247,'A0.LS'!E:E,'A0.LS'!F:F)</f>
        <v>Lợi nhuận sau thuế chưa phân phối năm trước</v>
      </c>
      <c r="H247" s="850"/>
      <c r="I247" s="857">
        <f>-H246</f>
        <v>-1005125</v>
      </c>
      <c r="J247" s="850"/>
      <c r="K247" s="850"/>
      <c r="L247" s="1033">
        <f t="shared" si="48"/>
        <v>-1005125</v>
      </c>
      <c r="M247" s="850"/>
      <c r="N247" s="850"/>
      <c r="O247" s="850"/>
      <c r="P247" s="850"/>
      <c r="Q247" s="850"/>
      <c r="R247" s="850"/>
      <c r="S247" s="850"/>
      <c r="T247" s="850"/>
      <c r="U247" s="850"/>
      <c r="V247" s="850"/>
      <c r="W247" s="850"/>
      <c r="X247" s="850"/>
      <c r="Y247" s="850"/>
    </row>
    <row r="248" spans="2:25" outlineLevel="2">
      <c r="B248" s="850" t="s">
        <v>1169</v>
      </c>
      <c r="C248" s="850"/>
      <c r="D248" s="850"/>
      <c r="E248" s="850"/>
      <c r="F248" s="850"/>
      <c r="G248" s="850"/>
      <c r="H248" s="850"/>
      <c r="I248" s="850"/>
      <c r="J248" s="850"/>
      <c r="K248" s="850"/>
      <c r="L248" s="850"/>
      <c r="M248" s="850"/>
      <c r="N248" s="850"/>
      <c r="O248" s="850"/>
      <c r="P248" s="850"/>
      <c r="Q248" s="850"/>
      <c r="R248" s="850"/>
      <c r="S248" s="850"/>
      <c r="T248" s="850"/>
      <c r="U248" s="850"/>
      <c r="V248" s="850"/>
      <c r="W248" s="850"/>
      <c r="X248" s="850"/>
      <c r="Y248" s="850"/>
    </row>
    <row r="249" spans="2:25" hidden="1">
      <c r="B249" s="171" t="s">
        <v>1287</v>
      </c>
      <c r="C249" s="171"/>
      <c r="D249" s="171"/>
      <c r="E249" s="171"/>
      <c r="F249" s="171"/>
      <c r="G249" s="171"/>
      <c r="H249" s="171"/>
      <c r="I249" s="171"/>
      <c r="J249" s="171"/>
      <c r="K249" s="171"/>
      <c r="L249" s="171"/>
      <c r="M249" s="171"/>
      <c r="N249" s="171"/>
      <c r="O249" s="171"/>
      <c r="P249" s="171"/>
      <c r="Q249" s="171"/>
      <c r="R249" s="850"/>
      <c r="S249" s="850"/>
      <c r="T249" s="850"/>
      <c r="U249" s="850"/>
      <c r="V249" s="850"/>
      <c r="W249" s="850"/>
      <c r="X249" s="850"/>
      <c r="Y249" s="850"/>
    </row>
    <row r="250" spans="2:25" outlineLevel="1">
      <c r="B250" s="850" t="s">
        <v>1169</v>
      </c>
      <c r="C250" s="19">
        <v>4</v>
      </c>
      <c r="D250" s="1" t="s">
        <v>1288</v>
      </c>
      <c r="E250" s="850"/>
      <c r="F250" s="850"/>
      <c r="G250" s="850"/>
      <c r="H250" s="850"/>
      <c r="I250" s="850"/>
      <c r="J250" s="850"/>
      <c r="K250" s="850"/>
      <c r="L250" s="850"/>
      <c r="M250" s="850"/>
      <c r="N250" s="850"/>
      <c r="O250" s="850"/>
      <c r="P250" s="850"/>
      <c r="Q250" s="850"/>
      <c r="R250" s="850"/>
      <c r="S250" s="850"/>
      <c r="T250" s="850"/>
      <c r="U250" s="850"/>
      <c r="V250" s="850"/>
      <c r="W250" s="850"/>
      <c r="X250" s="850"/>
      <c r="Y250" s="850"/>
    </row>
    <row r="251" spans="2:25" outlineLevel="1">
      <c r="B251" s="850" t="s">
        <v>1169</v>
      </c>
      <c r="C251" s="850"/>
      <c r="D251" s="850"/>
      <c r="E251" s="850" t="s">
        <v>1185</v>
      </c>
      <c r="F251" s="859" t="s">
        <v>217</v>
      </c>
      <c r="G251" s="850" t="str">
        <f>_xlfn.XLOOKUP(F251,'A0.LS'!E:E,'A0.LS'!F:F)</f>
        <v>Lợi nhuận sau thuế chưa phân phối năm nay</v>
      </c>
      <c r="H251" s="850"/>
      <c r="I251" s="850"/>
      <c r="J251" s="850"/>
      <c r="K251" s="850"/>
      <c r="L251" s="848">
        <f>ROUND(SUM(H251:K251),0)</f>
        <v>0</v>
      </c>
      <c r="M251" s="850" t="s">
        <v>1198</v>
      </c>
      <c r="N251" s="850" t="s">
        <v>1199</v>
      </c>
      <c r="O251" s="850"/>
      <c r="P251" s="850"/>
      <c r="Q251" s="850"/>
      <c r="R251" s="850"/>
      <c r="S251" s="850"/>
      <c r="T251" s="850"/>
      <c r="U251" s="850"/>
      <c r="V251" s="850"/>
      <c r="W251" s="850"/>
      <c r="X251" s="850"/>
      <c r="Y251" s="850"/>
    </row>
    <row r="252" spans="2:25" outlineLevel="1">
      <c r="B252" s="850" t="s">
        <v>1169</v>
      </c>
      <c r="C252" s="850"/>
      <c r="D252" s="850"/>
      <c r="E252" s="850" t="s">
        <v>1186</v>
      </c>
      <c r="F252" s="850" t="s">
        <v>1203</v>
      </c>
      <c r="G252" s="850" t="str">
        <f>_xlfn.XLOOKUP(F252,'A0.LS'!E:E,'A0.LS'!F:F)</f>
        <v>Lợi ích cổ đông không kiểm soát-BS</v>
      </c>
      <c r="H252" s="850"/>
      <c r="I252" s="848"/>
      <c r="J252" s="850"/>
      <c r="K252" s="850"/>
      <c r="L252" s="175">
        <f>ROUND(SUM(H252:K252),0)</f>
        <v>0</v>
      </c>
      <c r="M252" s="850" t="s">
        <v>1198</v>
      </c>
      <c r="N252" s="850" t="s">
        <v>1199</v>
      </c>
      <c r="O252" s="850">
        <v>2022</v>
      </c>
      <c r="P252" s="850"/>
      <c r="Q252" s="850"/>
      <c r="R252" s="850"/>
      <c r="S252" s="850"/>
      <c r="T252" s="850"/>
      <c r="U252" s="850"/>
      <c r="V252" s="850"/>
      <c r="W252" s="850"/>
      <c r="X252" s="850"/>
      <c r="Y252" s="850"/>
    </row>
    <row r="253" spans="2:25" outlineLevel="1">
      <c r="B253" s="850" t="s">
        <v>1169</v>
      </c>
      <c r="C253" s="850"/>
      <c r="D253" s="850"/>
      <c r="E253" s="850" t="s">
        <v>1186</v>
      </c>
      <c r="F253" s="859" t="s">
        <v>444</v>
      </c>
      <c r="G253" s="850" t="str">
        <f>_xlfn.XLOOKUP(F253,'A0.LS'!E:E,'A0.LS'!F:F)</f>
        <v>Chi phí khác</v>
      </c>
      <c r="H253" s="850"/>
      <c r="I253" s="848"/>
      <c r="J253" s="850"/>
      <c r="K253" s="850"/>
      <c r="L253" s="848">
        <f>ROUND(SUM(H253:K253),0)</f>
        <v>0</v>
      </c>
      <c r="M253" s="850" t="s">
        <v>1198</v>
      </c>
      <c r="N253" s="850" t="s">
        <v>1199</v>
      </c>
      <c r="O253" s="850"/>
      <c r="P253" s="850"/>
      <c r="Q253" s="850"/>
      <c r="R253" s="850"/>
      <c r="S253" s="850"/>
      <c r="T253" s="850"/>
      <c r="U253" s="850"/>
      <c r="V253" s="850"/>
      <c r="W253" s="850"/>
      <c r="X253" s="850"/>
      <c r="Y253" s="850"/>
    </row>
    <row r="254" spans="2:25" outlineLevel="1">
      <c r="B254" s="850" t="s">
        <v>1169</v>
      </c>
      <c r="C254" s="850"/>
      <c r="D254" s="850"/>
      <c r="E254" s="850"/>
      <c r="F254" s="850"/>
      <c r="G254" s="850"/>
      <c r="H254" s="850"/>
      <c r="I254" s="850"/>
      <c r="J254" s="850"/>
      <c r="K254" s="850"/>
      <c r="L254" s="850"/>
      <c r="M254" s="850"/>
      <c r="N254" s="850"/>
      <c r="O254" s="850"/>
      <c r="P254" s="850"/>
      <c r="Q254" s="850"/>
      <c r="R254" s="850"/>
      <c r="S254" s="850"/>
      <c r="T254" s="850"/>
      <c r="U254" s="850"/>
      <c r="V254" s="850"/>
      <c r="W254" s="850"/>
      <c r="X254" s="850"/>
      <c r="Y254" s="850"/>
    </row>
    <row r="255" spans="2:25" outlineLevel="1">
      <c r="B255" s="850" t="s">
        <v>1169</v>
      </c>
      <c r="C255" s="19">
        <v>5</v>
      </c>
      <c r="D255" s="1" t="s">
        <v>1289</v>
      </c>
      <c r="E255" s="850"/>
      <c r="F255" s="850"/>
      <c r="G255" s="850"/>
      <c r="H255" s="850"/>
      <c r="I255" s="850"/>
      <c r="J255" s="850"/>
      <c r="K255" s="850"/>
      <c r="L255" s="850"/>
      <c r="M255" s="850"/>
      <c r="N255" s="850"/>
      <c r="O255" s="850"/>
      <c r="P255" s="850"/>
      <c r="Q255" s="850"/>
      <c r="R255" s="850"/>
      <c r="S255" s="850"/>
      <c r="T255" s="850"/>
      <c r="U255" s="850"/>
      <c r="V255" s="850"/>
      <c r="W255" s="850"/>
      <c r="X255" s="850"/>
      <c r="Y255" s="850"/>
    </row>
    <row r="256" spans="2:25" outlineLevel="1">
      <c r="B256" s="850" t="s">
        <v>1169</v>
      </c>
      <c r="C256" s="850"/>
      <c r="D256" s="850"/>
      <c r="E256" s="850" t="s">
        <v>1185</v>
      </c>
      <c r="F256" s="859" t="s">
        <v>1290</v>
      </c>
      <c r="G256" s="850" t="str">
        <f>_xlfn.XLOOKUP(F256,'A0.LS'!E:E,'A0.LS'!F:F)</f>
        <v>Chi phí tiêu dùng nội bộ từ vàng và dịch vụ phần mềm</v>
      </c>
      <c r="H256" s="1007">
        <f>'A4.N2FS Consol'!F525+'A4.N2FS Consol'!F528</f>
        <v>2587505032</v>
      </c>
      <c r="I256" s="850"/>
      <c r="J256" s="850"/>
      <c r="K256" s="850"/>
      <c r="L256" s="848">
        <f>ROUND(SUM(H256:K256),0)</f>
        <v>2587505032</v>
      </c>
      <c r="M256" s="850" t="s">
        <v>1198</v>
      </c>
      <c r="N256" s="850" t="s">
        <v>1199</v>
      </c>
      <c r="O256" s="850"/>
      <c r="P256" s="850"/>
      <c r="Q256" s="850"/>
      <c r="R256" s="850"/>
      <c r="S256" s="850"/>
      <c r="T256" s="850"/>
      <c r="U256" s="850"/>
      <c r="V256" s="850"/>
      <c r="W256" s="850"/>
      <c r="X256" s="850"/>
      <c r="Y256" s="850"/>
    </row>
    <row r="257" spans="2:25" outlineLevel="1">
      <c r="B257" s="850" t="s">
        <v>1169</v>
      </c>
      <c r="C257" s="850"/>
      <c r="D257" s="850"/>
      <c r="E257" s="850" t="s">
        <v>1186</v>
      </c>
      <c r="F257" s="850" t="s">
        <v>1291</v>
      </c>
      <c r="G257" s="850" t="str">
        <f>_xlfn.XLOOKUP(F257,'A0.LS'!E:E,'A0.LS'!F:F)</f>
        <v>Chi phí tiêu dùng nội bộ</v>
      </c>
      <c r="H257" s="850"/>
      <c r="I257" s="857">
        <f>-H256</f>
        <v>-2587505032</v>
      </c>
      <c r="J257" s="850"/>
      <c r="K257" s="850"/>
      <c r="L257" s="848">
        <f>ROUND(SUM(H257:K257),0)</f>
        <v>-2587505032</v>
      </c>
      <c r="M257" s="850" t="s">
        <v>1198</v>
      </c>
      <c r="N257" s="850" t="s">
        <v>1199</v>
      </c>
      <c r="O257" s="850"/>
      <c r="P257" s="850"/>
      <c r="Q257" s="850"/>
      <c r="R257" s="850"/>
      <c r="S257" s="850"/>
      <c r="T257" s="850"/>
      <c r="U257" s="850"/>
      <c r="V257" s="850"/>
      <c r="W257" s="850"/>
      <c r="X257" s="850"/>
      <c r="Y257" s="850"/>
    </row>
    <row r="258" spans="2:25" outlineLevel="1">
      <c r="B258" s="850" t="s">
        <v>1169</v>
      </c>
      <c r="C258" s="850"/>
      <c r="D258" s="850"/>
      <c r="E258" s="850"/>
      <c r="F258" s="850"/>
      <c r="G258" s="850"/>
      <c r="H258" s="850"/>
      <c r="I258" s="850"/>
      <c r="J258" s="850"/>
      <c r="K258" s="850"/>
      <c r="L258" s="850"/>
      <c r="M258" s="850"/>
      <c r="N258" s="850"/>
      <c r="O258" s="850"/>
      <c r="P258" s="850"/>
      <c r="Q258" s="850"/>
      <c r="R258" s="850"/>
      <c r="S258" s="850"/>
      <c r="T258" s="850"/>
      <c r="U258" s="850"/>
      <c r="V258" s="850"/>
      <c r="W258" s="850"/>
      <c r="X258" s="850"/>
      <c r="Y258" s="850"/>
    </row>
    <row r="259" spans="2:25" outlineLevel="1">
      <c r="B259" s="850" t="s">
        <v>1169</v>
      </c>
      <c r="C259" s="850"/>
      <c r="D259" s="850"/>
      <c r="E259" s="850"/>
      <c r="F259" s="850"/>
      <c r="G259" s="850"/>
      <c r="H259" s="850"/>
      <c r="I259" s="850"/>
      <c r="J259" s="850"/>
      <c r="K259" s="850"/>
      <c r="L259" s="850"/>
      <c r="M259" s="850"/>
      <c r="N259" s="850"/>
      <c r="O259" s="850"/>
      <c r="P259" s="850"/>
      <c r="Q259" s="850"/>
      <c r="R259" s="850"/>
      <c r="S259" s="850"/>
      <c r="T259" s="850"/>
      <c r="U259" s="850"/>
      <c r="V259" s="850"/>
      <c r="W259" s="850"/>
      <c r="X259" s="850"/>
      <c r="Y259" s="850"/>
    </row>
    <row r="260" spans="2:25" outlineLevel="1">
      <c r="B260" s="850" t="s">
        <v>1169</v>
      </c>
      <c r="C260" s="850"/>
      <c r="D260" s="850"/>
      <c r="E260" s="850"/>
      <c r="F260" s="850"/>
      <c r="G260" s="850"/>
      <c r="H260" s="850"/>
      <c r="I260" s="850"/>
      <c r="J260" s="850"/>
      <c r="K260" s="850"/>
      <c r="L260" s="850"/>
      <c r="M260" s="850"/>
      <c r="N260" s="850"/>
      <c r="O260" s="850"/>
      <c r="P260" s="850"/>
      <c r="Q260" s="850"/>
      <c r="R260" s="850"/>
      <c r="S260" s="850"/>
      <c r="T260" s="850"/>
      <c r="U260" s="850"/>
      <c r="V260" s="850"/>
      <c r="W260" s="850"/>
      <c r="X260" s="850"/>
      <c r="Y260" s="850"/>
    </row>
    <row r="261" spans="2:25" outlineLevel="1">
      <c r="B261" s="850" t="s">
        <v>1169</v>
      </c>
      <c r="C261" s="850"/>
      <c r="D261" s="850"/>
      <c r="E261" s="850"/>
      <c r="F261" s="850"/>
      <c r="G261" s="850"/>
      <c r="H261" s="850"/>
      <c r="I261" s="850"/>
      <c r="J261" s="850"/>
      <c r="K261" s="850"/>
      <c r="L261" s="850"/>
      <c r="M261" s="850"/>
      <c r="N261" s="850"/>
      <c r="O261" s="850"/>
      <c r="P261" s="850"/>
      <c r="Q261" s="850"/>
      <c r="R261" s="850"/>
      <c r="S261" s="850"/>
      <c r="T261" s="850"/>
      <c r="U261" s="850"/>
      <c r="V261" s="850"/>
      <c r="W261" s="850"/>
      <c r="X261" s="850"/>
      <c r="Y261" s="850"/>
    </row>
    <row r="262" spans="2:25" outlineLevel="1">
      <c r="B262" s="850" t="s">
        <v>1169</v>
      </c>
      <c r="C262" s="850"/>
      <c r="D262" s="850"/>
      <c r="E262" s="850"/>
      <c r="F262" s="850"/>
      <c r="G262" s="850"/>
      <c r="H262" s="850"/>
      <c r="I262" s="850"/>
      <c r="J262" s="850"/>
      <c r="K262" s="850"/>
      <c r="L262" s="850"/>
      <c r="M262" s="850"/>
      <c r="N262" s="850"/>
      <c r="O262" s="850"/>
      <c r="P262" s="850"/>
      <c r="Q262" s="850"/>
      <c r="R262" s="850"/>
      <c r="S262" s="850"/>
      <c r="T262" s="850"/>
      <c r="U262" s="850"/>
      <c r="V262" s="850"/>
      <c r="W262" s="850"/>
      <c r="X262" s="850"/>
      <c r="Y262" s="850"/>
    </row>
    <row r="263" spans="2:25" outlineLevel="1">
      <c r="B263" s="850" t="s">
        <v>1169</v>
      </c>
      <c r="C263" s="850"/>
      <c r="D263" s="850"/>
      <c r="E263" s="850"/>
      <c r="F263" s="850"/>
      <c r="G263" s="850"/>
      <c r="H263" s="850"/>
      <c r="I263" s="850"/>
      <c r="J263" s="850"/>
      <c r="K263" s="850"/>
      <c r="L263" s="850"/>
      <c r="M263" s="850"/>
      <c r="N263" s="850"/>
      <c r="O263" s="850"/>
      <c r="P263" s="850"/>
      <c r="Q263" s="850"/>
      <c r="R263" s="850"/>
      <c r="S263" s="850"/>
      <c r="T263" s="850"/>
      <c r="U263" s="850"/>
      <c r="V263" s="850"/>
      <c r="W263" s="850"/>
      <c r="X263" s="850"/>
      <c r="Y263" s="850"/>
    </row>
    <row r="264" spans="2:25">
      <c r="B264" s="850"/>
      <c r="C264" s="850"/>
      <c r="D264" s="850"/>
      <c r="E264" s="850"/>
      <c r="F264" s="850"/>
      <c r="G264" s="850"/>
      <c r="H264" s="850"/>
      <c r="I264" s="850"/>
      <c r="J264" s="850"/>
      <c r="K264" s="850"/>
      <c r="L264" s="850"/>
      <c r="M264" s="850"/>
      <c r="N264" s="850"/>
      <c r="O264" s="850"/>
      <c r="P264" s="850"/>
      <c r="Q264" s="850"/>
      <c r="R264" s="850"/>
      <c r="S264" s="850"/>
      <c r="T264" s="850"/>
      <c r="U264" s="850"/>
      <c r="V264" s="850"/>
      <c r="W264" s="850"/>
      <c r="X264" s="850"/>
      <c r="Y264" s="850"/>
    </row>
    <row r="265" spans="2:25">
      <c r="B265" s="850"/>
      <c r="C265" s="850"/>
      <c r="D265" s="850"/>
      <c r="E265" s="850"/>
      <c r="F265" s="850"/>
      <c r="G265" s="850"/>
      <c r="H265" s="850"/>
      <c r="I265" s="850"/>
      <c r="J265" s="850"/>
      <c r="K265" s="850"/>
      <c r="L265" s="857"/>
      <c r="M265" s="850"/>
      <c r="N265" s="850"/>
      <c r="O265" s="850"/>
      <c r="P265" s="850"/>
      <c r="Q265" s="850"/>
      <c r="R265" s="850"/>
      <c r="S265" s="850"/>
      <c r="T265" s="850"/>
      <c r="U265" s="850"/>
      <c r="V265" s="850"/>
      <c r="W265" s="850"/>
      <c r="X265" s="850"/>
      <c r="Y265" s="850"/>
    </row>
  </sheetData>
  <autoFilter ref="B6:Q263" xr:uid="{4BA034AB-4755-4B8C-AA10-1F5330C7E182}">
    <filterColumn colId="0">
      <filters>
        <filter val="Consol"/>
      </filters>
    </filterColumn>
  </autoFilter>
  <conditionalFormatting sqref="F168">
    <cfRule type="containsBlanks" dxfId="154" priority="3">
      <formula>LEN(TRIM(F168))=0</formula>
    </cfRule>
  </conditionalFormatting>
  <conditionalFormatting sqref="F176">
    <cfRule type="containsBlanks" dxfId="153" priority="2">
      <formula>LEN(TRIM(F176))=0</formula>
    </cfRule>
  </conditionalFormatting>
  <conditionalFormatting sqref="F184">
    <cfRule type="containsBlanks" dxfId="152" priority="1">
      <formula>LEN(TRIM(F184))=0</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2A26-7062-49CA-A8C4-A146665C5218}">
  <sheetPr codeName="Sheet16" filterMode="1">
    <tabColor rgb="FFFF0000"/>
    <outlinePr summaryBelow="0" summaryRight="0"/>
  </sheetPr>
  <dimension ref="A1:AJ115"/>
  <sheetViews>
    <sheetView topLeftCell="A3" zoomScale="70" zoomScaleNormal="70" workbookViewId="0">
      <pane xSplit="1" ySplit="4" topLeftCell="B92" activePane="bottomRight" state="frozen"/>
      <selection pane="topRight" activeCell="B3" sqref="B3"/>
      <selection pane="bottomLeft" activeCell="A7" sqref="A7"/>
      <selection pane="bottomRight" activeCell="I106" sqref="I106"/>
    </sheetView>
  </sheetViews>
  <sheetFormatPr defaultColWidth="9.140625" defaultRowHeight="12.75" outlineLevelRow="1"/>
  <cols>
    <col min="1" max="1" width="10.42578125" style="2" bestFit="1" customWidth="1"/>
    <col min="2" max="2" width="11.42578125" style="2" bestFit="1" customWidth="1"/>
    <col min="3" max="4" width="9.140625" style="2"/>
    <col min="5" max="5" width="9.140625" style="2" bestFit="1" customWidth="1"/>
    <col min="6" max="6" width="20.140625" style="2" bestFit="1" customWidth="1"/>
    <col min="7" max="7" width="16.5703125" style="2" bestFit="1" customWidth="1"/>
    <col min="8" max="8" width="16.85546875" style="2" bestFit="1" customWidth="1"/>
    <col min="9" max="9" width="17.42578125" style="2" bestFit="1" customWidth="1"/>
    <col min="10" max="10" width="17.140625" style="2" bestFit="1" customWidth="1"/>
    <col min="11" max="11" width="16.85546875" style="2" bestFit="1" customWidth="1"/>
    <col min="12" max="13" width="9.140625" style="2"/>
    <col min="14" max="14" width="13.85546875" style="2" bestFit="1" customWidth="1"/>
    <col min="15" max="15" width="12" style="2" bestFit="1" customWidth="1"/>
    <col min="16" max="16" width="9.140625" style="2"/>
    <col min="17" max="17" width="18.85546875" style="2" bestFit="1" customWidth="1"/>
    <col min="18" max="18" width="19.140625" style="2" bestFit="1" customWidth="1"/>
    <col min="19" max="19" width="16" style="2" bestFit="1" customWidth="1"/>
    <col min="20" max="20" width="14.85546875" style="2" bestFit="1" customWidth="1"/>
    <col min="21" max="21" width="17.140625" style="2" customWidth="1"/>
    <col min="22" max="22" width="9.140625" style="2" bestFit="1" customWidth="1"/>
    <col min="23" max="34" width="16.140625" style="2" customWidth="1"/>
    <col min="35" max="16384" width="9.140625" style="2"/>
  </cols>
  <sheetData>
    <row r="1" spans="1:21">
      <c r="A1" s="1" t="s">
        <v>0</v>
      </c>
      <c r="B1" s="850" t="s">
        <v>1</v>
      </c>
      <c r="C1" s="850"/>
      <c r="D1" s="850"/>
      <c r="E1" s="850"/>
      <c r="F1" s="850"/>
      <c r="G1" s="848"/>
      <c r="H1" s="848"/>
      <c r="I1" s="848"/>
      <c r="J1" s="848"/>
      <c r="K1" s="848"/>
      <c r="L1" s="850"/>
      <c r="M1" s="850"/>
      <c r="N1" s="850"/>
      <c r="O1" s="850"/>
      <c r="P1" s="850"/>
      <c r="Q1" s="850"/>
      <c r="R1" s="850"/>
      <c r="S1" s="850"/>
      <c r="T1" s="850"/>
      <c r="U1" s="850"/>
    </row>
    <row r="2" spans="1:21">
      <c r="A2" s="1" t="s">
        <v>2</v>
      </c>
      <c r="B2" s="852">
        <v>45473</v>
      </c>
      <c r="C2" s="850"/>
      <c r="D2" s="850"/>
      <c r="E2" s="850"/>
      <c r="F2" s="850"/>
      <c r="G2" s="848"/>
      <c r="H2" s="848"/>
      <c r="I2" s="848"/>
      <c r="J2" s="848"/>
      <c r="K2" s="848"/>
      <c r="L2" s="850"/>
      <c r="M2" s="850"/>
      <c r="N2" s="850"/>
      <c r="O2" s="850"/>
      <c r="P2" s="850"/>
      <c r="Q2" s="850"/>
      <c r="R2" s="850"/>
      <c r="S2" s="850"/>
      <c r="T2" s="850"/>
      <c r="U2" s="850"/>
    </row>
    <row r="3" spans="1:21">
      <c r="A3" s="3" t="s">
        <v>3345</v>
      </c>
      <c r="B3" s="850"/>
      <c r="C3" s="850"/>
      <c r="D3" s="850"/>
      <c r="E3" s="850"/>
      <c r="F3" s="850"/>
      <c r="G3" s="848"/>
      <c r="H3" s="848"/>
      <c r="I3" s="848"/>
      <c r="J3" s="848"/>
      <c r="K3" s="848"/>
      <c r="L3" s="850"/>
      <c r="M3" s="850"/>
      <c r="N3" s="850"/>
      <c r="O3" s="850"/>
      <c r="P3" s="850"/>
      <c r="Q3" s="850"/>
      <c r="R3" s="850"/>
      <c r="S3" s="850"/>
      <c r="T3" s="850"/>
      <c r="U3" s="850"/>
    </row>
    <row r="4" spans="1:21" ht="13.5" thickBot="1">
      <c r="A4" s="850"/>
      <c r="B4" s="850"/>
      <c r="C4" s="850"/>
      <c r="D4" s="850"/>
      <c r="E4" s="850"/>
      <c r="F4" s="850"/>
      <c r="G4" s="848"/>
      <c r="H4" s="848"/>
      <c r="I4" s="848"/>
      <c r="J4" s="848"/>
      <c r="K4" s="848"/>
      <c r="L4" s="850"/>
      <c r="M4" s="850"/>
      <c r="N4" s="850"/>
      <c r="O4" s="850"/>
      <c r="P4" s="850"/>
      <c r="Q4" s="850"/>
      <c r="R4" s="850"/>
      <c r="S4" s="850"/>
      <c r="T4" s="850"/>
      <c r="U4" s="850"/>
    </row>
    <row r="5" spans="1:21" ht="13.5" thickBot="1">
      <c r="A5" s="850"/>
      <c r="B5" s="850"/>
      <c r="C5" s="850"/>
      <c r="D5" s="850"/>
      <c r="E5" s="850"/>
      <c r="F5" s="850"/>
      <c r="G5" s="266" t="s">
        <v>1178</v>
      </c>
      <c r="H5" s="267"/>
      <c r="I5" s="266" t="s">
        <v>1179</v>
      </c>
      <c r="J5" s="267"/>
      <c r="K5" s="848">
        <f>SUBTOTAL(109,K8:K227)</f>
        <v>0</v>
      </c>
      <c r="L5" s="899"/>
      <c r="M5" s="899"/>
      <c r="N5" s="850"/>
      <c r="O5" s="850"/>
      <c r="P5" s="850"/>
      <c r="Q5" s="850"/>
      <c r="R5" s="850"/>
      <c r="S5" s="850"/>
      <c r="T5" s="850"/>
      <c r="U5" s="850"/>
    </row>
    <row r="6" spans="1:21" ht="25.5">
      <c r="A6" s="177" t="s">
        <v>1180</v>
      </c>
      <c r="B6" s="178" t="s">
        <v>1181</v>
      </c>
      <c r="C6" s="178" t="s">
        <v>1182</v>
      </c>
      <c r="D6" s="178" t="s">
        <v>1183</v>
      </c>
      <c r="E6" s="179" t="s">
        <v>1184</v>
      </c>
      <c r="F6" s="180" t="s">
        <v>775</v>
      </c>
      <c r="G6" s="268" t="s">
        <v>1185</v>
      </c>
      <c r="H6" s="269" t="s">
        <v>1186</v>
      </c>
      <c r="I6" s="268" t="s">
        <v>1185</v>
      </c>
      <c r="J6" s="269" t="s">
        <v>1186</v>
      </c>
      <c r="K6" s="270" t="s">
        <v>1187</v>
      </c>
      <c r="L6" s="271" t="s">
        <v>1188</v>
      </c>
      <c r="M6" s="272" t="s">
        <v>1189</v>
      </c>
      <c r="N6" s="273" t="s">
        <v>777</v>
      </c>
      <c r="O6" s="274" t="s">
        <v>1191</v>
      </c>
      <c r="P6" s="850"/>
      <c r="Q6" s="848">
        <v>259305681911</v>
      </c>
      <c r="R6" s="848">
        <v>259305681911</v>
      </c>
      <c r="S6" s="857">
        <f>Q6-R6</f>
        <v>0</v>
      </c>
      <c r="T6" s="850" t="s">
        <v>1192</v>
      </c>
      <c r="U6" s="850"/>
    </row>
    <row r="7" spans="1:21" hidden="1" collapsed="1">
      <c r="A7" s="1" t="s">
        <v>530</v>
      </c>
      <c r="B7" s="1425"/>
      <c r="C7" s="1425"/>
      <c r="D7" s="1425"/>
      <c r="E7" s="1426"/>
      <c r="F7" s="1425"/>
      <c r="G7" s="1427"/>
      <c r="H7" s="1427"/>
      <c r="I7" s="1427"/>
      <c r="J7" s="1427"/>
      <c r="K7" s="1428"/>
      <c r="L7" s="1426"/>
      <c r="M7" s="1429"/>
      <c r="N7" s="1425"/>
      <c r="O7" s="1425"/>
      <c r="P7" s="850"/>
      <c r="Q7" s="848"/>
      <c r="R7" s="848"/>
      <c r="S7" s="857"/>
      <c r="T7" s="850"/>
      <c r="U7" s="850"/>
    </row>
    <row r="8" spans="1:21" hidden="1" outlineLevel="1">
      <c r="A8" s="850" t="s">
        <v>530</v>
      </c>
      <c r="B8" s="1">
        <v>1</v>
      </c>
      <c r="C8" s="1" t="s">
        <v>3346</v>
      </c>
      <c r="D8" s="850"/>
      <c r="E8" s="850"/>
      <c r="F8" s="850"/>
      <c r="G8" s="850"/>
      <c r="H8" s="850"/>
      <c r="I8" s="850"/>
      <c r="J8" s="850"/>
      <c r="K8" s="850"/>
      <c r="L8" s="850"/>
      <c r="M8" s="850"/>
      <c r="N8" s="850"/>
      <c r="O8" s="850"/>
      <c r="P8" s="850"/>
      <c r="Q8" s="850" t="s">
        <v>3347</v>
      </c>
      <c r="R8" s="850" t="s">
        <v>1175</v>
      </c>
      <c r="S8" s="850"/>
      <c r="T8" s="850"/>
      <c r="U8" s="850"/>
    </row>
    <row r="9" spans="1:21" ht="15" hidden="1" outlineLevel="1">
      <c r="A9" s="850" t="s">
        <v>530</v>
      </c>
      <c r="B9" s="850"/>
      <c r="C9" s="850"/>
      <c r="D9" s="850" t="s">
        <v>1185</v>
      </c>
      <c r="E9" s="859" t="s">
        <v>217</v>
      </c>
      <c r="F9" s="850" t="str">
        <f>_xlfn.XLOOKUP(E9,'A0.LS'!E:E,'A0.LS'!F:F)</f>
        <v>Lợi nhuận sau thuế chưa phân phối năm nay</v>
      </c>
      <c r="G9" s="858"/>
      <c r="H9" s="850"/>
      <c r="I9" s="850"/>
      <c r="J9" s="850"/>
      <c r="K9" s="857">
        <f>ROUND(SUM(G9:J9),0)</f>
        <v>0</v>
      </c>
      <c r="L9" s="850" t="s">
        <v>1198</v>
      </c>
      <c r="M9" s="850" t="s">
        <v>1199</v>
      </c>
      <c r="N9" s="850" t="s">
        <v>1224</v>
      </c>
      <c r="O9" s="850"/>
      <c r="P9" s="850"/>
      <c r="Q9" s="848">
        <v>262934156767</v>
      </c>
      <c r="R9" s="848">
        <v>256800138983</v>
      </c>
      <c r="S9" s="857">
        <f>Q9-R9</f>
        <v>6134017784</v>
      </c>
      <c r="T9" s="774" t="s">
        <v>3348</v>
      </c>
      <c r="U9" s="850" t="s">
        <v>3349</v>
      </c>
    </row>
    <row r="10" spans="1:21" hidden="1" outlineLevel="1">
      <c r="A10" s="850" t="s">
        <v>530</v>
      </c>
      <c r="B10" s="850"/>
      <c r="C10" s="850"/>
      <c r="D10" s="850" t="s">
        <v>1186</v>
      </c>
      <c r="E10" s="859" t="s">
        <v>215</v>
      </c>
      <c r="F10" s="850" t="str">
        <f>_xlfn.XLOOKUP(E10,'A0.LS'!E:E,'A0.LS'!F:F)</f>
        <v>Lợi nhuận sau thuế chưa phân phối năm trước</v>
      </c>
      <c r="G10" s="899"/>
      <c r="H10" s="848">
        <f>-G9</f>
        <v>0</v>
      </c>
      <c r="I10" s="850"/>
      <c r="J10" s="850"/>
      <c r="K10" s="857">
        <f>ROUND(SUM(G10:J10),0)</f>
        <v>0</v>
      </c>
      <c r="L10" s="850" t="s">
        <v>1198</v>
      </c>
      <c r="M10" s="850" t="s">
        <v>1199</v>
      </c>
      <c r="N10" s="850" t="s">
        <v>1224</v>
      </c>
      <c r="O10" s="850"/>
      <c r="P10" s="850"/>
      <c r="Q10" s="848">
        <v>-3628474855</v>
      </c>
      <c r="R10" s="848">
        <v>-2505542928</v>
      </c>
      <c r="S10" s="857">
        <f>Q10-R10</f>
        <v>-1122931927</v>
      </c>
      <c r="T10" s="850"/>
      <c r="U10" s="850"/>
    </row>
    <row r="11" spans="1:21" hidden="1" outlineLevel="1">
      <c r="A11" s="850" t="s">
        <v>530</v>
      </c>
      <c r="B11" s="850"/>
      <c r="C11" s="850"/>
      <c r="D11" s="850"/>
      <c r="E11" s="850"/>
      <c r="F11" s="850"/>
      <c r="G11" s="899"/>
      <c r="H11" s="850"/>
      <c r="I11" s="850"/>
      <c r="J11" s="850"/>
      <c r="K11" s="850"/>
      <c r="L11" s="850"/>
      <c r="M11" s="850"/>
      <c r="N11" s="850"/>
      <c r="O11" s="850"/>
      <c r="P11" s="850"/>
      <c r="Q11" s="850"/>
      <c r="R11" s="850"/>
      <c r="S11" s="850"/>
      <c r="T11" s="850"/>
      <c r="U11" s="850"/>
    </row>
    <row r="12" spans="1:21" hidden="1" outlineLevel="1">
      <c r="A12" s="850" t="s">
        <v>530</v>
      </c>
      <c r="B12" s="1">
        <v>2</v>
      </c>
      <c r="C12" s="1" t="s">
        <v>3265</v>
      </c>
      <c r="D12" s="850"/>
      <c r="E12" s="850"/>
      <c r="F12" s="850"/>
      <c r="G12" s="899"/>
      <c r="H12" s="850"/>
      <c r="I12" s="850"/>
      <c r="J12" s="850"/>
      <c r="K12" s="850"/>
      <c r="L12" s="850"/>
      <c r="M12" s="850"/>
      <c r="N12" s="850"/>
      <c r="O12" s="850" t="s">
        <v>3350</v>
      </c>
      <c r="P12" s="850"/>
      <c r="Q12" s="850"/>
      <c r="R12" s="850"/>
      <c r="S12" s="850"/>
      <c r="T12" s="850"/>
      <c r="U12" s="850"/>
    </row>
    <row r="13" spans="1:21" hidden="1" outlineLevel="1">
      <c r="A13" s="850" t="s">
        <v>530</v>
      </c>
      <c r="B13" s="850"/>
      <c r="C13" s="850"/>
      <c r="D13" s="850" t="s">
        <v>1185</v>
      </c>
      <c r="E13" s="859" t="s">
        <v>47</v>
      </c>
      <c r="F13" s="850" t="str">
        <f>_xlfn.XLOOKUP(E13,'A0.LS'!E:E,'A0.LS'!F:F)</f>
        <v>Phải thu của khách hàng</v>
      </c>
      <c r="G13" s="858">
        <v>1828000000</v>
      </c>
      <c r="H13" s="850"/>
      <c r="I13" s="850"/>
      <c r="J13" s="850"/>
      <c r="K13" s="857">
        <f t="shared" ref="K13:K14" si="0">ROUND(SUM(G13:J13),0)</f>
        <v>1828000000</v>
      </c>
      <c r="L13" s="850" t="s">
        <v>1198</v>
      </c>
      <c r="M13" s="850" t="s">
        <v>1199</v>
      </c>
      <c r="N13" s="850" t="s">
        <v>1224</v>
      </c>
      <c r="O13" s="850"/>
      <c r="P13" s="850"/>
      <c r="Q13" s="850"/>
      <c r="R13" s="850"/>
      <c r="S13" s="850"/>
      <c r="T13" s="850"/>
      <c r="U13" s="850"/>
    </row>
    <row r="14" spans="1:21" hidden="1" outlineLevel="1">
      <c r="A14" s="850" t="s">
        <v>530</v>
      </c>
      <c r="B14" s="850"/>
      <c r="C14" s="850"/>
      <c r="D14" s="850" t="s">
        <v>1186</v>
      </c>
      <c r="E14" s="859" t="s">
        <v>125</v>
      </c>
      <c r="F14" s="850" t="str">
        <f>_xlfn.XLOOKUP(E14,'A0.LS'!E:E,'A0.LS'!F:F)</f>
        <v>Phải trả cho người bán</v>
      </c>
      <c r="G14" s="899"/>
      <c r="H14" s="857">
        <f>-G13</f>
        <v>-1828000000</v>
      </c>
      <c r="I14" s="850"/>
      <c r="J14" s="850"/>
      <c r="K14" s="857">
        <f t="shared" si="0"/>
        <v>-1828000000</v>
      </c>
      <c r="L14" s="850" t="s">
        <v>1198</v>
      </c>
      <c r="M14" s="850" t="s">
        <v>1199</v>
      </c>
      <c r="N14" s="850" t="s">
        <v>1224</v>
      </c>
      <c r="O14" s="850"/>
      <c r="P14" s="850"/>
      <c r="Q14" s="850"/>
      <c r="R14" s="850"/>
      <c r="S14" s="850"/>
      <c r="T14" s="850"/>
      <c r="U14" s="850"/>
    </row>
    <row r="15" spans="1:21" hidden="1" outlineLevel="1">
      <c r="A15" s="850" t="s">
        <v>530</v>
      </c>
      <c r="B15" s="850"/>
      <c r="C15" s="850"/>
      <c r="D15" s="850"/>
      <c r="E15" s="859"/>
      <c r="F15" s="850"/>
      <c r="G15" s="899"/>
      <c r="H15" s="850"/>
      <c r="I15" s="850"/>
      <c r="J15" s="850"/>
      <c r="K15" s="850"/>
      <c r="L15" s="850"/>
      <c r="M15" s="850"/>
      <c r="N15" s="850"/>
      <c r="O15" s="850"/>
      <c r="P15" s="850"/>
      <c r="Q15" s="850"/>
      <c r="R15" s="850"/>
      <c r="S15" s="850"/>
      <c r="T15" s="850"/>
      <c r="U15" s="850"/>
    </row>
    <row r="16" spans="1:21" hidden="1" outlineLevel="1">
      <c r="A16" s="850" t="s">
        <v>530</v>
      </c>
      <c r="B16" s="1">
        <v>3</v>
      </c>
      <c r="C16" s="1" t="s">
        <v>3351</v>
      </c>
      <c r="D16" s="850"/>
      <c r="E16" s="850"/>
      <c r="F16" s="850"/>
      <c r="G16" s="899"/>
      <c r="H16" s="850"/>
      <c r="I16" s="850"/>
      <c r="J16" s="850"/>
      <c r="K16" s="850"/>
      <c r="L16" s="850"/>
      <c r="M16" s="850"/>
      <c r="N16" s="850"/>
      <c r="O16" s="850"/>
      <c r="P16" s="850"/>
      <c r="Q16" s="850"/>
      <c r="R16" s="850"/>
      <c r="S16" s="850"/>
      <c r="T16" s="850"/>
      <c r="U16" s="850"/>
    </row>
    <row r="17" spans="1:21" hidden="1" outlineLevel="1">
      <c r="A17" s="850" t="s">
        <v>530</v>
      </c>
      <c r="B17" s="850"/>
      <c r="C17" s="850"/>
      <c r="D17" s="850" t="s">
        <v>1185</v>
      </c>
      <c r="E17" s="859" t="s">
        <v>789</v>
      </c>
      <c r="F17" s="850" t="str">
        <f>_xlfn.XLOOKUP(E17,'A0.LS'!E:E,'A0.LS'!F:F)</f>
        <v>Chi phí môi giới chứng khoán</v>
      </c>
      <c r="G17" s="848"/>
      <c r="H17" s="848"/>
      <c r="I17" s="848">
        <v>42483525</v>
      </c>
      <c r="J17" s="848"/>
      <c r="K17" s="857">
        <f t="shared" ref="K17:K22" si="1">ROUND(SUM(G17:J17),0)</f>
        <v>42483525</v>
      </c>
      <c r="L17" s="850" t="s">
        <v>1198</v>
      </c>
      <c r="M17" s="850" t="s">
        <v>1199</v>
      </c>
      <c r="N17" s="850" t="s">
        <v>1224</v>
      </c>
      <c r="O17" s="850"/>
      <c r="P17" s="850"/>
      <c r="Q17" s="850"/>
      <c r="R17" s="850"/>
      <c r="S17" s="850"/>
      <c r="T17" s="850"/>
      <c r="U17" s="850"/>
    </row>
    <row r="18" spans="1:21" hidden="1" outlineLevel="1">
      <c r="A18" s="850" t="s">
        <v>530</v>
      </c>
      <c r="B18" s="850"/>
      <c r="C18" s="850"/>
      <c r="D18" s="850" t="s">
        <v>1186</v>
      </c>
      <c r="E18" s="859" t="s">
        <v>125</v>
      </c>
      <c r="F18" s="850" t="str">
        <f>_xlfn.XLOOKUP(E18,'A0.LS'!E:E,'A0.LS'!F:F)</f>
        <v>Phải trả cho người bán</v>
      </c>
      <c r="G18" s="848"/>
      <c r="H18" s="848">
        <f>-I17</f>
        <v>-42483525</v>
      </c>
      <c r="I18" s="848"/>
      <c r="J18" s="848"/>
      <c r="K18" s="857">
        <f t="shared" si="1"/>
        <v>-42483525</v>
      </c>
      <c r="L18" s="850" t="s">
        <v>1198</v>
      </c>
      <c r="M18" s="850" t="s">
        <v>1199</v>
      </c>
      <c r="N18" s="850" t="s">
        <v>1224</v>
      </c>
      <c r="O18" s="850"/>
      <c r="P18" s="850"/>
      <c r="Q18" s="850"/>
      <c r="R18" s="850"/>
      <c r="S18" s="850"/>
      <c r="T18" s="850"/>
      <c r="U18" s="850"/>
    </row>
    <row r="19" spans="1:21" hidden="1" outlineLevel="1">
      <c r="A19" s="850" t="s">
        <v>530</v>
      </c>
      <c r="B19" s="850"/>
      <c r="C19" s="850"/>
      <c r="D19" s="850"/>
      <c r="E19" s="850"/>
      <c r="F19" s="850"/>
      <c r="G19" s="899"/>
      <c r="H19" s="850"/>
      <c r="I19" s="850"/>
      <c r="J19" s="850"/>
      <c r="K19" s="850"/>
      <c r="L19" s="850"/>
      <c r="M19" s="850"/>
      <c r="N19" s="850"/>
      <c r="O19" s="850"/>
      <c r="P19" s="850"/>
      <c r="Q19" s="850"/>
      <c r="R19" s="850"/>
      <c r="S19" s="850"/>
      <c r="T19" s="850"/>
      <c r="U19" s="850"/>
    </row>
    <row r="20" spans="1:21" hidden="1" outlineLevel="1">
      <c r="A20" s="850" t="s">
        <v>530</v>
      </c>
      <c r="B20" s="1">
        <v>4</v>
      </c>
      <c r="C20" s="1" t="s">
        <v>3352</v>
      </c>
      <c r="D20" s="850"/>
      <c r="E20" s="850"/>
      <c r="F20" s="850"/>
      <c r="G20" s="899"/>
      <c r="H20" s="850"/>
      <c r="I20" s="850"/>
      <c r="J20" s="850"/>
      <c r="K20" s="850"/>
      <c r="L20" s="850"/>
      <c r="M20" s="850"/>
      <c r="N20" s="850"/>
      <c r="O20" s="850"/>
      <c r="P20" s="850"/>
      <c r="Q20" s="850"/>
      <c r="R20" s="850"/>
      <c r="S20" s="850"/>
      <c r="T20" s="850"/>
      <c r="U20" s="850"/>
    </row>
    <row r="21" spans="1:21" hidden="1" outlineLevel="1">
      <c r="A21" s="850" t="s">
        <v>530</v>
      </c>
      <c r="B21" s="850"/>
      <c r="C21" s="850"/>
      <c r="D21" s="850" t="s">
        <v>1185</v>
      </c>
      <c r="E21" s="859" t="s">
        <v>117</v>
      </c>
      <c r="F21" s="850" t="str">
        <f>_xlfn.XLOOKUP(E21,'A0.LS'!E:E,'A0.LS'!F:F)</f>
        <v>Chi phí trả trước - ngắn hạn</v>
      </c>
      <c r="G21" s="858">
        <v>16972855</v>
      </c>
      <c r="H21" s="850"/>
      <c r="I21" s="848"/>
      <c r="J21" s="850"/>
      <c r="K21" s="857">
        <f t="shared" si="1"/>
        <v>16972855</v>
      </c>
      <c r="L21" s="850" t="s">
        <v>1198</v>
      </c>
      <c r="M21" s="850" t="s">
        <v>1199</v>
      </c>
      <c r="N21" s="850" t="s">
        <v>1224</v>
      </c>
      <c r="O21" s="850"/>
      <c r="P21" s="850"/>
      <c r="Q21" s="850"/>
      <c r="R21" s="850"/>
      <c r="S21" s="850"/>
      <c r="T21" s="850"/>
      <c r="U21" s="850"/>
    </row>
    <row r="22" spans="1:21" hidden="1" outlineLevel="1">
      <c r="A22" s="850" t="s">
        <v>530</v>
      </c>
      <c r="B22" s="850"/>
      <c r="C22" s="850"/>
      <c r="D22" s="850" t="s">
        <v>1186</v>
      </c>
      <c r="E22" s="859" t="s">
        <v>789</v>
      </c>
      <c r="F22" s="850" t="str">
        <f>_xlfn.XLOOKUP(E22,'A0.LS'!E:E,'A0.LS'!F:F)</f>
        <v>Chi phí môi giới chứng khoán</v>
      </c>
      <c r="G22" s="899"/>
      <c r="H22" s="857"/>
      <c r="I22" s="850"/>
      <c r="J22" s="857">
        <f>-G21</f>
        <v>-16972855</v>
      </c>
      <c r="K22" s="857">
        <f t="shared" si="1"/>
        <v>-16972855</v>
      </c>
      <c r="L22" s="850" t="s">
        <v>1198</v>
      </c>
      <c r="M22" s="850" t="s">
        <v>1199</v>
      </c>
      <c r="N22" s="850" t="s">
        <v>1224</v>
      </c>
      <c r="O22" s="850"/>
      <c r="P22" s="850"/>
      <c r="Q22" s="850"/>
      <c r="R22" s="850"/>
      <c r="S22" s="850"/>
      <c r="T22" s="850"/>
      <c r="U22" s="850"/>
    </row>
    <row r="23" spans="1:21" hidden="1" outlineLevel="1">
      <c r="A23" s="850" t="s">
        <v>530</v>
      </c>
      <c r="B23" s="850"/>
      <c r="C23" s="850"/>
      <c r="D23" s="850"/>
      <c r="E23" s="850"/>
      <c r="F23" s="850"/>
      <c r="G23" s="899"/>
      <c r="H23" s="850"/>
      <c r="I23" s="850"/>
      <c r="J23" s="850"/>
      <c r="K23" s="850"/>
      <c r="L23" s="850"/>
      <c r="M23" s="850"/>
      <c r="N23" s="850"/>
      <c r="O23" s="850"/>
      <c r="P23" s="850"/>
      <c r="Q23" s="850"/>
      <c r="R23" s="850"/>
      <c r="S23" s="850"/>
      <c r="T23" s="850"/>
      <c r="U23" s="850"/>
    </row>
    <row r="24" spans="1:21" hidden="1" outlineLevel="1">
      <c r="A24" s="850" t="s">
        <v>530</v>
      </c>
      <c r="B24" s="1">
        <v>5</v>
      </c>
      <c r="C24" s="1" t="s">
        <v>3353</v>
      </c>
      <c r="D24" s="850"/>
      <c r="E24" s="850"/>
      <c r="F24" s="850"/>
      <c r="G24" s="899"/>
      <c r="H24" s="850"/>
      <c r="I24" s="850"/>
      <c r="J24" s="850"/>
      <c r="K24" s="850"/>
      <c r="L24" s="850"/>
      <c r="M24" s="850"/>
      <c r="N24" s="850"/>
      <c r="O24" s="850"/>
      <c r="P24" s="850"/>
      <c r="Q24" s="850"/>
      <c r="R24" s="850"/>
      <c r="S24" s="850"/>
      <c r="T24" s="850"/>
      <c r="U24" s="850"/>
    </row>
    <row r="25" spans="1:21" hidden="1" outlineLevel="1">
      <c r="A25" s="850" t="s">
        <v>530</v>
      </c>
      <c r="B25" s="850"/>
      <c r="C25" s="850"/>
      <c r="D25" s="850" t="s">
        <v>1185</v>
      </c>
      <c r="E25" s="859" t="s">
        <v>789</v>
      </c>
      <c r="F25" s="850" t="str">
        <f>_xlfn.XLOOKUP(E25,'A0.LS'!E:E,'A0.LS'!F:F)</f>
        <v>Chi phí môi giới chứng khoán</v>
      </c>
      <c r="G25" s="1498"/>
      <c r="H25" s="850"/>
      <c r="I25" s="1010">
        <v>8872727273</v>
      </c>
      <c r="J25" s="850"/>
      <c r="K25" s="857">
        <f t="shared" ref="K25:K26" si="2">ROUND(SUM(G25:J25),0)</f>
        <v>8872727273</v>
      </c>
      <c r="L25" s="850" t="s">
        <v>1198</v>
      </c>
      <c r="M25" s="850" t="s">
        <v>1199</v>
      </c>
      <c r="N25" s="850" t="s">
        <v>1224</v>
      </c>
      <c r="O25" s="850"/>
      <c r="P25" s="850"/>
      <c r="Q25" s="850"/>
      <c r="R25" s="850"/>
      <c r="S25" s="850"/>
      <c r="T25" s="850"/>
      <c r="U25" s="850"/>
    </row>
    <row r="26" spans="1:21" hidden="1" outlineLevel="1">
      <c r="A26" s="850" t="s">
        <v>530</v>
      </c>
      <c r="B26" s="850"/>
      <c r="C26" s="850"/>
      <c r="D26" s="850" t="s">
        <v>1186</v>
      </c>
      <c r="E26" s="859" t="s">
        <v>789</v>
      </c>
      <c r="F26" s="850" t="str">
        <f>_xlfn.XLOOKUP(E26,'A0.LS'!E:E,'A0.LS'!F:F)</f>
        <v>Chi phí môi giới chứng khoán</v>
      </c>
      <c r="G26" s="899"/>
      <c r="H26" s="857"/>
      <c r="I26" s="850"/>
      <c r="J26" s="857">
        <f>-I25</f>
        <v>-8872727273</v>
      </c>
      <c r="K26" s="857">
        <f t="shared" si="2"/>
        <v>-8872727273</v>
      </c>
      <c r="L26" s="850" t="s">
        <v>1198</v>
      </c>
      <c r="M26" s="850" t="s">
        <v>1199</v>
      </c>
      <c r="N26" s="850" t="s">
        <v>1224</v>
      </c>
      <c r="O26" s="850"/>
      <c r="P26" s="850"/>
      <c r="Q26" s="850"/>
      <c r="R26" s="850"/>
      <c r="S26" s="850"/>
      <c r="T26" s="850"/>
      <c r="U26" s="850"/>
    </row>
    <row r="27" spans="1:21" hidden="1" outlineLevel="1">
      <c r="A27" s="850" t="s">
        <v>530</v>
      </c>
      <c r="B27" s="850"/>
      <c r="C27" s="850"/>
      <c r="D27" s="850"/>
      <c r="E27" s="850"/>
      <c r="F27" s="850"/>
      <c r="G27" s="899"/>
      <c r="H27" s="850"/>
      <c r="I27" s="850"/>
      <c r="J27" s="850"/>
      <c r="K27" s="850"/>
      <c r="L27" s="850"/>
      <c r="M27" s="850"/>
      <c r="N27" s="850"/>
      <c r="O27" s="850"/>
      <c r="P27" s="850"/>
      <c r="Q27" s="850"/>
      <c r="R27" s="850"/>
      <c r="S27" s="850"/>
      <c r="T27" s="850"/>
      <c r="U27" s="850"/>
    </row>
    <row r="28" spans="1:21" hidden="1" outlineLevel="1">
      <c r="A28" s="850" t="s">
        <v>530</v>
      </c>
      <c r="B28" s="1">
        <v>7</v>
      </c>
      <c r="C28" s="1" t="s">
        <v>3354</v>
      </c>
      <c r="D28" s="850"/>
      <c r="E28" s="850"/>
      <c r="F28" s="850"/>
      <c r="G28" s="899"/>
      <c r="H28" s="850"/>
      <c r="I28" s="850"/>
      <c r="J28" s="850"/>
      <c r="K28" s="850"/>
      <c r="L28" s="850"/>
      <c r="M28" s="850"/>
      <c r="N28" s="850"/>
      <c r="O28" s="850"/>
      <c r="P28" s="850"/>
      <c r="Q28" s="850"/>
      <c r="R28" s="850"/>
      <c r="S28" s="850"/>
      <c r="T28" s="850"/>
      <c r="U28" s="850"/>
    </row>
    <row r="29" spans="1:21" hidden="1" outlineLevel="1">
      <c r="A29" s="850" t="s">
        <v>530</v>
      </c>
      <c r="B29" s="850"/>
      <c r="C29" s="850"/>
      <c r="D29" s="850" t="s">
        <v>1185</v>
      </c>
      <c r="E29" s="928" t="s">
        <v>1266</v>
      </c>
      <c r="F29" s="850" t="str">
        <f>_xlfn.XLOOKUP(E29,'A0.LS'!E:E,'A0.LS'!F:F)</f>
        <v>Phải thu hoạt động nghiệp vụ chứng khoán</v>
      </c>
      <c r="G29" s="858">
        <v>8870000000</v>
      </c>
      <c r="H29" s="850"/>
      <c r="I29" s="848"/>
      <c r="J29" s="850"/>
      <c r="K29" s="857">
        <f t="shared" ref="K29:K30" si="3">ROUND(SUM(G29:J29),0)</f>
        <v>8870000000</v>
      </c>
      <c r="L29" s="850" t="s">
        <v>1198</v>
      </c>
      <c r="M29" s="850" t="s">
        <v>1199</v>
      </c>
      <c r="N29" s="850" t="s">
        <v>1224</v>
      </c>
      <c r="O29" s="850"/>
      <c r="P29" s="850"/>
      <c r="Q29" s="850" t="s">
        <v>3355</v>
      </c>
      <c r="R29" s="850"/>
      <c r="S29" s="850"/>
      <c r="T29" s="850"/>
      <c r="U29" s="850"/>
    </row>
    <row r="30" spans="1:21" hidden="1" outlineLevel="1">
      <c r="A30" s="850" t="s">
        <v>530</v>
      </c>
      <c r="B30" s="850"/>
      <c r="C30" s="850"/>
      <c r="D30" s="850" t="s">
        <v>1186</v>
      </c>
      <c r="E30" s="928" t="s">
        <v>1266</v>
      </c>
      <c r="F30" s="850" t="str">
        <f>_xlfn.XLOOKUP(E30,'A0.LS'!E:E,'A0.LS'!F:F)</f>
        <v>Phải thu hoạt động nghiệp vụ chứng khoán</v>
      </c>
      <c r="G30" s="899"/>
      <c r="H30" s="857">
        <f>-G29</f>
        <v>-8870000000</v>
      </c>
      <c r="I30" s="850"/>
      <c r="J30" s="857"/>
      <c r="K30" s="857">
        <f t="shared" si="3"/>
        <v>-8870000000</v>
      </c>
      <c r="L30" s="850" t="s">
        <v>1198</v>
      </c>
      <c r="M30" s="850" t="s">
        <v>1199</v>
      </c>
      <c r="N30" s="850" t="s">
        <v>1224</v>
      </c>
      <c r="O30" s="850"/>
      <c r="P30" s="850"/>
      <c r="Q30" s="850"/>
      <c r="R30" s="850"/>
      <c r="S30" s="850"/>
      <c r="T30" s="850"/>
      <c r="U30" s="850"/>
    </row>
    <row r="31" spans="1:21" hidden="1" outlineLevel="1">
      <c r="A31" s="850" t="s">
        <v>530</v>
      </c>
      <c r="B31" s="850"/>
      <c r="C31" s="850"/>
      <c r="D31" s="850"/>
      <c r="E31" s="850"/>
      <c r="F31" s="850"/>
      <c r="G31" s="899"/>
      <c r="H31" s="850"/>
      <c r="I31" s="850"/>
      <c r="J31" s="850"/>
      <c r="K31" s="850"/>
      <c r="L31" s="850"/>
      <c r="M31" s="850"/>
      <c r="N31" s="850"/>
      <c r="O31" s="850"/>
      <c r="P31" s="850"/>
      <c r="Q31" s="850"/>
      <c r="R31" s="850"/>
      <c r="S31" s="850"/>
      <c r="T31" s="850"/>
      <c r="U31" s="850"/>
    </row>
    <row r="32" spans="1:21" hidden="1" outlineLevel="1">
      <c r="A32" s="850" t="s">
        <v>530</v>
      </c>
      <c r="B32" s="1">
        <v>8</v>
      </c>
      <c r="C32" s="1" t="s">
        <v>3356</v>
      </c>
      <c r="D32" s="850"/>
      <c r="E32" s="850"/>
      <c r="F32" s="850"/>
      <c r="G32" s="899"/>
      <c r="H32" s="850"/>
      <c r="I32" s="850"/>
      <c r="J32" s="850"/>
      <c r="K32" s="850"/>
      <c r="L32" s="850"/>
      <c r="M32" s="850"/>
      <c r="N32" s="850"/>
      <c r="O32" s="850"/>
      <c r="P32" s="850"/>
      <c r="Q32" s="850"/>
      <c r="R32" s="850"/>
      <c r="S32" s="850"/>
      <c r="T32" s="850"/>
      <c r="U32" s="850"/>
    </row>
    <row r="33" spans="1:17" ht="15" hidden="1" outlineLevel="1">
      <c r="A33" s="850" t="s">
        <v>530</v>
      </c>
      <c r="B33" s="850"/>
      <c r="C33" s="850"/>
      <c r="D33" s="850" t="s">
        <v>1185</v>
      </c>
      <c r="E33" s="233" t="s">
        <v>245</v>
      </c>
      <c r="F33" s="850" t="str">
        <f>_xlfn.XLOOKUP(E33,'A0.LS'!E:E,'A0.LS'!F:F)</f>
        <v>Doanh thu khác</v>
      </c>
      <c r="G33" s="899"/>
      <c r="H33" s="850"/>
      <c r="I33" s="848">
        <v>9881818182</v>
      </c>
      <c r="J33" s="850"/>
      <c r="K33" s="857">
        <f t="shared" ref="K33" si="4">ROUND(SUM(G33:J33),0)</f>
        <v>9881818182</v>
      </c>
      <c r="L33" s="850" t="s">
        <v>1198</v>
      </c>
      <c r="M33" s="850" t="s">
        <v>1199</v>
      </c>
      <c r="N33" s="850" t="s">
        <v>1224</v>
      </c>
      <c r="O33" s="850"/>
      <c r="P33" s="850"/>
      <c r="Q33" s="850"/>
    </row>
    <row r="34" spans="1:17" ht="15" hidden="1" outlineLevel="1">
      <c r="A34" s="850" t="s">
        <v>530</v>
      </c>
      <c r="B34" s="850"/>
      <c r="C34" s="850"/>
      <c r="D34" s="850" t="s">
        <v>1186</v>
      </c>
      <c r="E34" s="233" t="s">
        <v>942</v>
      </c>
      <c r="F34" s="850" t="str">
        <f>_xlfn.XLOOKUP(E34,'A0.LS'!E:E,'A0.LS'!F:F)</f>
        <v>Doanh thu môi giới chứng khoán</v>
      </c>
      <c r="G34" s="899"/>
      <c r="H34" s="850"/>
      <c r="I34" s="850"/>
      <c r="J34" s="857">
        <f>-I33</f>
        <v>-9881818182</v>
      </c>
      <c r="K34" s="857">
        <f>ROUND(SUM(G34:J34),0)</f>
        <v>-9881818182</v>
      </c>
      <c r="L34" s="850" t="s">
        <v>1198</v>
      </c>
      <c r="M34" s="850" t="s">
        <v>1199</v>
      </c>
      <c r="N34" s="850" t="s">
        <v>1224</v>
      </c>
      <c r="O34" s="850"/>
      <c r="P34" s="850"/>
      <c r="Q34" s="850"/>
    </row>
    <row r="35" spans="1:17" hidden="1" outlineLevel="1">
      <c r="A35" s="850" t="s">
        <v>530</v>
      </c>
      <c r="B35" s="850"/>
      <c r="C35" s="850"/>
      <c r="D35" s="850"/>
      <c r="E35" s="850"/>
      <c r="F35" s="850"/>
      <c r="G35" s="899"/>
      <c r="H35" s="850"/>
      <c r="I35" s="850"/>
      <c r="J35" s="850"/>
      <c r="K35" s="850"/>
      <c r="L35" s="850"/>
      <c r="M35" s="850"/>
      <c r="N35" s="850"/>
      <c r="O35" s="850"/>
      <c r="P35" s="850"/>
      <c r="Q35" s="850"/>
    </row>
    <row r="36" spans="1:17" hidden="1" outlineLevel="1">
      <c r="A36" s="850" t="s">
        <v>530</v>
      </c>
      <c r="B36" s="1">
        <v>9</v>
      </c>
      <c r="C36" s="1" t="s">
        <v>3357</v>
      </c>
      <c r="D36" s="850"/>
      <c r="E36" s="850"/>
      <c r="F36" s="850"/>
      <c r="G36" s="899"/>
      <c r="H36" s="850"/>
      <c r="I36" s="850"/>
      <c r="J36" s="850"/>
      <c r="K36" s="850"/>
      <c r="L36" s="850"/>
      <c r="M36" s="850"/>
      <c r="N36" s="850"/>
      <c r="O36" s="850"/>
      <c r="P36" s="850"/>
      <c r="Q36" s="850"/>
    </row>
    <row r="37" spans="1:17" ht="15" hidden="1" outlineLevel="1">
      <c r="A37" s="850" t="s">
        <v>530</v>
      </c>
      <c r="B37" s="850"/>
      <c r="C37" s="850"/>
      <c r="D37" s="850" t="s">
        <v>1185</v>
      </c>
      <c r="E37" s="233" t="s">
        <v>251</v>
      </c>
      <c r="F37" s="850" t="str">
        <f>_xlfn.XLOOKUP(E37,'A0.LS'!E:E,'A0.LS'!F:F)</f>
        <v>Doanh thu tài chính: Lãi dự thu</v>
      </c>
      <c r="G37" s="858"/>
      <c r="H37" s="850"/>
      <c r="I37" s="848">
        <v>8580822</v>
      </c>
      <c r="J37" s="848"/>
      <c r="K37" s="857">
        <f t="shared" ref="K37:K38" si="5">ROUND(SUM(G37:J37),0)</f>
        <v>8580822</v>
      </c>
      <c r="L37" s="850" t="s">
        <v>1198</v>
      </c>
      <c r="M37" s="850" t="s">
        <v>1199</v>
      </c>
      <c r="N37" s="850" t="s">
        <v>1224</v>
      </c>
      <c r="O37" s="850" t="s">
        <v>3358</v>
      </c>
      <c r="P37" s="850"/>
      <c r="Q37" s="850"/>
    </row>
    <row r="38" spans="1:17" ht="15" hidden="1" outlineLevel="1">
      <c r="A38" s="850" t="s">
        <v>530</v>
      </c>
      <c r="B38" s="850"/>
      <c r="C38" s="850"/>
      <c r="D38" s="850" t="s">
        <v>1186</v>
      </c>
      <c r="E38" s="233" t="s">
        <v>251</v>
      </c>
      <c r="F38" s="850" t="str">
        <f>_xlfn.XLOOKUP(E38,'A0.LS'!E:E,'A0.LS'!F:F)</f>
        <v>Doanh thu tài chính: Lãi dự thu</v>
      </c>
      <c r="G38" s="899"/>
      <c r="H38" s="850"/>
      <c r="I38" s="848"/>
      <c r="J38" s="848">
        <f>-I37</f>
        <v>-8580822</v>
      </c>
      <c r="K38" s="857">
        <f t="shared" si="5"/>
        <v>-8580822</v>
      </c>
      <c r="L38" s="850" t="s">
        <v>1198</v>
      </c>
      <c r="M38" s="850" t="s">
        <v>1199</v>
      </c>
      <c r="N38" s="850" t="s">
        <v>1224</v>
      </c>
      <c r="O38" s="850" t="s">
        <v>3359</v>
      </c>
      <c r="P38" s="850"/>
      <c r="Q38" s="850"/>
    </row>
    <row r="39" spans="1:17" hidden="1" outlineLevel="1">
      <c r="A39" s="850" t="s">
        <v>530</v>
      </c>
      <c r="B39" s="850"/>
      <c r="C39" s="850"/>
      <c r="D39" s="850"/>
      <c r="E39" s="850"/>
      <c r="F39" s="850"/>
      <c r="G39" s="899"/>
      <c r="H39" s="850"/>
      <c r="I39" s="850"/>
      <c r="J39" s="850"/>
      <c r="K39" s="850"/>
      <c r="L39" s="850"/>
      <c r="M39" s="850"/>
      <c r="N39" s="850"/>
      <c r="O39" s="850"/>
      <c r="P39" s="850"/>
      <c r="Q39" s="850"/>
    </row>
    <row r="40" spans="1:17" hidden="1" outlineLevel="1">
      <c r="A40" s="850" t="s">
        <v>530</v>
      </c>
      <c r="B40" s="1">
        <v>10</v>
      </c>
      <c r="C40" s="1" t="s">
        <v>3360</v>
      </c>
      <c r="D40" s="850"/>
      <c r="E40" s="850"/>
      <c r="F40" s="850"/>
      <c r="G40" s="899"/>
      <c r="H40" s="850"/>
      <c r="I40" s="850"/>
      <c r="J40" s="850"/>
      <c r="K40" s="850"/>
      <c r="L40" s="850"/>
      <c r="M40" s="850"/>
      <c r="N40" s="850"/>
      <c r="O40" s="850"/>
      <c r="P40" s="850"/>
      <c r="Q40" s="850"/>
    </row>
    <row r="41" spans="1:17" ht="15" hidden="1" outlineLevel="1">
      <c r="A41" s="850" t="s">
        <v>530</v>
      </c>
      <c r="B41" s="850"/>
      <c r="C41" s="850"/>
      <c r="D41" s="850" t="s">
        <v>1185</v>
      </c>
      <c r="E41" s="265" t="s">
        <v>1219</v>
      </c>
      <c r="F41" s="850" t="str">
        <f>_xlfn.XLOOKUP(E41,'A0.LS'!E:E,'A0.LS'!F:F)</f>
        <v>Đánh giá lại trái phiếu (của VNSC revert nếu có số dư)</v>
      </c>
      <c r="G41" s="858">
        <f>-8580822</f>
        <v>-8580822</v>
      </c>
      <c r="H41" s="850"/>
      <c r="I41" s="850"/>
      <c r="J41" s="850"/>
      <c r="K41" s="857">
        <f t="shared" ref="K41:K42" si="6">ROUND(SUM(G41:J41),0)</f>
        <v>-8580822</v>
      </c>
      <c r="L41" s="850" t="s">
        <v>1198</v>
      </c>
      <c r="M41" s="850" t="s">
        <v>1199</v>
      </c>
      <c r="N41" s="850" t="s">
        <v>1224</v>
      </c>
      <c r="O41" s="850"/>
      <c r="P41" s="850"/>
      <c r="Q41" s="850"/>
    </row>
    <row r="42" spans="1:17" ht="15" hidden="1" outlineLevel="1">
      <c r="A42" s="850" t="s">
        <v>530</v>
      </c>
      <c r="B42" s="850"/>
      <c r="C42" s="850"/>
      <c r="D42" s="850" t="s">
        <v>1186</v>
      </c>
      <c r="E42" s="233" t="s">
        <v>978</v>
      </c>
      <c r="F42" s="850" t="str">
        <f>_xlfn.XLOOKUP(E42,'A0.LS'!E:E,'A0.LS'!F:F)</f>
        <v>Chênh lệch đánh giá tăng FVTPL của VNSC (Revert đầu gốc nếu có phát sinh)</v>
      </c>
      <c r="G42" s="899"/>
      <c r="H42" s="850"/>
      <c r="I42" s="850"/>
      <c r="J42" s="857">
        <f>-G41</f>
        <v>8580822</v>
      </c>
      <c r="K42" s="857">
        <f t="shared" si="6"/>
        <v>8580822</v>
      </c>
      <c r="L42" s="850" t="s">
        <v>1198</v>
      </c>
      <c r="M42" s="850" t="s">
        <v>1199</v>
      </c>
      <c r="N42" s="850" t="s">
        <v>1224</v>
      </c>
      <c r="O42" s="850"/>
      <c r="P42" s="850"/>
      <c r="Q42" s="850"/>
    </row>
    <row r="43" spans="1:17" hidden="1" outlineLevel="1">
      <c r="A43" s="850" t="s">
        <v>530</v>
      </c>
      <c r="B43" s="850"/>
      <c r="C43" s="850"/>
      <c r="D43" s="850"/>
      <c r="E43" s="850"/>
      <c r="F43" s="850"/>
      <c r="G43" s="899"/>
      <c r="H43" s="850"/>
      <c r="I43" s="850"/>
      <c r="J43" s="850"/>
      <c r="K43" s="850"/>
      <c r="L43" s="850"/>
      <c r="M43" s="850"/>
      <c r="N43" s="850"/>
      <c r="O43" s="850"/>
      <c r="P43" s="850"/>
      <c r="Q43" s="850"/>
    </row>
    <row r="44" spans="1:17" hidden="1" outlineLevel="1">
      <c r="A44" s="850" t="s">
        <v>530</v>
      </c>
      <c r="B44" s="1">
        <v>10</v>
      </c>
      <c r="C44" s="1" t="s">
        <v>3361</v>
      </c>
      <c r="D44" s="850"/>
      <c r="E44" s="850"/>
      <c r="F44" s="850"/>
      <c r="G44" s="899"/>
      <c r="H44" s="850"/>
      <c r="I44" s="850"/>
      <c r="J44" s="850"/>
      <c r="K44" s="850"/>
      <c r="L44" s="850"/>
      <c r="M44" s="850"/>
      <c r="N44" s="850"/>
      <c r="O44" s="850"/>
      <c r="P44" s="850"/>
      <c r="Q44" s="850"/>
    </row>
    <row r="45" spans="1:17" ht="15" hidden="1" outlineLevel="1">
      <c r="A45" s="850" t="s">
        <v>530</v>
      </c>
      <c r="B45" s="850"/>
      <c r="C45" s="850"/>
      <c r="D45" s="850" t="s">
        <v>1185</v>
      </c>
      <c r="E45" s="233" t="s">
        <v>1024</v>
      </c>
      <c r="F45" s="850" t="str">
        <f>_xlfn.XLOOKUP(E45,'A0.LS'!E:E,'A0.LS'!F:F)</f>
        <v>Chênh lệch đánh giá giảm FVTPL của VNSC (Revert đầu gốc nếu có phát sinh)</v>
      </c>
      <c r="G45" s="858"/>
      <c r="H45" s="850"/>
      <c r="I45" s="848">
        <v>856771.23287665844</v>
      </c>
      <c r="J45" s="848"/>
      <c r="K45" s="857">
        <f t="shared" ref="K45:K46" si="7">ROUND(SUM(G45:J45),0)</f>
        <v>856771</v>
      </c>
      <c r="L45" s="850" t="s">
        <v>1198</v>
      </c>
      <c r="M45" s="850" t="s">
        <v>1199</v>
      </c>
      <c r="N45" s="850" t="s">
        <v>1224</v>
      </c>
      <c r="O45" s="850"/>
      <c r="P45" s="850"/>
      <c r="Q45" s="850"/>
    </row>
    <row r="46" spans="1:17" ht="15" hidden="1" outlineLevel="1">
      <c r="A46" s="850" t="s">
        <v>530</v>
      </c>
      <c r="B46" s="850"/>
      <c r="C46" s="850"/>
      <c r="D46" s="850" t="s">
        <v>1186</v>
      </c>
      <c r="E46" s="265" t="s">
        <v>1219</v>
      </c>
      <c r="F46" s="850" t="str">
        <f>_xlfn.XLOOKUP(E46,'A0.LS'!E:E,'A0.LS'!F:F)</f>
        <v>Đánh giá lại trái phiếu (của VNSC revert nếu có số dư)</v>
      </c>
      <c r="G46" s="899"/>
      <c r="H46" s="857">
        <f>-I45</f>
        <v>-856771.23287665844</v>
      </c>
      <c r="I46" s="848"/>
      <c r="J46" s="848"/>
      <c r="K46" s="857">
        <f t="shared" si="7"/>
        <v>-856771</v>
      </c>
      <c r="L46" s="850" t="s">
        <v>1198</v>
      </c>
      <c r="M46" s="850" t="s">
        <v>1199</v>
      </c>
      <c r="N46" s="850" t="s">
        <v>1224</v>
      </c>
      <c r="O46" s="850"/>
      <c r="P46" s="850"/>
      <c r="Q46" s="850"/>
    </row>
    <row r="47" spans="1:17" hidden="1" outlineLevel="1">
      <c r="A47" s="850" t="s">
        <v>530</v>
      </c>
      <c r="B47" s="850"/>
      <c r="C47" s="850"/>
      <c r="D47" s="850"/>
      <c r="E47" s="859"/>
      <c r="F47" s="850"/>
      <c r="G47" s="899"/>
      <c r="H47" s="850"/>
      <c r="I47" s="848"/>
      <c r="J47" s="857"/>
      <c r="K47" s="857"/>
      <c r="L47" s="850"/>
      <c r="M47" s="850"/>
      <c r="N47" s="850"/>
      <c r="O47" s="850"/>
      <c r="P47" s="850"/>
      <c r="Q47" s="850"/>
    </row>
    <row r="48" spans="1:17" hidden="1" outlineLevel="1">
      <c r="A48" s="850" t="s">
        <v>530</v>
      </c>
      <c r="B48" s="1">
        <v>11</v>
      </c>
      <c r="C48" s="1" t="s">
        <v>3361</v>
      </c>
      <c r="D48" s="850"/>
      <c r="E48" s="859"/>
      <c r="F48" s="850"/>
      <c r="G48" s="899"/>
      <c r="H48" s="850"/>
      <c r="I48" s="848"/>
      <c r="J48" s="857"/>
      <c r="K48" s="857"/>
      <c r="L48" s="850"/>
      <c r="M48" s="850"/>
      <c r="N48" s="850"/>
      <c r="O48" s="850"/>
      <c r="P48" s="850"/>
      <c r="Q48" s="850"/>
    </row>
    <row r="49" spans="1:17" ht="15" hidden="1" outlineLevel="1">
      <c r="A49" s="850" t="s">
        <v>530</v>
      </c>
      <c r="B49" s="850"/>
      <c r="C49" s="850"/>
      <c r="D49" s="850" t="s">
        <v>1185</v>
      </c>
      <c r="E49" s="233" t="s">
        <v>1024</v>
      </c>
      <c r="F49" s="850" t="str">
        <f>_xlfn.XLOOKUP(E49,'A0.LS'!E:E,'A0.LS'!F:F)</f>
        <v>Chênh lệch đánh giá giảm FVTPL của VNSC (Revert đầu gốc nếu có phát sinh)</v>
      </c>
      <c r="G49" s="899"/>
      <c r="H49" s="850"/>
      <c r="I49" s="848">
        <v>97712771.238346845</v>
      </c>
      <c r="J49" s="857"/>
      <c r="K49" s="857">
        <f t="shared" ref="K49:K50" si="8">ROUND(SUM(G49:J49),0)</f>
        <v>97712771</v>
      </c>
      <c r="L49" s="850" t="s">
        <v>1198</v>
      </c>
      <c r="M49" s="850" t="s">
        <v>1199</v>
      </c>
      <c r="N49" s="850" t="s">
        <v>1224</v>
      </c>
      <c r="O49" s="850"/>
      <c r="P49" s="850"/>
      <c r="Q49" s="850"/>
    </row>
    <row r="50" spans="1:17" ht="15" hidden="1" outlineLevel="1">
      <c r="A50" s="850" t="s">
        <v>530</v>
      </c>
      <c r="B50" s="850"/>
      <c r="C50" s="850"/>
      <c r="D50" s="850" t="s">
        <v>1186</v>
      </c>
      <c r="E50" s="265" t="s">
        <v>1219</v>
      </c>
      <c r="F50" s="850" t="str">
        <f>_xlfn.XLOOKUP(E50,'A0.LS'!E:E,'A0.LS'!F:F)</f>
        <v>Đánh giá lại trái phiếu (của VNSC revert nếu có số dư)</v>
      </c>
      <c r="G50" s="899"/>
      <c r="H50" s="857">
        <f>-I49</f>
        <v>-97712771.238346845</v>
      </c>
      <c r="I50" s="848"/>
      <c r="J50" s="857"/>
      <c r="K50" s="857">
        <f t="shared" si="8"/>
        <v>-97712771</v>
      </c>
      <c r="L50" s="850" t="s">
        <v>1198</v>
      </c>
      <c r="M50" s="850" t="s">
        <v>1199</v>
      </c>
      <c r="N50" s="850" t="s">
        <v>1224</v>
      </c>
      <c r="O50" s="850"/>
      <c r="P50" s="850"/>
      <c r="Q50" s="850"/>
    </row>
    <row r="51" spans="1:17" hidden="1" outlineLevel="1">
      <c r="A51" s="850" t="s">
        <v>530</v>
      </c>
      <c r="B51" s="850"/>
      <c r="C51" s="850"/>
      <c r="D51" s="850"/>
      <c r="E51" s="859"/>
      <c r="F51" s="850"/>
      <c r="G51" s="899"/>
      <c r="H51" s="850"/>
      <c r="I51" s="850"/>
      <c r="J51" s="857"/>
      <c r="K51" s="857"/>
      <c r="L51" s="850"/>
      <c r="M51" s="850"/>
      <c r="N51" s="850"/>
      <c r="O51" s="850"/>
      <c r="P51" s="850"/>
      <c r="Q51" s="850"/>
    </row>
    <row r="52" spans="1:17" hidden="1" outlineLevel="1">
      <c r="A52" s="850" t="s">
        <v>530</v>
      </c>
      <c r="B52" s="1">
        <v>12</v>
      </c>
      <c r="C52" s="1" t="s">
        <v>3361</v>
      </c>
      <c r="D52" s="850"/>
      <c r="E52" s="859"/>
      <c r="F52" s="850"/>
      <c r="G52" s="899"/>
      <c r="H52" s="850"/>
      <c r="I52" s="848"/>
      <c r="J52" s="857"/>
      <c r="K52" s="857"/>
      <c r="L52" s="850"/>
      <c r="M52" s="850"/>
      <c r="N52" s="850"/>
      <c r="O52" s="850"/>
      <c r="P52" s="850"/>
      <c r="Q52" s="850"/>
    </row>
    <row r="53" spans="1:17" ht="15" hidden="1" outlineLevel="1">
      <c r="A53" s="850" t="s">
        <v>530</v>
      </c>
      <c r="B53" s="850"/>
      <c r="C53" s="850"/>
      <c r="D53" s="850" t="s">
        <v>1185</v>
      </c>
      <c r="E53" s="233" t="s">
        <v>1024</v>
      </c>
      <c r="F53" s="850" t="str">
        <f>_xlfn.XLOOKUP(E53,'A0.LS'!E:E,'A0.LS'!F:F)</f>
        <v>Chênh lệch đánh giá giảm FVTPL của VNSC (Revert đầu gốc nếu có phát sinh)</v>
      </c>
      <c r="G53" s="899"/>
      <c r="H53" s="850"/>
      <c r="I53" s="848">
        <v>181130703.65753555</v>
      </c>
      <c r="J53" s="857"/>
      <c r="K53" s="857">
        <f t="shared" ref="K53:K54" si="9">ROUND(SUM(G53:J53),0)</f>
        <v>181130704</v>
      </c>
      <c r="L53" s="850" t="s">
        <v>1198</v>
      </c>
      <c r="M53" s="850" t="s">
        <v>1199</v>
      </c>
      <c r="N53" s="850" t="s">
        <v>1224</v>
      </c>
      <c r="O53" s="850"/>
      <c r="P53" s="850"/>
      <c r="Q53" s="850"/>
    </row>
    <row r="54" spans="1:17" ht="15" hidden="1" outlineLevel="1">
      <c r="A54" s="850" t="s">
        <v>530</v>
      </c>
      <c r="B54" s="850"/>
      <c r="C54" s="850"/>
      <c r="D54" s="850" t="s">
        <v>1186</v>
      </c>
      <c r="E54" s="265" t="s">
        <v>1219</v>
      </c>
      <c r="F54" s="850" t="str">
        <f>_xlfn.XLOOKUP(E54,'A0.LS'!E:E,'A0.LS'!F:F)</f>
        <v>Đánh giá lại trái phiếu (của VNSC revert nếu có số dư)</v>
      </c>
      <c r="G54" s="899"/>
      <c r="H54" s="857">
        <f>-I53</f>
        <v>-181130703.65753555</v>
      </c>
      <c r="I54" s="848"/>
      <c r="J54" s="857"/>
      <c r="K54" s="857">
        <f t="shared" si="9"/>
        <v>-181130704</v>
      </c>
      <c r="L54" s="850" t="s">
        <v>1198</v>
      </c>
      <c r="M54" s="850" t="s">
        <v>1199</v>
      </c>
      <c r="N54" s="850" t="s">
        <v>1224</v>
      </c>
      <c r="O54" s="850"/>
      <c r="P54" s="850"/>
      <c r="Q54" s="850"/>
    </row>
    <row r="55" spans="1:17" hidden="1" outlineLevel="1">
      <c r="A55" s="850" t="s">
        <v>530</v>
      </c>
      <c r="B55" s="850"/>
      <c r="C55" s="850"/>
      <c r="D55" s="850"/>
      <c r="E55" s="859"/>
      <c r="F55" s="850"/>
      <c r="G55" s="899"/>
      <c r="H55" s="850"/>
      <c r="I55" s="850"/>
      <c r="J55" s="857"/>
      <c r="K55" s="857"/>
      <c r="L55" s="850"/>
      <c r="M55" s="850"/>
      <c r="N55" s="850"/>
      <c r="O55" s="850"/>
      <c r="P55" s="850"/>
      <c r="Q55" s="850"/>
    </row>
    <row r="56" spans="1:17" hidden="1" outlineLevel="1">
      <c r="A56" s="850" t="s">
        <v>530</v>
      </c>
      <c r="B56" s="1">
        <v>13</v>
      </c>
      <c r="C56" s="1" t="s">
        <v>3361</v>
      </c>
      <c r="D56" s="850"/>
      <c r="E56" s="859"/>
      <c r="F56" s="850"/>
      <c r="G56" s="899"/>
      <c r="H56" s="850"/>
      <c r="I56" s="848"/>
      <c r="J56" s="857"/>
      <c r="K56" s="857"/>
      <c r="L56" s="850"/>
      <c r="M56" s="850"/>
      <c r="N56" s="850"/>
      <c r="O56" s="850"/>
      <c r="P56" s="850"/>
      <c r="Q56" s="850"/>
    </row>
    <row r="57" spans="1:17" ht="15" hidden="1" outlineLevel="1">
      <c r="A57" s="850" t="s">
        <v>530</v>
      </c>
      <c r="B57" s="850"/>
      <c r="C57" s="850"/>
      <c r="D57" s="850" t="s">
        <v>1185</v>
      </c>
      <c r="E57" s="233" t="s">
        <v>1219</v>
      </c>
      <c r="F57" s="850" t="str">
        <f>_xlfn.XLOOKUP(E57,'A0.LS'!E:E,'A0.LS'!F:F)</f>
        <v>Đánh giá lại trái phiếu (của VNSC revert nếu có số dư)</v>
      </c>
      <c r="G57" s="858">
        <v>-12143841</v>
      </c>
      <c r="H57" s="850"/>
      <c r="I57" s="848"/>
      <c r="J57" s="857"/>
      <c r="K57" s="857">
        <f t="shared" ref="K57:K58" si="10">ROUND(SUM(G57:J57),0)</f>
        <v>-12143841</v>
      </c>
      <c r="L57" s="850" t="s">
        <v>1198</v>
      </c>
      <c r="M57" s="850" t="s">
        <v>1199</v>
      </c>
      <c r="N57" s="850" t="s">
        <v>1224</v>
      </c>
      <c r="O57" s="850"/>
      <c r="P57" s="850"/>
      <c r="Q57" s="850"/>
    </row>
    <row r="58" spans="1:17" ht="15" hidden="1" outlineLevel="1">
      <c r="A58" s="850" t="s">
        <v>530</v>
      </c>
      <c r="B58" s="850"/>
      <c r="C58" s="850"/>
      <c r="D58" s="850" t="s">
        <v>1186</v>
      </c>
      <c r="E58" s="265" t="s">
        <v>978</v>
      </c>
      <c r="F58" s="850" t="str">
        <f>_xlfn.XLOOKUP(E58,'A0.LS'!E:E,'A0.LS'!F:F)</f>
        <v>Chênh lệch đánh giá tăng FVTPL của VNSC (Revert đầu gốc nếu có phát sinh)</v>
      </c>
      <c r="G58" s="899"/>
      <c r="H58" s="857"/>
      <c r="I58" s="848"/>
      <c r="J58" s="857">
        <f>-G57</f>
        <v>12143841</v>
      </c>
      <c r="K58" s="857">
        <f t="shared" si="10"/>
        <v>12143841</v>
      </c>
      <c r="L58" s="850" t="s">
        <v>1198</v>
      </c>
      <c r="M58" s="850" t="s">
        <v>1199</v>
      </c>
      <c r="N58" s="850" t="s">
        <v>1224</v>
      </c>
      <c r="O58" s="850"/>
      <c r="P58" s="850"/>
      <c r="Q58" s="850"/>
    </row>
    <row r="59" spans="1:17" hidden="1" outlineLevel="1">
      <c r="A59" s="850" t="s">
        <v>530</v>
      </c>
      <c r="B59" s="850"/>
      <c r="C59" s="850"/>
      <c r="D59" s="850"/>
      <c r="E59" s="859"/>
      <c r="F59" s="850"/>
      <c r="G59" s="899"/>
      <c r="H59" s="850"/>
      <c r="I59" s="848"/>
      <c r="J59" s="850"/>
      <c r="K59" s="857"/>
      <c r="L59" s="850"/>
      <c r="M59" s="850"/>
      <c r="N59" s="850"/>
      <c r="O59" s="850"/>
      <c r="P59" s="850"/>
      <c r="Q59" s="850"/>
    </row>
    <row r="60" spans="1:17" hidden="1" outlineLevel="1">
      <c r="A60" s="850" t="s">
        <v>530</v>
      </c>
      <c r="B60" s="1">
        <v>14</v>
      </c>
      <c r="C60" s="1" t="s">
        <v>3362</v>
      </c>
      <c r="D60" s="850"/>
      <c r="E60" s="859"/>
      <c r="F60" s="850"/>
      <c r="G60" s="899"/>
      <c r="H60" s="850"/>
      <c r="I60" s="848"/>
      <c r="J60" s="857"/>
      <c r="K60" s="857"/>
      <c r="L60" s="850"/>
      <c r="M60" s="850"/>
      <c r="N60" s="850"/>
      <c r="O60" s="850"/>
      <c r="P60" s="850"/>
      <c r="Q60" s="850"/>
    </row>
    <row r="61" spans="1:17" ht="15" hidden="1" outlineLevel="1">
      <c r="A61" s="850" t="s">
        <v>530</v>
      </c>
      <c r="B61" s="850"/>
      <c r="C61" s="850"/>
      <c r="D61" s="850" t="s">
        <v>1185</v>
      </c>
      <c r="E61" s="233" t="s">
        <v>407</v>
      </c>
      <c r="F61" s="850" t="str">
        <f>_xlfn.XLOOKUP(E61,'A0.LS'!E:E,'A0.LS'!F:F)</f>
        <v>Phí kiểm toán</v>
      </c>
      <c r="G61" s="858"/>
      <c r="H61" s="850"/>
      <c r="I61" s="848">
        <v>280000000</v>
      </c>
      <c r="J61" s="857"/>
      <c r="K61" s="857">
        <f t="shared" ref="K61:K62" si="11">ROUND(SUM(G61:J61),0)</f>
        <v>280000000</v>
      </c>
      <c r="L61" s="850" t="s">
        <v>1198</v>
      </c>
      <c r="M61" s="850" t="s">
        <v>1199</v>
      </c>
      <c r="N61" s="850" t="s">
        <v>1224</v>
      </c>
      <c r="O61" s="850"/>
      <c r="P61" s="850"/>
      <c r="Q61" s="850"/>
    </row>
    <row r="62" spans="1:17" ht="15" hidden="1" outlineLevel="1">
      <c r="A62" s="850" t="s">
        <v>530</v>
      </c>
      <c r="B62" s="850"/>
      <c r="C62" s="850"/>
      <c r="D62" s="850" t="s">
        <v>1186</v>
      </c>
      <c r="E62" s="265" t="s">
        <v>154</v>
      </c>
      <c r="F62" s="850" t="str">
        <f>_xlfn.XLOOKUP(E62,'A0.LS'!E:E,'A0.LS'!F:F)</f>
        <v>Chi phí phải trả</v>
      </c>
      <c r="G62" s="899"/>
      <c r="H62" s="857">
        <f>-I61</f>
        <v>-280000000</v>
      </c>
      <c r="I62" s="848"/>
      <c r="J62" s="857"/>
      <c r="K62" s="857">
        <f t="shared" si="11"/>
        <v>-280000000</v>
      </c>
      <c r="L62" s="850" t="s">
        <v>1198</v>
      </c>
      <c r="M62" s="850" t="s">
        <v>1199</v>
      </c>
      <c r="N62" s="850" t="s">
        <v>1224</v>
      </c>
      <c r="O62" s="850"/>
      <c r="P62" s="850"/>
      <c r="Q62" s="850"/>
    </row>
    <row r="63" spans="1:17" hidden="1" outlineLevel="1">
      <c r="A63" s="850" t="s">
        <v>530</v>
      </c>
      <c r="B63" s="850"/>
      <c r="C63" s="850"/>
      <c r="D63" s="850"/>
      <c r="E63" s="859"/>
      <c r="F63" s="850"/>
      <c r="G63" s="899"/>
      <c r="H63" s="850"/>
      <c r="I63" s="848"/>
      <c r="J63" s="857"/>
      <c r="K63" s="857"/>
      <c r="L63" s="850"/>
      <c r="M63" s="850"/>
      <c r="N63" s="850"/>
      <c r="O63" s="850"/>
      <c r="P63" s="850"/>
      <c r="Q63" s="850"/>
    </row>
    <row r="64" spans="1:17" hidden="1" outlineLevel="1">
      <c r="A64" s="850" t="s">
        <v>530</v>
      </c>
      <c r="B64" s="1">
        <v>15</v>
      </c>
      <c r="C64" s="1" t="s">
        <v>3363</v>
      </c>
      <c r="D64" s="850"/>
      <c r="E64" s="859"/>
      <c r="F64" s="850"/>
      <c r="G64" s="899"/>
      <c r="H64" s="850"/>
      <c r="I64" s="848"/>
      <c r="J64" s="857"/>
      <c r="K64" s="857"/>
      <c r="L64" s="850"/>
      <c r="M64" s="850"/>
      <c r="N64" s="850"/>
      <c r="O64" s="850"/>
      <c r="P64" s="850"/>
      <c r="Q64" s="850"/>
    </row>
    <row r="65" spans="1:36" ht="15" hidden="1" outlineLevel="1">
      <c r="A65" s="850" t="s">
        <v>530</v>
      </c>
      <c r="B65" s="850"/>
      <c r="C65" s="850"/>
      <c r="D65" s="850" t="s">
        <v>1185</v>
      </c>
      <c r="E65" s="233" t="s">
        <v>442</v>
      </c>
      <c r="F65" s="850" t="str">
        <f>_xlfn.XLOOKUP(E65,'A0.LS'!E:E,'A0.LS'!F:F)</f>
        <v>Doanh thu khác</v>
      </c>
      <c r="G65" s="858"/>
      <c r="H65" s="850"/>
      <c r="I65" s="848">
        <v>439572463</v>
      </c>
      <c r="J65" s="857"/>
      <c r="K65" s="857">
        <f t="shared" ref="K65:K66" si="12">ROUND(SUM(G65:J65),0)</f>
        <v>439572463</v>
      </c>
      <c r="L65" s="850" t="s">
        <v>1198</v>
      </c>
      <c r="M65" s="850" t="s">
        <v>1199</v>
      </c>
      <c r="N65" s="850" t="s">
        <v>1224</v>
      </c>
      <c r="O65" s="850"/>
      <c r="P65" s="850"/>
      <c r="Q65" s="850"/>
      <c r="R65" s="850"/>
      <c r="S65" s="850"/>
      <c r="T65" s="850"/>
      <c r="U65" s="850"/>
      <c r="V65" s="850"/>
      <c r="W65" s="850"/>
      <c r="X65" s="850"/>
      <c r="Y65" s="850"/>
      <c r="Z65" s="850"/>
      <c r="AA65" s="850"/>
      <c r="AB65" s="850"/>
      <c r="AC65" s="850"/>
      <c r="AD65" s="850"/>
      <c r="AE65" s="850"/>
      <c r="AF65" s="850"/>
      <c r="AG65" s="850"/>
      <c r="AH65" s="850"/>
      <c r="AI65" s="850"/>
      <c r="AJ65" s="850"/>
    </row>
    <row r="66" spans="1:36" ht="15" hidden="1" outlineLevel="1">
      <c r="A66" s="850" t="s">
        <v>530</v>
      </c>
      <c r="B66" s="850"/>
      <c r="C66" s="850"/>
      <c r="D66" s="850" t="s">
        <v>1186</v>
      </c>
      <c r="E66" s="265" t="s">
        <v>245</v>
      </c>
      <c r="F66" s="850" t="str">
        <f>_xlfn.XLOOKUP(E66,'A0.LS'!E:E,'A0.LS'!F:F)</f>
        <v>Doanh thu khác</v>
      </c>
      <c r="G66" s="899"/>
      <c r="H66" s="857"/>
      <c r="I66" s="848"/>
      <c r="J66" s="857">
        <f>-I65</f>
        <v>-439572463</v>
      </c>
      <c r="K66" s="857">
        <f t="shared" si="12"/>
        <v>-439572463</v>
      </c>
      <c r="L66" s="850" t="s">
        <v>1198</v>
      </c>
      <c r="M66" s="850" t="s">
        <v>1199</v>
      </c>
      <c r="N66" s="850" t="s">
        <v>1224</v>
      </c>
      <c r="O66" s="850"/>
      <c r="P66" s="850"/>
      <c r="Q66" s="850"/>
      <c r="R66" s="850"/>
      <c r="S66" s="850"/>
      <c r="T66" s="850"/>
      <c r="U66" s="850"/>
      <c r="V66" s="850"/>
      <c r="W66" s="850"/>
      <c r="X66" s="850"/>
      <c r="Y66" s="850"/>
      <c r="Z66" s="850"/>
      <c r="AA66" s="850"/>
      <c r="AB66" s="850"/>
      <c r="AC66" s="850"/>
      <c r="AD66" s="850"/>
      <c r="AE66" s="850"/>
      <c r="AF66" s="850"/>
      <c r="AG66" s="850"/>
      <c r="AH66" s="850"/>
      <c r="AI66" s="850"/>
      <c r="AJ66" s="850"/>
    </row>
    <row r="67" spans="1:36" hidden="1" outlineLevel="1">
      <c r="A67" s="850" t="s">
        <v>530</v>
      </c>
      <c r="B67" s="850"/>
      <c r="C67" s="850"/>
      <c r="D67" s="850"/>
      <c r="E67" s="859"/>
      <c r="F67" s="850"/>
      <c r="G67" s="899"/>
      <c r="H67" s="850"/>
      <c r="I67" s="850"/>
      <c r="J67" s="857"/>
      <c r="K67" s="857"/>
      <c r="L67" s="850"/>
      <c r="M67" s="850"/>
      <c r="N67" s="850"/>
      <c r="O67" s="850"/>
      <c r="P67" s="850"/>
      <c r="Q67" s="850"/>
      <c r="R67" s="850"/>
      <c r="S67" s="850"/>
      <c r="T67" s="850"/>
      <c r="U67" s="850"/>
      <c r="V67" s="850"/>
      <c r="W67" s="850"/>
      <c r="X67" s="850"/>
      <c r="Y67" s="850"/>
      <c r="Z67" s="850"/>
      <c r="AA67" s="850"/>
      <c r="AB67" s="850"/>
      <c r="AC67" s="850"/>
      <c r="AD67" s="850"/>
      <c r="AE67" s="850"/>
      <c r="AF67" s="850"/>
      <c r="AG67" s="850"/>
      <c r="AH67" s="850"/>
      <c r="AI67" s="850"/>
      <c r="AJ67" s="850"/>
    </row>
    <row r="68" spans="1:36" hidden="1" outlineLevel="1">
      <c r="A68" s="850" t="s">
        <v>530</v>
      </c>
      <c r="B68" s="1">
        <v>16</v>
      </c>
      <c r="C68" s="1" t="s">
        <v>445</v>
      </c>
      <c r="D68" s="850"/>
      <c r="E68" s="859"/>
      <c r="F68" s="850"/>
      <c r="G68" s="899"/>
      <c r="H68" s="850"/>
      <c r="I68" s="850"/>
      <c r="J68" s="857"/>
      <c r="K68" s="857"/>
      <c r="L68" s="850"/>
      <c r="M68" s="850"/>
      <c r="N68" s="850"/>
      <c r="O68" s="850"/>
      <c r="P68" s="850"/>
      <c r="Q68" s="850"/>
      <c r="R68" s="850"/>
      <c r="S68" s="850"/>
      <c r="T68" s="850"/>
      <c r="U68" s="850"/>
      <c r="V68" s="850"/>
      <c r="W68" s="850"/>
      <c r="X68" s="850"/>
      <c r="Y68" s="850"/>
      <c r="Z68" s="850"/>
      <c r="AA68" s="850"/>
      <c r="AB68" s="850"/>
      <c r="AC68" s="850"/>
      <c r="AD68" s="850"/>
      <c r="AE68" s="850"/>
      <c r="AF68" s="850"/>
      <c r="AG68" s="850"/>
      <c r="AH68" s="850"/>
      <c r="AI68" s="850"/>
      <c r="AJ68" s="850"/>
    </row>
    <row r="69" spans="1:36" ht="15" hidden="1" outlineLevel="1">
      <c r="A69" s="850" t="s">
        <v>530</v>
      </c>
      <c r="B69" s="850"/>
      <c r="C69" s="850"/>
      <c r="D69" s="850" t="s">
        <v>1185</v>
      </c>
      <c r="E69" s="233" t="s">
        <v>789</v>
      </c>
      <c r="F69" s="850" t="str">
        <f>_xlfn.XLOOKUP(E69,'A0.LS'!E:E,'A0.LS'!F:F)</f>
        <v>Chi phí môi giới chứng khoán</v>
      </c>
      <c r="G69" s="858"/>
      <c r="H69" s="850"/>
      <c r="I69" s="848">
        <v>401329660</v>
      </c>
      <c r="J69" s="857"/>
      <c r="K69" s="857">
        <f t="shared" ref="K69:K70" si="13">ROUND(SUM(G69:J69),0)</f>
        <v>401329660</v>
      </c>
      <c r="L69" s="850" t="s">
        <v>1198</v>
      </c>
      <c r="M69" s="850" t="s">
        <v>1199</v>
      </c>
      <c r="N69" s="850" t="s">
        <v>1224</v>
      </c>
      <c r="O69" s="850"/>
      <c r="P69" s="850"/>
      <c r="Q69" s="850"/>
      <c r="R69" s="850"/>
      <c r="S69" s="850"/>
      <c r="T69" s="850"/>
      <c r="U69" s="850"/>
      <c r="V69" s="850"/>
      <c r="W69" s="850"/>
      <c r="X69" s="850"/>
      <c r="Y69" s="850"/>
      <c r="Z69" s="850"/>
      <c r="AA69" s="850"/>
      <c r="AB69" s="850"/>
      <c r="AC69" s="850"/>
      <c r="AD69" s="850"/>
      <c r="AE69" s="850"/>
      <c r="AF69" s="850"/>
      <c r="AG69" s="850"/>
      <c r="AH69" s="850"/>
      <c r="AI69" s="850"/>
      <c r="AJ69" s="850"/>
    </row>
    <row r="70" spans="1:36" ht="15" hidden="1" outlineLevel="1">
      <c r="A70" s="850" t="s">
        <v>530</v>
      </c>
      <c r="B70" s="850"/>
      <c r="C70" s="850"/>
      <c r="D70" s="850" t="s">
        <v>1186</v>
      </c>
      <c r="E70" s="233" t="s">
        <v>444</v>
      </c>
      <c r="F70" s="850" t="str">
        <f>_xlfn.XLOOKUP(E70,'A0.LS'!E:E,'A0.LS'!F:F)</f>
        <v>Chi phí khác</v>
      </c>
      <c r="G70" s="899"/>
      <c r="H70" s="857"/>
      <c r="I70" s="848"/>
      <c r="J70" s="857">
        <f>-I69</f>
        <v>-401329660</v>
      </c>
      <c r="K70" s="857">
        <f t="shared" si="13"/>
        <v>-401329660</v>
      </c>
      <c r="L70" s="850" t="s">
        <v>1198</v>
      </c>
      <c r="M70" s="850" t="s">
        <v>1199</v>
      </c>
      <c r="N70" s="850" t="s">
        <v>1224</v>
      </c>
      <c r="O70" s="850"/>
      <c r="P70" s="850"/>
      <c r="Q70" s="850"/>
      <c r="R70" s="850"/>
      <c r="S70" s="850"/>
      <c r="T70" s="850"/>
      <c r="U70" s="850"/>
      <c r="V70" s="850"/>
      <c r="W70" s="850"/>
      <c r="X70" s="850"/>
      <c r="Y70" s="850"/>
      <c r="Z70" s="850"/>
      <c r="AA70" s="850"/>
      <c r="AB70" s="850"/>
      <c r="AC70" s="850"/>
      <c r="AD70" s="850"/>
      <c r="AE70" s="850"/>
      <c r="AF70" s="850"/>
      <c r="AG70" s="850"/>
      <c r="AH70" s="850"/>
      <c r="AI70" s="850"/>
      <c r="AJ70" s="850"/>
    </row>
    <row r="71" spans="1:36" hidden="1" outlineLevel="1">
      <c r="A71" s="850" t="s">
        <v>530</v>
      </c>
      <c r="B71" s="850"/>
      <c r="C71" s="850"/>
      <c r="D71" s="850"/>
      <c r="E71" s="850"/>
      <c r="F71" s="850"/>
      <c r="G71" s="899"/>
      <c r="H71" s="850"/>
      <c r="I71" s="850"/>
      <c r="J71" s="850"/>
      <c r="K71" s="850"/>
      <c r="L71" s="850"/>
      <c r="M71" s="850"/>
      <c r="N71" s="850"/>
      <c r="O71" s="850"/>
      <c r="P71" s="850"/>
      <c r="Q71" s="850"/>
      <c r="R71" s="850"/>
      <c r="S71" s="850"/>
      <c r="T71" s="850"/>
      <c r="U71" s="850"/>
      <c r="V71" s="850"/>
      <c r="W71" s="850"/>
      <c r="X71" s="850"/>
      <c r="Y71" s="850"/>
      <c r="Z71" s="850"/>
      <c r="AA71" s="850"/>
      <c r="AB71" s="850"/>
      <c r="AC71" s="850"/>
      <c r="AD71" s="850"/>
      <c r="AE71" s="850"/>
      <c r="AF71" s="850"/>
      <c r="AG71" s="850"/>
      <c r="AH71" s="850"/>
      <c r="AI71" s="850"/>
      <c r="AJ71" s="850"/>
    </row>
    <row r="72" spans="1:36" hidden="1" outlineLevel="1">
      <c r="A72" s="850" t="s">
        <v>530</v>
      </c>
      <c r="B72" s="1">
        <v>17</v>
      </c>
      <c r="C72" s="1" t="s">
        <v>3364</v>
      </c>
      <c r="D72" s="850"/>
      <c r="E72" s="850"/>
      <c r="F72" s="850"/>
      <c r="G72" s="899"/>
      <c r="H72" s="850"/>
      <c r="I72" s="850"/>
      <c r="J72" s="850"/>
      <c r="K72" s="850"/>
      <c r="L72" s="850"/>
      <c r="M72" s="850"/>
      <c r="N72" s="850"/>
      <c r="O72" s="850"/>
      <c r="P72" s="850"/>
      <c r="Q72" s="850"/>
      <c r="R72" s="850"/>
      <c r="S72" s="850"/>
      <c r="T72" s="850"/>
      <c r="U72" s="850"/>
      <c r="V72" s="850"/>
      <c r="W72" s="850"/>
      <c r="X72" s="850"/>
      <c r="Y72" s="850"/>
      <c r="Z72" s="850"/>
      <c r="AA72" s="850"/>
      <c r="AB72" s="850"/>
      <c r="AC72" s="850"/>
      <c r="AD72" s="850"/>
      <c r="AE72" s="850"/>
      <c r="AF72" s="850"/>
      <c r="AG72" s="850"/>
      <c r="AH72" s="850"/>
      <c r="AI72" s="850"/>
      <c r="AJ72" s="850"/>
    </row>
    <row r="73" spans="1:36" hidden="1" outlineLevel="1">
      <c r="A73" s="850" t="s">
        <v>530</v>
      </c>
      <c r="B73" s="850"/>
      <c r="C73" s="850"/>
      <c r="D73" s="850" t="s">
        <v>1185</v>
      </c>
      <c r="E73" s="859" t="s">
        <v>2295</v>
      </c>
      <c r="F73" s="850" t="str">
        <f>_xlfn.XLOOKUP(E73,'A0.LS'!E:E,'A0.LS'!F:F)</f>
        <v>Tài sản thuế thu nhập hoãn lại</v>
      </c>
      <c r="G73" s="858">
        <v>56773985</v>
      </c>
      <c r="H73" s="850"/>
      <c r="I73" s="850"/>
      <c r="J73" s="850"/>
      <c r="K73" s="857">
        <f t="shared" ref="K73:K74" si="14">ROUND(SUM(G73:J73),0)</f>
        <v>56773985</v>
      </c>
      <c r="L73" s="850" t="s">
        <v>1198</v>
      </c>
      <c r="M73" s="850" t="s">
        <v>1199</v>
      </c>
      <c r="N73" s="850" t="s">
        <v>1224</v>
      </c>
      <c r="O73" s="850"/>
      <c r="P73" s="850"/>
      <c r="Q73" s="850"/>
      <c r="R73" s="850"/>
      <c r="S73" s="850"/>
      <c r="T73" s="850"/>
      <c r="U73" s="850"/>
      <c r="V73" s="850"/>
      <c r="W73" s="850"/>
      <c r="X73" s="850"/>
      <c r="Y73" s="850"/>
      <c r="Z73" s="850"/>
      <c r="AA73" s="850"/>
      <c r="AB73" s="850"/>
      <c r="AC73" s="850"/>
      <c r="AD73" s="850"/>
      <c r="AE73" s="850"/>
      <c r="AF73" s="850"/>
      <c r="AG73" s="850"/>
      <c r="AH73" s="850"/>
      <c r="AI73" s="850"/>
      <c r="AJ73" s="850"/>
    </row>
    <row r="74" spans="1:36" hidden="1" outlineLevel="1">
      <c r="A74" s="850" t="s">
        <v>530</v>
      </c>
      <c r="B74" s="850"/>
      <c r="C74" s="850"/>
      <c r="D74" s="850" t="s">
        <v>1186</v>
      </c>
      <c r="E74" s="859" t="s">
        <v>872</v>
      </c>
      <c r="F74" s="850" t="str">
        <f>_xlfn.XLOOKUP(E74,'A0.LS'!E:E,'A0.LS'!F:F)</f>
        <v>Chi phí thuế TNDN hoãn lại - Đánh giá lại TSTC</v>
      </c>
      <c r="G74" s="899"/>
      <c r="H74" s="850"/>
      <c r="I74" s="850"/>
      <c r="J74" s="857">
        <f>-G73</f>
        <v>-56773985</v>
      </c>
      <c r="K74" s="857">
        <f t="shared" si="14"/>
        <v>-56773985</v>
      </c>
      <c r="L74" s="850" t="s">
        <v>1198</v>
      </c>
      <c r="M74" s="850" t="s">
        <v>1199</v>
      </c>
      <c r="N74" s="850" t="s">
        <v>1224</v>
      </c>
      <c r="O74" s="850"/>
      <c r="P74" s="850"/>
      <c r="Q74" s="850"/>
      <c r="R74" s="850"/>
      <c r="S74" s="850"/>
      <c r="T74" s="850"/>
      <c r="U74" s="850"/>
      <c r="V74" s="850"/>
      <c r="W74" s="850"/>
      <c r="X74" s="850"/>
      <c r="Y74" s="850"/>
      <c r="Z74" s="850"/>
      <c r="AA74" s="850"/>
      <c r="AB74" s="850"/>
      <c r="AC74" s="850"/>
      <c r="AD74" s="850"/>
      <c r="AE74" s="850"/>
      <c r="AF74" s="850"/>
      <c r="AG74" s="850"/>
      <c r="AH74" s="850"/>
      <c r="AI74" s="850"/>
      <c r="AJ74" s="850"/>
    </row>
    <row r="75" spans="1:36" hidden="1" outlineLevel="1">
      <c r="A75" s="850" t="s">
        <v>530</v>
      </c>
      <c r="B75" s="850"/>
      <c r="C75" s="850"/>
      <c r="D75" s="850"/>
      <c r="E75" s="850"/>
      <c r="F75" s="850"/>
      <c r="G75" s="899"/>
      <c r="H75" s="850"/>
      <c r="I75" s="850"/>
      <c r="J75" s="850"/>
      <c r="K75" s="850"/>
      <c r="L75" s="850"/>
      <c r="M75" s="850"/>
      <c r="N75" s="850"/>
      <c r="O75" s="850"/>
      <c r="P75" s="850"/>
      <c r="Q75" s="850"/>
      <c r="R75" s="850"/>
      <c r="S75" s="850"/>
      <c r="T75" s="850"/>
      <c r="U75" s="850"/>
      <c r="V75" s="850"/>
      <c r="W75" s="850"/>
      <c r="X75" s="850"/>
      <c r="Y75" s="850"/>
      <c r="Z75" s="850"/>
      <c r="AA75" s="850"/>
      <c r="AB75" s="850"/>
      <c r="AC75" s="850"/>
      <c r="AD75" s="850"/>
      <c r="AE75" s="850"/>
      <c r="AF75" s="850"/>
      <c r="AG75" s="850"/>
      <c r="AH75" s="850"/>
      <c r="AI75" s="850"/>
      <c r="AJ75" s="850"/>
    </row>
    <row r="76" spans="1:36">
      <c r="A76" s="1" t="s">
        <v>2120</v>
      </c>
      <c r="B76" s="1006"/>
      <c r="C76" s="1006"/>
      <c r="D76" s="1006"/>
      <c r="E76" s="1006"/>
      <c r="F76" s="1006"/>
      <c r="G76" s="1006"/>
      <c r="H76" s="1006"/>
      <c r="I76" s="1006"/>
      <c r="J76" s="1006"/>
      <c r="K76" s="1006"/>
      <c r="L76" s="1006"/>
      <c r="M76" s="1006"/>
      <c r="N76" s="1006"/>
      <c r="O76" s="1006"/>
      <c r="P76" s="850"/>
      <c r="Q76" s="850"/>
      <c r="R76" s="850"/>
      <c r="S76" s="850"/>
      <c r="T76" s="850"/>
      <c r="U76" s="850"/>
      <c r="V76" s="850"/>
      <c r="W76" s="850"/>
      <c r="X76" s="850"/>
      <c r="Y76" s="850"/>
      <c r="Z76" s="850"/>
      <c r="AA76" s="850"/>
      <c r="AB76" s="850"/>
      <c r="AC76" s="850"/>
      <c r="AD76" s="850"/>
      <c r="AE76" s="850"/>
      <c r="AF76" s="850"/>
      <c r="AG76" s="850"/>
      <c r="AH76" s="850"/>
      <c r="AI76" s="850"/>
      <c r="AJ76" s="850"/>
    </row>
    <row r="77" spans="1:36" outlineLevel="1">
      <c r="A77" s="850" t="s">
        <v>2120</v>
      </c>
      <c r="B77" s="1">
        <v>1</v>
      </c>
      <c r="C77" s="1" t="s">
        <v>3365</v>
      </c>
      <c r="D77" s="850"/>
      <c r="E77" s="850"/>
      <c r="F77" s="850"/>
      <c r="G77" s="850"/>
      <c r="H77" s="850"/>
      <c r="I77" s="850"/>
      <c r="J77" s="850"/>
      <c r="K77" s="850"/>
      <c r="L77" s="850"/>
      <c r="M77" s="850"/>
      <c r="N77" s="850"/>
      <c r="O77" s="850"/>
      <c r="P77" s="850"/>
      <c r="Q77" s="850"/>
      <c r="R77" s="850"/>
      <c r="S77" s="850"/>
      <c r="T77" s="850"/>
      <c r="U77" s="850"/>
      <c r="V77" s="850"/>
      <c r="W77" s="850"/>
      <c r="X77" s="850"/>
      <c r="Y77" s="850"/>
      <c r="Z77" s="850"/>
      <c r="AA77" s="850"/>
      <c r="AB77" s="850"/>
      <c r="AC77" s="850"/>
      <c r="AD77" s="850"/>
      <c r="AE77" s="850"/>
      <c r="AF77" s="850"/>
      <c r="AG77" s="850"/>
      <c r="AH77" s="850"/>
      <c r="AI77" s="850"/>
      <c r="AJ77" s="850"/>
    </row>
    <row r="78" spans="1:36" outlineLevel="1">
      <c r="A78" s="850" t="s">
        <v>2120</v>
      </c>
      <c r="B78" s="850"/>
      <c r="C78" s="850"/>
      <c r="D78" s="850" t="s">
        <v>1185</v>
      </c>
      <c r="E78" s="850" t="s">
        <v>1250</v>
      </c>
      <c r="F78" s="850" t="str">
        <f>_xlfn.XLOOKUP(E78,'A0.LS'!E:E,'A0.LS'!F:F)</f>
        <v>Phải thu khác - Sản phẩm vàng</v>
      </c>
      <c r="G78" s="848"/>
      <c r="H78" s="850"/>
      <c r="I78" s="850"/>
      <c r="J78" s="850"/>
      <c r="K78" s="857">
        <f>ROUND(SUM(G78:J78),0)</f>
        <v>0</v>
      </c>
      <c r="L78" s="850" t="s">
        <v>1198</v>
      </c>
      <c r="M78" s="850"/>
      <c r="N78" s="850"/>
      <c r="O78" s="850"/>
      <c r="P78" s="850"/>
      <c r="Q78" s="850" t="s">
        <v>3366</v>
      </c>
      <c r="R78" s="850"/>
      <c r="S78" s="850"/>
      <c r="T78" s="850"/>
      <c r="U78" s="850"/>
      <c r="V78" s="850"/>
      <c r="W78" s="850"/>
      <c r="X78" s="850"/>
      <c r="Y78" s="850"/>
      <c r="Z78" s="850"/>
      <c r="AA78" s="850"/>
      <c r="AB78" s="850"/>
      <c r="AC78" s="850"/>
      <c r="AD78" s="850"/>
      <c r="AE78" s="850"/>
      <c r="AF78" s="850"/>
      <c r="AG78" s="850"/>
      <c r="AH78" s="850"/>
      <c r="AI78" s="850"/>
      <c r="AJ78" s="850"/>
    </row>
    <row r="79" spans="1:36" outlineLevel="1">
      <c r="A79" s="850" t="s">
        <v>2120</v>
      </c>
      <c r="B79" s="850"/>
      <c r="C79" s="850"/>
      <c r="D79" s="850" t="s">
        <v>1186</v>
      </c>
      <c r="E79" s="850" t="s">
        <v>183</v>
      </c>
      <c r="F79" s="850" t="str">
        <f>_xlfn.XLOOKUP(E79,'A0.LS'!E:E,'A0.LS'!F:F)</f>
        <v>Phải trả, phải nộp khác - Vàng</v>
      </c>
      <c r="G79" s="850"/>
      <c r="H79" s="857"/>
      <c r="I79" s="850"/>
      <c r="J79" s="850"/>
      <c r="K79" s="857">
        <f>ROUND(SUM(G79:J79),0)</f>
        <v>0</v>
      </c>
      <c r="L79" s="850" t="s">
        <v>1198</v>
      </c>
      <c r="M79" s="850"/>
      <c r="N79" s="850"/>
      <c r="O79" s="850"/>
      <c r="P79" s="850"/>
      <c r="Q79" s="850"/>
      <c r="R79" s="850"/>
      <c r="S79" s="850"/>
      <c r="T79" s="850"/>
      <c r="U79" s="850"/>
      <c r="V79" s="850"/>
      <c r="W79" s="850"/>
      <c r="X79" s="850"/>
      <c r="Y79" s="850"/>
      <c r="Z79" s="850"/>
      <c r="AA79" s="850"/>
      <c r="AB79" s="850"/>
      <c r="AC79" s="850"/>
      <c r="AD79" s="850"/>
      <c r="AE79" s="850"/>
      <c r="AF79" s="850"/>
      <c r="AG79" s="850"/>
      <c r="AH79" s="850"/>
      <c r="AI79" s="850"/>
      <c r="AJ79" s="850"/>
    </row>
    <row r="80" spans="1:36" outlineLevel="1">
      <c r="A80" s="850" t="s">
        <v>2120</v>
      </c>
      <c r="B80" s="850"/>
      <c r="C80" s="850"/>
      <c r="D80" s="850"/>
      <c r="E80" s="850"/>
      <c r="F80" s="850"/>
      <c r="G80" s="850"/>
      <c r="H80" s="850"/>
      <c r="I80" s="850"/>
      <c r="J80" s="850"/>
      <c r="K80" s="850"/>
      <c r="L80" s="850"/>
      <c r="M80" s="850"/>
      <c r="N80" s="850"/>
      <c r="O80" s="850"/>
      <c r="P80" s="850"/>
      <c r="Q80" s="850"/>
      <c r="R80" s="850"/>
      <c r="S80" s="850"/>
      <c r="T80" s="850"/>
      <c r="U80" s="850"/>
      <c r="V80" s="850"/>
      <c r="W80" s="850"/>
      <c r="X80" s="850"/>
      <c r="Y80" s="850"/>
      <c r="Z80" s="850"/>
      <c r="AA80" s="850"/>
      <c r="AB80" s="850"/>
      <c r="AC80" s="850"/>
      <c r="AD80" s="850"/>
      <c r="AE80" s="850"/>
      <c r="AF80" s="850"/>
      <c r="AG80" s="850"/>
      <c r="AH80" s="850"/>
      <c r="AI80" s="850"/>
      <c r="AJ80" s="850"/>
    </row>
    <row r="81" spans="1:36" outlineLevel="1">
      <c r="A81" s="850" t="s">
        <v>2120</v>
      </c>
      <c r="B81" s="1">
        <v>2</v>
      </c>
      <c r="C81" s="1" t="s">
        <v>3367</v>
      </c>
      <c r="D81" s="850"/>
      <c r="E81" s="850"/>
      <c r="F81" s="850"/>
      <c r="G81" s="850"/>
      <c r="H81" s="850"/>
      <c r="I81" s="850"/>
      <c r="J81" s="850"/>
      <c r="K81" s="850"/>
      <c r="L81" s="850"/>
      <c r="M81" s="850"/>
      <c r="N81" s="850"/>
      <c r="O81" s="850"/>
      <c r="P81" s="850"/>
      <c r="Q81" s="850"/>
      <c r="R81" s="850"/>
      <c r="S81" s="850"/>
      <c r="T81" s="850"/>
      <c r="U81" s="850"/>
      <c r="V81" s="850"/>
      <c r="W81" s="850"/>
      <c r="X81" s="850"/>
      <c r="Y81" s="850"/>
      <c r="Z81" s="850"/>
      <c r="AA81" s="850"/>
      <c r="AB81" s="850"/>
      <c r="AC81" s="850"/>
      <c r="AD81" s="850"/>
      <c r="AE81" s="850"/>
      <c r="AF81" s="850"/>
      <c r="AG81" s="850"/>
      <c r="AH81" s="850"/>
      <c r="AI81" s="850"/>
      <c r="AJ81" s="850"/>
    </row>
    <row r="82" spans="1:36" outlineLevel="1">
      <c r="A82" s="850" t="s">
        <v>2120</v>
      </c>
      <c r="B82" s="850"/>
      <c r="C82" s="850"/>
      <c r="D82" s="850" t="s">
        <v>1185</v>
      </c>
      <c r="E82" s="859" t="s">
        <v>215</v>
      </c>
      <c r="F82" s="850" t="str">
        <f>_xlfn.XLOOKUP(E82,'A0.LS'!E:E,'A0.LS'!F:F)</f>
        <v>Lợi nhuận sau thuế chưa phân phối năm trước</v>
      </c>
      <c r="G82" s="850"/>
      <c r="H82" s="850"/>
      <c r="I82" s="848">
        <f>Group!D97</f>
        <v>2400000000</v>
      </c>
      <c r="J82" s="850"/>
      <c r="K82" s="857">
        <f>ROUND(SUM(H82:J82),0)</f>
        <v>2400000000</v>
      </c>
      <c r="L82" s="850" t="s">
        <v>1198</v>
      </c>
      <c r="M82" s="850" t="s">
        <v>1199</v>
      </c>
      <c r="N82" s="850" t="s">
        <v>1237</v>
      </c>
      <c r="O82" s="850"/>
      <c r="P82" s="850"/>
      <c r="Q82" s="850"/>
      <c r="R82" s="850"/>
      <c r="S82" s="850"/>
      <c r="T82" s="1161" t="s">
        <v>3368</v>
      </c>
      <c r="U82" s="850"/>
      <c r="V82" s="850"/>
      <c r="W82" s="850"/>
      <c r="X82" s="850"/>
      <c r="Y82" s="850"/>
      <c r="Z82" s="850"/>
      <c r="AA82" s="850"/>
      <c r="AB82" s="850"/>
      <c r="AC82" s="850"/>
      <c r="AD82" s="850"/>
      <c r="AE82" s="850"/>
      <c r="AF82" s="850"/>
      <c r="AG82" s="850"/>
      <c r="AH82" s="850"/>
      <c r="AI82" s="850"/>
      <c r="AJ82" s="850"/>
    </row>
    <row r="83" spans="1:36" outlineLevel="1">
      <c r="A83" s="850" t="s">
        <v>2120</v>
      </c>
      <c r="B83" s="850"/>
      <c r="C83" s="850"/>
      <c r="D83" s="850" t="s">
        <v>1186</v>
      </c>
      <c r="E83" s="859" t="s">
        <v>95</v>
      </c>
      <c r="F83" s="850" t="str">
        <f>_xlfn.XLOOKUP(E83,'A0.LS'!E:E,'A0.LS'!F:F)</f>
        <v>Đầu tư vào công ty con</v>
      </c>
      <c r="G83" s="850"/>
      <c r="H83" s="857">
        <f>-I82</f>
        <v>-2400000000</v>
      </c>
      <c r="I83" s="850"/>
      <c r="J83" s="850"/>
      <c r="K83" s="857">
        <f t="shared" ref="K83" si="15">ROUND(SUM(G83:J83),0)</f>
        <v>-2400000000</v>
      </c>
      <c r="L83" s="850" t="s">
        <v>1198</v>
      </c>
      <c r="M83" s="850" t="s">
        <v>1199</v>
      </c>
      <c r="N83" s="850" t="s">
        <v>1237</v>
      </c>
      <c r="O83" s="850"/>
      <c r="P83" s="850"/>
      <c r="Q83" s="850"/>
      <c r="R83" s="850"/>
      <c r="S83" s="850"/>
      <c r="T83" s="850" t="s">
        <v>3369</v>
      </c>
      <c r="U83" s="850"/>
      <c r="V83" s="850"/>
      <c r="W83" s="850"/>
      <c r="X83" s="850"/>
      <c r="Y83" s="850"/>
      <c r="Z83" s="850"/>
      <c r="AA83" s="850"/>
      <c r="AB83" s="850"/>
      <c r="AC83" s="850"/>
      <c r="AD83" s="850"/>
      <c r="AE83" s="850"/>
      <c r="AF83" s="850"/>
      <c r="AG83" s="850"/>
      <c r="AH83" s="850"/>
      <c r="AI83" s="850"/>
      <c r="AJ83" s="850"/>
    </row>
    <row r="84" spans="1:36" ht="15" outlineLevel="1">
      <c r="A84" s="850" t="s">
        <v>2120</v>
      </c>
      <c r="B84" s="850"/>
      <c r="C84" s="850"/>
      <c r="D84" s="850"/>
      <c r="E84" s="850"/>
      <c r="F84" s="850"/>
      <c r="G84" s="850"/>
      <c r="H84" s="850"/>
      <c r="I84" s="850"/>
      <c r="J84" s="850"/>
      <c r="K84" s="850"/>
      <c r="L84" s="850"/>
      <c r="M84" s="850"/>
      <c r="N84" s="850"/>
      <c r="O84" s="850"/>
      <c r="P84" s="850"/>
      <c r="Q84" s="850"/>
      <c r="R84" s="850"/>
      <c r="S84" s="850"/>
      <c r="T84" s="1162" t="s">
        <v>3370</v>
      </c>
      <c r="U84" s="1163">
        <v>45303</v>
      </c>
      <c r="V84" s="767"/>
      <c r="W84" s="1164" t="s">
        <v>3370</v>
      </c>
      <c r="X84" s="1163">
        <v>45327</v>
      </c>
      <c r="Y84" s="767"/>
      <c r="Z84" s="1164" t="s">
        <v>3370</v>
      </c>
      <c r="AA84" s="1163">
        <v>45356</v>
      </c>
      <c r="AB84" s="767"/>
      <c r="AC84" s="1164" t="s">
        <v>3370</v>
      </c>
      <c r="AD84" s="1163">
        <v>45387</v>
      </c>
      <c r="AE84" s="767"/>
      <c r="AF84" s="1164" t="s">
        <v>3370</v>
      </c>
      <c r="AG84" s="1163">
        <v>45443</v>
      </c>
      <c r="AH84" s="768"/>
      <c r="AI84" s="850"/>
      <c r="AJ84" s="850"/>
    </row>
    <row r="85" spans="1:36" ht="15" outlineLevel="1">
      <c r="A85" s="850" t="s">
        <v>2120</v>
      </c>
      <c r="B85" s="1">
        <v>3</v>
      </c>
      <c r="C85" s="1" t="s">
        <v>3371</v>
      </c>
      <c r="D85" s="850"/>
      <c r="E85" s="850"/>
      <c r="F85" s="850"/>
      <c r="G85" s="850"/>
      <c r="H85" s="850"/>
      <c r="I85" s="850"/>
      <c r="J85" s="850"/>
      <c r="K85" s="850"/>
      <c r="L85" s="850"/>
      <c r="M85" s="850"/>
      <c r="N85" s="850"/>
      <c r="O85" s="850"/>
      <c r="P85" s="850"/>
      <c r="Q85" s="850"/>
      <c r="R85" s="850"/>
      <c r="S85" s="850"/>
      <c r="T85" s="838" t="s">
        <v>3372</v>
      </c>
      <c r="U85" s="769"/>
      <c r="V85" s="769"/>
      <c r="W85" s="1165" t="s">
        <v>614</v>
      </c>
      <c r="X85" s="769"/>
      <c r="Y85" s="769"/>
      <c r="Z85" s="1165" t="s">
        <v>3373</v>
      </c>
      <c r="AA85" s="769"/>
      <c r="AB85" s="769"/>
      <c r="AC85" s="1165" t="s">
        <v>3374</v>
      </c>
      <c r="AD85" s="769"/>
      <c r="AE85" s="769"/>
      <c r="AF85" s="1165" t="s">
        <v>3375</v>
      </c>
      <c r="AG85" s="769"/>
      <c r="AH85" s="770"/>
      <c r="AI85" s="850"/>
      <c r="AJ85" s="850"/>
    </row>
    <row r="86" spans="1:36" outlineLevel="1">
      <c r="A86" s="850" t="s">
        <v>2120</v>
      </c>
      <c r="B86" s="850"/>
      <c r="C86" s="850"/>
      <c r="D86" s="850" t="s">
        <v>1185</v>
      </c>
      <c r="E86" s="859" t="s">
        <v>99</v>
      </c>
      <c r="F86" s="850" t="str">
        <f>_xlfn.XLOOKUP(E86,'A0.LS'!E:E,'A0.LS'!F:F)</f>
        <v>Đầu tư khác</v>
      </c>
      <c r="G86" s="848">
        <v>5000000</v>
      </c>
      <c r="H86" s="850"/>
      <c r="I86" s="850"/>
      <c r="J86" s="850"/>
      <c r="K86" s="857">
        <f t="shared" ref="K86:K87" si="16">ROUND(SUM(G86:J86),0)</f>
        <v>5000000</v>
      </c>
      <c r="L86" s="850" t="s">
        <v>1198</v>
      </c>
      <c r="M86" s="850" t="s">
        <v>1199</v>
      </c>
      <c r="N86" s="850" t="s">
        <v>1224</v>
      </c>
      <c r="O86" s="850"/>
      <c r="P86" s="850"/>
      <c r="Q86" s="850"/>
      <c r="R86" s="850"/>
      <c r="S86" s="850"/>
      <c r="T86" s="838" t="s">
        <v>549</v>
      </c>
      <c r="U86" s="1165" t="s">
        <v>550</v>
      </c>
      <c r="V86" s="1165" t="s">
        <v>551</v>
      </c>
      <c r="W86" s="1165" t="s">
        <v>549</v>
      </c>
      <c r="X86" s="1165" t="s">
        <v>550</v>
      </c>
      <c r="Y86" s="1165" t="s">
        <v>551</v>
      </c>
      <c r="Z86" s="1165" t="s">
        <v>549</v>
      </c>
      <c r="AA86" s="1165" t="s">
        <v>550</v>
      </c>
      <c r="AB86" s="1165" t="s">
        <v>551</v>
      </c>
      <c r="AC86" s="1165" t="s">
        <v>549</v>
      </c>
      <c r="AD86" s="1165" t="s">
        <v>550</v>
      </c>
      <c r="AE86" s="1165" t="s">
        <v>551</v>
      </c>
      <c r="AF86" s="1165" t="s">
        <v>549</v>
      </c>
      <c r="AG86" s="1165" t="s">
        <v>550</v>
      </c>
      <c r="AH86" s="1166" t="s">
        <v>551</v>
      </c>
      <c r="AI86" s="850"/>
      <c r="AJ86" s="850"/>
    </row>
    <row r="87" spans="1:36" outlineLevel="1">
      <c r="A87" s="850" t="s">
        <v>2120</v>
      </c>
      <c r="B87" s="850"/>
      <c r="C87" s="850"/>
      <c r="D87" s="850" t="s">
        <v>1186</v>
      </c>
      <c r="E87" s="859" t="s">
        <v>95</v>
      </c>
      <c r="F87" s="850" t="str">
        <f>_xlfn.XLOOKUP(E87,'A0.LS'!E:E,'A0.LS'!F:F)</f>
        <v>Đầu tư vào công ty con</v>
      </c>
      <c r="G87" s="850"/>
      <c r="H87" s="857">
        <f>-G86</f>
        <v>-5000000</v>
      </c>
      <c r="I87" s="850"/>
      <c r="J87" s="850"/>
      <c r="K87" s="857">
        <f t="shared" si="16"/>
        <v>-5000000</v>
      </c>
      <c r="L87" s="850" t="s">
        <v>1198</v>
      </c>
      <c r="M87" s="850" t="s">
        <v>1199</v>
      </c>
      <c r="N87" s="850" t="s">
        <v>1224</v>
      </c>
      <c r="O87" s="850"/>
      <c r="P87" s="850"/>
      <c r="Q87" s="850"/>
      <c r="R87" s="850"/>
      <c r="S87" s="850"/>
      <c r="T87" s="1167">
        <v>4898000000</v>
      </c>
      <c r="U87" s="1106">
        <v>2498000000</v>
      </c>
      <c r="V87" s="1168">
        <v>0.99919999999999998</v>
      </c>
      <c r="W87" s="1106">
        <v>5298000000</v>
      </c>
      <c r="X87" s="1106">
        <v>2698000000</v>
      </c>
      <c r="Y87" s="1168">
        <v>0.55059999999999998</v>
      </c>
      <c r="Z87" s="1106">
        <v>5698000000</v>
      </c>
      <c r="AA87" s="1106">
        <v>2898000000</v>
      </c>
      <c r="AB87" s="1168">
        <v>0.59140000000000004</v>
      </c>
      <c r="AC87" s="1106">
        <v>6098000000</v>
      </c>
      <c r="AD87" s="1106">
        <v>3098000000</v>
      </c>
      <c r="AE87" s="1168">
        <v>0.63219999999999998</v>
      </c>
      <c r="AF87" s="1106">
        <v>7898000000</v>
      </c>
      <c r="AG87" s="1106">
        <v>4898000000</v>
      </c>
      <c r="AH87" s="1169">
        <v>0.99960000000000004</v>
      </c>
      <c r="AI87" s="850"/>
      <c r="AJ87" s="1017"/>
    </row>
    <row r="88" spans="1:36" outlineLevel="1">
      <c r="A88" s="850" t="s">
        <v>2120</v>
      </c>
      <c r="B88" s="850"/>
      <c r="C88" s="850"/>
      <c r="D88" s="850"/>
      <c r="E88" s="850"/>
      <c r="F88" s="850"/>
      <c r="G88" s="850"/>
      <c r="H88" s="850"/>
      <c r="I88" s="850"/>
      <c r="J88" s="850"/>
      <c r="K88" s="850"/>
      <c r="L88" s="850"/>
      <c r="M88" s="850"/>
      <c r="N88" s="850"/>
      <c r="O88" s="850"/>
      <c r="P88" s="850"/>
      <c r="Q88" s="850"/>
      <c r="R88" s="850"/>
      <c r="S88" s="850"/>
      <c r="T88" s="1167">
        <v>1000000</v>
      </c>
      <c r="U88" s="1106">
        <v>1000000</v>
      </c>
      <c r="V88" s="1168">
        <v>4.0000000000000002E-4</v>
      </c>
      <c r="W88" s="1106">
        <v>1000000</v>
      </c>
      <c r="X88" s="1106">
        <v>1000000</v>
      </c>
      <c r="Y88" s="1168">
        <v>2.0000000000000001E-4</v>
      </c>
      <c r="Z88" s="1106">
        <v>1000000</v>
      </c>
      <c r="AA88" s="1106">
        <v>1000000</v>
      </c>
      <c r="AB88" s="1168">
        <v>2.0000000000000001E-4</v>
      </c>
      <c r="AC88" s="1106">
        <v>1000000</v>
      </c>
      <c r="AD88" s="1106">
        <v>1000000</v>
      </c>
      <c r="AE88" s="1168">
        <v>2.0000000000000001E-4</v>
      </c>
      <c r="AF88" s="1106">
        <v>1000000</v>
      </c>
      <c r="AG88" s="1106">
        <v>1000000</v>
      </c>
      <c r="AH88" s="1169">
        <v>2.0000000000000001E-4</v>
      </c>
      <c r="AI88" s="850" t="s">
        <v>3376</v>
      </c>
      <c r="AJ88" s="850"/>
    </row>
    <row r="89" spans="1:36" outlineLevel="1">
      <c r="A89" s="850" t="s">
        <v>2120</v>
      </c>
      <c r="B89" s="1">
        <v>4</v>
      </c>
      <c r="C89" s="1" t="s">
        <v>3377</v>
      </c>
      <c r="D89" s="850"/>
      <c r="E89" s="850"/>
      <c r="F89" s="850"/>
      <c r="G89" s="850"/>
      <c r="H89" s="850"/>
      <c r="I89" s="850"/>
      <c r="J89" s="850"/>
      <c r="K89" s="850"/>
      <c r="L89" s="850"/>
      <c r="M89" s="850"/>
      <c r="N89" s="850"/>
      <c r="O89" s="850"/>
      <c r="P89" s="850"/>
      <c r="Q89" s="850"/>
      <c r="R89" s="850"/>
      <c r="S89" s="850"/>
      <c r="T89" s="1167">
        <v>481000000</v>
      </c>
      <c r="U89" s="1106">
        <v>481000000</v>
      </c>
      <c r="V89" s="1168">
        <v>0.19239999999999999</v>
      </c>
      <c r="W89" s="1106">
        <v>441000000</v>
      </c>
      <c r="X89" s="1106">
        <v>441000000</v>
      </c>
      <c r="Y89" s="1168">
        <v>0.09</v>
      </c>
      <c r="Z89" s="1106">
        <v>401000000</v>
      </c>
      <c r="AA89" s="1106">
        <v>401000000</v>
      </c>
      <c r="AB89" s="1168">
        <v>8.1799999999999998E-2</v>
      </c>
      <c r="AC89" s="1106">
        <v>361000000</v>
      </c>
      <c r="AD89" s="1106">
        <v>361000000</v>
      </c>
      <c r="AE89" s="1168">
        <v>7.3700000000000002E-2</v>
      </c>
      <c r="AF89" s="1106">
        <v>1000000</v>
      </c>
      <c r="AG89" s="1106">
        <v>1000000</v>
      </c>
      <c r="AH89" s="1169">
        <v>2.0000000000000001E-4</v>
      </c>
      <c r="AI89" s="850"/>
      <c r="AJ89" s="850"/>
    </row>
    <row r="90" spans="1:36" outlineLevel="1">
      <c r="A90" s="850" t="s">
        <v>2120</v>
      </c>
      <c r="B90" s="850"/>
      <c r="C90" s="850"/>
      <c r="D90" s="850" t="s">
        <v>1185</v>
      </c>
      <c r="E90" s="850" t="s">
        <v>321</v>
      </c>
      <c r="F90" s="850" t="str">
        <f>_xlfn.XLOOKUP(E90,'A0.LS'!E:E,'A0.LS'!F:F)</f>
        <v>Lỗ từ dự phòng giảm giá các khoản đầu tư vào công ty con/công ty liên doanh</v>
      </c>
      <c r="G90" s="848"/>
      <c r="H90" s="850"/>
      <c r="I90" s="848">
        <f>'Dự phòng Finhay JSC'!J16</f>
        <v>21394323936.456848</v>
      </c>
      <c r="J90" s="850"/>
      <c r="K90" s="857">
        <f t="shared" ref="K90:K91" si="17">ROUND(SUM(G90:J90),0)</f>
        <v>21394323936</v>
      </c>
      <c r="L90" s="850" t="s">
        <v>1198</v>
      </c>
      <c r="M90" s="850" t="s">
        <v>1199</v>
      </c>
      <c r="N90" s="850" t="s">
        <v>1224</v>
      </c>
      <c r="O90" s="850"/>
      <c r="P90" s="850"/>
      <c r="Q90" s="850"/>
      <c r="R90" s="850"/>
      <c r="S90" s="850"/>
      <c r="T90" s="1167">
        <v>480000000</v>
      </c>
      <c r="U90" s="1106">
        <v>480000000</v>
      </c>
      <c r="V90" s="1168">
        <v>0.192</v>
      </c>
      <c r="W90" s="1106">
        <v>440000000</v>
      </c>
      <c r="X90" s="1106">
        <v>440000000</v>
      </c>
      <c r="Y90" s="1168">
        <v>8.9800000000000005E-2</v>
      </c>
      <c r="Z90" s="1106">
        <v>400000000</v>
      </c>
      <c r="AA90" s="1106">
        <v>400000000</v>
      </c>
      <c r="AB90" s="1168">
        <v>8.1600000000000006E-2</v>
      </c>
      <c r="AC90" s="1106">
        <v>360000000</v>
      </c>
      <c r="AD90" s="1106">
        <v>360000000</v>
      </c>
      <c r="AE90" s="1168">
        <v>7.3499999999999996E-2</v>
      </c>
      <c r="AF90" s="1170" t="s">
        <v>2989</v>
      </c>
      <c r="AG90" s="1170" t="s">
        <v>2989</v>
      </c>
      <c r="AH90" s="1169">
        <v>0</v>
      </c>
      <c r="AI90" s="850"/>
      <c r="AJ90" s="850"/>
    </row>
    <row r="91" spans="1:36" outlineLevel="1">
      <c r="A91" s="850" t="s">
        <v>2120</v>
      </c>
      <c r="B91" s="850"/>
      <c r="C91" s="850"/>
      <c r="D91" s="850" t="s">
        <v>1186</v>
      </c>
      <c r="E91" s="850" t="s">
        <v>104</v>
      </c>
      <c r="F91" s="850" t="str">
        <f>_xlfn.XLOOKUP(E91,'A0.LS'!E:E,'A0.LS'!F:F)</f>
        <v>Dự phòng tổn thất đầu tư vào đơn vị khác</v>
      </c>
      <c r="G91" s="850"/>
      <c r="H91" s="857">
        <f>-I90</f>
        <v>-21394323936.456848</v>
      </c>
      <c r="I91" s="850"/>
      <c r="J91" s="850"/>
      <c r="K91" s="857">
        <f t="shared" si="17"/>
        <v>-21394323936</v>
      </c>
      <c r="L91" s="850" t="s">
        <v>1198</v>
      </c>
      <c r="M91" s="850" t="s">
        <v>1199</v>
      </c>
      <c r="N91" s="850" t="s">
        <v>1224</v>
      </c>
      <c r="O91" s="850"/>
      <c r="P91" s="850"/>
      <c r="Q91" s="850"/>
      <c r="R91" s="850"/>
      <c r="S91" s="850"/>
      <c r="T91" s="1167">
        <v>480000000</v>
      </c>
      <c r="U91" s="1106">
        <v>480000000</v>
      </c>
      <c r="V91" s="1168">
        <v>0.192</v>
      </c>
      <c r="W91" s="1106">
        <v>440000000</v>
      </c>
      <c r="X91" s="1106">
        <v>440000000</v>
      </c>
      <c r="Y91" s="1168">
        <v>8.9800000000000005E-2</v>
      </c>
      <c r="Z91" s="1106">
        <v>400000000</v>
      </c>
      <c r="AA91" s="1106">
        <v>400000000</v>
      </c>
      <c r="AB91" s="1168">
        <v>8.1600000000000006E-2</v>
      </c>
      <c r="AC91" s="1106">
        <v>360000000</v>
      </c>
      <c r="AD91" s="1106">
        <v>360000000</v>
      </c>
      <c r="AE91" s="1168">
        <v>7.3499999999999996E-2</v>
      </c>
      <c r="AF91" s="1170" t="s">
        <v>2989</v>
      </c>
      <c r="AG91" s="1170" t="s">
        <v>2989</v>
      </c>
      <c r="AH91" s="1169">
        <v>0</v>
      </c>
      <c r="AI91" s="850"/>
      <c r="AJ91" s="850"/>
    </row>
    <row r="92" spans="1:36" outlineLevel="1">
      <c r="A92" s="850" t="s">
        <v>2120</v>
      </c>
      <c r="B92" s="850"/>
      <c r="C92" s="850"/>
      <c r="D92" s="850"/>
      <c r="E92" s="850"/>
      <c r="F92" s="850"/>
      <c r="G92" s="850"/>
      <c r="H92" s="850"/>
      <c r="I92" s="850"/>
      <c r="J92" s="850"/>
      <c r="K92" s="850"/>
      <c r="L92" s="850"/>
      <c r="M92" s="850"/>
      <c r="N92" s="850"/>
      <c r="O92" s="850"/>
      <c r="P92" s="850"/>
      <c r="Q92" s="850"/>
      <c r="R92" s="850"/>
      <c r="S92" s="850"/>
      <c r="T92" s="1167">
        <v>480000000</v>
      </c>
      <c r="U92" s="1106">
        <v>480000000</v>
      </c>
      <c r="V92" s="1168">
        <v>0.192</v>
      </c>
      <c r="W92" s="1106">
        <v>440000000</v>
      </c>
      <c r="X92" s="1106">
        <v>440000000</v>
      </c>
      <c r="Y92" s="1168">
        <v>8.9800000000000005E-2</v>
      </c>
      <c r="Z92" s="1106">
        <v>400000000</v>
      </c>
      <c r="AA92" s="1106">
        <v>400000000</v>
      </c>
      <c r="AB92" s="1168">
        <v>8.1600000000000006E-2</v>
      </c>
      <c r="AC92" s="1106">
        <v>360000000</v>
      </c>
      <c r="AD92" s="1106">
        <v>360000000</v>
      </c>
      <c r="AE92" s="1168">
        <v>7.3499999999999996E-2</v>
      </c>
      <c r="AF92" s="1170" t="s">
        <v>2989</v>
      </c>
      <c r="AG92" s="1170" t="s">
        <v>2989</v>
      </c>
      <c r="AH92" s="1169">
        <v>0</v>
      </c>
      <c r="AI92" s="850"/>
      <c r="AJ92" s="850"/>
    </row>
    <row r="93" spans="1:36" outlineLevel="1">
      <c r="A93" s="850" t="s">
        <v>2120</v>
      </c>
      <c r="B93" s="1">
        <v>5</v>
      </c>
      <c r="C93" s="1" t="s">
        <v>3378</v>
      </c>
      <c r="D93" s="850"/>
      <c r="E93" s="850"/>
      <c r="F93" s="850"/>
      <c r="G93" s="850"/>
      <c r="H93" s="850"/>
      <c r="I93" s="850"/>
      <c r="J93" s="850"/>
      <c r="K93" s="850"/>
      <c r="L93" s="850"/>
      <c r="M93" s="850"/>
      <c r="N93" s="850"/>
      <c r="O93" s="850"/>
      <c r="P93" s="850"/>
      <c r="Q93" s="850"/>
      <c r="R93" s="850"/>
      <c r="S93" s="850"/>
      <c r="T93" s="1171">
        <v>480000000</v>
      </c>
      <c r="U93" s="1172">
        <v>480000000</v>
      </c>
      <c r="V93" s="1168">
        <v>0.192</v>
      </c>
      <c r="W93" s="1172">
        <v>440000000</v>
      </c>
      <c r="X93" s="1172">
        <v>440000000</v>
      </c>
      <c r="Y93" s="1168">
        <v>8.9800000000000005E-2</v>
      </c>
      <c r="Z93" s="1172">
        <v>400000000</v>
      </c>
      <c r="AA93" s="1172">
        <v>400000000</v>
      </c>
      <c r="AB93" s="1168">
        <v>8.1600000000000006E-2</v>
      </c>
      <c r="AC93" s="1172">
        <v>360000000</v>
      </c>
      <c r="AD93" s="1172">
        <v>360000000</v>
      </c>
      <c r="AE93" s="1168">
        <v>7.3499999999999996E-2</v>
      </c>
      <c r="AF93" s="1173" t="s">
        <v>2989</v>
      </c>
      <c r="AG93" s="1173" t="s">
        <v>2989</v>
      </c>
      <c r="AH93" s="1169">
        <v>0</v>
      </c>
      <c r="AI93" s="850"/>
      <c r="AJ93" s="850"/>
    </row>
    <row r="94" spans="1:36" ht="15" outlineLevel="1">
      <c r="A94" s="850" t="s">
        <v>2120</v>
      </c>
      <c r="B94" s="850"/>
      <c r="C94" s="850"/>
      <c r="D94" s="850" t="s">
        <v>1185</v>
      </c>
      <c r="E94" s="859" t="s">
        <v>215</v>
      </c>
      <c r="F94" s="850" t="str">
        <f>_xlfn.XLOOKUP(E94,'A0.LS'!E:E,'A0.LS'!F:F)</f>
        <v>Lợi nhuận sau thuế chưa phân phối năm trước</v>
      </c>
      <c r="G94" s="848">
        <v>1322060067</v>
      </c>
      <c r="H94" s="850"/>
      <c r="I94" s="848"/>
      <c r="J94" s="850"/>
      <c r="K94" s="857">
        <f t="shared" ref="K94" si="18">ROUND(SUM(G94:J94),0)</f>
        <v>1322060067</v>
      </c>
      <c r="L94" s="850" t="s">
        <v>1198</v>
      </c>
      <c r="M94" s="850" t="s">
        <v>1199</v>
      </c>
      <c r="N94" s="850" t="s">
        <v>1224</v>
      </c>
      <c r="O94" s="850"/>
      <c r="P94" s="850"/>
      <c r="Q94" s="850"/>
      <c r="R94" s="850"/>
      <c r="S94" s="850"/>
      <c r="T94" s="1174">
        <v>7300000000</v>
      </c>
      <c r="U94" s="1175">
        <v>4900000000</v>
      </c>
      <c r="V94" s="772"/>
      <c r="W94" s="1175">
        <v>7500000000</v>
      </c>
      <c r="X94" s="1175">
        <v>4900000000</v>
      </c>
      <c r="Y94" s="772"/>
      <c r="Z94" s="1175">
        <v>7700000000</v>
      </c>
      <c r="AA94" s="1175">
        <v>4900000000</v>
      </c>
      <c r="AB94" s="772"/>
      <c r="AC94" s="1175">
        <v>7900000000</v>
      </c>
      <c r="AD94" s="1175">
        <v>4900000000</v>
      </c>
      <c r="AE94" s="772"/>
      <c r="AF94" s="1175">
        <f>SUM(AF87:AF93)</f>
        <v>7900000000</v>
      </c>
      <c r="AG94" s="1175">
        <v>4900000000</v>
      </c>
      <c r="AH94" s="773"/>
      <c r="AI94" s="850"/>
      <c r="AJ94" s="850"/>
    </row>
    <row r="95" spans="1:36" outlineLevel="1">
      <c r="A95" s="850" t="s">
        <v>2120</v>
      </c>
      <c r="B95" s="850"/>
      <c r="C95" s="850"/>
      <c r="D95" s="850" t="s">
        <v>1186</v>
      </c>
      <c r="E95" s="850" t="s">
        <v>104</v>
      </c>
      <c r="F95" s="850" t="str">
        <f>_xlfn.XLOOKUP(E95,'A0.LS'!E:E,'A0.LS'!F:F)</f>
        <v>Dự phòng tổn thất đầu tư vào đơn vị khác</v>
      </c>
      <c r="G95" s="850"/>
      <c r="H95" s="857">
        <f>-G94</f>
        <v>-1322060067</v>
      </c>
      <c r="I95" s="850"/>
      <c r="J95" s="850"/>
      <c r="K95" s="857">
        <f>ROUND(SUM(G95:I95),0)</f>
        <v>-1322060067</v>
      </c>
      <c r="L95" s="850" t="s">
        <v>1198</v>
      </c>
      <c r="M95" s="850" t="s">
        <v>1199</v>
      </c>
      <c r="N95" s="850" t="s">
        <v>1224</v>
      </c>
      <c r="O95" s="850"/>
      <c r="P95" s="850"/>
      <c r="Q95" s="850"/>
      <c r="R95" s="850"/>
      <c r="S95" s="850"/>
      <c r="T95" s="850"/>
      <c r="U95" s="850"/>
      <c r="V95" s="850"/>
      <c r="W95" s="850"/>
      <c r="X95" s="850"/>
      <c r="Y95" s="850"/>
      <c r="Z95" s="850"/>
      <c r="AA95" s="850"/>
      <c r="AB95" s="850"/>
      <c r="AC95" s="850"/>
      <c r="AD95" s="850"/>
      <c r="AE95" s="850"/>
      <c r="AF95" s="850"/>
      <c r="AG95" s="850"/>
      <c r="AH95" s="850"/>
      <c r="AI95" s="850"/>
      <c r="AJ95" s="850"/>
    </row>
    <row r="96" spans="1:36" outlineLevel="1">
      <c r="A96" s="850" t="s">
        <v>2120</v>
      </c>
      <c r="B96" s="850"/>
      <c r="C96" s="850"/>
      <c r="D96" s="850"/>
      <c r="E96" s="850"/>
      <c r="F96" s="850"/>
      <c r="G96" s="848"/>
      <c r="H96" s="850"/>
      <c r="I96" s="850"/>
      <c r="J96" s="850"/>
      <c r="K96" s="850"/>
      <c r="L96" s="850"/>
      <c r="M96" s="850"/>
      <c r="N96" s="850"/>
      <c r="O96" s="850"/>
      <c r="P96" s="850"/>
      <c r="Q96" s="850"/>
      <c r="R96" s="850"/>
      <c r="S96" s="850"/>
      <c r="T96" s="850"/>
      <c r="U96" s="850"/>
      <c r="V96" s="850"/>
      <c r="W96" s="850"/>
      <c r="X96" s="850"/>
      <c r="Y96" s="850"/>
      <c r="Z96" s="850"/>
      <c r="AA96" s="850"/>
      <c r="AB96" s="850"/>
      <c r="AC96" s="850"/>
      <c r="AD96" s="850"/>
      <c r="AE96" s="850"/>
      <c r="AF96" s="850"/>
      <c r="AG96" s="850"/>
      <c r="AH96" s="850"/>
      <c r="AI96" s="850"/>
      <c r="AJ96" s="850"/>
    </row>
    <row r="97" spans="1:36" outlineLevel="1">
      <c r="A97" s="850" t="s">
        <v>2120</v>
      </c>
      <c r="B97" s="850"/>
      <c r="C97" s="850"/>
      <c r="D97" s="850" t="s">
        <v>1185</v>
      </c>
      <c r="E97" s="859" t="s">
        <v>215</v>
      </c>
      <c r="F97" s="850" t="str">
        <f>_xlfn.XLOOKUP(E97,'A0.LS'!E:E,'A0.LS'!F:F)</f>
        <v>Lợi nhuận sau thuế chưa phân phối năm trước</v>
      </c>
      <c r="G97" s="848">
        <v>1005725</v>
      </c>
      <c r="H97" s="850"/>
      <c r="I97" s="848"/>
      <c r="J97" s="850"/>
      <c r="K97" s="857">
        <f t="shared" ref="K97" si="19">ROUND(SUM(G97:J97),0)</f>
        <v>1005725</v>
      </c>
      <c r="L97" s="850" t="s">
        <v>1198</v>
      </c>
      <c r="M97" s="850" t="s">
        <v>1199</v>
      </c>
      <c r="N97" s="850" t="s">
        <v>1224</v>
      </c>
      <c r="O97" s="850"/>
      <c r="P97" s="850"/>
      <c r="Q97" s="850"/>
      <c r="R97" s="850"/>
      <c r="S97" s="850"/>
      <c r="T97" s="850"/>
      <c r="U97" s="850"/>
      <c r="V97" s="850"/>
      <c r="W97" s="850"/>
      <c r="X97" s="850"/>
      <c r="Y97" s="850"/>
      <c r="Z97" s="850"/>
      <c r="AA97" s="850"/>
      <c r="AB97" s="850"/>
      <c r="AC97" s="850"/>
      <c r="AD97" s="850"/>
      <c r="AE97" s="850"/>
      <c r="AF97" s="850"/>
      <c r="AG97" s="850"/>
      <c r="AH97" s="850"/>
      <c r="AI97" s="850"/>
      <c r="AJ97" s="850"/>
    </row>
    <row r="98" spans="1:36" outlineLevel="1">
      <c r="A98" s="850" t="s">
        <v>2120</v>
      </c>
      <c r="B98" s="850"/>
      <c r="C98" s="850"/>
      <c r="D98" s="850" t="s">
        <v>1186</v>
      </c>
      <c r="E98" s="850" t="s">
        <v>104</v>
      </c>
      <c r="F98" s="850" t="str">
        <f>_xlfn.XLOOKUP(E98,'A0.LS'!E:E,'A0.LS'!F:F)</f>
        <v>Dự phòng tổn thất đầu tư vào đơn vị khác</v>
      </c>
      <c r="G98" s="850"/>
      <c r="H98" s="857">
        <f>-G97</f>
        <v>-1005725</v>
      </c>
      <c r="I98" s="850"/>
      <c r="J98" s="850"/>
      <c r="K98" s="857">
        <f>ROUND(SUM(G98:I98),0)</f>
        <v>-1005725</v>
      </c>
      <c r="L98" s="850" t="s">
        <v>1198</v>
      </c>
      <c r="M98" s="850" t="s">
        <v>1199</v>
      </c>
      <c r="N98" s="850" t="s">
        <v>1224</v>
      </c>
      <c r="O98" s="850"/>
      <c r="P98" s="850"/>
      <c r="Q98" s="850"/>
      <c r="R98" s="850"/>
      <c r="S98" s="850"/>
      <c r="T98" s="850"/>
      <c r="U98" s="850"/>
      <c r="V98" s="850"/>
      <c r="W98" s="850"/>
      <c r="X98" s="850"/>
      <c r="Y98" s="850"/>
      <c r="Z98" s="850"/>
      <c r="AA98" s="850"/>
      <c r="AB98" s="850"/>
      <c r="AC98" s="850"/>
      <c r="AD98" s="850"/>
      <c r="AE98" s="850"/>
      <c r="AF98" s="850"/>
      <c r="AG98" s="850"/>
      <c r="AH98" s="850"/>
      <c r="AI98" s="850"/>
      <c r="AJ98" s="850"/>
    </row>
    <row r="99" spans="1:36" outlineLevel="1">
      <c r="A99" s="850" t="s">
        <v>2120</v>
      </c>
      <c r="B99" s="850"/>
      <c r="C99" s="850"/>
      <c r="D99" s="850"/>
      <c r="E99" s="850"/>
      <c r="F99" s="848"/>
      <c r="G99" s="848"/>
      <c r="H99" s="850"/>
      <c r="I99" s="850"/>
      <c r="J99" s="850"/>
      <c r="K99" s="850"/>
      <c r="L99" s="850"/>
      <c r="M99" s="850"/>
      <c r="N99" s="850"/>
      <c r="O99" s="850"/>
      <c r="P99" s="850"/>
      <c r="Q99" s="850"/>
      <c r="R99" s="850"/>
      <c r="S99" s="850"/>
      <c r="T99" s="850"/>
      <c r="U99" s="850"/>
      <c r="V99" s="850"/>
      <c r="W99" s="850"/>
      <c r="X99" s="850"/>
      <c r="Y99" s="850"/>
      <c r="Z99" s="850"/>
      <c r="AA99" s="850"/>
      <c r="AB99" s="850"/>
      <c r="AC99" s="850"/>
      <c r="AD99" s="850"/>
      <c r="AE99" s="850"/>
      <c r="AF99" s="850"/>
      <c r="AG99" s="850"/>
      <c r="AH99" s="850"/>
      <c r="AI99" s="850"/>
      <c r="AJ99" s="850"/>
    </row>
    <row r="100" spans="1:36" outlineLevel="1">
      <c r="A100" s="850" t="s">
        <v>2120</v>
      </c>
      <c r="B100" s="1">
        <v>6</v>
      </c>
      <c r="C100" s="1" t="s">
        <v>3379</v>
      </c>
      <c r="D100" s="850"/>
      <c r="E100" s="850"/>
      <c r="F100" s="850"/>
      <c r="G100" s="850"/>
      <c r="H100" s="850"/>
      <c r="I100" s="850"/>
      <c r="J100" s="850"/>
      <c r="K100" s="850"/>
      <c r="L100" s="850"/>
      <c r="M100" s="850"/>
      <c r="N100" s="850"/>
      <c r="O100" s="850"/>
      <c r="P100" s="850"/>
      <c r="Q100" s="850"/>
      <c r="R100" s="850"/>
      <c r="S100" s="850"/>
      <c r="T100" s="850"/>
      <c r="U100" s="850"/>
      <c r="V100" s="850"/>
      <c r="W100" s="850"/>
      <c r="X100" s="850"/>
      <c r="Y100" s="850"/>
      <c r="Z100" s="850"/>
      <c r="AA100" s="850"/>
      <c r="AB100" s="850"/>
      <c r="AC100" s="850"/>
      <c r="AD100" s="850"/>
      <c r="AE100" s="850"/>
      <c r="AF100" s="850"/>
      <c r="AG100" s="850"/>
      <c r="AH100" s="850"/>
      <c r="AI100" s="850"/>
      <c r="AJ100" s="850"/>
    </row>
    <row r="101" spans="1:36" outlineLevel="1">
      <c r="A101" s="850" t="s">
        <v>2120</v>
      </c>
      <c r="B101" s="850"/>
      <c r="C101" s="850"/>
      <c r="D101" s="850" t="s">
        <v>1185</v>
      </c>
      <c r="E101" s="859" t="s">
        <v>721</v>
      </c>
      <c r="F101" s="850" t="str">
        <f>_xlfn.XLOOKUP(E101,'A0.LS'!E:E,'A0.LS'!F:F)</f>
        <v>Chi phí lương thưởng</v>
      </c>
      <c r="G101" s="848"/>
      <c r="H101" s="850"/>
      <c r="I101" s="848">
        <f>'PhươngNH_Bút toán điều chỉnh EY'!G2</f>
        <v>500000</v>
      </c>
      <c r="J101" s="850"/>
      <c r="K101" s="857">
        <f t="shared" ref="K101:K102" si="20">ROUND(SUM(G101:J101),0)</f>
        <v>500000</v>
      </c>
      <c r="L101" s="850" t="s">
        <v>3240</v>
      </c>
      <c r="M101" s="850" t="s">
        <v>1199</v>
      </c>
      <c r="N101" s="850" t="s">
        <v>1224</v>
      </c>
      <c r="O101" s="850"/>
      <c r="P101" s="850"/>
      <c r="Q101" s="850"/>
      <c r="R101" s="850"/>
      <c r="S101" s="850"/>
      <c r="T101" s="850"/>
      <c r="U101" s="850"/>
      <c r="V101" s="850"/>
      <c r="W101" s="850"/>
      <c r="X101" s="850"/>
      <c r="Y101" s="850"/>
      <c r="Z101" s="850"/>
      <c r="AA101" s="850"/>
      <c r="AB101" s="850"/>
      <c r="AC101" s="850"/>
      <c r="AD101" s="850"/>
      <c r="AE101" s="850"/>
      <c r="AF101" s="850"/>
      <c r="AG101" s="850"/>
      <c r="AH101" s="850"/>
      <c r="AI101" s="850"/>
      <c r="AJ101" s="850"/>
    </row>
    <row r="102" spans="1:36" outlineLevel="1">
      <c r="A102" s="850" t="s">
        <v>2120</v>
      </c>
      <c r="B102" s="850"/>
      <c r="C102" s="850"/>
      <c r="D102" s="850" t="s">
        <v>1186</v>
      </c>
      <c r="E102" s="859" t="s">
        <v>150</v>
      </c>
      <c r="F102" s="850" t="str">
        <f>_xlfn.XLOOKUP(E102,'A0.LS'!E:E,'A0.LS'!F:F)</f>
        <v>Phải trả công nhân viên</v>
      </c>
      <c r="G102" s="850"/>
      <c r="H102" s="857">
        <f>-I101</f>
        <v>-500000</v>
      </c>
      <c r="I102" s="850"/>
      <c r="J102" s="850"/>
      <c r="K102" s="857">
        <f t="shared" si="20"/>
        <v>-500000</v>
      </c>
      <c r="L102" s="850" t="s">
        <v>3240</v>
      </c>
      <c r="M102" s="850" t="s">
        <v>1199</v>
      </c>
      <c r="N102" s="850" t="s">
        <v>1224</v>
      </c>
      <c r="O102" s="850"/>
      <c r="P102" s="850"/>
      <c r="Q102" s="850"/>
      <c r="R102" s="850"/>
      <c r="S102" s="850"/>
      <c r="T102" s="850"/>
      <c r="U102" s="850"/>
      <c r="V102" s="850"/>
      <c r="W102" s="850"/>
      <c r="X102" s="850"/>
      <c r="Y102" s="850"/>
      <c r="Z102" s="850"/>
      <c r="AA102" s="850"/>
      <c r="AB102" s="850"/>
      <c r="AC102" s="850"/>
      <c r="AD102" s="850"/>
      <c r="AE102" s="850"/>
      <c r="AF102" s="850"/>
      <c r="AG102" s="850"/>
      <c r="AH102" s="850"/>
      <c r="AI102" s="850"/>
      <c r="AJ102" s="850"/>
    </row>
    <row r="103" spans="1:36" outlineLevel="1">
      <c r="A103" s="850" t="s">
        <v>2120</v>
      </c>
      <c r="B103" s="850"/>
      <c r="C103" s="850"/>
      <c r="D103" s="850"/>
      <c r="E103" s="850"/>
      <c r="F103" s="850"/>
      <c r="G103" s="850"/>
      <c r="H103" s="850"/>
      <c r="I103" s="850"/>
      <c r="J103" s="850"/>
      <c r="K103" s="850"/>
      <c r="L103" s="850"/>
      <c r="M103" s="850"/>
      <c r="N103" s="850"/>
      <c r="O103" s="850"/>
      <c r="P103" s="850"/>
      <c r="Q103" s="850"/>
      <c r="R103" s="850"/>
      <c r="S103" s="850"/>
      <c r="T103" s="850"/>
      <c r="U103" s="850"/>
      <c r="V103" s="850"/>
      <c r="W103" s="850"/>
      <c r="X103" s="850"/>
      <c r="Y103" s="850"/>
      <c r="Z103" s="850"/>
      <c r="AA103" s="850"/>
      <c r="AB103" s="850"/>
      <c r="AC103" s="850"/>
      <c r="AD103" s="850"/>
      <c r="AE103" s="850"/>
      <c r="AF103" s="850"/>
      <c r="AG103" s="850"/>
      <c r="AH103" s="850"/>
      <c r="AI103" s="850"/>
      <c r="AJ103" s="850"/>
    </row>
    <row r="104" spans="1:36" outlineLevel="1">
      <c r="A104" s="850" t="s">
        <v>2120</v>
      </c>
      <c r="B104" s="1">
        <v>7</v>
      </c>
      <c r="C104" s="1" t="s">
        <v>3380</v>
      </c>
      <c r="D104" s="850"/>
      <c r="E104" s="850"/>
      <c r="F104" s="850"/>
      <c r="G104" s="850"/>
      <c r="H104" s="850"/>
      <c r="I104" s="850"/>
      <c r="J104" s="850"/>
      <c r="K104" s="850"/>
      <c r="L104" s="850"/>
      <c r="M104" s="850"/>
      <c r="N104" s="850"/>
      <c r="O104" s="850"/>
      <c r="P104" s="850"/>
      <c r="Q104" s="850"/>
      <c r="R104" s="850"/>
      <c r="S104" s="850"/>
      <c r="T104" s="850"/>
      <c r="U104" s="850"/>
      <c r="V104" s="850"/>
      <c r="W104" s="850"/>
      <c r="X104" s="850"/>
      <c r="Y104" s="850"/>
      <c r="Z104" s="850"/>
      <c r="AA104" s="850"/>
      <c r="AB104" s="850"/>
      <c r="AC104" s="850"/>
      <c r="AD104" s="850"/>
      <c r="AE104" s="850"/>
      <c r="AF104" s="850"/>
      <c r="AG104" s="850"/>
      <c r="AH104" s="850"/>
      <c r="AI104" s="850"/>
      <c r="AJ104" s="850"/>
    </row>
    <row r="105" spans="1:36" outlineLevel="1">
      <c r="A105" s="850" t="s">
        <v>2120</v>
      </c>
      <c r="B105" s="850"/>
      <c r="C105" s="850"/>
      <c r="D105" s="850" t="s">
        <v>1185</v>
      </c>
      <c r="E105" s="859" t="s">
        <v>434</v>
      </c>
      <c r="F105" s="850" t="str">
        <f>_xlfn.XLOOKUP(E105,'A0.LS'!E:E,'A0.LS'!F:F)</f>
        <v>Chi phí bằng tiền khác</v>
      </c>
      <c r="G105" s="848"/>
      <c r="H105" s="850"/>
      <c r="I105" s="848">
        <f>'PhươngNH_Bút toán điều chỉnh EY'!G3</f>
        <v>100000</v>
      </c>
      <c r="J105" s="850"/>
      <c r="K105" s="857">
        <f t="shared" ref="K105:K106" si="21">ROUND(SUM(G105:J105),0)</f>
        <v>100000</v>
      </c>
      <c r="L105" s="850" t="s">
        <v>3240</v>
      </c>
      <c r="M105" s="850" t="s">
        <v>1199</v>
      </c>
      <c r="N105" s="850" t="s">
        <v>1224</v>
      </c>
      <c r="O105" s="850"/>
      <c r="P105" s="850"/>
      <c r="Q105" s="850"/>
      <c r="R105" s="850"/>
      <c r="S105" s="850"/>
      <c r="T105" s="850"/>
      <c r="U105" s="850"/>
      <c r="V105" s="850"/>
      <c r="W105" s="850"/>
      <c r="X105" s="850"/>
      <c r="Y105" s="850"/>
      <c r="Z105" s="850"/>
      <c r="AA105" s="850"/>
      <c r="AB105" s="850"/>
      <c r="AC105" s="850"/>
      <c r="AD105" s="850"/>
      <c r="AE105" s="850"/>
      <c r="AF105" s="850"/>
      <c r="AG105" s="850"/>
      <c r="AH105" s="850"/>
      <c r="AI105" s="850"/>
      <c r="AJ105" s="850"/>
    </row>
    <row r="106" spans="1:36" outlineLevel="1">
      <c r="A106" s="850" t="s">
        <v>2120</v>
      </c>
      <c r="B106" s="850"/>
      <c r="C106" s="850"/>
      <c r="D106" s="850" t="s">
        <v>1186</v>
      </c>
      <c r="E106" s="859" t="s">
        <v>19</v>
      </c>
      <c r="F106" s="850" t="str">
        <f>_xlfn.XLOOKUP(E106,'A0.LS'!E:E,'A0.LS'!F:F)</f>
        <v>Tiền gửi tại ngân hàng</v>
      </c>
      <c r="G106" s="850"/>
      <c r="H106" s="857">
        <f>-I105</f>
        <v>-100000</v>
      </c>
      <c r="I106" s="850"/>
      <c r="J106" s="850"/>
      <c r="K106" s="857">
        <f t="shared" si="21"/>
        <v>-100000</v>
      </c>
      <c r="L106" s="850" t="s">
        <v>3240</v>
      </c>
      <c r="M106" s="850" t="s">
        <v>1199</v>
      </c>
      <c r="N106" s="850" t="s">
        <v>1224</v>
      </c>
      <c r="O106" s="850"/>
      <c r="P106" s="850"/>
      <c r="Q106" s="850"/>
      <c r="R106" s="850"/>
      <c r="S106" s="850"/>
      <c r="T106" s="850"/>
      <c r="U106" s="850"/>
      <c r="V106" s="850"/>
      <c r="W106" s="850"/>
      <c r="X106" s="850"/>
      <c r="Y106" s="850"/>
      <c r="Z106" s="850"/>
      <c r="AA106" s="850"/>
      <c r="AB106" s="850"/>
      <c r="AC106" s="850"/>
      <c r="AD106" s="850"/>
      <c r="AE106" s="850"/>
      <c r="AF106" s="850"/>
      <c r="AG106" s="850"/>
      <c r="AH106" s="850"/>
      <c r="AI106" s="850"/>
      <c r="AJ106" s="850"/>
    </row>
    <row r="107" spans="1:36" outlineLevel="1">
      <c r="A107" s="850" t="s">
        <v>2120</v>
      </c>
      <c r="B107" s="850"/>
      <c r="C107" s="850"/>
      <c r="D107" s="850"/>
      <c r="E107" s="850"/>
      <c r="F107" s="850"/>
      <c r="G107" s="850"/>
      <c r="H107" s="850"/>
      <c r="I107" s="850"/>
      <c r="J107" s="850"/>
      <c r="K107" s="850"/>
      <c r="L107" s="850"/>
      <c r="M107" s="850"/>
      <c r="N107" s="850"/>
      <c r="O107" s="850"/>
      <c r="P107" s="850"/>
      <c r="Q107" s="850"/>
      <c r="R107" s="850"/>
      <c r="S107" s="850"/>
      <c r="T107" s="850"/>
      <c r="U107" s="850"/>
      <c r="V107" s="850"/>
      <c r="W107" s="850"/>
      <c r="X107" s="850"/>
      <c r="Y107" s="850"/>
      <c r="Z107" s="850"/>
      <c r="AA107" s="850"/>
      <c r="AB107" s="850"/>
      <c r="AC107" s="850"/>
      <c r="AD107" s="850"/>
      <c r="AE107" s="850"/>
      <c r="AF107" s="850"/>
      <c r="AG107" s="850"/>
      <c r="AH107" s="850"/>
      <c r="AI107" s="850"/>
      <c r="AJ107" s="850"/>
    </row>
    <row r="108" spans="1:36" outlineLevel="1">
      <c r="A108" s="850" t="s">
        <v>2120</v>
      </c>
      <c r="B108" s="1">
        <v>8</v>
      </c>
      <c r="C108" s="1" t="s">
        <v>3381</v>
      </c>
      <c r="D108" s="850"/>
      <c r="E108" s="850"/>
      <c r="F108" s="850"/>
      <c r="G108" s="850"/>
      <c r="H108" s="850"/>
      <c r="I108" s="850"/>
      <c r="J108" s="850"/>
      <c r="K108" s="850"/>
      <c r="L108" s="850"/>
      <c r="M108" s="850"/>
      <c r="N108" s="850"/>
      <c r="O108" s="850"/>
      <c r="P108" s="850"/>
      <c r="Q108" s="850"/>
      <c r="R108" s="850"/>
      <c r="S108" s="850"/>
      <c r="T108" s="850"/>
      <c r="U108" s="850"/>
      <c r="V108" s="850"/>
      <c r="W108" s="850"/>
      <c r="X108" s="850"/>
      <c r="Y108" s="850"/>
      <c r="Z108" s="850"/>
      <c r="AA108" s="850"/>
      <c r="AB108" s="850"/>
      <c r="AC108" s="850"/>
      <c r="AD108" s="850"/>
      <c r="AE108" s="850"/>
      <c r="AF108" s="850"/>
      <c r="AG108" s="850"/>
      <c r="AH108" s="850"/>
      <c r="AI108" s="850"/>
      <c r="AJ108" s="850"/>
    </row>
    <row r="109" spans="1:36" outlineLevel="1">
      <c r="A109" s="850" t="s">
        <v>2120</v>
      </c>
      <c r="B109" s="850"/>
      <c r="C109" s="850"/>
      <c r="D109" s="850" t="s">
        <v>1185</v>
      </c>
      <c r="E109" s="859" t="s">
        <v>1245</v>
      </c>
      <c r="F109" s="850" t="str">
        <f>_xlfn.XLOOKUP(E109,'A0.LS'!E:E,'A0.LS'!F:F)</f>
        <v>Chi phí tài chính khác</v>
      </c>
      <c r="G109" s="850"/>
      <c r="H109" s="850"/>
      <c r="I109" s="848">
        <f>AF87-AG87-I82</f>
        <v>600000000</v>
      </c>
      <c r="J109" s="850"/>
      <c r="K109" s="857">
        <f>ROUND(SUM(H109:J109),0)</f>
        <v>600000000</v>
      </c>
      <c r="L109" s="850" t="s">
        <v>1198</v>
      </c>
      <c r="M109" s="850" t="s">
        <v>1199</v>
      </c>
      <c r="N109" s="850" t="s">
        <v>1224</v>
      </c>
      <c r="O109" s="1006"/>
      <c r="P109" s="850"/>
      <c r="Q109" s="850"/>
      <c r="R109" s="850"/>
      <c r="S109" s="850"/>
      <c r="T109" s="850"/>
      <c r="U109" s="850"/>
      <c r="V109" s="850"/>
      <c r="W109" s="850"/>
      <c r="X109" s="850"/>
      <c r="Y109" s="850"/>
      <c r="Z109" s="850"/>
      <c r="AA109" s="850"/>
      <c r="AB109" s="850"/>
      <c r="AC109" s="850"/>
      <c r="AD109" s="850"/>
      <c r="AE109" s="850"/>
      <c r="AF109" s="850"/>
      <c r="AG109" s="850"/>
      <c r="AH109" s="850"/>
      <c r="AI109" s="850"/>
      <c r="AJ109" s="850"/>
    </row>
    <row r="110" spans="1:36" outlineLevel="1">
      <c r="A110" s="850" t="s">
        <v>2120</v>
      </c>
      <c r="B110" s="850"/>
      <c r="C110" s="850"/>
      <c r="D110" s="850" t="s">
        <v>1186</v>
      </c>
      <c r="E110" s="859" t="s">
        <v>95</v>
      </c>
      <c r="F110" s="850" t="str">
        <f>_xlfn.XLOOKUP(E110,'A0.LS'!E:E,'A0.LS'!F:F)</f>
        <v>Đầu tư vào công ty con</v>
      </c>
      <c r="G110" s="850"/>
      <c r="H110" s="857">
        <f>-I109</f>
        <v>-600000000</v>
      </c>
      <c r="I110" s="850"/>
      <c r="J110" s="850"/>
      <c r="K110" s="857">
        <f t="shared" ref="K110" si="22">ROUND(SUM(G110:J110),0)</f>
        <v>-600000000</v>
      </c>
      <c r="L110" s="850" t="s">
        <v>1198</v>
      </c>
      <c r="M110" s="850" t="s">
        <v>1199</v>
      </c>
      <c r="N110" s="850" t="s">
        <v>1224</v>
      </c>
      <c r="O110" s="850"/>
      <c r="P110" s="850"/>
      <c r="Q110" s="850"/>
      <c r="R110" s="850"/>
      <c r="S110" s="850"/>
      <c r="T110" s="850"/>
      <c r="U110" s="850"/>
      <c r="V110" s="850"/>
      <c r="W110" s="850"/>
      <c r="X110" s="850"/>
      <c r="Y110" s="850"/>
      <c r="Z110" s="850"/>
      <c r="AA110" s="850"/>
      <c r="AB110" s="850"/>
      <c r="AC110" s="850"/>
      <c r="AD110" s="850"/>
      <c r="AE110" s="850"/>
      <c r="AF110" s="850"/>
      <c r="AG110" s="850"/>
      <c r="AH110" s="850"/>
      <c r="AI110" s="850"/>
      <c r="AJ110" s="850"/>
    </row>
    <row r="111" spans="1:36" hidden="1" collapsed="1">
      <c r="A111" s="1" t="s">
        <v>555</v>
      </c>
      <c r="B111" s="1006"/>
      <c r="C111" s="1006"/>
      <c r="D111" s="1006"/>
      <c r="E111" s="1006"/>
      <c r="F111" s="1006"/>
      <c r="G111" s="1006"/>
      <c r="H111" s="1006"/>
      <c r="I111" s="1006"/>
      <c r="J111" s="1006"/>
      <c r="K111" s="1006"/>
      <c r="L111" s="1006"/>
      <c r="M111" s="1006"/>
      <c r="N111" s="1006"/>
      <c r="O111" s="1006"/>
      <c r="P111" s="850"/>
      <c r="Q111" s="850"/>
      <c r="R111" s="850"/>
      <c r="S111" s="850"/>
      <c r="T111" s="850"/>
      <c r="U111" s="850"/>
      <c r="V111" s="850"/>
      <c r="W111" s="850"/>
      <c r="X111" s="850"/>
      <c r="Y111" s="850"/>
      <c r="Z111" s="850"/>
      <c r="AA111" s="850"/>
      <c r="AB111" s="850"/>
      <c r="AC111" s="850"/>
      <c r="AD111" s="850"/>
      <c r="AE111" s="850"/>
      <c r="AF111" s="850"/>
      <c r="AG111" s="850"/>
      <c r="AH111" s="850"/>
      <c r="AI111" s="850"/>
      <c r="AJ111" s="850"/>
    </row>
    <row r="112" spans="1:36" hidden="1" outlineLevel="1">
      <c r="A112" s="850" t="s">
        <v>555</v>
      </c>
      <c r="B112" s="1">
        <v>1</v>
      </c>
      <c r="C112" s="1" t="s">
        <v>3382</v>
      </c>
      <c r="D112" s="850"/>
      <c r="E112" s="850"/>
      <c r="F112" s="850"/>
      <c r="G112" s="850"/>
      <c r="H112" s="850"/>
      <c r="I112" s="850"/>
      <c r="J112" s="850"/>
      <c r="K112" s="850"/>
      <c r="L112" s="850"/>
      <c r="M112" s="850"/>
      <c r="N112" s="850"/>
      <c r="O112" s="850"/>
      <c r="P112" s="850"/>
      <c r="Q112" s="850"/>
      <c r="R112" s="850"/>
      <c r="S112" s="850"/>
      <c r="T112" s="850"/>
      <c r="U112" s="850"/>
      <c r="V112" s="850"/>
      <c r="W112" s="850"/>
      <c r="X112" s="850"/>
      <c r="Y112" s="850"/>
      <c r="Z112" s="850"/>
      <c r="AA112" s="850"/>
      <c r="AB112" s="850"/>
      <c r="AC112" s="850"/>
      <c r="AD112" s="850"/>
      <c r="AE112" s="850"/>
      <c r="AF112" s="850"/>
      <c r="AG112" s="850"/>
      <c r="AH112" s="850"/>
      <c r="AI112" s="850"/>
      <c r="AJ112" s="850"/>
    </row>
    <row r="113" spans="1:36" hidden="1" outlineLevel="1">
      <c r="A113" s="850" t="s">
        <v>555</v>
      </c>
      <c r="B113" s="850"/>
      <c r="C113" s="850"/>
      <c r="D113" s="850" t="s">
        <v>1185</v>
      </c>
      <c r="E113" s="850" t="s">
        <v>321</v>
      </c>
      <c r="F113" s="850" t="str">
        <f>_xlfn.XLOOKUP(E113,'A0.LS'!E:E,'A0.LS'!F:F)</f>
        <v>Lỗ từ dự phòng giảm giá các khoản đầu tư vào công ty con/công ty liên doanh</v>
      </c>
      <c r="G113" s="848"/>
      <c r="H113" s="850"/>
      <c r="I113" s="848">
        <f>'Dự phòng Finhay JSC'!U21</f>
        <v>731027713.89699996</v>
      </c>
      <c r="J113" s="850"/>
      <c r="K113" s="857">
        <f t="shared" ref="K113:K114" si="23">ROUND(SUM(G113:J113),0)</f>
        <v>731027714</v>
      </c>
      <c r="L113" s="850" t="s">
        <v>1198</v>
      </c>
      <c r="M113" s="850" t="s">
        <v>1199</v>
      </c>
      <c r="N113" s="850" t="s">
        <v>1224</v>
      </c>
      <c r="O113" s="850"/>
      <c r="P113" s="850"/>
      <c r="Q113" s="850"/>
      <c r="R113" s="850"/>
      <c r="S113" s="850"/>
      <c r="T113" s="850"/>
      <c r="U113" s="850"/>
      <c r="V113" s="850"/>
      <c r="W113" s="850"/>
      <c r="X113" s="850"/>
      <c r="Y113" s="850"/>
      <c r="Z113" s="850"/>
      <c r="AA113" s="850"/>
      <c r="AB113" s="850"/>
      <c r="AC113" s="850"/>
      <c r="AD113" s="850"/>
      <c r="AE113" s="850"/>
      <c r="AF113" s="850"/>
      <c r="AG113" s="850"/>
      <c r="AH113" s="850"/>
      <c r="AI113" s="850"/>
      <c r="AJ113" s="850"/>
    </row>
    <row r="114" spans="1:36" hidden="1" outlineLevel="1">
      <c r="A114" s="850" t="s">
        <v>555</v>
      </c>
      <c r="B114" s="850"/>
      <c r="C114" s="850"/>
      <c r="D114" s="850" t="s">
        <v>1186</v>
      </c>
      <c r="E114" s="850" t="s">
        <v>104</v>
      </c>
      <c r="F114" s="850" t="str">
        <f>_xlfn.XLOOKUP(E114,'A0.LS'!E:E,'A0.LS'!F:F)</f>
        <v>Dự phòng tổn thất đầu tư vào đơn vị khác</v>
      </c>
      <c r="G114" s="850"/>
      <c r="H114" s="857">
        <f>-I113</f>
        <v>-731027713.89699996</v>
      </c>
      <c r="I114" s="850"/>
      <c r="J114" s="850"/>
      <c r="K114" s="857">
        <f t="shared" si="23"/>
        <v>-731027714</v>
      </c>
      <c r="L114" s="850" t="s">
        <v>1198</v>
      </c>
      <c r="M114" s="850" t="s">
        <v>1199</v>
      </c>
      <c r="N114" s="850" t="s">
        <v>1224</v>
      </c>
      <c r="O114" s="850"/>
      <c r="P114" s="850"/>
      <c r="Q114" s="850"/>
      <c r="R114" s="850"/>
      <c r="S114" s="850"/>
      <c r="T114" s="850"/>
      <c r="U114" s="850"/>
      <c r="V114" s="850"/>
      <c r="W114" s="850"/>
      <c r="X114" s="850"/>
      <c r="Y114" s="850"/>
      <c r="Z114" s="850"/>
      <c r="AA114" s="850"/>
      <c r="AB114" s="850"/>
      <c r="AC114" s="850"/>
      <c r="AD114" s="850"/>
      <c r="AE114" s="850"/>
      <c r="AF114" s="850"/>
      <c r="AG114" s="850"/>
      <c r="AH114" s="850"/>
      <c r="AI114" s="850"/>
      <c r="AJ114" s="850"/>
    </row>
    <row r="115" spans="1:36">
      <c r="A115" s="850"/>
      <c r="B115" s="850"/>
      <c r="C115" s="850"/>
      <c r="D115" s="850"/>
      <c r="E115" s="850"/>
      <c r="F115" s="850"/>
      <c r="G115" s="850"/>
      <c r="H115" s="850"/>
      <c r="I115" s="850"/>
      <c r="J115" s="850"/>
      <c r="K115" s="850"/>
      <c r="L115" s="850"/>
      <c r="M115" s="850"/>
      <c r="N115" s="850"/>
      <c r="O115" s="850"/>
      <c r="P115" s="850"/>
      <c r="Q115" s="850"/>
      <c r="R115" s="850"/>
      <c r="S115" s="850"/>
      <c r="T115" s="850"/>
      <c r="U115" s="850"/>
      <c r="V115" s="850"/>
      <c r="W115" s="850"/>
      <c r="X115" s="850"/>
      <c r="Y115" s="850"/>
      <c r="Z115" s="850"/>
      <c r="AA115" s="850"/>
      <c r="AB115" s="850"/>
      <c r="AC115" s="850"/>
      <c r="AD115" s="850"/>
      <c r="AE115" s="850"/>
      <c r="AF115" s="850"/>
      <c r="AG115" s="850"/>
      <c r="AH115" s="850"/>
      <c r="AI115" s="850"/>
      <c r="AJ115" s="850"/>
    </row>
  </sheetData>
  <autoFilter ref="A6:AJ114" xr:uid="{3F8C2A26-7062-49CA-A8C4-A146665C5218}">
    <filterColumn colId="0">
      <filters>
        <filter val="Finhay LTD"/>
      </filters>
    </filterColumn>
  </autoFilter>
  <hyperlinks>
    <hyperlink ref="T9" r:id="rId1" xr:uid="{1F24C208-B26E-42DB-9F4D-BB8EE4DC4BF0}"/>
  </hyperlinks>
  <pageMargins left="0.7" right="0.7" top="0.75" bottom="0.75" header="0.3" footer="0.3"/>
  <pageSetup orientation="portrait"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B7103-0089-4954-81D2-D17D8B516D8D}">
  <sheetPr codeName="Sheet35"/>
  <dimension ref="A1:U32"/>
  <sheetViews>
    <sheetView zoomScale="55" zoomScaleNormal="55" workbookViewId="0">
      <selection activeCell="C17" sqref="C17"/>
    </sheetView>
  </sheetViews>
  <sheetFormatPr defaultColWidth="9.140625" defaultRowHeight="12.75"/>
  <cols>
    <col min="1" max="1" width="19.85546875" style="2" customWidth="1"/>
    <col min="2" max="2" width="26.140625" style="2" bestFit="1" customWidth="1"/>
    <col min="3" max="3" width="24.85546875" style="2" bestFit="1" customWidth="1"/>
    <col min="4" max="4" width="58.42578125" style="2" bestFit="1" customWidth="1"/>
    <col min="5" max="5" width="30.42578125" style="2" bestFit="1" customWidth="1"/>
    <col min="6" max="6" width="26.140625" style="2" bestFit="1" customWidth="1"/>
    <col min="7" max="7" width="21.5703125" style="2" bestFit="1" customWidth="1"/>
    <col min="8" max="8" width="12.140625" style="2" bestFit="1" customWidth="1"/>
    <col min="9" max="9" width="27.85546875" style="2" bestFit="1" customWidth="1"/>
    <col min="10" max="10" width="26.5703125" style="2" bestFit="1" customWidth="1"/>
    <col min="11" max="11" width="60.85546875" style="2" bestFit="1" customWidth="1"/>
    <col min="12" max="12" width="31.85546875" style="2" bestFit="1" customWidth="1"/>
    <col min="13" max="13" width="14.85546875" style="2" bestFit="1" customWidth="1"/>
    <col min="14" max="16" width="9.140625" style="2"/>
    <col min="17" max="17" width="27.85546875" style="2" bestFit="1" customWidth="1"/>
    <col min="18" max="18" width="26.5703125" style="2" bestFit="1" customWidth="1"/>
    <col min="19" max="19" width="60.85546875" style="2" bestFit="1" customWidth="1"/>
    <col min="20" max="20" width="31.85546875" style="2" bestFit="1" customWidth="1"/>
    <col min="21" max="21" width="11.85546875" style="2" bestFit="1" customWidth="1"/>
    <col min="22" max="16384" width="9.140625" style="2"/>
  </cols>
  <sheetData>
    <row r="1" spans="1:21" s="623" customFormat="1">
      <c r="A1" s="647"/>
      <c r="B1" s="648" t="s">
        <v>4330</v>
      </c>
      <c r="C1" s="649" t="s">
        <v>4331</v>
      </c>
      <c r="D1" s="649" t="s">
        <v>4332</v>
      </c>
      <c r="E1" s="649" t="s">
        <v>4333</v>
      </c>
      <c r="F1" s="850"/>
      <c r="G1" s="850"/>
      <c r="H1" s="850"/>
      <c r="I1" s="648" t="s">
        <v>4334</v>
      </c>
      <c r="J1" s="650" t="s">
        <v>4332</v>
      </c>
      <c r="K1" s="650" t="s">
        <v>4333</v>
      </c>
      <c r="L1" s="650" t="s">
        <v>4335</v>
      </c>
      <c r="M1" s="850"/>
      <c r="N1" s="850"/>
      <c r="O1" s="850"/>
      <c r="P1" s="850"/>
      <c r="Q1" s="648" t="s">
        <v>4336</v>
      </c>
      <c r="R1" s="650" t="s">
        <v>4335</v>
      </c>
      <c r="S1" s="850"/>
      <c r="T1" s="850"/>
      <c r="U1" s="850"/>
    </row>
    <row r="2" spans="1:21" s="623" customFormat="1">
      <c r="A2" s="1"/>
      <c r="B2" s="651" t="s">
        <v>4337</v>
      </c>
      <c r="C2" s="652" t="s">
        <v>2120</v>
      </c>
      <c r="D2" s="652" t="s">
        <v>494</v>
      </c>
      <c r="E2" s="652" t="s">
        <v>555</v>
      </c>
      <c r="F2" s="850"/>
      <c r="G2" s="850"/>
      <c r="H2" s="850"/>
      <c r="I2" s="651" t="s">
        <v>4338</v>
      </c>
      <c r="J2" s="652" t="s">
        <v>494</v>
      </c>
      <c r="K2" s="652" t="s">
        <v>555</v>
      </c>
      <c r="L2" s="652" t="s">
        <v>530</v>
      </c>
      <c r="M2" s="850"/>
      <c r="N2" s="850"/>
      <c r="O2" s="850"/>
      <c r="P2" s="850"/>
      <c r="Q2" s="651" t="s">
        <v>4339</v>
      </c>
      <c r="R2" s="652" t="s">
        <v>530</v>
      </c>
      <c r="S2" s="850"/>
      <c r="T2" s="850"/>
      <c r="U2" s="850"/>
    </row>
    <row r="3" spans="1:21" s="623" customFormat="1">
      <c r="A3" s="850"/>
      <c r="B3" s="653" t="s">
        <v>4340</v>
      </c>
      <c r="C3" s="654">
        <v>1</v>
      </c>
      <c r="D3" s="654">
        <v>0.5</v>
      </c>
      <c r="E3" s="655">
        <v>2.0000000000000001E-4</v>
      </c>
      <c r="F3" s="850"/>
      <c r="G3" s="850"/>
      <c r="H3" s="850"/>
      <c r="I3" s="653" t="s">
        <v>4340</v>
      </c>
      <c r="J3" s="654">
        <v>0.25</v>
      </c>
      <c r="K3" s="655">
        <v>0.99960000000000004</v>
      </c>
      <c r="L3" s="655">
        <v>0.99490000000000001</v>
      </c>
      <c r="M3" s="857"/>
      <c r="N3" s="850"/>
      <c r="O3" s="850"/>
      <c r="P3" s="850"/>
      <c r="Q3" s="653" t="s">
        <v>4340</v>
      </c>
      <c r="R3" s="655">
        <v>2.5999999999999999E-3</v>
      </c>
      <c r="S3" s="857"/>
      <c r="T3" s="850"/>
      <c r="U3" s="850"/>
    </row>
    <row r="4" spans="1:21" s="623" customFormat="1">
      <c r="A4" s="850"/>
      <c r="B4" s="653" t="s">
        <v>4341</v>
      </c>
      <c r="C4" s="656">
        <v>440000000000</v>
      </c>
      <c r="D4" s="656">
        <v>20000000</v>
      </c>
      <c r="E4" s="624">
        <v>4900000000</v>
      </c>
      <c r="F4" s="850"/>
      <c r="G4" s="850"/>
      <c r="H4" s="850"/>
      <c r="I4" s="653" t="s">
        <v>4341</v>
      </c>
      <c r="J4" s="656">
        <v>20000000</v>
      </c>
      <c r="K4" s="624">
        <v>4900000000</v>
      </c>
      <c r="L4" s="624">
        <v>558599980000</v>
      </c>
      <c r="M4" s="857"/>
      <c r="N4" s="850"/>
      <c r="O4" s="850"/>
      <c r="P4" s="850"/>
      <c r="Q4" s="653" t="s">
        <v>4341</v>
      </c>
      <c r="R4" s="624">
        <v>558599980000</v>
      </c>
      <c r="S4" s="857"/>
      <c r="T4" s="850"/>
      <c r="U4" s="850"/>
    </row>
    <row r="5" spans="1:21" s="623" customFormat="1">
      <c r="A5" s="850"/>
      <c r="B5" s="653" t="s">
        <v>4342</v>
      </c>
      <c r="C5" s="657">
        <f>-'A0.LS'!AP169</f>
        <v>366615862890</v>
      </c>
      <c r="D5" s="656">
        <f>-'A0.LS'!AL169</f>
        <v>11903389</v>
      </c>
      <c r="E5" s="624">
        <f>-'A0.LS'!AT169</f>
        <v>4120559916</v>
      </c>
      <c r="F5" s="850"/>
      <c r="G5" s="850"/>
      <c r="H5" s="850"/>
      <c r="I5" s="653" t="s">
        <v>4342</v>
      </c>
      <c r="J5" s="656">
        <f>-'A0.LS'!AL169</f>
        <v>11903389</v>
      </c>
      <c r="K5" s="624">
        <f>-'A0.LS'!AT169</f>
        <v>4120559916</v>
      </c>
      <c r="L5" s="624">
        <f>-'A0.LS'!AH169</f>
        <v>277435474655</v>
      </c>
      <c r="M5" s="1223"/>
      <c r="N5" s="850"/>
      <c r="O5" s="850"/>
      <c r="P5" s="850"/>
      <c r="Q5" s="653" t="s">
        <v>4342</v>
      </c>
      <c r="R5" s="624">
        <f>-'A0.LS'!AH169</f>
        <v>277435474655</v>
      </c>
      <c r="S5" s="1223"/>
      <c r="T5" s="850"/>
      <c r="U5" s="850"/>
    </row>
    <row r="6" spans="1:21" s="623" customFormat="1">
      <c r="A6" s="850"/>
      <c r="B6" s="625" t="s">
        <v>4343</v>
      </c>
      <c r="C6" s="658">
        <f>C3*(C4-C5)</f>
        <v>73384137110</v>
      </c>
      <c r="D6" s="658">
        <f>D3*(D4-D5)</f>
        <v>4048305.5</v>
      </c>
      <c r="E6" s="658">
        <f>E3*(E4-E5)</f>
        <v>155888.01680000001</v>
      </c>
      <c r="F6" s="850"/>
      <c r="G6" s="850"/>
      <c r="H6" s="850"/>
      <c r="I6" s="625" t="s">
        <v>4343</v>
      </c>
      <c r="J6" s="658">
        <f>J3*(J4-J5)</f>
        <v>2024152.75</v>
      </c>
      <c r="K6" s="658">
        <f>K3*(K4-K5)</f>
        <v>779128307.96640003</v>
      </c>
      <c r="L6" s="658">
        <f>L3*(L4-L5)</f>
        <v>279730566367.74048</v>
      </c>
      <c r="M6" s="857"/>
      <c r="N6" s="850"/>
      <c r="O6" s="850"/>
      <c r="P6" s="850"/>
      <c r="Q6" s="625" t="s">
        <v>4343</v>
      </c>
      <c r="R6" s="658">
        <f>R3*(R4-R5)</f>
        <v>731027713.89699996</v>
      </c>
      <c r="S6" s="857"/>
      <c r="T6" s="850"/>
      <c r="U6" s="850"/>
    </row>
    <row r="7" spans="1:21" s="623" customFormat="1" ht="13.5" thickBot="1">
      <c r="A7" s="850"/>
      <c r="B7" s="1652" t="s">
        <v>4344</v>
      </c>
      <c r="C7" s="1653">
        <f>IF(C6&lt;=0,0,C6)</f>
        <v>73384137110</v>
      </c>
      <c r="D7" s="1653">
        <f>IF(D6&lt;=0,0,D6)</f>
        <v>4048305.5</v>
      </c>
      <c r="E7" s="1654">
        <f>IF(E6&lt;=0,0,E6)</f>
        <v>155888.01680000001</v>
      </c>
      <c r="F7" s="850"/>
      <c r="G7" s="850"/>
      <c r="H7" s="850"/>
      <c r="I7" s="1652" t="s">
        <v>4344</v>
      </c>
      <c r="J7" s="1654">
        <f>IF(J6&lt;=0,0,J6)</f>
        <v>2024152.75</v>
      </c>
      <c r="K7" s="1654">
        <f>IF(K6&lt;=0,0,K6)</f>
        <v>779128307.96640003</v>
      </c>
      <c r="L7" s="1654">
        <f>IF(L6&lt;=0,0,L6)</f>
        <v>279730566367.74048</v>
      </c>
      <c r="M7" s="850"/>
      <c r="N7" s="850"/>
      <c r="O7" s="850"/>
      <c r="P7" s="850"/>
      <c r="Q7" s="1652" t="s">
        <v>4344</v>
      </c>
      <c r="R7" s="1654">
        <f>IF(R6&lt;=0,0,R6)</f>
        <v>731027713.89699996</v>
      </c>
      <c r="S7" s="857"/>
      <c r="T7" s="850"/>
      <c r="U7" s="850"/>
    </row>
    <row r="8" spans="1:21" s="623" customFormat="1" ht="13.5" thickTop="1">
      <c r="A8" s="850"/>
      <c r="B8" s="1"/>
      <c r="C8" s="1012"/>
      <c r="D8" s="850"/>
      <c r="E8" s="850"/>
      <c r="F8" s="850"/>
      <c r="G8" s="850"/>
      <c r="H8" s="850"/>
      <c r="I8" s="850"/>
      <c r="J8" s="850"/>
      <c r="K8" s="850"/>
      <c r="L8" s="1222"/>
      <c r="M8" s="850"/>
      <c r="N8" s="850"/>
      <c r="O8" s="850"/>
      <c r="P8" s="850"/>
      <c r="Q8" s="850"/>
      <c r="R8" s="850"/>
      <c r="S8" s="850"/>
      <c r="T8" s="1222"/>
      <c r="U8" s="850"/>
    </row>
    <row r="9" spans="1:21" s="623" customFormat="1">
      <c r="A9" s="850"/>
      <c r="B9" s="1"/>
      <c r="C9" s="1"/>
      <c r="D9" s="1"/>
      <c r="E9" s="850"/>
      <c r="F9" s="850"/>
      <c r="G9" s="850"/>
      <c r="H9" s="850"/>
      <c r="I9" s="850"/>
      <c r="J9" s="850"/>
      <c r="K9" s="850"/>
      <c r="L9" s="1"/>
      <c r="M9" s="850"/>
      <c r="N9" s="850"/>
      <c r="O9" s="850"/>
      <c r="P9" s="850"/>
      <c r="Q9" s="850"/>
      <c r="R9" s="850"/>
      <c r="S9" s="857"/>
      <c r="T9" s="1"/>
      <c r="U9" s="850"/>
    </row>
    <row r="10" spans="1:21" s="623" customFormat="1">
      <c r="A10" s="850"/>
      <c r="B10" s="653" t="s">
        <v>4345</v>
      </c>
      <c r="C10" s="653"/>
      <c r="D10" s="653"/>
      <c r="E10" s="850"/>
      <c r="F10" s="850"/>
      <c r="G10" s="850"/>
      <c r="H10" s="850"/>
      <c r="I10" s="653" t="s">
        <v>4345</v>
      </c>
      <c r="J10" s="653"/>
      <c r="K10" s="850"/>
      <c r="L10" s="1222"/>
      <c r="M10" s="850"/>
      <c r="N10" s="850"/>
      <c r="O10" s="850"/>
      <c r="P10" s="850"/>
      <c r="Q10" s="653" t="s">
        <v>4345</v>
      </c>
      <c r="R10" s="653"/>
      <c r="S10" s="850"/>
      <c r="T10" s="1222"/>
      <c r="U10" s="850"/>
    </row>
    <row r="11" spans="1:21" s="623" customFormat="1">
      <c r="A11" s="850"/>
      <c r="B11" s="648" t="s">
        <v>4330</v>
      </c>
      <c r="C11" s="653"/>
      <c r="D11" s="653"/>
      <c r="E11" s="653"/>
      <c r="F11" s="850"/>
      <c r="G11" s="850"/>
      <c r="H11" s="850"/>
      <c r="I11" s="648" t="s">
        <v>4334</v>
      </c>
      <c r="J11" s="653"/>
      <c r="K11" s="1222"/>
      <c r="L11" s="1222"/>
      <c r="M11" s="850"/>
      <c r="N11" s="850"/>
      <c r="O11" s="850"/>
      <c r="P11" s="850"/>
      <c r="Q11" s="648" t="s">
        <v>4334</v>
      </c>
      <c r="R11" s="653"/>
      <c r="S11" s="1222"/>
      <c r="T11" s="1222"/>
      <c r="U11" s="850"/>
    </row>
    <row r="12" spans="1:21" s="623" customFormat="1">
      <c r="A12" s="850"/>
      <c r="B12" s="648"/>
      <c r="C12" s="653"/>
      <c r="D12" s="653"/>
      <c r="E12" s="653"/>
      <c r="F12" s="850"/>
      <c r="G12" s="850"/>
      <c r="H12" s="850"/>
      <c r="I12" s="648"/>
      <c r="J12" s="653"/>
      <c r="K12" s="1222"/>
      <c r="L12" s="1222"/>
      <c r="M12" s="850"/>
      <c r="N12" s="850"/>
      <c r="O12" s="850"/>
      <c r="P12" s="850"/>
      <c r="Q12" s="648"/>
      <c r="R12" s="653"/>
      <c r="S12" s="1222"/>
      <c r="T12" s="1222"/>
      <c r="U12" s="850"/>
    </row>
    <row r="13" spans="1:21" s="623" customFormat="1">
      <c r="A13" s="850"/>
      <c r="B13" s="659" t="s">
        <v>2119</v>
      </c>
      <c r="C13" s="660" t="s">
        <v>4346</v>
      </c>
      <c r="D13" s="653"/>
      <c r="E13" s="653"/>
      <c r="F13" s="850"/>
      <c r="G13" s="850"/>
      <c r="H13" s="850"/>
      <c r="I13" s="659" t="s">
        <v>656</v>
      </c>
      <c r="J13" s="660" t="s">
        <v>4346</v>
      </c>
      <c r="K13" s="1222"/>
      <c r="L13" s="1222"/>
      <c r="M13" s="850"/>
      <c r="N13" s="850"/>
      <c r="O13" s="850"/>
      <c r="P13" s="850"/>
      <c r="Q13" s="659" t="s">
        <v>555</v>
      </c>
      <c r="R13" s="660" t="s">
        <v>4346</v>
      </c>
      <c r="S13" s="1222"/>
      <c r="T13" s="1222"/>
      <c r="U13" s="850"/>
    </row>
    <row r="14" spans="1:21" s="623" customFormat="1">
      <c r="A14" s="850"/>
      <c r="B14" s="661" t="s">
        <v>4347</v>
      </c>
      <c r="C14" s="662" t="s">
        <v>3074</v>
      </c>
      <c r="D14" s="653"/>
      <c r="E14" s="653"/>
      <c r="F14" s="850"/>
      <c r="G14" s="850"/>
      <c r="H14" s="850"/>
      <c r="I14" s="661" t="s">
        <v>4347</v>
      </c>
      <c r="J14" s="662" t="s">
        <v>3074</v>
      </c>
      <c r="K14" s="1222"/>
      <c r="L14" s="1222"/>
      <c r="M14" s="850"/>
      <c r="N14" s="850"/>
      <c r="O14" s="850"/>
      <c r="P14" s="850"/>
      <c r="Q14" s="661" t="s">
        <v>4347</v>
      </c>
      <c r="R14" s="662" t="s">
        <v>3074</v>
      </c>
      <c r="S14" s="1222"/>
      <c r="T14" s="1222"/>
      <c r="U14" s="850"/>
    </row>
    <row r="15" spans="1:21" s="623" customFormat="1">
      <c r="A15" s="647"/>
      <c r="B15" s="663" t="s">
        <v>4348</v>
      </c>
      <c r="C15" s="664">
        <v>54958559045</v>
      </c>
      <c r="D15" s="653"/>
      <c r="E15" s="653"/>
      <c r="F15" s="850"/>
      <c r="G15" s="850"/>
      <c r="H15" s="850"/>
      <c r="I15" s="663" t="s">
        <v>4349</v>
      </c>
      <c r="J15" s="664">
        <f>-'A0.LS'!Z92-'A5.CTC FY24'!H95-'A5.CTC FY24'!H98</f>
        <v>259117394892</v>
      </c>
      <c r="K15" s="1222" t="s">
        <v>3841</v>
      </c>
      <c r="L15" s="1222"/>
      <c r="M15" s="850"/>
      <c r="N15" s="850"/>
      <c r="O15" s="850"/>
      <c r="P15" s="850"/>
      <c r="Q15" s="663" t="s">
        <v>4349</v>
      </c>
      <c r="R15" s="664">
        <v>0</v>
      </c>
      <c r="S15" s="1222" t="s">
        <v>3841</v>
      </c>
      <c r="T15" s="1222"/>
      <c r="U15" s="850"/>
    </row>
    <row r="16" spans="1:21" s="623" customFormat="1">
      <c r="A16" s="647"/>
      <c r="B16" s="665" t="s">
        <v>4350</v>
      </c>
      <c r="C16" s="666">
        <f>C17-C15</f>
        <v>18429782258.5168</v>
      </c>
      <c r="D16" s="653"/>
      <c r="E16" s="653"/>
      <c r="F16" s="850"/>
      <c r="G16" s="850"/>
      <c r="H16" s="850"/>
      <c r="I16" s="665" t="s">
        <v>4350</v>
      </c>
      <c r="J16" s="666">
        <f>J17-J15</f>
        <v>21394323936.456848</v>
      </c>
      <c r="K16" s="1222"/>
      <c r="L16" s="1222"/>
      <c r="M16" s="850"/>
      <c r="N16" s="850"/>
      <c r="O16" s="850"/>
      <c r="P16" s="850"/>
      <c r="Q16" s="665" t="s">
        <v>4350</v>
      </c>
      <c r="R16" s="666">
        <f>R17-R15</f>
        <v>731027713.89699996</v>
      </c>
      <c r="S16" s="1222"/>
      <c r="T16" s="1222"/>
      <c r="U16" s="850"/>
    </row>
    <row r="17" spans="1:21" s="623" customFormat="1" ht="13.5" thickBot="1">
      <c r="A17" s="850"/>
      <c r="B17" s="667" t="s">
        <v>4351</v>
      </c>
      <c r="C17" s="668">
        <f>SUM(C7:E7)</f>
        <v>73388341303.5168</v>
      </c>
      <c r="D17" s="653"/>
      <c r="E17" s="653"/>
      <c r="F17" s="850"/>
      <c r="G17" s="850"/>
      <c r="H17" s="850"/>
      <c r="I17" s="667" t="s">
        <v>4351</v>
      </c>
      <c r="J17" s="668">
        <f>SUM(I7:L7)</f>
        <v>280511718828.45685</v>
      </c>
      <c r="K17" s="1222"/>
      <c r="L17" s="1222"/>
      <c r="M17" s="850"/>
      <c r="N17" s="850"/>
      <c r="O17" s="850"/>
      <c r="P17" s="850"/>
      <c r="Q17" s="667" t="s">
        <v>4351</v>
      </c>
      <c r="R17" s="668">
        <f>SUM(Q7:R7)</f>
        <v>731027713.89699996</v>
      </c>
      <c r="S17" s="1222"/>
      <c r="T17" s="1222"/>
      <c r="U17" s="850"/>
    </row>
    <row r="18" spans="1:21" s="623" customFormat="1">
      <c r="A18" s="850"/>
      <c r="B18" s="653"/>
      <c r="C18" s="1505">
        <f>'A0.LS'!L92+'Dự phòng Finhay JSC'!C17</f>
        <v>-0.4832000732421875</v>
      </c>
      <c r="D18" s="653"/>
      <c r="E18" s="653"/>
      <c r="F18" s="653"/>
      <c r="G18" s="653"/>
      <c r="H18" s="1222"/>
      <c r="I18" s="1222"/>
      <c r="J18" s="326">
        <f>'A0.LS'!AC92+'Dự phòng Finhay JSC'!J17</f>
        <v>0.45684814453125</v>
      </c>
      <c r="K18" s="850"/>
      <c r="L18" s="1222"/>
      <c r="M18" s="850"/>
      <c r="N18" s="850"/>
      <c r="O18" s="850"/>
      <c r="P18" s="850"/>
      <c r="Q18" s="1222"/>
      <c r="R18" s="357">
        <f>'A0.LS'!AT92+'Dự phòng Finhay JSC'!R17</f>
        <v>-0.10300004482269287</v>
      </c>
      <c r="S18" s="850"/>
      <c r="T18" s="1222"/>
      <c r="U18" s="850"/>
    </row>
    <row r="19" spans="1:21" s="669" customFormat="1">
      <c r="A19" s="860"/>
      <c r="B19" s="653"/>
      <c r="C19" s="653"/>
      <c r="D19" s="653"/>
      <c r="E19" s="653"/>
      <c r="F19" s="653"/>
      <c r="G19" s="653"/>
      <c r="H19" s="1222"/>
      <c r="I19" s="1222"/>
      <c r="J19" s="850"/>
      <c r="K19" s="850"/>
      <c r="L19" s="1222"/>
      <c r="M19" s="860"/>
      <c r="N19" s="860"/>
      <c r="O19" s="860"/>
      <c r="P19" s="860"/>
      <c r="Q19" s="1222"/>
      <c r="R19" s="850"/>
      <c r="S19" s="850"/>
      <c r="T19" s="1222"/>
      <c r="U19" s="860"/>
    </row>
    <row r="20" spans="1:21" s="623" customFormat="1">
      <c r="A20" s="850"/>
      <c r="B20" s="652" t="s">
        <v>1183</v>
      </c>
      <c r="C20" s="670" t="s">
        <v>1184</v>
      </c>
      <c r="D20" s="651" t="s">
        <v>775</v>
      </c>
      <c r="E20" s="671" t="s">
        <v>4352</v>
      </c>
      <c r="F20" s="672" t="s">
        <v>501</v>
      </c>
      <c r="G20" s="850"/>
      <c r="H20" s="850"/>
      <c r="I20" s="652" t="s">
        <v>1183</v>
      </c>
      <c r="J20" s="670" t="s">
        <v>1184</v>
      </c>
      <c r="K20" s="651" t="s">
        <v>775</v>
      </c>
      <c r="L20" s="671" t="s">
        <v>4352</v>
      </c>
      <c r="M20" s="672" t="s">
        <v>501</v>
      </c>
      <c r="N20" s="850"/>
      <c r="O20" s="850"/>
      <c r="P20" s="850"/>
      <c r="Q20" s="652" t="s">
        <v>1183</v>
      </c>
      <c r="R20" s="670" t="s">
        <v>1184</v>
      </c>
      <c r="S20" s="651" t="s">
        <v>775</v>
      </c>
      <c r="T20" s="671" t="s">
        <v>4352</v>
      </c>
      <c r="U20" s="672" t="s">
        <v>501</v>
      </c>
    </row>
    <row r="21" spans="1:21" s="623" customFormat="1">
      <c r="A21" s="850"/>
      <c r="B21" s="673" t="s">
        <v>1185</v>
      </c>
      <c r="C21" s="674" t="s">
        <v>321</v>
      </c>
      <c r="D21" s="653" t="s">
        <v>322</v>
      </c>
      <c r="E21" s="653" t="s">
        <v>4353</v>
      </c>
      <c r="F21" s="675">
        <f>C16</f>
        <v>18429782258.5168</v>
      </c>
      <c r="G21" s="850"/>
      <c r="H21" s="850"/>
      <c r="I21" s="673" t="s">
        <v>1185</v>
      </c>
      <c r="J21" s="674" t="s">
        <v>321</v>
      </c>
      <c r="K21" s="653" t="s">
        <v>322</v>
      </c>
      <c r="L21" s="653" t="s">
        <v>4353</v>
      </c>
      <c r="M21" s="675">
        <f>J16</f>
        <v>21394323936.456848</v>
      </c>
      <c r="N21" s="850"/>
      <c r="O21" s="850"/>
      <c r="P21" s="850"/>
      <c r="Q21" s="673" t="s">
        <v>1185</v>
      </c>
      <c r="R21" s="674" t="s">
        <v>321</v>
      </c>
      <c r="S21" s="653" t="s">
        <v>322</v>
      </c>
      <c r="T21" s="653" t="s">
        <v>4353</v>
      </c>
      <c r="U21" s="675">
        <f>R16</f>
        <v>731027713.89699996</v>
      </c>
    </row>
    <row r="22" spans="1:21" s="623" customFormat="1" ht="13.5" thickBot="1">
      <c r="A22" s="850"/>
      <c r="B22" s="676" t="s">
        <v>1186</v>
      </c>
      <c r="C22" s="677" t="s">
        <v>104</v>
      </c>
      <c r="D22" s="678" t="s">
        <v>105</v>
      </c>
      <c r="E22" s="678" t="s">
        <v>4353</v>
      </c>
      <c r="F22" s="679">
        <f>-F21</f>
        <v>-18429782258.5168</v>
      </c>
      <c r="G22" s="850"/>
      <c r="H22" s="850"/>
      <c r="I22" s="676" t="s">
        <v>1186</v>
      </c>
      <c r="J22" s="677" t="s">
        <v>104</v>
      </c>
      <c r="K22" s="678" t="s">
        <v>105</v>
      </c>
      <c r="L22" s="678" t="s">
        <v>4353</v>
      </c>
      <c r="M22" s="679">
        <f>-M21</f>
        <v>-21394323936.456848</v>
      </c>
      <c r="N22" s="850"/>
      <c r="O22" s="850"/>
      <c r="P22" s="850"/>
      <c r="Q22" s="676" t="s">
        <v>1186</v>
      </c>
      <c r="R22" s="677" t="s">
        <v>104</v>
      </c>
      <c r="S22" s="678" t="s">
        <v>105</v>
      </c>
      <c r="T22" s="678" t="s">
        <v>4353</v>
      </c>
      <c r="U22" s="679">
        <f>-U21</f>
        <v>-731027713.89699996</v>
      </c>
    </row>
    <row r="23" spans="1:21" s="623" customFormat="1">
      <c r="A23" s="850"/>
      <c r="B23" s="653"/>
      <c r="C23" s="653"/>
      <c r="D23" s="653"/>
      <c r="E23" s="653"/>
      <c r="F23" s="653"/>
      <c r="G23" s="653"/>
      <c r="H23" s="1222"/>
      <c r="I23" s="1222"/>
      <c r="J23" s="850"/>
      <c r="K23" s="850"/>
      <c r="L23" s="1222"/>
      <c r="M23" s="850"/>
      <c r="N23" s="850"/>
      <c r="O23" s="850"/>
      <c r="P23" s="850"/>
      <c r="Q23" s="850"/>
      <c r="R23" s="850"/>
      <c r="S23" s="850"/>
      <c r="T23" s="850"/>
      <c r="U23" s="850"/>
    </row>
    <row r="24" spans="1:21" s="623" customFormat="1">
      <c r="A24" s="850"/>
      <c r="B24" s="680"/>
      <c r="C24" s="850"/>
      <c r="D24" s="850"/>
      <c r="E24" s="681"/>
      <c r="F24" s="848"/>
      <c r="G24" s="1224"/>
      <c r="H24" s="1224"/>
      <c r="I24" s="860"/>
      <c r="J24" s="1225"/>
      <c r="K24" s="850"/>
      <c r="L24" s="850"/>
      <c r="M24" s="850"/>
      <c r="N24" s="850"/>
      <c r="O24" s="850"/>
      <c r="P24" s="850"/>
      <c r="Q24" s="850"/>
      <c r="R24" s="850"/>
      <c r="S24" s="850"/>
      <c r="T24" s="850"/>
      <c r="U24" s="850"/>
    </row>
    <row r="25" spans="1:21" s="623" customFormat="1">
      <c r="A25" s="850"/>
      <c r="B25" s="850"/>
      <c r="C25" s="1012"/>
      <c r="D25" s="850"/>
      <c r="E25" s="681"/>
      <c r="F25" s="848"/>
      <c r="G25" s="1224"/>
      <c r="H25" s="1224"/>
      <c r="I25" s="860"/>
      <c r="J25" s="1225"/>
      <c r="K25" s="850"/>
      <c r="L25" s="850"/>
      <c r="M25" s="850"/>
      <c r="N25" s="850"/>
      <c r="O25" s="850"/>
      <c r="P25" s="850"/>
      <c r="Q25" s="850"/>
      <c r="R25" s="850"/>
      <c r="S25" s="850"/>
      <c r="T25" s="850"/>
      <c r="U25" s="850"/>
    </row>
    <row r="26" spans="1:21" s="623" customFormat="1">
      <c r="A26" s="850"/>
      <c r="B26" s="850"/>
      <c r="C26" s="1012"/>
      <c r="D26" s="850"/>
      <c r="E26" s="681"/>
      <c r="F26" s="848"/>
      <c r="G26" s="1224"/>
      <c r="H26" s="1224"/>
      <c r="I26" s="860"/>
      <c r="J26" s="1225"/>
      <c r="K26" s="850"/>
      <c r="L26" s="850"/>
      <c r="M26" s="850"/>
      <c r="N26" s="850"/>
      <c r="O26" s="850"/>
      <c r="P26" s="850"/>
      <c r="Q26" s="850"/>
      <c r="R26" s="850"/>
      <c r="S26" s="850"/>
      <c r="T26" s="850"/>
      <c r="U26" s="850"/>
    </row>
    <row r="27" spans="1:21" s="623" customFormat="1">
      <c r="A27" s="850"/>
      <c r="B27" s="1014"/>
      <c r="C27" s="682"/>
      <c r="D27" s="626"/>
      <c r="E27" s="626"/>
      <c r="F27" s="1224"/>
      <c r="G27" s="1224"/>
      <c r="H27" s="1224"/>
      <c r="I27" s="860"/>
      <c r="J27" s="1225"/>
      <c r="K27" s="850"/>
      <c r="L27" s="850"/>
      <c r="M27" s="850"/>
      <c r="N27" s="850"/>
      <c r="O27" s="850"/>
      <c r="P27" s="850"/>
      <c r="Q27" s="850"/>
      <c r="R27" s="850"/>
      <c r="S27" s="850"/>
      <c r="T27" s="850"/>
      <c r="U27" s="850"/>
    </row>
    <row r="28" spans="1:21" s="684" customFormat="1">
      <c r="A28" s="683" t="s">
        <v>4354</v>
      </c>
      <c r="B28" s="683"/>
      <c r="C28" s="898"/>
      <c r="D28" s="898"/>
      <c r="E28" s="898"/>
      <c r="F28" s="898"/>
      <c r="G28" s="898"/>
      <c r="H28" s="898"/>
      <c r="I28" s="898"/>
      <c r="J28" s="1226"/>
      <c r="K28" s="898"/>
      <c r="L28" s="898"/>
      <c r="M28" s="898"/>
      <c r="N28" s="898"/>
      <c r="O28" s="898"/>
      <c r="P28" s="898"/>
      <c r="Q28" s="898"/>
      <c r="R28" s="898"/>
      <c r="S28" s="898"/>
      <c r="T28" s="898"/>
      <c r="U28" s="898"/>
    </row>
    <row r="29" spans="1:21" s="623" customFormat="1">
      <c r="A29" s="850"/>
      <c r="B29" s="850"/>
      <c r="C29" s="850"/>
      <c r="D29" s="850"/>
      <c r="E29" s="850"/>
      <c r="F29" s="850"/>
      <c r="G29" s="850"/>
      <c r="H29" s="850"/>
      <c r="I29" s="850"/>
      <c r="J29" s="946"/>
      <c r="K29" s="850"/>
      <c r="L29" s="850"/>
      <c r="M29" s="850"/>
      <c r="N29" s="850"/>
      <c r="O29" s="850"/>
      <c r="P29" s="850"/>
      <c r="Q29" s="850"/>
      <c r="R29" s="850"/>
      <c r="S29" s="850"/>
      <c r="T29" s="850"/>
      <c r="U29" s="850"/>
    </row>
    <row r="30" spans="1:21" s="623" customFormat="1">
      <c r="A30" s="850"/>
      <c r="B30" s="850"/>
      <c r="C30" s="860" t="s">
        <v>4355</v>
      </c>
      <c r="D30" s="850"/>
      <c r="E30" s="850"/>
      <c r="F30" s="850"/>
      <c r="G30" s="850"/>
      <c r="H30" s="850"/>
      <c r="I30" s="850"/>
      <c r="J30" s="946"/>
      <c r="K30" s="850"/>
      <c r="L30" s="850"/>
      <c r="M30" s="850"/>
      <c r="N30" s="850"/>
      <c r="O30" s="850"/>
      <c r="P30" s="850"/>
      <c r="Q30" s="850"/>
      <c r="R30" s="850"/>
      <c r="S30" s="850"/>
      <c r="T30" s="850"/>
      <c r="U30" s="850"/>
    </row>
    <row r="31" spans="1:21" s="685" customFormat="1" ht="14.25"/>
    <row r="32" spans="1:21" s="685" customFormat="1" ht="14.25"/>
  </sheetData>
  <pageMargins left="0.7" right="0.7" top="0.75" bottom="0.75" header="0.3" footer="0.3"/>
  <pageSetup paperSize="9" orientation="portrait" horizont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343F2-3999-4B7C-B5CE-D9EC973E92CB}">
  <sheetPr codeName="Sheet14">
    <tabColor rgb="FF002060"/>
  </sheetPr>
  <dimension ref="A1:X823"/>
  <sheetViews>
    <sheetView topLeftCell="A36" zoomScale="70" zoomScaleNormal="70" workbookViewId="0">
      <selection activeCell="F62" sqref="F62"/>
    </sheetView>
  </sheetViews>
  <sheetFormatPr defaultColWidth="8.85546875" defaultRowHeight="12.75"/>
  <cols>
    <col min="1" max="1" width="8.85546875" style="2"/>
    <col min="2" max="2" width="12.5703125" style="2" bestFit="1" customWidth="1"/>
    <col min="3" max="3" width="11.42578125" style="2" customWidth="1"/>
    <col min="4" max="4" width="8.85546875" style="2"/>
    <col min="5" max="5" width="39.140625" style="2" customWidth="1"/>
    <col min="6" max="6" width="32.85546875" style="2" customWidth="1"/>
    <col min="7" max="7" width="39.140625" style="2" bestFit="1" customWidth="1"/>
    <col min="8" max="8" width="20.85546875" style="2" customWidth="1"/>
    <col min="9" max="9" width="20.5703125" style="2" customWidth="1"/>
    <col min="10" max="10" width="26.42578125" style="2" bestFit="1" customWidth="1"/>
    <col min="11" max="11" width="34.140625" style="2" bestFit="1" customWidth="1"/>
    <col min="12" max="12" width="36" style="2" bestFit="1" customWidth="1"/>
    <col min="13" max="13" width="23.5703125" style="2" bestFit="1" customWidth="1"/>
    <col min="14" max="15" width="27.140625" style="2" bestFit="1" customWidth="1"/>
    <col min="16" max="16" width="15.5703125" style="2" bestFit="1" customWidth="1"/>
    <col min="17" max="17" width="16.140625" style="2" bestFit="1" customWidth="1"/>
    <col min="18" max="19" width="19.5703125" style="2" bestFit="1" customWidth="1"/>
    <col min="20" max="20" width="14.42578125" style="2" bestFit="1" customWidth="1"/>
    <col min="21" max="21" width="16.42578125" style="2" bestFit="1" customWidth="1"/>
    <col min="22" max="24" width="16.5703125" style="2" customWidth="1"/>
    <col min="25" max="16384" width="8.85546875" style="2"/>
  </cols>
  <sheetData>
    <row r="1" spans="1:19">
      <c r="A1" s="1" t="s">
        <v>0</v>
      </c>
      <c r="B1" s="850" t="s">
        <v>1</v>
      </c>
      <c r="C1" s="850"/>
      <c r="D1" s="850"/>
      <c r="E1" s="850"/>
      <c r="F1" s="850"/>
      <c r="G1" s="850"/>
      <c r="H1" s="850"/>
      <c r="I1" s="850"/>
      <c r="J1" s="850"/>
      <c r="K1" s="850"/>
      <c r="L1" s="850"/>
      <c r="M1" s="850"/>
      <c r="N1" s="850"/>
      <c r="O1" s="850"/>
      <c r="P1" s="850"/>
      <c r="Q1" s="850"/>
      <c r="R1" s="850"/>
      <c r="S1" s="850"/>
    </row>
    <row r="2" spans="1:19">
      <c r="A2" s="1" t="s">
        <v>2</v>
      </c>
      <c r="B2" s="852">
        <v>45657</v>
      </c>
      <c r="C2" s="852"/>
      <c r="D2" s="850"/>
      <c r="E2" s="850"/>
      <c r="F2" s="850"/>
      <c r="G2" s="850"/>
      <c r="H2" s="850"/>
      <c r="I2" s="850"/>
      <c r="J2" s="850"/>
      <c r="K2" s="850"/>
      <c r="L2" s="850"/>
      <c r="M2" s="850"/>
      <c r="N2" s="850"/>
      <c r="O2" s="850"/>
      <c r="P2" s="850"/>
      <c r="Q2" s="850"/>
      <c r="R2" s="850"/>
      <c r="S2" s="850"/>
    </row>
    <row r="3" spans="1:19">
      <c r="A3" s="3" t="s">
        <v>2579</v>
      </c>
      <c r="B3" s="850"/>
      <c r="C3" s="850"/>
      <c r="D3" s="850"/>
      <c r="E3" s="850"/>
      <c r="F3" s="850"/>
      <c r="G3" s="850"/>
      <c r="H3" s="850"/>
      <c r="I3" s="850"/>
      <c r="J3" s="850"/>
      <c r="K3" s="850"/>
      <c r="L3" s="850"/>
      <c r="M3" s="850"/>
      <c r="N3" s="850"/>
      <c r="O3" s="850"/>
      <c r="P3" s="850"/>
      <c r="Q3" s="850"/>
      <c r="R3" s="850"/>
      <c r="S3" s="850"/>
    </row>
    <row r="4" spans="1:19">
      <c r="A4" s="850"/>
      <c r="B4" s="850"/>
      <c r="C4" s="576"/>
      <c r="D4" s="850"/>
      <c r="E4" s="850"/>
      <c r="F4" s="850"/>
      <c r="G4" s="850"/>
      <c r="H4" s="850"/>
      <c r="I4" s="850"/>
      <c r="J4" s="850"/>
      <c r="K4" s="850"/>
      <c r="L4" s="850"/>
      <c r="M4" s="850"/>
      <c r="N4" s="850"/>
      <c r="O4" s="850"/>
      <c r="P4" s="850"/>
      <c r="Q4" s="850"/>
      <c r="R4" s="850"/>
      <c r="S4" s="850"/>
    </row>
    <row r="5" spans="1:19">
      <c r="A5" s="171" t="s">
        <v>2580</v>
      </c>
      <c r="B5" s="171" t="s">
        <v>2581</v>
      </c>
      <c r="C5" s="171" t="s">
        <v>2582</v>
      </c>
      <c r="D5" s="171" t="s">
        <v>2583</v>
      </c>
      <c r="E5" s="171" t="s">
        <v>777</v>
      </c>
      <c r="F5" s="850"/>
      <c r="G5" s="850"/>
      <c r="H5" s="850"/>
      <c r="I5" s="850"/>
      <c r="J5" s="850"/>
      <c r="K5" s="850"/>
      <c r="L5" s="850"/>
      <c r="M5" s="850"/>
      <c r="N5" s="850"/>
      <c r="O5" s="850"/>
      <c r="P5" s="850"/>
      <c r="Q5" s="850"/>
      <c r="R5" s="850"/>
      <c r="S5" s="850"/>
    </row>
    <row r="6" spans="1:19">
      <c r="A6" s="172"/>
      <c r="B6" s="172" t="s">
        <v>676</v>
      </c>
      <c r="C6" s="172" t="s">
        <v>681</v>
      </c>
      <c r="D6" s="172"/>
      <c r="E6" s="172" t="s">
        <v>2584</v>
      </c>
      <c r="F6" s="172"/>
      <c r="G6" s="172"/>
      <c r="H6" s="172"/>
      <c r="I6" s="172"/>
      <c r="J6" s="172"/>
      <c r="K6" s="172"/>
      <c r="L6" s="172"/>
      <c r="M6" s="172"/>
      <c r="N6" s="172"/>
      <c r="O6" s="172"/>
      <c r="P6" s="172"/>
      <c r="Q6" s="172"/>
      <c r="R6" s="172"/>
      <c r="S6" s="172"/>
    </row>
    <row r="7" spans="1:19">
      <c r="A7" s="850" t="s">
        <v>2585</v>
      </c>
      <c r="B7" s="850" t="s">
        <v>676</v>
      </c>
      <c r="C7" s="576" t="s">
        <v>2586</v>
      </c>
      <c r="D7" s="850"/>
      <c r="E7" s="850"/>
      <c r="F7" s="850"/>
      <c r="G7" s="850"/>
      <c r="H7" s="850"/>
      <c r="I7" s="850"/>
      <c r="J7" s="850"/>
      <c r="K7" s="850"/>
      <c r="L7" s="850"/>
      <c r="M7" s="850"/>
      <c r="N7" s="850"/>
      <c r="O7" s="850"/>
      <c r="P7" s="850"/>
      <c r="Q7" s="850"/>
      <c r="R7" s="850"/>
      <c r="S7" s="850"/>
    </row>
    <row r="8" spans="1:19" ht="25.5">
      <c r="A8" s="850" t="s">
        <v>2585</v>
      </c>
      <c r="B8" s="850" t="s">
        <v>676</v>
      </c>
      <c r="C8" s="576" t="s">
        <v>2586</v>
      </c>
      <c r="D8" s="850"/>
      <c r="E8" s="850"/>
      <c r="F8" s="545" t="s">
        <v>2587</v>
      </c>
      <c r="G8" s="550" t="s">
        <v>2588</v>
      </c>
      <c r="H8" s="850"/>
      <c r="I8" s="850"/>
      <c r="J8" s="850"/>
      <c r="K8" s="850"/>
      <c r="L8" s="850"/>
      <c r="M8" s="850"/>
      <c r="N8" s="850"/>
      <c r="O8" s="850"/>
      <c r="P8" s="850"/>
      <c r="Q8" s="850"/>
      <c r="R8" s="850"/>
      <c r="S8" s="850"/>
    </row>
    <row r="9" spans="1:19">
      <c r="A9" s="850" t="s">
        <v>2585</v>
      </c>
      <c r="B9" s="850" t="s">
        <v>676</v>
      </c>
      <c r="C9" s="576" t="s">
        <v>2586</v>
      </c>
      <c r="D9" s="850"/>
      <c r="E9" s="850" t="s">
        <v>2589</v>
      </c>
      <c r="F9" s="1035">
        <f>'A4.N2FS Singles'!F9</f>
        <v>0.52173091858794096</v>
      </c>
      <c r="G9" s="1036">
        <f>'A4.N2FS Singles'!G9</f>
        <v>0.52170000000000005</v>
      </c>
      <c r="H9" s="850"/>
      <c r="I9" s="850"/>
      <c r="J9" s="850"/>
      <c r="K9" s="850"/>
      <c r="L9" s="850"/>
      <c r="M9" s="850"/>
      <c r="N9" s="850"/>
      <c r="O9" s="850"/>
      <c r="P9" s="850"/>
      <c r="Q9" s="850"/>
      <c r="R9" s="850"/>
      <c r="S9" s="850"/>
    </row>
    <row r="10" spans="1:19">
      <c r="A10" s="850" t="s">
        <v>2585</v>
      </c>
      <c r="B10" s="850" t="s">
        <v>676</v>
      </c>
      <c r="C10" s="576" t="s">
        <v>2586</v>
      </c>
      <c r="D10" s="850"/>
      <c r="E10" s="850" t="s">
        <v>2590</v>
      </c>
      <c r="F10" s="1035">
        <f>'A4.N2FS Singles'!F10</f>
        <v>0.47826908141205904</v>
      </c>
      <c r="G10" s="1036">
        <f>'A4.N2FS Singles'!G10</f>
        <v>0.4783</v>
      </c>
      <c r="H10" s="850"/>
      <c r="I10" s="850"/>
      <c r="J10" s="850"/>
      <c r="K10" s="850"/>
      <c r="L10" s="850"/>
      <c r="M10" s="850"/>
      <c r="N10" s="850"/>
      <c r="O10" s="850"/>
      <c r="P10" s="850"/>
      <c r="Q10" s="850"/>
      <c r="R10" s="850"/>
      <c r="S10" s="850"/>
    </row>
    <row r="11" spans="1:19">
      <c r="A11" s="850" t="s">
        <v>2585</v>
      </c>
      <c r="B11" s="850" t="s">
        <v>676</v>
      </c>
      <c r="C11" s="576" t="s">
        <v>2586</v>
      </c>
      <c r="D11" s="850"/>
      <c r="E11" s="850"/>
      <c r="F11" s="850"/>
      <c r="G11" s="850"/>
      <c r="H11" s="850"/>
      <c r="I11" s="850"/>
      <c r="J11" s="850"/>
      <c r="K11" s="850"/>
      <c r="L11" s="850"/>
      <c r="M11" s="850"/>
      <c r="N11" s="850"/>
      <c r="O11" s="850"/>
      <c r="P11" s="850"/>
      <c r="Q11" s="850"/>
      <c r="R11" s="850"/>
      <c r="S11" s="850"/>
    </row>
    <row r="12" spans="1:19" ht="25.5">
      <c r="A12" s="850" t="s">
        <v>2585</v>
      </c>
      <c r="B12" s="850" t="s">
        <v>676</v>
      </c>
      <c r="C12" s="576" t="s">
        <v>2586</v>
      </c>
      <c r="D12" s="850"/>
      <c r="E12" s="850"/>
      <c r="F12" s="545" t="s">
        <v>2587</v>
      </c>
      <c r="G12" s="550" t="s">
        <v>2588</v>
      </c>
      <c r="H12" s="850"/>
      <c r="I12" s="850"/>
      <c r="J12" s="850"/>
      <c r="K12" s="850"/>
      <c r="L12" s="850"/>
      <c r="M12" s="850"/>
      <c r="N12" s="850"/>
      <c r="O12" s="850"/>
      <c r="P12" s="850"/>
      <c r="Q12" s="850"/>
      <c r="R12" s="850"/>
      <c r="S12" s="850"/>
    </row>
    <row r="13" spans="1:19">
      <c r="A13" s="850" t="s">
        <v>2585</v>
      </c>
      <c r="B13" s="850" t="s">
        <v>676</v>
      </c>
      <c r="C13" s="576" t="s">
        <v>2586</v>
      </c>
      <c r="D13" s="850"/>
      <c r="E13" s="850" t="s">
        <v>2591</v>
      </c>
      <c r="F13" s="952">
        <f>'A4.N2FS Singles'!F13</f>
        <v>200000000</v>
      </c>
      <c r="G13" s="1037">
        <f>'A4.N2FS Singles'!G13</f>
        <v>200000000</v>
      </c>
      <c r="H13" s="850"/>
      <c r="I13" s="850"/>
      <c r="J13" s="850"/>
      <c r="K13" s="850"/>
      <c r="L13" s="850"/>
      <c r="M13" s="850"/>
      <c r="N13" s="850"/>
      <c r="O13" s="850"/>
      <c r="P13" s="850"/>
      <c r="Q13" s="850"/>
      <c r="R13" s="850"/>
      <c r="S13" s="850"/>
    </row>
    <row r="14" spans="1:19">
      <c r="A14" s="850" t="s">
        <v>2585</v>
      </c>
      <c r="B14" s="850" t="s">
        <v>676</v>
      </c>
      <c r="C14" s="576" t="s">
        <v>2586</v>
      </c>
      <c r="D14" s="850"/>
      <c r="E14" s="850" t="s">
        <v>2592</v>
      </c>
      <c r="F14" s="952">
        <f>'A4.N2FS Singles'!F14</f>
        <v>134641110000</v>
      </c>
      <c r="G14" s="1037">
        <f>'A4.N2FS Singles'!G14</f>
        <v>134641110000</v>
      </c>
      <c r="H14" s="850"/>
      <c r="I14" s="850"/>
      <c r="J14" s="850"/>
      <c r="K14" s="850"/>
      <c r="L14" s="850"/>
      <c r="M14" s="850"/>
      <c r="N14" s="850"/>
      <c r="O14" s="850"/>
      <c r="P14" s="850"/>
      <c r="Q14" s="850"/>
      <c r="R14" s="850"/>
      <c r="S14" s="850"/>
    </row>
    <row r="15" spans="1:19">
      <c r="A15" s="850" t="s">
        <v>2585</v>
      </c>
      <c r="B15" s="850" t="s">
        <v>676</v>
      </c>
      <c r="C15" s="576" t="s">
        <v>2586</v>
      </c>
      <c r="D15" s="850"/>
      <c r="E15" s="850" t="s">
        <v>2593</v>
      </c>
      <c r="F15" s="952">
        <f>'A4.N2FS Singles'!F15</f>
        <v>38</v>
      </c>
      <c r="G15" s="1037">
        <f>'A4.N2FS Singles'!G15</f>
        <v>112</v>
      </c>
      <c r="H15" s="850"/>
      <c r="I15" s="850"/>
      <c r="J15" s="850"/>
      <c r="K15" s="850"/>
      <c r="L15" s="850"/>
      <c r="M15" s="850"/>
      <c r="N15" s="850"/>
      <c r="O15" s="850"/>
      <c r="P15" s="850"/>
      <c r="Q15" s="850"/>
      <c r="R15" s="850"/>
      <c r="S15" s="850"/>
    </row>
    <row r="16" spans="1:19">
      <c r="A16" s="850" t="s">
        <v>2585</v>
      </c>
      <c r="B16" s="850" t="s">
        <v>676</v>
      </c>
      <c r="C16" s="576" t="s">
        <v>2586</v>
      </c>
      <c r="D16" s="850"/>
      <c r="E16" s="850"/>
      <c r="F16" s="850"/>
      <c r="G16" s="850"/>
      <c r="H16" s="850"/>
      <c r="I16" s="850"/>
      <c r="J16" s="850"/>
      <c r="K16" s="850"/>
      <c r="L16" s="850"/>
      <c r="M16" s="850"/>
      <c r="N16" s="850"/>
      <c r="O16" s="850"/>
      <c r="P16" s="850"/>
      <c r="Q16" s="850"/>
      <c r="R16" s="850"/>
      <c r="S16" s="850"/>
    </row>
    <row r="17" spans="1:19" ht="25.5">
      <c r="A17" s="850" t="s">
        <v>2585</v>
      </c>
      <c r="B17" s="850" t="s">
        <v>676</v>
      </c>
      <c r="C17" s="576" t="s">
        <v>2586</v>
      </c>
      <c r="D17" s="850"/>
      <c r="E17" s="850"/>
      <c r="F17" s="545" t="s">
        <v>2587</v>
      </c>
      <c r="G17" s="545" t="s">
        <v>2594</v>
      </c>
      <c r="H17" s="550" t="s">
        <v>2588</v>
      </c>
      <c r="I17" s="550" t="s">
        <v>2594</v>
      </c>
      <c r="J17" s="850"/>
      <c r="K17" s="850"/>
      <c r="L17" s="850"/>
      <c r="M17" s="850"/>
      <c r="N17" s="850"/>
      <c r="O17" s="850"/>
      <c r="P17" s="850"/>
      <c r="Q17" s="850"/>
      <c r="R17" s="850"/>
      <c r="S17" s="850"/>
    </row>
    <row r="18" spans="1:19">
      <c r="A18" s="850" t="s">
        <v>2585</v>
      </c>
      <c r="B18" s="850" t="s">
        <v>676</v>
      </c>
      <c r="C18" s="576" t="s">
        <v>2586</v>
      </c>
      <c r="D18" s="850"/>
      <c r="E18" s="1" t="s">
        <v>2595</v>
      </c>
      <c r="F18" s="909"/>
      <c r="G18" s="909"/>
      <c r="H18" s="910"/>
      <c r="I18" s="910"/>
      <c r="J18" s="850"/>
      <c r="K18" s="850"/>
      <c r="L18" s="850"/>
      <c r="M18" s="850"/>
      <c r="N18" s="850"/>
      <c r="O18" s="850"/>
      <c r="P18" s="850"/>
      <c r="Q18" s="850"/>
      <c r="R18" s="850"/>
      <c r="S18" s="850"/>
    </row>
    <row r="19" spans="1:19">
      <c r="A19" s="850" t="s">
        <v>2585</v>
      </c>
      <c r="B19" s="850" t="s">
        <v>676</v>
      </c>
      <c r="C19" s="576" t="s">
        <v>2586</v>
      </c>
      <c r="D19" s="850"/>
      <c r="E19" s="850" t="s">
        <v>2596</v>
      </c>
      <c r="F19" s="951">
        <f>'A4.N2FS Singles'!F19</f>
        <v>440000000000</v>
      </c>
      <c r="G19" s="1035">
        <f>'A4.N2FS Singles'!G19</f>
        <v>1</v>
      </c>
      <c r="H19" s="938">
        <f>'A4.N2FS Singles'!H19</f>
        <v>440000000000</v>
      </c>
      <c r="I19" s="1038">
        <f>'A4.N2FS Singles'!I19</f>
        <v>1</v>
      </c>
      <c r="J19" s="850"/>
      <c r="K19" s="850"/>
      <c r="L19" s="850"/>
      <c r="M19" s="850"/>
      <c r="N19" s="850"/>
      <c r="O19" s="850"/>
      <c r="P19" s="850"/>
      <c r="Q19" s="850"/>
      <c r="R19" s="850"/>
      <c r="S19" s="850"/>
    </row>
    <row r="20" spans="1:19">
      <c r="A20" s="850" t="s">
        <v>2585</v>
      </c>
      <c r="B20" s="850" t="s">
        <v>676</v>
      </c>
      <c r="C20" s="576" t="s">
        <v>2586</v>
      </c>
      <c r="D20" s="850"/>
      <c r="E20" s="850" t="s">
        <v>2597</v>
      </c>
      <c r="F20" s="951">
        <f>'A4.N2FS Singles'!F20</f>
        <v>20000000</v>
      </c>
      <c r="G20" s="1035">
        <f>'A4.N2FS Singles'!G20</f>
        <v>0.75</v>
      </c>
      <c r="H20" s="938">
        <f>'A4.N2FS Singles'!H20</f>
        <v>20000000</v>
      </c>
      <c r="I20" s="1038">
        <f>'A4.N2FS Singles'!I20</f>
        <v>0.75</v>
      </c>
      <c r="J20" s="850"/>
      <c r="K20" s="850"/>
      <c r="L20" s="850"/>
      <c r="M20" s="850"/>
      <c r="N20" s="850"/>
      <c r="O20" s="850"/>
      <c r="P20" s="850"/>
      <c r="Q20" s="850"/>
      <c r="R20" s="850"/>
      <c r="S20" s="850"/>
    </row>
    <row r="21" spans="1:19">
      <c r="A21" s="850" t="s">
        <v>2585</v>
      </c>
      <c r="B21" s="850" t="s">
        <v>676</v>
      </c>
      <c r="C21" s="576" t="s">
        <v>2586</v>
      </c>
      <c r="D21" s="850"/>
      <c r="E21" s="1" t="s">
        <v>2598</v>
      </c>
      <c r="F21" s="909"/>
      <c r="G21" s="909"/>
      <c r="H21" s="910"/>
      <c r="I21" s="910"/>
      <c r="J21" s="850"/>
      <c r="K21" s="850"/>
      <c r="L21" s="850"/>
      <c r="M21" s="850"/>
      <c r="N21" s="850"/>
      <c r="O21" s="850"/>
      <c r="P21" s="850"/>
      <c r="Q21" s="850"/>
      <c r="R21" s="850"/>
      <c r="S21" s="850"/>
    </row>
    <row r="22" spans="1:19">
      <c r="A22" s="850" t="s">
        <v>2585</v>
      </c>
      <c r="B22" s="850" t="s">
        <v>676</v>
      </c>
      <c r="C22" s="576" t="s">
        <v>2586</v>
      </c>
      <c r="D22" s="850"/>
      <c r="E22" s="850" t="s">
        <v>2599</v>
      </c>
      <c r="F22" s="952">
        <f>'A4.N2FS Singles'!F22</f>
        <v>558599980000</v>
      </c>
      <c r="G22" s="1035">
        <f>'A4.N2FS Singles'!G22</f>
        <v>0.9949409235567821</v>
      </c>
      <c r="H22" s="938">
        <f>'A4.N2FS Singles'!H22</f>
        <v>553473980000</v>
      </c>
      <c r="I22" s="1038">
        <f>'A4.N2FS Singles'!I22</f>
        <v>0.99080000000000001</v>
      </c>
      <c r="J22" s="850"/>
      <c r="K22" s="850"/>
      <c r="L22" s="850"/>
      <c r="M22" s="850"/>
      <c r="N22" s="850"/>
      <c r="O22" s="850"/>
      <c r="P22" s="850"/>
      <c r="Q22" s="850"/>
      <c r="R22" s="850"/>
      <c r="S22" s="850"/>
    </row>
    <row r="23" spans="1:19">
      <c r="A23" s="850" t="s">
        <v>2585</v>
      </c>
      <c r="B23" s="850" t="s">
        <v>676</v>
      </c>
      <c r="C23" s="576" t="s">
        <v>2586</v>
      </c>
      <c r="D23" s="850"/>
      <c r="E23" s="850" t="s">
        <v>2600</v>
      </c>
      <c r="F23" s="952">
        <f>'A4.N2FS Singles'!F23</f>
        <v>4898000000</v>
      </c>
      <c r="G23" s="1035">
        <f>'A4.N2FS Singles'!G23</f>
        <v>0.99959183669999996</v>
      </c>
      <c r="H23" s="938">
        <f>'A4.N2FS Singles'!H23</f>
        <v>2498000000</v>
      </c>
      <c r="I23" s="1038">
        <f>'A4.N2FS Singles'!I23</f>
        <v>0.99919999999999998</v>
      </c>
      <c r="J23" s="850"/>
      <c r="K23" s="850"/>
      <c r="L23" s="850"/>
      <c r="M23" s="850"/>
      <c r="N23" s="850"/>
      <c r="O23" s="850"/>
      <c r="P23" s="850"/>
      <c r="Q23" s="850"/>
      <c r="R23" s="850"/>
      <c r="S23" s="850"/>
    </row>
    <row r="24" spans="1:19">
      <c r="A24" s="850" t="s">
        <v>2585</v>
      </c>
      <c r="B24" s="850" t="s">
        <v>676</v>
      </c>
      <c r="C24" s="576" t="s">
        <v>2586</v>
      </c>
      <c r="D24" s="850"/>
      <c r="E24" s="850"/>
      <c r="F24" s="850"/>
      <c r="G24" s="850"/>
      <c r="H24" s="850"/>
      <c r="I24" s="850"/>
      <c r="J24" s="850"/>
      <c r="K24" s="850"/>
      <c r="L24" s="850"/>
      <c r="M24" s="850"/>
      <c r="N24" s="850"/>
      <c r="O24" s="850"/>
      <c r="P24" s="850"/>
      <c r="Q24" s="850"/>
      <c r="R24" s="850"/>
      <c r="S24" s="850"/>
    </row>
    <row r="25" spans="1:19">
      <c r="A25" s="850"/>
      <c r="B25" s="850"/>
      <c r="C25" s="850"/>
      <c r="D25" s="850"/>
      <c r="E25" s="850"/>
      <c r="F25" s="850"/>
      <c r="G25" s="850"/>
      <c r="H25" s="850"/>
      <c r="I25" s="850"/>
      <c r="J25" s="850"/>
      <c r="K25" s="850"/>
      <c r="L25" s="850"/>
      <c r="M25" s="850"/>
      <c r="N25" s="850"/>
      <c r="O25" s="850"/>
      <c r="P25" s="850"/>
      <c r="Q25" s="850"/>
      <c r="R25" s="850"/>
      <c r="S25" s="850"/>
    </row>
    <row r="26" spans="1:19">
      <c r="A26" s="172"/>
      <c r="B26" s="172" t="s">
        <v>675</v>
      </c>
      <c r="C26" s="172" t="s">
        <v>681</v>
      </c>
      <c r="D26" s="172"/>
      <c r="E26" s="172" t="s">
        <v>2601</v>
      </c>
      <c r="F26" s="172"/>
      <c r="G26" s="172"/>
      <c r="H26" s="172"/>
      <c r="I26" s="172"/>
      <c r="J26" s="172"/>
      <c r="K26" s="172"/>
      <c r="L26" s="172"/>
      <c r="M26" s="172"/>
      <c r="N26" s="172"/>
      <c r="O26" s="172"/>
      <c r="P26" s="172"/>
      <c r="Q26" s="172"/>
      <c r="R26" s="172"/>
      <c r="S26" s="172"/>
    </row>
    <row r="27" spans="1:19">
      <c r="A27" s="850" t="s">
        <v>2602</v>
      </c>
      <c r="B27" s="850" t="s">
        <v>675</v>
      </c>
      <c r="C27" s="576" t="s">
        <v>2586</v>
      </c>
      <c r="D27" s="850"/>
      <c r="E27" s="850"/>
      <c r="F27" s="850"/>
      <c r="G27" s="850"/>
      <c r="H27" s="850"/>
      <c r="I27" s="850"/>
      <c r="J27" s="850"/>
      <c r="K27" s="850"/>
      <c r="L27" s="850"/>
      <c r="M27" s="850"/>
      <c r="N27" s="850"/>
      <c r="O27" s="850"/>
      <c r="P27" s="850"/>
      <c r="Q27" s="850"/>
      <c r="R27" s="850"/>
      <c r="S27" s="850"/>
    </row>
    <row r="28" spans="1:19">
      <c r="A28" s="850" t="s">
        <v>2602</v>
      </c>
      <c r="B28" s="850" t="s">
        <v>675</v>
      </c>
      <c r="C28" s="576" t="s">
        <v>2586</v>
      </c>
      <c r="D28" s="850"/>
      <c r="E28" s="850"/>
      <c r="F28" s="850"/>
      <c r="G28" s="850"/>
      <c r="H28" s="850"/>
      <c r="I28" s="850"/>
      <c r="J28" s="850"/>
      <c r="K28" s="850"/>
      <c r="L28" s="850"/>
      <c r="M28" s="850"/>
      <c r="N28" s="850"/>
      <c r="O28" s="850"/>
      <c r="P28" s="850"/>
      <c r="Q28" s="850"/>
      <c r="R28" s="850"/>
      <c r="S28" s="850"/>
    </row>
    <row r="29" spans="1:19" ht="25.5">
      <c r="A29" s="850" t="s">
        <v>2602</v>
      </c>
      <c r="B29" s="850" t="s">
        <v>675</v>
      </c>
      <c r="C29" s="576" t="s">
        <v>2586</v>
      </c>
      <c r="D29" s="850"/>
      <c r="E29" s="850"/>
      <c r="F29" s="545" t="s">
        <v>2587</v>
      </c>
      <c r="G29" s="550" t="s">
        <v>2588</v>
      </c>
      <c r="H29" s="850"/>
      <c r="I29" s="850"/>
      <c r="J29" s="850"/>
      <c r="K29" s="850"/>
      <c r="L29" s="850"/>
      <c r="M29" s="850"/>
      <c r="N29" s="850"/>
      <c r="O29" s="850"/>
      <c r="P29" s="850"/>
      <c r="Q29" s="850"/>
      <c r="R29" s="850"/>
      <c r="S29" s="850"/>
    </row>
    <row r="30" spans="1:19">
      <c r="A30" s="850" t="s">
        <v>2602</v>
      </c>
      <c r="B30" s="850" t="s">
        <v>675</v>
      </c>
      <c r="C30" s="576" t="s">
        <v>2586</v>
      </c>
      <c r="D30" s="859" t="s">
        <v>2186</v>
      </c>
      <c r="E30" s="850" t="s">
        <v>2603</v>
      </c>
      <c r="F30" s="952">
        <f>ROUND(SUMIFS('A0.LS'!AX:AX,'A0.LS'!C:C,'A4.N2FS Consol'!D30),0)</f>
        <v>104794</v>
      </c>
      <c r="G30" s="938">
        <v>5045205</v>
      </c>
      <c r="H30" s="850"/>
      <c r="I30" s="850"/>
      <c r="J30" s="850"/>
      <c r="K30" s="850"/>
      <c r="L30" s="850"/>
      <c r="M30" s="850"/>
      <c r="N30" s="850"/>
      <c r="O30" s="850"/>
      <c r="P30" s="850"/>
      <c r="Q30" s="850"/>
      <c r="R30" s="850"/>
      <c r="S30" s="850"/>
    </row>
    <row r="31" spans="1:19">
      <c r="A31" s="850" t="s">
        <v>2602</v>
      </c>
      <c r="B31" s="850" t="s">
        <v>675</v>
      </c>
      <c r="C31" s="576" t="s">
        <v>2586</v>
      </c>
      <c r="D31" s="859" t="s">
        <v>2191</v>
      </c>
      <c r="E31" s="850" t="s">
        <v>2604</v>
      </c>
      <c r="F31" s="952">
        <f>ROUND(SUMIFS('A0.LS'!AX:AX,'A0.LS'!C:C,'A4.N2FS Consol'!D31),0)</f>
        <v>61961152791</v>
      </c>
      <c r="G31" s="938">
        <v>69036445327</v>
      </c>
      <c r="H31" s="850"/>
      <c r="I31" s="850"/>
      <c r="J31" s="850"/>
      <c r="K31" s="850"/>
      <c r="L31" s="850"/>
      <c r="M31" s="850"/>
      <c r="N31" s="850"/>
      <c r="O31" s="850"/>
      <c r="P31" s="850"/>
      <c r="Q31" s="850"/>
      <c r="R31" s="850"/>
      <c r="S31" s="850"/>
    </row>
    <row r="32" spans="1:19">
      <c r="A32" s="850" t="s">
        <v>2602</v>
      </c>
      <c r="B32" s="850" t="s">
        <v>675</v>
      </c>
      <c r="C32" s="576" t="s">
        <v>2586</v>
      </c>
      <c r="D32" s="859" t="s">
        <v>2196</v>
      </c>
      <c r="E32" s="850" t="s">
        <v>21</v>
      </c>
      <c r="F32" s="952">
        <f>ROUND(SUMIFS('A0.LS'!AX:AX,'A0.LS'!C:C,'A4.N2FS Consol'!D32),0)</f>
        <v>0</v>
      </c>
      <c r="G32" s="938">
        <v>0</v>
      </c>
      <c r="H32" s="850"/>
      <c r="I32" s="850"/>
      <c r="J32" s="850"/>
      <c r="K32" s="850"/>
      <c r="L32" s="850"/>
      <c r="M32" s="850"/>
      <c r="N32" s="850"/>
      <c r="O32" s="850"/>
      <c r="P32" s="850"/>
      <c r="Q32" s="850"/>
      <c r="R32" s="850"/>
      <c r="S32" s="850"/>
    </row>
    <row r="33" spans="1:19">
      <c r="A33" s="850" t="s">
        <v>2602</v>
      </c>
      <c r="B33" s="850" t="s">
        <v>675</v>
      </c>
      <c r="C33" s="576" t="s">
        <v>2586</v>
      </c>
      <c r="D33" s="859" t="s">
        <v>2200</v>
      </c>
      <c r="E33" s="850" t="s">
        <v>2201</v>
      </c>
      <c r="F33" s="952">
        <f>ROUND(SUMIFS('A0.LS'!AX:AX,'A0.LS'!C:C,'A4.N2FS Consol'!D33),0)</f>
        <v>38757506032</v>
      </c>
      <c r="G33" s="938">
        <v>17332654488</v>
      </c>
      <c r="H33" s="850"/>
      <c r="I33" s="850"/>
      <c r="J33" s="850"/>
      <c r="K33" s="850"/>
      <c r="L33" s="850"/>
      <c r="M33" s="850"/>
      <c r="N33" s="850"/>
      <c r="O33" s="850"/>
      <c r="P33" s="850"/>
      <c r="Q33" s="850"/>
      <c r="R33" s="850"/>
      <c r="S33" s="850"/>
    </row>
    <row r="34" spans="1:19" ht="13.5" thickBot="1">
      <c r="A34" s="850" t="s">
        <v>2602</v>
      </c>
      <c r="B34" s="850" t="s">
        <v>675</v>
      </c>
      <c r="C34" s="576" t="s">
        <v>2586</v>
      </c>
      <c r="D34" s="850"/>
      <c r="E34" s="850"/>
      <c r="F34" s="1543">
        <f>SUM(F30:F33)</f>
        <v>100718763617</v>
      </c>
      <c r="G34" s="1544">
        <f>SUM(G30:G33)</f>
        <v>86374145020</v>
      </c>
      <c r="H34" s="850"/>
      <c r="I34" s="850"/>
      <c r="J34" s="850"/>
      <c r="K34" s="850"/>
      <c r="L34" s="850"/>
      <c r="M34" s="850"/>
      <c r="N34" s="850"/>
      <c r="O34" s="850"/>
      <c r="P34" s="850"/>
      <c r="Q34" s="850"/>
      <c r="R34" s="850"/>
      <c r="S34" s="850"/>
    </row>
    <row r="35" spans="1:19" ht="13.5" thickTop="1">
      <c r="A35" s="850" t="s">
        <v>2602</v>
      </c>
      <c r="B35" s="850" t="s">
        <v>675</v>
      </c>
      <c r="C35" s="576" t="s">
        <v>2586</v>
      </c>
      <c r="D35" s="850"/>
      <c r="E35" s="850"/>
      <c r="F35" s="850"/>
      <c r="G35" s="850"/>
      <c r="H35" s="850"/>
      <c r="I35" s="850"/>
      <c r="J35" s="850"/>
      <c r="K35" s="850"/>
      <c r="L35" s="850"/>
      <c r="M35" s="850"/>
      <c r="N35" s="850"/>
      <c r="O35" s="850"/>
      <c r="P35" s="850"/>
      <c r="Q35" s="850"/>
      <c r="R35" s="850"/>
      <c r="S35" s="850"/>
    </row>
    <row r="36" spans="1:19">
      <c r="A36" s="850" t="s">
        <v>2602</v>
      </c>
      <c r="B36" s="850" t="s">
        <v>675</v>
      </c>
      <c r="C36" s="576" t="s">
        <v>2586</v>
      </c>
      <c r="D36" s="850"/>
      <c r="E36" s="1" t="s">
        <v>1970</v>
      </c>
      <c r="F36" s="857">
        <f>F34-'A1.BS'!R9</f>
        <v>0</v>
      </c>
      <c r="G36" s="857">
        <f>G34-'A1.BS'!V9</f>
        <v>0</v>
      </c>
      <c r="H36" s="850"/>
      <c r="I36" s="850"/>
      <c r="J36" s="850"/>
      <c r="K36" s="850"/>
      <c r="L36" s="850"/>
      <c r="M36" s="850"/>
      <c r="N36" s="850"/>
      <c r="O36" s="850"/>
      <c r="P36" s="850"/>
      <c r="Q36" s="850"/>
      <c r="R36" s="850"/>
      <c r="S36" s="850"/>
    </row>
    <row r="37" spans="1:19">
      <c r="A37" s="850" t="s">
        <v>2602</v>
      </c>
      <c r="B37" s="850" t="s">
        <v>675</v>
      </c>
      <c r="C37" s="576" t="s">
        <v>2586</v>
      </c>
      <c r="D37" s="850"/>
      <c r="E37" s="850"/>
      <c r="F37" s="850"/>
      <c r="G37" s="850"/>
      <c r="H37" s="850"/>
      <c r="I37" s="850"/>
      <c r="J37" s="850"/>
      <c r="K37" s="850"/>
      <c r="L37" s="850"/>
      <c r="M37" s="850"/>
      <c r="N37" s="850"/>
      <c r="O37" s="850"/>
      <c r="P37" s="850"/>
      <c r="Q37" s="850"/>
      <c r="R37" s="850"/>
      <c r="S37" s="850"/>
    </row>
    <row r="38" spans="1:19">
      <c r="A38" s="850" t="s">
        <v>2602</v>
      </c>
      <c r="B38" s="850" t="s">
        <v>675</v>
      </c>
      <c r="C38" s="576" t="s">
        <v>2586</v>
      </c>
      <c r="D38" s="850"/>
      <c r="E38" s="850"/>
      <c r="F38" s="546">
        <v>45657</v>
      </c>
      <c r="G38" s="547"/>
      <c r="H38" s="551">
        <v>45291</v>
      </c>
      <c r="I38" s="552"/>
      <c r="J38" s="850"/>
      <c r="K38" s="850"/>
      <c r="L38" s="850"/>
      <c r="M38" s="850"/>
      <c r="N38" s="850"/>
      <c r="O38" s="850"/>
      <c r="P38" s="850"/>
      <c r="Q38" s="850"/>
      <c r="R38" s="850"/>
      <c r="S38" s="850"/>
    </row>
    <row r="39" spans="1:19">
      <c r="A39" s="850" t="s">
        <v>2602</v>
      </c>
      <c r="B39" s="850" t="s">
        <v>675</v>
      </c>
      <c r="C39" s="576" t="s">
        <v>2586</v>
      </c>
      <c r="D39" s="850"/>
      <c r="E39" s="850"/>
      <c r="F39" s="548" t="s">
        <v>2605</v>
      </c>
      <c r="G39" s="548" t="s">
        <v>2606</v>
      </c>
      <c r="H39" s="553" t="s">
        <v>2605</v>
      </c>
      <c r="I39" s="553" t="s">
        <v>2606</v>
      </c>
      <c r="J39" s="850"/>
      <c r="K39" s="850"/>
      <c r="L39" s="850"/>
      <c r="M39" s="850"/>
      <c r="N39" s="850"/>
      <c r="O39" s="850"/>
      <c r="P39" s="850"/>
      <c r="Q39" s="850"/>
      <c r="R39" s="850"/>
      <c r="S39" s="850"/>
    </row>
    <row r="40" spans="1:19">
      <c r="A40" s="850" t="s">
        <v>2602</v>
      </c>
      <c r="B40" s="850" t="s">
        <v>675</v>
      </c>
      <c r="C40" s="576" t="s">
        <v>2586</v>
      </c>
      <c r="D40" s="850"/>
      <c r="E40" s="1" t="s">
        <v>2201</v>
      </c>
      <c r="F40" s="1039" t="s">
        <v>2607</v>
      </c>
      <c r="G40" s="1040">
        <f>'A4.N2FS Singles'!G39</f>
        <v>4.1500000000000002E-2</v>
      </c>
      <c r="H40" s="910" t="s">
        <v>2608</v>
      </c>
      <c r="I40" s="1038">
        <f>'A4.N2FS Singles'!I39</f>
        <v>3.95E-2</v>
      </c>
      <c r="J40" s="850"/>
      <c r="K40" s="850"/>
      <c r="L40" s="850"/>
      <c r="M40" s="850"/>
      <c r="N40" s="850"/>
      <c r="O40" s="850"/>
      <c r="P40" s="850"/>
      <c r="Q40" s="850"/>
      <c r="R40" s="850"/>
      <c r="S40" s="850"/>
    </row>
    <row r="41" spans="1:19">
      <c r="A41" s="850" t="s">
        <v>2602</v>
      </c>
      <c r="B41" s="850" t="s">
        <v>675</v>
      </c>
      <c r="C41" s="576" t="s">
        <v>2586</v>
      </c>
      <c r="D41" s="850"/>
      <c r="E41" s="850"/>
      <c r="F41" s="850"/>
      <c r="G41" s="850"/>
      <c r="H41" s="850"/>
      <c r="I41" s="850"/>
      <c r="J41" s="850"/>
      <c r="K41" s="850"/>
      <c r="L41" s="850"/>
      <c r="M41" s="850"/>
      <c r="N41" s="850"/>
      <c r="O41" s="850"/>
      <c r="P41" s="850"/>
      <c r="Q41" s="850"/>
      <c r="R41" s="850"/>
      <c r="S41" s="850"/>
    </row>
    <row r="42" spans="1:19">
      <c r="A42" s="172"/>
      <c r="B42" s="172" t="s">
        <v>675</v>
      </c>
      <c r="C42" s="172" t="s">
        <v>681</v>
      </c>
      <c r="D42" s="172"/>
      <c r="E42" s="172" t="s">
        <v>2609</v>
      </c>
      <c r="F42" s="172"/>
      <c r="G42" s="172"/>
      <c r="H42" s="172"/>
      <c r="I42" s="172"/>
      <c r="J42" s="172"/>
      <c r="K42" s="172"/>
      <c r="L42" s="172"/>
      <c r="M42" s="172"/>
      <c r="N42" s="172"/>
      <c r="O42" s="172"/>
      <c r="P42" s="172"/>
      <c r="Q42" s="172"/>
      <c r="R42" s="172"/>
      <c r="S42" s="172"/>
    </row>
    <row r="43" spans="1:19">
      <c r="A43" s="850"/>
      <c r="B43" s="850"/>
      <c r="C43" s="850"/>
      <c r="D43" s="850"/>
      <c r="E43" s="850"/>
      <c r="F43" s="850"/>
      <c r="G43" s="850"/>
      <c r="H43" s="850"/>
      <c r="I43" s="850"/>
      <c r="J43" s="850"/>
      <c r="K43" s="850"/>
      <c r="L43" s="850"/>
      <c r="M43" s="850"/>
      <c r="N43" s="850"/>
      <c r="O43" s="850"/>
      <c r="P43" s="850"/>
      <c r="Q43" s="850"/>
      <c r="R43" s="850"/>
      <c r="S43" s="850"/>
    </row>
    <row r="44" spans="1:19">
      <c r="A44" s="172"/>
      <c r="B44" s="172" t="s">
        <v>675</v>
      </c>
      <c r="C44" s="172" t="s">
        <v>681</v>
      </c>
      <c r="D44" s="172"/>
      <c r="E44" s="172" t="s">
        <v>2610</v>
      </c>
      <c r="F44" s="172"/>
      <c r="G44" s="172"/>
      <c r="H44" s="172"/>
      <c r="I44" s="172"/>
      <c r="J44" s="172"/>
      <c r="K44" s="172"/>
      <c r="L44" s="172"/>
      <c r="M44" s="172"/>
      <c r="N44" s="172"/>
      <c r="O44" s="172"/>
      <c r="P44" s="172"/>
      <c r="Q44" s="172"/>
      <c r="R44" s="172"/>
      <c r="S44" s="172"/>
    </row>
    <row r="45" spans="1:19">
      <c r="A45" s="850" t="s">
        <v>2611</v>
      </c>
      <c r="B45" s="850" t="s">
        <v>675</v>
      </c>
      <c r="C45" s="576" t="s">
        <v>2586</v>
      </c>
      <c r="D45" s="850"/>
      <c r="E45" s="850"/>
      <c r="F45" s="850"/>
      <c r="G45" s="850"/>
      <c r="H45" s="850"/>
      <c r="I45" s="850"/>
      <c r="J45" s="850"/>
      <c r="K45" s="850"/>
      <c r="L45" s="850"/>
      <c r="M45" s="850"/>
      <c r="N45" s="850"/>
      <c r="O45" s="850"/>
      <c r="P45" s="850"/>
      <c r="Q45" s="850"/>
      <c r="R45" s="850"/>
      <c r="S45" s="850"/>
    </row>
    <row r="46" spans="1:19">
      <c r="A46" s="850" t="s">
        <v>2611</v>
      </c>
      <c r="B46" s="850" t="s">
        <v>675</v>
      </c>
      <c r="C46" s="576" t="s">
        <v>2586</v>
      </c>
      <c r="D46" s="850"/>
      <c r="E46" s="850"/>
      <c r="F46" s="546">
        <v>45657</v>
      </c>
      <c r="G46" s="547"/>
      <c r="H46" s="547"/>
      <c r="I46" s="551">
        <v>45291</v>
      </c>
      <c r="J46" s="552"/>
      <c r="K46" s="552"/>
      <c r="L46" s="850"/>
      <c r="M46" s="850"/>
      <c r="N46" s="850"/>
      <c r="O46" s="850"/>
      <c r="P46" s="850"/>
      <c r="Q46" s="850"/>
      <c r="R46" s="850"/>
      <c r="S46" s="850"/>
    </row>
    <row r="47" spans="1:19" ht="25.5" customHeight="1">
      <c r="A47" s="850" t="s">
        <v>2611</v>
      </c>
      <c r="B47" s="850" t="s">
        <v>675</v>
      </c>
      <c r="C47" s="576" t="s">
        <v>2586</v>
      </c>
      <c r="D47" s="850"/>
      <c r="E47" s="850"/>
      <c r="F47" s="549" t="s">
        <v>2612</v>
      </c>
      <c r="G47" s="549" t="s">
        <v>2613</v>
      </c>
      <c r="H47" s="549" t="s">
        <v>2614</v>
      </c>
      <c r="I47" s="554" t="s">
        <v>2612</v>
      </c>
      <c r="J47" s="554" t="s">
        <v>2613</v>
      </c>
      <c r="K47" s="554" t="s">
        <v>2614</v>
      </c>
      <c r="L47" s="850"/>
      <c r="M47" s="1041"/>
      <c r="N47" s="1658" t="s">
        <v>2615</v>
      </c>
      <c r="O47" s="1658"/>
      <c r="P47" s="850"/>
      <c r="Q47" s="850"/>
      <c r="R47" s="850"/>
      <c r="S47" s="850"/>
    </row>
    <row r="48" spans="1:19">
      <c r="A48" s="850" t="s">
        <v>2611</v>
      </c>
      <c r="B48" s="850" t="s">
        <v>675</v>
      </c>
      <c r="C48" s="576" t="s">
        <v>2586</v>
      </c>
      <c r="D48" s="859" t="s">
        <v>2205</v>
      </c>
      <c r="E48" s="850" t="s">
        <v>28</v>
      </c>
      <c r="F48" s="952">
        <f>ROUND(SUMIFS('A0.LS'!AX:AX,'A0.LS'!C:C,D48),0)</f>
        <v>41523831221</v>
      </c>
      <c r="G48" s="952">
        <f>'A4.N2FS Singles'!G47</f>
        <v>40938769494</v>
      </c>
      <c r="H48" s="951">
        <f>'A4.N2FS Singles'!H47</f>
        <v>127484513</v>
      </c>
      <c r="I48" s="938">
        <f>ROUND(SUMIFS('A0.LS'!BR:BR,'A0.LS'!C:C,D48),0)</f>
        <v>67464686475</v>
      </c>
      <c r="J48" s="938">
        <v>70617321428</v>
      </c>
      <c r="K48" s="1042">
        <v>184373354</v>
      </c>
      <c r="L48" s="850"/>
      <c r="M48" s="1041"/>
      <c r="N48" s="776" t="s">
        <v>2616</v>
      </c>
      <c r="O48" s="776" t="s">
        <v>2617</v>
      </c>
      <c r="P48" s="850"/>
      <c r="Q48" s="850"/>
      <c r="R48" s="850"/>
      <c r="S48" s="850"/>
    </row>
    <row r="49" spans="1:17">
      <c r="A49" s="850" t="s">
        <v>2611</v>
      </c>
      <c r="B49" s="850" t="s">
        <v>675</v>
      </c>
      <c r="C49" s="576" t="s">
        <v>2586</v>
      </c>
      <c r="D49" s="859"/>
      <c r="E49" s="850" t="s">
        <v>2618</v>
      </c>
      <c r="F49" s="952">
        <f>'A4.N2FS Singles'!F48+'A5.Consol FY24'!L100+'A5.Consol FY24'!L213</f>
        <v>223414429693</v>
      </c>
      <c r="G49" s="952">
        <f>'A4.N2FS Singles'!G48+'TB VNSC FY24'!I90</f>
        <v>249226067793</v>
      </c>
      <c r="H49" s="951">
        <f>'A4.N2FS Singles'!H49</f>
        <v>0</v>
      </c>
      <c r="I49" s="938">
        <f>I62</f>
        <v>231291094031</v>
      </c>
      <c r="J49" s="938">
        <f>J62</f>
        <v>237213077972</v>
      </c>
      <c r="K49" s="938">
        <v>0</v>
      </c>
      <c r="L49" s="899"/>
      <c r="M49" s="1043" t="s">
        <v>2619</v>
      </c>
      <c r="N49" s="1514">
        <f>SUM(N51:N54)</f>
        <v>91497148615</v>
      </c>
      <c r="O49" s="1514">
        <f>SUM(O51:O54)</f>
        <v>91157534691.021713</v>
      </c>
      <c r="P49" s="850"/>
      <c r="Q49" s="848"/>
    </row>
    <row r="50" spans="1:17">
      <c r="A50" s="850"/>
      <c r="B50" s="850"/>
      <c r="C50" s="576"/>
      <c r="D50" s="859" t="s">
        <v>2208</v>
      </c>
      <c r="E50" s="850" t="s">
        <v>30</v>
      </c>
      <c r="F50" s="952">
        <f>ROUND(SUMIFS('A0.LS'!AX:AX,'A0.LS'!C:C,D50),0)</f>
        <v>859369280829</v>
      </c>
      <c r="G50" s="952">
        <f>'A4.N2FS Singles'!G49+'A4.N2FS Consol'!O60</f>
        <v>861924388028.02173</v>
      </c>
      <c r="H50" s="951">
        <v>0</v>
      </c>
      <c r="I50" s="938">
        <v>478649382862</v>
      </c>
      <c r="J50" s="938">
        <f>I50</f>
        <v>478649382862</v>
      </c>
      <c r="K50" s="938">
        <v>0</v>
      </c>
      <c r="L50" s="899"/>
      <c r="M50" s="1043"/>
      <c r="N50" s="1514"/>
      <c r="O50" s="1514"/>
      <c r="P50" s="850"/>
      <c r="Q50" s="848"/>
    </row>
    <row r="51" spans="1:17">
      <c r="A51" s="850" t="s">
        <v>2611</v>
      </c>
      <c r="B51" s="850" t="s">
        <v>675</v>
      </c>
      <c r="C51" s="576" t="s">
        <v>2586</v>
      </c>
      <c r="D51" s="859" t="s">
        <v>2210</v>
      </c>
      <c r="E51" s="850" t="s">
        <v>2620</v>
      </c>
      <c r="F51" s="952">
        <f>'A4.N2FS Singles'!F50+'A0.LS'!AH24</f>
        <v>197112054765</v>
      </c>
      <c r="G51" s="952">
        <f>'A4.N2FS Singles'!G50+'A0.LS'!AH24</f>
        <v>197112054765</v>
      </c>
      <c r="H51" s="951">
        <f>'A4.N2FS Singles'!H50</f>
        <v>0</v>
      </c>
      <c r="I51" s="938">
        <f>ROUND(SUMIFS('A0.LS'!BR:BR,'A0.LS'!C:C,D51),0)-I62</f>
        <v>658232913979</v>
      </c>
      <c r="J51" s="938">
        <v>658232913970</v>
      </c>
      <c r="K51" s="938">
        <v>0</v>
      </c>
      <c r="L51" s="899"/>
      <c r="M51" s="777" t="s">
        <v>2621</v>
      </c>
      <c r="N51" s="1515">
        <v>0</v>
      </c>
      <c r="O51" s="1515">
        <v>0</v>
      </c>
      <c r="P51" s="850"/>
      <c r="Q51" s="850"/>
    </row>
    <row r="52" spans="1:17" ht="13.5" thickBot="1">
      <c r="A52" s="850" t="s">
        <v>2611</v>
      </c>
      <c r="B52" s="850" t="s">
        <v>675</v>
      </c>
      <c r="C52" s="576" t="s">
        <v>2586</v>
      </c>
      <c r="D52" s="850"/>
      <c r="E52" s="850"/>
      <c r="F52" s="1545">
        <f>SUM(F48:F51)</f>
        <v>1321419596508</v>
      </c>
      <c r="G52" s="1545">
        <f t="shared" ref="G52:K52" si="0">SUM(G48:G51)</f>
        <v>1349201280080.0217</v>
      </c>
      <c r="H52" s="1545">
        <f>SUM(H48:H51)</f>
        <v>127484513</v>
      </c>
      <c r="I52" s="1546">
        <f t="shared" si="0"/>
        <v>1435638077347</v>
      </c>
      <c r="J52" s="1546">
        <f>SUM(J48:J51)</f>
        <v>1444712696232</v>
      </c>
      <c r="K52" s="1546">
        <f t="shared" si="0"/>
        <v>184373354</v>
      </c>
      <c r="L52" s="899"/>
      <c r="M52" s="777" t="s">
        <v>2622</v>
      </c>
      <c r="N52" s="1515">
        <v>0</v>
      </c>
      <c r="O52" s="1515">
        <v>0</v>
      </c>
      <c r="P52" s="850"/>
      <c r="Q52" s="850"/>
    </row>
    <row r="53" spans="1:17" ht="13.5" thickTop="1">
      <c r="A53" s="850" t="s">
        <v>2611</v>
      </c>
      <c r="B53" s="850" t="s">
        <v>675</v>
      </c>
      <c r="C53" s="576" t="s">
        <v>2586</v>
      </c>
      <c r="D53" s="850"/>
      <c r="E53" s="850"/>
      <c r="F53" s="857"/>
      <c r="G53" s="857"/>
      <c r="H53" s="850"/>
      <c r="I53" s="850"/>
      <c r="J53" s="850"/>
      <c r="K53" s="850"/>
      <c r="L53" s="850"/>
      <c r="M53" s="777" t="s">
        <v>2623</v>
      </c>
      <c r="N53" s="1515">
        <v>40722028615</v>
      </c>
      <c r="O53" s="1515">
        <v>40237968742.19178</v>
      </c>
      <c r="P53" s="850"/>
      <c r="Q53" s="850"/>
    </row>
    <row r="54" spans="1:17">
      <c r="A54" s="850" t="s">
        <v>2611</v>
      </c>
      <c r="B54" s="850" t="s">
        <v>675</v>
      </c>
      <c r="C54" s="576" t="s">
        <v>2586</v>
      </c>
      <c r="D54" s="850"/>
      <c r="E54" s="1" t="s">
        <v>1970</v>
      </c>
      <c r="F54" s="857">
        <f>F52-'A1.BS'!R14</f>
        <v>0</v>
      </c>
      <c r="G54" s="857"/>
      <c r="H54" s="857">
        <f>H52+'A1.BS'!R15</f>
        <v>0</v>
      </c>
      <c r="I54" s="857">
        <f>I52-'A1.BS'!V14</f>
        <v>0</v>
      </c>
      <c r="J54" s="850"/>
      <c r="K54" s="857">
        <f>K52+'A1.BS'!V15</f>
        <v>0</v>
      </c>
      <c r="L54" s="850"/>
      <c r="M54" s="777" t="s">
        <v>2624</v>
      </c>
      <c r="N54" s="1515">
        <v>50775120000</v>
      </c>
      <c r="O54" s="1515">
        <v>50919565948.829933</v>
      </c>
      <c r="P54" s="850"/>
      <c r="Q54" s="850"/>
    </row>
    <row r="55" spans="1:17">
      <c r="A55" s="850" t="s">
        <v>2611</v>
      </c>
      <c r="B55" s="850" t="s">
        <v>675</v>
      </c>
      <c r="C55" s="576" t="s">
        <v>2586</v>
      </c>
      <c r="D55" s="850"/>
      <c r="E55" s="850"/>
      <c r="F55" s="857"/>
      <c r="G55" s="857"/>
      <c r="H55" s="850"/>
      <c r="I55" s="850"/>
      <c r="J55" s="850"/>
      <c r="K55" s="850"/>
      <c r="L55" s="850"/>
      <c r="M55" s="1043" t="s">
        <v>2625</v>
      </c>
      <c r="N55" s="1514">
        <f>N56+N57</f>
        <v>50000000000</v>
      </c>
      <c r="O55" s="1514">
        <f>O56+O57</f>
        <v>50000000000</v>
      </c>
      <c r="P55" s="850"/>
      <c r="Q55" s="850"/>
    </row>
    <row r="56" spans="1:17">
      <c r="A56" s="850" t="s">
        <v>2611</v>
      </c>
      <c r="B56" s="850" t="s">
        <v>675</v>
      </c>
      <c r="C56" s="576" t="s">
        <v>2586</v>
      </c>
      <c r="D56" s="850"/>
      <c r="E56" s="850" t="s">
        <v>2626</v>
      </c>
      <c r="F56" s="850"/>
      <c r="G56" s="850"/>
      <c r="H56" s="850"/>
      <c r="I56" s="850"/>
      <c r="J56" s="850"/>
      <c r="K56" s="850"/>
      <c r="L56" s="850"/>
      <c r="M56" s="777" t="s">
        <v>2627</v>
      </c>
      <c r="N56" s="1515">
        <v>0</v>
      </c>
      <c r="O56" s="1515">
        <v>0</v>
      </c>
      <c r="P56" s="850"/>
      <c r="Q56" s="850"/>
    </row>
    <row r="57" spans="1:17">
      <c r="A57" s="850" t="s">
        <v>2611</v>
      </c>
      <c r="B57" s="850" t="s">
        <v>675</v>
      </c>
      <c r="C57" s="576" t="s">
        <v>2586</v>
      </c>
      <c r="D57" s="850"/>
      <c r="E57" s="850"/>
      <c r="F57" s="850"/>
      <c r="G57" s="850"/>
      <c r="H57" s="850"/>
      <c r="I57" s="850"/>
      <c r="J57" s="850"/>
      <c r="K57" s="850"/>
      <c r="L57" s="850"/>
      <c r="M57" s="777" t="s">
        <v>2628</v>
      </c>
      <c r="N57" s="1515">
        <v>50000000000</v>
      </c>
      <c r="O57" s="1515">
        <v>50000000000</v>
      </c>
      <c r="P57" s="850"/>
      <c r="Q57" s="850"/>
    </row>
    <row r="58" spans="1:17">
      <c r="A58" s="850" t="s">
        <v>2611</v>
      </c>
      <c r="B58" s="850" t="s">
        <v>675</v>
      </c>
      <c r="C58" s="576" t="s">
        <v>2586</v>
      </c>
      <c r="D58" s="850"/>
      <c r="E58" s="850"/>
      <c r="F58" s="546">
        <v>45657</v>
      </c>
      <c r="G58" s="547"/>
      <c r="H58" s="547"/>
      <c r="I58" s="551">
        <v>45291</v>
      </c>
      <c r="J58" s="552"/>
      <c r="K58" s="552"/>
      <c r="L58" s="850"/>
      <c r="M58" s="777"/>
      <c r="N58" s="1515"/>
      <c r="O58" s="1515"/>
      <c r="P58" s="850"/>
      <c r="Q58" s="850"/>
    </row>
    <row r="59" spans="1:17" ht="25.5">
      <c r="A59" s="850" t="s">
        <v>2611</v>
      </c>
      <c r="B59" s="850" t="s">
        <v>675</v>
      </c>
      <c r="C59" s="576" t="s">
        <v>2586</v>
      </c>
      <c r="D59" s="850"/>
      <c r="E59" s="850"/>
      <c r="F59" s="549" t="s">
        <v>2612</v>
      </c>
      <c r="G59" s="549" t="s">
        <v>2613</v>
      </c>
      <c r="H59" s="549" t="s">
        <v>2629</v>
      </c>
      <c r="I59" s="554" t="s">
        <v>2612</v>
      </c>
      <c r="J59" s="554" t="s">
        <v>2613</v>
      </c>
      <c r="K59" s="554" t="s">
        <v>2629</v>
      </c>
      <c r="L59" s="850"/>
      <c r="M59" s="1043" t="s">
        <v>2630</v>
      </c>
      <c r="N59" s="1514">
        <v>0</v>
      </c>
      <c r="O59" s="1514">
        <v>0</v>
      </c>
      <c r="P59" s="850"/>
      <c r="Q59" s="850"/>
    </row>
    <row r="60" spans="1:17">
      <c r="A60" s="850" t="s">
        <v>2611</v>
      </c>
      <c r="B60" s="850" t="s">
        <v>675</v>
      </c>
      <c r="C60" s="576" t="s">
        <v>2586</v>
      </c>
      <c r="D60" s="850"/>
      <c r="E60" s="850" t="s">
        <v>28</v>
      </c>
      <c r="F60" s="952">
        <f>'A4.N2FS Singles'!F57</f>
        <v>41448319830.981041</v>
      </c>
      <c r="G60" s="952">
        <f>'A4.N2FS Singles'!G57</f>
        <v>40864322043</v>
      </c>
      <c r="H60" s="952">
        <f>'A4.N2FS Singles'!H57</f>
        <v>-583997788</v>
      </c>
      <c r="I60" s="938">
        <f>'A4.N2FS Singles'!I57</f>
        <v>66843543296</v>
      </c>
      <c r="J60" s="938">
        <f>'A4.N2FS Singles'!J57</f>
        <v>69996178240</v>
      </c>
      <c r="K60" s="1042">
        <f>'A4.N2FS Singles'!K57</f>
        <v>3152634944</v>
      </c>
      <c r="L60" s="850"/>
      <c r="M60" s="1043" t="s">
        <v>628</v>
      </c>
      <c r="N60" s="1514">
        <f>N49+N55</f>
        <v>141497148615</v>
      </c>
      <c r="O60" s="1514">
        <f>O49+O55</f>
        <v>141157534691.02173</v>
      </c>
      <c r="P60" s="850"/>
      <c r="Q60" s="850"/>
    </row>
    <row r="61" spans="1:17" hidden="1">
      <c r="A61" s="850" t="s">
        <v>2611</v>
      </c>
      <c r="B61" s="850" t="s">
        <v>675</v>
      </c>
      <c r="C61" s="576" t="s">
        <v>2586</v>
      </c>
      <c r="D61" s="850"/>
      <c r="E61" s="850" t="s">
        <v>30</v>
      </c>
      <c r="F61" s="952">
        <f>'A4.N2FS Singles'!F58</f>
        <v>0</v>
      </c>
      <c r="G61" s="952">
        <f>'A4.N2FS Singles'!G58</f>
        <v>0</v>
      </c>
      <c r="H61" s="952">
        <f>'A4.N2FS Singles'!H58</f>
        <v>0</v>
      </c>
      <c r="I61" s="938">
        <f>'A4.N2FS Singles'!I58</f>
        <v>0</v>
      </c>
      <c r="J61" s="938">
        <f>'A4.N2FS Singles'!J58</f>
        <v>0</v>
      </c>
      <c r="K61" s="1042">
        <f>'A4.N2FS Singles'!K58</f>
        <v>0</v>
      </c>
      <c r="L61" s="850"/>
      <c r="M61" s="850"/>
      <c r="N61" s="850"/>
      <c r="O61" s="850"/>
      <c r="P61" s="848"/>
      <c r="Q61" s="848"/>
    </row>
    <row r="62" spans="1:17">
      <c r="A62" s="850" t="s">
        <v>2611</v>
      </c>
      <c r="B62" s="850" t="s">
        <v>675</v>
      </c>
      <c r="C62" s="576" t="s">
        <v>2586</v>
      </c>
      <c r="D62" s="850"/>
      <c r="E62" s="850" t="s">
        <v>2618</v>
      </c>
      <c r="F62" s="952">
        <f>'A4.N2FS Singles'!F59</f>
        <v>111842509354.28503</v>
      </c>
      <c r="G62" s="952">
        <f>'A4.N2FS Singles'!G59</f>
        <v>137785027275.26608</v>
      </c>
      <c r="H62" s="952">
        <f>'A4.N2FS Singles'!H59</f>
        <v>25942517921</v>
      </c>
      <c r="I62" s="938">
        <f>'A4.N2FS Singles'!I59</f>
        <v>231291094031</v>
      </c>
      <c r="J62" s="938">
        <f>'A4.N2FS Singles'!J59</f>
        <v>237213077972</v>
      </c>
      <c r="K62" s="1042">
        <f>'A4.N2FS Singles'!K59</f>
        <v>5921983941</v>
      </c>
      <c r="L62" s="850"/>
      <c r="M62" s="850"/>
      <c r="N62" s="850"/>
      <c r="O62" s="850"/>
      <c r="P62" s="848"/>
      <c r="Q62" s="848"/>
    </row>
    <row r="63" spans="1:17" hidden="1">
      <c r="A63" s="850" t="s">
        <v>2611</v>
      </c>
      <c r="B63" s="850" t="s">
        <v>675</v>
      </c>
      <c r="C63" s="576" t="s">
        <v>2586</v>
      </c>
      <c r="D63" s="850"/>
      <c r="E63" s="850" t="s">
        <v>2630</v>
      </c>
      <c r="F63" s="952">
        <f>'A4.N2FS Singles'!F60</f>
        <v>0</v>
      </c>
      <c r="G63" s="952">
        <f>'A4.N2FS Singles'!G60</f>
        <v>0</v>
      </c>
      <c r="H63" s="952">
        <f>'A4.N2FS Singles'!H60</f>
        <v>0</v>
      </c>
      <c r="I63" s="938">
        <f>'A4.N2FS Singles'!I60</f>
        <v>0</v>
      </c>
      <c r="J63" s="938">
        <f>'A4.N2FS Singles'!J60</f>
        <v>0</v>
      </c>
      <c r="K63" s="1042">
        <f>'A4.N2FS Singles'!K60</f>
        <v>0</v>
      </c>
      <c r="L63" s="850"/>
      <c r="M63" s="850"/>
      <c r="N63" s="850"/>
      <c r="O63" s="850"/>
      <c r="P63" s="850"/>
      <c r="Q63" s="850"/>
    </row>
    <row r="64" spans="1:17" ht="13.5" thickBot="1">
      <c r="A64" s="850" t="s">
        <v>2611</v>
      </c>
      <c r="B64" s="850" t="s">
        <v>675</v>
      </c>
      <c r="C64" s="576" t="s">
        <v>2586</v>
      </c>
      <c r="D64" s="850"/>
      <c r="E64" s="850"/>
      <c r="F64" s="1545">
        <f t="shared" ref="F64:K64" si="1">SUM(F60:F63)</f>
        <v>153290829185.26608</v>
      </c>
      <c r="G64" s="1545">
        <f t="shared" si="1"/>
        <v>178649349318.26608</v>
      </c>
      <c r="H64" s="1545">
        <f t="shared" si="1"/>
        <v>25358520133</v>
      </c>
      <c r="I64" s="1546">
        <f t="shared" si="1"/>
        <v>298134637327</v>
      </c>
      <c r="J64" s="1546">
        <f t="shared" si="1"/>
        <v>307209256212</v>
      </c>
      <c r="K64" s="1546">
        <f t="shared" si="1"/>
        <v>9074618885</v>
      </c>
      <c r="L64" s="850"/>
      <c r="M64" s="850"/>
      <c r="N64" s="850"/>
      <c r="O64" s="850"/>
      <c r="P64" s="850"/>
      <c r="Q64" s="850"/>
    </row>
    <row r="65" spans="1:19" ht="13.5" thickTop="1">
      <c r="A65" s="850" t="s">
        <v>2611</v>
      </c>
      <c r="B65" s="850" t="s">
        <v>675</v>
      </c>
      <c r="C65" s="576" t="s">
        <v>2586</v>
      </c>
      <c r="D65" s="850"/>
      <c r="E65" s="1" t="s">
        <v>1970</v>
      </c>
      <c r="F65" s="371"/>
      <c r="G65" s="857"/>
      <c r="H65" s="371">
        <f>H64-G70</f>
        <v>0</v>
      </c>
      <c r="I65" s="371"/>
      <c r="J65" s="857"/>
      <c r="K65" s="371">
        <f>K64+G373</f>
        <v>9074618886</v>
      </c>
      <c r="L65" s="850"/>
      <c r="M65" s="850"/>
      <c r="N65" s="850"/>
      <c r="O65" s="850"/>
      <c r="P65" s="850"/>
      <c r="Q65" s="850"/>
      <c r="R65" s="850"/>
      <c r="S65" s="850"/>
    </row>
    <row r="66" spans="1:19">
      <c r="A66" s="850" t="s">
        <v>2611</v>
      </c>
      <c r="B66" s="850" t="s">
        <v>675</v>
      </c>
      <c r="C66" s="576" t="s">
        <v>2586</v>
      </c>
      <c r="D66" s="850"/>
      <c r="E66" s="850"/>
      <c r="F66" s="371"/>
      <c r="G66" s="371"/>
      <c r="H66" s="371"/>
      <c r="I66" s="371"/>
      <c r="J66" s="371"/>
      <c r="K66" s="371"/>
      <c r="L66" s="850"/>
      <c r="M66" s="850"/>
      <c r="N66" s="850"/>
      <c r="O66" s="850"/>
      <c r="P66" s="850"/>
      <c r="Q66" s="850"/>
      <c r="R66" s="850"/>
      <c r="S66" s="850"/>
    </row>
    <row r="67" spans="1:19">
      <c r="A67" s="850" t="s">
        <v>2611</v>
      </c>
      <c r="B67" s="850" t="s">
        <v>675</v>
      </c>
      <c r="C67" s="576" t="s">
        <v>2586</v>
      </c>
      <c r="D67" s="850"/>
      <c r="E67" s="850"/>
      <c r="F67" s="371"/>
      <c r="G67" s="371"/>
      <c r="H67" s="371">
        <f>H52+'A1.BS'!R15</f>
        <v>0</v>
      </c>
      <c r="I67" s="371"/>
      <c r="J67" s="371"/>
      <c r="K67" s="371"/>
      <c r="L67" s="850"/>
      <c r="M67" s="850"/>
      <c r="N67" s="850"/>
      <c r="O67" s="850"/>
      <c r="P67" s="850"/>
      <c r="Q67" s="850"/>
      <c r="R67" s="850"/>
      <c r="S67" s="850"/>
    </row>
    <row r="68" spans="1:19">
      <c r="A68" s="850" t="s">
        <v>2611</v>
      </c>
      <c r="B68" s="850" t="s">
        <v>675</v>
      </c>
      <c r="C68" s="576" t="s">
        <v>2586</v>
      </c>
      <c r="D68" s="850"/>
      <c r="E68" s="1" t="s">
        <v>1970</v>
      </c>
      <c r="F68" s="857">
        <f>F52-'A1.BS'!R14</f>
        <v>0</v>
      </c>
      <c r="G68" s="850"/>
      <c r="H68" s="857">
        <f>H52-F80</f>
        <v>0</v>
      </c>
      <c r="I68" s="848">
        <f>I52-'A1.BS'!V14</f>
        <v>0</v>
      </c>
      <c r="J68" s="850"/>
      <c r="K68" s="857">
        <f>K52+'A1.BS'!V15</f>
        <v>0</v>
      </c>
      <c r="L68" s="850"/>
      <c r="M68" s="850"/>
      <c r="N68" s="850"/>
      <c r="O68" s="850"/>
      <c r="P68" s="850"/>
      <c r="Q68" s="850"/>
      <c r="R68" s="850"/>
      <c r="S68" s="850"/>
    </row>
    <row r="69" spans="1:19">
      <c r="A69" s="850"/>
      <c r="B69" s="850"/>
      <c r="C69" s="576"/>
      <c r="D69" s="850"/>
      <c r="E69" s="1"/>
      <c r="F69" s="1599" t="s">
        <v>1169</v>
      </c>
      <c r="G69" s="1600" t="s">
        <v>2631</v>
      </c>
      <c r="H69" s="1599"/>
      <c r="I69" s="848"/>
      <c r="J69" s="850"/>
      <c r="K69" s="857"/>
      <c r="L69" s="850"/>
      <c r="M69" s="850"/>
      <c r="N69" s="850"/>
      <c r="O69" s="850"/>
      <c r="P69" s="850"/>
      <c r="Q69" s="850"/>
      <c r="R69" s="850"/>
      <c r="S69" s="850"/>
    </row>
    <row r="70" spans="1:19">
      <c r="A70" s="850" t="s">
        <v>2611</v>
      </c>
      <c r="B70" s="850" t="s">
        <v>675</v>
      </c>
      <c r="C70" s="576" t="s">
        <v>2586</v>
      </c>
      <c r="D70" s="850"/>
      <c r="E70" s="360" t="s">
        <v>2632</v>
      </c>
      <c r="F70" s="857">
        <f>G52-F52</f>
        <v>27781683572.021729</v>
      </c>
      <c r="G70" s="857">
        <f>F174</f>
        <v>25358520133</v>
      </c>
      <c r="H70" s="922" t="s">
        <v>2633</v>
      </c>
      <c r="I70" s="848"/>
      <c r="J70" s="857"/>
      <c r="K70" s="857">
        <f>K52-G80</f>
        <v>0</v>
      </c>
      <c r="L70" s="850"/>
      <c r="M70" s="848"/>
      <c r="N70" s="857"/>
      <c r="O70" s="850"/>
      <c r="P70" s="850"/>
      <c r="Q70" s="850"/>
      <c r="R70" s="850"/>
      <c r="S70" s="850"/>
    </row>
    <row r="71" spans="1:19">
      <c r="A71" s="850"/>
      <c r="B71" s="850"/>
      <c r="C71" s="576"/>
      <c r="D71" s="850"/>
      <c r="E71" s="360"/>
      <c r="F71" s="857"/>
      <c r="G71" s="857">
        <f>-('TB VNSC FY24'!I77-'TB VNSC FY24'!I90)</f>
        <v>-1189478000</v>
      </c>
      <c r="H71" s="922" t="s">
        <v>2634</v>
      </c>
      <c r="I71" s="848"/>
      <c r="J71" s="857"/>
      <c r="K71" s="857"/>
      <c r="L71" s="850"/>
      <c r="M71" s="848"/>
      <c r="N71" s="857"/>
      <c r="O71" s="850"/>
      <c r="P71" s="850"/>
      <c r="Q71" s="850"/>
      <c r="R71" s="850"/>
      <c r="S71" s="850"/>
    </row>
    <row r="72" spans="1:19">
      <c r="A72" s="850"/>
      <c r="B72" s="850"/>
      <c r="C72" s="850"/>
      <c r="D72" s="850"/>
      <c r="E72" s="360"/>
      <c r="F72" s="857"/>
      <c r="G72" s="857">
        <f>-(N60-O60)</f>
        <v>-339613923.97827148</v>
      </c>
      <c r="H72" s="922" t="s">
        <v>2635</v>
      </c>
      <c r="I72" s="848"/>
      <c r="J72" s="857"/>
      <c r="K72" s="850"/>
      <c r="L72" s="850"/>
      <c r="M72" s="848"/>
      <c r="N72" s="857"/>
      <c r="O72" s="850"/>
      <c r="P72" s="850"/>
      <c r="Q72" s="850"/>
      <c r="R72" s="850"/>
      <c r="S72" s="850"/>
    </row>
    <row r="73" spans="1:19" ht="13.5" thickBot="1">
      <c r="A73" s="850"/>
      <c r="B73" s="850"/>
      <c r="C73" s="850"/>
      <c r="D73" s="850"/>
      <c r="E73" s="360" t="s">
        <v>2002</v>
      </c>
      <c r="F73" s="1547">
        <f>SUM(F70:F72)</f>
        <v>27781683572.021729</v>
      </c>
      <c r="G73" s="1547">
        <f>SUM(G70:G72)</f>
        <v>23829428209.021729</v>
      </c>
      <c r="H73" s="1548">
        <f>F73-G73</f>
        <v>3952255363</v>
      </c>
      <c r="I73" s="848"/>
      <c r="J73" s="857"/>
      <c r="K73" s="850"/>
      <c r="L73" s="850"/>
      <c r="M73" s="848"/>
      <c r="N73" s="857"/>
      <c r="O73" s="850"/>
      <c r="P73" s="850"/>
      <c r="Q73" s="850"/>
      <c r="R73" s="850"/>
      <c r="S73" s="850"/>
    </row>
    <row r="74" spans="1:19" ht="13.5" thickTop="1">
      <c r="A74" s="172"/>
      <c r="B74" s="172" t="s">
        <v>675</v>
      </c>
      <c r="C74" s="172" t="s">
        <v>681</v>
      </c>
      <c r="D74" s="172"/>
      <c r="E74" s="172" t="s">
        <v>2636</v>
      </c>
      <c r="F74" s="172"/>
      <c r="G74" s="172"/>
      <c r="H74" s="172"/>
      <c r="I74" s="172"/>
      <c r="J74" s="172"/>
      <c r="K74" s="172"/>
      <c r="L74" s="172"/>
      <c r="M74" s="172"/>
      <c r="N74" s="172"/>
      <c r="O74" s="172"/>
      <c r="P74" s="172"/>
      <c r="Q74" s="172"/>
      <c r="R74" s="172"/>
      <c r="S74" s="172"/>
    </row>
    <row r="75" spans="1:19">
      <c r="A75" s="850" t="s">
        <v>2585</v>
      </c>
      <c r="B75" s="850" t="s">
        <v>675</v>
      </c>
      <c r="C75" s="576" t="s">
        <v>2586</v>
      </c>
      <c r="D75" s="850"/>
      <c r="E75" s="850" t="s">
        <v>2637</v>
      </c>
      <c r="F75" s="850"/>
      <c r="G75" s="850"/>
      <c r="H75" s="850"/>
      <c r="I75" s="850"/>
      <c r="J75" s="1017"/>
      <c r="K75" s="850"/>
      <c r="L75" s="850"/>
      <c r="M75" s="850"/>
      <c r="N75" s="850"/>
      <c r="O75" s="850"/>
      <c r="P75" s="850"/>
      <c r="Q75" s="850"/>
      <c r="R75" s="850"/>
      <c r="S75" s="850"/>
    </row>
    <row r="76" spans="1:19" ht="25.5">
      <c r="A76" s="850" t="s">
        <v>2585</v>
      </c>
      <c r="B76" s="850" t="s">
        <v>675</v>
      </c>
      <c r="C76" s="576" t="s">
        <v>2586</v>
      </c>
      <c r="D76" s="850"/>
      <c r="E76" s="850"/>
      <c r="F76" s="545" t="s">
        <v>2638</v>
      </c>
      <c r="G76" s="550" t="s">
        <v>2588</v>
      </c>
      <c r="H76" s="850"/>
      <c r="I76" s="850"/>
      <c r="J76" s="850"/>
      <c r="K76" s="850"/>
      <c r="L76" s="850"/>
      <c r="M76" s="850"/>
      <c r="N76" s="850"/>
      <c r="O76" s="850"/>
      <c r="P76" s="850"/>
      <c r="Q76" s="850"/>
      <c r="R76" s="850"/>
      <c r="S76" s="850"/>
    </row>
    <row r="77" spans="1:19">
      <c r="A77" s="850" t="s">
        <v>2585</v>
      </c>
      <c r="B77" s="850" t="s">
        <v>675</v>
      </c>
      <c r="C77" s="576" t="s">
        <v>2586</v>
      </c>
      <c r="D77" s="850"/>
      <c r="E77" s="1" t="s">
        <v>2639</v>
      </c>
      <c r="F77" s="951">
        <f>G80</f>
        <v>184373354</v>
      </c>
      <c r="G77" s="938">
        <v>34113193</v>
      </c>
      <c r="H77" s="850"/>
      <c r="I77" s="850"/>
      <c r="J77" s="850"/>
      <c r="K77" s="850"/>
      <c r="L77" s="850"/>
      <c r="M77" s="850"/>
      <c r="N77" s="850"/>
      <c r="O77" s="850"/>
      <c r="P77" s="850"/>
      <c r="Q77" s="850"/>
      <c r="R77" s="850"/>
      <c r="S77" s="850"/>
    </row>
    <row r="78" spans="1:19">
      <c r="A78" s="850" t="s">
        <v>2585</v>
      </c>
      <c r="B78" s="850" t="s">
        <v>675</v>
      </c>
      <c r="C78" s="576" t="s">
        <v>2586</v>
      </c>
      <c r="D78" s="850"/>
      <c r="E78" s="850" t="s">
        <v>2640</v>
      </c>
      <c r="F78" s="952">
        <v>0</v>
      </c>
      <c r="G78" s="938">
        <v>393000273</v>
      </c>
      <c r="H78" s="850"/>
      <c r="I78" s="850"/>
      <c r="J78" s="850"/>
      <c r="K78" s="850"/>
      <c r="L78" s="850"/>
      <c r="M78" s="850"/>
      <c r="N78" s="850"/>
      <c r="O78" s="850"/>
      <c r="P78" s="850"/>
      <c r="Q78" s="850"/>
      <c r="R78" s="850"/>
      <c r="S78" s="850"/>
    </row>
    <row r="79" spans="1:19">
      <c r="A79" s="850" t="s">
        <v>2585</v>
      </c>
      <c r="B79" s="850" t="s">
        <v>675</v>
      </c>
      <c r="C79" s="576" t="s">
        <v>2586</v>
      </c>
      <c r="D79" s="850"/>
      <c r="E79" s="850" t="s">
        <v>2641</v>
      </c>
      <c r="F79" s="952">
        <f>-56888841</f>
        <v>-56888841</v>
      </c>
      <c r="G79" s="938">
        <v>-242740112</v>
      </c>
      <c r="H79" s="850"/>
      <c r="I79" s="850"/>
      <c r="J79" s="850"/>
      <c r="K79" s="850"/>
      <c r="L79" s="850"/>
      <c r="M79" s="850"/>
      <c r="N79" s="850"/>
      <c r="O79" s="850"/>
      <c r="P79" s="850"/>
      <c r="Q79" s="850"/>
      <c r="R79" s="850"/>
      <c r="S79" s="850"/>
    </row>
    <row r="80" spans="1:19" ht="13.5" thickBot="1">
      <c r="A80" s="850" t="s">
        <v>2585</v>
      </c>
      <c r="B80" s="850" t="s">
        <v>675</v>
      </c>
      <c r="C80" s="576" t="s">
        <v>2586</v>
      </c>
      <c r="D80" s="850"/>
      <c r="E80" s="1" t="s">
        <v>2642</v>
      </c>
      <c r="F80" s="1543">
        <f>SUM(F77:F79)</f>
        <v>127484513</v>
      </c>
      <c r="G80" s="1544">
        <f>SUM(G77:G79)</f>
        <v>184373354</v>
      </c>
      <c r="H80" s="850"/>
      <c r="I80" s="850"/>
      <c r="J80" s="850"/>
      <c r="K80" s="850"/>
      <c r="L80" s="850"/>
      <c r="M80" s="850"/>
      <c r="N80" s="850"/>
      <c r="O80" s="850"/>
      <c r="P80" s="850"/>
      <c r="Q80" s="850"/>
      <c r="R80" s="850"/>
      <c r="S80" s="850"/>
    </row>
    <row r="81" spans="1:19" ht="13.5" thickTop="1">
      <c r="A81" s="850" t="s">
        <v>2585</v>
      </c>
      <c r="B81" s="850" t="s">
        <v>675</v>
      </c>
      <c r="C81" s="576" t="s">
        <v>2586</v>
      </c>
      <c r="D81" s="850"/>
      <c r="E81" s="850"/>
      <c r="F81" s="850"/>
      <c r="G81" s="850"/>
      <c r="H81" s="850"/>
      <c r="I81" s="850"/>
      <c r="J81" s="850"/>
      <c r="K81" s="850"/>
      <c r="L81" s="850"/>
      <c r="M81" s="850"/>
      <c r="N81" s="850"/>
      <c r="O81" s="850"/>
      <c r="P81" s="850"/>
      <c r="Q81" s="850"/>
      <c r="R81" s="850"/>
      <c r="S81" s="850"/>
    </row>
    <row r="82" spans="1:19">
      <c r="A82" s="850" t="s">
        <v>2585</v>
      </c>
      <c r="B82" s="850" t="s">
        <v>675</v>
      </c>
      <c r="C82" s="576" t="s">
        <v>2586</v>
      </c>
      <c r="D82" s="850"/>
      <c r="E82" s="1" t="s">
        <v>1970</v>
      </c>
      <c r="F82" s="370">
        <f>F80+'A1.BS'!R15</f>
        <v>0</v>
      </c>
      <c r="G82" s="857">
        <f>G80+'A1.BS'!V15</f>
        <v>0</v>
      </c>
      <c r="H82" s="850"/>
      <c r="I82" s="850"/>
      <c r="J82" s="850"/>
      <c r="K82" s="850"/>
      <c r="L82" s="850"/>
      <c r="M82" s="850"/>
      <c r="N82" s="850"/>
      <c r="O82" s="850"/>
      <c r="P82" s="850"/>
      <c r="Q82" s="850"/>
      <c r="R82" s="850"/>
      <c r="S82" s="850"/>
    </row>
    <row r="83" spans="1:19">
      <c r="A83" s="850" t="s">
        <v>2585</v>
      </c>
      <c r="B83" s="850" t="s">
        <v>675</v>
      </c>
      <c r="C83" s="576" t="s">
        <v>2586</v>
      </c>
      <c r="D83" s="850"/>
      <c r="E83" s="850"/>
      <c r="F83" s="850"/>
      <c r="G83" s="850"/>
      <c r="H83" s="850"/>
      <c r="I83" s="850"/>
      <c r="J83" s="850"/>
      <c r="K83" s="850"/>
      <c r="L83" s="850"/>
      <c r="M83" s="850"/>
      <c r="N83" s="850"/>
      <c r="O83" s="850"/>
      <c r="P83" s="850"/>
      <c r="Q83" s="850"/>
      <c r="R83" s="850"/>
      <c r="S83" s="850"/>
    </row>
    <row r="84" spans="1:19">
      <c r="A84" s="172"/>
      <c r="B84" s="172" t="s">
        <v>675</v>
      </c>
      <c r="C84" s="172" t="s">
        <v>681</v>
      </c>
      <c r="D84" s="172"/>
      <c r="E84" s="172" t="s">
        <v>2643</v>
      </c>
      <c r="F84" s="172"/>
      <c r="G84" s="172"/>
      <c r="H84" s="172"/>
      <c r="I84" s="172"/>
      <c r="J84" s="172"/>
      <c r="K84" s="172"/>
      <c r="L84" s="172"/>
      <c r="M84" s="172"/>
      <c r="N84" s="172"/>
      <c r="O84" s="172"/>
      <c r="P84" s="172"/>
      <c r="Q84" s="172"/>
      <c r="R84" s="172"/>
      <c r="S84" s="172"/>
    </row>
    <row r="85" spans="1:19">
      <c r="A85" s="850" t="s">
        <v>2602</v>
      </c>
      <c r="B85" s="850" t="s">
        <v>675</v>
      </c>
      <c r="C85" s="576" t="s">
        <v>2586</v>
      </c>
      <c r="D85" s="850"/>
      <c r="E85" s="850"/>
      <c r="F85" s="850"/>
      <c r="G85" s="850"/>
      <c r="H85" s="850"/>
      <c r="I85" s="850"/>
      <c r="J85" s="850"/>
      <c r="K85" s="850"/>
      <c r="L85" s="850"/>
      <c r="M85" s="850"/>
      <c r="N85" s="850"/>
      <c r="O85" s="850"/>
      <c r="P85" s="850"/>
      <c r="Q85" s="850"/>
      <c r="R85" s="850"/>
      <c r="S85" s="850"/>
    </row>
    <row r="86" spans="1:19">
      <c r="A86" s="850" t="s">
        <v>2602</v>
      </c>
      <c r="B86" s="850" t="s">
        <v>675</v>
      </c>
      <c r="C86" s="576" t="s">
        <v>2586</v>
      </c>
      <c r="D86" s="850"/>
      <c r="E86" s="850"/>
      <c r="F86" s="546">
        <v>45657</v>
      </c>
      <c r="G86" s="547"/>
      <c r="H86" s="551">
        <v>45291</v>
      </c>
      <c r="I86" s="552"/>
      <c r="J86" s="850"/>
      <c r="K86" s="850"/>
      <c r="L86" s="850"/>
      <c r="M86" s="850"/>
      <c r="N86" s="850"/>
      <c r="O86" s="850"/>
      <c r="P86" s="850"/>
      <c r="Q86" s="850"/>
      <c r="R86" s="850"/>
      <c r="S86" s="850"/>
    </row>
    <row r="87" spans="1:19">
      <c r="A87" s="850" t="s">
        <v>2602</v>
      </c>
      <c r="B87" s="850" t="s">
        <v>675</v>
      </c>
      <c r="C87" s="576" t="s">
        <v>2586</v>
      </c>
      <c r="D87" s="850"/>
      <c r="E87" s="850"/>
      <c r="F87" s="548" t="s">
        <v>2616</v>
      </c>
      <c r="G87" s="548" t="s">
        <v>2644</v>
      </c>
      <c r="H87" s="553" t="s">
        <v>2616</v>
      </c>
      <c r="I87" s="553" t="s">
        <v>2644</v>
      </c>
      <c r="J87" s="850"/>
      <c r="K87" s="850"/>
      <c r="L87" s="850"/>
      <c r="M87" s="850"/>
      <c r="N87" s="850"/>
      <c r="O87" s="850"/>
      <c r="P87" s="850"/>
      <c r="Q87" s="850"/>
      <c r="R87" s="850"/>
      <c r="S87" s="850"/>
    </row>
    <row r="88" spans="1:19">
      <c r="A88" s="850" t="s">
        <v>2602</v>
      </c>
      <c r="B88" s="850" t="s">
        <v>675</v>
      </c>
      <c r="C88" s="576" t="s">
        <v>2586</v>
      </c>
      <c r="D88" s="850" t="s">
        <v>2219</v>
      </c>
      <c r="E88" s="850" t="s">
        <v>2645</v>
      </c>
      <c r="F88" s="1044">
        <f>ROUND(SUMIFS('A0.LS'!AX:AX,'A0.LS'!C:C,'A4.N2FS Consol'!D88),0)</f>
        <v>115382191780</v>
      </c>
      <c r="G88" s="951">
        <f>F88</f>
        <v>115382191780</v>
      </c>
      <c r="H88" s="1042">
        <f>ROUND(SUMIFS('A0.LS'!BR:BR,'A0.LS'!C:C,'A4.N2FS Consol'!D88),0)</f>
        <v>574472342467</v>
      </c>
      <c r="I88" s="1042">
        <f>H88</f>
        <v>574472342467</v>
      </c>
      <c r="J88" s="850"/>
      <c r="K88" s="850" t="s">
        <v>2646</v>
      </c>
      <c r="L88" s="850"/>
      <c r="M88" s="850"/>
      <c r="N88" s="850"/>
      <c r="O88" s="850"/>
      <c r="P88" s="850"/>
      <c r="Q88" s="850"/>
      <c r="R88" s="850"/>
      <c r="S88" s="850"/>
    </row>
    <row r="89" spans="1:19">
      <c r="A89" s="850" t="s">
        <v>2602</v>
      </c>
      <c r="B89" s="850" t="s">
        <v>675</v>
      </c>
      <c r="C89" s="576" t="s">
        <v>2586</v>
      </c>
      <c r="D89" s="850"/>
      <c r="E89" s="850" t="s">
        <v>2647</v>
      </c>
      <c r="F89" s="1044">
        <f>'TB VNSC FY24'!M102</f>
        <v>93817824970</v>
      </c>
      <c r="G89" s="951">
        <f>F89</f>
        <v>93817824970</v>
      </c>
      <c r="H89" s="1045">
        <v>57051182979</v>
      </c>
      <c r="I89" s="1042">
        <v>57051182979</v>
      </c>
      <c r="J89" s="850"/>
      <c r="K89" s="850" t="s">
        <v>2648</v>
      </c>
      <c r="L89" s="850"/>
      <c r="M89" s="850"/>
      <c r="N89" s="850"/>
      <c r="O89" s="850"/>
      <c r="P89" s="850"/>
      <c r="Q89" s="850"/>
      <c r="R89" s="850"/>
      <c r="S89" s="850"/>
    </row>
    <row r="90" spans="1:19">
      <c r="A90" s="850" t="s">
        <v>2602</v>
      </c>
      <c r="B90" s="850" t="s">
        <v>675</v>
      </c>
      <c r="C90" s="576" t="s">
        <v>2586</v>
      </c>
      <c r="D90" s="850"/>
      <c r="E90" s="850" t="s">
        <v>2649</v>
      </c>
      <c r="F90" s="1044">
        <f>'TB VNSC FY24'!M105</f>
        <v>12016993623</v>
      </c>
      <c r="G90" s="951">
        <f>F90</f>
        <v>12016993623</v>
      </c>
      <c r="H90" s="1045">
        <v>5841633316</v>
      </c>
      <c r="I90" s="1042">
        <v>5841633316</v>
      </c>
      <c r="J90" s="850"/>
      <c r="K90" s="850" t="s">
        <v>2650</v>
      </c>
      <c r="L90" s="850"/>
      <c r="M90" s="850"/>
      <c r="N90" s="850"/>
      <c r="O90" s="850"/>
      <c r="P90" s="850"/>
      <c r="Q90" s="850"/>
      <c r="R90" s="850"/>
      <c r="S90" s="850"/>
    </row>
    <row r="91" spans="1:19" ht="13.5" thickBot="1">
      <c r="A91" s="850" t="s">
        <v>2602</v>
      </c>
      <c r="B91" s="850" t="s">
        <v>675</v>
      </c>
      <c r="C91" s="576" t="s">
        <v>2586</v>
      </c>
      <c r="D91" s="850"/>
      <c r="E91" s="850"/>
      <c r="F91" s="1543">
        <f>SUM(F88:F90)</f>
        <v>221217010373</v>
      </c>
      <c r="G91" s="1543">
        <f t="shared" ref="G91:I91" si="2">SUM(G88:G90)</f>
        <v>221217010373</v>
      </c>
      <c r="H91" s="1544">
        <f t="shared" si="2"/>
        <v>637365158762</v>
      </c>
      <c r="I91" s="1544">
        <f t="shared" si="2"/>
        <v>637365158762</v>
      </c>
      <c r="J91" s="850"/>
      <c r="K91" s="850"/>
      <c r="L91" s="850"/>
      <c r="M91" s="850"/>
      <c r="N91" s="850"/>
      <c r="O91" s="850"/>
      <c r="P91" s="850"/>
      <c r="Q91" s="850"/>
      <c r="R91" s="850"/>
      <c r="S91" s="850"/>
    </row>
    <row r="92" spans="1:19" ht="13.5" thickTop="1">
      <c r="A92" s="850" t="s">
        <v>2602</v>
      </c>
      <c r="B92" s="850" t="s">
        <v>675</v>
      </c>
      <c r="C92" s="576" t="s">
        <v>2586</v>
      </c>
      <c r="D92" s="850"/>
      <c r="E92" s="1" t="s">
        <v>1970</v>
      </c>
      <c r="F92" s="857">
        <f>F91-'A1.BS'!R16</f>
        <v>0</v>
      </c>
      <c r="G92" s="850"/>
      <c r="H92" s="857">
        <f>H91-'A1.BS'!V16</f>
        <v>0</v>
      </c>
      <c r="I92" s="850"/>
      <c r="J92" s="850"/>
      <c r="K92" s="850"/>
      <c r="L92" s="850"/>
      <c r="M92" s="850"/>
      <c r="N92" s="850"/>
      <c r="O92" s="850"/>
      <c r="P92" s="850"/>
      <c r="Q92" s="850"/>
      <c r="R92" s="850"/>
      <c r="S92" s="850"/>
    </row>
    <row r="93" spans="1:19">
      <c r="A93" s="850" t="s">
        <v>2585</v>
      </c>
      <c r="B93" s="850" t="s">
        <v>675</v>
      </c>
      <c r="C93" s="576" t="s">
        <v>2586</v>
      </c>
      <c r="D93" s="850"/>
      <c r="E93" s="850"/>
      <c r="F93" s="850"/>
      <c r="G93" s="850"/>
      <c r="H93" s="850"/>
      <c r="I93" s="850"/>
      <c r="J93" s="850"/>
      <c r="K93" s="850"/>
      <c r="L93" s="850"/>
      <c r="M93" s="850"/>
      <c r="N93" s="850"/>
      <c r="O93" s="850"/>
      <c r="P93" s="850"/>
      <c r="Q93" s="850"/>
      <c r="R93" s="850"/>
      <c r="S93" s="850"/>
    </row>
    <row r="94" spans="1:19">
      <c r="A94" s="850" t="s">
        <v>2585</v>
      </c>
      <c r="B94" s="850" t="s">
        <v>675</v>
      </c>
      <c r="C94" s="576" t="s">
        <v>2586</v>
      </c>
      <c r="D94" s="850"/>
      <c r="E94" s="850"/>
      <c r="F94" s="546">
        <v>45657</v>
      </c>
      <c r="G94" s="547"/>
      <c r="H94" s="551">
        <v>45291</v>
      </c>
      <c r="I94" s="552"/>
      <c r="J94" s="850"/>
      <c r="K94" s="850"/>
      <c r="L94" s="850"/>
      <c r="M94" s="850"/>
      <c r="N94" s="850"/>
      <c r="O94" s="850"/>
      <c r="P94" s="850"/>
      <c r="Q94" s="850"/>
      <c r="R94" s="850"/>
      <c r="S94" s="850"/>
    </row>
    <row r="95" spans="1:19">
      <c r="A95" s="850" t="s">
        <v>2585</v>
      </c>
      <c r="B95" s="850" t="s">
        <v>675</v>
      </c>
      <c r="C95" s="576" t="s">
        <v>2586</v>
      </c>
      <c r="D95" s="850"/>
      <c r="E95" s="850"/>
      <c r="F95" s="548" t="s">
        <v>2605</v>
      </c>
      <c r="G95" s="548" t="s">
        <v>2651</v>
      </c>
      <c r="H95" s="553" t="s">
        <v>2605</v>
      </c>
      <c r="I95" s="553" t="s">
        <v>2606</v>
      </c>
      <c r="J95" s="850"/>
      <c r="K95" s="850"/>
      <c r="L95" s="850"/>
      <c r="M95" s="850"/>
      <c r="N95" s="850"/>
      <c r="O95" s="850"/>
      <c r="P95" s="850"/>
      <c r="Q95" s="850"/>
      <c r="R95" s="850"/>
      <c r="S95" s="850"/>
    </row>
    <row r="96" spans="1:19">
      <c r="A96" s="850" t="s">
        <v>2585</v>
      </c>
      <c r="B96" s="850" t="s">
        <v>675</v>
      </c>
      <c r="C96" s="576" t="s">
        <v>2586</v>
      </c>
      <c r="D96" s="850"/>
      <c r="E96" s="850" t="s">
        <v>2645</v>
      </c>
      <c r="F96" s="909" t="s">
        <v>2652</v>
      </c>
      <c r="G96" s="1039" t="s">
        <v>2653</v>
      </c>
      <c r="H96" s="910" t="s">
        <v>2654</v>
      </c>
      <c r="I96" s="1038">
        <v>0.11600000000000001</v>
      </c>
      <c r="J96" s="850"/>
      <c r="K96" s="850"/>
      <c r="L96" s="850"/>
      <c r="M96" s="850"/>
      <c r="N96" s="850"/>
      <c r="O96" s="850"/>
      <c r="P96" s="850"/>
      <c r="Q96" s="850"/>
      <c r="R96" s="850"/>
      <c r="S96" s="850"/>
    </row>
    <row r="97" spans="1:19">
      <c r="A97" s="850" t="s">
        <v>2585</v>
      </c>
      <c r="B97" s="850" t="s">
        <v>675</v>
      </c>
      <c r="C97" s="576" t="s">
        <v>2586</v>
      </c>
      <c r="D97" s="850"/>
      <c r="E97" s="850" t="s">
        <v>2655</v>
      </c>
      <c r="F97" s="909" t="s">
        <v>2656</v>
      </c>
      <c r="G97" s="1039" t="s">
        <v>2657</v>
      </c>
      <c r="H97" s="1046" t="s">
        <v>2658</v>
      </c>
      <c r="I97" s="1046" t="s">
        <v>2658</v>
      </c>
      <c r="J97" s="850"/>
      <c r="K97" s="850"/>
      <c r="L97" s="850"/>
      <c r="M97" s="850"/>
      <c r="N97" s="850"/>
      <c r="O97" s="850"/>
      <c r="P97" s="850"/>
      <c r="Q97" s="850"/>
      <c r="R97" s="850"/>
      <c r="S97" s="850"/>
    </row>
    <row r="98" spans="1:19">
      <c r="A98" s="850" t="s">
        <v>2585</v>
      </c>
      <c r="B98" s="850" t="s">
        <v>675</v>
      </c>
      <c r="C98" s="576" t="s">
        <v>2586</v>
      </c>
      <c r="D98" s="850"/>
      <c r="E98" s="850" t="s">
        <v>2659</v>
      </c>
      <c r="F98" s="909" t="s">
        <v>2656</v>
      </c>
      <c r="G98" s="1039" t="s">
        <v>2658</v>
      </c>
      <c r="H98" s="1046" t="s">
        <v>2658</v>
      </c>
      <c r="I98" s="1046" t="s">
        <v>2658</v>
      </c>
      <c r="J98" s="850"/>
      <c r="K98" s="850"/>
      <c r="L98" s="850"/>
      <c r="M98" s="850"/>
      <c r="N98" s="850"/>
      <c r="O98" s="850"/>
      <c r="P98" s="850"/>
      <c r="Q98" s="850"/>
      <c r="R98" s="850"/>
      <c r="S98" s="850"/>
    </row>
    <row r="99" spans="1:19">
      <c r="A99" s="860" t="s">
        <v>2585</v>
      </c>
      <c r="B99" s="850" t="s">
        <v>675</v>
      </c>
      <c r="C99" s="576" t="s">
        <v>2586</v>
      </c>
      <c r="D99" s="850"/>
      <c r="E99" s="1014" t="s">
        <v>2660</v>
      </c>
      <c r="F99" s="850" t="s">
        <v>2661</v>
      </c>
      <c r="G99" s="850"/>
      <c r="H99" s="850"/>
      <c r="I99" s="850"/>
      <c r="J99" s="850"/>
      <c r="K99" s="850"/>
      <c r="L99" s="850"/>
      <c r="M99" s="850"/>
      <c r="N99" s="850"/>
      <c r="O99" s="850"/>
      <c r="P99" s="850"/>
      <c r="Q99" s="850"/>
      <c r="R99" s="850"/>
      <c r="S99" s="850"/>
    </row>
    <row r="100" spans="1:19">
      <c r="A100" s="850" t="s">
        <v>2585</v>
      </c>
      <c r="B100" s="850" t="s">
        <v>675</v>
      </c>
      <c r="C100" s="576" t="s">
        <v>2586</v>
      </c>
      <c r="D100" s="850"/>
      <c r="E100" s="899" t="s">
        <v>2662</v>
      </c>
      <c r="F100" s="850" t="s">
        <v>2663</v>
      </c>
      <c r="G100" s="850"/>
      <c r="H100" s="850"/>
      <c r="I100" s="850"/>
      <c r="J100" s="850"/>
      <c r="K100" s="850"/>
      <c r="L100" s="850"/>
      <c r="M100" s="850"/>
      <c r="N100" s="850"/>
      <c r="O100" s="850"/>
      <c r="P100" s="850"/>
      <c r="Q100" s="850"/>
      <c r="R100" s="850"/>
      <c r="S100" s="850"/>
    </row>
    <row r="101" spans="1:19">
      <c r="A101" s="850" t="s">
        <v>2585</v>
      </c>
      <c r="B101" s="850" t="s">
        <v>675</v>
      </c>
      <c r="C101" s="576" t="s">
        <v>2586</v>
      </c>
      <c r="D101" s="850"/>
      <c r="E101" s="850" t="s">
        <v>2664</v>
      </c>
      <c r="F101" s="850"/>
      <c r="G101" s="850"/>
      <c r="H101" s="850"/>
      <c r="I101" s="850"/>
      <c r="J101" s="850"/>
      <c r="K101" s="850"/>
      <c r="L101" s="850"/>
      <c r="M101" s="850"/>
      <c r="N101" s="850"/>
      <c r="O101" s="850"/>
      <c r="P101" s="850"/>
      <c r="Q101" s="850"/>
      <c r="R101" s="850"/>
      <c r="S101" s="850"/>
    </row>
    <row r="102" spans="1:19">
      <c r="A102" s="850" t="s">
        <v>2585</v>
      </c>
      <c r="B102" s="850" t="s">
        <v>675</v>
      </c>
      <c r="C102" s="576" t="s">
        <v>2586</v>
      </c>
      <c r="D102" s="850"/>
      <c r="E102" s="850"/>
      <c r="F102" s="546">
        <v>45657</v>
      </c>
      <c r="G102" s="547"/>
      <c r="H102" s="551">
        <v>45291</v>
      </c>
      <c r="I102" s="552"/>
      <c r="J102" s="850"/>
      <c r="K102" s="850"/>
      <c r="L102" s="850"/>
      <c r="M102" s="850"/>
      <c r="N102" s="850"/>
      <c r="O102" s="850"/>
      <c r="P102" s="850"/>
      <c r="Q102" s="850"/>
      <c r="R102" s="850"/>
      <c r="S102" s="850"/>
    </row>
    <row r="103" spans="1:19" ht="25.5">
      <c r="A103" s="850" t="s">
        <v>2585</v>
      </c>
      <c r="B103" s="850" t="s">
        <v>675</v>
      </c>
      <c r="C103" s="576" t="s">
        <v>2586</v>
      </c>
      <c r="D103" s="850"/>
      <c r="E103" s="850"/>
      <c r="F103" s="549" t="s">
        <v>2665</v>
      </c>
      <c r="G103" s="549" t="s">
        <v>2613</v>
      </c>
      <c r="H103" s="554" t="s">
        <v>2612</v>
      </c>
      <c r="I103" s="554" t="s">
        <v>2613</v>
      </c>
      <c r="J103" s="850"/>
      <c r="K103" s="850"/>
      <c r="L103" s="850"/>
      <c r="M103" s="850"/>
      <c r="N103" s="850"/>
      <c r="O103" s="850"/>
      <c r="P103" s="850"/>
      <c r="Q103" s="850"/>
      <c r="R103" s="850"/>
      <c r="S103" s="850"/>
    </row>
    <row r="104" spans="1:19">
      <c r="A104" s="850" t="s">
        <v>2585</v>
      </c>
      <c r="B104" s="850" t="s">
        <v>675</v>
      </c>
      <c r="C104" s="576" t="s">
        <v>2586</v>
      </c>
      <c r="D104" s="850"/>
      <c r="E104" s="850" t="s">
        <v>2647</v>
      </c>
      <c r="F104" s="1010">
        <f>F89</f>
        <v>93817824970</v>
      </c>
      <c r="G104" s="1516">
        <f>G89</f>
        <v>93817824970</v>
      </c>
      <c r="H104" s="952">
        <v>57051182979</v>
      </c>
      <c r="I104" s="1047">
        <v>57051182979</v>
      </c>
      <c r="J104" s="850"/>
      <c r="K104" s="850"/>
      <c r="L104" s="850"/>
      <c r="M104" s="850"/>
      <c r="N104" s="850"/>
      <c r="O104" s="850"/>
      <c r="P104" s="850"/>
      <c r="Q104" s="850"/>
      <c r="R104" s="850"/>
      <c r="S104" s="850"/>
    </row>
    <row r="105" spans="1:19">
      <c r="A105" s="850" t="s">
        <v>2585</v>
      </c>
      <c r="B105" s="850" t="s">
        <v>675</v>
      </c>
      <c r="C105" s="576" t="s">
        <v>2586</v>
      </c>
      <c r="D105" s="850"/>
      <c r="E105" s="850"/>
      <c r="F105" s="1048"/>
      <c r="G105" s="1048"/>
      <c r="H105" s="1048"/>
      <c r="I105" s="1048"/>
      <c r="J105" s="850"/>
      <c r="K105" s="850"/>
      <c r="L105" s="850"/>
      <c r="M105" s="850"/>
      <c r="N105" s="850"/>
      <c r="O105" s="850"/>
      <c r="P105" s="850"/>
      <c r="Q105" s="850"/>
      <c r="R105" s="850"/>
      <c r="S105" s="850"/>
    </row>
    <row r="106" spans="1:19">
      <c r="A106" s="850" t="s">
        <v>2585</v>
      </c>
      <c r="B106" s="850" t="s">
        <v>675</v>
      </c>
      <c r="C106" s="576" t="s">
        <v>2586</v>
      </c>
      <c r="D106" s="850"/>
      <c r="E106" s="850"/>
      <c r="F106" s="850"/>
      <c r="G106" s="850"/>
      <c r="H106" s="850"/>
      <c r="I106" s="850"/>
      <c r="J106" s="850"/>
      <c r="K106" s="850"/>
      <c r="L106" s="850"/>
      <c r="M106" s="850"/>
      <c r="N106" s="850"/>
      <c r="O106" s="850"/>
      <c r="P106" s="850"/>
      <c r="Q106" s="850"/>
      <c r="R106" s="850"/>
      <c r="S106" s="850"/>
    </row>
    <row r="107" spans="1:19">
      <c r="A107" s="172"/>
      <c r="B107" s="172" t="s">
        <v>2227</v>
      </c>
      <c r="C107" s="172" t="s">
        <v>681</v>
      </c>
      <c r="D107" s="172"/>
      <c r="E107" s="172" t="s">
        <v>2666</v>
      </c>
      <c r="F107" s="172"/>
      <c r="G107" s="172"/>
      <c r="H107" s="172"/>
      <c r="I107" s="172"/>
      <c r="J107" s="172"/>
      <c r="K107" s="172"/>
      <c r="L107" s="172"/>
      <c r="M107" s="172"/>
      <c r="N107" s="172"/>
      <c r="O107" s="172"/>
      <c r="P107" s="172"/>
      <c r="Q107" s="172"/>
      <c r="R107" s="172"/>
      <c r="S107" s="172"/>
    </row>
    <row r="108" spans="1:19">
      <c r="A108" s="850"/>
      <c r="B108" s="850"/>
      <c r="C108" s="850"/>
      <c r="D108" s="850"/>
      <c r="E108" s="850"/>
      <c r="F108" s="850"/>
      <c r="G108" s="850"/>
      <c r="H108" s="850"/>
      <c r="I108" s="850"/>
      <c r="J108" s="850"/>
      <c r="K108" s="850"/>
      <c r="L108" s="850"/>
      <c r="M108" s="850"/>
      <c r="N108" s="850"/>
      <c r="O108" s="850"/>
      <c r="P108" s="850"/>
      <c r="Q108" s="850"/>
      <c r="R108" s="850"/>
      <c r="S108" s="850"/>
    </row>
    <row r="109" spans="1:19">
      <c r="A109" s="172"/>
      <c r="B109" s="172" t="s">
        <v>2227</v>
      </c>
      <c r="C109" s="172" t="s">
        <v>681</v>
      </c>
      <c r="D109" s="172"/>
      <c r="E109" s="172" t="s">
        <v>2667</v>
      </c>
      <c r="F109" s="172"/>
      <c r="G109" s="172"/>
      <c r="H109" s="172"/>
      <c r="I109" s="172"/>
      <c r="J109" s="172"/>
      <c r="K109" s="172"/>
      <c r="L109" s="172"/>
      <c r="M109" s="172"/>
      <c r="N109" s="172"/>
      <c r="O109" s="172"/>
      <c r="P109" s="172"/>
      <c r="Q109" s="172"/>
      <c r="R109" s="172"/>
      <c r="S109" s="172"/>
    </row>
    <row r="110" spans="1:19">
      <c r="A110" s="850" t="s">
        <v>2585</v>
      </c>
      <c r="B110" s="850" t="s">
        <v>2227</v>
      </c>
      <c r="C110" s="576" t="s">
        <v>2586</v>
      </c>
      <c r="D110" s="850"/>
      <c r="E110" s="850"/>
      <c r="F110" s="850"/>
      <c r="G110" s="850"/>
      <c r="H110" s="850"/>
      <c r="I110" s="850"/>
      <c r="J110" s="850"/>
      <c r="K110" s="850"/>
      <c r="L110" s="850"/>
      <c r="M110" s="850"/>
      <c r="N110" s="850"/>
      <c r="O110" s="850"/>
      <c r="P110" s="850"/>
      <c r="Q110" s="850"/>
      <c r="R110" s="850"/>
      <c r="S110" s="850"/>
    </row>
    <row r="111" spans="1:19">
      <c r="A111" s="850" t="s">
        <v>2585</v>
      </c>
      <c r="B111" s="850" t="s">
        <v>2227</v>
      </c>
      <c r="C111" s="576" t="s">
        <v>2586</v>
      </c>
      <c r="D111" s="850"/>
      <c r="E111" s="850"/>
      <c r="F111" s="850"/>
      <c r="G111" s="850"/>
      <c r="H111" s="850"/>
      <c r="I111" s="850"/>
      <c r="J111" s="850"/>
      <c r="K111" s="850"/>
      <c r="L111" s="850"/>
      <c r="M111" s="850"/>
      <c r="N111" s="850"/>
      <c r="O111" s="850"/>
      <c r="P111" s="850"/>
      <c r="Q111" s="850"/>
      <c r="R111" s="850"/>
      <c r="S111" s="850"/>
    </row>
    <row r="112" spans="1:19" ht="25.5">
      <c r="A112" s="850" t="s">
        <v>2585</v>
      </c>
      <c r="B112" s="850" t="s">
        <v>2227</v>
      </c>
      <c r="C112" s="576" t="s">
        <v>2586</v>
      </c>
      <c r="D112" s="850"/>
      <c r="E112" s="850"/>
      <c r="F112" s="545" t="s">
        <v>2587</v>
      </c>
      <c r="G112" s="550" t="s">
        <v>2588</v>
      </c>
      <c r="H112" s="850"/>
      <c r="I112" s="850"/>
      <c r="J112" s="850"/>
      <c r="K112" s="850"/>
      <c r="L112" s="850"/>
      <c r="M112" s="850"/>
      <c r="N112" s="850"/>
      <c r="O112" s="850"/>
      <c r="P112" s="850"/>
      <c r="Q112" s="850"/>
      <c r="R112" s="850"/>
      <c r="S112" s="850"/>
    </row>
    <row r="113" spans="1:19">
      <c r="A113" s="850" t="s">
        <v>2585</v>
      </c>
      <c r="B113" s="850" t="s">
        <v>2227</v>
      </c>
      <c r="C113" s="576" t="s">
        <v>2586</v>
      </c>
      <c r="D113" s="850"/>
      <c r="E113" s="1" t="s">
        <v>2668</v>
      </c>
      <c r="F113" s="909"/>
      <c r="G113" s="910"/>
      <c r="H113" s="850"/>
      <c r="I113" s="850"/>
      <c r="J113" s="850"/>
      <c r="K113" s="850"/>
      <c r="L113" s="850"/>
      <c r="M113" s="850"/>
      <c r="N113" s="850"/>
      <c r="O113" s="850"/>
      <c r="P113" s="850"/>
      <c r="Q113" s="850"/>
      <c r="R113" s="850"/>
      <c r="S113" s="850"/>
    </row>
    <row r="114" spans="1:19">
      <c r="A114" s="850" t="s">
        <v>2585</v>
      </c>
      <c r="B114" s="850" t="s">
        <v>2227</v>
      </c>
      <c r="C114" s="576" t="s">
        <v>2586</v>
      </c>
      <c r="D114" s="850"/>
      <c r="E114" s="850" t="s">
        <v>2669</v>
      </c>
      <c r="F114" s="909"/>
      <c r="G114" s="910"/>
      <c r="H114" s="850"/>
      <c r="I114" s="850" t="s">
        <v>2670</v>
      </c>
      <c r="J114" s="850"/>
      <c r="K114" s="850"/>
      <c r="L114" s="850"/>
      <c r="M114" s="850"/>
      <c r="N114" s="850"/>
      <c r="O114" s="850"/>
      <c r="P114" s="850"/>
      <c r="Q114" s="850"/>
      <c r="R114" s="850"/>
      <c r="S114" s="850"/>
    </row>
    <row r="115" spans="1:19">
      <c r="A115" s="850"/>
      <c r="B115" s="850"/>
      <c r="C115" s="576" t="s">
        <v>2586</v>
      </c>
      <c r="D115" s="850"/>
      <c r="E115" s="859" t="s">
        <v>2671</v>
      </c>
      <c r="F115" s="952">
        <f>'A5.CTC FY24'!G13</f>
        <v>1828000000</v>
      </c>
      <c r="G115" s="938">
        <v>740000000</v>
      </c>
      <c r="H115" s="850"/>
      <c r="I115" s="850"/>
      <c r="J115" s="850"/>
      <c r="K115" s="850"/>
      <c r="L115" s="850"/>
      <c r="M115" s="850"/>
      <c r="N115" s="850"/>
      <c r="O115" s="850"/>
      <c r="P115" s="850"/>
      <c r="Q115" s="850"/>
      <c r="R115" s="850"/>
      <c r="S115" s="850"/>
    </row>
    <row r="116" spans="1:19">
      <c r="A116" s="850" t="s">
        <v>2585</v>
      </c>
      <c r="B116" s="850" t="s">
        <v>2227</v>
      </c>
      <c r="C116" s="576" t="s">
        <v>2586</v>
      </c>
      <c r="D116" s="850"/>
      <c r="E116" s="859" t="s">
        <v>2672</v>
      </c>
      <c r="F116" s="952">
        <v>0</v>
      </c>
      <c r="G116" s="938">
        <v>100400522</v>
      </c>
      <c r="H116" s="850"/>
      <c r="I116" s="850"/>
      <c r="J116" s="850"/>
      <c r="K116" s="850"/>
      <c r="L116" s="850"/>
      <c r="M116" s="850"/>
      <c r="N116" s="850"/>
      <c r="O116" s="850"/>
      <c r="P116" s="850"/>
      <c r="Q116" s="850"/>
      <c r="R116" s="850"/>
      <c r="S116" s="850"/>
    </row>
    <row r="117" spans="1:19">
      <c r="A117" s="850" t="s">
        <v>2585</v>
      </c>
      <c r="B117" s="850" t="s">
        <v>2227</v>
      </c>
      <c r="C117" s="576" t="s">
        <v>2586</v>
      </c>
      <c r="D117" s="850"/>
      <c r="E117" s="859" t="s">
        <v>2673</v>
      </c>
      <c r="F117" s="952">
        <v>0</v>
      </c>
      <c r="G117" s="938">
        <v>0</v>
      </c>
      <c r="H117" s="850"/>
      <c r="I117" s="850"/>
      <c r="J117" s="850"/>
      <c r="K117" s="850"/>
      <c r="L117" s="850"/>
      <c r="M117" s="850"/>
      <c r="N117" s="850"/>
      <c r="O117" s="850"/>
      <c r="P117" s="850"/>
      <c r="Q117" s="850"/>
      <c r="R117" s="850"/>
      <c r="S117" s="850"/>
    </row>
    <row r="118" spans="1:19">
      <c r="A118" s="850" t="s">
        <v>2585</v>
      </c>
      <c r="B118" s="850" t="s">
        <v>2227</v>
      </c>
      <c r="C118" s="576" t="s">
        <v>2586</v>
      </c>
      <c r="D118" s="850"/>
      <c r="E118" s="859" t="s">
        <v>2674</v>
      </c>
      <c r="F118" s="1049">
        <f>'A4.N2FS Singles'!F101</f>
        <v>257847664</v>
      </c>
      <c r="G118" s="938">
        <v>159019909</v>
      </c>
      <c r="H118" s="850"/>
      <c r="I118" s="850"/>
      <c r="J118" s="850"/>
      <c r="K118" s="850"/>
      <c r="L118" s="850"/>
      <c r="M118" s="850"/>
      <c r="N118" s="850"/>
      <c r="O118" s="850"/>
      <c r="P118" s="850"/>
      <c r="Q118" s="850"/>
      <c r="R118" s="850"/>
      <c r="S118" s="850"/>
    </row>
    <row r="119" spans="1:19" ht="13.5" thickBot="1">
      <c r="A119" s="850" t="s">
        <v>2585</v>
      </c>
      <c r="B119" s="850" t="s">
        <v>2227</v>
      </c>
      <c r="C119" s="576" t="s">
        <v>2586</v>
      </c>
      <c r="D119" s="850"/>
      <c r="E119" s="850"/>
      <c r="F119" s="1545">
        <f>SUM(F115:F118)</f>
        <v>2085847664</v>
      </c>
      <c r="G119" s="1546">
        <f>SUM(G115:G118)</f>
        <v>999420431</v>
      </c>
      <c r="H119" s="850"/>
      <c r="I119" s="850"/>
      <c r="J119" s="850"/>
      <c r="K119" s="850"/>
      <c r="L119" s="850"/>
      <c r="M119" s="850"/>
      <c r="N119" s="850"/>
      <c r="O119" s="850"/>
      <c r="P119" s="850"/>
      <c r="Q119" s="850"/>
      <c r="R119" s="850"/>
      <c r="S119" s="850"/>
    </row>
    <row r="120" spans="1:19" ht="13.5" thickTop="1">
      <c r="A120" s="850" t="s">
        <v>2585</v>
      </c>
      <c r="B120" s="850" t="s">
        <v>2227</v>
      </c>
      <c r="C120" s="576" t="s">
        <v>2586</v>
      </c>
      <c r="D120" s="850"/>
      <c r="E120" s="850"/>
      <c r="F120" s="850"/>
      <c r="G120" s="850"/>
      <c r="H120" s="850"/>
      <c r="I120" s="850"/>
      <c r="J120" s="850"/>
      <c r="K120" s="850"/>
      <c r="L120" s="850"/>
      <c r="M120" s="850"/>
      <c r="N120" s="850"/>
      <c r="O120" s="850"/>
      <c r="P120" s="850"/>
      <c r="Q120" s="850"/>
      <c r="R120" s="850"/>
      <c r="S120" s="850"/>
    </row>
    <row r="121" spans="1:19">
      <c r="A121" s="850" t="s">
        <v>2585</v>
      </c>
      <c r="B121" s="850" t="s">
        <v>2227</v>
      </c>
      <c r="C121" s="576" t="s">
        <v>2586</v>
      </c>
      <c r="D121" s="850"/>
      <c r="E121" s="1" t="s">
        <v>1970</v>
      </c>
      <c r="F121" s="857">
        <f>F119-'A1.BS'!R19</f>
        <v>0</v>
      </c>
      <c r="G121" s="857">
        <f>G119-'A1.BS'!V19</f>
        <v>0</v>
      </c>
      <c r="H121" s="850"/>
      <c r="I121" s="850"/>
      <c r="J121" s="850"/>
      <c r="K121" s="850"/>
      <c r="L121" s="850"/>
      <c r="M121" s="850"/>
      <c r="N121" s="850"/>
      <c r="O121" s="850"/>
      <c r="P121" s="850"/>
      <c r="Q121" s="850"/>
      <c r="R121" s="850"/>
      <c r="S121" s="850"/>
    </row>
    <row r="122" spans="1:19">
      <c r="A122" s="850" t="s">
        <v>2585</v>
      </c>
      <c r="B122" s="850" t="s">
        <v>2227</v>
      </c>
      <c r="C122" s="576" t="s">
        <v>2586</v>
      </c>
      <c r="D122" s="850"/>
      <c r="E122" s="850"/>
      <c r="F122" s="850"/>
      <c r="G122" s="850"/>
      <c r="H122" s="850"/>
      <c r="I122" s="850"/>
      <c r="J122" s="850"/>
      <c r="K122" s="850"/>
      <c r="L122" s="850"/>
      <c r="M122" s="850"/>
      <c r="N122" s="850"/>
      <c r="O122" s="850"/>
      <c r="P122" s="850"/>
      <c r="Q122" s="850"/>
      <c r="R122" s="850"/>
      <c r="S122" s="850"/>
    </row>
    <row r="123" spans="1:19">
      <c r="A123" s="850" t="s">
        <v>2585</v>
      </c>
      <c r="B123" s="850" t="s">
        <v>2227</v>
      </c>
      <c r="C123" s="576" t="s">
        <v>2586</v>
      </c>
      <c r="D123" s="850"/>
      <c r="E123" s="850" t="s">
        <v>2675</v>
      </c>
      <c r="F123" s="850"/>
      <c r="G123" s="850"/>
      <c r="H123" s="850"/>
      <c r="I123" s="850"/>
      <c r="J123" s="850"/>
      <c r="K123" s="850"/>
      <c r="L123" s="850"/>
      <c r="M123" s="850"/>
      <c r="N123" s="850"/>
      <c r="O123" s="850"/>
      <c r="P123" s="850"/>
      <c r="Q123" s="850"/>
      <c r="R123" s="850"/>
      <c r="S123" s="850"/>
    </row>
    <row r="124" spans="1:19" ht="25.5">
      <c r="A124" s="850" t="s">
        <v>2585</v>
      </c>
      <c r="B124" s="850" t="s">
        <v>2227</v>
      </c>
      <c r="C124" s="576" t="s">
        <v>2586</v>
      </c>
      <c r="D124" s="850"/>
      <c r="E124" s="850"/>
      <c r="F124" s="545" t="s">
        <v>2587</v>
      </c>
      <c r="G124" s="550" t="s">
        <v>2588</v>
      </c>
      <c r="H124" s="850"/>
      <c r="I124" s="850"/>
      <c r="J124" s="850"/>
      <c r="K124" s="850"/>
      <c r="L124" s="850"/>
      <c r="M124" s="850"/>
      <c r="N124" s="850"/>
      <c r="O124" s="850"/>
      <c r="P124" s="850"/>
      <c r="Q124" s="850"/>
      <c r="R124" s="850"/>
      <c r="S124" s="850"/>
    </row>
    <row r="125" spans="1:19">
      <c r="A125" s="850" t="s">
        <v>2585</v>
      </c>
      <c r="B125" s="850" t="s">
        <v>2227</v>
      </c>
      <c r="C125" s="576" t="s">
        <v>2586</v>
      </c>
      <c r="D125" s="850"/>
      <c r="E125" s="850"/>
      <c r="F125" s="909"/>
      <c r="G125" s="910"/>
      <c r="H125" s="850"/>
      <c r="I125" s="850"/>
      <c r="J125" s="850"/>
      <c r="K125" s="850"/>
      <c r="L125" s="850"/>
      <c r="M125" s="850"/>
      <c r="N125" s="850"/>
      <c r="O125" s="850"/>
      <c r="P125" s="850"/>
      <c r="Q125" s="850"/>
      <c r="R125" s="850"/>
      <c r="S125" s="850"/>
    </row>
    <row r="126" spans="1:19">
      <c r="A126" s="850" t="s">
        <v>2585</v>
      </c>
      <c r="B126" s="850" t="s">
        <v>2227</v>
      </c>
      <c r="C126" s="576" t="s">
        <v>2586</v>
      </c>
      <c r="D126" s="850"/>
      <c r="E126" s="850"/>
      <c r="F126" s="850"/>
      <c r="G126" s="850"/>
      <c r="H126" s="850"/>
      <c r="I126" s="850"/>
      <c r="J126" s="850"/>
      <c r="K126" s="850"/>
      <c r="L126" s="850"/>
      <c r="M126" s="850"/>
      <c r="N126" s="850"/>
      <c r="O126" s="850"/>
      <c r="P126" s="850"/>
      <c r="Q126" s="850"/>
      <c r="R126" s="850"/>
      <c r="S126" s="850"/>
    </row>
    <row r="127" spans="1:19">
      <c r="A127" s="172"/>
      <c r="B127" s="172" t="s">
        <v>2227</v>
      </c>
      <c r="C127" s="172" t="s">
        <v>681</v>
      </c>
      <c r="D127" s="172"/>
      <c r="E127" s="172" t="s">
        <v>2676</v>
      </c>
      <c r="F127" s="172"/>
      <c r="G127" s="172"/>
      <c r="H127" s="172"/>
      <c r="I127" s="172"/>
      <c r="J127" s="172"/>
      <c r="K127" s="172"/>
      <c r="L127" s="172"/>
      <c r="M127" s="172"/>
      <c r="N127" s="172"/>
      <c r="O127" s="172"/>
      <c r="P127" s="172"/>
      <c r="Q127" s="172"/>
      <c r="R127" s="172"/>
      <c r="S127" s="172"/>
    </row>
    <row r="128" spans="1:19">
      <c r="A128" s="850" t="s">
        <v>2585</v>
      </c>
      <c r="B128" s="850" t="s">
        <v>2227</v>
      </c>
      <c r="C128" s="576" t="s">
        <v>2586</v>
      </c>
      <c r="D128" s="850"/>
      <c r="E128" s="850"/>
      <c r="F128" s="850"/>
      <c r="G128" s="850"/>
      <c r="H128" s="850"/>
      <c r="I128" s="850"/>
      <c r="J128" s="850"/>
      <c r="K128" s="850"/>
      <c r="L128" s="850"/>
      <c r="M128" s="850"/>
      <c r="N128" s="850"/>
      <c r="O128" s="850"/>
      <c r="P128" s="850"/>
      <c r="Q128" s="850"/>
      <c r="R128" s="850"/>
      <c r="S128" s="850"/>
    </row>
    <row r="129" spans="1:19" ht="25.5">
      <c r="A129" s="850" t="s">
        <v>2585</v>
      </c>
      <c r="B129" s="850" t="s">
        <v>2227</v>
      </c>
      <c r="C129" s="576" t="s">
        <v>2586</v>
      </c>
      <c r="D129" s="850"/>
      <c r="E129" s="850"/>
      <c r="F129" s="545" t="s">
        <v>2587</v>
      </c>
      <c r="G129" s="550" t="s">
        <v>2588</v>
      </c>
      <c r="H129" s="850"/>
      <c r="I129" s="850"/>
      <c r="J129" s="850"/>
      <c r="K129" s="850"/>
      <c r="L129" s="850"/>
      <c r="M129" s="850"/>
      <c r="N129" s="850"/>
      <c r="O129" s="850"/>
      <c r="P129" s="850"/>
      <c r="Q129" s="850"/>
      <c r="R129" s="850"/>
      <c r="S129" s="850"/>
    </row>
    <row r="130" spans="1:19">
      <c r="A130" s="850" t="s">
        <v>2585</v>
      </c>
      <c r="B130" s="850" t="s">
        <v>2227</v>
      </c>
      <c r="C130" s="576" t="s">
        <v>2586</v>
      </c>
      <c r="D130" s="850"/>
      <c r="E130" s="1" t="s">
        <v>2668</v>
      </c>
      <c r="F130" s="909"/>
      <c r="G130" s="910"/>
      <c r="H130" s="850"/>
      <c r="I130" s="850" t="s">
        <v>2670</v>
      </c>
      <c r="J130" s="850"/>
      <c r="K130" s="850"/>
      <c r="L130" s="850"/>
      <c r="M130" s="850"/>
      <c r="N130" s="850"/>
      <c r="O130" s="850"/>
      <c r="P130" s="850"/>
      <c r="Q130" s="850"/>
      <c r="R130" s="850"/>
      <c r="S130" s="850"/>
    </row>
    <row r="131" spans="1:19">
      <c r="A131" s="850" t="s">
        <v>2585</v>
      </c>
      <c r="B131" s="850" t="s">
        <v>2227</v>
      </c>
      <c r="C131" s="576" t="s">
        <v>2586</v>
      </c>
      <c r="D131" s="850"/>
      <c r="E131" s="850" t="s">
        <v>2230</v>
      </c>
      <c r="F131" s="909"/>
      <c r="G131" s="910"/>
      <c r="H131" s="850"/>
      <c r="I131" s="850"/>
      <c r="J131" s="850"/>
      <c r="K131" s="850"/>
      <c r="L131" s="850"/>
      <c r="M131" s="850"/>
      <c r="N131" s="850"/>
      <c r="O131" s="850"/>
      <c r="P131" s="850"/>
      <c r="Q131" s="850"/>
      <c r="R131" s="850"/>
      <c r="S131" s="850"/>
    </row>
    <row r="132" spans="1:19">
      <c r="A132" s="850" t="s">
        <v>2585</v>
      </c>
      <c r="B132" s="850" t="s">
        <v>2227</v>
      </c>
      <c r="C132" s="576" t="s">
        <v>2586</v>
      </c>
      <c r="D132" s="850"/>
      <c r="E132" s="859" t="s">
        <v>2677</v>
      </c>
      <c r="F132" s="952">
        <f>'A4.N2FS Singles'!F117</f>
        <v>89207360</v>
      </c>
      <c r="G132" s="1042">
        <v>10275000</v>
      </c>
      <c r="H132" s="850"/>
      <c r="I132" s="850"/>
      <c r="J132" s="850"/>
      <c r="K132" s="850"/>
      <c r="L132" s="850"/>
      <c r="M132" s="850"/>
      <c r="N132" s="850"/>
      <c r="O132" s="850"/>
      <c r="P132" s="850"/>
      <c r="Q132" s="850"/>
      <c r="R132" s="850"/>
      <c r="S132" s="850"/>
    </row>
    <row r="133" spans="1:19">
      <c r="A133" s="850" t="s">
        <v>2585</v>
      </c>
      <c r="B133" s="850" t="s">
        <v>2227</v>
      </c>
      <c r="C133" s="576" t="s">
        <v>2586</v>
      </c>
      <c r="D133" s="850"/>
      <c r="E133" s="859" t="s">
        <v>2678</v>
      </c>
      <c r="F133" s="952">
        <f>'A4.N2FS Singles'!F118</f>
        <v>0</v>
      </c>
      <c r="G133" s="1042">
        <v>16904765</v>
      </c>
      <c r="H133" s="850"/>
      <c r="I133" s="850"/>
      <c r="J133" s="850"/>
      <c r="K133" s="850"/>
      <c r="L133" s="850"/>
      <c r="M133" s="850"/>
      <c r="N133" s="850"/>
      <c r="O133" s="850"/>
      <c r="P133" s="850"/>
      <c r="Q133" s="850"/>
      <c r="R133" s="850"/>
      <c r="S133" s="850"/>
    </row>
    <row r="134" spans="1:19">
      <c r="A134" s="850" t="s">
        <v>2585</v>
      </c>
      <c r="B134" s="850" t="s">
        <v>2227</v>
      </c>
      <c r="C134" s="576" t="s">
        <v>2586</v>
      </c>
      <c r="D134" s="850"/>
      <c r="E134" s="859" t="s">
        <v>2679</v>
      </c>
      <c r="F134" s="952">
        <f>'A4.N2FS Singles'!F119</f>
        <v>0</v>
      </c>
      <c r="G134" s="938">
        <v>0</v>
      </c>
      <c r="H134" s="850"/>
      <c r="I134" s="850"/>
      <c r="J134" s="850"/>
      <c r="K134" s="850"/>
      <c r="L134" s="850"/>
      <c r="M134" s="850"/>
      <c r="N134" s="850"/>
      <c r="O134" s="850"/>
      <c r="P134" s="850"/>
      <c r="Q134" s="850"/>
      <c r="R134" s="850"/>
      <c r="S134" s="850"/>
    </row>
    <row r="135" spans="1:19">
      <c r="A135" s="850" t="s">
        <v>2585</v>
      </c>
      <c r="B135" s="850" t="s">
        <v>2227</v>
      </c>
      <c r="C135" s="576" t="s">
        <v>2586</v>
      </c>
      <c r="D135" s="850"/>
      <c r="E135" s="859" t="s">
        <v>2680</v>
      </c>
      <c r="F135" s="952">
        <f>'A4.N2FS Singles'!F120</f>
        <v>0</v>
      </c>
      <c r="G135" s="938">
        <v>0</v>
      </c>
      <c r="H135" s="850"/>
      <c r="I135" s="850"/>
      <c r="J135" s="850"/>
      <c r="K135" s="850"/>
      <c r="L135" s="850"/>
      <c r="M135" s="850"/>
      <c r="N135" s="850"/>
      <c r="O135" s="850"/>
      <c r="P135" s="850"/>
      <c r="Q135" s="850"/>
      <c r="R135" s="850"/>
      <c r="S135" s="850"/>
    </row>
    <row r="136" spans="1:19">
      <c r="A136" s="850" t="s">
        <v>2585</v>
      </c>
      <c r="B136" s="850" t="s">
        <v>2227</v>
      </c>
      <c r="C136" s="576" t="s">
        <v>2586</v>
      </c>
      <c r="D136" s="850"/>
      <c r="E136" s="859" t="s">
        <v>2681</v>
      </c>
      <c r="F136" s="952">
        <f>'A4.N2FS Singles'!F122</f>
        <v>7470300</v>
      </c>
      <c r="G136" s="938">
        <v>1650000</v>
      </c>
      <c r="H136" s="850"/>
      <c r="I136" s="850"/>
      <c r="J136" s="850"/>
      <c r="K136" s="850"/>
      <c r="L136" s="850"/>
      <c r="M136" s="850"/>
      <c r="N136" s="850"/>
      <c r="O136" s="850"/>
      <c r="P136" s="850"/>
      <c r="Q136" s="850"/>
      <c r="R136" s="850"/>
      <c r="S136" s="850"/>
    </row>
    <row r="137" spans="1:19" ht="13.5" thickBot="1">
      <c r="A137" s="850" t="s">
        <v>2585</v>
      </c>
      <c r="B137" s="850" t="s">
        <v>2227</v>
      </c>
      <c r="C137" s="576" t="s">
        <v>2586</v>
      </c>
      <c r="D137" s="850"/>
      <c r="E137" s="850"/>
      <c r="F137" s="1545">
        <f>SUM(F131:F136)</f>
        <v>96677660</v>
      </c>
      <c r="G137" s="1546">
        <f>SUM(G131:G136)</f>
        <v>28829765</v>
      </c>
      <c r="H137" s="850"/>
      <c r="I137" s="850"/>
      <c r="J137" s="850"/>
      <c r="K137" s="850"/>
      <c r="L137" s="850"/>
      <c r="M137" s="850"/>
      <c r="N137" s="850"/>
      <c r="O137" s="850"/>
      <c r="P137" s="850"/>
      <c r="Q137" s="850"/>
      <c r="R137" s="850"/>
      <c r="S137" s="850"/>
    </row>
    <row r="138" spans="1:19" ht="13.5" thickTop="1">
      <c r="A138" s="850" t="s">
        <v>2585</v>
      </c>
      <c r="B138" s="850" t="s">
        <v>2227</v>
      </c>
      <c r="C138" s="576" t="s">
        <v>2586</v>
      </c>
      <c r="D138" s="850"/>
      <c r="E138" s="850"/>
      <c r="F138" s="850"/>
      <c r="G138" s="850"/>
      <c r="H138" s="850"/>
      <c r="I138" s="850"/>
      <c r="J138" s="850"/>
      <c r="K138" s="850"/>
      <c r="L138" s="850"/>
      <c r="M138" s="850"/>
      <c r="N138" s="850"/>
      <c r="O138" s="850"/>
      <c r="P138" s="850"/>
      <c r="Q138" s="850"/>
      <c r="R138" s="850"/>
      <c r="S138" s="850"/>
    </row>
    <row r="139" spans="1:19">
      <c r="A139" s="850" t="s">
        <v>2585</v>
      </c>
      <c r="B139" s="850" t="s">
        <v>2227</v>
      </c>
      <c r="C139" s="576" t="s">
        <v>2586</v>
      </c>
      <c r="D139" s="850"/>
      <c r="E139" s="1" t="s">
        <v>1970</v>
      </c>
      <c r="F139" s="857">
        <f>F137-'A1.BS'!R20</f>
        <v>0</v>
      </c>
      <c r="G139" s="848">
        <f>G137-'A1.BS'!V20</f>
        <v>0</v>
      </c>
      <c r="H139" s="850"/>
      <c r="I139" s="850"/>
      <c r="J139" s="850"/>
      <c r="K139" s="850"/>
      <c r="L139" s="850"/>
      <c r="M139" s="850"/>
      <c r="N139" s="850"/>
      <c r="O139" s="850"/>
      <c r="P139" s="850"/>
      <c r="Q139" s="850"/>
      <c r="R139" s="850"/>
      <c r="S139" s="850"/>
    </row>
    <row r="140" spans="1:19">
      <c r="A140" s="850" t="s">
        <v>2585</v>
      </c>
      <c r="B140" s="850" t="s">
        <v>2227</v>
      </c>
      <c r="C140" s="576" t="s">
        <v>2586</v>
      </c>
      <c r="D140" s="850"/>
      <c r="E140" s="850"/>
      <c r="F140" s="850"/>
      <c r="G140" s="850"/>
      <c r="H140" s="850"/>
      <c r="I140" s="850"/>
      <c r="J140" s="850"/>
      <c r="K140" s="850"/>
      <c r="L140" s="850"/>
      <c r="M140" s="850"/>
      <c r="N140" s="850"/>
      <c r="O140" s="850"/>
      <c r="P140" s="850"/>
      <c r="Q140" s="850"/>
      <c r="R140" s="850"/>
      <c r="S140" s="850"/>
    </row>
    <row r="141" spans="1:19">
      <c r="A141" s="850" t="s">
        <v>2585</v>
      </c>
      <c r="B141" s="850" t="s">
        <v>2227</v>
      </c>
      <c r="C141" s="576" t="s">
        <v>2586</v>
      </c>
      <c r="D141" s="850"/>
      <c r="E141" s="859" t="s">
        <v>2682</v>
      </c>
      <c r="F141" s="909"/>
      <c r="G141" s="910"/>
      <c r="H141" s="850"/>
      <c r="I141" s="850" t="s">
        <v>2683</v>
      </c>
      <c r="J141" s="850"/>
      <c r="K141" s="850"/>
      <c r="L141" s="850"/>
      <c r="M141" s="850"/>
      <c r="N141" s="850"/>
      <c r="O141" s="850"/>
      <c r="P141" s="850"/>
      <c r="Q141" s="850"/>
      <c r="R141" s="850"/>
      <c r="S141" s="850"/>
    </row>
    <row r="142" spans="1:19">
      <c r="A142" s="850" t="s">
        <v>2585</v>
      </c>
      <c r="B142" s="850" t="s">
        <v>2227</v>
      </c>
      <c r="C142" s="576" t="s">
        <v>2586</v>
      </c>
      <c r="D142" s="850"/>
      <c r="E142" s="859" t="s">
        <v>2684</v>
      </c>
      <c r="F142" s="952">
        <v>0</v>
      </c>
      <c r="G142" s="938">
        <v>0</v>
      </c>
      <c r="H142" s="850"/>
      <c r="I142" s="850"/>
      <c r="J142" s="850"/>
      <c r="K142" s="850"/>
      <c r="L142" s="850"/>
      <c r="M142" s="850"/>
      <c r="N142" s="850"/>
      <c r="O142" s="850"/>
      <c r="P142" s="850"/>
      <c r="Q142" s="850"/>
      <c r="R142" s="850"/>
      <c r="S142" s="850"/>
    </row>
    <row r="143" spans="1:19">
      <c r="A143" s="850" t="s">
        <v>2585</v>
      </c>
      <c r="B143" s="850" t="s">
        <v>2227</v>
      </c>
      <c r="C143" s="576" t="s">
        <v>2586</v>
      </c>
      <c r="D143" s="850"/>
      <c r="E143" s="859" t="s">
        <v>2685</v>
      </c>
      <c r="F143" s="952">
        <v>0</v>
      </c>
      <c r="G143" s="938">
        <v>0</v>
      </c>
      <c r="H143" s="850"/>
      <c r="I143" s="850"/>
      <c r="J143" s="850"/>
      <c r="K143" s="850"/>
      <c r="L143" s="850"/>
      <c r="M143" s="850"/>
      <c r="N143" s="850"/>
      <c r="O143" s="850"/>
      <c r="P143" s="850"/>
      <c r="Q143" s="850"/>
      <c r="R143" s="850"/>
      <c r="S143" s="850"/>
    </row>
    <row r="144" spans="1:19" ht="13.5" thickBot="1">
      <c r="A144" s="850" t="s">
        <v>2585</v>
      </c>
      <c r="B144" s="850" t="s">
        <v>2227</v>
      </c>
      <c r="C144" s="576" t="s">
        <v>2586</v>
      </c>
      <c r="D144" s="850"/>
      <c r="E144" s="850"/>
      <c r="F144" s="1549">
        <f>SUM(F142:F143)</f>
        <v>0</v>
      </c>
      <c r="G144" s="1550">
        <f>SUM(G142:G143)</f>
        <v>0</v>
      </c>
      <c r="H144" s="850"/>
      <c r="I144" s="850"/>
      <c r="J144" s="850"/>
      <c r="K144" s="850"/>
      <c r="L144" s="850"/>
      <c r="M144" s="850"/>
      <c r="N144" s="850"/>
      <c r="O144" s="850"/>
      <c r="P144" s="850"/>
      <c r="Q144" s="850"/>
      <c r="R144" s="850"/>
      <c r="S144" s="850"/>
    </row>
    <row r="145" spans="1:19" ht="13.5" thickTop="1">
      <c r="A145" s="850" t="s">
        <v>2585</v>
      </c>
      <c r="B145" s="850" t="s">
        <v>2227</v>
      </c>
      <c r="C145" s="576" t="s">
        <v>2586</v>
      </c>
      <c r="D145" s="850"/>
      <c r="E145" s="850"/>
      <c r="F145" s="850"/>
      <c r="G145" s="850"/>
      <c r="H145" s="850"/>
      <c r="I145" s="850"/>
      <c r="J145" s="850"/>
      <c r="K145" s="850"/>
      <c r="L145" s="850"/>
      <c r="M145" s="850"/>
      <c r="N145" s="850"/>
      <c r="O145" s="850"/>
      <c r="P145" s="850"/>
      <c r="Q145" s="850"/>
      <c r="R145" s="850"/>
      <c r="S145" s="850"/>
    </row>
    <row r="146" spans="1:19">
      <c r="A146" s="850" t="s">
        <v>2585</v>
      </c>
      <c r="B146" s="850" t="s">
        <v>2227</v>
      </c>
      <c r="C146" s="576" t="s">
        <v>2586</v>
      </c>
      <c r="D146" s="850"/>
      <c r="E146" s="1" t="s">
        <v>1970</v>
      </c>
      <c r="F146" s="1002">
        <f>F144-F135</f>
        <v>0</v>
      </c>
      <c r="G146" s="1002">
        <f>G144-G135</f>
        <v>0</v>
      </c>
      <c r="H146" s="850"/>
      <c r="I146" s="850"/>
      <c r="J146" s="850"/>
      <c r="K146" s="850"/>
      <c r="L146" s="850"/>
      <c r="M146" s="850"/>
      <c r="N146" s="850"/>
      <c r="O146" s="850"/>
      <c r="P146" s="850"/>
      <c r="Q146" s="850"/>
      <c r="R146" s="850"/>
      <c r="S146" s="850"/>
    </row>
    <row r="147" spans="1:19">
      <c r="A147" s="850" t="s">
        <v>2585</v>
      </c>
      <c r="B147" s="850" t="s">
        <v>2227</v>
      </c>
      <c r="C147" s="576" t="s">
        <v>2586</v>
      </c>
      <c r="D147" s="850"/>
      <c r="E147" s="850"/>
      <c r="F147" s="850"/>
      <c r="G147" s="850"/>
      <c r="H147" s="850"/>
      <c r="I147" s="850"/>
      <c r="J147" s="850"/>
      <c r="K147" s="850"/>
      <c r="L147" s="850"/>
      <c r="M147" s="850"/>
      <c r="N147" s="850"/>
      <c r="O147" s="850"/>
      <c r="P147" s="850"/>
      <c r="Q147" s="850"/>
      <c r="R147" s="850"/>
      <c r="S147" s="850"/>
    </row>
    <row r="148" spans="1:19">
      <c r="A148" s="850" t="s">
        <v>2585</v>
      </c>
      <c r="B148" s="850" t="s">
        <v>2227</v>
      </c>
      <c r="C148" s="576" t="s">
        <v>2586</v>
      </c>
      <c r="D148" s="850"/>
      <c r="E148" s="850" t="s">
        <v>2686</v>
      </c>
      <c r="F148" s="850"/>
      <c r="G148" s="850"/>
      <c r="H148" s="850"/>
      <c r="I148" s="850"/>
      <c r="J148" s="850"/>
      <c r="K148" s="850"/>
      <c r="L148" s="850"/>
      <c r="M148" s="850"/>
      <c r="N148" s="850"/>
      <c r="O148" s="850"/>
      <c r="P148" s="850"/>
      <c r="Q148" s="850"/>
      <c r="R148" s="850"/>
      <c r="S148" s="850"/>
    </row>
    <row r="149" spans="1:19" ht="25.5">
      <c r="A149" s="850" t="s">
        <v>2585</v>
      </c>
      <c r="B149" s="850" t="s">
        <v>2227</v>
      </c>
      <c r="C149" s="576" t="s">
        <v>2586</v>
      </c>
      <c r="D149" s="850"/>
      <c r="E149" s="850"/>
      <c r="F149" s="545" t="s">
        <v>2587</v>
      </c>
      <c r="G149" s="550" t="s">
        <v>2588</v>
      </c>
      <c r="H149" s="850"/>
      <c r="I149" s="850"/>
      <c r="J149" s="850"/>
      <c r="K149" s="850"/>
      <c r="L149" s="850"/>
      <c r="M149" s="850"/>
      <c r="N149" s="850"/>
      <c r="O149" s="850"/>
      <c r="P149" s="850"/>
      <c r="Q149" s="850"/>
      <c r="R149" s="850"/>
      <c r="S149" s="850"/>
    </row>
    <row r="150" spans="1:19">
      <c r="A150" s="850" t="s">
        <v>2585</v>
      </c>
      <c r="B150" s="850" t="s">
        <v>2227</v>
      </c>
      <c r="C150" s="576" t="s">
        <v>2586</v>
      </c>
      <c r="D150" s="850"/>
      <c r="E150" s="850"/>
      <c r="F150" s="909"/>
      <c r="G150" s="910"/>
      <c r="H150" s="850"/>
      <c r="I150" s="850"/>
      <c r="J150" s="850"/>
      <c r="K150" s="850"/>
      <c r="L150" s="850"/>
      <c r="M150" s="850"/>
      <c r="N150" s="850"/>
      <c r="O150" s="850"/>
      <c r="P150" s="850"/>
      <c r="Q150" s="850"/>
      <c r="R150" s="850"/>
      <c r="S150" s="850"/>
    </row>
    <row r="151" spans="1:19">
      <c r="A151" s="850" t="s">
        <v>2585</v>
      </c>
      <c r="B151" s="850" t="s">
        <v>2227</v>
      </c>
      <c r="C151" s="576" t="s">
        <v>2586</v>
      </c>
      <c r="D151" s="850"/>
      <c r="E151" s="850"/>
      <c r="F151" s="909"/>
      <c r="G151" s="910"/>
      <c r="H151" s="850"/>
      <c r="I151" s="850"/>
      <c r="J151" s="850"/>
      <c r="K151" s="850"/>
      <c r="L151" s="850"/>
      <c r="M151" s="850"/>
      <c r="N151" s="850"/>
      <c r="O151" s="850"/>
      <c r="P151" s="850"/>
      <c r="Q151" s="850"/>
      <c r="R151" s="850"/>
      <c r="S151" s="850"/>
    </row>
    <row r="152" spans="1:19">
      <c r="A152" s="850" t="s">
        <v>2585</v>
      </c>
      <c r="B152" s="850" t="s">
        <v>2227</v>
      </c>
      <c r="C152" s="576" t="s">
        <v>2586</v>
      </c>
      <c r="D152" s="850"/>
      <c r="E152" s="850"/>
      <c r="F152" s="850"/>
      <c r="G152" s="850"/>
      <c r="H152" s="850"/>
      <c r="I152" s="850"/>
      <c r="J152" s="850"/>
      <c r="K152" s="850"/>
      <c r="L152" s="850"/>
      <c r="M152" s="850"/>
      <c r="N152" s="850"/>
      <c r="O152" s="850"/>
      <c r="P152" s="850"/>
      <c r="Q152" s="850"/>
      <c r="R152" s="850"/>
      <c r="S152" s="850"/>
    </row>
    <row r="153" spans="1:19">
      <c r="A153" s="850" t="s">
        <v>2585</v>
      </c>
      <c r="B153" s="850" t="s">
        <v>2227</v>
      </c>
      <c r="C153" s="576" t="s">
        <v>2586</v>
      </c>
      <c r="D153" s="850"/>
      <c r="E153" s="850"/>
      <c r="F153" s="850"/>
      <c r="G153" s="850"/>
      <c r="H153" s="850"/>
      <c r="I153" s="850"/>
      <c r="J153" s="850"/>
      <c r="K153" s="850"/>
      <c r="L153" s="850"/>
      <c r="M153" s="850"/>
      <c r="N153" s="850"/>
      <c r="O153" s="850"/>
      <c r="P153" s="850"/>
      <c r="Q153" s="850"/>
      <c r="R153" s="850"/>
      <c r="S153" s="850"/>
    </row>
    <row r="154" spans="1:19">
      <c r="A154" s="172"/>
      <c r="B154" s="172" t="s">
        <v>2227</v>
      </c>
      <c r="C154" s="172" t="s">
        <v>681</v>
      </c>
      <c r="D154" s="172"/>
      <c r="E154" s="172" t="s">
        <v>2687</v>
      </c>
      <c r="F154" s="172"/>
      <c r="G154" s="172"/>
      <c r="H154" s="172"/>
      <c r="I154" s="172"/>
      <c r="J154" s="172"/>
      <c r="K154" s="172"/>
      <c r="L154" s="172"/>
      <c r="M154" s="172"/>
      <c r="N154" s="172"/>
      <c r="O154" s="172"/>
      <c r="P154" s="172"/>
      <c r="Q154" s="172"/>
      <c r="R154" s="172"/>
      <c r="S154" s="172"/>
    </row>
    <row r="155" spans="1:19">
      <c r="A155" s="850" t="s">
        <v>2585</v>
      </c>
      <c r="B155" s="850" t="s">
        <v>2227</v>
      </c>
      <c r="C155" s="576" t="s">
        <v>2586</v>
      </c>
      <c r="D155" s="850"/>
      <c r="E155" s="850"/>
      <c r="F155" s="850"/>
      <c r="G155" s="850"/>
      <c r="H155" s="850"/>
      <c r="I155" s="850"/>
      <c r="J155" s="850"/>
      <c r="K155" s="850"/>
      <c r="L155" s="850"/>
      <c r="M155" s="850"/>
      <c r="N155" s="850"/>
      <c r="O155" s="850"/>
      <c r="P155" s="850"/>
      <c r="Q155" s="850"/>
      <c r="R155" s="850"/>
      <c r="S155" s="850"/>
    </row>
    <row r="156" spans="1:19">
      <c r="A156" s="850" t="s">
        <v>2585</v>
      </c>
      <c r="B156" s="850" t="s">
        <v>2227</v>
      </c>
      <c r="C156" s="576" t="s">
        <v>2586</v>
      </c>
      <c r="D156" s="850"/>
      <c r="E156" s="850"/>
      <c r="F156" s="546">
        <v>45657</v>
      </c>
      <c r="G156" s="547"/>
      <c r="H156" s="551">
        <v>45291</v>
      </c>
      <c r="I156" s="552"/>
      <c r="J156" s="850"/>
      <c r="K156" s="850"/>
      <c r="L156" s="850"/>
      <c r="M156" s="850"/>
      <c r="N156" s="850"/>
      <c r="O156" s="850"/>
      <c r="P156" s="850"/>
      <c r="Q156" s="850"/>
      <c r="R156" s="850"/>
      <c r="S156" s="850"/>
    </row>
    <row r="157" spans="1:19" ht="25.5">
      <c r="A157" s="850" t="s">
        <v>2585</v>
      </c>
      <c r="B157" s="850" t="s">
        <v>2227</v>
      </c>
      <c r="C157" s="576" t="s">
        <v>2586</v>
      </c>
      <c r="D157" s="850"/>
      <c r="E157" s="850"/>
      <c r="F157" s="549" t="s">
        <v>2688</v>
      </c>
      <c r="G157" s="549" t="s">
        <v>2614</v>
      </c>
      <c r="H157" s="554" t="s">
        <v>2688</v>
      </c>
      <c r="I157" s="554" t="s">
        <v>2614</v>
      </c>
      <c r="J157" s="850"/>
      <c r="K157" s="850"/>
      <c r="L157" s="850"/>
      <c r="M157" s="850"/>
      <c r="N157" s="850"/>
      <c r="O157" s="850"/>
      <c r="P157" s="850"/>
      <c r="Q157" s="850"/>
      <c r="R157" s="850"/>
      <c r="S157" s="850"/>
    </row>
    <row r="158" spans="1:19">
      <c r="A158" s="850" t="s">
        <v>2585</v>
      </c>
      <c r="B158" s="850" t="s">
        <v>2227</v>
      </c>
      <c r="C158" s="576" t="s">
        <v>2586</v>
      </c>
      <c r="D158" s="850"/>
      <c r="E158" s="1" t="s">
        <v>2668</v>
      </c>
      <c r="F158" s="952"/>
      <c r="G158" s="952"/>
      <c r="H158" s="910"/>
      <c r="I158" s="910"/>
      <c r="J158" s="850"/>
      <c r="K158" s="850"/>
      <c r="L158" s="850"/>
      <c r="M158" s="850"/>
      <c r="N158" s="850"/>
      <c r="O158" s="850"/>
      <c r="P158" s="850"/>
      <c r="Q158" s="850"/>
      <c r="R158" s="850"/>
      <c r="S158" s="850"/>
    </row>
    <row r="159" spans="1:19">
      <c r="A159" s="850" t="s">
        <v>2585</v>
      </c>
      <c r="B159" s="850" t="s">
        <v>2227</v>
      </c>
      <c r="C159" s="576" t="s">
        <v>2586</v>
      </c>
      <c r="D159" s="850"/>
      <c r="E159" s="850" t="s">
        <v>2689</v>
      </c>
      <c r="F159" s="952">
        <f>F172</f>
        <v>2084520548</v>
      </c>
      <c r="G159" s="952">
        <v>0</v>
      </c>
      <c r="H159" s="938">
        <f>H172</f>
        <v>23257811780</v>
      </c>
      <c r="I159" s="938">
        <v>0</v>
      </c>
      <c r="J159" s="850"/>
      <c r="K159" s="850"/>
      <c r="L159" s="850"/>
      <c r="M159" s="850"/>
      <c r="N159" s="850"/>
      <c r="O159" s="850"/>
      <c r="P159" s="850"/>
      <c r="Q159" s="850"/>
      <c r="R159" s="850"/>
      <c r="S159" s="850"/>
    </row>
    <row r="160" spans="1:19" ht="25.5">
      <c r="A160" s="850" t="s">
        <v>2585</v>
      </c>
      <c r="B160" s="850" t="s">
        <v>2227</v>
      </c>
      <c r="C160" s="576" t="s">
        <v>2586</v>
      </c>
      <c r="D160" s="850"/>
      <c r="E160" s="1003" t="s">
        <v>2690</v>
      </c>
      <c r="F160" s="952">
        <f>F173</f>
        <v>0</v>
      </c>
      <c r="G160" s="952">
        <v>0</v>
      </c>
      <c r="H160" s="938">
        <f>H173</f>
        <v>13344256648</v>
      </c>
      <c r="I160" s="938">
        <v>0</v>
      </c>
      <c r="J160" s="850"/>
      <c r="K160" s="850"/>
      <c r="L160" s="850"/>
      <c r="M160" s="850"/>
      <c r="N160" s="850"/>
      <c r="O160" s="850"/>
      <c r="P160" s="850"/>
      <c r="Q160" s="850"/>
      <c r="R160" s="850"/>
      <c r="S160" s="850"/>
    </row>
    <row r="161" spans="1:19" ht="38.25">
      <c r="A161" s="850" t="s">
        <v>2585</v>
      </c>
      <c r="B161" s="850" t="s">
        <v>2227</v>
      </c>
      <c r="C161" s="576" t="s">
        <v>2586</v>
      </c>
      <c r="D161" s="850"/>
      <c r="E161" s="1003" t="s">
        <v>2691</v>
      </c>
      <c r="F161" s="952">
        <f>F174</f>
        <v>25358520133</v>
      </c>
      <c r="G161" s="952">
        <v>0</v>
      </c>
      <c r="H161" s="1042">
        <f>H174</f>
        <v>9074618885</v>
      </c>
      <c r="I161" s="938">
        <v>0</v>
      </c>
      <c r="J161" s="850"/>
      <c r="K161" s="850"/>
      <c r="L161" s="850"/>
      <c r="M161" s="850"/>
      <c r="N161" s="850"/>
      <c r="O161" s="850"/>
      <c r="P161" s="850"/>
      <c r="Q161" s="850"/>
      <c r="R161" s="850"/>
      <c r="S161" s="850"/>
    </row>
    <row r="162" spans="1:19">
      <c r="A162" s="850" t="s">
        <v>2585</v>
      </c>
      <c r="B162" s="850" t="s">
        <v>2227</v>
      </c>
      <c r="C162" s="576" t="s">
        <v>2586</v>
      </c>
      <c r="D162" s="850"/>
      <c r="E162" s="850" t="s">
        <v>2692</v>
      </c>
      <c r="F162" s="952">
        <f>F197</f>
        <v>0</v>
      </c>
      <c r="G162" s="952">
        <v>0</v>
      </c>
      <c r="H162" s="938">
        <f>H197</f>
        <v>418680439</v>
      </c>
      <c r="I162" s="938">
        <v>0</v>
      </c>
      <c r="J162" s="850"/>
      <c r="K162" s="850"/>
      <c r="L162" s="850"/>
      <c r="M162" s="850"/>
      <c r="N162" s="850"/>
      <c r="O162" s="850"/>
      <c r="P162" s="850"/>
      <c r="Q162" s="850"/>
      <c r="R162" s="850"/>
      <c r="S162" s="850"/>
    </row>
    <row r="163" spans="1:19">
      <c r="A163" s="850" t="s">
        <v>2585</v>
      </c>
      <c r="B163" s="850" t="s">
        <v>2227</v>
      </c>
      <c r="C163" s="576" t="s">
        <v>2586</v>
      </c>
      <c r="D163" s="850"/>
      <c r="E163" s="850" t="s">
        <v>2693</v>
      </c>
      <c r="F163" s="952">
        <f>F176</f>
        <v>1326751737</v>
      </c>
      <c r="G163" s="952">
        <v>0</v>
      </c>
      <c r="H163" s="938">
        <f>H176</f>
        <v>1692275915</v>
      </c>
      <c r="I163" s="938">
        <v>0</v>
      </c>
      <c r="J163" s="850"/>
      <c r="K163" s="850"/>
      <c r="L163" s="850"/>
      <c r="M163" s="850"/>
      <c r="N163" s="850"/>
      <c r="O163" s="850"/>
      <c r="P163" s="850"/>
      <c r="Q163" s="850"/>
      <c r="R163" s="850"/>
      <c r="S163" s="850"/>
    </row>
    <row r="164" spans="1:19">
      <c r="A164" s="850" t="s">
        <v>2585</v>
      </c>
      <c r="B164" s="850" t="s">
        <v>2227</v>
      </c>
      <c r="C164" s="576" t="s">
        <v>2586</v>
      </c>
      <c r="D164" s="850"/>
      <c r="E164" s="850" t="s">
        <v>2694</v>
      </c>
      <c r="F164" s="952">
        <f>F165-SUM(F159:F163)</f>
        <v>15711613015</v>
      </c>
      <c r="G164" s="952"/>
      <c r="H164" s="938">
        <f>H165-SUM(H159:H163)</f>
        <v>4639638144</v>
      </c>
      <c r="I164" s="938">
        <v>0</v>
      </c>
      <c r="J164" s="850"/>
      <c r="K164" s="850"/>
      <c r="L164" s="850"/>
      <c r="M164" s="850"/>
      <c r="N164" s="850"/>
      <c r="O164" s="850"/>
      <c r="P164" s="850"/>
      <c r="Q164" s="850"/>
      <c r="R164" s="850"/>
      <c r="S164" s="850"/>
    </row>
    <row r="165" spans="1:19" ht="13.5" thickBot="1">
      <c r="A165" s="850" t="s">
        <v>2585</v>
      </c>
      <c r="B165" s="850" t="s">
        <v>2227</v>
      </c>
      <c r="C165" s="576" t="s">
        <v>2586</v>
      </c>
      <c r="D165" s="850"/>
      <c r="E165" s="850"/>
      <c r="F165" s="1545">
        <f>F184</f>
        <v>44481405433</v>
      </c>
      <c r="G165" s="1545">
        <f>SUM(G159:G164)</f>
        <v>0</v>
      </c>
      <c r="H165" s="1544">
        <f>H184</f>
        <v>52427281811</v>
      </c>
      <c r="I165" s="1544">
        <f>SUM(I159:I164)</f>
        <v>0</v>
      </c>
      <c r="J165" s="850"/>
      <c r="K165" s="850"/>
      <c r="L165" s="850"/>
      <c r="M165" s="850"/>
      <c r="N165" s="850"/>
      <c r="O165" s="850"/>
      <c r="P165" s="850"/>
      <c r="Q165" s="850"/>
      <c r="R165" s="850"/>
      <c r="S165" s="850"/>
    </row>
    <row r="166" spans="1:19" ht="13.5" thickTop="1">
      <c r="A166" s="850" t="s">
        <v>2585</v>
      </c>
      <c r="B166" s="850" t="s">
        <v>2227</v>
      </c>
      <c r="C166" s="576" t="s">
        <v>2586</v>
      </c>
      <c r="D166" s="850"/>
      <c r="E166" s="850"/>
      <c r="F166" s="850"/>
      <c r="G166" s="850"/>
      <c r="H166" s="850"/>
      <c r="I166" s="850"/>
      <c r="J166" s="850"/>
      <c r="K166" s="850"/>
      <c r="L166" s="850"/>
      <c r="M166" s="850"/>
      <c r="N166" s="850"/>
      <c r="O166" s="850"/>
      <c r="P166" s="850"/>
      <c r="Q166" s="850"/>
      <c r="R166" s="850"/>
      <c r="S166" s="850"/>
    </row>
    <row r="167" spans="1:19">
      <c r="A167" s="850" t="s">
        <v>2585</v>
      </c>
      <c r="B167" s="850" t="s">
        <v>2227</v>
      </c>
      <c r="C167" s="576" t="s">
        <v>2586</v>
      </c>
      <c r="D167" s="850"/>
      <c r="E167" s="850"/>
      <c r="F167" s="857">
        <f>F165-'A1.BS'!R24</f>
        <v>0</v>
      </c>
      <c r="G167" s="850"/>
      <c r="H167" s="857">
        <f>H165-'A1.BS'!V24</f>
        <v>0</v>
      </c>
      <c r="I167" s="850"/>
      <c r="J167" s="850"/>
      <c r="K167" s="850"/>
      <c r="L167" s="850"/>
      <c r="M167" s="850"/>
      <c r="N167" s="850"/>
      <c r="O167" s="850"/>
      <c r="P167" s="850"/>
      <c r="Q167" s="850"/>
      <c r="R167" s="850"/>
      <c r="S167" s="850"/>
    </row>
    <row r="168" spans="1:19">
      <c r="A168" s="850" t="s">
        <v>2585</v>
      </c>
      <c r="B168" s="850" t="s">
        <v>2227</v>
      </c>
      <c r="C168" s="576" t="s">
        <v>2586</v>
      </c>
      <c r="D168" s="850"/>
      <c r="E168" s="850"/>
      <c r="F168" s="850"/>
      <c r="G168" s="850"/>
      <c r="H168" s="850"/>
      <c r="I168" s="850"/>
      <c r="J168" s="850"/>
      <c r="K168" s="850"/>
      <c r="L168" s="850"/>
      <c r="M168" s="850"/>
      <c r="N168" s="850"/>
      <c r="O168" s="850"/>
      <c r="P168" s="850"/>
      <c r="Q168" s="850"/>
      <c r="R168" s="850"/>
      <c r="S168" s="850"/>
    </row>
    <row r="169" spans="1:19">
      <c r="A169" s="850" t="s">
        <v>2585</v>
      </c>
      <c r="B169" s="850" t="s">
        <v>2227</v>
      </c>
      <c r="C169" s="576" t="s">
        <v>2586</v>
      </c>
      <c r="D169" s="850"/>
      <c r="E169" s="850"/>
      <c r="F169" s="546">
        <v>45657</v>
      </c>
      <c r="G169" s="547"/>
      <c r="H169" s="551">
        <v>45291</v>
      </c>
      <c r="I169" s="552"/>
      <c r="J169" s="850"/>
      <c r="K169" s="850"/>
      <c r="L169" s="850"/>
      <c r="M169" s="850"/>
      <c r="N169" s="850"/>
      <c r="O169" s="850"/>
      <c r="P169" s="850"/>
      <c r="Q169" s="850"/>
      <c r="R169" s="850"/>
      <c r="S169" s="850"/>
    </row>
    <row r="170" spans="1:19" ht="25.5">
      <c r="A170" s="850" t="s">
        <v>2585</v>
      </c>
      <c r="B170" s="850" t="s">
        <v>2227</v>
      </c>
      <c r="C170" s="576" t="s">
        <v>2586</v>
      </c>
      <c r="D170" s="850"/>
      <c r="E170" s="299" t="s">
        <v>2695</v>
      </c>
      <c r="F170" s="549" t="s">
        <v>2688</v>
      </c>
      <c r="G170" s="549" t="s">
        <v>2614</v>
      </c>
      <c r="H170" s="554" t="s">
        <v>2688</v>
      </c>
      <c r="I170" s="554" t="s">
        <v>2614</v>
      </c>
      <c r="J170" s="850"/>
      <c r="K170" s="850"/>
      <c r="L170" s="850"/>
      <c r="M170" s="850"/>
      <c r="N170" s="850"/>
      <c r="O170" s="850"/>
      <c r="P170" s="850"/>
      <c r="Q170" s="850"/>
      <c r="R170" s="850"/>
      <c r="S170" s="850"/>
    </row>
    <row r="171" spans="1:19">
      <c r="A171" s="850" t="s">
        <v>2585</v>
      </c>
      <c r="B171" s="850" t="s">
        <v>2227</v>
      </c>
      <c r="C171" s="576" t="s">
        <v>2586</v>
      </c>
      <c r="D171" s="850"/>
      <c r="E171" s="1" t="s">
        <v>2668</v>
      </c>
      <c r="F171" s="909"/>
      <c r="G171" s="909"/>
      <c r="H171" s="910"/>
      <c r="I171" s="910"/>
      <c r="J171" s="850"/>
      <c r="K171" s="850"/>
      <c r="L171" s="850"/>
      <c r="M171" s="850"/>
      <c r="N171" s="850"/>
      <c r="O171" s="850"/>
      <c r="P171" s="850"/>
      <c r="Q171" s="850"/>
      <c r="R171" s="850"/>
      <c r="S171" s="850"/>
    </row>
    <row r="172" spans="1:19">
      <c r="A172" s="850" t="s">
        <v>2585</v>
      </c>
      <c r="B172" s="850" t="s">
        <v>2227</v>
      </c>
      <c r="C172" s="576" t="s">
        <v>2586</v>
      </c>
      <c r="D172" s="859" t="s">
        <v>2245</v>
      </c>
      <c r="E172" s="1003" t="s">
        <v>2689</v>
      </c>
      <c r="F172" s="952">
        <f>ROUND(SUMIFS('A0.LS'!AX:AX,'A0.LS'!C:C,D172),0)</f>
        <v>2084520548</v>
      </c>
      <c r="G172" s="952">
        <v>0</v>
      </c>
      <c r="H172" s="938">
        <v>23257811780</v>
      </c>
      <c r="I172" s="938">
        <v>0</v>
      </c>
      <c r="J172" s="946">
        <f t="shared" ref="J172:J180" si="3">F172/$F$184</f>
        <v>4.6862740232877842E-2</v>
      </c>
      <c r="K172" s="946">
        <f t="shared" ref="K172:K180" si="4">H172/$H$184</f>
        <v>0.44362040099359445</v>
      </c>
      <c r="L172" s="850" t="s">
        <v>681</v>
      </c>
      <c r="M172" s="850"/>
      <c r="N172" s="850"/>
      <c r="O172" s="850"/>
      <c r="P172" s="850"/>
      <c r="Q172" s="850"/>
      <c r="R172" s="850"/>
      <c r="S172" s="850"/>
    </row>
    <row r="173" spans="1:19" ht="25.5">
      <c r="A173" s="850" t="s">
        <v>2585</v>
      </c>
      <c r="B173" s="850" t="s">
        <v>2227</v>
      </c>
      <c r="C173" s="576" t="s">
        <v>2586</v>
      </c>
      <c r="D173" s="850"/>
      <c r="E173" s="1001" t="s">
        <v>2690</v>
      </c>
      <c r="F173" s="952">
        <f>'A4.N2FS Singles'!F140</f>
        <v>0</v>
      </c>
      <c r="G173" s="952">
        <v>0</v>
      </c>
      <c r="H173" s="938">
        <v>13344256648</v>
      </c>
      <c r="I173" s="938">
        <v>0</v>
      </c>
      <c r="J173" s="946">
        <f t="shared" si="3"/>
        <v>0</v>
      </c>
      <c r="K173" s="946">
        <f t="shared" si="4"/>
        <v>0.25452886716702111</v>
      </c>
      <c r="L173" s="850" t="s">
        <v>681</v>
      </c>
      <c r="M173" s="850"/>
      <c r="N173" s="850"/>
      <c r="O173" s="850"/>
      <c r="P173" s="850"/>
      <c r="Q173" s="850"/>
      <c r="R173" s="850"/>
      <c r="S173" s="850"/>
    </row>
    <row r="174" spans="1:19" ht="38.25">
      <c r="A174" s="850" t="s">
        <v>2585</v>
      </c>
      <c r="B174" s="850" t="s">
        <v>2227</v>
      </c>
      <c r="C174" s="576" t="s">
        <v>2586</v>
      </c>
      <c r="D174" s="859" t="s">
        <v>2239</v>
      </c>
      <c r="E174" s="1003" t="s">
        <v>2691</v>
      </c>
      <c r="F174" s="952">
        <f>'A4.N2FS Singles'!F141</f>
        <v>25358520133</v>
      </c>
      <c r="G174" s="952">
        <v>0</v>
      </c>
      <c r="H174" s="938">
        <v>9074618885</v>
      </c>
      <c r="I174" s="938">
        <v>0</v>
      </c>
      <c r="J174" s="946">
        <f t="shared" si="3"/>
        <v>0.57009260130497008</v>
      </c>
      <c r="K174" s="946">
        <f t="shared" si="4"/>
        <v>0.17308963141964789</v>
      </c>
      <c r="L174" s="850" t="s">
        <v>681</v>
      </c>
      <c r="M174" s="850"/>
      <c r="N174" s="850"/>
      <c r="O174" s="850"/>
      <c r="P174" s="850"/>
      <c r="Q174" s="850"/>
      <c r="R174" s="850"/>
      <c r="S174" s="850"/>
    </row>
    <row r="175" spans="1:19" ht="25.5">
      <c r="A175" s="850" t="s">
        <v>2585</v>
      </c>
      <c r="B175" s="850" t="s">
        <v>2227</v>
      </c>
      <c r="C175" s="576" t="s">
        <v>2586</v>
      </c>
      <c r="D175" s="850"/>
      <c r="E175" s="1003" t="s">
        <v>2696</v>
      </c>
      <c r="F175" s="952">
        <f>'A4.N2FS Singles'!F171+'A4.N2FS Singles'!F172</f>
        <v>0</v>
      </c>
      <c r="G175" s="952">
        <v>0</v>
      </c>
      <c r="H175" s="938">
        <v>418680439</v>
      </c>
      <c r="I175" s="938">
        <v>0</v>
      </c>
      <c r="J175" s="946">
        <f t="shared" si="3"/>
        <v>0</v>
      </c>
      <c r="K175" s="946">
        <f t="shared" si="4"/>
        <v>7.9859268788593733E-3</v>
      </c>
      <c r="L175" s="850"/>
      <c r="M175" s="850"/>
      <c r="N175" s="1017">
        <v>11523379922</v>
      </c>
      <c r="O175" s="850"/>
      <c r="P175" s="850"/>
      <c r="Q175" s="850"/>
      <c r="R175" s="850"/>
      <c r="S175" s="850"/>
    </row>
    <row r="176" spans="1:19">
      <c r="A176" s="850" t="s">
        <v>2585</v>
      </c>
      <c r="B176" s="850" t="s">
        <v>2227</v>
      </c>
      <c r="C176" s="576" t="s">
        <v>2586</v>
      </c>
      <c r="D176" s="859" t="s">
        <v>2256</v>
      </c>
      <c r="E176" s="1003" t="s">
        <v>2697</v>
      </c>
      <c r="F176" s="952">
        <f>ROUND(SUMIFS('A0.LS'!AX:AX,'A0.LS'!C:C,D176),0)</f>
        <v>1326751737</v>
      </c>
      <c r="G176" s="952">
        <v>0</v>
      </c>
      <c r="H176" s="938">
        <v>1692275915</v>
      </c>
      <c r="I176" s="938">
        <v>0</v>
      </c>
      <c r="J176" s="946">
        <f t="shared" si="3"/>
        <v>2.9827109195063907E-2</v>
      </c>
      <c r="K176" s="946">
        <f t="shared" si="4"/>
        <v>3.2278536222813216E-2</v>
      </c>
      <c r="L176" s="850" t="s">
        <v>681</v>
      </c>
      <c r="M176" s="850"/>
      <c r="N176" s="1017">
        <v>8223302826</v>
      </c>
      <c r="O176" s="850"/>
      <c r="P176" s="850"/>
      <c r="Q176" s="850"/>
      <c r="R176" s="850"/>
      <c r="S176" s="850"/>
    </row>
    <row r="177" spans="1:19">
      <c r="A177" s="850" t="s">
        <v>2585</v>
      </c>
      <c r="B177" s="850" t="s">
        <v>2227</v>
      </c>
      <c r="C177" s="576" t="s">
        <v>2586</v>
      </c>
      <c r="D177" s="859"/>
      <c r="E177" s="1003"/>
      <c r="F177" s="952"/>
      <c r="G177" s="952"/>
      <c r="H177" s="938"/>
      <c r="I177" s="938"/>
      <c r="J177" s="946">
        <f t="shared" si="3"/>
        <v>0</v>
      </c>
      <c r="K177" s="946">
        <f t="shared" si="4"/>
        <v>0</v>
      </c>
      <c r="L177" s="850"/>
      <c r="M177" s="850"/>
      <c r="N177" s="1017">
        <v>5100861735</v>
      </c>
      <c r="O177" s="850"/>
      <c r="P177" s="850"/>
      <c r="Q177" s="850"/>
      <c r="R177" s="850"/>
      <c r="S177" s="850"/>
    </row>
    <row r="178" spans="1:19">
      <c r="A178" s="850" t="s">
        <v>2585</v>
      </c>
      <c r="B178" s="850" t="s">
        <v>2227</v>
      </c>
      <c r="C178" s="576" t="s">
        <v>2586</v>
      </c>
      <c r="D178" s="859"/>
      <c r="E178" s="1003"/>
      <c r="F178" s="952"/>
      <c r="G178" s="952"/>
      <c r="H178" s="938"/>
      <c r="I178" s="938"/>
      <c r="J178" s="946">
        <f t="shared" si="3"/>
        <v>0</v>
      </c>
      <c r="K178" s="946">
        <f t="shared" si="4"/>
        <v>0</v>
      </c>
      <c r="L178" s="850"/>
      <c r="M178" s="850"/>
      <c r="N178" s="1017">
        <v>2378177197</v>
      </c>
      <c r="O178" s="850"/>
      <c r="P178" s="850"/>
      <c r="Q178" s="850"/>
      <c r="R178" s="850"/>
      <c r="S178" s="850"/>
    </row>
    <row r="179" spans="1:19">
      <c r="A179" s="850" t="s">
        <v>2585</v>
      </c>
      <c r="B179" s="850" t="s">
        <v>2227</v>
      </c>
      <c r="C179" s="576" t="s">
        <v>2586</v>
      </c>
      <c r="D179" s="859"/>
      <c r="E179" s="1003"/>
      <c r="F179" s="952"/>
      <c r="G179" s="952"/>
      <c r="H179" s="938"/>
      <c r="I179" s="938"/>
      <c r="J179" s="946">
        <f t="shared" si="3"/>
        <v>0</v>
      </c>
      <c r="K179" s="946">
        <f t="shared" si="4"/>
        <v>0</v>
      </c>
      <c r="L179" s="850"/>
      <c r="M179" s="850"/>
      <c r="N179" s="1017">
        <v>621444201</v>
      </c>
      <c r="O179" s="850"/>
      <c r="P179" s="850"/>
      <c r="Q179" s="850"/>
      <c r="R179" s="850"/>
      <c r="S179" s="850"/>
    </row>
    <row r="180" spans="1:19">
      <c r="A180" s="850" t="s">
        <v>2585</v>
      </c>
      <c r="B180" s="850" t="s">
        <v>2227</v>
      </c>
      <c r="C180" s="576" t="s">
        <v>2586</v>
      </c>
      <c r="D180" s="859"/>
      <c r="E180" s="1003"/>
      <c r="F180" s="952"/>
      <c r="G180" s="952"/>
      <c r="H180" s="938"/>
      <c r="I180" s="938"/>
      <c r="J180" s="946">
        <f t="shared" si="3"/>
        <v>0</v>
      </c>
      <c r="K180" s="946">
        <f t="shared" si="4"/>
        <v>0</v>
      </c>
      <c r="L180" s="850"/>
      <c r="M180" s="850"/>
      <c r="N180" s="1017">
        <v>308899000</v>
      </c>
      <c r="O180" s="850"/>
      <c r="P180" s="850"/>
      <c r="Q180" s="850"/>
      <c r="R180" s="850"/>
      <c r="S180" s="850"/>
    </row>
    <row r="181" spans="1:19" ht="25.5">
      <c r="A181" s="850"/>
      <c r="B181" s="850" t="s">
        <v>2227</v>
      </c>
      <c r="C181" s="576" t="s">
        <v>2586</v>
      </c>
      <c r="D181" s="859"/>
      <c r="E181" s="1003" t="s">
        <v>2698</v>
      </c>
      <c r="F181" s="952">
        <f>'TB VNSC FY24'!I150</f>
        <v>8870000000</v>
      </c>
      <c r="G181" s="952">
        <v>0</v>
      </c>
      <c r="H181" s="938"/>
      <c r="I181" s="938"/>
      <c r="J181" s="946"/>
      <c r="K181" s="946"/>
      <c r="L181" s="850"/>
      <c r="M181" s="850"/>
      <c r="N181" s="1017"/>
      <c r="O181" s="850"/>
      <c r="P181" s="850"/>
      <c r="Q181" s="850"/>
      <c r="R181" s="850"/>
      <c r="S181" s="850"/>
    </row>
    <row r="182" spans="1:19">
      <c r="A182" s="850" t="s">
        <v>2585</v>
      </c>
      <c r="B182" s="850" t="s">
        <v>2227</v>
      </c>
      <c r="C182" s="576" t="s">
        <v>2586</v>
      </c>
      <c r="D182" s="859"/>
      <c r="E182" s="1003" t="s">
        <v>2699</v>
      </c>
      <c r="F182" s="952">
        <f>'A4.N2FS Singles'!F161</f>
        <v>2872759147</v>
      </c>
      <c r="G182" s="952">
        <v>0</v>
      </c>
      <c r="H182" s="938">
        <f>'A4.N2FS Singles'!H161</f>
        <v>792935656</v>
      </c>
      <c r="I182" s="938"/>
      <c r="J182" s="946">
        <f>F182/$F$184</f>
        <v>6.458337183898305E-2</v>
      </c>
      <c r="K182" s="946">
        <f>H182/$H$184</f>
        <v>1.5124485355897865E-2</v>
      </c>
      <c r="L182" s="850" t="s">
        <v>681</v>
      </c>
      <c r="M182" s="850"/>
      <c r="N182" s="1017">
        <v>27409060</v>
      </c>
      <c r="O182" s="850"/>
      <c r="P182" s="850"/>
      <c r="Q182" s="850"/>
      <c r="R182" s="850"/>
      <c r="S182" s="850"/>
    </row>
    <row r="183" spans="1:19">
      <c r="A183" s="850" t="s">
        <v>2585</v>
      </c>
      <c r="B183" s="850" t="s">
        <v>2227</v>
      </c>
      <c r="C183" s="576" t="s">
        <v>2586</v>
      </c>
      <c r="D183" s="859" t="s">
        <v>2220</v>
      </c>
      <c r="E183" s="1003" t="s">
        <v>2694</v>
      </c>
      <c r="F183" s="952">
        <f>'A1.BS'!R24-SUM('A4.N2FS Consol'!F172:F182)</f>
        <v>3968853868</v>
      </c>
      <c r="G183" s="952">
        <v>0</v>
      </c>
      <c r="H183" s="1007">
        <f>'A1.BS'!V24-SUM('A4.N2FS Consol'!H172:H182)</f>
        <v>3846702488</v>
      </c>
      <c r="I183" s="938">
        <v>0</v>
      </c>
      <c r="J183" s="946">
        <f>F183/$F$184</f>
        <v>8.9225010526658738E-2</v>
      </c>
      <c r="K183" s="946">
        <f>H183/$H$184</f>
        <v>7.3372151962166121E-2</v>
      </c>
      <c r="L183" s="850"/>
      <c r="M183" s="850"/>
      <c r="N183" s="1017">
        <v>7175263</v>
      </c>
      <c r="O183" s="850"/>
      <c r="P183" s="850"/>
      <c r="Q183" s="850"/>
      <c r="R183" s="850"/>
      <c r="S183" s="850"/>
    </row>
    <row r="184" spans="1:19" ht="13.5" thickBot="1">
      <c r="A184" s="850" t="s">
        <v>2585</v>
      </c>
      <c r="B184" s="850" t="s">
        <v>2227</v>
      </c>
      <c r="C184" s="576" t="s">
        <v>2586</v>
      </c>
      <c r="D184" s="850"/>
      <c r="E184" s="850"/>
      <c r="F184" s="1543">
        <f>SUM(F172:F183)</f>
        <v>44481405433</v>
      </c>
      <c r="G184" s="1543">
        <f>SUM(G172:G183)</f>
        <v>0</v>
      </c>
      <c r="H184" s="1544">
        <f>SUM(H172:H183)</f>
        <v>52427281811</v>
      </c>
      <c r="I184" s="1544">
        <f>SUM(I172:I183)</f>
        <v>0</v>
      </c>
      <c r="J184" s="850"/>
      <c r="K184" s="850"/>
      <c r="L184" s="850"/>
      <c r="M184" s="850"/>
      <c r="N184" s="1017">
        <v>118657389</v>
      </c>
      <c r="O184" s="850"/>
      <c r="P184" s="850"/>
      <c r="Q184" s="850"/>
      <c r="R184" s="850"/>
      <c r="S184" s="850"/>
    </row>
    <row r="185" spans="1:19" ht="13.5" thickTop="1">
      <c r="A185" s="850" t="s">
        <v>2585</v>
      </c>
      <c r="B185" s="850" t="s">
        <v>2227</v>
      </c>
      <c r="C185" s="576" t="s">
        <v>2586</v>
      </c>
      <c r="D185" s="850"/>
      <c r="E185" s="946"/>
      <c r="F185" s="850"/>
      <c r="G185" s="850"/>
      <c r="H185" s="850"/>
      <c r="I185" s="850"/>
      <c r="J185" s="850"/>
      <c r="K185" s="850"/>
      <c r="L185" s="850"/>
      <c r="M185" s="850"/>
      <c r="N185" s="1017">
        <v>1029617301</v>
      </c>
      <c r="O185" s="850"/>
      <c r="P185" s="850"/>
      <c r="Q185" s="850"/>
      <c r="R185" s="850"/>
      <c r="S185" s="850"/>
    </row>
    <row r="186" spans="1:19">
      <c r="A186" s="850" t="s">
        <v>2585</v>
      </c>
      <c r="B186" s="850" t="s">
        <v>2227</v>
      </c>
      <c r="C186" s="576" t="s">
        <v>2586</v>
      </c>
      <c r="D186" s="850"/>
      <c r="E186" s="1" t="s">
        <v>2002</v>
      </c>
      <c r="F186" s="857">
        <f>F184+G184-'A1.BS'!R24</f>
        <v>0</v>
      </c>
      <c r="G186" s="850"/>
      <c r="H186" s="857">
        <f>H184+I184-'A1.BS'!V24</f>
        <v>0</v>
      </c>
      <c r="I186" s="850"/>
      <c r="J186" s="850"/>
      <c r="K186" s="850"/>
      <c r="L186" s="850"/>
      <c r="M186" s="850"/>
      <c r="N186" s="1017">
        <f>SUM(N175:N185)</f>
        <v>29338923894</v>
      </c>
      <c r="O186" s="850"/>
      <c r="P186" s="850"/>
      <c r="Q186" s="850"/>
      <c r="R186" s="850"/>
      <c r="S186" s="850"/>
    </row>
    <row r="187" spans="1:19">
      <c r="A187" s="850" t="s">
        <v>2585</v>
      </c>
      <c r="B187" s="850" t="s">
        <v>2227</v>
      </c>
      <c r="C187" s="576" t="s">
        <v>2586</v>
      </c>
      <c r="D187" s="850"/>
      <c r="E187" s="850"/>
      <c r="F187" s="850"/>
      <c r="G187" s="850"/>
      <c r="H187" s="275"/>
      <c r="I187" s="850"/>
      <c r="J187" s="850"/>
      <c r="K187" s="850"/>
      <c r="L187" s="850"/>
      <c r="M187" s="850"/>
      <c r="N187" s="850"/>
      <c r="O187" s="850"/>
      <c r="P187" s="850"/>
      <c r="Q187" s="850"/>
      <c r="R187" s="850"/>
      <c r="S187" s="850"/>
    </row>
    <row r="188" spans="1:19">
      <c r="A188" s="850"/>
      <c r="B188" s="850" t="s">
        <v>2227</v>
      </c>
      <c r="C188" s="576" t="s">
        <v>2586</v>
      </c>
      <c r="D188" s="850"/>
      <c r="E188" s="850"/>
      <c r="F188" s="850"/>
      <c r="G188" s="850"/>
      <c r="H188" s="275"/>
      <c r="I188" s="850"/>
      <c r="J188" s="850"/>
      <c r="K188" s="850"/>
      <c r="L188" s="850"/>
      <c r="M188" s="850"/>
      <c r="N188" s="850"/>
      <c r="O188" s="850"/>
      <c r="P188" s="850"/>
      <c r="Q188" s="850"/>
      <c r="R188" s="850"/>
      <c r="S188" s="850"/>
    </row>
    <row r="189" spans="1:19">
      <c r="A189" s="850" t="s">
        <v>2585</v>
      </c>
      <c r="B189" s="850" t="s">
        <v>2227</v>
      </c>
      <c r="C189" s="576" t="s">
        <v>2586</v>
      </c>
      <c r="D189" s="850"/>
      <c r="E189" s="850"/>
      <c r="F189" s="850"/>
      <c r="G189" s="850"/>
      <c r="H189" s="275"/>
      <c r="I189" s="850"/>
      <c r="J189" s="850"/>
      <c r="K189" s="850"/>
      <c r="L189" s="850"/>
      <c r="M189" s="850"/>
      <c r="N189" s="850"/>
      <c r="O189" s="850"/>
      <c r="P189" s="850"/>
      <c r="Q189" s="850"/>
      <c r="R189" s="850"/>
      <c r="S189" s="850"/>
    </row>
    <row r="190" spans="1:19">
      <c r="A190" s="850" t="s">
        <v>2585</v>
      </c>
      <c r="B190" s="850" t="s">
        <v>2227</v>
      </c>
      <c r="C190" s="576" t="s">
        <v>2586</v>
      </c>
      <c r="D190" s="850"/>
      <c r="E190" s="850" t="s">
        <v>2692</v>
      </c>
      <c r="F190" s="850"/>
      <c r="G190" s="850"/>
      <c r="H190" s="275"/>
      <c r="I190" s="850"/>
      <c r="J190" s="850"/>
      <c r="K190" s="850"/>
      <c r="L190" s="850"/>
      <c r="M190" s="850"/>
      <c r="N190" s="850"/>
      <c r="O190" s="850"/>
      <c r="P190" s="850"/>
      <c r="Q190" s="850"/>
      <c r="R190" s="850"/>
      <c r="S190" s="850"/>
    </row>
    <row r="191" spans="1:19">
      <c r="A191" s="850" t="s">
        <v>2585</v>
      </c>
      <c r="B191" s="850" t="s">
        <v>2227</v>
      </c>
      <c r="C191" s="576" t="s">
        <v>2586</v>
      </c>
      <c r="D191" s="850"/>
      <c r="E191" s="850"/>
      <c r="F191" s="546">
        <v>45657</v>
      </c>
      <c r="G191" s="547"/>
      <c r="H191" s="551">
        <v>45291</v>
      </c>
      <c r="I191" s="552"/>
      <c r="J191" s="850"/>
      <c r="K191" s="850"/>
      <c r="L191" s="850"/>
      <c r="M191" s="850"/>
      <c r="N191" s="850"/>
      <c r="O191" s="850"/>
      <c r="P191" s="850"/>
      <c r="Q191" s="850"/>
      <c r="R191" s="850"/>
      <c r="S191" s="850"/>
    </row>
    <row r="192" spans="1:19" ht="25.5">
      <c r="A192" s="850" t="s">
        <v>2585</v>
      </c>
      <c r="B192" s="850" t="s">
        <v>2227</v>
      </c>
      <c r="C192" s="576" t="s">
        <v>2586</v>
      </c>
      <c r="D192" s="850"/>
      <c r="E192" s="850"/>
      <c r="F192" s="549" t="s">
        <v>2688</v>
      </c>
      <c r="G192" s="549" t="s">
        <v>2614</v>
      </c>
      <c r="H192" s="554" t="s">
        <v>2688</v>
      </c>
      <c r="I192" s="554" t="s">
        <v>2614</v>
      </c>
      <c r="J192" s="850"/>
      <c r="K192" s="850"/>
      <c r="L192" s="850"/>
      <c r="M192" s="850"/>
      <c r="N192" s="850"/>
      <c r="O192" s="850"/>
      <c r="P192" s="850"/>
      <c r="Q192" s="850"/>
      <c r="R192" s="850"/>
      <c r="S192" s="850"/>
    </row>
    <row r="193" spans="1:21">
      <c r="A193" s="850" t="s">
        <v>2585</v>
      </c>
      <c r="B193" s="850" t="s">
        <v>2227</v>
      </c>
      <c r="C193" s="576" t="s">
        <v>2586</v>
      </c>
      <c r="D193" s="850"/>
      <c r="E193" s="850" t="s">
        <v>2700</v>
      </c>
      <c r="F193" s="952">
        <f>'A4.N2FS Singles'!F171</f>
        <v>0</v>
      </c>
      <c r="G193" s="952">
        <v>0</v>
      </c>
      <c r="H193" s="938">
        <v>380000</v>
      </c>
      <c r="I193" s="910"/>
      <c r="J193" s="850"/>
      <c r="K193" s="850"/>
      <c r="L193" s="850"/>
      <c r="M193" s="850"/>
      <c r="N193" s="850"/>
      <c r="O193" s="850"/>
      <c r="P193" s="850"/>
      <c r="Q193" s="850"/>
      <c r="R193" s="850"/>
      <c r="S193" s="850"/>
      <c r="T193" s="850"/>
      <c r="U193" s="850"/>
    </row>
    <row r="194" spans="1:21">
      <c r="A194" s="850" t="s">
        <v>2585</v>
      </c>
      <c r="B194" s="850" t="s">
        <v>2227</v>
      </c>
      <c r="C194" s="576" t="s">
        <v>2586</v>
      </c>
      <c r="D194" s="850"/>
      <c r="E194" s="850" t="s">
        <v>2701</v>
      </c>
      <c r="F194" s="952">
        <f>'A4.N2FS Singles'!F172</f>
        <v>0</v>
      </c>
      <c r="G194" s="952">
        <v>0</v>
      </c>
      <c r="H194" s="938">
        <v>28437160</v>
      </c>
      <c r="I194" s="910"/>
      <c r="J194" s="850"/>
      <c r="K194" s="850"/>
      <c r="L194" s="850"/>
      <c r="M194" s="850"/>
      <c r="N194" s="850"/>
      <c r="O194" s="850"/>
      <c r="P194" s="850"/>
      <c r="Q194" s="850"/>
      <c r="R194" s="850"/>
      <c r="S194" s="850"/>
      <c r="T194" s="850"/>
      <c r="U194" s="850"/>
    </row>
    <row r="195" spans="1:21">
      <c r="A195" s="850" t="s">
        <v>2585</v>
      </c>
      <c r="B195" s="850" t="s">
        <v>2227</v>
      </c>
      <c r="C195" s="576" t="s">
        <v>2586</v>
      </c>
      <c r="D195" s="850"/>
      <c r="E195" s="850" t="s">
        <v>2700</v>
      </c>
      <c r="F195" s="952">
        <f>'A4.N2FS Singles'!F176</f>
        <v>0</v>
      </c>
      <c r="G195" s="952">
        <v>0</v>
      </c>
      <c r="H195" s="938">
        <v>2122875</v>
      </c>
      <c r="I195" s="910"/>
      <c r="J195" s="850" t="s">
        <v>2699</v>
      </c>
      <c r="K195" s="850"/>
      <c r="L195" s="850"/>
      <c r="M195" s="850"/>
      <c r="N195" s="850"/>
      <c r="O195" s="850"/>
      <c r="P195" s="850"/>
      <c r="Q195" s="850"/>
      <c r="R195" s="850"/>
      <c r="S195" s="850"/>
      <c r="T195" s="850"/>
      <c r="U195" s="850"/>
    </row>
    <row r="196" spans="1:21">
      <c r="A196" s="850" t="s">
        <v>2585</v>
      </c>
      <c r="B196" s="850" t="s">
        <v>2227</v>
      </c>
      <c r="C196" s="576" t="s">
        <v>2586</v>
      </c>
      <c r="D196" s="850"/>
      <c r="E196" s="850" t="s">
        <v>2702</v>
      </c>
      <c r="F196" s="952">
        <f>'A4.N2FS Singles'!F177</f>
        <v>0</v>
      </c>
      <c r="G196" s="952">
        <v>0</v>
      </c>
      <c r="H196" s="938">
        <v>387740404</v>
      </c>
      <c r="I196" s="910"/>
      <c r="J196" s="850" t="s">
        <v>2699</v>
      </c>
      <c r="K196" s="850"/>
      <c r="L196" s="850"/>
      <c r="M196" s="850"/>
      <c r="N196" s="850"/>
      <c r="O196" s="850"/>
      <c r="P196" s="850"/>
      <c r="Q196" s="850"/>
      <c r="R196" s="850"/>
      <c r="S196" s="850"/>
      <c r="T196" s="850"/>
      <c r="U196" s="850"/>
    </row>
    <row r="197" spans="1:21" ht="13.5" thickBot="1">
      <c r="A197" s="850" t="s">
        <v>2585</v>
      </c>
      <c r="B197" s="850" t="s">
        <v>2227</v>
      </c>
      <c r="C197" s="576" t="s">
        <v>2586</v>
      </c>
      <c r="D197" s="850"/>
      <c r="E197" s="850"/>
      <c r="F197" s="1545">
        <f>SUM(F193:F196)</f>
        <v>0</v>
      </c>
      <c r="G197" s="1545">
        <f t="shared" ref="G197:I197" si="5">SUM(G193:G196)</f>
        <v>0</v>
      </c>
      <c r="H197" s="1546">
        <f t="shared" si="5"/>
        <v>418680439</v>
      </c>
      <c r="I197" s="1546">
        <f t="shared" si="5"/>
        <v>0</v>
      </c>
      <c r="J197" s="850"/>
      <c r="K197" s="850"/>
      <c r="L197" s="850"/>
      <c r="M197" s="850"/>
      <c r="N197" s="850"/>
      <c r="O197" s="850"/>
      <c r="P197" s="850"/>
      <c r="Q197" s="850"/>
      <c r="R197" s="850"/>
      <c r="S197" s="850"/>
      <c r="T197" s="850"/>
      <c r="U197" s="850"/>
    </row>
    <row r="198" spans="1:21" ht="13.5" thickTop="1">
      <c r="A198" s="850" t="s">
        <v>2585</v>
      </c>
      <c r="B198" s="850" t="s">
        <v>2227</v>
      </c>
      <c r="C198" s="576" t="s">
        <v>2586</v>
      </c>
      <c r="D198" s="850"/>
      <c r="E198" s="850"/>
      <c r="F198" s="850"/>
      <c r="G198" s="850"/>
      <c r="H198" s="275"/>
      <c r="I198" s="850"/>
      <c r="J198" s="850"/>
      <c r="K198" s="850"/>
      <c r="L198" s="850"/>
      <c r="M198" s="850"/>
      <c r="N198" s="850"/>
      <c r="O198" s="850"/>
      <c r="P198" s="850"/>
      <c r="Q198" s="850"/>
      <c r="R198" s="850"/>
      <c r="S198" s="850"/>
      <c r="T198" s="850"/>
      <c r="U198" s="850"/>
    </row>
    <row r="199" spans="1:21">
      <c r="A199" s="850" t="s">
        <v>2585</v>
      </c>
      <c r="B199" s="850" t="s">
        <v>2227</v>
      </c>
      <c r="C199" s="576" t="s">
        <v>2586</v>
      </c>
      <c r="D199" s="850"/>
      <c r="E199" s="850"/>
      <c r="F199" s="850"/>
      <c r="G199" s="850"/>
      <c r="H199" s="275"/>
      <c r="I199" s="850"/>
      <c r="J199" s="850"/>
      <c r="K199" s="850"/>
      <c r="L199" s="850"/>
      <c r="M199" s="850"/>
      <c r="N199" s="850"/>
      <c r="O199" s="850"/>
      <c r="P199" s="850"/>
      <c r="Q199" s="850"/>
      <c r="R199" s="850"/>
      <c r="S199" s="850"/>
      <c r="T199" s="850"/>
      <c r="U199" s="850"/>
    </row>
    <row r="200" spans="1:21">
      <c r="A200" s="850" t="s">
        <v>2585</v>
      </c>
      <c r="B200" s="850" t="s">
        <v>2227</v>
      </c>
      <c r="C200" s="576" t="s">
        <v>2586</v>
      </c>
      <c r="D200" s="850"/>
      <c r="E200" s="850"/>
      <c r="F200" s="850"/>
      <c r="G200" s="850"/>
      <c r="H200" s="850"/>
      <c r="I200" s="850"/>
      <c r="J200" s="850"/>
      <c r="K200" s="850"/>
      <c r="L200" s="850"/>
      <c r="M200" s="850"/>
      <c r="N200" s="850"/>
      <c r="O200" s="850"/>
      <c r="P200" s="850"/>
      <c r="Q200" s="850"/>
      <c r="R200" s="850"/>
      <c r="S200" s="850"/>
      <c r="T200" s="850"/>
      <c r="U200" s="850"/>
    </row>
    <row r="201" spans="1:21">
      <c r="A201" s="172"/>
      <c r="B201" s="172" t="s">
        <v>2227</v>
      </c>
      <c r="C201" s="172" t="s">
        <v>681</v>
      </c>
      <c r="D201" s="172"/>
      <c r="E201" s="172" t="s">
        <v>2703</v>
      </c>
      <c r="F201" s="172"/>
      <c r="G201" s="172"/>
      <c r="H201" s="172"/>
      <c r="I201" s="172"/>
      <c r="J201" s="172"/>
      <c r="K201" s="172"/>
      <c r="L201" s="172"/>
      <c r="M201" s="172"/>
      <c r="N201" s="172"/>
      <c r="O201" s="172"/>
      <c r="P201" s="172"/>
      <c r="Q201" s="172"/>
      <c r="R201" s="172"/>
      <c r="S201" s="172"/>
      <c r="T201" s="850"/>
      <c r="U201" s="850"/>
    </row>
    <row r="202" spans="1:21">
      <c r="A202" s="850" t="s">
        <v>2602</v>
      </c>
      <c r="B202" s="850" t="s">
        <v>2227</v>
      </c>
      <c r="C202" s="576" t="s">
        <v>2586</v>
      </c>
      <c r="D202" s="850"/>
      <c r="E202" s="850"/>
      <c r="F202" s="850"/>
      <c r="G202" s="850"/>
      <c r="H202" s="850"/>
      <c r="I202" s="850"/>
      <c r="J202" s="850"/>
      <c r="K202" s="850"/>
      <c r="L202" s="850"/>
      <c r="M202" s="850"/>
      <c r="N202" s="850"/>
      <c r="O202" s="850"/>
      <c r="P202" s="850"/>
      <c r="Q202" s="850"/>
      <c r="R202" s="850"/>
      <c r="S202" s="850"/>
      <c r="T202" s="850"/>
      <c r="U202" s="850"/>
    </row>
    <row r="203" spans="1:21">
      <c r="A203" s="850" t="s">
        <v>2602</v>
      </c>
      <c r="B203" s="850" t="s">
        <v>2227</v>
      </c>
      <c r="C203" s="576" t="s">
        <v>2586</v>
      </c>
      <c r="D203" s="850"/>
      <c r="E203" s="850"/>
      <c r="F203" s="546">
        <v>45657</v>
      </c>
      <c r="G203" s="547"/>
      <c r="H203" s="551">
        <v>45291</v>
      </c>
      <c r="I203" s="552"/>
      <c r="J203" s="850"/>
      <c r="K203" s="850"/>
      <c r="L203" s="850"/>
      <c r="M203" s="850"/>
      <c r="N203" s="850"/>
      <c r="O203" s="850"/>
      <c r="P203" s="850"/>
      <c r="Q203" s="850"/>
      <c r="R203" s="850"/>
      <c r="S203" s="850"/>
      <c r="T203" s="850"/>
      <c r="U203" s="850"/>
    </row>
    <row r="204" spans="1:21" ht="25.5">
      <c r="A204" s="850" t="s">
        <v>2602</v>
      </c>
      <c r="B204" s="850" t="s">
        <v>2227</v>
      </c>
      <c r="C204" s="576" t="s">
        <v>2586</v>
      </c>
      <c r="D204" s="850"/>
      <c r="E204" s="850"/>
      <c r="F204" s="549" t="s">
        <v>2612</v>
      </c>
      <c r="G204" s="549" t="s">
        <v>2614</v>
      </c>
      <c r="H204" s="554" t="s">
        <v>2612</v>
      </c>
      <c r="I204" s="554" t="s">
        <v>2614</v>
      </c>
      <c r="J204" s="850"/>
      <c r="K204" s="850"/>
      <c r="L204" s="850"/>
      <c r="M204" s="850"/>
      <c r="N204" s="850"/>
      <c r="O204" s="850"/>
      <c r="P204" s="850"/>
      <c r="Q204" s="850"/>
      <c r="R204" s="850"/>
      <c r="S204" s="850"/>
      <c r="T204" s="850"/>
      <c r="U204" s="850"/>
    </row>
    <row r="205" spans="1:21">
      <c r="A205" s="850" t="s">
        <v>2602</v>
      </c>
      <c r="B205" s="850" t="s">
        <v>2227</v>
      </c>
      <c r="C205" s="576" t="s">
        <v>2586</v>
      </c>
      <c r="D205" s="859" t="s">
        <v>2267</v>
      </c>
      <c r="E205" s="850" t="s">
        <v>2704</v>
      </c>
      <c r="F205" s="1044">
        <f>'A0.LS'!AC65</f>
        <v>0</v>
      </c>
      <c r="G205" s="1044">
        <v>0</v>
      </c>
      <c r="H205" s="1045">
        <v>4790138369</v>
      </c>
      <c r="I205" s="1045">
        <v>0</v>
      </c>
      <c r="J205" s="850"/>
      <c r="K205" s="850"/>
      <c r="L205" s="850"/>
      <c r="M205" s="850"/>
      <c r="N205" s="850"/>
      <c r="O205" s="850"/>
      <c r="P205" s="850"/>
      <c r="Q205" s="850"/>
      <c r="R205" s="850"/>
      <c r="S205" s="850"/>
      <c r="T205" s="850"/>
      <c r="U205" s="850"/>
    </row>
    <row r="206" spans="1:21">
      <c r="A206" s="850" t="s">
        <v>2602</v>
      </c>
      <c r="B206" s="850" t="s">
        <v>2227</v>
      </c>
      <c r="C206" s="576" t="s">
        <v>2586</v>
      </c>
      <c r="D206" s="859" t="s">
        <v>2267</v>
      </c>
      <c r="E206" s="850" t="s">
        <v>2705</v>
      </c>
      <c r="F206" s="1044">
        <f>'A0.LS'!L65</f>
        <v>0</v>
      </c>
      <c r="G206" s="1044">
        <v>0</v>
      </c>
      <c r="H206" s="1045">
        <v>3000000000</v>
      </c>
      <c r="I206" s="1045">
        <v>0</v>
      </c>
      <c r="J206" s="850"/>
      <c r="K206" s="850"/>
      <c r="L206" s="850"/>
      <c r="M206" s="850"/>
      <c r="N206" s="850"/>
      <c r="O206" s="850"/>
      <c r="P206" s="850"/>
      <c r="Q206" s="850"/>
      <c r="R206" s="850"/>
      <c r="S206" s="850"/>
      <c r="T206" s="850"/>
      <c r="U206" s="850"/>
    </row>
    <row r="207" spans="1:21" ht="13.5" thickBot="1">
      <c r="A207" s="850" t="s">
        <v>2602</v>
      </c>
      <c r="B207" s="850" t="s">
        <v>2227</v>
      </c>
      <c r="C207" s="576" t="s">
        <v>2586</v>
      </c>
      <c r="D207" s="850"/>
      <c r="E207" s="850"/>
      <c r="F207" s="1545">
        <f>SUM(F205:F206)</f>
        <v>0</v>
      </c>
      <c r="G207" s="1545">
        <f>SUM(G205:G206)</f>
        <v>0</v>
      </c>
      <c r="H207" s="1546">
        <f>SUM(H205:H206)</f>
        <v>7790138369</v>
      </c>
      <c r="I207" s="1546">
        <f>SUM(I205:I206)</f>
        <v>0</v>
      </c>
      <c r="J207" s="850"/>
      <c r="K207" s="850"/>
      <c r="L207" s="850"/>
      <c r="M207" s="850"/>
      <c r="N207" s="850"/>
      <c r="O207" s="850"/>
      <c r="P207" s="850"/>
      <c r="Q207" s="850"/>
      <c r="R207" s="850"/>
      <c r="S207" s="850"/>
      <c r="T207" s="850"/>
      <c r="U207" s="850"/>
    </row>
    <row r="208" spans="1:21" ht="13.5" thickTop="1">
      <c r="A208" s="850" t="s">
        <v>2602</v>
      </c>
      <c r="B208" s="850" t="s">
        <v>2227</v>
      </c>
      <c r="C208" s="576" t="s">
        <v>2586</v>
      </c>
      <c r="D208" s="850"/>
      <c r="E208" s="850"/>
      <c r="F208" s="857"/>
      <c r="G208" s="857"/>
      <c r="H208" s="857"/>
      <c r="I208" s="857"/>
      <c r="J208" s="850"/>
      <c r="K208" s="850"/>
      <c r="L208" s="850"/>
      <c r="M208" s="850"/>
      <c r="N208" s="850"/>
      <c r="O208" s="850"/>
      <c r="P208" s="850"/>
      <c r="Q208" s="850"/>
      <c r="R208" s="850"/>
      <c r="S208" s="850"/>
      <c r="T208" s="850"/>
      <c r="U208" s="850"/>
    </row>
    <row r="209" spans="1:21">
      <c r="A209" s="850" t="s">
        <v>2602</v>
      </c>
      <c r="B209" s="850" t="s">
        <v>2227</v>
      </c>
      <c r="C209" s="576" t="s">
        <v>2586</v>
      </c>
      <c r="D209" s="850"/>
      <c r="E209" s="1" t="s">
        <v>1970</v>
      </c>
      <c r="F209" s="848">
        <f>F207-'A1.BS'!R29</f>
        <v>0</v>
      </c>
      <c r="G209" s="850"/>
      <c r="H209" s="857">
        <f>H207-'A1.BS'!V29</f>
        <v>0</v>
      </c>
      <c r="I209" s="850"/>
      <c r="J209" s="850"/>
      <c r="K209" s="850"/>
      <c r="L209" s="850"/>
      <c r="M209" s="850"/>
      <c r="N209" s="850"/>
      <c r="O209" s="850"/>
      <c r="P209" s="850"/>
      <c r="Q209" s="850"/>
      <c r="R209" s="850"/>
      <c r="S209" s="850"/>
      <c r="T209" s="850"/>
      <c r="U209" s="850"/>
    </row>
    <row r="210" spans="1:21">
      <c r="A210" s="850" t="s">
        <v>2602</v>
      </c>
      <c r="B210" s="850" t="s">
        <v>2227</v>
      </c>
      <c r="C210" s="576" t="s">
        <v>2586</v>
      </c>
      <c r="D210" s="850"/>
      <c r="E210" s="850"/>
      <c r="F210" s="850"/>
      <c r="G210" s="850"/>
      <c r="H210" s="850"/>
      <c r="I210" s="850"/>
      <c r="J210" s="850"/>
      <c r="K210" s="850"/>
      <c r="L210" s="850"/>
      <c r="M210" s="850"/>
      <c r="N210" s="850"/>
      <c r="O210" s="850"/>
      <c r="P210" s="850"/>
      <c r="Q210" s="850"/>
      <c r="R210" s="850"/>
      <c r="S210" s="850"/>
      <c r="T210" s="850"/>
      <c r="U210" s="850"/>
    </row>
    <row r="211" spans="1:21">
      <c r="A211" s="172"/>
      <c r="B211" s="172" t="s">
        <v>676</v>
      </c>
      <c r="C211" s="172" t="s">
        <v>681</v>
      </c>
      <c r="D211" s="172"/>
      <c r="E211" s="172" t="s">
        <v>2706</v>
      </c>
      <c r="F211" s="172"/>
      <c r="G211" s="172"/>
      <c r="H211" s="172"/>
      <c r="I211" s="172"/>
      <c r="J211" s="172"/>
      <c r="K211" s="172"/>
      <c r="L211" s="172"/>
      <c r="M211" s="172"/>
      <c r="N211" s="172"/>
      <c r="O211" s="172"/>
      <c r="P211" s="172"/>
      <c r="Q211" s="172"/>
      <c r="R211" s="172"/>
      <c r="S211" s="172"/>
      <c r="T211" s="850"/>
      <c r="U211" s="850"/>
    </row>
    <row r="212" spans="1:21" ht="11.85" customHeight="1">
      <c r="A212" s="850" t="s">
        <v>2585</v>
      </c>
      <c r="B212" s="850" t="s">
        <v>676</v>
      </c>
      <c r="C212" s="576" t="s">
        <v>2586</v>
      </c>
      <c r="D212" s="850"/>
      <c r="E212" s="850"/>
      <c r="F212" s="850"/>
      <c r="G212" s="850"/>
      <c r="H212" s="850"/>
      <c r="I212" s="850"/>
      <c r="J212" s="850"/>
      <c r="K212" s="850"/>
      <c r="L212" s="850"/>
      <c r="M212" s="850"/>
      <c r="N212" s="850"/>
      <c r="O212" s="850"/>
      <c r="P212" s="850"/>
      <c r="Q212" s="850"/>
      <c r="R212" s="850"/>
      <c r="S212" s="850"/>
      <c r="T212" s="850"/>
      <c r="U212" s="850"/>
    </row>
    <row r="213" spans="1:21" ht="12.6" customHeight="1">
      <c r="A213" s="850" t="s">
        <v>2585</v>
      </c>
      <c r="B213" s="850" t="s">
        <v>676</v>
      </c>
      <c r="C213" s="576" t="s">
        <v>2586</v>
      </c>
      <c r="D213" s="850"/>
      <c r="E213" s="850"/>
      <c r="F213" s="850"/>
      <c r="G213" s="850"/>
      <c r="H213" s="850"/>
      <c r="I213" s="850"/>
      <c r="J213" s="850"/>
      <c r="K213" s="850"/>
      <c r="L213" s="850"/>
      <c r="M213" s="850"/>
      <c r="N213" s="1660" t="s">
        <v>2707</v>
      </c>
      <c r="O213" s="1660"/>
      <c r="P213" s="1660"/>
      <c r="Q213" s="1660"/>
      <c r="R213" s="1660"/>
      <c r="S213" s="850"/>
      <c r="T213" s="850"/>
      <c r="U213" s="848">
        <f>478448182+6422694000</f>
        <v>6901142182</v>
      </c>
    </row>
    <row r="214" spans="1:21" ht="38.25">
      <c r="A214" s="850" t="s">
        <v>2585</v>
      </c>
      <c r="B214" s="850" t="s">
        <v>676</v>
      </c>
      <c r="C214" s="576" t="s">
        <v>2586</v>
      </c>
      <c r="D214" s="850"/>
      <c r="E214" s="850"/>
      <c r="F214" s="549" t="s">
        <v>2708</v>
      </c>
      <c r="G214" s="549" t="s">
        <v>2709</v>
      </c>
      <c r="H214" s="549" t="s">
        <v>2710</v>
      </c>
      <c r="I214" s="549" t="s">
        <v>2711</v>
      </c>
      <c r="J214" s="850"/>
      <c r="K214" s="899" t="s">
        <v>1970</v>
      </c>
      <c r="L214" s="850" t="s">
        <v>1970</v>
      </c>
      <c r="M214" s="850"/>
      <c r="N214" s="1050"/>
      <c r="O214" s="1051" t="s">
        <v>80</v>
      </c>
      <c r="P214" s="1051" t="s">
        <v>82</v>
      </c>
      <c r="Q214" s="1051" t="s">
        <v>84</v>
      </c>
      <c r="R214" s="1051" t="s">
        <v>628</v>
      </c>
      <c r="S214" s="850"/>
      <c r="T214" s="850"/>
      <c r="U214" s="850"/>
    </row>
    <row r="215" spans="1:21">
      <c r="A215" s="850" t="s">
        <v>2585</v>
      </c>
      <c r="B215" s="850" t="s">
        <v>676</v>
      </c>
      <c r="C215" s="576" t="s">
        <v>2586</v>
      </c>
      <c r="D215" s="850"/>
      <c r="E215" s="1" t="s">
        <v>1891</v>
      </c>
      <c r="F215" s="850"/>
      <c r="G215" s="850"/>
      <c r="H215" s="850"/>
      <c r="I215" s="850"/>
      <c r="J215" s="850"/>
      <c r="K215" s="850"/>
      <c r="L215" s="850"/>
      <c r="M215" s="850"/>
      <c r="N215" s="1050" t="s">
        <v>1891</v>
      </c>
      <c r="O215" s="1051"/>
      <c r="P215" s="1051"/>
      <c r="Q215" s="1051"/>
      <c r="R215" s="1051"/>
      <c r="S215" s="850"/>
      <c r="T215" s="850"/>
      <c r="U215" s="850"/>
    </row>
    <row r="216" spans="1:21">
      <c r="A216" s="850" t="s">
        <v>2585</v>
      </c>
      <c r="B216" s="850" t="s">
        <v>676</v>
      </c>
      <c r="C216" s="576" t="s">
        <v>2586</v>
      </c>
      <c r="D216" s="850"/>
      <c r="E216" s="850" t="s">
        <v>2639</v>
      </c>
      <c r="F216" s="938">
        <f>'A4.N2FS Singles'!F196+'A4.N2FS Consol'!O216</f>
        <v>2721930149</v>
      </c>
      <c r="G216" s="741">
        <f>'A4.N2FS Singles'!G196+'A4.N2FS Consol'!Q216</f>
        <v>7836008182</v>
      </c>
      <c r="H216" s="938">
        <f>'A4.N2FS Singles'!H196+'A4.N2FS Consol'!P216</f>
        <v>2514921818</v>
      </c>
      <c r="I216" s="938">
        <f>SUM(F216:H216)</f>
        <v>13072860149</v>
      </c>
      <c r="J216" s="850"/>
      <c r="K216" s="857">
        <f>I216-'A1.BS'!V52</f>
        <v>0</v>
      </c>
      <c r="L216" s="1010"/>
      <c r="M216" s="1010"/>
      <c r="N216" s="1050" t="s">
        <v>2712</v>
      </c>
      <c r="O216" s="1051">
        <v>1654533100</v>
      </c>
      <c r="P216" s="1051">
        <v>1463809091</v>
      </c>
      <c r="Q216" s="1051">
        <v>7632416909</v>
      </c>
      <c r="R216" s="1051">
        <f>SUM(O216:Q216)</f>
        <v>10750759100</v>
      </c>
      <c r="S216" s="850"/>
      <c r="T216" s="850"/>
      <c r="U216" s="850"/>
    </row>
    <row r="217" spans="1:21">
      <c r="A217" s="850" t="s">
        <v>2585</v>
      </c>
      <c r="B217" s="850" t="s">
        <v>676</v>
      </c>
      <c r="C217" s="576" t="s">
        <v>2586</v>
      </c>
      <c r="D217" s="850"/>
      <c r="E217" s="859" t="s">
        <v>2713</v>
      </c>
      <c r="F217" s="952">
        <f>'A4.N2FS Singles'!F197+'A4.N2FS Consol'!O217</f>
        <v>124909091</v>
      </c>
      <c r="G217" s="952">
        <f>'A4.N2FS Singles'!G197+'A4.N2FS Consol'!Q217</f>
        <v>68888000</v>
      </c>
      <c r="H217" s="952">
        <f>'A4.N2FS Singles'!H197+'A4.N2FS Consol'!P217</f>
        <v>0</v>
      </c>
      <c r="I217" s="952">
        <f>SUM(F217:H217)</f>
        <v>193797091</v>
      </c>
      <c r="J217" s="850"/>
      <c r="K217" s="850"/>
      <c r="L217" s="850"/>
      <c r="M217" s="850"/>
      <c r="N217" s="1050" t="s">
        <v>2714</v>
      </c>
      <c r="O217" s="1051">
        <v>44000000</v>
      </c>
      <c r="P217" s="1051">
        <v>0</v>
      </c>
      <c r="Q217" s="1051">
        <v>68888000</v>
      </c>
      <c r="R217" s="1051">
        <f>SUM(O217:Q217)</f>
        <v>112888000</v>
      </c>
      <c r="S217" s="850"/>
      <c r="T217" s="850"/>
      <c r="U217" s="850"/>
    </row>
    <row r="218" spans="1:21">
      <c r="A218" s="850" t="s">
        <v>2585</v>
      </c>
      <c r="B218" s="850" t="s">
        <v>676</v>
      </c>
      <c r="C218" s="576" t="s">
        <v>2586</v>
      </c>
      <c r="D218" s="850"/>
      <c r="E218" s="859" t="s">
        <v>2715</v>
      </c>
      <c r="F218" s="952">
        <v>0</v>
      </c>
      <c r="G218" s="952">
        <v>0</v>
      </c>
      <c r="H218" s="952">
        <v>0</v>
      </c>
      <c r="I218" s="952">
        <f>SUM(F218:H218)</f>
        <v>0</v>
      </c>
      <c r="J218" s="850"/>
      <c r="K218" s="850"/>
      <c r="L218" s="850"/>
      <c r="M218" s="850"/>
      <c r="N218" s="1050"/>
      <c r="O218" s="1050"/>
      <c r="P218" s="1050"/>
      <c r="Q218" s="1050"/>
      <c r="R218" s="1050"/>
      <c r="S218" s="850"/>
      <c r="T218" s="850"/>
      <c r="U218" s="850"/>
    </row>
    <row r="219" spans="1:21">
      <c r="A219" s="850" t="s">
        <v>2585</v>
      </c>
      <c r="B219" s="850" t="s">
        <v>676</v>
      </c>
      <c r="C219" s="576" t="s">
        <v>2586</v>
      </c>
      <c r="D219" s="850"/>
      <c r="E219" s="850" t="s">
        <v>2642</v>
      </c>
      <c r="F219" s="1601">
        <f>SUM(F216:F218)</f>
        <v>2846839240</v>
      </c>
      <c r="G219" s="1601">
        <f>SUM(G216:G218)</f>
        <v>7904896182</v>
      </c>
      <c r="H219" s="1601">
        <f>SUM(H216:H218)</f>
        <v>2514921818</v>
      </c>
      <c r="I219" s="1601">
        <f>SUM(I216:I218)</f>
        <v>13266657240</v>
      </c>
      <c r="J219" s="850"/>
      <c r="K219" s="857">
        <f>I219-'A1.BS'!R52</f>
        <v>0</v>
      </c>
      <c r="L219" s="850"/>
      <c r="M219" s="850"/>
      <c r="N219" s="1050" t="s">
        <v>2716</v>
      </c>
      <c r="O219" s="1051">
        <f>SUM(O216:O217)</f>
        <v>1698533100</v>
      </c>
      <c r="P219" s="1051">
        <f>SUM(P216:P217)</f>
        <v>1463809091</v>
      </c>
      <c r="Q219" s="1051">
        <f>SUM(Q216:Q217)</f>
        <v>7701304909</v>
      </c>
      <c r="R219" s="1051">
        <f>SUM(O219:Q219)</f>
        <v>10863647100</v>
      </c>
      <c r="S219" s="850"/>
      <c r="T219" s="850"/>
      <c r="U219" s="850"/>
    </row>
    <row r="220" spans="1:21">
      <c r="A220" s="850" t="s">
        <v>2585</v>
      </c>
      <c r="B220" s="850" t="s">
        <v>676</v>
      </c>
      <c r="C220" s="576" t="s">
        <v>2586</v>
      </c>
      <c r="D220" s="850"/>
      <c r="E220" s="850"/>
      <c r="F220" s="857">
        <f>F219-'A0.LS'!AX76</f>
        <v>0</v>
      </c>
      <c r="G220" s="857">
        <f>G219-'A0.LS'!AX78</f>
        <v>0</v>
      </c>
      <c r="H220" s="1011">
        <f>H219-'A0.LS'!AX77</f>
        <v>0</v>
      </c>
      <c r="I220" s="850"/>
      <c r="J220" s="850"/>
      <c r="K220" s="850"/>
      <c r="L220" s="850"/>
      <c r="M220" s="850"/>
      <c r="N220" s="1050"/>
      <c r="O220" s="1050"/>
      <c r="P220" s="1050"/>
      <c r="Q220" s="1050"/>
      <c r="R220" s="1050"/>
      <c r="S220" s="850"/>
      <c r="T220" s="850"/>
      <c r="U220" s="850"/>
    </row>
    <row r="221" spans="1:21">
      <c r="A221" s="850" t="s">
        <v>2585</v>
      </c>
      <c r="B221" s="850" t="s">
        <v>676</v>
      </c>
      <c r="C221" s="576" t="s">
        <v>2586</v>
      </c>
      <c r="D221" s="850"/>
      <c r="E221" s="1" t="s">
        <v>2717</v>
      </c>
      <c r="F221" s="850"/>
      <c r="G221" s="850"/>
      <c r="H221" s="850"/>
      <c r="I221" s="850"/>
      <c r="J221" s="850"/>
      <c r="K221" s="850"/>
      <c r="L221" s="850"/>
      <c r="M221" s="850"/>
      <c r="N221" s="1050" t="s">
        <v>2717</v>
      </c>
      <c r="O221" s="1051"/>
      <c r="P221" s="1051"/>
      <c r="Q221" s="1051"/>
      <c r="R221" s="1051"/>
      <c r="S221" s="850"/>
      <c r="T221" s="850"/>
      <c r="U221" s="850"/>
    </row>
    <row r="222" spans="1:21">
      <c r="A222" s="850" t="s">
        <v>2585</v>
      </c>
      <c r="B222" s="850" t="s">
        <v>676</v>
      </c>
      <c r="C222" s="576" t="s">
        <v>2586</v>
      </c>
      <c r="D222" s="850"/>
      <c r="E222" s="850" t="s">
        <v>2639</v>
      </c>
      <c r="F222" s="938">
        <v>461246269</v>
      </c>
      <c r="G222" s="938">
        <v>1861672388</v>
      </c>
      <c r="H222" s="938">
        <v>985884977</v>
      </c>
      <c r="I222" s="938">
        <f>SUM(F222:H222)</f>
        <v>3308803634</v>
      </c>
      <c r="J222" s="850"/>
      <c r="K222" s="857">
        <f>I222+'A1.BS'!V53</f>
        <v>0</v>
      </c>
      <c r="L222" s="850"/>
      <c r="M222" s="850"/>
      <c r="N222" s="1050" t="s">
        <v>2712</v>
      </c>
      <c r="O222" s="1051">
        <v>64473657</v>
      </c>
      <c r="P222" s="1051">
        <v>597722041</v>
      </c>
      <c r="Q222" s="1051">
        <v>1752900337</v>
      </c>
      <c r="R222" s="1051">
        <f>SUM(O222:Q222)</f>
        <v>2415096035</v>
      </c>
      <c r="S222" s="850"/>
      <c r="T222" s="850"/>
      <c r="U222" s="850"/>
    </row>
    <row r="223" spans="1:21">
      <c r="A223" s="850" t="s">
        <v>2585</v>
      </c>
      <c r="B223" s="850" t="s">
        <v>676</v>
      </c>
      <c r="C223" s="576" t="s">
        <v>2586</v>
      </c>
      <c r="D223" s="850"/>
      <c r="E223" s="859" t="s">
        <v>2718</v>
      </c>
      <c r="F223" s="952">
        <f>'A4.N2FS Singles'!F204+'A4.N2FS Consol'!O223</f>
        <v>483864785</v>
      </c>
      <c r="G223" s="952">
        <f>'A4.N2FS Singles'!G204+'A4.N2FS Consol'!Q223</f>
        <v>1609758796</v>
      </c>
      <c r="H223" s="557">
        <f>'A4.N2FS Singles'!H204+'A4.N2FS Consol'!P223</f>
        <v>277769964</v>
      </c>
      <c r="I223" s="952">
        <f>SUM(F223:H223)</f>
        <v>2371393545</v>
      </c>
      <c r="J223" s="850"/>
      <c r="K223" s="850"/>
      <c r="L223" s="848"/>
      <c r="M223" s="848"/>
      <c r="N223" s="1052" t="s">
        <v>2719</v>
      </c>
      <c r="O223" s="1052">
        <v>172053297</v>
      </c>
      <c r="P223" s="1051">
        <v>146380908</v>
      </c>
      <c r="Q223" s="1051">
        <v>1541895054</v>
      </c>
      <c r="R223" s="1051">
        <f>SUM(O223:Q223)</f>
        <v>1860329259</v>
      </c>
      <c r="S223" s="848"/>
      <c r="T223" s="850"/>
      <c r="U223" s="850"/>
    </row>
    <row r="224" spans="1:21">
      <c r="A224" s="850" t="s">
        <v>2585</v>
      </c>
      <c r="B224" s="850" t="s">
        <v>676</v>
      </c>
      <c r="C224" s="576" t="s">
        <v>2586</v>
      </c>
      <c r="D224" s="850"/>
      <c r="E224" s="859" t="s">
        <v>2715</v>
      </c>
      <c r="F224" s="952">
        <v>0</v>
      </c>
      <c r="G224" s="952">
        <v>0</v>
      </c>
      <c r="H224" s="952">
        <v>0</v>
      </c>
      <c r="I224" s="952">
        <f>SUM(F224:H224)</f>
        <v>0</v>
      </c>
      <c r="J224" s="850"/>
      <c r="K224" s="850"/>
      <c r="L224" s="850"/>
      <c r="M224" s="850"/>
      <c r="N224" s="1050"/>
      <c r="O224" s="1050"/>
      <c r="P224" s="1050"/>
      <c r="Q224" s="1050"/>
      <c r="R224" s="1050"/>
      <c r="S224" s="850"/>
      <c r="T224" s="850"/>
      <c r="U224" s="850"/>
    </row>
    <row r="225" spans="1:21">
      <c r="A225" s="850" t="s">
        <v>2585</v>
      </c>
      <c r="B225" s="850" t="s">
        <v>676</v>
      </c>
      <c r="C225" s="576" t="s">
        <v>2586</v>
      </c>
      <c r="D225" s="850"/>
      <c r="E225" s="850" t="s">
        <v>2642</v>
      </c>
      <c r="F225" s="1601">
        <f>SUM(F222:F224)</f>
        <v>945111054</v>
      </c>
      <c r="G225" s="1601">
        <f>SUM(G222:G224)</f>
        <v>3471431184</v>
      </c>
      <c r="H225" s="1601">
        <f>SUM(H222:H224)</f>
        <v>1263654941</v>
      </c>
      <c r="I225" s="1601">
        <f>SUM(F225:H225)</f>
        <v>5680197179</v>
      </c>
      <c r="J225" s="850"/>
      <c r="K225" s="857">
        <f>I225+'A1.BS'!R53</f>
        <v>0</v>
      </c>
      <c r="L225" s="848"/>
      <c r="M225" s="848"/>
      <c r="N225" s="1052" t="s">
        <v>2720</v>
      </c>
      <c r="O225" s="1051">
        <f>SUM(O222:O223)</f>
        <v>236526954</v>
      </c>
      <c r="P225" s="1051">
        <f>SUM(P222:P223)</f>
        <v>744102949</v>
      </c>
      <c r="Q225" s="1051">
        <f>SUM(Q222:Q223)</f>
        <v>3294795391</v>
      </c>
      <c r="R225" s="1051">
        <f>SUM(R222:R223)</f>
        <v>4275425294</v>
      </c>
      <c r="S225" s="850"/>
      <c r="T225" s="850"/>
      <c r="U225" s="850"/>
    </row>
    <row r="226" spans="1:21">
      <c r="A226" s="850" t="s">
        <v>2585</v>
      </c>
      <c r="B226" s="850" t="s">
        <v>676</v>
      </c>
      <c r="C226" s="576" t="s">
        <v>2586</v>
      </c>
      <c r="D226" s="850"/>
      <c r="E226" s="850"/>
      <c r="F226" s="848"/>
      <c r="G226" s="848"/>
      <c r="H226" s="848"/>
      <c r="I226" s="850"/>
      <c r="J226" s="850"/>
      <c r="K226" s="850"/>
      <c r="L226" s="850"/>
      <c r="M226" s="850"/>
      <c r="N226" s="1053"/>
      <c r="O226" s="1050"/>
      <c r="P226" s="1050"/>
      <c r="Q226" s="1050"/>
      <c r="R226" s="1050"/>
      <c r="S226" s="850"/>
      <c r="T226" s="850"/>
      <c r="U226" s="850"/>
    </row>
    <row r="227" spans="1:21">
      <c r="A227" s="850" t="s">
        <v>2585</v>
      </c>
      <c r="B227" s="850" t="s">
        <v>676</v>
      </c>
      <c r="C227" s="576" t="s">
        <v>2586</v>
      </c>
      <c r="D227" s="850"/>
      <c r="E227" s="1" t="s">
        <v>2721</v>
      </c>
      <c r="F227" s="850"/>
      <c r="G227" s="857"/>
      <c r="H227" s="857"/>
      <c r="I227" s="850"/>
      <c r="J227" s="850"/>
      <c r="K227" s="850"/>
      <c r="L227" s="850"/>
      <c r="M227" s="850"/>
      <c r="N227" s="1050" t="s">
        <v>2721</v>
      </c>
      <c r="O227" s="1051"/>
      <c r="P227" s="1051"/>
      <c r="Q227" s="1051"/>
      <c r="R227" s="1051"/>
      <c r="S227" s="850"/>
      <c r="T227" s="850"/>
      <c r="U227" s="850"/>
    </row>
    <row r="228" spans="1:21" ht="13.5" thickBot="1">
      <c r="A228" s="850" t="s">
        <v>2585</v>
      </c>
      <c r="B228" s="850" t="s">
        <v>676</v>
      </c>
      <c r="C228" s="576" t="s">
        <v>2586</v>
      </c>
      <c r="D228" s="850"/>
      <c r="E228" s="850" t="s">
        <v>2722</v>
      </c>
      <c r="F228" s="1551">
        <f>F216-F222</f>
        <v>2260683880</v>
      </c>
      <c r="G228" s="1551">
        <f>G216-G222</f>
        <v>5974335794</v>
      </c>
      <c r="H228" s="1551">
        <f>H216-H222</f>
        <v>1529036841</v>
      </c>
      <c r="I228" s="1551">
        <f>I216-I222</f>
        <v>9764056515</v>
      </c>
      <c r="J228" s="850"/>
      <c r="K228" s="857">
        <f>I228-'A1.BS'!V51</f>
        <v>0</v>
      </c>
      <c r="L228" s="850"/>
      <c r="M228" s="850"/>
      <c r="N228" s="1050" t="s">
        <v>2712</v>
      </c>
      <c r="O228" s="1051">
        <f>O216-O222</f>
        <v>1590059443</v>
      </c>
      <c r="P228" s="1051">
        <f>P216-P222</f>
        <v>866087050</v>
      </c>
      <c r="Q228" s="1051">
        <f>Q216-Q222</f>
        <v>5879516572</v>
      </c>
      <c r="R228" s="1051">
        <f>R216-R222</f>
        <v>8335663065</v>
      </c>
      <c r="S228" s="850"/>
      <c r="T228" s="850"/>
      <c r="U228" s="850"/>
    </row>
    <row r="229" spans="1:21" ht="14.25" thickTop="1" thickBot="1">
      <c r="A229" s="850" t="s">
        <v>2585</v>
      </c>
      <c r="B229" s="850" t="s">
        <v>676</v>
      </c>
      <c r="C229" s="576" t="s">
        <v>2586</v>
      </c>
      <c r="D229" s="850"/>
      <c r="E229" s="850" t="s">
        <v>2723</v>
      </c>
      <c r="F229" s="1054">
        <f>F219-F225</f>
        <v>1901728186</v>
      </c>
      <c r="G229" s="1054">
        <f>G219-G225</f>
        <v>4433464998</v>
      </c>
      <c r="H229" s="1054">
        <f>H219-H225</f>
        <v>1251266877</v>
      </c>
      <c r="I229" s="1054">
        <f>I219-I225</f>
        <v>7586460061</v>
      </c>
      <c r="J229" s="850"/>
      <c r="K229" s="857">
        <f>I229-'A1.BS'!R51</f>
        <v>0</v>
      </c>
      <c r="L229" s="857">
        <f>I223+H247-F820-F612-F819</f>
        <v>0</v>
      </c>
      <c r="M229" s="850"/>
      <c r="N229" s="1050" t="s">
        <v>2724</v>
      </c>
      <c r="O229" s="1051">
        <f>O219-O225</f>
        <v>1462006146</v>
      </c>
      <c r="P229" s="1051">
        <f>P219-P225</f>
        <v>719706142</v>
      </c>
      <c r="Q229" s="1051">
        <f>Q219-Q225</f>
        <v>4406509518</v>
      </c>
      <c r="R229" s="1051">
        <f>R219-R225</f>
        <v>6588221806</v>
      </c>
      <c r="S229" s="850"/>
      <c r="T229" s="850"/>
      <c r="U229" s="850"/>
    </row>
    <row r="230" spans="1:21" ht="13.5" thickTop="1">
      <c r="A230" s="850" t="s">
        <v>2585</v>
      </c>
      <c r="B230" s="850" t="s">
        <v>676</v>
      </c>
      <c r="C230" s="576" t="s">
        <v>2586</v>
      </c>
      <c r="D230" s="850"/>
      <c r="E230" s="850"/>
      <c r="F230" s="848"/>
      <c r="G230" s="848"/>
      <c r="H230" s="857"/>
      <c r="I230" s="850"/>
      <c r="J230" s="850"/>
      <c r="K230" s="850"/>
      <c r="L230" s="850"/>
      <c r="M230" s="850"/>
      <c r="N230" s="850"/>
      <c r="O230" s="850"/>
      <c r="P230" s="850"/>
      <c r="Q230" s="850"/>
      <c r="R230" s="850"/>
      <c r="S230" s="850"/>
      <c r="T230" s="850"/>
      <c r="U230" s="850"/>
    </row>
    <row r="231" spans="1:21">
      <c r="A231" s="850" t="s">
        <v>2585</v>
      </c>
      <c r="B231" s="850" t="s">
        <v>676</v>
      </c>
      <c r="C231" s="576" t="s">
        <v>2586</v>
      </c>
      <c r="D231" s="850"/>
      <c r="E231" s="850"/>
      <c r="F231" s="848"/>
      <c r="G231" s="848"/>
      <c r="H231" s="857"/>
      <c r="I231" s="850"/>
      <c r="J231" s="850"/>
      <c r="K231" s="850"/>
      <c r="L231" s="850"/>
      <c r="M231" s="850"/>
      <c r="N231" s="1660" t="s">
        <v>530</v>
      </c>
      <c r="O231" s="1660"/>
      <c r="P231" s="1660"/>
      <c r="Q231" s="850"/>
      <c r="R231" s="850"/>
      <c r="S231" s="850"/>
      <c r="T231" s="850"/>
      <c r="U231" s="850"/>
    </row>
    <row r="232" spans="1:21" ht="25.5">
      <c r="A232" s="850" t="s">
        <v>2585</v>
      </c>
      <c r="B232" s="850" t="s">
        <v>676</v>
      </c>
      <c r="C232" s="576" t="s">
        <v>2586</v>
      </c>
      <c r="D232" s="850"/>
      <c r="E232" s="850"/>
      <c r="F232" s="545" t="s">
        <v>2587</v>
      </c>
      <c r="G232" s="550" t="s">
        <v>2588</v>
      </c>
      <c r="H232" s="850"/>
      <c r="I232" s="850"/>
      <c r="J232" s="850"/>
      <c r="K232" s="850"/>
      <c r="L232" s="850"/>
      <c r="M232" s="850"/>
      <c r="N232" s="1050"/>
      <c r="O232" s="1055">
        <v>45657</v>
      </c>
      <c r="P232" s="1055">
        <v>45291</v>
      </c>
      <c r="Q232" s="850"/>
      <c r="R232" s="850"/>
      <c r="S232" s="850"/>
      <c r="T232" s="850"/>
      <c r="U232" s="850"/>
    </row>
    <row r="233" spans="1:21" ht="38.25">
      <c r="A233" s="850" t="s">
        <v>2585</v>
      </c>
      <c r="B233" s="850" t="s">
        <v>676</v>
      </c>
      <c r="C233" s="576" t="s">
        <v>2586</v>
      </c>
      <c r="D233" s="850"/>
      <c r="E233" s="1003" t="s">
        <v>2725</v>
      </c>
      <c r="F233" s="952">
        <f>'A4.N2FS Singles'!F214+'A4.N2FS Consol'!O233</f>
        <v>353020909</v>
      </c>
      <c r="G233" s="938">
        <v>0</v>
      </c>
      <c r="H233" s="850"/>
      <c r="I233" s="850"/>
      <c r="J233" s="850"/>
      <c r="K233" s="850"/>
      <c r="L233" s="850"/>
      <c r="M233" s="850"/>
      <c r="N233" s="1056" t="s">
        <v>2726</v>
      </c>
      <c r="O233" s="1051">
        <v>353020909</v>
      </c>
      <c r="P233" s="1051">
        <v>0</v>
      </c>
      <c r="Q233" s="850"/>
      <c r="R233" s="850"/>
      <c r="S233" s="850"/>
      <c r="T233" s="850"/>
      <c r="U233" s="850"/>
    </row>
    <row r="234" spans="1:21">
      <c r="A234" s="850" t="s">
        <v>2585</v>
      </c>
      <c r="B234" s="850" t="s">
        <v>676</v>
      </c>
      <c r="C234" s="576" t="s">
        <v>2586</v>
      </c>
      <c r="D234" s="850"/>
      <c r="E234" s="850"/>
      <c r="F234" s="850"/>
      <c r="G234" s="850"/>
      <c r="H234" s="850"/>
      <c r="I234" s="850"/>
      <c r="J234" s="850"/>
      <c r="K234" s="850"/>
      <c r="L234" s="850"/>
      <c r="M234" s="850"/>
      <c r="N234" s="850"/>
      <c r="O234" s="850"/>
      <c r="P234" s="850"/>
      <c r="Q234" s="850"/>
      <c r="R234" s="850"/>
      <c r="S234" s="850"/>
      <c r="T234" s="850"/>
      <c r="U234" s="850"/>
    </row>
    <row r="235" spans="1:21">
      <c r="A235" s="850" t="s">
        <v>2585</v>
      </c>
      <c r="B235" s="850" t="s">
        <v>676</v>
      </c>
      <c r="C235" s="576" t="s">
        <v>2586</v>
      </c>
      <c r="D235" s="850"/>
      <c r="E235" s="850"/>
      <c r="F235" s="850"/>
      <c r="G235" s="850"/>
      <c r="H235" s="850"/>
      <c r="I235" s="850"/>
      <c r="J235" s="850"/>
      <c r="K235" s="850"/>
      <c r="L235" s="850"/>
      <c r="M235" s="850"/>
      <c r="N235" s="850"/>
      <c r="O235" s="850"/>
      <c r="P235" s="850"/>
      <c r="Q235" s="850"/>
      <c r="R235" s="850"/>
      <c r="S235" s="850"/>
      <c r="T235" s="850"/>
      <c r="U235" s="850"/>
    </row>
    <row r="236" spans="1:21">
      <c r="A236" s="172"/>
      <c r="B236" s="172" t="s">
        <v>676</v>
      </c>
      <c r="C236" s="172" t="s">
        <v>681</v>
      </c>
      <c r="D236" s="172"/>
      <c r="E236" s="172" t="s">
        <v>2727</v>
      </c>
      <c r="F236" s="172"/>
      <c r="G236" s="172"/>
      <c r="H236" s="172"/>
      <c r="I236" s="172"/>
      <c r="J236" s="172"/>
      <c r="K236" s="172"/>
      <c r="L236" s="172"/>
      <c r="M236" s="172"/>
      <c r="N236" s="172"/>
      <c r="O236" s="172"/>
      <c r="P236" s="172"/>
      <c r="Q236" s="172"/>
      <c r="R236" s="172"/>
      <c r="S236" s="172"/>
      <c r="T236" s="850"/>
      <c r="U236" s="850"/>
    </row>
    <row r="237" spans="1:21">
      <c r="A237" s="850" t="s">
        <v>2585</v>
      </c>
      <c r="B237" s="850" t="s">
        <v>676</v>
      </c>
      <c r="C237" s="576" t="s">
        <v>2586</v>
      </c>
      <c r="D237" s="850"/>
      <c r="E237" s="850"/>
      <c r="F237" s="850"/>
      <c r="G237" s="850"/>
      <c r="H237" s="850"/>
      <c r="I237" s="850"/>
      <c r="J237" s="850"/>
      <c r="K237" s="1"/>
      <c r="L237" s="850"/>
      <c r="M237" s="850"/>
      <c r="N237" s="1660" t="s">
        <v>2728</v>
      </c>
      <c r="O237" s="1660"/>
      <c r="P237" s="1660"/>
      <c r="Q237" s="850"/>
      <c r="R237" s="850"/>
      <c r="S237" s="850"/>
      <c r="T237" s="850"/>
      <c r="U237" s="850"/>
    </row>
    <row r="238" spans="1:21" ht="25.5">
      <c r="A238" s="850" t="s">
        <v>2585</v>
      </c>
      <c r="B238" s="850" t="s">
        <v>676</v>
      </c>
      <c r="C238" s="576" t="s">
        <v>2586</v>
      </c>
      <c r="D238" s="850"/>
      <c r="E238" s="850"/>
      <c r="F238" s="549" t="s">
        <v>2729</v>
      </c>
      <c r="G238" s="549" t="s">
        <v>2730</v>
      </c>
      <c r="H238" s="549" t="s">
        <v>2711</v>
      </c>
      <c r="I238" s="1014" t="s">
        <v>1970</v>
      </c>
      <c r="J238" s="850"/>
      <c r="K238" s="850"/>
      <c r="L238" s="850"/>
      <c r="M238" s="850"/>
      <c r="N238" s="1050"/>
      <c r="O238" s="583" t="s">
        <v>2729</v>
      </c>
      <c r="P238" s="583" t="s">
        <v>2731</v>
      </c>
      <c r="Q238" s="850"/>
      <c r="R238" s="850"/>
      <c r="S238" s="850"/>
      <c r="T238" s="850"/>
      <c r="U238" s="850"/>
    </row>
    <row r="239" spans="1:21">
      <c r="A239" s="850" t="s">
        <v>2585</v>
      </c>
      <c r="B239" s="850" t="s">
        <v>676</v>
      </c>
      <c r="C239" s="576" t="s">
        <v>2586</v>
      </c>
      <c r="D239" s="850"/>
      <c r="E239" s="1" t="s">
        <v>1891</v>
      </c>
      <c r="F239" s="850"/>
      <c r="G239" s="850"/>
      <c r="H239" s="850"/>
      <c r="I239" s="850"/>
      <c r="J239" s="850"/>
      <c r="K239" s="850"/>
      <c r="L239" s="850"/>
      <c r="M239" s="850"/>
      <c r="N239" s="1050" t="s">
        <v>1891</v>
      </c>
      <c r="O239" s="1052"/>
      <c r="P239" s="1052"/>
      <c r="Q239" s="850"/>
      <c r="R239" s="850"/>
      <c r="S239" s="850"/>
      <c r="T239" s="850"/>
      <c r="U239" s="850"/>
    </row>
    <row r="240" spans="1:21">
      <c r="A240" s="850" t="s">
        <v>2585</v>
      </c>
      <c r="B240" s="850" t="s">
        <v>676</v>
      </c>
      <c r="C240" s="576" t="s">
        <v>2586</v>
      </c>
      <c r="D240" s="850"/>
      <c r="E240" s="850" t="s">
        <v>2639</v>
      </c>
      <c r="F240" s="938">
        <f>'A4.N2FS Singles'!F221+'A4.N2FS Consol'!O240</f>
        <v>49306494803</v>
      </c>
      <c r="G240" s="938">
        <f>P240</f>
        <v>433397208</v>
      </c>
      <c r="H240" s="938">
        <f>SUM(F240:G240)</f>
        <v>49739892011</v>
      </c>
      <c r="I240" s="857">
        <f>H240-'A1.BS'!V58</f>
        <v>0</v>
      </c>
      <c r="J240" s="850"/>
      <c r="K240" s="850"/>
      <c r="L240" s="850"/>
      <c r="M240" s="850"/>
      <c r="N240" s="1050" t="s">
        <v>2712</v>
      </c>
      <c r="O240" s="1052">
        <v>4628680900</v>
      </c>
      <c r="P240" s="1052">
        <v>433397208</v>
      </c>
      <c r="Q240" s="850"/>
      <c r="R240" s="850"/>
      <c r="S240" s="850"/>
      <c r="T240" s="850"/>
      <c r="U240" s="850"/>
    </row>
    <row r="241" spans="1:21">
      <c r="A241" s="850" t="s">
        <v>2585</v>
      </c>
      <c r="B241" s="850" t="s">
        <v>676</v>
      </c>
      <c r="C241" s="576" t="s">
        <v>2586</v>
      </c>
      <c r="D241" s="850"/>
      <c r="E241" s="859" t="s">
        <v>2732</v>
      </c>
      <c r="F241" s="952">
        <f>'A4.N2FS Singles'!F222</f>
        <v>8330777517</v>
      </c>
      <c r="G241" s="952">
        <v>0</v>
      </c>
      <c r="H241" s="952">
        <f t="shared" ref="H241:H242" si="6">SUM(F241:G241)</f>
        <v>8330777517</v>
      </c>
      <c r="I241" s="857"/>
      <c r="J241" s="850"/>
      <c r="K241" s="850"/>
      <c r="L241" s="850"/>
      <c r="M241" s="850"/>
      <c r="N241" s="1050" t="s">
        <v>2714</v>
      </c>
      <c r="O241" s="1052">
        <v>0</v>
      </c>
      <c r="P241" s="1052">
        <v>0</v>
      </c>
      <c r="Q241" s="850"/>
      <c r="R241" s="850"/>
      <c r="S241" s="850"/>
      <c r="T241" s="850"/>
      <c r="U241" s="850"/>
    </row>
    <row r="242" spans="1:21">
      <c r="A242" s="850" t="s">
        <v>2585</v>
      </c>
      <c r="B242" s="850" t="s">
        <v>676</v>
      </c>
      <c r="C242" s="576" t="s">
        <v>2586</v>
      </c>
      <c r="D242" s="850"/>
      <c r="E242" s="859" t="s">
        <v>2733</v>
      </c>
      <c r="F242" s="952">
        <f>'A4.N2FS Singles'!F223+'A4.N2FS Consol'!O241</f>
        <v>0</v>
      </c>
      <c r="G242" s="952">
        <f>P241</f>
        <v>0</v>
      </c>
      <c r="H242" s="952">
        <f t="shared" si="6"/>
        <v>0</v>
      </c>
      <c r="I242" s="857"/>
      <c r="J242" s="850"/>
      <c r="K242" s="850"/>
      <c r="L242" s="850"/>
      <c r="M242" s="850"/>
      <c r="N242" s="1050" t="s">
        <v>2724</v>
      </c>
      <c r="O242" s="1052">
        <f>SUM(O240:O241)</f>
        <v>4628680900</v>
      </c>
      <c r="P242" s="1052">
        <f>SUM(P240:P241)</f>
        <v>433397208</v>
      </c>
      <c r="Q242" s="850"/>
      <c r="R242" s="850"/>
      <c r="S242" s="850"/>
      <c r="T242" s="850"/>
      <c r="U242" s="850"/>
    </row>
    <row r="243" spans="1:21">
      <c r="A243" s="850" t="s">
        <v>2585</v>
      </c>
      <c r="B243" s="850" t="s">
        <v>676</v>
      </c>
      <c r="C243" s="576" t="s">
        <v>2586</v>
      </c>
      <c r="D243" s="850"/>
      <c r="E243" s="850" t="s">
        <v>2642</v>
      </c>
      <c r="F243" s="1601">
        <f>SUM(F240:F242)</f>
        <v>57637272320</v>
      </c>
      <c r="G243" s="1601">
        <f>SUM(G240:G242)</f>
        <v>433397208</v>
      </c>
      <c r="H243" s="1601">
        <f>SUM(H240:H242)</f>
        <v>58070669528</v>
      </c>
      <c r="I243" s="857">
        <f>H243-'A1.BS'!R58</f>
        <v>0</v>
      </c>
      <c r="J243" s="850"/>
      <c r="K243" s="850"/>
      <c r="L243" s="850"/>
      <c r="M243" s="850"/>
      <c r="N243" s="1050"/>
      <c r="O243" s="1052"/>
      <c r="P243" s="1052"/>
      <c r="Q243" s="850"/>
      <c r="R243" s="850"/>
      <c r="S243" s="850"/>
      <c r="T243" s="850"/>
      <c r="U243" s="850"/>
    </row>
    <row r="244" spans="1:21">
      <c r="A244" s="850" t="s">
        <v>2585</v>
      </c>
      <c r="B244" s="850" t="s">
        <v>676</v>
      </c>
      <c r="C244" s="576" t="s">
        <v>2586</v>
      </c>
      <c r="D244" s="850"/>
      <c r="E244" s="850"/>
      <c r="F244" s="850"/>
      <c r="G244" s="850"/>
      <c r="H244" s="850"/>
      <c r="I244" s="850"/>
      <c r="J244" s="850"/>
      <c r="K244" s="850"/>
      <c r="L244" s="850"/>
      <c r="M244" s="850"/>
      <c r="N244" s="1050" t="s">
        <v>2717</v>
      </c>
      <c r="O244" s="1052"/>
      <c r="P244" s="1052"/>
      <c r="Q244" s="850"/>
      <c r="R244" s="850"/>
      <c r="S244" s="850"/>
      <c r="T244" s="850"/>
      <c r="U244" s="850"/>
    </row>
    <row r="245" spans="1:21">
      <c r="A245" s="850" t="s">
        <v>2585</v>
      </c>
      <c r="B245" s="850" t="s">
        <v>676</v>
      </c>
      <c r="C245" s="576" t="s">
        <v>2586</v>
      </c>
      <c r="D245" s="850"/>
      <c r="E245" s="1" t="s">
        <v>2717</v>
      </c>
      <c r="F245" s="850"/>
      <c r="G245" s="850"/>
      <c r="H245" s="850"/>
      <c r="I245" s="850"/>
      <c r="J245" s="850"/>
      <c r="K245" s="850"/>
      <c r="L245" s="850"/>
      <c r="M245" s="850"/>
      <c r="N245" s="1050" t="s">
        <v>2712</v>
      </c>
      <c r="O245" s="1052">
        <v>819774578</v>
      </c>
      <c r="P245" s="1052">
        <v>4893194</v>
      </c>
      <c r="Q245" s="850"/>
      <c r="R245" s="850"/>
      <c r="S245" s="850"/>
      <c r="T245" s="850"/>
      <c r="U245" s="850"/>
    </row>
    <row r="246" spans="1:21">
      <c r="A246" s="850" t="s">
        <v>2585</v>
      </c>
      <c r="B246" s="850" t="s">
        <v>676</v>
      </c>
      <c r="C246" s="576" t="s">
        <v>2586</v>
      </c>
      <c r="D246" s="850"/>
      <c r="E246" s="850" t="s">
        <v>2639</v>
      </c>
      <c r="F246" s="938">
        <f>'A4.N2FS Singles'!F227+'A4.N2FS Consol'!O245</f>
        <v>4691119391</v>
      </c>
      <c r="G246" s="938">
        <f>P245</f>
        <v>4893194</v>
      </c>
      <c r="H246" s="938">
        <f t="shared" ref="H246:H247" si="7">SUM(F246:G246)</f>
        <v>4696012585</v>
      </c>
      <c r="I246" s="857">
        <f>H246+'A1.BS'!V59</f>
        <v>0</v>
      </c>
      <c r="J246" s="850"/>
      <c r="K246" s="850"/>
      <c r="L246" s="850"/>
      <c r="M246" s="850"/>
      <c r="N246" s="1050" t="s">
        <v>2719</v>
      </c>
      <c r="O246" s="1052">
        <v>563927156</v>
      </c>
      <c r="P246" s="1052">
        <v>86679444</v>
      </c>
      <c r="Q246" s="850"/>
      <c r="R246" s="850"/>
      <c r="S246" s="850"/>
      <c r="T246" s="850"/>
      <c r="U246" s="850"/>
    </row>
    <row r="247" spans="1:21">
      <c r="A247" s="850" t="s">
        <v>2585</v>
      </c>
      <c r="B247" s="850" t="s">
        <v>676</v>
      </c>
      <c r="C247" s="576" t="s">
        <v>2586</v>
      </c>
      <c r="D247" s="850"/>
      <c r="E247" s="859" t="s">
        <v>2718</v>
      </c>
      <c r="F247" s="952">
        <f>'A4.N2FS Singles'!F228+'A4.N2FS Consol'!O246</f>
        <v>4035437546</v>
      </c>
      <c r="G247" s="952">
        <f>P246</f>
        <v>86679444</v>
      </c>
      <c r="H247" s="952">
        <f t="shared" si="7"/>
        <v>4122116990</v>
      </c>
      <c r="I247" s="850"/>
      <c r="J247" s="850"/>
      <c r="K247" s="850"/>
      <c r="L247" s="850"/>
      <c r="M247" s="850"/>
      <c r="N247" s="1050" t="s">
        <v>2724</v>
      </c>
      <c r="O247" s="1052">
        <f>SUM(O245:O246)</f>
        <v>1383701734</v>
      </c>
      <c r="P247" s="1052">
        <f>SUM(P245:P246)</f>
        <v>91572638</v>
      </c>
      <c r="Q247" s="850"/>
      <c r="R247" s="850"/>
      <c r="S247" s="850"/>
      <c r="T247" s="850"/>
      <c r="U247" s="850"/>
    </row>
    <row r="248" spans="1:21">
      <c r="A248" s="850" t="s">
        <v>2585</v>
      </c>
      <c r="B248" s="850" t="s">
        <v>676</v>
      </c>
      <c r="C248" s="576" t="s">
        <v>2586</v>
      </c>
      <c r="D248" s="850"/>
      <c r="E248" s="850" t="s">
        <v>2642</v>
      </c>
      <c r="F248" s="1601">
        <f>SUM(F246:F247)</f>
        <v>8726556937</v>
      </c>
      <c r="G248" s="1601">
        <f>SUM(G246:G247)</f>
        <v>91572638</v>
      </c>
      <c r="H248" s="1601">
        <f>SUM(H246:H247)</f>
        <v>8818129575</v>
      </c>
      <c r="I248" s="857">
        <f>H248+'A1.BS'!R59</f>
        <v>0</v>
      </c>
      <c r="J248" s="850"/>
      <c r="K248" s="850"/>
      <c r="L248" s="850"/>
      <c r="M248" s="850"/>
      <c r="N248" s="1050"/>
      <c r="O248" s="1052"/>
      <c r="P248" s="1052"/>
      <c r="Q248" s="850"/>
      <c r="R248" s="850"/>
      <c r="S248" s="850"/>
      <c r="T248" s="850"/>
      <c r="U248" s="850"/>
    </row>
    <row r="249" spans="1:21">
      <c r="A249" s="850" t="s">
        <v>2585</v>
      </c>
      <c r="B249" s="850" t="s">
        <v>676</v>
      </c>
      <c r="C249" s="576" t="s">
        <v>2586</v>
      </c>
      <c r="D249" s="850"/>
      <c r="E249" s="850"/>
      <c r="F249" s="850"/>
      <c r="G249" s="850"/>
      <c r="H249" s="850"/>
      <c r="I249" s="850"/>
      <c r="J249" s="850"/>
      <c r="K249" s="850"/>
      <c r="L249" s="850"/>
      <c r="M249" s="850"/>
      <c r="N249" s="1050" t="s">
        <v>2721</v>
      </c>
      <c r="O249" s="1052"/>
      <c r="P249" s="1052"/>
      <c r="Q249" s="850"/>
      <c r="R249" s="850"/>
      <c r="S249" s="850"/>
      <c r="T249" s="850"/>
      <c r="U249" s="850"/>
    </row>
    <row r="250" spans="1:21">
      <c r="A250" s="850" t="s">
        <v>2585</v>
      </c>
      <c r="B250" s="850" t="s">
        <v>676</v>
      </c>
      <c r="C250" s="576" t="s">
        <v>2586</v>
      </c>
      <c r="D250" s="850"/>
      <c r="E250" s="1" t="s">
        <v>2721</v>
      </c>
      <c r="F250" s="850"/>
      <c r="G250" s="850"/>
      <c r="H250" s="850"/>
      <c r="I250" s="850"/>
      <c r="J250" s="850"/>
      <c r="K250" s="850"/>
      <c r="L250" s="850"/>
      <c r="M250" s="850"/>
      <c r="N250" s="1050" t="s">
        <v>2712</v>
      </c>
      <c r="O250" s="1052">
        <f>O240-O245</f>
        <v>3808906322</v>
      </c>
      <c r="P250" s="1052">
        <f>P240-P245</f>
        <v>428504014</v>
      </c>
      <c r="Q250" s="850"/>
      <c r="R250" s="850"/>
      <c r="S250" s="850"/>
      <c r="T250" s="850"/>
      <c r="U250" s="850"/>
    </row>
    <row r="251" spans="1:21">
      <c r="A251" s="850" t="s">
        <v>2585</v>
      </c>
      <c r="B251" s="850" t="s">
        <v>676</v>
      </c>
      <c r="C251" s="576" t="s">
        <v>2586</v>
      </c>
      <c r="D251" s="850"/>
      <c r="E251" s="850" t="s">
        <v>2722</v>
      </c>
      <c r="F251" s="1612">
        <f>F240-F246</f>
        <v>44615375412</v>
      </c>
      <c r="G251" s="1612">
        <f>G240-G246</f>
        <v>428504014</v>
      </c>
      <c r="H251" s="1612">
        <f>H240-H246</f>
        <v>45043879426</v>
      </c>
      <c r="I251" s="857">
        <f>H251-'A1.BS'!V57</f>
        <v>0</v>
      </c>
      <c r="J251" s="850"/>
      <c r="K251" s="850"/>
      <c r="L251" s="850"/>
      <c r="M251" s="850"/>
      <c r="N251" s="1050" t="s">
        <v>2724</v>
      </c>
      <c r="O251" s="1052">
        <f>O242-O247</f>
        <v>3244979166</v>
      </c>
      <c r="P251" s="1052">
        <f>P242-P247</f>
        <v>341824570</v>
      </c>
      <c r="Q251" s="850"/>
      <c r="R251" s="850"/>
      <c r="S251" s="850"/>
      <c r="T251" s="850"/>
      <c r="U251" s="850"/>
    </row>
    <row r="252" spans="1:21" ht="13.5" thickBot="1">
      <c r="A252" s="850" t="s">
        <v>2585</v>
      </c>
      <c r="B252" s="850" t="s">
        <v>676</v>
      </c>
      <c r="C252" s="576" t="s">
        <v>2586</v>
      </c>
      <c r="D252" s="850"/>
      <c r="E252" s="850" t="s">
        <v>2723</v>
      </c>
      <c r="F252" s="1552">
        <f>F243-F248</f>
        <v>48910715383</v>
      </c>
      <c r="G252" s="1552">
        <f>G243-G248</f>
        <v>341824570</v>
      </c>
      <c r="H252" s="1552">
        <f>H243-H248</f>
        <v>49252539953</v>
      </c>
      <c r="I252" s="857">
        <f>H252-'A1.BS'!R57</f>
        <v>0</v>
      </c>
      <c r="J252" s="850"/>
      <c r="K252" s="850"/>
      <c r="L252" s="850"/>
      <c r="M252" s="850"/>
      <c r="N252" s="850"/>
      <c r="O252" s="850"/>
      <c r="P252" s="850"/>
      <c r="Q252" s="850"/>
      <c r="R252" s="850"/>
      <c r="S252" s="850"/>
      <c r="T252" s="850"/>
      <c r="U252" s="850"/>
    </row>
    <row r="253" spans="1:21" ht="13.35" customHeight="1" thickTop="1">
      <c r="A253" s="850" t="s">
        <v>2585</v>
      </c>
      <c r="B253" s="850" t="s">
        <v>676</v>
      </c>
      <c r="C253" s="576" t="s">
        <v>2586</v>
      </c>
      <c r="D253" s="850"/>
      <c r="E253" s="850"/>
      <c r="F253" s="850"/>
      <c r="G253" s="850"/>
      <c r="H253" s="850"/>
      <c r="I253" s="850"/>
      <c r="J253" s="850"/>
      <c r="K253" s="850"/>
      <c r="L253" s="850"/>
      <c r="M253" s="850"/>
      <c r="N253" s="1660" t="s">
        <v>530</v>
      </c>
      <c r="O253" s="1660"/>
      <c r="P253" s="1660"/>
      <c r="Q253" s="850"/>
      <c r="R253" s="850"/>
      <c r="S253" s="850"/>
      <c r="T253" s="850"/>
      <c r="U253" s="850"/>
    </row>
    <row r="254" spans="1:21" ht="25.5">
      <c r="A254" s="850" t="s">
        <v>2585</v>
      </c>
      <c r="B254" s="850" t="s">
        <v>676</v>
      </c>
      <c r="C254" s="576" t="s">
        <v>2586</v>
      </c>
      <c r="D254" s="850"/>
      <c r="E254" s="850"/>
      <c r="F254" s="545" t="s">
        <v>2587</v>
      </c>
      <c r="G254" s="550" t="s">
        <v>2588</v>
      </c>
      <c r="H254" s="850"/>
      <c r="I254" s="850"/>
      <c r="J254" s="850"/>
      <c r="K254" s="850"/>
      <c r="L254" s="850"/>
      <c r="M254" s="850"/>
      <c r="N254" s="1057"/>
      <c r="O254" s="742">
        <v>45291</v>
      </c>
      <c r="P254" s="742">
        <v>44926</v>
      </c>
      <c r="Q254" s="850"/>
      <c r="R254" s="850"/>
      <c r="S254" s="850"/>
      <c r="T254" s="850"/>
      <c r="U254" s="850"/>
    </row>
    <row r="255" spans="1:21" ht="38.25">
      <c r="A255" s="850" t="s">
        <v>2585</v>
      </c>
      <c r="B255" s="850" t="s">
        <v>676</v>
      </c>
      <c r="C255" s="576" t="s">
        <v>2586</v>
      </c>
      <c r="D255" s="850"/>
      <c r="E255" s="1003" t="s">
        <v>2734</v>
      </c>
      <c r="F255" s="952">
        <f>'A4.N2FS Singles'!F236+'A4.N2FS Consol'!O255</f>
        <v>521680900</v>
      </c>
      <c r="G255" s="938">
        <v>0</v>
      </c>
      <c r="H255" s="850"/>
      <c r="I255" s="850"/>
      <c r="J255" s="850"/>
      <c r="K255" s="850"/>
      <c r="L255" s="850"/>
      <c r="M255" s="850"/>
      <c r="N255" s="1057" t="s">
        <v>2735</v>
      </c>
      <c r="O255" s="1052">
        <v>521680900</v>
      </c>
      <c r="P255" s="1052">
        <v>183680900</v>
      </c>
      <c r="Q255" s="850"/>
      <c r="R255" s="850"/>
      <c r="S255" s="850"/>
      <c r="T255" s="850"/>
      <c r="U255" s="850"/>
    </row>
    <row r="256" spans="1:21">
      <c r="A256" s="850" t="s">
        <v>2585</v>
      </c>
      <c r="B256" s="850" t="s">
        <v>676</v>
      </c>
      <c r="C256" s="576" t="s">
        <v>2586</v>
      </c>
      <c r="D256" s="850"/>
      <c r="E256" s="850"/>
      <c r="F256" s="850"/>
      <c r="G256" s="850"/>
      <c r="H256" s="850"/>
      <c r="I256" s="850"/>
      <c r="J256" s="850"/>
      <c r="K256" s="850"/>
      <c r="L256" s="850"/>
      <c r="M256" s="850"/>
      <c r="N256" s="850"/>
      <c r="O256" s="850"/>
      <c r="P256" s="850"/>
      <c r="Q256" s="850"/>
      <c r="R256" s="850"/>
      <c r="S256" s="850"/>
      <c r="T256" s="850"/>
      <c r="U256" s="850"/>
    </row>
    <row r="257" spans="1:19">
      <c r="A257" s="172"/>
      <c r="B257" s="172" t="s">
        <v>676</v>
      </c>
      <c r="C257" s="172" t="s">
        <v>681</v>
      </c>
      <c r="D257" s="172"/>
      <c r="E257" s="172" t="s">
        <v>2736</v>
      </c>
      <c r="F257" s="172"/>
      <c r="G257" s="172"/>
      <c r="H257" s="172"/>
      <c r="I257" s="172"/>
      <c r="J257" s="172"/>
      <c r="K257" s="172"/>
      <c r="L257" s="172"/>
      <c r="M257" s="172"/>
      <c r="N257" s="172"/>
      <c r="O257" s="172"/>
      <c r="P257" s="172"/>
      <c r="Q257" s="172"/>
      <c r="R257" s="172"/>
      <c r="S257" s="172"/>
    </row>
    <row r="258" spans="1:19">
      <c r="A258" s="850" t="s">
        <v>2602</v>
      </c>
      <c r="B258" s="850" t="s">
        <v>676</v>
      </c>
      <c r="C258" s="576" t="s">
        <v>2586</v>
      </c>
      <c r="D258" s="850"/>
      <c r="E258" s="850"/>
      <c r="F258" s="850"/>
      <c r="G258" s="850"/>
      <c r="H258" s="850"/>
      <c r="I258" s="850"/>
      <c r="J258" s="850"/>
      <c r="K258" s="850"/>
      <c r="L258" s="850"/>
      <c r="M258" s="850"/>
      <c r="N258" s="850"/>
      <c r="O258" s="850"/>
      <c r="P258" s="850"/>
      <c r="Q258" s="850"/>
      <c r="R258" s="850"/>
      <c r="S258" s="850"/>
    </row>
    <row r="259" spans="1:19" ht="25.5">
      <c r="A259" s="850" t="s">
        <v>2602</v>
      </c>
      <c r="B259" s="850" t="s">
        <v>676</v>
      </c>
      <c r="C259" s="576" t="s">
        <v>2586</v>
      </c>
      <c r="D259" s="850"/>
      <c r="E259" s="850"/>
      <c r="F259" s="545" t="s">
        <v>2587</v>
      </c>
      <c r="G259" s="550" t="s">
        <v>2588</v>
      </c>
      <c r="H259" s="850"/>
      <c r="I259" s="850"/>
      <c r="J259" s="850"/>
      <c r="K259" s="850"/>
      <c r="L259" s="850"/>
      <c r="M259" s="850"/>
      <c r="N259" s="850"/>
      <c r="O259" s="850"/>
      <c r="P259" s="850"/>
      <c r="Q259" s="850"/>
      <c r="R259" s="850"/>
      <c r="S259" s="850"/>
    </row>
    <row r="260" spans="1:19">
      <c r="A260" s="850" t="s">
        <v>2602</v>
      </c>
      <c r="B260" s="850" t="s">
        <v>676</v>
      </c>
      <c r="C260" s="576" t="s">
        <v>2586</v>
      </c>
      <c r="D260" s="850"/>
      <c r="E260" s="1" t="s">
        <v>2668</v>
      </c>
      <c r="F260" s="909"/>
      <c r="G260" s="910"/>
      <c r="H260" s="850"/>
      <c r="I260" s="850"/>
      <c r="J260" s="850"/>
      <c r="K260" s="850"/>
      <c r="L260" s="850"/>
      <c r="M260" s="850"/>
      <c r="N260" s="850"/>
      <c r="O260" s="850"/>
      <c r="P260" s="850"/>
      <c r="Q260" s="850"/>
      <c r="R260" s="850"/>
      <c r="S260" s="850"/>
    </row>
    <row r="261" spans="1:19">
      <c r="A261" s="850" t="s">
        <v>2602</v>
      </c>
      <c r="B261" s="850" t="s">
        <v>676</v>
      </c>
      <c r="C261" s="576" t="s">
        <v>2586</v>
      </c>
      <c r="D261" s="859" t="s">
        <v>2271</v>
      </c>
      <c r="E261" s="850" t="s">
        <v>2737</v>
      </c>
      <c r="F261" s="952">
        <f>ROUND(SUMIFS('A0.LS'!AX:AX,'A0.LS'!C:C,D261),0)</f>
        <v>6031305</v>
      </c>
      <c r="G261" s="938">
        <v>49323493</v>
      </c>
      <c r="H261" s="850"/>
      <c r="I261" s="850"/>
      <c r="J261" s="850"/>
      <c r="K261" s="850"/>
      <c r="L261" s="850"/>
      <c r="M261" s="850"/>
      <c r="N261" s="850"/>
      <c r="O261" s="850"/>
      <c r="P261" s="850"/>
      <c r="Q261" s="850"/>
      <c r="R261" s="850"/>
      <c r="S261" s="850"/>
    </row>
    <row r="262" spans="1:19">
      <c r="A262" s="850" t="s">
        <v>2602</v>
      </c>
      <c r="B262" s="850" t="s">
        <v>676</v>
      </c>
      <c r="C262" s="576" t="s">
        <v>2586</v>
      </c>
      <c r="D262" s="859" t="s">
        <v>2274</v>
      </c>
      <c r="E262" s="850" t="s">
        <v>2738</v>
      </c>
      <c r="F262" s="952">
        <f>ROUND(SUMIFS('A0.LS'!AX:AX,'A0.LS'!C:C,D262),0)</f>
        <v>3824284735</v>
      </c>
      <c r="G262" s="938">
        <v>2479009385</v>
      </c>
      <c r="H262" s="850"/>
      <c r="I262" s="850"/>
      <c r="J262" s="850"/>
      <c r="K262" s="850"/>
      <c r="L262" s="850"/>
      <c r="M262" s="850"/>
      <c r="N262" s="850"/>
      <c r="O262" s="850"/>
      <c r="P262" s="850"/>
      <c r="Q262" s="850"/>
      <c r="R262" s="850"/>
      <c r="S262" s="850"/>
    </row>
    <row r="263" spans="1:19" ht="13.5" thickBot="1">
      <c r="A263" s="850" t="s">
        <v>2602</v>
      </c>
      <c r="B263" s="850" t="s">
        <v>676</v>
      </c>
      <c r="C263" s="576" t="s">
        <v>2586</v>
      </c>
      <c r="D263" s="850"/>
      <c r="E263" s="850"/>
      <c r="F263" s="1545">
        <f>SUM(F261:F262)</f>
        <v>3830316040</v>
      </c>
      <c r="G263" s="1546">
        <f>SUM(G261:G262)</f>
        <v>2528332878</v>
      </c>
      <c r="H263" s="850"/>
      <c r="I263" s="850"/>
      <c r="J263" s="850"/>
      <c r="K263" s="850"/>
      <c r="L263" s="850"/>
      <c r="M263" s="850"/>
      <c r="N263" s="850"/>
      <c r="O263" s="850"/>
      <c r="P263" s="850"/>
      <c r="Q263" s="850"/>
      <c r="R263" s="850"/>
      <c r="S263" s="850"/>
    </row>
    <row r="264" spans="1:19" ht="13.5" thickTop="1">
      <c r="A264" s="850" t="s">
        <v>2602</v>
      </c>
      <c r="B264" s="850" t="s">
        <v>676</v>
      </c>
      <c r="C264" s="576" t="s">
        <v>2586</v>
      </c>
      <c r="D264" s="850"/>
      <c r="E264" s="850"/>
      <c r="F264" s="850"/>
      <c r="G264" s="850"/>
      <c r="H264" s="850"/>
      <c r="I264" s="850"/>
      <c r="J264" s="850"/>
      <c r="K264" s="850"/>
      <c r="L264" s="850"/>
      <c r="M264" s="850"/>
      <c r="N264" s="850"/>
      <c r="O264" s="850"/>
      <c r="P264" s="850"/>
      <c r="Q264" s="850"/>
      <c r="R264" s="850"/>
      <c r="S264" s="850"/>
    </row>
    <row r="265" spans="1:19">
      <c r="A265" s="850" t="s">
        <v>2602</v>
      </c>
      <c r="B265" s="850" t="s">
        <v>676</v>
      </c>
      <c r="C265" s="576" t="s">
        <v>2586</v>
      </c>
      <c r="D265" s="850"/>
      <c r="E265" s="1" t="s">
        <v>1970</v>
      </c>
      <c r="F265" s="857">
        <f>F263-'A1.BS'!R33</f>
        <v>0</v>
      </c>
      <c r="G265" s="857">
        <f>G263-'A1.BS'!V33</f>
        <v>0</v>
      </c>
      <c r="H265" s="850"/>
      <c r="I265" s="850"/>
      <c r="J265" s="850"/>
      <c r="K265" s="850"/>
      <c r="L265" s="850"/>
      <c r="M265" s="850"/>
      <c r="N265" s="850"/>
      <c r="O265" s="850"/>
      <c r="P265" s="850"/>
      <c r="Q265" s="850"/>
      <c r="R265" s="850"/>
      <c r="S265" s="850"/>
    </row>
    <row r="266" spans="1:19">
      <c r="A266" s="850" t="s">
        <v>2602</v>
      </c>
      <c r="B266" s="850" t="s">
        <v>676</v>
      </c>
      <c r="C266" s="576" t="s">
        <v>2586</v>
      </c>
      <c r="D266" s="850"/>
      <c r="E266" s="850"/>
      <c r="F266" s="850"/>
      <c r="G266" s="850"/>
      <c r="H266" s="850"/>
      <c r="I266" s="850"/>
      <c r="J266" s="850"/>
      <c r="K266" s="850"/>
      <c r="L266" s="850"/>
      <c r="M266" s="850"/>
      <c r="N266" s="850"/>
      <c r="O266" s="850"/>
      <c r="P266" s="850"/>
      <c r="Q266" s="850"/>
      <c r="R266" s="850"/>
      <c r="S266" s="850"/>
    </row>
    <row r="267" spans="1:19">
      <c r="A267" s="850" t="s">
        <v>2602</v>
      </c>
      <c r="B267" s="850" t="s">
        <v>676</v>
      </c>
      <c r="C267" s="576" t="s">
        <v>2586</v>
      </c>
      <c r="D267" s="850"/>
      <c r="E267" s="1" t="s">
        <v>2739</v>
      </c>
      <c r="F267" s="850"/>
      <c r="G267" s="850"/>
      <c r="H267" s="850"/>
      <c r="I267" s="850"/>
      <c r="J267" s="850"/>
      <c r="K267" s="850"/>
      <c r="L267" s="850"/>
      <c r="M267" s="850"/>
      <c r="N267" s="850"/>
      <c r="O267" s="850"/>
      <c r="P267" s="850"/>
      <c r="Q267" s="850"/>
      <c r="R267" s="850"/>
      <c r="S267" s="850"/>
    </row>
    <row r="268" spans="1:19">
      <c r="A268" s="850" t="s">
        <v>2585</v>
      </c>
      <c r="B268" s="850" t="s">
        <v>676</v>
      </c>
      <c r="C268" s="576" t="s">
        <v>2586</v>
      </c>
      <c r="D268" s="859" t="s">
        <v>2291</v>
      </c>
      <c r="E268" s="850" t="s">
        <v>2737</v>
      </c>
      <c r="F268" s="952">
        <f>ROUND(SUMIFS('A0.LS'!AX:AX,'A0.LS'!C:C,D268),0)</f>
        <v>208656110</v>
      </c>
      <c r="G268" s="938">
        <v>559685576</v>
      </c>
      <c r="H268" s="850"/>
      <c r="I268" s="850"/>
      <c r="J268" s="850"/>
      <c r="K268" s="850"/>
      <c r="L268" s="850"/>
      <c r="M268" s="850"/>
      <c r="N268" s="850"/>
      <c r="O268" s="850"/>
      <c r="P268" s="850"/>
      <c r="Q268" s="850"/>
      <c r="R268" s="850"/>
      <c r="S268" s="850"/>
    </row>
    <row r="269" spans="1:19">
      <c r="A269" s="850" t="s">
        <v>2585</v>
      </c>
      <c r="B269" s="850" t="s">
        <v>676</v>
      </c>
      <c r="C269" s="576" t="s">
        <v>2586</v>
      </c>
      <c r="D269" s="859" t="s">
        <v>2292</v>
      </c>
      <c r="E269" s="850" t="s">
        <v>2740</v>
      </c>
      <c r="F269" s="952">
        <f>ROUND(SUMIFS('A0.LS'!AX:AX,'A0.LS'!C:C,D269),0)</f>
        <v>906579022</v>
      </c>
      <c r="G269" s="938">
        <v>1576130741</v>
      </c>
      <c r="H269" s="850"/>
      <c r="I269" s="850"/>
      <c r="J269" s="850"/>
      <c r="K269" s="850"/>
      <c r="L269" s="850"/>
      <c r="M269" s="850"/>
      <c r="N269" s="850"/>
      <c r="O269" s="850"/>
      <c r="P269" s="850"/>
      <c r="Q269" s="850"/>
      <c r="R269" s="850"/>
      <c r="S269" s="850"/>
    </row>
    <row r="270" spans="1:19" ht="13.5" thickBot="1">
      <c r="A270" s="850" t="s">
        <v>2585</v>
      </c>
      <c r="B270" s="850" t="s">
        <v>676</v>
      </c>
      <c r="C270" s="576" t="s">
        <v>2586</v>
      </c>
      <c r="D270" s="850"/>
      <c r="E270" s="850"/>
      <c r="F270" s="1545">
        <f>SUM(F268:F269)</f>
        <v>1115235132</v>
      </c>
      <c r="G270" s="1546">
        <f>SUM(G268:G269)</f>
        <v>2135816317</v>
      </c>
      <c r="H270" s="850"/>
      <c r="I270" s="850"/>
      <c r="J270" s="850"/>
      <c r="K270" s="850"/>
      <c r="L270" s="850"/>
      <c r="M270" s="850"/>
      <c r="N270" s="850"/>
      <c r="O270" s="850"/>
      <c r="P270" s="850"/>
      <c r="Q270" s="850"/>
      <c r="R270" s="850"/>
      <c r="S270" s="850"/>
    </row>
    <row r="271" spans="1:19" ht="13.5" thickTop="1">
      <c r="A271" s="850" t="s">
        <v>2585</v>
      </c>
      <c r="B271" s="850" t="s">
        <v>676</v>
      </c>
      <c r="C271" s="576" t="s">
        <v>2586</v>
      </c>
      <c r="D271" s="850"/>
      <c r="E271" s="850"/>
      <c r="F271" s="850"/>
      <c r="G271" s="850"/>
      <c r="H271" s="850"/>
      <c r="I271" s="850"/>
      <c r="J271" s="850"/>
      <c r="K271" s="850"/>
      <c r="L271" s="850"/>
      <c r="M271" s="850"/>
      <c r="N271" s="850"/>
      <c r="O271" s="850"/>
      <c r="P271" s="850"/>
      <c r="Q271" s="850"/>
      <c r="R271" s="850"/>
      <c r="S271" s="850"/>
    </row>
    <row r="272" spans="1:19">
      <c r="A272" s="850" t="s">
        <v>2585</v>
      </c>
      <c r="B272" s="850" t="s">
        <v>676</v>
      </c>
      <c r="C272" s="576" t="s">
        <v>2586</v>
      </c>
      <c r="D272" s="850"/>
      <c r="E272" s="1" t="s">
        <v>1970</v>
      </c>
      <c r="F272" s="857">
        <f>F270-'A1.BS'!R77</f>
        <v>0</v>
      </c>
      <c r="G272" s="857">
        <f>G270-'A1.BS'!V77</f>
        <v>0</v>
      </c>
      <c r="H272" s="850"/>
      <c r="I272" s="850"/>
      <c r="J272" s="850"/>
      <c r="K272" s="850"/>
      <c r="L272" s="850"/>
      <c r="M272" s="850"/>
      <c r="N272" s="850"/>
      <c r="O272" s="850"/>
      <c r="P272" s="850"/>
      <c r="Q272" s="850"/>
      <c r="R272" s="850"/>
      <c r="S272" s="850"/>
    </row>
    <row r="273" spans="1:19">
      <c r="A273" s="850" t="s">
        <v>2585</v>
      </c>
      <c r="B273" s="850" t="s">
        <v>676</v>
      </c>
      <c r="C273" s="576" t="s">
        <v>2586</v>
      </c>
      <c r="D273" s="850"/>
      <c r="E273" s="850"/>
      <c r="F273" s="850"/>
      <c r="G273" s="850"/>
      <c r="H273" s="850"/>
      <c r="I273" s="850"/>
      <c r="J273" s="850"/>
      <c r="K273" s="850"/>
      <c r="L273" s="850"/>
      <c r="M273" s="850"/>
      <c r="N273" s="850"/>
      <c r="O273" s="850"/>
      <c r="P273" s="850"/>
      <c r="Q273" s="850"/>
      <c r="R273" s="850"/>
      <c r="S273" s="850"/>
    </row>
    <row r="274" spans="1:19">
      <c r="A274" s="172"/>
      <c r="B274" s="172" t="s">
        <v>676</v>
      </c>
      <c r="C274" s="172" t="s">
        <v>681</v>
      </c>
      <c r="D274" s="172"/>
      <c r="E274" s="172" t="s">
        <v>2741</v>
      </c>
      <c r="F274" s="172"/>
      <c r="G274" s="172"/>
      <c r="H274" s="172"/>
      <c r="I274" s="172"/>
      <c r="J274" s="172"/>
      <c r="K274" s="172"/>
      <c r="L274" s="172"/>
      <c r="M274" s="172"/>
      <c r="N274" s="172"/>
      <c r="O274" s="172"/>
      <c r="P274" s="172"/>
      <c r="Q274" s="172"/>
      <c r="R274" s="172"/>
      <c r="S274" s="172"/>
    </row>
    <row r="275" spans="1:19">
      <c r="A275" s="850" t="s">
        <v>2602</v>
      </c>
      <c r="B275" s="850" t="s">
        <v>676</v>
      </c>
      <c r="C275" s="576" t="s">
        <v>2586</v>
      </c>
      <c r="D275" s="850"/>
      <c r="E275" s="850"/>
      <c r="F275" s="850"/>
      <c r="G275" s="850"/>
      <c r="H275" s="850"/>
      <c r="I275" s="850"/>
      <c r="J275" s="850"/>
      <c r="K275" s="850"/>
      <c r="L275" s="850"/>
      <c r="M275" s="850"/>
      <c r="N275" s="850"/>
      <c r="O275" s="850"/>
      <c r="P275" s="850"/>
      <c r="Q275" s="850"/>
      <c r="R275" s="850"/>
      <c r="S275" s="850"/>
    </row>
    <row r="276" spans="1:19" ht="25.5">
      <c r="A276" s="850" t="s">
        <v>2602</v>
      </c>
      <c r="B276" s="850" t="s">
        <v>676</v>
      </c>
      <c r="C276" s="576" t="s">
        <v>2586</v>
      </c>
      <c r="D276" s="850"/>
      <c r="E276" s="850"/>
      <c r="F276" s="545" t="s">
        <v>2587</v>
      </c>
      <c r="G276" s="550" t="s">
        <v>2588</v>
      </c>
      <c r="H276" s="850"/>
      <c r="I276" s="850"/>
      <c r="J276" s="850"/>
      <c r="K276" s="850"/>
      <c r="L276" s="850"/>
      <c r="M276" s="850"/>
      <c r="N276" s="850"/>
      <c r="O276" s="850"/>
      <c r="P276" s="850"/>
      <c r="Q276" s="850"/>
      <c r="R276" s="850"/>
      <c r="S276" s="850"/>
    </row>
    <row r="277" spans="1:19">
      <c r="A277" s="850" t="s">
        <v>2602</v>
      </c>
      <c r="B277" s="850" t="s">
        <v>676</v>
      </c>
      <c r="C277" s="576" t="s">
        <v>2586</v>
      </c>
      <c r="D277" s="850"/>
      <c r="E277" s="850" t="s">
        <v>2742</v>
      </c>
      <c r="F277" s="909"/>
      <c r="G277" s="910"/>
      <c r="H277" s="850"/>
      <c r="I277" s="850"/>
      <c r="J277" s="850"/>
      <c r="K277" s="850"/>
      <c r="L277" s="850"/>
      <c r="M277" s="850"/>
      <c r="N277" s="850"/>
      <c r="O277" s="850"/>
      <c r="P277" s="850"/>
      <c r="Q277" s="850"/>
      <c r="R277" s="850"/>
      <c r="S277" s="850"/>
    </row>
    <row r="278" spans="1:19">
      <c r="A278" s="850" t="s">
        <v>2602</v>
      </c>
      <c r="B278" s="850" t="s">
        <v>676</v>
      </c>
      <c r="C278" s="576" t="s">
        <v>2586</v>
      </c>
      <c r="D278" s="859" t="s">
        <v>2286</v>
      </c>
      <c r="E278" s="859" t="s">
        <v>2743</v>
      </c>
      <c r="F278" s="952">
        <f>ROUND(SUMIFS('A0.LS'!AX:AX,'A0.LS'!C:C,D278),0)</f>
        <v>7014749613</v>
      </c>
      <c r="G278" s="938">
        <f>ROUND(SUMIFS('A0.LS'!BR:BR,'A0.LS'!C:C,D278),0)</f>
        <v>5350661938</v>
      </c>
      <c r="H278" s="850"/>
      <c r="I278" s="850"/>
      <c r="J278" s="850"/>
      <c r="K278" s="850"/>
      <c r="L278" s="850"/>
      <c r="M278" s="850"/>
      <c r="N278" s="850"/>
      <c r="O278" s="850"/>
      <c r="P278" s="850"/>
      <c r="Q278" s="850"/>
      <c r="R278" s="850"/>
      <c r="S278" s="850"/>
    </row>
    <row r="279" spans="1:19" ht="13.5" thickBot="1">
      <c r="A279" s="850" t="s">
        <v>2602</v>
      </c>
      <c r="B279" s="850" t="s">
        <v>676</v>
      </c>
      <c r="C279" s="576" t="s">
        <v>2586</v>
      </c>
      <c r="D279" s="850"/>
      <c r="E279" s="850"/>
      <c r="F279" s="1553">
        <f>F278</f>
        <v>7014749613</v>
      </c>
      <c r="G279" s="1554">
        <f>G278</f>
        <v>5350661938</v>
      </c>
      <c r="H279" s="850"/>
      <c r="I279" s="850"/>
      <c r="J279" s="850"/>
      <c r="K279" s="850"/>
      <c r="L279" s="850"/>
      <c r="M279" s="850"/>
      <c r="N279" s="850"/>
      <c r="O279" s="850"/>
      <c r="P279" s="850"/>
      <c r="Q279" s="850"/>
      <c r="R279" s="850"/>
      <c r="S279" s="850"/>
    </row>
    <row r="280" spans="1:19" ht="13.5" thickTop="1">
      <c r="A280" s="850" t="s">
        <v>2602</v>
      </c>
      <c r="B280" s="850" t="s">
        <v>676</v>
      </c>
      <c r="C280" s="576" t="s">
        <v>2586</v>
      </c>
      <c r="D280" s="850"/>
      <c r="E280" s="850"/>
      <c r="F280" s="850"/>
      <c r="G280" s="850"/>
      <c r="H280" s="850"/>
      <c r="I280" s="850"/>
      <c r="J280" s="850"/>
      <c r="K280" s="850"/>
      <c r="L280" s="850"/>
      <c r="M280" s="850"/>
      <c r="N280" s="850"/>
      <c r="O280" s="850"/>
      <c r="P280" s="850"/>
      <c r="Q280" s="850"/>
      <c r="R280" s="850"/>
      <c r="S280" s="850"/>
    </row>
    <row r="281" spans="1:19">
      <c r="A281" s="850" t="s">
        <v>2602</v>
      </c>
      <c r="B281" s="850" t="s">
        <v>676</v>
      </c>
      <c r="C281" s="576" t="s">
        <v>2586</v>
      </c>
      <c r="D281" s="850"/>
      <c r="E281" s="850" t="s">
        <v>2744</v>
      </c>
      <c r="F281" s="850"/>
      <c r="G281" s="850"/>
      <c r="H281" s="850"/>
      <c r="I281" s="850"/>
      <c r="J281" s="850"/>
      <c r="K281" s="850"/>
      <c r="L281" s="850"/>
      <c r="M281" s="850"/>
      <c r="N281" s="850"/>
      <c r="O281" s="850"/>
      <c r="P281" s="850"/>
      <c r="Q281" s="850"/>
      <c r="R281" s="850"/>
      <c r="S281" s="850"/>
    </row>
    <row r="282" spans="1:19" ht="25.5">
      <c r="A282" s="850" t="s">
        <v>2602</v>
      </c>
      <c r="B282" s="850" t="s">
        <v>676</v>
      </c>
      <c r="C282" s="576" t="s">
        <v>2586</v>
      </c>
      <c r="D282" s="850"/>
      <c r="E282" s="850"/>
      <c r="F282" s="545" t="s">
        <v>2587</v>
      </c>
      <c r="G282" s="550" t="s">
        <v>2588</v>
      </c>
      <c r="H282" s="850"/>
      <c r="I282" s="850"/>
      <c r="J282" s="850"/>
      <c r="K282" s="850"/>
      <c r="L282" s="850"/>
      <c r="M282" s="850"/>
      <c r="N282" s="850"/>
      <c r="O282" s="850"/>
      <c r="P282" s="850"/>
      <c r="Q282" s="850"/>
      <c r="R282" s="850"/>
      <c r="S282" s="850"/>
    </row>
    <row r="283" spans="1:19">
      <c r="A283" s="850" t="s">
        <v>2585</v>
      </c>
      <c r="B283" s="850" t="s">
        <v>676</v>
      </c>
      <c r="C283" s="576" t="s">
        <v>2586</v>
      </c>
      <c r="D283" s="850"/>
      <c r="E283" s="850" t="s">
        <v>2745</v>
      </c>
      <c r="F283" s="850"/>
      <c r="G283" s="850"/>
      <c r="H283" s="850"/>
      <c r="I283" s="850"/>
      <c r="J283" s="850"/>
      <c r="K283" s="850"/>
      <c r="L283" s="850"/>
      <c r="M283" s="850"/>
      <c r="N283" s="850"/>
      <c r="O283" s="850"/>
      <c r="P283" s="850"/>
      <c r="Q283" s="850"/>
      <c r="R283" s="850"/>
      <c r="S283" s="850"/>
    </row>
    <row r="284" spans="1:19">
      <c r="A284" s="850" t="s">
        <v>2585</v>
      </c>
      <c r="B284" s="850" t="s">
        <v>676</v>
      </c>
      <c r="C284" s="576" t="s">
        <v>2586</v>
      </c>
      <c r="D284" s="850"/>
      <c r="E284" s="1" t="s">
        <v>2722</v>
      </c>
      <c r="F284" s="951">
        <f>G287</f>
        <v>5350661938</v>
      </c>
      <c r="G284" s="938">
        <f>'A4.N2FS Singles'!G265</f>
        <v>7039671296</v>
      </c>
      <c r="H284" s="850"/>
      <c r="I284" s="850"/>
      <c r="J284" s="850"/>
      <c r="K284" s="850"/>
      <c r="L284" s="850"/>
      <c r="M284" s="850"/>
      <c r="N284" s="850"/>
      <c r="O284" s="850"/>
      <c r="P284" s="850"/>
      <c r="Q284" s="850"/>
      <c r="R284" s="850"/>
      <c r="S284" s="850"/>
    </row>
    <row r="285" spans="1:19">
      <c r="A285" s="850" t="s">
        <v>2585</v>
      </c>
      <c r="B285" s="850" t="s">
        <v>676</v>
      </c>
      <c r="C285" s="576" t="s">
        <v>2586</v>
      </c>
      <c r="D285" s="850"/>
      <c r="E285" s="850" t="s">
        <v>2746</v>
      </c>
      <c r="F285" s="952">
        <f>'A4.N2FS Singles'!F266</f>
        <v>9994865192</v>
      </c>
      <c r="G285" s="938">
        <f>'A4.N2FS Singles'!G266</f>
        <v>19625961290</v>
      </c>
      <c r="H285" s="850"/>
      <c r="I285" s="850"/>
      <c r="J285" s="850"/>
      <c r="K285" s="850"/>
      <c r="L285" s="850"/>
      <c r="M285" s="850"/>
      <c r="N285" s="850"/>
      <c r="O285" s="850"/>
      <c r="P285" s="850"/>
      <c r="Q285" s="850"/>
      <c r="R285" s="850"/>
      <c r="S285" s="850"/>
    </row>
    <row r="286" spans="1:19">
      <c r="A286" s="850" t="s">
        <v>2585</v>
      </c>
      <c r="B286" s="850" t="s">
        <v>676</v>
      </c>
      <c r="C286" s="576" t="s">
        <v>2586</v>
      </c>
      <c r="D286" s="850"/>
      <c r="E286" s="850" t="s">
        <v>2747</v>
      </c>
      <c r="F286" s="952">
        <f>'A4.N2FS Singles'!F267</f>
        <v>-8330777517</v>
      </c>
      <c r="G286" s="938">
        <f>'A4.N2FS Singles'!G267</f>
        <v>-21314970648</v>
      </c>
      <c r="H286" s="857"/>
      <c r="I286" s="850"/>
      <c r="J286" s="850"/>
      <c r="K286" s="850"/>
      <c r="L286" s="850"/>
      <c r="M286" s="850"/>
      <c r="N286" s="850"/>
      <c r="O286" s="850"/>
      <c r="P286" s="850"/>
      <c r="Q286" s="850"/>
      <c r="R286" s="850"/>
      <c r="S286" s="850"/>
    </row>
    <row r="287" spans="1:19" ht="13.5" thickBot="1">
      <c r="A287" s="850" t="s">
        <v>2585</v>
      </c>
      <c r="B287" s="850" t="s">
        <v>676</v>
      </c>
      <c r="C287" s="576" t="s">
        <v>2586</v>
      </c>
      <c r="D287" s="850"/>
      <c r="E287" s="1" t="s">
        <v>2723</v>
      </c>
      <c r="F287" s="1543">
        <f>SUM(F284:F286)</f>
        <v>7014749613</v>
      </c>
      <c r="G287" s="1544">
        <f>SUM(G284:G286)</f>
        <v>5350661938</v>
      </c>
      <c r="H287" s="850"/>
      <c r="I287" s="857"/>
      <c r="J287" s="850"/>
      <c r="K287" s="850"/>
      <c r="L287" s="850"/>
      <c r="M287" s="850"/>
      <c r="N287" s="850"/>
      <c r="O287" s="850"/>
      <c r="P287" s="850"/>
      <c r="Q287" s="850"/>
      <c r="R287" s="850"/>
      <c r="S287" s="850"/>
    </row>
    <row r="288" spans="1:19" ht="13.5" thickTop="1">
      <c r="A288" s="850" t="s">
        <v>2585</v>
      </c>
      <c r="B288" s="850" t="s">
        <v>676</v>
      </c>
      <c r="C288" s="576" t="s">
        <v>2586</v>
      </c>
      <c r="D288" s="850"/>
      <c r="E288" s="850"/>
      <c r="F288" s="850"/>
      <c r="G288" s="850"/>
      <c r="H288" s="850"/>
      <c r="I288" s="850"/>
      <c r="J288" s="850"/>
      <c r="K288" s="850"/>
      <c r="L288" s="850"/>
      <c r="M288" s="850"/>
      <c r="N288" s="850"/>
      <c r="O288" s="850"/>
      <c r="P288" s="850"/>
      <c r="Q288" s="850"/>
      <c r="R288" s="850"/>
      <c r="S288" s="850"/>
    </row>
    <row r="289" spans="1:19">
      <c r="A289" s="850" t="s">
        <v>2585</v>
      </c>
      <c r="B289" s="850" t="s">
        <v>676</v>
      </c>
      <c r="C289" s="576" t="s">
        <v>2586</v>
      </c>
      <c r="D289" s="850"/>
      <c r="E289" s="1" t="s">
        <v>1970</v>
      </c>
      <c r="F289" s="857">
        <f>F287-F279</f>
        <v>0</v>
      </c>
      <c r="G289" s="857">
        <f>G287-G279</f>
        <v>0</v>
      </c>
      <c r="H289" s="850"/>
      <c r="I289" s="850"/>
      <c r="J289" s="850"/>
      <c r="K289" s="850"/>
      <c r="L289" s="850"/>
      <c r="M289" s="850"/>
      <c r="N289" s="850"/>
      <c r="O289" s="850"/>
      <c r="P289" s="850"/>
      <c r="Q289" s="850"/>
      <c r="R289" s="850"/>
      <c r="S289" s="850"/>
    </row>
    <row r="290" spans="1:19">
      <c r="A290" s="850" t="s">
        <v>2585</v>
      </c>
      <c r="B290" s="850" t="s">
        <v>676</v>
      </c>
      <c r="C290" s="576" t="s">
        <v>2586</v>
      </c>
      <c r="D290" s="850"/>
      <c r="E290" s="1" t="s">
        <v>1970</v>
      </c>
      <c r="F290" s="857">
        <f>F279-'A1.BS'!R67</f>
        <v>0</v>
      </c>
      <c r="G290" s="857">
        <f>G279-'A1.BS'!V67</f>
        <v>0</v>
      </c>
      <c r="H290" s="850"/>
      <c r="I290" s="850"/>
      <c r="J290" s="850"/>
      <c r="K290" s="850"/>
      <c r="L290" s="850"/>
      <c r="M290" s="850"/>
      <c r="N290" s="850"/>
      <c r="O290" s="850"/>
      <c r="P290" s="850"/>
      <c r="Q290" s="850"/>
      <c r="R290" s="850"/>
      <c r="S290" s="850"/>
    </row>
    <row r="291" spans="1:19">
      <c r="A291" s="850" t="s">
        <v>2585</v>
      </c>
      <c r="B291" s="850" t="s">
        <v>676</v>
      </c>
      <c r="C291" s="576" t="s">
        <v>2586</v>
      </c>
      <c r="D291" s="850"/>
      <c r="E291" s="1" t="s">
        <v>1970</v>
      </c>
      <c r="F291" s="857">
        <f>F286+F241</f>
        <v>0</v>
      </c>
      <c r="G291" s="857"/>
      <c r="H291" s="850"/>
      <c r="I291" s="850"/>
      <c r="J291" s="850"/>
      <c r="K291" s="850"/>
      <c r="L291" s="850"/>
      <c r="M291" s="850"/>
      <c r="N291" s="850"/>
      <c r="O291" s="850"/>
      <c r="P291" s="850"/>
      <c r="Q291" s="850"/>
      <c r="R291" s="850"/>
      <c r="S291" s="850"/>
    </row>
    <row r="292" spans="1:19">
      <c r="A292" s="850" t="s">
        <v>2585</v>
      </c>
      <c r="B292" s="850" t="s">
        <v>676</v>
      </c>
      <c r="C292" s="576" t="s">
        <v>2586</v>
      </c>
      <c r="D292" s="850"/>
      <c r="E292" s="850"/>
      <c r="F292" s="850"/>
      <c r="G292" s="850"/>
      <c r="H292" s="850"/>
      <c r="I292" s="850"/>
      <c r="J292" s="850"/>
      <c r="K292" s="850"/>
      <c r="L292" s="850"/>
      <c r="M292" s="850"/>
      <c r="N292" s="850"/>
      <c r="O292" s="850"/>
      <c r="P292" s="850"/>
      <c r="Q292" s="850"/>
      <c r="R292" s="850"/>
      <c r="S292" s="850"/>
    </row>
    <row r="293" spans="1:19">
      <c r="A293" s="172"/>
      <c r="B293" s="172" t="s">
        <v>2227</v>
      </c>
      <c r="C293" s="172" t="s">
        <v>681</v>
      </c>
      <c r="D293" s="172"/>
      <c r="E293" s="172" t="s">
        <v>2748</v>
      </c>
      <c r="F293" s="172"/>
      <c r="G293" s="172"/>
      <c r="H293" s="172"/>
      <c r="I293" s="172"/>
      <c r="J293" s="172"/>
      <c r="K293" s="172"/>
      <c r="L293" s="172"/>
      <c r="M293" s="172"/>
      <c r="N293" s="172"/>
      <c r="O293" s="172"/>
      <c r="P293" s="172"/>
      <c r="Q293" s="172"/>
      <c r="R293" s="172"/>
      <c r="S293" s="172"/>
    </row>
    <row r="294" spans="1:19">
      <c r="A294" s="850" t="s">
        <v>2585</v>
      </c>
      <c r="B294" s="850" t="s">
        <v>2227</v>
      </c>
      <c r="C294" s="576" t="s">
        <v>2586</v>
      </c>
      <c r="D294" s="850"/>
      <c r="E294" s="850"/>
      <c r="F294" s="850"/>
      <c r="G294" s="850"/>
      <c r="H294" s="850"/>
      <c r="I294" s="850"/>
      <c r="J294" s="850"/>
      <c r="K294" s="850"/>
      <c r="L294" s="850"/>
      <c r="M294" s="850"/>
      <c r="N294" s="850"/>
      <c r="O294" s="850"/>
      <c r="P294" s="850"/>
      <c r="Q294" s="850"/>
      <c r="R294" s="850"/>
      <c r="S294" s="850"/>
    </row>
    <row r="295" spans="1:19">
      <c r="A295" s="850" t="s">
        <v>2585</v>
      </c>
      <c r="B295" s="850" t="s">
        <v>2227</v>
      </c>
      <c r="C295" s="576" t="s">
        <v>2586</v>
      </c>
      <c r="D295" s="850"/>
      <c r="E295" s="850"/>
      <c r="F295" s="546">
        <v>45657</v>
      </c>
      <c r="G295" s="547"/>
      <c r="H295" s="551">
        <v>45291</v>
      </c>
      <c r="I295" s="552"/>
      <c r="J295" s="850"/>
      <c r="K295" s="850"/>
      <c r="L295" s="1519" t="s">
        <v>530</v>
      </c>
      <c r="M295" s="1519"/>
      <c r="N295" s="1519"/>
      <c r="O295" s="850"/>
      <c r="P295" s="850"/>
      <c r="Q295" s="850"/>
      <c r="R295" s="850"/>
      <c r="S295" s="850"/>
    </row>
    <row r="296" spans="1:19" ht="38.25">
      <c r="A296" s="850" t="s">
        <v>2585</v>
      </c>
      <c r="B296" s="850" t="s">
        <v>2227</v>
      </c>
      <c r="C296" s="576" t="s">
        <v>2586</v>
      </c>
      <c r="D296" s="850"/>
      <c r="E296" s="850"/>
      <c r="F296" s="549" t="s">
        <v>2688</v>
      </c>
      <c r="G296" s="549" t="s">
        <v>2749</v>
      </c>
      <c r="H296" s="554" t="s">
        <v>2688</v>
      </c>
      <c r="I296" s="554" t="s">
        <v>2749</v>
      </c>
      <c r="J296" s="850"/>
      <c r="K296" s="850"/>
      <c r="L296" s="850"/>
      <c r="M296" s="1517" t="s">
        <v>2750</v>
      </c>
      <c r="N296" s="1517" t="s">
        <v>2751</v>
      </c>
      <c r="O296" s="850"/>
      <c r="P296" s="850"/>
      <c r="Q296" s="850"/>
      <c r="R296" s="850"/>
      <c r="S296" s="850"/>
    </row>
    <row r="297" spans="1:19">
      <c r="A297" s="850" t="s">
        <v>2585</v>
      </c>
      <c r="B297" s="850" t="s">
        <v>2227</v>
      </c>
      <c r="C297" s="576" t="s">
        <v>2586</v>
      </c>
      <c r="D297" s="850"/>
      <c r="E297" s="1" t="s">
        <v>2668</v>
      </c>
      <c r="F297" s="909"/>
      <c r="G297" s="909"/>
      <c r="H297" s="910"/>
      <c r="I297" s="910"/>
      <c r="J297" s="850"/>
      <c r="K297" s="850"/>
      <c r="L297" s="850" t="s">
        <v>2752</v>
      </c>
      <c r="M297" s="848">
        <v>8000000000</v>
      </c>
      <c r="N297" s="848">
        <v>0</v>
      </c>
      <c r="O297" s="850"/>
      <c r="P297" s="850"/>
      <c r="Q297" s="850"/>
      <c r="R297" s="850"/>
      <c r="S297" s="850"/>
    </row>
    <row r="298" spans="1:19">
      <c r="A298" s="850" t="s">
        <v>2585</v>
      </c>
      <c r="B298" s="850" t="s">
        <v>2227</v>
      </c>
      <c r="C298" s="576" t="s">
        <v>2586</v>
      </c>
      <c r="D298" s="850"/>
      <c r="E298" s="859" t="s">
        <v>2753</v>
      </c>
      <c r="F298" s="1049">
        <f>F305</f>
        <v>4939157293</v>
      </c>
      <c r="G298" s="952">
        <f>F298</f>
        <v>4939157293</v>
      </c>
      <c r="H298" s="1058">
        <v>9841690560</v>
      </c>
      <c r="I298" s="1058">
        <f>H298</f>
        <v>9841690560</v>
      </c>
      <c r="J298" s="850"/>
      <c r="K298" s="850"/>
      <c r="L298" s="850" t="s">
        <v>2754</v>
      </c>
      <c r="M298" s="848">
        <f>57057030+42483525</f>
        <v>99540555</v>
      </c>
      <c r="N298" s="848">
        <v>950880658</v>
      </c>
      <c r="O298" s="850"/>
      <c r="P298" s="850"/>
      <c r="Q298" s="850"/>
      <c r="R298" s="850"/>
      <c r="S298" s="850"/>
    </row>
    <row r="299" spans="1:19">
      <c r="A299" s="850" t="s">
        <v>2585</v>
      </c>
      <c r="B299" s="850" t="s">
        <v>2227</v>
      </c>
      <c r="C299" s="576" t="s">
        <v>2586</v>
      </c>
      <c r="D299" s="850"/>
      <c r="E299" s="859" t="s">
        <v>2755</v>
      </c>
      <c r="F299" s="1049">
        <f>'A4.N2FS Singles'!F301+M297+M298-'A5.Consol FY24'!H175-9</f>
        <v>8220121824</v>
      </c>
      <c r="G299" s="952">
        <f>F299</f>
        <v>8220121824</v>
      </c>
      <c r="H299" s="1058">
        <v>1259133245</v>
      </c>
      <c r="I299" s="1058">
        <f>H299</f>
        <v>1259133245</v>
      </c>
      <c r="J299" s="850"/>
      <c r="K299" s="850"/>
      <c r="L299" s="1" t="s">
        <v>628</v>
      </c>
      <c r="M299" s="1518">
        <f>SUM(M297:M298)</f>
        <v>8099540555</v>
      </c>
      <c r="N299" s="1518">
        <f>SUM(N297:N298)</f>
        <v>950880658</v>
      </c>
      <c r="O299" s="850"/>
      <c r="P299" s="850"/>
      <c r="Q299" s="850"/>
      <c r="R299" s="850"/>
      <c r="S299" s="850"/>
    </row>
    <row r="300" spans="1:19" ht="13.5" thickBot="1">
      <c r="A300" s="850" t="s">
        <v>2585</v>
      </c>
      <c r="B300" s="850" t="s">
        <v>2227</v>
      </c>
      <c r="C300" s="576" t="s">
        <v>2586</v>
      </c>
      <c r="D300" s="850"/>
      <c r="E300" s="850"/>
      <c r="F300" s="1545">
        <f>SUM(F298:F299)</f>
        <v>13159279117</v>
      </c>
      <c r="G300" s="1545">
        <f>SUM(G298:G299)</f>
        <v>13159279117</v>
      </c>
      <c r="H300" s="1546">
        <f>SUM(H298:H299)</f>
        <v>11100823805</v>
      </c>
      <c r="I300" s="1546">
        <f>SUM(I298:I299)</f>
        <v>11100823805</v>
      </c>
      <c r="J300" s="850"/>
      <c r="K300" s="850"/>
      <c r="L300" s="850"/>
      <c r="M300" s="850"/>
      <c r="N300" s="850"/>
      <c r="O300" s="850"/>
      <c r="P300" s="850"/>
      <c r="Q300" s="850"/>
      <c r="R300" s="850"/>
      <c r="S300" s="850"/>
    </row>
    <row r="301" spans="1:19" ht="13.5" thickTop="1">
      <c r="A301" s="850" t="s">
        <v>2585</v>
      </c>
      <c r="B301" s="850" t="s">
        <v>2227</v>
      </c>
      <c r="C301" s="576" t="s">
        <v>2586</v>
      </c>
      <c r="D301" s="850"/>
      <c r="E301" s="850"/>
      <c r="F301" s="850"/>
      <c r="G301" s="850"/>
      <c r="H301" s="850"/>
      <c r="I301" s="850"/>
      <c r="J301" s="850"/>
      <c r="K301" s="850"/>
      <c r="L301" s="850"/>
      <c r="M301" s="850"/>
      <c r="N301" s="850"/>
      <c r="O301" s="850"/>
      <c r="P301" s="850"/>
      <c r="Q301" s="850"/>
      <c r="R301" s="850"/>
      <c r="S301" s="850"/>
    </row>
    <row r="302" spans="1:19">
      <c r="A302" s="850" t="s">
        <v>2585</v>
      </c>
      <c r="B302" s="850" t="s">
        <v>2227</v>
      </c>
      <c r="C302" s="576" t="s">
        <v>2586</v>
      </c>
      <c r="D302" s="850"/>
      <c r="E302" s="850" t="s">
        <v>2756</v>
      </c>
      <c r="F302" s="909"/>
      <c r="G302" s="909"/>
      <c r="H302" s="910"/>
      <c r="I302" s="910"/>
      <c r="J302" s="850"/>
      <c r="K302" s="850"/>
      <c r="L302" s="850"/>
      <c r="M302" s="850"/>
      <c r="N302" s="850"/>
      <c r="O302" s="850"/>
      <c r="P302" s="850"/>
      <c r="Q302" s="850"/>
      <c r="R302" s="850"/>
      <c r="S302" s="850"/>
    </row>
    <row r="303" spans="1:19">
      <c r="A303" s="850" t="s">
        <v>2585</v>
      </c>
      <c r="B303" s="850" t="s">
        <v>2227</v>
      </c>
      <c r="C303" s="576" t="s">
        <v>2586</v>
      </c>
      <c r="D303" s="850"/>
      <c r="E303" s="859" t="s">
        <v>2757</v>
      </c>
      <c r="F303" s="1049">
        <f>'A4.N2FS Singles'!F305</f>
        <v>4939157293</v>
      </c>
      <c r="G303" s="951">
        <f>F303</f>
        <v>4939157293</v>
      </c>
      <c r="H303" s="1058">
        <v>9841690560</v>
      </c>
      <c r="I303" s="938">
        <f>H303</f>
        <v>9841690560</v>
      </c>
      <c r="J303" s="850"/>
      <c r="K303" s="850"/>
      <c r="L303" s="850"/>
      <c r="M303" s="850"/>
      <c r="N303" s="850"/>
      <c r="O303" s="850"/>
      <c r="P303" s="850"/>
      <c r="Q303" s="850"/>
      <c r="R303" s="850"/>
      <c r="S303" s="850"/>
    </row>
    <row r="304" spans="1:19">
      <c r="A304" s="850" t="s">
        <v>2585</v>
      </c>
      <c r="B304" s="850" t="s">
        <v>2227</v>
      </c>
      <c r="C304" s="576" t="s">
        <v>2586</v>
      </c>
      <c r="D304" s="850"/>
      <c r="E304" s="859"/>
      <c r="F304" s="952">
        <v>0</v>
      </c>
      <c r="G304" s="952">
        <f>F304</f>
        <v>0</v>
      </c>
      <c r="H304" s="938">
        <v>0</v>
      </c>
      <c r="I304" s="938">
        <f>H304</f>
        <v>0</v>
      </c>
      <c r="J304" s="850"/>
      <c r="K304" s="1017"/>
      <c r="L304" s="850"/>
      <c r="M304" s="850"/>
      <c r="N304" s="850"/>
      <c r="O304" s="850"/>
      <c r="P304" s="850"/>
      <c r="Q304" s="850"/>
      <c r="R304" s="850"/>
      <c r="S304" s="850"/>
    </row>
    <row r="305" spans="1:19" ht="13.5" thickBot="1">
      <c r="A305" s="850" t="s">
        <v>2585</v>
      </c>
      <c r="B305" s="850" t="s">
        <v>2227</v>
      </c>
      <c r="C305" s="576" t="s">
        <v>2586</v>
      </c>
      <c r="D305" s="850"/>
      <c r="E305" s="850"/>
      <c r="F305" s="1545">
        <f>SUM(F303:F304)</f>
        <v>4939157293</v>
      </c>
      <c r="G305" s="1545">
        <f>SUM(G303:G304)</f>
        <v>4939157293</v>
      </c>
      <c r="H305" s="1546">
        <f>SUM(H303:H304)</f>
        <v>9841690560</v>
      </c>
      <c r="I305" s="1546">
        <f>SUM(I303:I304)</f>
        <v>9841690560</v>
      </c>
      <c r="J305" s="850"/>
      <c r="K305" s="850"/>
      <c r="L305" s="850"/>
      <c r="M305" s="850"/>
      <c r="N305" s="850"/>
      <c r="O305" s="850"/>
      <c r="P305" s="850"/>
      <c r="Q305" s="850"/>
      <c r="R305" s="850"/>
      <c r="S305" s="850"/>
    </row>
    <row r="306" spans="1:19" ht="13.5" thickTop="1">
      <c r="A306" s="850" t="s">
        <v>2585</v>
      </c>
      <c r="B306" s="850" t="s">
        <v>2227</v>
      </c>
      <c r="C306" s="576" t="s">
        <v>2586</v>
      </c>
      <c r="D306" s="850"/>
      <c r="E306" s="850"/>
      <c r="F306" s="850"/>
      <c r="G306" s="850"/>
      <c r="H306" s="850"/>
      <c r="I306" s="850"/>
      <c r="J306" s="850"/>
      <c r="K306" s="850"/>
      <c r="L306" s="850"/>
      <c r="M306" s="850"/>
      <c r="N306" s="850"/>
      <c r="O306" s="850"/>
      <c r="P306" s="850"/>
      <c r="Q306" s="850"/>
      <c r="R306" s="850"/>
      <c r="S306" s="850"/>
    </row>
    <row r="307" spans="1:19">
      <c r="A307" s="850" t="s">
        <v>2585</v>
      </c>
      <c r="B307" s="850" t="s">
        <v>2227</v>
      </c>
      <c r="C307" s="576" t="s">
        <v>2586</v>
      </c>
      <c r="D307" s="850"/>
      <c r="E307" s="1" t="s">
        <v>1970</v>
      </c>
      <c r="F307" s="857">
        <f>F305-F298</f>
        <v>0</v>
      </c>
      <c r="G307" s="857">
        <f>G305-G298</f>
        <v>0</v>
      </c>
      <c r="H307" s="857">
        <f>H305-H298</f>
        <v>0</v>
      </c>
      <c r="I307" s="857">
        <f>I305-I298</f>
        <v>0</v>
      </c>
      <c r="J307" s="850"/>
      <c r="K307" s="850"/>
      <c r="L307" s="850"/>
      <c r="M307" s="850"/>
      <c r="N307" s="850"/>
      <c r="O307" s="850"/>
      <c r="P307" s="850"/>
      <c r="Q307" s="850"/>
      <c r="R307" s="850"/>
      <c r="S307" s="850"/>
    </row>
    <row r="308" spans="1:19">
      <c r="A308" s="850" t="s">
        <v>2585</v>
      </c>
      <c r="B308" s="850" t="s">
        <v>2227</v>
      </c>
      <c r="C308" s="576" t="s">
        <v>2586</v>
      </c>
      <c r="D308" s="850"/>
      <c r="E308" s="1" t="s">
        <v>1970</v>
      </c>
      <c r="F308" s="857">
        <f>F300-'A1.BS'!R88</f>
        <v>0</v>
      </c>
      <c r="G308" s="850"/>
      <c r="H308" s="857">
        <f>H300-'A1.BS'!V88</f>
        <v>0</v>
      </c>
      <c r="I308" s="850"/>
      <c r="J308" s="850"/>
      <c r="K308" s="850"/>
      <c r="L308" s="850"/>
      <c r="M308" s="850"/>
      <c r="N308" s="850"/>
      <c r="O308" s="850"/>
      <c r="P308" s="850"/>
      <c r="Q308" s="850"/>
      <c r="R308" s="850"/>
      <c r="S308" s="850"/>
    </row>
    <row r="309" spans="1:19">
      <c r="A309" s="850" t="s">
        <v>2585</v>
      </c>
      <c r="B309" s="850" t="s">
        <v>2227</v>
      </c>
      <c r="C309" s="576" t="s">
        <v>2586</v>
      </c>
      <c r="D309" s="850"/>
      <c r="E309" s="850"/>
      <c r="F309" s="850"/>
      <c r="G309" s="850"/>
      <c r="H309" s="850"/>
      <c r="I309" s="850"/>
      <c r="J309" s="850"/>
      <c r="K309" s="850"/>
      <c r="L309" s="850"/>
      <c r="M309" s="850"/>
      <c r="N309" s="850"/>
      <c r="O309" s="850"/>
      <c r="P309" s="850"/>
      <c r="Q309" s="850"/>
      <c r="R309" s="850"/>
      <c r="S309" s="850"/>
    </row>
    <row r="310" spans="1:19">
      <c r="A310" s="172"/>
      <c r="B310" s="172" t="s">
        <v>676</v>
      </c>
      <c r="C310" s="172" t="s">
        <v>681</v>
      </c>
      <c r="D310" s="172"/>
      <c r="E310" s="172" t="s">
        <v>2758</v>
      </c>
      <c r="F310" s="172"/>
      <c r="G310" s="172"/>
      <c r="H310" s="172"/>
      <c r="I310" s="172"/>
      <c r="J310" s="172"/>
      <c r="K310" s="172"/>
      <c r="L310" s="172"/>
      <c r="M310" s="172"/>
      <c r="N310" s="172"/>
      <c r="O310" s="172"/>
      <c r="P310" s="172"/>
      <c r="Q310" s="172"/>
      <c r="R310" s="172"/>
      <c r="S310" s="172"/>
    </row>
    <row r="311" spans="1:19">
      <c r="A311" s="850" t="s">
        <v>2585</v>
      </c>
      <c r="B311" s="850" t="s">
        <v>676</v>
      </c>
      <c r="C311" s="576" t="s">
        <v>2586</v>
      </c>
      <c r="D311" s="850"/>
      <c r="E311" s="850"/>
      <c r="F311" s="850"/>
      <c r="G311" s="850"/>
      <c r="H311" s="850"/>
      <c r="I311" s="850"/>
      <c r="J311" s="850"/>
      <c r="K311" s="850"/>
      <c r="L311" s="850"/>
      <c r="M311" s="850"/>
      <c r="N311" s="850"/>
      <c r="O311" s="850"/>
      <c r="P311" s="850"/>
      <c r="Q311" s="850"/>
      <c r="R311" s="850"/>
      <c r="S311" s="850"/>
    </row>
    <row r="312" spans="1:19">
      <c r="A312" s="850" t="s">
        <v>2585</v>
      </c>
      <c r="B312" s="850" t="s">
        <v>676</v>
      </c>
      <c r="C312" s="576" t="s">
        <v>2586</v>
      </c>
      <c r="D312" s="850"/>
      <c r="E312" s="850"/>
      <c r="F312" s="850"/>
      <c r="G312" s="850"/>
      <c r="H312" s="850"/>
      <c r="I312" s="850"/>
      <c r="J312" s="850"/>
      <c r="K312" s="850" t="s">
        <v>2759</v>
      </c>
      <c r="L312" s="850"/>
      <c r="M312" s="850"/>
      <c r="N312" s="850"/>
      <c r="O312" s="850"/>
      <c r="P312" s="850"/>
      <c r="Q312" s="850"/>
      <c r="R312" s="850"/>
      <c r="S312" s="850"/>
    </row>
    <row r="313" spans="1:19" ht="25.5">
      <c r="A313" s="850" t="s">
        <v>2585</v>
      </c>
      <c r="B313" s="850" t="s">
        <v>676</v>
      </c>
      <c r="C313" s="576" t="s">
        <v>2586</v>
      </c>
      <c r="D313" s="850"/>
      <c r="E313" s="850"/>
      <c r="F313" s="550" t="s">
        <v>2760</v>
      </c>
      <c r="G313" s="549" t="s">
        <v>2761</v>
      </c>
      <c r="H313" s="549" t="s">
        <v>2762</v>
      </c>
      <c r="I313" s="549" t="s">
        <v>2763</v>
      </c>
      <c r="J313" s="850"/>
      <c r="K313" s="850"/>
      <c r="L313" s="850"/>
      <c r="M313" s="850"/>
      <c r="N313" s="850"/>
      <c r="O313" s="850"/>
      <c r="P313" s="850"/>
      <c r="Q313" s="850"/>
      <c r="R313" s="850"/>
      <c r="S313" s="850"/>
    </row>
    <row r="314" spans="1:19">
      <c r="A314" s="850" t="s">
        <v>2585</v>
      </c>
      <c r="B314" s="850" t="s">
        <v>676</v>
      </c>
      <c r="C314" s="576" t="s">
        <v>2586</v>
      </c>
      <c r="D314" s="850"/>
      <c r="E314" s="1" t="s">
        <v>2764</v>
      </c>
      <c r="F314" s="910"/>
      <c r="G314" s="909"/>
      <c r="H314" s="909"/>
      <c r="I314" s="909"/>
      <c r="J314" s="850"/>
      <c r="K314" s="850"/>
      <c r="L314" s="850"/>
      <c r="M314" s="184" t="s">
        <v>2119</v>
      </c>
      <c r="N314" s="585" t="s">
        <v>2120</v>
      </c>
      <c r="O314" s="584" t="s">
        <v>530</v>
      </c>
      <c r="P314" s="187" t="s">
        <v>494</v>
      </c>
      <c r="Q314" s="187" t="s">
        <v>555</v>
      </c>
      <c r="R314" s="549" t="s">
        <v>2765</v>
      </c>
      <c r="S314" s="850"/>
    </row>
    <row r="315" spans="1:19">
      <c r="A315" s="850" t="s">
        <v>2585</v>
      </c>
      <c r="B315" s="850" t="s">
        <v>676</v>
      </c>
      <c r="C315" s="576" t="s">
        <v>2586</v>
      </c>
      <c r="D315" s="859" t="s">
        <v>2306</v>
      </c>
      <c r="E315" s="850" t="s">
        <v>2766</v>
      </c>
      <c r="F315" s="938">
        <v>10800170</v>
      </c>
      <c r="G315" s="952">
        <f>I315-SUM(F315,H315)</f>
        <v>1588611683</v>
      </c>
      <c r="H315" s="952">
        <f>-G326</f>
        <v>-1446934591</v>
      </c>
      <c r="I315" s="952">
        <f>-ROUND(SUMIFS('A0.LS'!AX:AX,'A0.LS'!C:C,D315),0)</f>
        <v>152477262</v>
      </c>
      <c r="J315" s="857"/>
      <c r="K315" s="850"/>
      <c r="L315" s="859" t="s">
        <v>132</v>
      </c>
      <c r="M315" s="848">
        <f>'A4.N2FS Singles'!H317</f>
        <v>-536618723</v>
      </c>
      <c r="N315" s="1059">
        <f>-107599115</f>
        <v>-107599115</v>
      </c>
      <c r="O315" s="1051">
        <f>[17]NTFS!$I$315</f>
        <v>926266762</v>
      </c>
      <c r="P315" s="847"/>
      <c r="Q315" s="1060">
        <v>5417</v>
      </c>
      <c r="R315" s="850"/>
      <c r="S315" s="850"/>
    </row>
    <row r="316" spans="1:19">
      <c r="A316" s="850" t="s">
        <v>2585</v>
      </c>
      <c r="B316" s="850"/>
      <c r="C316" s="576" t="s">
        <v>2586</v>
      </c>
      <c r="D316" s="850"/>
      <c r="E316" s="850" t="s">
        <v>135</v>
      </c>
      <c r="F316" s="938">
        <f>SUM(F317:F319)</f>
        <v>2888859146</v>
      </c>
      <c r="G316" s="952">
        <f>SUM(G317:G320)</f>
        <v>12447609824</v>
      </c>
      <c r="H316" s="952">
        <f>SUM(H317:H320)</f>
        <v>-14194260952</v>
      </c>
      <c r="I316" s="952">
        <f t="shared" ref="I316" si="8">SUM(I317:I319)</f>
        <v>1142208018</v>
      </c>
      <c r="J316" s="857"/>
      <c r="K316" s="850"/>
      <c r="L316" s="850"/>
      <c r="M316" s="848">
        <f>SUM(M317:M319)</f>
        <v>-8478899388</v>
      </c>
      <c r="N316" s="1059">
        <f>SUM(N317:N320)</f>
        <v>-5613739</v>
      </c>
      <c r="O316" s="1052">
        <f>SUM(O317:O319)</f>
        <v>-5706347825</v>
      </c>
      <c r="P316" s="847">
        <f t="shared" ref="P316:Q316" si="9">SUM(P317:P319)</f>
        <v>0</v>
      </c>
      <c r="Q316" s="847">
        <f t="shared" si="9"/>
        <v>-3400000</v>
      </c>
      <c r="R316" s="850"/>
      <c r="S316" s="850"/>
    </row>
    <row r="317" spans="1:19" s="37" customFormat="1">
      <c r="A317" s="37" t="s">
        <v>2585</v>
      </c>
      <c r="B317" s="850" t="s">
        <v>2227</v>
      </c>
      <c r="C317" s="576" t="s">
        <v>2586</v>
      </c>
      <c r="D317" s="345" t="s">
        <v>2310</v>
      </c>
      <c r="E317" s="345" t="s">
        <v>2767</v>
      </c>
      <c r="F317" s="555">
        <v>1363668436</v>
      </c>
      <c r="G317" s="558">
        <f>I317-SUM(F317,H317)</f>
        <v>3297201494</v>
      </c>
      <c r="H317" s="558">
        <f>R317</f>
        <v>-4294572863</v>
      </c>
      <c r="I317" s="558">
        <f>-ROUND(SUMIFS('A0.LS'!AX:AX,'A0.LS'!C:C,D317),0)</f>
        <v>366297067</v>
      </c>
      <c r="J317" s="857"/>
      <c r="K317" s="348"/>
      <c r="L317" s="345" t="s">
        <v>2768</v>
      </c>
      <c r="M317" s="348">
        <f>'A4.N2FS Singles'!H319</f>
        <v>-1838490459</v>
      </c>
      <c r="N317" s="602">
        <f>-2613739</f>
        <v>-2613739</v>
      </c>
      <c r="O317" s="588">
        <f>-[17]NTFS!$I$318</f>
        <v>-2450068665</v>
      </c>
      <c r="P317" s="743"/>
      <c r="Q317" s="346">
        <v>-3400000</v>
      </c>
      <c r="R317" s="601">
        <f>SUM(M317:Q317)</f>
        <v>-4294572863</v>
      </c>
    </row>
    <row r="318" spans="1:19" s="37" customFormat="1">
      <c r="A318" s="37" t="s">
        <v>2585</v>
      </c>
      <c r="B318" s="850" t="s">
        <v>2227</v>
      </c>
      <c r="C318" s="576" t="s">
        <v>2586</v>
      </c>
      <c r="D318" s="345" t="s">
        <v>2316</v>
      </c>
      <c r="E318" s="345" t="s">
        <v>2769</v>
      </c>
      <c r="F318" s="555">
        <v>66225151</v>
      </c>
      <c r="G318" s="558">
        <f>I318-SUM(F318,H318)</f>
        <v>72033331</v>
      </c>
      <c r="H318" s="558">
        <f>R318</f>
        <v>-138258482</v>
      </c>
      <c r="I318" s="558">
        <f>-ROUND(SUMIFS('A0.LS'!AX:AX,'A0.LS'!C:C,D318),0)</f>
        <v>0</v>
      </c>
      <c r="J318" s="857"/>
      <c r="K318" s="348"/>
      <c r="L318" s="37" t="s">
        <v>138</v>
      </c>
      <c r="M318" s="348">
        <f>'A4.N2FS Singles'!H320</f>
        <v>-138258482</v>
      </c>
      <c r="N318" s="602">
        <v>0</v>
      </c>
      <c r="O318" s="587"/>
      <c r="P318" s="743"/>
      <c r="Q318" s="743"/>
      <c r="R318" s="601">
        <f>SUM(M318:Q318)</f>
        <v>-138258482</v>
      </c>
    </row>
    <row r="319" spans="1:19" s="37" customFormat="1">
      <c r="A319" s="37" t="s">
        <v>2585</v>
      </c>
      <c r="B319" s="850" t="s">
        <v>2227</v>
      </c>
      <c r="C319" s="576" t="s">
        <v>2586</v>
      </c>
      <c r="D319" s="345" t="s">
        <v>2318</v>
      </c>
      <c r="E319" s="345" t="s">
        <v>2770</v>
      </c>
      <c r="F319" s="555">
        <v>1458965559</v>
      </c>
      <c r="G319" s="558">
        <f>I319-SUM(F319,H319)</f>
        <v>9075374999</v>
      </c>
      <c r="H319" s="558">
        <f>R319</f>
        <v>-9758429607</v>
      </c>
      <c r="I319" s="558">
        <f>-ROUND(SUMIFS('A0.LS'!AX:AX,'A0.LS'!C:C,D319),0)</f>
        <v>775910951</v>
      </c>
      <c r="J319" s="857"/>
      <c r="K319" s="348"/>
      <c r="L319" s="345" t="s">
        <v>140</v>
      </c>
      <c r="M319" s="348">
        <f>'A4.N2FS Singles'!H321</f>
        <v>-6502150447</v>
      </c>
      <c r="N319" s="586"/>
      <c r="O319" s="588">
        <f>-[17]NTFS!$I$319</f>
        <v>-3256279160</v>
      </c>
      <c r="P319" s="743"/>
      <c r="Q319" s="743"/>
      <c r="R319" s="601">
        <f>SUM(M319:Q319)</f>
        <v>-9758429607</v>
      </c>
    </row>
    <row r="320" spans="1:19" s="37" customFormat="1">
      <c r="A320" s="37" t="s">
        <v>2585</v>
      </c>
      <c r="B320" s="850" t="s">
        <v>2227</v>
      </c>
      <c r="C320" s="576" t="s">
        <v>2586</v>
      </c>
      <c r="D320" s="345"/>
      <c r="E320" s="345" t="s">
        <v>2771</v>
      </c>
      <c r="F320" s="555">
        <v>0</v>
      </c>
      <c r="G320" s="558">
        <f>I320-SUM(F320,H320)</f>
        <v>3000000</v>
      </c>
      <c r="H320" s="558">
        <f>R320</f>
        <v>-3000000</v>
      </c>
      <c r="I320" s="558">
        <f>-ROUND(SUMIFS('A0.LS'!AX:AX,'A0.LS'!C:C,D320),0)</f>
        <v>0</v>
      </c>
      <c r="J320" s="857"/>
      <c r="K320" s="348"/>
      <c r="L320" s="345" t="s">
        <v>2772</v>
      </c>
      <c r="M320" s="348"/>
      <c r="N320" s="602">
        <v>-3000000</v>
      </c>
      <c r="O320" s="588"/>
      <c r="P320" s="743"/>
      <c r="Q320" s="743"/>
      <c r="R320" s="601">
        <f>SUM(M320:Q320)</f>
        <v>-3000000</v>
      </c>
    </row>
    <row r="321" spans="1:19">
      <c r="A321" s="850" t="s">
        <v>2585</v>
      </c>
      <c r="B321" s="850" t="s">
        <v>676</v>
      </c>
      <c r="C321" s="576" t="s">
        <v>2586</v>
      </c>
      <c r="D321" s="859" t="s">
        <v>2308</v>
      </c>
      <c r="E321" s="850" t="s">
        <v>145</v>
      </c>
      <c r="F321" s="938">
        <f>SUM(F322:F323)</f>
        <v>61480303</v>
      </c>
      <c r="G321" s="952">
        <f>SUM(G322:G323)</f>
        <v>53770084</v>
      </c>
      <c r="H321" s="952">
        <f>SUM(H322:H323)</f>
        <v>-114131971</v>
      </c>
      <c r="I321" s="952">
        <f>-ROUND(SUMIFS('A0.LS'!AX:AX,'A0.LS'!C:C,D321),0)</f>
        <v>1118416</v>
      </c>
      <c r="J321" s="857"/>
      <c r="K321" s="850"/>
      <c r="L321" s="850"/>
      <c r="M321" s="850"/>
      <c r="N321" s="1061"/>
      <c r="O321" s="1050"/>
      <c r="P321" s="993"/>
      <c r="Q321" s="993"/>
      <c r="R321" s="850"/>
      <c r="S321" s="850"/>
    </row>
    <row r="322" spans="1:19">
      <c r="A322" s="850" t="s">
        <v>2585</v>
      </c>
      <c r="B322" s="850" t="s">
        <v>676</v>
      </c>
      <c r="C322" s="576" t="s">
        <v>2586</v>
      </c>
      <c r="D322" s="859"/>
      <c r="E322" s="345" t="s">
        <v>2773</v>
      </c>
      <c r="F322" s="555">
        <v>0</v>
      </c>
      <c r="G322" s="558">
        <f>'A4.N2FS Singles'!G323-SUM('A4.N2FS Consol'!N322:Q322)</f>
        <v>14500000</v>
      </c>
      <c r="H322" s="558">
        <f>'A4.N2FS Singles'!H323+SUM('A4.N2FS Consol'!N322:Q322)</f>
        <v>-14500000</v>
      </c>
      <c r="I322" s="952">
        <f>SUM(F322:H322)</f>
        <v>0</v>
      </c>
      <c r="J322" s="857"/>
      <c r="K322" s="848"/>
      <c r="L322" s="859" t="s">
        <v>2774</v>
      </c>
      <c r="M322" s="848">
        <f>-'A4.N2FS Singles'!G323</f>
        <v>-4500000</v>
      </c>
      <c r="N322" s="1062">
        <v>-3000000</v>
      </c>
      <c r="O322" s="1052">
        <v>-3000000</v>
      </c>
      <c r="P322" s="847">
        <v>-2000000</v>
      </c>
      <c r="Q322" s="847">
        <v>-2000000</v>
      </c>
      <c r="R322" s="601">
        <f>SUM(M322:Q322)</f>
        <v>-14500000</v>
      </c>
      <c r="S322" s="850"/>
    </row>
    <row r="323" spans="1:19">
      <c r="A323" s="850" t="s">
        <v>2585</v>
      </c>
      <c r="B323" s="850" t="s">
        <v>676</v>
      </c>
      <c r="C323" s="576" t="s">
        <v>2586</v>
      </c>
      <c r="D323" s="859"/>
      <c r="E323" s="345" t="s">
        <v>2775</v>
      </c>
      <c r="F323" s="555">
        <v>61480303</v>
      </c>
      <c r="G323" s="558">
        <f>'A4.N2FS Singles'!G324</f>
        <v>39270084</v>
      </c>
      <c r="H323" s="558">
        <f>'A4.N2FS Singles'!H324</f>
        <v>-99631971</v>
      </c>
      <c r="I323" s="558">
        <f>SUM(F323:H323)</f>
        <v>1118416</v>
      </c>
      <c r="J323" s="857"/>
      <c r="K323" s="848"/>
      <c r="L323" s="850" t="s">
        <v>2776</v>
      </c>
      <c r="M323" s="850"/>
      <c r="N323" s="1061"/>
      <c r="O323" s="1050"/>
      <c r="P323" s="993"/>
      <c r="Q323" s="993"/>
      <c r="R323" s="601">
        <f>SUM(M323:Q323)</f>
        <v>0</v>
      </c>
      <c r="S323" s="850"/>
    </row>
    <row r="324" spans="1:19" ht="13.5" thickBot="1">
      <c r="A324" s="850" t="s">
        <v>2585</v>
      </c>
      <c r="B324" s="850" t="s">
        <v>676</v>
      </c>
      <c r="C324" s="576" t="s">
        <v>2586</v>
      </c>
      <c r="D324" s="850"/>
      <c r="E324" s="850"/>
      <c r="F324" s="1546">
        <f>SUM(F315:F316,F321)</f>
        <v>2961139619</v>
      </c>
      <c r="G324" s="1545">
        <f t="shared" ref="G324:I324" si="10">SUM(G315:G316,G321)</f>
        <v>14089991591</v>
      </c>
      <c r="H324" s="1545">
        <f t="shared" si="10"/>
        <v>-15755327514</v>
      </c>
      <c r="I324" s="1545">
        <f t="shared" si="10"/>
        <v>1295803696</v>
      </c>
      <c r="J324" s="857"/>
      <c r="K324" s="850"/>
      <c r="L324" s="850"/>
      <c r="M324" s="850"/>
      <c r="N324" s="1061"/>
      <c r="O324" s="1050"/>
      <c r="P324" s="993"/>
      <c r="Q324" s="993"/>
      <c r="R324" s="601">
        <f>SUM(M324:Q324)</f>
        <v>0</v>
      </c>
      <c r="S324" s="850"/>
    </row>
    <row r="325" spans="1:19" ht="13.5" thickTop="1">
      <c r="A325" s="850" t="s">
        <v>2585</v>
      </c>
      <c r="B325" s="850" t="s">
        <v>676</v>
      </c>
      <c r="C325" s="576" t="s">
        <v>2586</v>
      </c>
      <c r="D325" s="850"/>
      <c r="E325" s="1" t="s">
        <v>685</v>
      </c>
      <c r="F325" s="850"/>
      <c r="G325" s="850"/>
      <c r="H325" s="850"/>
      <c r="I325" s="850"/>
      <c r="J325" s="850"/>
      <c r="K325" s="850"/>
      <c r="L325" s="850"/>
      <c r="M325" s="850"/>
      <c r="N325" s="1061"/>
      <c r="O325" s="1050"/>
      <c r="P325" s="993"/>
      <c r="Q325" s="993"/>
      <c r="R325" s="601">
        <f>SUM(M325:Q325)</f>
        <v>0</v>
      </c>
      <c r="S325" s="850"/>
    </row>
    <row r="326" spans="1:19">
      <c r="A326" s="850" t="s">
        <v>2585</v>
      </c>
      <c r="B326" s="850" t="s">
        <v>676</v>
      </c>
      <c r="C326" s="576" t="s">
        <v>2586</v>
      </c>
      <c r="D326" s="859" t="s">
        <v>2276</v>
      </c>
      <c r="E326" s="850" t="s">
        <v>2766</v>
      </c>
      <c r="F326" s="938">
        <v>3890741978</v>
      </c>
      <c r="G326" s="952">
        <f>I326-SUM(F326,H326)</f>
        <v>1446934591</v>
      </c>
      <c r="H326" s="952">
        <f>-SUM(M327:Q327)</f>
        <v>-1421886980</v>
      </c>
      <c r="I326" s="952">
        <f>ROUND(SUMIFS('A0.LS'!AX:AX,'A0.LS'!C:C,D326),0)</f>
        <v>3915789589</v>
      </c>
      <c r="J326" s="857"/>
      <c r="K326" s="848"/>
      <c r="L326" s="850" t="s">
        <v>2777</v>
      </c>
      <c r="M326" s="857">
        <f>-M315</f>
        <v>536618723</v>
      </c>
      <c r="N326" s="1063">
        <v>0</v>
      </c>
      <c r="O326" s="1051">
        <v>0</v>
      </c>
      <c r="P326" s="998"/>
      <c r="Q326" s="1060">
        <f>Q315</f>
        <v>5417</v>
      </c>
      <c r="R326" s="601"/>
      <c r="S326" s="850"/>
    </row>
    <row r="327" spans="1:19" ht="13.5" thickBot="1">
      <c r="A327" s="850" t="s">
        <v>2585</v>
      </c>
      <c r="B327" s="850" t="s">
        <v>676</v>
      </c>
      <c r="C327" s="576" t="s">
        <v>2586</v>
      </c>
      <c r="D327" s="850"/>
      <c r="E327" s="850"/>
      <c r="F327" s="1546">
        <f>F326</f>
        <v>3890741978</v>
      </c>
      <c r="G327" s="1545">
        <f>G326</f>
        <v>1446934591</v>
      </c>
      <c r="H327" s="1545">
        <f>H326</f>
        <v>-1421886980</v>
      </c>
      <c r="I327" s="1545">
        <f>I326</f>
        <v>3915789589</v>
      </c>
      <c r="J327" s="857"/>
      <c r="K327" s="850" t="s">
        <v>2778</v>
      </c>
      <c r="L327" s="850"/>
      <c r="M327" s="848">
        <f>'A4.N2FS Singles'!K327</f>
        <v>511565695</v>
      </c>
      <c r="N327" s="1059">
        <v>23048558</v>
      </c>
      <c r="O327" s="1051">
        <v>887272727</v>
      </c>
      <c r="P327" s="847">
        <v>0</v>
      </c>
      <c r="Q327" s="847">
        <v>0</v>
      </c>
      <c r="R327" s="601">
        <f>SUM(M327:Q327)</f>
        <v>1421886980</v>
      </c>
      <c r="S327" s="850"/>
    </row>
    <row r="328" spans="1:19" ht="13.5" thickTop="1">
      <c r="A328" s="850" t="s">
        <v>2585</v>
      </c>
      <c r="B328" s="850" t="s">
        <v>676</v>
      </c>
      <c r="C328" s="576" t="s">
        <v>2586</v>
      </c>
      <c r="D328" s="850"/>
      <c r="E328" s="850"/>
      <c r="F328" s="857"/>
      <c r="G328" s="850"/>
      <c r="H328" s="850"/>
      <c r="I328" s="850"/>
      <c r="J328" s="850"/>
      <c r="K328" s="850"/>
      <c r="L328" s="850"/>
      <c r="M328" s="850"/>
      <c r="N328" s="850"/>
      <c r="O328" s="850"/>
      <c r="P328" s="850"/>
      <c r="Q328" s="850"/>
      <c r="R328" s="850"/>
      <c r="S328" s="850"/>
    </row>
    <row r="329" spans="1:19">
      <c r="A329" s="850" t="s">
        <v>2585</v>
      </c>
      <c r="B329" s="850" t="s">
        <v>676</v>
      </c>
      <c r="C329" s="576" t="s">
        <v>2586</v>
      </c>
      <c r="D329" s="850"/>
      <c r="E329" s="1" t="s">
        <v>1970</v>
      </c>
      <c r="F329" s="848">
        <f>F324-'A1.BS'!V90</f>
        <v>0</v>
      </c>
      <c r="G329" s="848"/>
      <c r="H329" s="848"/>
      <c r="I329" s="848">
        <f>I324-'A1.BS'!R90</f>
        <v>0</v>
      </c>
      <c r="J329" s="850"/>
      <c r="K329" s="850"/>
      <c r="L329" s="850"/>
      <c r="M329" s="850"/>
      <c r="N329" s="850"/>
      <c r="O329" s="850"/>
      <c r="P329" s="850"/>
      <c r="Q329" s="850"/>
      <c r="R329" s="850"/>
      <c r="S329" s="850"/>
    </row>
    <row r="330" spans="1:19">
      <c r="A330" s="850" t="s">
        <v>2585</v>
      </c>
      <c r="B330" s="850" t="s">
        <v>676</v>
      </c>
      <c r="C330" s="576" t="s">
        <v>2586</v>
      </c>
      <c r="D330" s="850"/>
      <c r="E330" s="1" t="s">
        <v>1970</v>
      </c>
      <c r="F330" s="848">
        <f>F327-'A1.BS'!V34</f>
        <v>0</v>
      </c>
      <c r="G330" s="848"/>
      <c r="H330" s="848"/>
      <c r="I330" s="848">
        <f>I327-'A1.BS'!R34</f>
        <v>0</v>
      </c>
      <c r="J330" s="850"/>
      <c r="K330" s="850"/>
      <c r="L330" s="850"/>
      <c r="M330" s="850"/>
      <c r="N330" s="850"/>
      <c r="O330" s="850"/>
      <c r="P330" s="850"/>
      <c r="Q330" s="850"/>
      <c r="R330" s="850"/>
      <c r="S330" s="850"/>
    </row>
    <row r="331" spans="1:19">
      <c r="A331" s="850" t="s">
        <v>2585</v>
      </c>
      <c r="B331" s="850" t="s">
        <v>676</v>
      </c>
      <c r="C331" s="576" t="s">
        <v>2586</v>
      </c>
      <c r="D331" s="850"/>
      <c r="E331" s="1" t="s">
        <v>1970</v>
      </c>
      <c r="F331" s="848"/>
      <c r="G331" s="848"/>
      <c r="H331" s="848"/>
      <c r="I331" s="848"/>
      <c r="J331" s="850"/>
      <c r="K331" s="850"/>
      <c r="L331" s="850"/>
      <c r="M331" s="850"/>
      <c r="N331" s="850"/>
      <c r="O331" s="850"/>
      <c r="P331" s="850"/>
      <c r="Q331" s="850"/>
      <c r="R331" s="850"/>
      <c r="S331" s="850"/>
    </row>
    <row r="332" spans="1:19">
      <c r="A332" s="850" t="s">
        <v>2585</v>
      </c>
      <c r="B332" s="850" t="s">
        <v>676</v>
      </c>
      <c r="C332" s="576" t="s">
        <v>2586</v>
      </c>
      <c r="D332" s="850"/>
      <c r="E332" s="850"/>
      <c r="F332" s="850"/>
      <c r="G332" s="850"/>
      <c r="H332" s="850"/>
      <c r="I332" s="850"/>
      <c r="J332" s="850"/>
      <c r="K332" s="850"/>
      <c r="L332" s="850"/>
      <c r="M332" s="850"/>
      <c r="N332" s="850"/>
      <c r="O332" s="850"/>
      <c r="P332" s="850"/>
      <c r="Q332" s="850"/>
      <c r="R332" s="850"/>
      <c r="S332" s="850"/>
    </row>
    <row r="333" spans="1:19">
      <c r="A333" s="172"/>
      <c r="B333" s="172" t="s">
        <v>2227</v>
      </c>
      <c r="C333" s="172" t="s">
        <v>681</v>
      </c>
      <c r="D333" s="172"/>
      <c r="E333" s="172" t="s">
        <v>2779</v>
      </c>
      <c r="F333" s="172"/>
      <c r="G333" s="172"/>
      <c r="H333" s="172"/>
      <c r="I333" s="172"/>
      <c r="J333" s="172"/>
      <c r="K333" s="172"/>
      <c r="L333" s="172"/>
      <c r="M333" s="172"/>
      <c r="N333" s="172"/>
      <c r="O333" s="172"/>
      <c r="P333" s="172"/>
      <c r="Q333" s="172"/>
      <c r="R333" s="172"/>
      <c r="S333" s="172"/>
    </row>
    <row r="334" spans="1:19">
      <c r="A334" s="850" t="s">
        <v>2585</v>
      </c>
      <c r="B334" s="850" t="s">
        <v>2227</v>
      </c>
      <c r="C334" s="576" t="s">
        <v>2586</v>
      </c>
      <c r="D334" s="850"/>
      <c r="E334" s="850"/>
      <c r="F334" s="850"/>
      <c r="G334" s="850"/>
      <c r="H334" s="850"/>
      <c r="I334" s="850"/>
      <c r="J334" s="850"/>
      <c r="K334" s="850"/>
      <c r="L334" s="850"/>
      <c r="M334" s="850"/>
      <c r="N334" s="850"/>
      <c r="O334" s="850"/>
      <c r="P334" s="850"/>
      <c r="Q334" s="850"/>
      <c r="R334" s="850"/>
      <c r="S334" s="850"/>
    </row>
    <row r="335" spans="1:19" ht="25.5">
      <c r="A335" s="850" t="s">
        <v>2585</v>
      </c>
      <c r="B335" s="850" t="s">
        <v>2227</v>
      </c>
      <c r="C335" s="576" t="s">
        <v>2586</v>
      </c>
      <c r="D335" s="850"/>
      <c r="E335" s="850" t="s">
        <v>1200</v>
      </c>
      <c r="F335" s="545" t="s">
        <v>2587</v>
      </c>
      <c r="G335" s="550" t="s">
        <v>2588</v>
      </c>
      <c r="H335" s="850"/>
      <c r="I335" s="850"/>
      <c r="J335" s="850"/>
      <c r="K335" s="850"/>
      <c r="L335" s="1519" t="s">
        <v>530</v>
      </c>
      <c r="M335" s="1519"/>
      <c r="N335" s="1519"/>
      <c r="O335" s="850"/>
      <c r="P335" s="850"/>
      <c r="Q335" s="850"/>
      <c r="R335" s="850"/>
      <c r="S335" s="850"/>
    </row>
    <row r="336" spans="1:19" ht="25.5">
      <c r="A336" s="850" t="s">
        <v>2585</v>
      </c>
      <c r="B336" s="850" t="s">
        <v>2227</v>
      </c>
      <c r="C336" s="576" t="s">
        <v>2586</v>
      </c>
      <c r="D336" s="850"/>
      <c r="E336" s="1" t="s">
        <v>2668</v>
      </c>
      <c r="F336" s="909"/>
      <c r="G336" s="910"/>
      <c r="H336" s="850"/>
      <c r="I336" s="850"/>
      <c r="J336" s="850"/>
      <c r="K336" s="19"/>
      <c r="L336" s="1041"/>
      <c r="M336" s="1517" t="s">
        <v>2750</v>
      </c>
      <c r="N336" s="1517" t="s">
        <v>2751</v>
      </c>
      <c r="O336" s="850"/>
      <c r="P336" s="850"/>
      <c r="Q336" s="850"/>
      <c r="R336" s="850"/>
      <c r="S336" s="850"/>
    </row>
    <row r="337" spans="1:19" ht="25.5">
      <c r="A337" s="850" t="s">
        <v>2585</v>
      </c>
      <c r="B337" s="850" t="s">
        <v>2227</v>
      </c>
      <c r="C337" s="576" t="s">
        <v>2586</v>
      </c>
      <c r="D337" s="850"/>
      <c r="E337" s="1001" t="s">
        <v>2780</v>
      </c>
      <c r="F337" s="952">
        <f>'A4.N2FS Singles'!F338</f>
        <v>772727268</v>
      </c>
      <c r="G337" s="938">
        <v>1032727268</v>
      </c>
      <c r="H337" s="857"/>
      <c r="I337" s="857"/>
      <c r="J337" s="850"/>
      <c r="K337" s="19"/>
      <c r="L337" s="1520"/>
      <c r="M337" s="1521"/>
      <c r="N337" s="1522"/>
      <c r="O337" s="850"/>
      <c r="P337" s="850"/>
      <c r="Q337" s="850"/>
      <c r="R337" s="850"/>
      <c r="S337" s="850"/>
    </row>
    <row r="338" spans="1:19">
      <c r="A338" s="850" t="s">
        <v>2585</v>
      </c>
      <c r="B338" s="850" t="s">
        <v>2227</v>
      </c>
      <c r="C338" s="576" t="s">
        <v>2586</v>
      </c>
      <c r="D338" s="850"/>
      <c r="E338" s="859" t="s">
        <v>2781</v>
      </c>
      <c r="F338" s="952">
        <f>'A4.N2FS Singles'!F339</f>
        <v>206560932</v>
      </c>
      <c r="G338" s="938">
        <v>236025804</v>
      </c>
      <c r="H338" s="850"/>
      <c r="I338" s="850"/>
      <c r="J338" s="850"/>
      <c r="K338" s="19" t="s">
        <v>2503</v>
      </c>
      <c r="L338" s="1523" t="s">
        <v>2782</v>
      </c>
      <c r="M338" s="1524">
        <v>5772603</v>
      </c>
      <c r="N338" s="1524">
        <v>0</v>
      </c>
      <c r="O338" s="850"/>
      <c r="P338" s="850"/>
      <c r="Q338" s="850"/>
      <c r="R338" s="850"/>
      <c r="S338" s="850"/>
    </row>
    <row r="339" spans="1:19">
      <c r="A339" s="850" t="s">
        <v>2585</v>
      </c>
      <c r="B339" s="850" t="s">
        <v>2227</v>
      </c>
      <c r="C339" s="576" t="s">
        <v>2586</v>
      </c>
      <c r="D339" s="850"/>
      <c r="E339" s="859" t="s">
        <v>2783</v>
      </c>
      <c r="F339" s="952">
        <v>0</v>
      </c>
      <c r="G339" s="938">
        <v>0</v>
      </c>
      <c r="H339" s="850"/>
      <c r="I339" s="850"/>
      <c r="J339" s="850"/>
      <c r="K339" s="19" t="s">
        <v>2490</v>
      </c>
      <c r="L339" s="1523" t="s">
        <v>2784</v>
      </c>
      <c r="M339" s="1524">
        <v>2156573184</v>
      </c>
      <c r="N339" s="1524">
        <v>390253694</v>
      </c>
      <c r="O339" s="850"/>
      <c r="P339" s="850"/>
      <c r="Q339" s="850"/>
      <c r="R339" s="850"/>
      <c r="S339" s="850"/>
    </row>
    <row r="340" spans="1:19">
      <c r="A340" s="850" t="s">
        <v>2585</v>
      </c>
      <c r="B340" s="850" t="s">
        <v>2227</v>
      </c>
      <c r="C340" s="576" t="s">
        <v>2586</v>
      </c>
      <c r="D340" s="850"/>
      <c r="E340" s="859" t="s">
        <v>2785</v>
      </c>
      <c r="F340" s="952">
        <f>'A4.N2FS Singles'!F341+M341-'A0.LS'!AC124</f>
        <v>2233900087</v>
      </c>
      <c r="G340" s="938">
        <v>255573591</v>
      </c>
      <c r="H340" s="857">
        <f>2222917986-260000000-258387590+1029600+73302000+258387589</f>
        <v>2037249585</v>
      </c>
      <c r="I340" s="857"/>
      <c r="J340" s="850"/>
      <c r="K340" s="19" t="s">
        <v>2486</v>
      </c>
      <c r="L340" s="1525" t="s">
        <v>2786</v>
      </c>
      <c r="M340" s="1524">
        <v>0</v>
      </c>
      <c r="N340" s="1524">
        <v>0</v>
      </c>
      <c r="O340" s="850"/>
      <c r="P340" s="850"/>
      <c r="Q340" s="850"/>
      <c r="R340" s="850"/>
      <c r="S340" s="850"/>
    </row>
    <row r="341" spans="1:19" ht="13.5" thickBot="1">
      <c r="A341" s="850" t="s">
        <v>2585</v>
      </c>
      <c r="B341" s="850" t="s">
        <v>2227</v>
      </c>
      <c r="C341" s="576" t="s">
        <v>2586</v>
      </c>
      <c r="D341" s="850"/>
      <c r="E341" s="850"/>
      <c r="F341" s="1545">
        <f>SUM(F337:F340)</f>
        <v>3213188287</v>
      </c>
      <c r="G341" s="1546">
        <f>SUM(G337:G340)</f>
        <v>1524326663</v>
      </c>
      <c r="H341" s="850"/>
      <c r="I341" s="850"/>
      <c r="J341" s="850"/>
      <c r="K341" s="19"/>
      <c r="L341" s="1520" t="s">
        <v>628</v>
      </c>
      <c r="M341" s="1526">
        <f>SUM(M338:M340)</f>
        <v>2162345787</v>
      </c>
      <c r="N341" s="1526">
        <f>SUM(N338:N340)</f>
        <v>390253694</v>
      </c>
      <c r="O341" s="850"/>
      <c r="P341" s="850"/>
      <c r="Q341" s="850"/>
      <c r="R341" s="850"/>
      <c r="S341" s="850"/>
    </row>
    <row r="342" spans="1:19" ht="13.5" thickTop="1">
      <c r="A342" s="850" t="s">
        <v>2585</v>
      </c>
      <c r="B342" s="850" t="s">
        <v>2227</v>
      </c>
      <c r="C342" s="576" t="s">
        <v>2586</v>
      </c>
      <c r="D342" s="850"/>
      <c r="E342" s="850"/>
      <c r="F342" s="850"/>
      <c r="G342" s="850"/>
      <c r="H342" s="850"/>
      <c r="I342" s="850"/>
      <c r="J342" s="850"/>
      <c r="K342" s="850"/>
      <c r="L342" s="850"/>
      <c r="M342" s="850"/>
      <c r="N342" s="850"/>
      <c r="O342" s="850"/>
      <c r="P342" s="850"/>
      <c r="Q342" s="850"/>
      <c r="R342" s="850"/>
      <c r="S342" s="850"/>
    </row>
    <row r="343" spans="1:19">
      <c r="A343" s="850" t="s">
        <v>2585</v>
      </c>
      <c r="B343" s="850" t="s">
        <v>2227</v>
      </c>
      <c r="C343" s="576" t="s">
        <v>2586</v>
      </c>
      <c r="D343" s="850"/>
      <c r="E343" s="850" t="s">
        <v>2787</v>
      </c>
      <c r="F343" s="850"/>
      <c r="G343" s="850"/>
      <c r="H343" s="850"/>
      <c r="I343" s="850"/>
      <c r="J343" s="850"/>
      <c r="K343" s="850"/>
      <c r="L343" s="850"/>
      <c r="M343" s="850"/>
      <c r="N343" s="850"/>
      <c r="O343" s="850"/>
      <c r="P343" s="850"/>
      <c r="Q343" s="850"/>
      <c r="R343" s="850"/>
      <c r="S343" s="850"/>
    </row>
    <row r="344" spans="1:19">
      <c r="A344" s="850" t="s">
        <v>2585</v>
      </c>
      <c r="B344" s="850" t="s">
        <v>2227</v>
      </c>
      <c r="C344" s="576" t="s">
        <v>2586</v>
      </c>
      <c r="D344" s="850"/>
      <c r="E344" s="859" t="s">
        <v>2788</v>
      </c>
      <c r="F344" s="952">
        <f>'A4.N2FS Singles'!F345</f>
        <v>62240000</v>
      </c>
      <c r="G344" s="1042">
        <v>62240000</v>
      </c>
      <c r="H344" s="850"/>
      <c r="I344" s="850"/>
      <c r="J344" s="850"/>
      <c r="K344" s="850"/>
      <c r="L344" s="850"/>
      <c r="M344" s="850"/>
      <c r="N344" s="850"/>
      <c r="O344" s="850"/>
      <c r="P344" s="850"/>
      <c r="Q344" s="850"/>
      <c r="R344" s="850"/>
      <c r="S344" s="850"/>
    </row>
    <row r="345" spans="1:19">
      <c r="A345" s="850" t="s">
        <v>2585</v>
      </c>
      <c r="B345" s="850" t="s">
        <v>2227</v>
      </c>
      <c r="C345" s="576" t="s">
        <v>2586</v>
      </c>
      <c r="D345" s="850"/>
      <c r="E345" s="859" t="s">
        <v>2789</v>
      </c>
      <c r="F345" s="952"/>
      <c r="G345" s="1042">
        <f>G339</f>
        <v>0</v>
      </c>
      <c r="H345" s="850"/>
      <c r="I345" s="850"/>
      <c r="J345" s="850"/>
      <c r="K345" s="850"/>
      <c r="L345" s="850"/>
      <c r="M345" s="850"/>
      <c r="N345" s="850"/>
      <c r="O345" s="850"/>
      <c r="P345" s="850"/>
      <c r="Q345" s="850"/>
      <c r="R345" s="850"/>
      <c r="S345" s="850"/>
    </row>
    <row r="346" spans="1:19" ht="13.5" thickBot="1">
      <c r="A346" s="850" t="s">
        <v>2585</v>
      </c>
      <c r="B346" s="850" t="s">
        <v>2227</v>
      </c>
      <c r="C346" s="576" t="s">
        <v>2586</v>
      </c>
      <c r="D346" s="850"/>
      <c r="E346" s="850"/>
      <c r="F346" s="1545">
        <f>SUM(F345:F345)</f>
        <v>0</v>
      </c>
      <c r="G346" s="1546">
        <f>SUM(G345:G345)</f>
        <v>0</v>
      </c>
      <c r="H346" s="850"/>
      <c r="I346" s="850"/>
      <c r="J346" s="850"/>
      <c r="K346" s="850"/>
      <c r="L346" s="850"/>
      <c r="M346" s="850"/>
      <c r="N346" s="850"/>
      <c r="O346" s="850"/>
      <c r="P346" s="850"/>
      <c r="Q346" s="850"/>
      <c r="R346" s="850"/>
      <c r="S346" s="850"/>
    </row>
    <row r="347" spans="1:19" ht="13.5" thickTop="1">
      <c r="A347" s="850" t="s">
        <v>2585</v>
      </c>
      <c r="B347" s="850" t="s">
        <v>2227</v>
      </c>
      <c r="C347" s="576" t="s">
        <v>2586</v>
      </c>
      <c r="D347" s="850"/>
      <c r="E347" s="850"/>
      <c r="F347" s="850"/>
      <c r="G347" s="850"/>
      <c r="H347" s="850"/>
      <c r="I347" s="850"/>
      <c r="J347" s="850"/>
      <c r="K347" s="850"/>
      <c r="L347" s="850"/>
      <c r="M347" s="850"/>
      <c r="N347" s="850"/>
      <c r="O347" s="850"/>
      <c r="P347" s="850"/>
      <c r="Q347" s="850"/>
      <c r="R347" s="850"/>
      <c r="S347" s="850"/>
    </row>
    <row r="348" spans="1:19">
      <c r="A348" s="850" t="s">
        <v>2585</v>
      </c>
      <c r="B348" s="850" t="s">
        <v>2227</v>
      </c>
      <c r="C348" s="576" t="s">
        <v>2586</v>
      </c>
      <c r="D348" s="850"/>
      <c r="E348" s="1" t="s">
        <v>1970</v>
      </c>
      <c r="F348" s="857">
        <f>F346-F339</f>
        <v>0</v>
      </c>
      <c r="G348" s="857">
        <f>G346-G339</f>
        <v>0</v>
      </c>
      <c r="H348" s="850"/>
      <c r="I348" s="850"/>
      <c r="J348" s="850"/>
      <c r="K348" s="850"/>
      <c r="L348" s="850"/>
      <c r="M348" s="850"/>
      <c r="N348" s="850"/>
      <c r="O348" s="850"/>
      <c r="P348" s="850"/>
      <c r="Q348" s="850"/>
      <c r="R348" s="850"/>
      <c r="S348" s="850"/>
    </row>
    <row r="349" spans="1:19">
      <c r="A349" s="850" t="s">
        <v>2585</v>
      </c>
      <c r="B349" s="850" t="s">
        <v>2227</v>
      </c>
      <c r="C349" s="576" t="s">
        <v>2586</v>
      </c>
      <c r="D349" s="850"/>
      <c r="E349" s="1" t="s">
        <v>1970</v>
      </c>
      <c r="F349" s="857">
        <f>F341-'A1.BS'!R92</f>
        <v>0</v>
      </c>
      <c r="G349" s="857">
        <f>G341-'A1.BS'!V92</f>
        <v>0</v>
      </c>
      <c r="H349" s="850"/>
      <c r="I349" s="850"/>
      <c r="J349" s="850"/>
      <c r="K349" s="850"/>
      <c r="L349" s="850"/>
      <c r="M349" s="850"/>
      <c r="N349" s="850"/>
      <c r="O349" s="850"/>
      <c r="P349" s="850"/>
      <c r="Q349" s="850"/>
      <c r="R349" s="850"/>
      <c r="S349" s="850"/>
    </row>
    <row r="350" spans="1:19">
      <c r="A350" s="850" t="s">
        <v>2585</v>
      </c>
      <c r="B350" s="850" t="s">
        <v>2227</v>
      </c>
      <c r="C350" s="576" t="s">
        <v>2586</v>
      </c>
      <c r="D350" s="850"/>
      <c r="E350" s="850"/>
      <c r="F350" s="850"/>
      <c r="G350" s="850"/>
      <c r="H350" s="850"/>
      <c r="I350" s="850"/>
      <c r="J350" s="850"/>
      <c r="K350" s="850"/>
      <c r="L350" s="850"/>
      <c r="M350" s="850"/>
      <c r="N350" s="850"/>
      <c r="O350" s="850"/>
      <c r="P350" s="850"/>
      <c r="Q350" s="850"/>
      <c r="R350" s="850"/>
      <c r="S350" s="850"/>
    </row>
    <row r="351" spans="1:19">
      <c r="A351" s="172"/>
      <c r="B351" s="172" t="s">
        <v>2227</v>
      </c>
      <c r="C351" s="172" t="s">
        <v>681</v>
      </c>
      <c r="D351" s="172"/>
      <c r="E351" s="172" t="s">
        <v>2790</v>
      </c>
      <c r="F351" s="172"/>
      <c r="G351" s="172"/>
      <c r="H351" s="172"/>
      <c r="I351" s="172"/>
      <c r="J351" s="172"/>
      <c r="K351" s="172"/>
      <c r="L351" s="172"/>
      <c r="M351" s="172"/>
      <c r="N351" s="172"/>
      <c r="O351" s="172"/>
      <c r="P351" s="172"/>
      <c r="Q351" s="172"/>
      <c r="R351" s="172"/>
      <c r="S351" s="172"/>
    </row>
    <row r="352" spans="1:19">
      <c r="A352" s="850"/>
      <c r="B352" s="850" t="s">
        <v>2227</v>
      </c>
      <c r="C352" s="576" t="s">
        <v>2586</v>
      </c>
      <c r="D352" s="850"/>
      <c r="E352" s="850"/>
      <c r="F352" s="850"/>
      <c r="G352" s="574"/>
      <c r="H352" s="850"/>
      <c r="I352" s="850"/>
      <c r="J352" s="850"/>
      <c r="K352" s="850"/>
      <c r="L352" s="850"/>
      <c r="M352" s="850"/>
      <c r="N352" s="850"/>
      <c r="O352" s="850"/>
      <c r="P352" s="850"/>
      <c r="Q352" s="850"/>
      <c r="R352" s="850"/>
      <c r="S352" s="850"/>
    </row>
    <row r="353" spans="1:19" ht="25.5">
      <c r="A353" s="850" t="s">
        <v>2585</v>
      </c>
      <c r="B353" s="850" t="s">
        <v>2227</v>
      </c>
      <c r="C353" s="576" t="s">
        <v>2586</v>
      </c>
      <c r="D353" s="850"/>
      <c r="E353" s="299" t="s">
        <v>2791</v>
      </c>
      <c r="F353" s="545" t="s">
        <v>2587</v>
      </c>
      <c r="G353" s="550" t="s">
        <v>2588</v>
      </c>
      <c r="H353" s="850"/>
      <c r="I353" s="850"/>
      <c r="J353" s="850"/>
      <c r="K353" s="850"/>
      <c r="L353" s="850"/>
      <c r="M353" s="850"/>
      <c r="N353" s="850"/>
      <c r="O353" s="850"/>
      <c r="P353" s="850"/>
      <c r="Q353" s="850"/>
      <c r="R353" s="850"/>
      <c r="S353" s="850"/>
    </row>
    <row r="354" spans="1:19">
      <c r="A354" s="850" t="s">
        <v>2585</v>
      </c>
      <c r="B354" s="850" t="s">
        <v>2227</v>
      </c>
      <c r="C354" s="576" t="s">
        <v>2586</v>
      </c>
      <c r="D354" s="850"/>
      <c r="E354" s="1" t="s">
        <v>2668</v>
      </c>
      <c r="F354" s="850"/>
      <c r="G354" s="850"/>
      <c r="H354" s="850"/>
      <c r="I354" s="850"/>
      <c r="J354" s="850"/>
      <c r="K354" s="850"/>
      <c r="L354" s="850"/>
      <c r="M354" s="850"/>
      <c r="N354" s="850"/>
      <c r="O354" s="850"/>
      <c r="P354" s="850"/>
      <c r="Q354" s="850"/>
      <c r="R354" s="850"/>
      <c r="S354" s="850"/>
    </row>
    <row r="355" spans="1:19" ht="25.5">
      <c r="A355" s="850" t="s">
        <v>2585</v>
      </c>
      <c r="B355" s="850" t="s">
        <v>2227</v>
      </c>
      <c r="C355" s="576" t="s">
        <v>2586</v>
      </c>
      <c r="D355" s="850"/>
      <c r="E355" s="1003" t="s">
        <v>2792</v>
      </c>
      <c r="F355" s="952">
        <f>SUM(F356:F360)</f>
        <v>1392258730069</v>
      </c>
      <c r="G355" s="938">
        <f>SUM(G356:G360)</f>
        <v>1976532987046</v>
      </c>
      <c r="H355" s="1010"/>
      <c r="I355" s="850"/>
      <c r="J355" s="850"/>
      <c r="K355" s="850"/>
      <c r="L355" s="850"/>
      <c r="M355" s="850"/>
      <c r="N355" s="850"/>
      <c r="O355" s="850"/>
      <c r="P355" s="850"/>
      <c r="Q355" s="850"/>
      <c r="R355" s="850"/>
      <c r="S355" s="850"/>
    </row>
    <row r="356" spans="1:19">
      <c r="A356" s="850" t="s">
        <v>2585</v>
      </c>
      <c r="B356" s="850" t="s">
        <v>2227</v>
      </c>
      <c r="C356" s="576" t="s">
        <v>2586</v>
      </c>
      <c r="D356" s="859" t="s">
        <v>2339</v>
      </c>
      <c r="E356" s="345" t="s">
        <v>2793</v>
      </c>
      <c r="F356" s="558">
        <f>-ROUND(SUMIFS('A0.LS'!AX:AX,'A0.LS'!C:C,D356),0)</f>
        <v>1204113252589</v>
      </c>
      <c r="G356" s="555">
        <f>-ROUND(SUMIFS('A0.LS'!BR:BR,'A0.LS'!C:C,D356),0)</f>
        <v>1651458298938</v>
      </c>
      <c r="H356" s="1010"/>
      <c r="I356" s="850"/>
      <c r="J356" s="850"/>
      <c r="K356" s="850"/>
      <c r="L356" s="850"/>
      <c r="M356" s="850"/>
      <c r="N356" s="850"/>
      <c r="O356" s="850"/>
      <c r="P356" s="850"/>
      <c r="Q356" s="850"/>
      <c r="R356" s="850"/>
      <c r="S356" s="850"/>
    </row>
    <row r="357" spans="1:19">
      <c r="A357" s="850" t="s">
        <v>2585</v>
      </c>
      <c r="B357" s="850" t="s">
        <v>2227</v>
      </c>
      <c r="C357" s="576" t="s">
        <v>2586</v>
      </c>
      <c r="D357" s="859" t="s">
        <v>2333</v>
      </c>
      <c r="E357" s="345" t="s">
        <v>2794</v>
      </c>
      <c r="F357" s="558">
        <f>-ROUND(SUMIFS('A0.LS'!AX:AX,'A0.LS'!C:C,D357),0)</f>
        <v>137785027275</v>
      </c>
      <c r="G357" s="575">
        <f>-ROUND(SUMIFS('A0.LS'!BR:BR,'A0.LS'!C:C,D357),0)</f>
        <v>236667220460</v>
      </c>
      <c r="H357" s="1010"/>
      <c r="I357" s="850"/>
      <c r="J357" s="850"/>
      <c r="K357" s="850"/>
      <c r="L357" s="850"/>
      <c r="M357" s="850"/>
      <c r="N357" s="850"/>
      <c r="O357" s="850"/>
      <c r="P357" s="850"/>
      <c r="Q357" s="850"/>
      <c r="R357" s="850"/>
      <c r="S357" s="850"/>
    </row>
    <row r="358" spans="1:19" ht="25.5">
      <c r="A358" s="850" t="s">
        <v>2585</v>
      </c>
      <c r="B358" s="850" t="s">
        <v>2227</v>
      </c>
      <c r="C358" s="576" t="s">
        <v>2586</v>
      </c>
      <c r="D358" s="859" t="s">
        <v>2335</v>
      </c>
      <c r="E358" s="350" t="s">
        <v>2795</v>
      </c>
      <c r="F358" s="558">
        <f>-ROUND(SUMIFS('A0.LS'!AX:AX,'A0.LS'!C:C,D358),0)</f>
        <v>40893630852</v>
      </c>
      <c r="G358" s="555">
        <f>-ROUND(SUMIFS('A0.LS'!BR:BR,'A0.LS'!C:C,D358),0)-1</f>
        <v>71114107675</v>
      </c>
      <c r="H358" s="1010"/>
      <c r="I358" s="850"/>
      <c r="J358" s="850"/>
      <c r="K358" s="850"/>
      <c r="L358" s="850"/>
      <c r="M358" s="850"/>
      <c r="N358" s="850"/>
      <c r="O358" s="850"/>
      <c r="P358" s="850"/>
      <c r="Q358" s="850"/>
      <c r="R358" s="850"/>
      <c r="S358" s="850"/>
    </row>
    <row r="359" spans="1:19" ht="38.25">
      <c r="A359" s="850" t="s">
        <v>2585</v>
      </c>
      <c r="B359" s="850" t="s">
        <v>2227</v>
      </c>
      <c r="C359" s="576" t="s">
        <v>2586</v>
      </c>
      <c r="D359" s="859" t="s">
        <v>2359</v>
      </c>
      <c r="E359" s="350" t="s">
        <v>2796</v>
      </c>
      <c r="F359" s="558">
        <f>-ROUND(SUMIFS('A0.LS'!AX:AX,'A0.LS'!C:C,D359),0)</f>
        <v>0</v>
      </c>
      <c r="G359" s="575">
        <f>-ROUND(SUMIFS('A0.LS'!BR:BR,'A0.LS'!C:C,D359),0)+1</f>
        <v>1</v>
      </c>
      <c r="H359" s="1010"/>
      <c r="I359" s="850"/>
      <c r="J359" s="850"/>
      <c r="K359" s="850"/>
      <c r="L359" s="850"/>
      <c r="M359" s="850"/>
      <c r="N359" s="850"/>
      <c r="O359" s="850"/>
      <c r="P359" s="850"/>
      <c r="Q359" s="850"/>
      <c r="R359" s="850"/>
      <c r="S359" s="850"/>
    </row>
    <row r="360" spans="1:19" ht="25.5">
      <c r="A360" s="850" t="s">
        <v>2585</v>
      </c>
      <c r="B360" s="850" t="s">
        <v>2227</v>
      </c>
      <c r="C360" s="576" t="s">
        <v>2586</v>
      </c>
      <c r="D360" s="859" t="s">
        <v>2330</v>
      </c>
      <c r="E360" s="350" t="s">
        <v>2797</v>
      </c>
      <c r="F360" s="558">
        <f>-ROUND(SUMIFS('A0.LS'!AX:AX,'A0.LS'!C:C,D360),0)</f>
        <v>9466819353</v>
      </c>
      <c r="G360" s="555">
        <f>'A4.N2FS Singles'!G361</f>
        <v>17293359972</v>
      </c>
      <c r="H360" s="1010"/>
      <c r="I360" s="850"/>
      <c r="J360" s="850"/>
      <c r="K360" s="850"/>
      <c r="L360" s="850"/>
      <c r="M360" s="850"/>
      <c r="N360" s="850"/>
      <c r="O360" s="850"/>
      <c r="P360" s="850"/>
      <c r="Q360" s="850"/>
      <c r="R360" s="850"/>
      <c r="S360" s="850"/>
    </row>
    <row r="361" spans="1:19">
      <c r="A361" s="850" t="s">
        <v>2585</v>
      </c>
      <c r="B361" s="850" t="s">
        <v>2227</v>
      </c>
      <c r="C361" s="576" t="s">
        <v>2586</v>
      </c>
      <c r="D361" s="850"/>
      <c r="E361" s="850" t="s">
        <v>2798</v>
      </c>
      <c r="F361" s="952">
        <f>F378+F377+F375</f>
        <v>707582542</v>
      </c>
      <c r="G361" s="938">
        <f>G378+G377+G375+1</f>
        <v>388258945</v>
      </c>
      <c r="H361" s="848"/>
      <c r="I361" s="850"/>
      <c r="J361" s="850"/>
      <c r="K361" s="850"/>
      <c r="L361" s="850"/>
      <c r="M361" s="850"/>
      <c r="N361" s="850"/>
      <c r="O361" s="850"/>
      <c r="P361" s="850"/>
      <c r="Q361" s="850"/>
      <c r="R361" s="850"/>
      <c r="S361" s="850"/>
    </row>
    <row r="362" spans="1:19" ht="13.5" thickBot="1">
      <c r="A362" s="850"/>
      <c r="B362" s="850"/>
      <c r="C362" s="850"/>
      <c r="D362" s="850"/>
      <c r="E362" s="850"/>
      <c r="F362" s="1545">
        <f>SUM(F356:F361)</f>
        <v>1392966312611</v>
      </c>
      <c r="G362" s="1546">
        <f>SUM(G356:G361)</f>
        <v>1976921245991</v>
      </c>
      <c r="H362" s="857"/>
      <c r="I362" s="850"/>
      <c r="J362" s="850"/>
      <c r="K362" s="850"/>
      <c r="L362" s="850"/>
      <c r="M362" s="850"/>
      <c r="N362" s="850"/>
      <c r="O362" s="850"/>
      <c r="P362" s="850"/>
      <c r="Q362" s="850"/>
      <c r="R362" s="850"/>
      <c r="S362" s="850"/>
    </row>
    <row r="363" spans="1:19" ht="13.5" thickTop="1">
      <c r="A363" s="850"/>
      <c r="B363" s="850"/>
      <c r="C363" s="850"/>
      <c r="D363" s="850"/>
      <c r="E363" s="1" t="s">
        <v>2002</v>
      </c>
      <c r="F363" s="857">
        <f>F362-'A1.BS'!R96</f>
        <v>0</v>
      </c>
      <c r="G363" s="857">
        <f>G362-'A1.BS'!V96</f>
        <v>17</v>
      </c>
      <c r="H363" s="857"/>
      <c r="I363" s="850"/>
      <c r="J363" s="850"/>
      <c r="K363" s="850"/>
      <c r="L363" s="850"/>
      <c r="M363" s="850"/>
      <c r="N363" s="850"/>
      <c r="O363" s="850"/>
      <c r="P363" s="850"/>
      <c r="Q363" s="850"/>
      <c r="R363" s="850"/>
      <c r="S363" s="850"/>
    </row>
    <row r="364" spans="1:19">
      <c r="A364" s="850"/>
      <c r="B364" s="850"/>
      <c r="C364" s="850"/>
      <c r="D364" s="850"/>
      <c r="E364" s="850"/>
      <c r="F364" s="850"/>
      <c r="G364" s="850"/>
      <c r="H364" s="850"/>
      <c r="I364" s="850"/>
      <c r="J364" s="850"/>
      <c r="K364" s="850"/>
      <c r="L364" s="850"/>
      <c r="M364" s="850"/>
      <c r="N364" s="850"/>
      <c r="O364" s="850"/>
      <c r="P364" s="850"/>
      <c r="Q364" s="850"/>
      <c r="R364" s="850"/>
      <c r="S364" s="850"/>
    </row>
    <row r="365" spans="1:19">
      <c r="A365" s="850"/>
      <c r="B365" s="850"/>
      <c r="C365" s="850"/>
      <c r="D365" s="850"/>
      <c r="E365" s="850"/>
      <c r="F365" s="850"/>
      <c r="G365" s="850"/>
      <c r="H365" s="850"/>
      <c r="I365" s="850"/>
      <c r="J365" s="850"/>
      <c r="K365" s="850"/>
      <c r="L365" s="850"/>
      <c r="M365" s="850"/>
      <c r="N365" s="850"/>
      <c r="O365" s="850"/>
      <c r="P365" s="850"/>
      <c r="Q365" s="850"/>
      <c r="R365" s="850"/>
      <c r="S365" s="850"/>
    </row>
    <row r="366" spans="1:19">
      <c r="A366" s="850"/>
      <c r="B366" s="850"/>
      <c r="C366" s="850"/>
      <c r="D366" s="850"/>
      <c r="E366" s="850"/>
      <c r="F366" s="850"/>
      <c r="G366" s="850"/>
      <c r="H366" s="850"/>
      <c r="I366" s="850"/>
      <c r="J366" s="850"/>
      <c r="K366" s="850"/>
      <c r="L366" s="850"/>
      <c r="M366" s="850"/>
      <c r="N366" s="850"/>
      <c r="O366" s="850"/>
      <c r="P366" s="850"/>
      <c r="Q366" s="850"/>
      <c r="R366" s="850"/>
      <c r="S366" s="850"/>
    </row>
    <row r="367" spans="1:19" ht="25.5">
      <c r="A367" s="850" t="s">
        <v>2585</v>
      </c>
      <c r="B367" s="850" t="s">
        <v>2227</v>
      </c>
      <c r="C367" s="576" t="s">
        <v>2586</v>
      </c>
      <c r="D367" s="850"/>
      <c r="E367" s="850"/>
      <c r="F367" s="545" t="s">
        <v>2587</v>
      </c>
      <c r="G367" s="550" t="s">
        <v>2588</v>
      </c>
      <c r="H367" s="850"/>
      <c r="I367" s="850"/>
      <c r="J367" s="850"/>
      <c r="K367" s="899" t="s">
        <v>2002</v>
      </c>
      <c r="L367" s="850"/>
      <c r="M367" s="850"/>
      <c r="N367" s="850"/>
      <c r="O367" s="850"/>
      <c r="P367" s="850"/>
      <c r="Q367" s="850"/>
      <c r="R367" s="850"/>
      <c r="S367" s="850"/>
    </row>
    <row r="368" spans="1:19">
      <c r="A368" s="850" t="s">
        <v>2585</v>
      </c>
      <c r="B368" s="850" t="s">
        <v>2227</v>
      </c>
      <c r="C368" s="576" t="s">
        <v>2586</v>
      </c>
      <c r="D368" s="850"/>
      <c r="E368" s="1" t="s">
        <v>2668</v>
      </c>
      <c r="F368" s="909"/>
      <c r="G368" s="910"/>
      <c r="H368" s="850"/>
      <c r="I368" s="850"/>
      <c r="J368" s="850"/>
      <c r="K368" s="850"/>
      <c r="L368" s="850"/>
      <c r="M368" s="850"/>
      <c r="N368" s="850"/>
      <c r="O368" s="850"/>
      <c r="P368" s="850"/>
      <c r="Q368" s="850"/>
      <c r="R368" s="850"/>
      <c r="S368" s="850"/>
    </row>
    <row r="369" spans="1:19" ht="25.5">
      <c r="A369" s="850" t="s">
        <v>2585</v>
      </c>
      <c r="B369" s="850" t="s">
        <v>2227</v>
      </c>
      <c r="C369" s="576" t="s">
        <v>2586</v>
      </c>
      <c r="D369" s="850"/>
      <c r="E369" s="1003" t="s">
        <v>2792</v>
      </c>
      <c r="F369" s="952">
        <f>SUM(F370:F374)</f>
        <v>1392258730069</v>
      </c>
      <c r="G369" s="938">
        <f>'A4.N2FS Singles'!G370</f>
        <v>1976532987045</v>
      </c>
      <c r="H369" s="850"/>
      <c r="I369" s="850"/>
      <c r="J369" s="850"/>
      <c r="K369" s="850"/>
      <c r="L369" s="850"/>
      <c r="M369" s="850"/>
      <c r="N369" s="850"/>
      <c r="O369" s="850"/>
      <c r="P369" s="850"/>
      <c r="Q369" s="850"/>
      <c r="R369" s="850"/>
      <c r="S369" s="850"/>
    </row>
    <row r="370" spans="1:19">
      <c r="A370" s="850" t="s">
        <v>2585</v>
      </c>
      <c r="B370" s="850" t="s">
        <v>2227</v>
      </c>
      <c r="C370" s="576" t="s">
        <v>2586</v>
      </c>
      <c r="D370" s="859" t="s">
        <v>2339</v>
      </c>
      <c r="E370" s="345" t="s">
        <v>2793</v>
      </c>
      <c r="F370" s="558">
        <f>-ROUND(SUMIFS('A0.LS'!AX:AX,'A0.LS'!C:C,D370),0)</f>
        <v>1204113252589</v>
      </c>
      <c r="G370" s="555">
        <f>-ROUND(SUMIFS('A0.LS'!BR:BR,'A0.LS'!C:C,D370),0)</f>
        <v>1651458298938</v>
      </c>
      <c r="H370" s="946">
        <f>F370/$F$379</f>
        <v>0.86442381390544143</v>
      </c>
      <c r="I370" s="946">
        <f>G370/$G$379</f>
        <v>0.83536878481561372</v>
      </c>
      <c r="J370" s="850"/>
      <c r="K370" s="850"/>
      <c r="L370" s="850"/>
      <c r="M370" s="850"/>
      <c r="N370" s="850"/>
      <c r="O370" s="850"/>
      <c r="P370" s="850"/>
      <c r="Q370" s="850"/>
      <c r="R370" s="850"/>
      <c r="S370" s="850"/>
    </row>
    <row r="371" spans="1:19">
      <c r="A371" s="850" t="s">
        <v>2585</v>
      </c>
      <c r="B371" s="850" t="s">
        <v>2227</v>
      </c>
      <c r="C371" s="576" t="s">
        <v>2586</v>
      </c>
      <c r="D371" s="859" t="s">
        <v>2333</v>
      </c>
      <c r="E371" s="345" t="s">
        <v>2794</v>
      </c>
      <c r="F371" s="558">
        <f>-ROUND(SUMIFS('A0.LS'!AX:AX,'A0.LS'!C:C,D371),0)</f>
        <v>137785027275</v>
      </c>
      <c r="G371" s="555">
        <f>-ROUND(SUMIFS('A0.LS'!BR:BR,'A0.LS'!C:C,D371),0)</f>
        <v>236667220460</v>
      </c>
      <c r="H371" s="946">
        <f t="shared" ref="H371:H378" si="11">F371/$F$379</f>
        <v>9.8914830909825363E-2</v>
      </c>
      <c r="I371" s="946">
        <f t="shared" ref="I371:I378" si="12">G371/$G$379</f>
        <v>0.11971504729395623</v>
      </c>
      <c r="J371" s="850"/>
      <c r="K371" s="850"/>
      <c r="L371" s="850"/>
      <c r="M371" s="850"/>
      <c r="N371" s="850"/>
      <c r="O371" s="850"/>
      <c r="P371" s="850"/>
      <c r="Q371" s="850"/>
      <c r="R371" s="850"/>
      <c r="S371" s="850"/>
    </row>
    <row r="372" spans="1:19" ht="25.5">
      <c r="A372" s="850" t="s">
        <v>2585</v>
      </c>
      <c r="B372" s="850" t="s">
        <v>2227</v>
      </c>
      <c r="C372" s="576" t="s">
        <v>2586</v>
      </c>
      <c r="D372" s="859" t="s">
        <v>2335</v>
      </c>
      <c r="E372" s="350" t="s">
        <v>2795</v>
      </c>
      <c r="F372" s="558">
        <f>-ROUND(SUMIFS('A0.LS'!AX:AX,'A0.LS'!C:C,D372),0)</f>
        <v>40893630852</v>
      </c>
      <c r="G372" s="555">
        <f>-ROUND(SUMIFS('A0.LS'!BR:BR,'A0.LS'!C:C,D372),0)</f>
        <v>71114107676</v>
      </c>
      <c r="H372" s="946">
        <f t="shared" si="11"/>
        <v>2.9357228873215374E-2</v>
      </c>
      <c r="I372" s="946">
        <f t="shared" si="12"/>
        <v>3.5972150038998417E-2</v>
      </c>
      <c r="J372" s="850"/>
      <c r="K372" s="850"/>
      <c r="L372" s="850"/>
      <c r="M372" s="850"/>
      <c r="N372" s="850"/>
      <c r="O372" s="850"/>
      <c r="P372" s="850"/>
      <c r="Q372" s="850"/>
      <c r="R372" s="850"/>
      <c r="S372" s="850"/>
    </row>
    <row r="373" spans="1:19" ht="38.25">
      <c r="A373" s="850" t="s">
        <v>2585</v>
      </c>
      <c r="B373" s="850" t="s">
        <v>2227</v>
      </c>
      <c r="C373" s="576" t="s">
        <v>2586</v>
      </c>
      <c r="D373" s="859" t="s">
        <v>2359</v>
      </c>
      <c r="E373" s="350" t="s">
        <v>2796</v>
      </c>
      <c r="F373" s="558">
        <f>-ROUND(SUMIFS('A0.LS'!AX:AX,'A0.LS'!C:C,D373),0)</f>
        <v>0</v>
      </c>
      <c r="G373" s="555">
        <f>-ROUND(SUMIFS('A0.LS'!BR:BR,'A0.LS'!C:C,D373),0)+1</f>
        <v>1</v>
      </c>
      <c r="H373" s="946">
        <f t="shared" si="11"/>
        <v>0</v>
      </c>
      <c r="I373" s="946">
        <f t="shared" si="12"/>
        <v>5.0583704435819707E-13</v>
      </c>
      <c r="J373" s="850"/>
      <c r="K373" s="857">
        <f>J52-I52+G373</f>
        <v>9074618886</v>
      </c>
      <c r="L373" s="850"/>
      <c r="M373" s="850"/>
      <c r="N373" s="850"/>
      <c r="O373" s="850"/>
      <c r="P373" s="850"/>
      <c r="Q373" s="850"/>
      <c r="R373" s="850"/>
      <c r="S373" s="850"/>
    </row>
    <row r="374" spans="1:19">
      <c r="A374" s="850" t="s">
        <v>2585</v>
      </c>
      <c r="B374" s="850" t="s">
        <v>2227</v>
      </c>
      <c r="C374" s="576" t="s">
        <v>2586</v>
      </c>
      <c r="D374" s="859" t="s">
        <v>2330</v>
      </c>
      <c r="E374" s="350" t="s">
        <v>2799</v>
      </c>
      <c r="F374" s="558">
        <f>-ROUND(SUMIFS('A0.LS'!AX:AX,'A0.LS'!C:C,D374),0)</f>
        <v>9466819353</v>
      </c>
      <c r="G374" s="555">
        <f>-ROUND(SUMIFS('A0.LS'!BR:BR,'A0.LS'!C:C,D374),0)</f>
        <v>17292120233</v>
      </c>
      <c r="H374" s="946">
        <f t="shared" si="11"/>
        <v>6.7961581463195841E-3</v>
      </c>
      <c r="I374" s="946">
        <f t="shared" si="12"/>
        <v>8.7469949893472978E-3</v>
      </c>
      <c r="J374" s="850"/>
      <c r="K374" s="850"/>
      <c r="L374" s="850"/>
      <c r="M374" s="850"/>
      <c r="N374" s="850"/>
      <c r="O374" s="850"/>
      <c r="P374" s="850"/>
      <c r="Q374" s="850"/>
      <c r="R374" s="850"/>
      <c r="S374" s="850"/>
    </row>
    <row r="375" spans="1:19">
      <c r="A375" s="850" t="s">
        <v>2585</v>
      </c>
      <c r="B375" s="850" t="s">
        <v>2227</v>
      </c>
      <c r="C375" s="576" t="s">
        <v>2586</v>
      </c>
      <c r="D375" s="859" t="s">
        <v>2363</v>
      </c>
      <c r="E375" s="850" t="s">
        <v>2800</v>
      </c>
      <c r="F375" s="558">
        <f>-ROUND(SUMIFS('A0.LS'!AX:AX,'A0.LS'!C:C,D375),0)</f>
        <v>50538000</v>
      </c>
      <c r="G375" s="555">
        <v>32204000</v>
      </c>
      <c r="H375" s="946">
        <f t="shared" si="11"/>
        <v>3.6280848677001171E-5</v>
      </c>
      <c r="I375" s="946">
        <f t="shared" si="12"/>
        <v>1.6289976176511379E-5</v>
      </c>
      <c r="J375" s="850"/>
      <c r="K375" s="850"/>
      <c r="L375" s="850"/>
      <c r="M375" s="850"/>
      <c r="N375" s="850"/>
      <c r="O375" s="850"/>
      <c r="P375" s="850"/>
      <c r="Q375" s="850"/>
      <c r="R375" s="850"/>
      <c r="S375" s="850"/>
    </row>
    <row r="376" spans="1:19">
      <c r="A376" s="850" t="s">
        <v>2585</v>
      </c>
      <c r="B376" s="850" t="s">
        <v>2227</v>
      </c>
      <c r="C376" s="576" t="s">
        <v>2586</v>
      </c>
      <c r="D376" s="850"/>
      <c r="E376" s="850" t="s">
        <v>2801</v>
      </c>
      <c r="F376" s="952">
        <f>'A4.N2FS Singles'!F377</f>
        <v>0</v>
      </c>
      <c r="G376" s="938">
        <f>'A4.N2FS Singles'!G377</f>
        <v>0</v>
      </c>
      <c r="H376" s="946">
        <f t="shared" si="11"/>
        <v>0</v>
      </c>
      <c r="I376" s="946">
        <f t="shared" si="12"/>
        <v>0</v>
      </c>
      <c r="J376" s="850"/>
      <c r="K376" s="850"/>
      <c r="L376" s="850"/>
      <c r="M376" s="850"/>
      <c r="N376" s="850"/>
      <c r="O376" s="850"/>
      <c r="P376" s="850"/>
      <c r="Q376" s="850"/>
      <c r="R376" s="850"/>
      <c r="S376" s="850"/>
    </row>
    <row r="377" spans="1:19">
      <c r="A377" s="850"/>
      <c r="B377" s="850" t="s">
        <v>2227</v>
      </c>
      <c r="C377" s="576" t="s">
        <v>2586</v>
      </c>
      <c r="D377" s="850"/>
      <c r="E377" s="850" t="s">
        <v>2362</v>
      </c>
      <c r="F377" s="952">
        <f>-'A0.LS'!AP155</f>
        <v>213282618</v>
      </c>
      <c r="G377" s="938">
        <f>128584199-1139723</f>
        <v>127444476</v>
      </c>
      <c r="H377" s="946"/>
      <c r="I377" s="946"/>
      <c r="J377" s="850"/>
      <c r="K377" s="850"/>
      <c r="L377" s="850"/>
      <c r="M377" s="850"/>
      <c r="N377" s="850"/>
      <c r="O377" s="850"/>
      <c r="P377" s="850"/>
      <c r="Q377" s="850"/>
      <c r="R377" s="850"/>
      <c r="S377" s="850"/>
    </row>
    <row r="378" spans="1:19">
      <c r="A378" s="850" t="s">
        <v>2585</v>
      </c>
      <c r="B378" s="850" t="s">
        <v>2227</v>
      </c>
      <c r="C378" s="576" t="s">
        <v>2586</v>
      </c>
      <c r="D378" s="859" t="s">
        <v>2336</v>
      </c>
      <c r="E378" s="850" t="s">
        <v>2798</v>
      </c>
      <c r="F378" s="558">
        <f>-ROUND(SUMIFS('A0.LS'!AX:AX,'A0.LS'!C:C,D378),0)</f>
        <v>443761924</v>
      </c>
      <c r="G378" s="555">
        <f>-ROUND(SUMIFS('A0.LS'!BR:BR,'A0.LS'!C:C,D378),0)</f>
        <v>228610468</v>
      </c>
      <c r="H378" s="946">
        <f t="shared" si="11"/>
        <v>3.1857333517865556E-4</v>
      </c>
      <c r="I378" s="946">
        <f t="shared" si="12"/>
        <v>1.1563964344246419E-4</v>
      </c>
      <c r="J378" s="850"/>
      <c r="K378" s="850"/>
      <c r="L378" s="850"/>
      <c r="M378" s="850"/>
      <c r="N378" s="850"/>
      <c r="O378" s="850"/>
      <c r="P378" s="850"/>
      <c r="Q378" s="850"/>
      <c r="R378" s="850"/>
      <c r="S378" s="850"/>
    </row>
    <row r="379" spans="1:19" ht="13.5" thickBot="1">
      <c r="A379" s="850" t="s">
        <v>2585</v>
      </c>
      <c r="B379" s="850" t="s">
        <v>2227</v>
      </c>
      <c r="C379" s="576" t="s">
        <v>2586</v>
      </c>
      <c r="D379" s="850"/>
      <c r="E379" s="850"/>
      <c r="F379" s="1545">
        <f>SUM(F369,F375:F378)</f>
        <v>1392966312611</v>
      </c>
      <c r="G379" s="1546">
        <f>SUM(G369,G375:G378)</f>
        <v>1976921245989</v>
      </c>
      <c r="H379" s="857">
        <f>G379-G369-G378</f>
        <v>159648476</v>
      </c>
      <c r="I379" s="850"/>
      <c r="J379" s="850"/>
      <c r="K379" s="850"/>
      <c r="L379" s="1279"/>
      <c r="M379" s="1279"/>
      <c r="N379" s="850"/>
      <c r="O379" s="850"/>
      <c r="P379" s="850"/>
      <c r="Q379" s="850"/>
      <c r="R379" s="850"/>
      <c r="S379" s="850"/>
    </row>
    <row r="380" spans="1:19" ht="13.5" thickTop="1">
      <c r="A380" s="850" t="s">
        <v>2585</v>
      </c>
      <c r="B380" s="850" t="s">
        <v>2227</v>
      </c>
      <c r="C380" s="576" t="s">
        <v>2586</v>
      </c>
      <c r="D380" s="850"/>
      <c r="E380" s="850"/>
      <c r="F380" s="850"/>
      <c r="G380" s="850"/>
      <c r="H380" s="850"/>
      <c r="I380" s="850"/>
      <c r="J380" s="850"/>
      <c r="K380" s="850"/>
      <c r="L380" s="850"/>
      <c r="M380" s="850"/>
      <c r="N380" s="850"/>
      <c r="O380" s="850"/>
      <c r="P380" s="850"/>
      <c r="Q380" s="850"/>
      <c r="R380" s="850"/>
      <c r="S380" s="850"/>
    </row>
    <row r="381" spans="1:19" ht="25.5">
      <c r="A381" s="850" t="s">
        <v>2585</v>
      </c>
      <c r="B381" s="850" t="s">
        <v>2227</v>
      </c>
      <c r="C381" s="576" t="s">
        <v>2586</v>
      </c>
      <c r="D381" s="850"/>
      <c r="E381" s="1003" t="s">
        <v>2801</v>
      </c>
      <c r="F381" s="850"/>
      <c r="G381" s="850"/>
      <c r="H381" s="850"/>
      <c r="I381" s="850"/>
      <c r="J381" s="850"/>
      <c r="K381" s="850"/>
      <c r="L381" s="850"/>
      <c r="M381" s="850"/>
      <c r="N381" s="850"/>
      <c r="O381" s="850"/>
      <c r="P381" s="850"/>
      <c r="Q381" s="850"/>
      <c r="R381" s="850"/>
      <c r="S381" s="850"/>
    </row>
    <row r="382" spans="1:19">
      <c r="A382" s="850" t="s">
        <v>2585</v>
      </c>
      <c r="B382" s="850" t="s">
        <v>2227</v>
      </c>
      <c r="C382" s="576" t="s">
        <v>2586</v>
      </c>
      <c r="D382" s="850"/>
      <c r="E382" s="859" t="s">
        <v>2684</v>
      </c>
      <c r="F382" s="952">
        <v>0</v>
      </c>
      <c r="G382" s="938">
        <v>0</v>
      </c>
      <c r="H382" s="850"/>
      <c r="I382" s="850"/>
      <c r="J382" s="850"/>
      <c r="K382" s="850"/>
      <c r="L382" s="850"/>
      <c r="M382" s="850"/>
      <c r="N382" s="850"/>
      <c r="O382" s="850"/>
      <c r="P382" s="850"/>
      <c r="Q382" s="850"/>
      <c r="R382" s="850"/>
      <c r="S382" s="850"/>
    </row>
    <row r="383" spans="1:19">
      <c r="A383" s="850" t="s">
        <v>2585</v>
      </c>
      <c r="B383" s="850" t="s">
        <v>2227</v>
      </c>
      <c r="C383" s="576" t="s">
        <v>2586</v>
      </c>
      <c r="D383" s="850"/>
      <c r="E383" s="859" t="s">
        <v>2685</v>
      </c>
      <c r="F383" s="952">
        <v>0</v>
      </c>
      <c r="G383" s="938">
        <v>0</v>
      </c>
      <c r="H383" s="850"/>
      <c r="I383" s="850"/>
      <c r="J383" s="850"/>
      <c r="K383" s="850"/>
      <c r="L383" s="850"/>
      <c r="M383" s="850"/>
      <c r="N383" s="850"/>
      <c r="O383" s="850"/>
      <c r="P383" s="850"/>
      <c r="Q383" s="850"/>
      <c r="R383" s="850"/>
      <c r="S383" s="850"/>
    </row>
    <row r="384" spans="1:19" ht="13.5" thickBot="1">
      <c r="A384" s="850" t="s">
        <v>2585</v>
      </c>
      <c r="B384" s="850" t="s">
        <v>2227</v>
      </c>
      <c r="C384" s="576" t="s">
        <v>2586</v>
      </c>
      <c r="D384" s="850"/>
      <c r="E384" s="850"/>
      <c r="F384" s="1545">
        <f>SUM(F382:F383)</f>
        <v>0</v>
      </c>
      <c r="G384" s="1546">
        <f>SUM(G382:G383)</f>
        <v>0</v>
      </c>
      <c r="H384" s="850"/>
      <c r="I384" s="850"/>
      <c r="J384" s="850"/>
      <c r="K384" s="850"/>
      <c r="L384" s="850"/>
      <c r="M384" s="850"/>
      <c r="N384" s="850"/>
      <c r="O384" s="850"/>
      <c r="P384" s="850"/>
      <c r="Q384" s="850"/>
      <c r="R384" s="850"/>
      <c r="S384" s="850"/>
    </row>
    <row r="385" spans="1:19" ht="13.5" thickTop="1">
      <c r="A385" s="850" t="s">
        <v>2585</v>
      </c>
      <c r="B385" s="850" t="s">
        <v>2227</v>
      </c>
      <c r="C385" s="576" t="s">
        <v>2586</v>
      </c>
      <c r="D385" s="850"/>
      <c r="E385" s="850"/>
      <c r="F385" s="850"/>
      <c r="G385" s="850"/>
      <c r="H385" s="850"/>
      <c r="I385" s="850"/>
      <c r="J385" s="850"/>
      <c r="K385" s="850"/>
      <c r="L385" s="850"/>
      <c r="M385" s="850"/>
      <c r="N385" s="850"/>
      <c r="O385" s="850"/>
      <c r="P385" s="850"/>
      <c r="Q385" s="850"/>
      <c r="R385" s="850"/>
      <c r="S385" s="850"/>
    </row>
    <row r="386" spans="1:19">
      <c r="A386" s="850" t="s">
        <v>2585</v>
      </c>
      <c r="B386" s="850" t="s">
        <v>2227</v>
      </c>
      <c r="C386" s="576" t="s">
        <v>2586</v>
      </c>
      <c r="D386" s="850"/>
      <c r="E386" s="1" t="s">
        <v>1970</v>
      </c>
      <c r="F386" s="857">
        <f>F384-F376</f>
        <v>0</v>
      </c>
      <c r="G386" s="857">
        <f>G384-G376</f>
        <v>0</v>
      </c>
      <c r="H386" s="850"/>
      <c r="I386" s="850"/>
      <c r="J386" s="850"/>
      <c r="K386" s="850"/>
      <c r="L386" s="850"/>
      <c r="M386" s="850"/>
      <c r="N386" s="850"/>
      <c r="O386" s="850"/>
      <c r="P386" s="850"/>
      <c r="Q386" s="850"/>
      <c r="R386" s="850"/>
      <c r="S386" s="850"/>
    </row>
    <row r="387" spans="1:19">
      <c r="A387" s="850" t="s">
        <v>2585</v>
      </c>
      <c r="B387" s="850" t="s">
        <v>2227</v>
      </c>
      <c r="C387" s="576" t="s">
        <v>2586</v>
      </c>
      <c r="D387" s="850"/>
      <c r="E387" s="850"/>
      <c r="F387" s="857">
        <f>F379-'A1.BS'!R96</f>
        <v>0</v>
      </c>
      <c r="G387" s="857">
        <f>G379-'A1.BS'!V96</f>
        <v>15</v>
      </c>
      <c r="H387" s="850"/>
      <c r="I387" s="850"/>
      <c r="J387" s="850"/>
      <c r="K387" s="850"/>
      <c r="L387" s="850"/>
      <c r="M387" s="850"/>
      <c r="N387" s="850"/>
      <c r="O387" s="850"/>
      <c r="P387" s="850"/>
      <c r="Q387" s="850"/>
      <c r="R387" s="850"/>
      <c r="S387" s="850"/>
    </row>
    <row r="388" spans="1:19">
      <c r="A388" s="172"/>
      <c r="B388" s="172" t="s">
        <v>2227</v>
      </c>
      <c r="C388" s="172" t="s">
        <v>681</v>
      </c>
      <c r="D388" s="172"/>
      <c r="E388" s="172" t="s">
        <v>2802</v>
      </c>
      <c r="F388" s="172"/>
      <c r="G388" s="172"/>
      <c r="H388" s="172"/>
      <c r="I388" s="172"/>
      <c r="J388" s="172"/>
      <c r="K388" s="172"/>
      <c r="L388" s="172"/>
      <c r="M388" s="172"/>
      <c r="N388" s="172"/>
      <c r="O388" s="172"/>
      <c r="P388" s="172"/>
      <c r="Q388" s="172"/>
      <c r="R388" s="172"/>
      <c r="S388" s="172"/>
    </row>
    <row r="389" spans="1:19">
      <c r="A389" s="850" t="s">
        <v>2585</v>
      </c>
      <c r="B389" s="850" t="s">
        <v>2227</v>
      </c>
      <c r="C389" s="576" t="s">
        <v>2586</v>
      </c>
      <c r="D389" s="850"/>
      <c r="E389" s="850"/>
      <c r="F389" s="850"/>
      <c r="G389" s="850"/>
      <c r="H389" s="850"/>
      <c r="I389" s="850"/>
      <c r="J389" s="850"/>
      <c r="K389" s="850"/>
      <c r="L389" s="850"/>
      <c r="M389" s="850"/>
      <c r="N389" s="850"/>
      <c r="O389" s="850"/>
      <c r="P389" s="850"/>
      <c r="Q389" s="850"/>
      <c r="R389" s="850"/>
      <c r="S389" s="850"/>
    </row>
    <row r="390" spans="1:19">
      <c r="A390" s="850" t="s">
        <v>2585</v>
      </c>
      <c r="B390" s="850" t="s">
        <v>2227</v>
      </c>
      <c r="C390" s="576" t="s">
        <v>2586</v>
      </c>
      <c r="D390" s="850"/>
      <c r="E390" s="850"/>
      <c r="F390" s="551">
        <v>45291</v>
      </c>
      <c r="G390" s="552"/>
      <c r="H390" s="547" t="s">
        <v>2803</v>
      </c>
      <c r="I390" s="547"/>
      <c r="J390" s="546">
        <v>45657</v>
      </c>
      <c r="K390" s="547"/>
      <c r="L390" s="850"/>
      <c r="M390" s="850"/>
      <c r="N390" s="850"/>
      <c r="O390" s="850"/>
      <c r="P390" s="850"/>
      <c r="Q390" s="850"/>
      <c r="R390" s="850"/>
      <c r="S390" s="850"/>
    </row>
    <row r="391" spans="1:19" ht="25.5">
      <c r="A391" s="850" t="s">
        <v>2585</v>
      </c>
      <c r="B391" s="850" t="s">
        <v>2227</v>
      </c>
      <c r="C391" s="576" t="s">
        <v>2586</v>
      </c>
      <c r="D391" s="850"/>
      <c r="E391" s="850"/>
      <c r="F391" s="554" t="s">
        <v>2688</v>
      </c>
      <c r="G391" s="554" t="s">
        <v>2804</v>
      </c>
      <c r="H391" s="549" t="s">
        <v>2805</v>
      </c>
      <c r="I391" s="549" t="s">
        <v>2806</v>
      </c>
      <c r="J391" s="549" t="s">
        <v>2688</v>
      </c>
      <c r="K391" s="549" t="s">
        <v>2804</v>
      </c>
      <c r="L391" s="850"/>
      <c r="M391" s="850"/>
      <c r="N391" s="850"/>
      <c r="O391" s="850"/>
      <c r="P391" s="850"/>
      <c r="Q391" s="850"/>
      <c r="R391" s="850"/>
      <c r="S391" s="850"/>
    </row>
    <row r="392" spans="1:19">
      <c r="A392" s="850" t="s">
        <v>2585</v>
      </c>
      <c r="B392" s="850" t="s">
        <v>2227</v>
      </c>
      <c r="C392" s="576" t="s">
        <v>2586</v>
      </c>
      <c r="D392" s="850"/>
      <c r="E392" s="1" t="s">
        <v>2807</v>
      </c>
      <c r="F392" s="910"/>
      <c r="G392" s="910"/>
      <c r="H392" s="909"/>
      <c r="I392" s="909"/>
      <c r="J392" s="909"/>
      <c r="K392" s="909"/>
      <c r="L392" s="850"/>
      <c r="M392" s="850"/>
      <c r="N392" s="850"/>
      <c r="O392" s="850"/>
      <c r="P392" s="850"/>
      <c r="Q392" s="850"/>
      <c r="R392" s="850"/>
      <c r="S392" s="850"/>
    </row>
    <row r="393" spans="1:19">
      <c r="A393" s="850" t="s">
        <v>2585</v>
      </c>
      <c r="B393" s="850" t="s">
        <v>2227</v>
      </c>
      <c r="C393" s="576" t="s">
        <v>2586</v>
      </c>
      <c r="D393" s="850"/>
      <c r="E393" s="859" t="s">
        <v>2808</v>
      </c>
      <c r="F393" s="938">
        <v>0</v>
      </c>
      <c r="G393" s="938">
        <f>F393</f>
        <v>0</v>
      </c>
      <c r="H393" s="952">
        <v>147000000000</v>
      </c>
      <c r="I393" s="951">
        <f>-98000000000</f>
        <v>-98000000000</v>
      </c>
      <c r="J393" s="952">
        <f>F393+H393+I393</f>
        <v>49000000000</v>
      </c>
      <c r="K393" s="952">
        <f>J393</f>
        <v>49000000000</v>
      </c>
      <c r="L393" s="850"/>
      <c r="M393" s="850"/>
      <c r="N393" s="850"/>
      <c r="O393" s="850"/>
      <c r="P393" s="850"/>
      <c r="Q393" s="850"/>
      <c r="R393" s="850"/>
      <c r="S393" s="850"/>
    </row>
    <row r="394" spans="1:19">
      <c r="A394" s="850" t="s">
        <v>2585</v>
      </c>
      <c r="B394" s="850" t="s">
        <v>2227</v>
      </c>
      <c r="C394" s="576" t="s">
        <v>2586</v>
      </c>
      <c r="D394" s="850"/>
      <c r="E394" s="859" t="s">
        <v>2809</v>
      </c>
      <c r="F394" s="938">
        <v>0</v>
      </c>
      <c r="G394" s="938">
        <f t="shared" ref="G394:G395" si="13">F394</f>
        <v>0</v>
      </c>
      <c r="H394" s="952">
        <v>70000000000</v>
      </c>
      <c r="I394" s="951">
        <f>-70000000000</f>
        <v>-70000000000</v>
      </c>
      <c r="J394" s="952">
        <f t="shared" ref="J394:J395" si="14">F394+H394+I394</f>
        <v>0</v>
      </c>
      <c r="K394" s="952">
        <f t="shared" ref="K394:K395" si="15">J394</f>
        <v>0</v>
      </c>
      <c r="L394" s="850"/>
      <c r="M394" s="850"/>
      <c r="N394" s="850"/>
      <c r="O394" s="850"/>
      <c r="P394" s="850"/>
      <c r="Q394" s="850"/>
      <c r="R394" s="850"/>
      <c r="S394" s="850"/>
    </row>
    <row r="395" spans="1:19">
      <c r="A395" s="850" t="s">
        <v>2585</v>
      </c>
      <c r="B395" s="850" t="s">
        <v>2227</v>
      </c>
      <c r="C395" s="576" t="s">
        <v>2586</v>
      </c>
      <c r="D395" s="850"/>
      <c r="E395" s="859" t="s">
        <v>2810</v>
      </c>
      <c r="F395" s="938">
        <v>0</v>
      </c>
      <c r="G395" s="938">
        <f t="shared" si="13"/>
        <v>0</v>
      </c>
      <c r="H395" s="952">
        <v>50594500000</v>
      </c>
      <c r="I395" s="951">
        <f>-50594500000</f>
        <v>-50594500000</v>
      </c>
      <c r="J395" s="952">
        <f t="shared" si="14"/>
        <v>0</v>
      </c>
      <c r="K395" s="952">
        <f t="shared" si="15"/>
        <v>0</v>
      </c>
      <c r="L395" s="850"/>
      <c r="M395" s="850"/>
      <c r="N395" s="850"/>
      <c r="O395" s="850"/>
      <c r="P395" s="850"/>
      <c r="Q395" s="850"/>
      <c r="R395" s="850"/>
      <c r="S395" s="850"/>
    </row>
    <row r="396" spans="1:19" ht="13.5" thickBot="1">
      <c r="A396" s="850" t="s">
        <v>2585</v>
      </c>
      <c r="B396" s="850" t="s">
        <v>2227</v>
      </c>
      <c r="C396" s="576" t="s">
        <v>2586</v>
      </c>
      <c r="D396" s="850"/>
      <c r="E396" s="850"/>
      <c r="F396" s="1546">
        <f t="shared" ref="F396:K396" si="16">SUM(F393:F395)</f>
        <v>0</v>
      </c>
      <c r="G396" s="1546">
        <f t="shared" si="16"/>
        <v>0</v>
      </c>
      <c r="H396" s="1545">
        <f t="shared" si="16"/>
        <v>267594500000</v>
      </c>
      <c r="I396" s="1545">
        <f t="shared" si="16"/>
        <v>-218594500000</v>
      </c>
      <c r="J396" s="1545">
        <f t="shared" si="16"/>
        <v>49000000000</v>
      </c>
      <c r="K396" s="1545">
        <f t="shared" si="16"/>
        <v>49000000000</v>
      </c>
      <c r="L396" s="850"/>
      <c r="M396" s="850"/>
      <c r="N396" s="850"/>
      <c r="O396" s="850"/>
      <c r="P396" s="850"/>
      <c r="Q396" s="850"/>
      <c r="R396" s="850"/>
      <c r="S396" s="850"/>
    </row>
    <row r="397" spans="1:19" ht="13.5" thickTop="1">
      <c r="A397" s="850" t="s">
        <v>2585</v>
      </c>
      <c r="B397" s="850" t="s">
        <v>2227</v>
      </c>
      <c r="C397" s="576" t="s">
        <v>2586</v>
      </c>
      <c r="D397" s="850"/>
      <c r="E397" s="850"/>
      <c r="F397" s="857">
        <f>'A1.BS'!V97-'A4.N2FS Consol'!F396</f>
        <v>0</v>
      </c>
      <c r="G397" s="850"/>
      <c r="H397" s="850"/>
      <c r="I397" s="850"/>
      <c r="J397" s="857">
        <f>'A1.BS'!R97-'A4.N2FS Consol'!J396</f>
        <v>0</v>
      </c>
      <c r="K397" s="850"/>
      <c r="L397" s="850"/>
      <c r="M397" s="850"/>
      <c r="N397" s="850"/>
      <c r="O397" s="850"/>
      <c r="P397" s="850"/>
      <c r="Q397" s="850"/>
      <c r="R397" s="850"/>
      <c r="S397" s="850"/>
    </row>
    <row r="398" spans="1:19">
      <c r="A398" s="850" t="s">
        <v>2585</v>
      </c>
      <c r="B398" s="850" t="s">
        <v>2227</v>
      </c>
      <c r="C398" s="576" t="s">
        <v>2586</v>
      </c>
      <c r="D398" s="850"/>
      <c r="E398" s="1" t="s">
        <v>1970</v>
      </c>
      <c r="F398" s="857">
        <f>F396-'A1.BS'!V97</f>
        <v>0</v>
      </c>
      <c r="G398" s="850"/>
      <c r="H398" s="850"/>
      <c r="I398" s="850"/>
      <c r="J398" s="857">
        <f>J396-'A1.BS'!R97</f>
        <v>0</v>
      </c>
      <c r="K398" s="850"/>
      <c r="L398" s="850"/>
      <c r="M398" s="850"/>
      <c r="N398" s="850"/>
      <c r="O398" s="850"/>
      <c r="P398" s="850"/>
      <c r="Q398" s="850"/>
      <c r="R398" s="850"/>
      <c r="S398" s="850"/>
    </row>
    <row r="399" spans="1:19">
      <c r="A399" s="850" t="s">
        <v>2585</v>
      </c>
      <c r="B399" s="850" t="s">
        <v>2227</v>
      </c>
      <c r="C399" s="576" t="s">
        <v>2586</v>
      </c>
      <c r="D399" s="850"/>
      <c r="E399" s="850"/>
      <c r="F399" s="857"/>
      <c r="G399" s="850"/>
      <c r="H399" s="850"/>
      <c r="I399" s="850"/>
      <c r="J399" s="857"/>
      <c r="K399" s="850"/>
      <c r="L399" s="850"/>
      <c r="M399" s="850"/>
      <c r="N399" s="850"/>
      <c r="O399" s="850"/>
      <c r="P399" s="850"/>
      <c r="Q399" s="850"/>
      <c r="R399" s="850"/>
      <c r="S399" s="850"/>
    </row>
    <row r="400" spans="1:19">
      <c r="A400" s="850" t="s">
        <v>2585</v>
      </c>
      <c r="B400" s="850" t="s">
        <v>2227</v>
      </c>
      <c r="C400" s="576" t="s">
        <v>2586</v>
      </c>
      <c r="D400" s="850"/>
      <c r="E400" s="850" t="s">
        <v>2811</v>
      </c>
      <c r="F400" s="850"/>
      <c r="G400" s="850"/>
      <c r="H400" s="850"/>
      <c r="I400" s="850"/>
      <c r="J400" s="850"/>
      <c r="K400" s="850"/>
      <c r="L400" s="850"/>
      <c r="M400" s="850"/>
      <c r="N400" s="850"/>
      <c r="O400" s="850"/>
      <c r="P400" s="850"/>
      <c r="Q400" s="850"/>
      <c r="R400" s="850"/>
      <c r="S400" s="850"/>
    </row>
    <row r="401" spans="1:21">
      <c r="A401" s="850" t="s">
        <v>2585</v>
      </c>
      <c r="B401" s="850" t="s">
        <v>2227</v>
      </c>
      <c r="C401" s="576" t="s">
        <v>2586</v>
      </c>
      <c r="D401" s="850"/>
      <c r="E401" s="850"/>
      <c r="F401" s="850"/>
      <c r="G401" s="850"/>
      <c r="H401" s="850"/>
      <c r="I401" s="850"/>
      <c r="J401" s="850"/>
      <c r="K401" s="850"/>
      <c r="L401" s="850"/>
      <c r="M401" s="850"/>
      <c r="N401" s="850"/>
      <c r="O401" s="850"/>
      <c r="P401" s="850"/>
      <c r="Q401" s="850"/>
      <c r="R401" s="850"/>
      <c r="S401" s="850"/>
      <c r="T401" s="850"/>
      <c r="U401" s="850"/>
    </row>
    <row r="402" spans="1:21" ht="25.5">
      <c r="A402" s="850" t="s">
        <v>2585</v>
      </c>
      <c r="B402" s="850" t="s">
        <v>2227</v>
      </c>
      <c r="C402" s="576" t="s">
        <v>2586</v>
      </c>
      <c r="D402" s="850"/>
      <c r="E402" s="565" t="s">
        <v>2812</v>
      </c>
      <c r="F402" s="566" t="s">
        <v>2688</v>
      </c>
      <c r="G402" s="567" t="s">
        <v>2813</v>
      </c>
      <c r="H402" s="568" t="s">
        <v>2814</v>
      </c>
      <c r="I402" s="567" t="s">
        <v>2815</v>
      </c>
      <c r="J402" s="567" t="s">
        <v>2816</v>
      </c>
      <c r="K402" s="850"/>
      <c r="L402" s="850"/>
      <c r="M402" s="850"/>
      <c r="N402" s="850"/>
      <c r="O402" s="850"/>
      <c r="P402" s="850"/>
      <c r="Q402" s="850"/>
      <c r="R402" s="850"/>
      <c r="S402" s="850"/>
      <c r="T402" s="850"/>
      <c r="U402" s="850"/>
    </row>
    <row r="403" spans="1:21">
      <c r="A403" s="850" t="s">
        <v>2585</v>
      </c>
      <c r="B403" s="850" t="s">
        <v>2227</v>
      </c>
      <c r="C403" s="576" t="s">
        <v>2586</v>
      </c>
      <c r="D403" s="850"/>
      <c r="E403" s="1064" t="s">
        <v>2817</v>
      </c>
      <c r="F403" s="952"/>
      <c r="G403" s="1049"/>
      <c r="H403" s="909"/>
      <c r="I403" s="1039"/>
      <c r="J403" s="909"/>
      <c r="K403" s="850"/>
      <c r="L403" s="850"/>
      <c r="M403" s="850"/>
      <c r="N403" s="850"/>
      <c r="O403" s="850"/>
      <c r="P403" s="850"/>
      <c r="Q403" s="850"/>
      <c r="R403" s="850"/>
      <c r="S403" s="850"/>
      <c r="T403" s="850"/>
      <c r="U403" s="850"/>
    </row>
    <row r="404" spans="1:21">
      <c r="A404" s="850" t="s">
        <v>2585</v>
      </c>
      <c r="B404" s="850" t="s">
        <v>2227</v>
      </c>
      <c r="C404" s="576" t="s">
        <v>2586</v>
      </c>
      <c r="D404" s="850"/>
      <c r="E404" s="850"/>
      <c r="F404" s="850"/>
      <c r="G404" s="850"/>
      <c r="H404" s="850"/>
      <c r="I404" s="850"/>
      <c r="J404" s="850"/>
      <c r="K404" s="850"/>
      <c r="L404" s="850"/>
      <c r="M404" s="850"/>
      <c r="N404" s="850"/>
      <c r="O404" s="850"/>
      <c r="P404" s="850"/>
      <c r="Q404" s="850"/>
      <c r="R404" s="850"/>
      <c r="S404" s="850"/>
      <c r="T404" s="850"/>
      <c r="U404" s="850"/>
    </row>
    <row r="405" spans="1:21">
      <c r="A405" s="172"/>
      <c r="B405" s="172" t="s">
        <v>676</v>
      </c>
      <c r="C405" s="172" t="s">
        <v>681</v>
      </c>
      <c r="D405" s="172"/>
      <c r="E405" s="172" t="s">
        <v>2818</v>
      </c>
      <c r="F405" s="172"/>
      <c r="G405" s="172"/>
      <c r="H405" s="172"/>
      <c r="I405" s="172"/>
      <c r="J405" s="172"/>
      <c r="K405" s="172"/>
      <c r="L405" s="172"/>
      <c r="M405" s="172"/>
      <c r="N405" s="172"/>
      <c r="O405" s="172"/>
      <c r="P405" s="172"/>
      <c r="Q405" s="172"/>
      <c r="R405" s="172"/>
      <c r="S405" s="172"/>
      <c r="T405" s="850"/>
      <c r="U405" s="850"/>
    </row>
    <row r="406" spans="1:21">
      <c r="A406" s="850" t="s">
        <v>2585</v>
      </c>
      <c r="B406" s="850" t="s">
        <v>676</v>
      </c>
      <c r="C406" s="576" t="s">
        <v>2586</v>
      </c>
      <c r="D406" s="850"/>
      <c r="E406" s="850"/>
      <c r="F406" s="850"/>
      <c r="G406" s="850"/>
      <c r="H406" s="850"/>
      <c r="I406" s="850"/>
      <c r="J406" s="850"/>
      <c r="K406" s="850"/>
      <c r="L406" s="850"/>
      <c r="M406" s="850"/>
      <c r="N406" s="850"/>
      <c r="O406" s="850"/>
      <c r="P406" s="850"/>
      <c r="Q406" s="850"/>
      <c r="R406" s="850"/>
      <c r="S406" s="850"/>
      <c r="T406" s="850"/>
      <c r="U406" s="850"/>
    </row>
    <row r="407" spans="1:21" ht="38.25">
      <c r="A407" s="850" t="s">
        <v>2585</v>
      </c>
      <c r="B407" s="850" t="s">
        <v>676</v>
      </c>
      <c r="C407" s="576" t="s">
        <v>2586</v>
      </c>
      <c r="D407" s="850"/>
      <c r="E407" s="850"/>
      <c r="F407" s="549" t="s">
        <v>2819</v>
      </c>
      <c r="G407" s="549" t="s">
        <v>2820</v>
      </c>
      <c r="H407" s="549" t="s">
        <v>2821</v>
      </c>
      <c r="I407" s="549" t="s">
        <v>2822</v>
      </c>
      <c r="J407" s="549" t="s">
        <v>2711</v>
      </c>
      <c r="K407" s="850"/>
      <c r="L407" s="850"/>
      <c r="M407" s="850"/>
      <c r="N407" s="850"/>
      <c r="O407" s="850"/>
      <c r="P407" s="850"/>
      <c r="Q407" s="850"/>
      <c r="R407" s="850"/>
      <c r="S407" s="850"/>
      <c r="T407" s="850"/>
      <c r="U407" s="850"/>
    </row>
    <row r="408" spans="1:21">
      <c r="A408" s="850" t="s">
        <v>2585</v>
      </c>
      <c r="B408" s="850" t="s">
        <v>676</v>
      </c>
      <c r="C408" s="576" t="s">
        <v>2586</v>
      </c>
      <c r="D408" s="850"/>
      <c r="E408" s="1" t="s">
        <v>2823</v>
      </c>
      <c r="F408" s="443">
        <v>133524690000</v>
      </c>
      <c r="G408" s="443">
        <v>515310808868</v>
      </c>
      <c r="H408" s="443">
        <v>-221220917865</v>
      </c>
      <c r="I408" s="443">
        <v>2619205868</v>
      </c>
      <c r="J408" s="443">
        <f>SUM(F408:I408)</f>
        <v>430233786871</v>
      </c>
      <c r="K408" s="850"/>
      <c r="L408" s="850"/>
      <c r="M408" s="850"/>
      <c r="N408" s="850"/>
      <c r="O408" s="850"/>
      <c r="P408" s="850"/>
      <c r="Q408" s="850"/>
      <c r="R408" s="850"/>
      <c r="S408" s="850"/>
      <c r="T408" s="850"/>
      <c r="U408" s="850"/>
    </row>
    <row r="409" spans="1:21">
      <c r="A409" s="850" t="s">
        <v>2585</v>
      </c>
      <c r="B409" s="850" t="s">
        <v>676</v>
      </c>
      <c r="C409" s="576" t="s">
        <v>2586</v>
      </c>
      <c r="D409" s="850"/>
      <c r="E409" s="859" t="s">
        <v>2824</v>
      </c>
      <c r="F409" s="938">
        <v>1116420000</v>
      </c>
      <c r="G409" s="938">
        <v>0</v>
      </c>
      <c r="H409" s="938">
        <v>0</v>
      </c>
      <c r="I409" s="938">
        <v>0</v>
      </c>
      <c r="J409" s="938">
        <f>SUM(F409:I409)</f>
        <v>1116420000</v>
      </c>
      <c r="K409" s="850"/>
      <c r="L409" s="850"/>
      <c r="M409" s="850"/>
      <c r="N409" s="850"/>
      <c r="O409" s="850"/>
      <c r="P409" s="850"/>
      <c r="Q409" s="850"/>
      <c r="R409" s="850"/>
      <c r="S409" s="850"/>
      <c r="T409" s="850"/>
      <c r="U409" s="850"/>
    </row>
    <row r="410" spans="1:21">
      <c r="A410" s="850"/>
      <c r="B410" s="850"/>
      <c r="C410" s="576" t="s">
        <v>2586</v>
      </c>
      <c r="D410" s="850"/>
      <c r="E410" s="859" t="s">
        <v>2825</v>
      </c>
      <c r="F410" s="938">
        <v>0</v>
      </c>
      <c r="G410" s="938">
        <v>0</v>
      </c>
      <c r="H410" s="938">
        <f>-1934557213-4</f>
        <v>-1934557217</v>
      </c>
      <c r="I410" s="938">
        <v>-1515442787</v>
      </c>
      <c r="J410" s="938">
        <f t="shared" ref="J410:J411" si="17">SUM(F410:I410)</f>
        <v>-3450000004</v>
      </c>
      <c r="K410" s="850"/>
      <c r="L410" s="850"/>
      <c r="M410" s="850"/>
      <c r="N410" s="850"/>
      <c r="O410" s="850"/>
      <c r="P410" s="850"/>
      <c r="Q410" s="850"/>
      <c r="R410" s="850"/>
      <c r="S410" s="850"/>
      <c r="T410" s="850"/>
      <c r="U410" s="850"/>
    </row>
    <row r="411" spans="1:21">
      <c r="A411" s="850"/>
      <c r="B411" s="850"/>
      <c r="C411" s="576"/>
      <c r="D411" s="850"/>
      <c r="E411" s="859" t="s">
        <v>2826</v>
      </c>
      <c r="F411" s="938">
        <v>0</v>
      </c>
      <c r="G411" s="938">
        <v>0</v>
      </c>
      <c r="H411" s="938">
        <v>-42054697831</v>
      </c>
      <c r="I411" s="938">
        <v>21509504</v>
      </c>
      <c r="J411" s="938">
        <f t="shared" si="17"/>
        <v>-42033188327</v>
      </c>
      <c r="K411" s="850"/>
      <c r="L411" s="850"/>
      <c r="M411" s="850"/>
      <c r="N411" s="850"/>
      <c r="O411" s="850"/>
      <c r="P411" s="850"/>
      <c r="Q411" s="850"/>
      <c r="R411" s="850"/>
      <c r="S411" s="850"/>
      <c r="T411" s="850"/>
      <c r="U411" s="850"/>
    </row>
    <row r="412" spans="1:21">
      <c r="A412" s="850" t="s">
        <v>2585</v>
      </c>
      <c r="B412" s="850" t="s">
        <v>676</v>
      </c>
      <c r="C412" s="576" t="s">
        <v>2586</v>
      </c>
      <c r="D412" s="850"/>
      <c r="E412" s="1" t="s">
        <v>2827</v>
      </c>
      <c r="F412" s="1602">
        <f>SUM(F408:F411)</f>
        <v>134641110000</v>
      </c>
      <c r="G412" s="1602">
        <f t="shared" ref="G412" si="18">SUM(G408:G411)</f>
        <v>515310808868</v>
      </c>
      <c r="H412" s="1602">
        <f>SUM(H408:H411)</f>
        <v>-265210172913</v>
      </c>
      <c r="I412" s="1602">
        <f>SUM(I408:I411)</f>
        <v>1125272585</v>
      </c>
      <c r="J412" s="1602">
        <f>SUM(J408:J411)</f>
        <v>385867018540</v>
      </c>
      <c r="K412" s="850"/>
      <c r="L412" s="850"/>
      <c r="M412" s="850"/>
      <c r="N412" s="850"/>
      <c r="O412" s="850"/>
      <c r="P412" s="850"/>
      <c r="Q412" s="850"/>
      <c r="R412" s="850"/>
      <c r="S412" s="850"/>
      <c r="T412" s="850"/>
      <c r="U412" s="850"/>
    </row>
    <row r="413" spans="1:21">
      <c r="A413" s="850" t="s">
        <v>2585</v>
      </c>
      <c r="B413" s="850" t="s">
        <v>676</v>
      </c>
      <c r="C413" s="576" t="s">
        <v>2586</v>
      </c>
      <c r="D413" s="850"/>
      <c r="E413" s="850"/>
      <c r="F413" s="850"/>
      <c r="G413" s="850"/>
      <c r="H413" s="850"/>
      <c r="I413" s="850"/>
      <c r="J413" s="850"/>
      <c r="K413" s="850"/>
      <c r="L413" s="850"/>
      <c r="M413" s="850"/>
      <c r="N413" s="850"/>
      <c r="O413" s="850"/>
      <c r="P413" s="850"/>
      <c r="Q413" s="850"/>
      <c r="R413" s="850"/>
      <c r="S413" s="850"/>
      <c r="T413" s="850"/>
      <c r="U413" s="850"/>
    </row>
    <row r="414" spans="1:21">
      <c r="A414" s="850" t="s">
        <v>2585</v>
      </c>
      <c r="B414" s="850" t="s">
        <v>676</v>
      </c>
      <c r="C414" s="576" t="s">
        <v>2586</v>
      </c>
      <c r="D414" s="850"/>
      <c r="E414" s="1" t="s">
        <v>2827</v>
      </c>
      <c r="F414" s="238">
        <f>F412</f>
        <v>134641110000</v>
      </c>
      <c r="G414" s="238">
        <f>G412</f>
        <v>515310808868</v>
      </c>
      <c r="H414" s="238">
        <f>H412</f>
        <v>-265210172913</v>
      </c>
      <c r="I414" s="238">
        <f>I412</f>
        <v>1125272585</v>
      </c>
      <c r="J414" s="238">
        <f>J412</f>
        <v>385867018540</v>
      </c>
      <c r="K414" s="850"/>
      <c r="L414" s="850"/>
      <c r="M414" s="850"/>
      <c r="N414" s="850"/>
      <c r="O414" s="850"/>
      <c r="P414" s="850"/>
      <c r="Q414" s="850"/>
      <c r="R414" s="850"/>
      <c r="S414" s="850"/>
      <c r="T414" s="850"/>
      <c r="U414" s="850"/>
    </row>
    <row r="415" spans="1:21">
      <c r="A415" s="850" t="s">
        <v>2585</v>
      </c>
      <c r="B415" s="850" t="s">
        <v>676</v>
      </c>
      <c r="C415" s="576" t="s">
        <v>2586</v>
      </c>
      <c r="D415" s="850"/>
      <c r="E415" s="859" t="s">
        <v>2824</v>
      </c>
      <c r="F415" s="952">
        <v>0</v>
      </c>
      <c r="G415" s="952">
        <v>0</v>
      </c>
      <c r="H415" s="952">
        <v>0</v>
      </c>
      <c r="I415" s="952">
        <v>0</v>
      </c>
      <c r="J415" s="952">
        <f>SUM(F415:I415)</f>
        <v>0</v>
      </c>
      <c r="K415" s="850"/>
      <c r="L415" s="850"/>
      <c r="M415" s="850"/>
      <c r="N415" s="850"/>
      <c r="O415" s="850"/>
      <c r="P415" s="850"/>
      <c r="Q415" s="850"/>
      <c r="R415" s="850"/>
      <c r="S415" s="850"/>
      <c r="T415" s="850"/>
      <c r="U415" s="850"/>
    </row>
    <row r="416" spans="1:21">
      <c r="A416" s="850" t="s">
        <v>2585</v>
      </c>
      <c r="B416" s="850" t="s">
        <v>676</v>
      </c>
      <c r="C416" s="576" t="s">
        <v>2586</v>
      </c>
      <c r="D416" s="850"/>
      <c r="E416" s="859" t="s">
        <v>2825</v>
      </c>
      <c r="F416" s="952">
        <v>0</v>
      </c>
      <c r="G416" s="952">
        <v>0</v>
      </c>
      <c r="H416" s="399">
        <f>-('A5.Consol FY24'!L123+'A5.Consol FY24'!L119+'A5.Consol FY24'!L93)</f>
        <v>-1378487464</v>
      </c>
      <c r="I416" s="399">
        <f>-('A5.Consol FY24'!L115+'A5.Consol FY24'!L118+'A5.Consol FY24'!L122++'A5.Consol FY24'!L92)</f>
        <v>-679512536</v>
      </c>
      <c r="J416" s="952">
        <f>SUM(F416:I416)</f>
        <v>-2058000000</v>
      </c>
      <c r="K416" s="850"/>
      <c r="L416" s="850"/>
      <c r="M416" s="850"/>
      <c r="N416" s="850"/>
      <c r="O416" s="850"/>
      <c r="P416" s="850"/>
      <c r="Q416" s="850"/>
      <c r="R416" s="850"/>
      <c r="S416" s="850"/>
      <c r="T416" s="850"/>
      <c r="U416" s="850"/>
    </row>
    <row r="417" spans="1:21">
      <c r="A417" s="850" t="s">
        <v>2585</v>
      </c>
      <c r="B417" s="850" t="s">
        <v>676</v>
      </c>
      <c r="C417" s="576" t="s">
        <v>2586</v>
      </c>
      <c r="D417" s="850"/>
      <c r="E417" s="859" t="s">
        <v>2826</v>
      </c>
      <c r="F417" s="952">
        <v>0</v>
      </c>
      <c r="G417" s="952">
        <v>0</v>
      </c>
      <c r="H417" s="952">
        <f>'A2.PL'!R30</f>
        <v>-35665212</v>
      </c>
      <c r="I417" s="952">
        <f>'A2.PL'!R32</f>
        <v>-55175327</v>
      </c>
      <c r="J417" s="952">
        <f>SUM(F417:I417)</f>
        <v>-90840539</v>
      </c>
      <c r="K417" s="850"/>
      <c r="L417" s="850"/>
      <c r="M417" s="850"/>
      <c r="N417" s="850"/>
      <c r="O417" s="850"/>
      <c r="P417" s="850"/>
      <c r="Q417" s="850"/>
      <c r="R417" s="850"/>
      <c r="S417" s="850"/>
      <c r="T417" s="850"/>
      <c r="U417" s="850"/>
    </row>
    <row r="418" spans="1:21" ht="13.5" thickBot="1">
      <c r="A418" s="850" t="s">
        <v>2585</v>
      </c>
      <c r="B418" s="850" t="s">
        <v>676</v>
      </c>
      <c r="C418" s="576" t="s">
        <v>2586</v>
      </c>
      <c r="D418" s="850"/>
      <c r="E418" s="1" t="s">
        <v>2828</v>
      </c>
      <c r="F418" s="1545">
        <f>SUM(F414:F417)</f>
        <v>134641110000</v>
      </c>
      <c r="G418" s="1545">
        <f>SUM(G414:G417)</f>
        <v>515310808868</v>
      </c>
      <c r="H418" s="1545">
        <f>SUM(H414:H417)</f>
        <v>-266624325589</v>
      </c>
      <c r="I418" s="1545">
        <f>SUM(I414:I417)</f>
        <v>390584722</v>
      </c>
      <c r="J418" s="1545">
        <f>SUM(J414:J417)</f>
        <v>383718178001</v>
      </c>
      <c r="K418" s="850"/>
      <c r="L418" s="850"/>
      <c r="M418" s="850"/>
      <c r="N418" s="850"/>
      <c r="O418" s="850"/>
      <c r="P418" s="850"/>
      <c r="Q418" s="850"/>
      <c r="R418" s="850"/>
      <c r="S418" s="850"/>
      <c r="T418" s="850"/>
      <c r="U418" s="850"/>
    </row>
    <row r="419" spans="1:21" ht="13.5" thickTop="1">
      <c r="A419" s="850" t="s">
        <v>2585</v>
      </c>
      <c r="B419" s="850" t="s">
        <v>676</v>
      </c>
      <c r="C419" s="576" t="s">
        <v>2586</v>
      </c>
      <c r="D419" s="850"/>
      <c r="E419" s="850"/>
      <c r="F419" s="850"/>
      <c r="G419" s="850"/>
      <c r="H419" s="850"/>
      <c r="I419" s="850"/>
      <c r="J419" s="850"/>
      <c r="K419" s="850"/>
      <c r="L419" s="850"/>
      <c r="M419" s="850"/>
      <c r="N419" s="850"/>
      <c r="O419" s="850"/>
      <c r="P419" s="850"/>
      <c r="Q419" s="850"/>
      <c r="R419" s="850"/>
      <c r="S419" s="850"/>
      <c r="T419" s="850"/>
      <c r="U419" s="850"/>
    </row>
    <row r="420" spans="1:21">
      <c r="A420" s="850" t="s">
        <v>2585</v>
      </c>
      <c r="B420" s="850" t="s">
        <v>676</v>
      </c>
      <c r="C420" s="576" t="s">
        <v>2586</v>
      </c>
      <c r="D420" s="850"/>
      <c r="E420" s="1" t="s">
        <v>1970</v>
      </c>
      <c r="F420" s="857">
        <f>F412-'A1.BS'!V122</f>
        <v>0</v>
      </c>
      <c r="G420" s="857">
        <f>G412-'A1.BS'!V124</f>
        <v>0</v>
      </c>
      <c r="H420" s="857">
        <f>H412-'A1.BS'!V133</f>
        <v>0</v>
      </c>
      <c r="I420" s="857">
        <f>I412-'A1.BS'!V137</f>
        <v>0</v>
      </c>
      <c r="J420" s="857">
        <f>J412-'A1.BS'!V120</f>
        <v>0</v>
      </c>
      <c r="K420" s="850"/>
      <c r="L420" s="850"/>
      <c r="M420" s="850"/>
      <c r="N420" s="850"/>
      <c r="O420" s="850"/>
      <c r="P420" s="850"/>
      <c r="Q420" s="850"/>
      <c r="R420" s="850"/>
      <c r="S420" s="850"/>
      <c r="T420" s="850"/>
      <c r="U420" s="850"/>
    </row>
    <row r="421" spans="1:21">
      <c r="A421" s="850" t="s">
        <v>2585</v>
      </c>
      <c r="B421" s="850" t="s">
        <v>676</v>
      </c>
      <c r="C421" s="576" t="s">
        <v>2586</v>
      </c>
      <c r="D421" s="850"/>
      <c r="E421" s="1" t="s">
        <v>1970</v>
      </c>
      <c r="F421" s="857">
        <f>F418-'A1.BS'!R122</f>
        <v>0</v>
      </c>
      <c r="G421" s="857">
        <f>G418-'A1.BS'!R124</f>
        <v>0</v>
      </c>
      <c r="H421" s="857">
        <f>-'A1.BS'!R133+H418</f>
        <v>-5</v>
      </c>
      <c r="I421" s="857">
        <f>-'A1.BS'!R137+I418</f>
        <v>0</v>
      </c>
      <c r="J421" s="857">
        <f>J418-'A1.BS'!R120</f>
        <v>-5</v>
      </c>
      <c r="K421" s="850"/>
      <c r="L421" s="850"/>
      <c r="M421" s="850"/>
      <c r="N421" s="850"/>
      <c r="O421" s="850"/>
      <c r="P421" s="850"/>
      <c r="Q421" s="850"/>
      <c r="R421" s="850"/>
      <c r="S421" s="850"/>
      <c r="T421" s="850"/>
      <c r="U421" s="850"/>
    </row>
    <row r="422" spans="1:21">
      <c r="A422" s="850" t="s">
        <v>2585</v>
      </c>
      <c r="B422" s="850" t="s">
        <v>676</v>
      </c>
      <c r="C422" s="576" t="s">
        <v>2586</v>
      </c>
      <c r="D422" s="850"/>
      <c r="E422" s="850"/>
      <c r="F422" s="850"/>
      <c r="G422" s="850"/>
      <c r="H422" s="850"/>
      <c r="I422" s="850"/>
      <c r="J422" s="850"/>
      <c r="K422" s="850"/>
      <c r="L422" s="850"/>
      <c r="M422" s="850"/>
      <c r="N422" s="850"/>
      <c r="O422" s="850"/>
      <c r="P422" s="850"/>
      <c r="Q422" s="850"/>
      <c r="R422" s="850"/>
      <c r="S422" s="850"/>
      <c r="T422" s="850"/>
      <c r="U422" s="850"/>
    </row>
    <row r="423" spans="1:21">
      <c r="A423" s="172"/>
      <c r="B423" s="172" t="s">
        <v>676</v>
      </c>
      <c r="C423" s="172" t="s">
        <v>681</v>
      </c>
      <c r="D423" s="172"/>
      <c r="E423" s="562" t="s">
        <v>2829</v>
      </c>
      <c r="F423" s="172"/>
      <c r="G423" s="172"/>
      <c r="H423" s="172"/>
      <c r="I423" s="172"/>
      <c r="J423" s="172"/>
      <c r="K423" s="172"/>
      <c r="L423" s="172"/>
      <c r="M423" s="172"/>
      <c r="N423" s="172"/>
      <c r="O423" s="172"/>
      <c r="P423" s="172"/>
      <c r="Q423" s="172"/>
      <c r="R423" s="172"/>
      <c r="S423" s="172"/>
      <c r="T423" s="850"/>
      <c r="U423" s="850"/>
    </row>
    <row r="424" spans="1:21">
      <c r="A424" s="850" t="s">
        <v>2585</v>
      </c>
      <c r="B424" s="850" t="s">
        <v>676</v>
      </c>
      <c r="C424" s="576" t="s">
        <v>2586</v>
      </c>
      <c r="D424" s="850"/>
      <c r="E424" s="850"/>
      <c r="F424" s="850"/>
      <c r="G424" s="850"/>
      <c r="H424" s="850"/>
      <c r="I424" s="850"/>
      <c r="J424" s="850"/>
      <c r="K424" s="850"/>
      <c r="L424" s="850"/>
      <c r="M424" s="850"/>
      <c r="N424" s="850"/>
      <c r="O424" s="850"/>
      <c r="P424" s="850"/>
      <c r="Q424" s="850"/>
      <c r="R424" s="850"/>
      <c r="S424" s="850"/>
      <c r="T424" s="850"/>
      <c r="U424" s="850"/>
    </row>
    <row r="425" spans="1:21">
      <c r="A425" s="850" t="s">
        <v>2585</v>
      </c>
      <c r="B425" s="850" t="s">
        <v>676</v>
      </c>
      <c r="C425" s="576" t="s">
        <v>2586</v>
      </c>
      <c r="D425" s="850"/>
      <c r="E425" s="850"/>
      <c r="F425" s="569" t="s">
        <v>2830</v>
      </c>
      <c r="G425" s="569"/>
      <c r="H425" s="546">
        <v>45657</v>
      </c>
      <c r="I425" s="547"/>
      <c r="J425" s="850"/>
      <c r="K425" s="850"/>
      <c r="L425" s="850"/>
      <c r="M425" s="850"/>
      <c r="N425" s="850"/>
      <c r="O425" s="850"/>
      <c r="P425" s="850"/>
      <c r="Q425" s="850"/>
      <c r="R425" s="850"/>
      <c r="S425" s="850"/>
      <c r="T425" s="850"/>
      <c r="U425" s="850"/>
    </row>
    <row r="426" spans="1:21" ht="38.25">
      <c r="A426" s="850" t="s">
        <v>2585</v>
      </c>
      <c r="B426" s="850" t="s">
        <v>676</v>
      </c>
      <c r="C426" s="576" t="s">
        <v>2586</v>
      </c>
      <c r="D426" s="850"/>
      <c r="E426" s="850"/>
      <c r="F426" s="549" t="s">
        <v>2819</v>
      </c>
      <c r="G426" s="570" t="s">
        <v>2831</v>
      </c>
      <c r="H426" s="549" t="s">
        <v>2832</v>
      </c>
      <c r="I426" s="549" t="s">
        <v>2833</v>
      </c>
      <c r="J426" s="850"/>
      <c r="K426" s="850"/>
      <c r="L426" s="850"/>
      <c r="M426" s="850"/>
      <c r="N426" s="850"/>
      <c r="O426" s="850"/>
      <c r="P426" s="850"/>
      <c r="Q426" s="850"/>
      <c r="R426" s="850"/>
      <c r="S426" s="850"/>
      <c r="T426" s="850"/>
      <c r="U426" s="850"/>
    </row>
    <row r="427" spans="1:21">
      <c r="A427" s="850" t="s">
        <v>2585</v>
      </c>
      <c r="B427" s="850" t="s">
        <v>676</v>
      </c>
      <c r="C427" s="576" t="s">
        <v>2586</v>
      </c>
      <c r="D427" s="850"/>
      <c r="E427" s="850" t="s">
        <v>2834</v>
      </c>
      <c r="F427" s="952">
        <f>SUMIFS($G$434:$G$457,$N$434:$N$457,E427)</f>
        <v>70246430000</v>
      </c>
      <c r="G427" s="1035">
        <f>F427/$F$429</f>
        <v>0.52173091858794096</v>
      </c>
      <c r="H427" s="951">
        <f>F427</f>
        <v>70246430000</v>
      </c>
      <c r="I427" s="952">
        <v>0</v>
      </c>
      <c r="J427" s="850"/>
      <c r="K427" s="850"/>
      <c r="L427" s="850"/>
      <c r="M427" s="850"/>
      <c r="N427" s="850"/>
      <c r="O427" s="850"/>
      <c r="P427" s="850"/>
      <c r="Q427" s="850"/>
      <c r="R427" s="850"/>
      <c r="S427" s="850"/>
      <c r="T427" s="850"/>
      <c r="U427" s="850"/>
    </row>
    <row r="428" spans="1:21">
      <c r="A428" s="850" t="s">
        <v>2585</v>
      </c>
      <c r="B428" s="850" t="s">
        <v>676</v>
      </c>
      <c r="C428" s="576" t="s">
        <v>2586</v>
      </c>
      <c r="D428" s="850"/>
      <c r="E428" s="850" t="s">
        <v>2835</v>
      </c>
      <c r="F428" s="952">
        <f>SUMIFS($G$434:$G$457,$N$434:$N$457,E428)</f>
        <v>64394680000</v>
      </c>
      <c r="G428" s="1035">
        <f>F428/$F$429</f>
        <v>0.47826908141205904</v>
      </c>
      <c r="H428" s="951">
        <f>F428</f>
        <v>64394680000</v>
      </c>
      <c r="I428" s="952">
        <v>0</v>
      </c>
      <c r="J428" s="850"/>
      <c r="K428" s="850"/>
      <c r="L428" s="850"/>
      <c r="M428" s="850"/>
      <c r="N428" s="850"/>
      <c r="O428" s="850"/>
      <c r="P428" s="850"/>
      <c r="Q428" s="850"/>
      <c r="R428" s="850"/>
      <c r="S428" s="850"/>
      <c r="T428" s="850"/>
      <c r="U428" s="850"/>
    </row>
    <row r="429" spans="1:21" ht="13.5" thickBot="1">
      <c r="A429" s="850" t="s">
        <v>2585</v>
      </c>
      <c r="B429" s="850" t="s">
        <v>676</v>
      </c>
      <c r="C429" s="576" t="s">
        <v>2586</v>
      </c>
      <c r="D429" s="850"/>
      <c r="E429" s="850"/>
      <c r="F429" s="1545">
        <f>SUM(F427:F428)</f>
        <v>134641110000</v>
      </c>
      <c r="G429" s="1555">
        <f>SUM(G427:G428)</f>
        <v>1</v>
      </c>
      <c r="H429" s="1545">
        <f>SUM(H427:H428)</f>
        <v>134641110000</v>
      </c>
      <c r="I429" s="1545">
        <f>SUM(I427:I428)</f>
        <v>0</v>
      </c>
      <c r="J429" s="850"/>
      <c r="K429" s="850"/>
      <c r="L429" s="850"/>
      <c r="M429" s="850"/>
      <c r="N429" s="850"/>
      <c r="O429" s="850"/>
      <c r="P429" s="850"/>
      <c r="Q429" s="850"/>
      <c r="R429" s="850"/>
      <c r="S429" s="850"/>
      <c r="T429" s="850"/>
      <c r="U429" s="850"/>
    </row>
    <row r="430" spans="1:21" ht="13.5" thickTop="1">
      <c r="A430" s="850" t="s">
        <v>2585</v>
      </c>
      <c r="B430" s="850" t="s">
        <v>676</v>
      </c>
      <c r="C430" s="576" t="s">
        <v>2586</v>
      </c>
      <c r="D430" s="850"/>
      <c r="E430" s="850"/>
      <c r="F430" s="850"/>
      <c r="G430" s="850"/>
      <c r="H430" s="850"/>
      <c r="I430" s="850"/>
      <c r="J430" s="850"/>
      <c r="K430" s="850"/>
      <c r="L430" s="850"/>
      <c r="M430" s="850"/>
      <c r="N430" s="850"/>
      <c r="O430" s="850"/>
      <c r="P430" s="850"/>
      <c r="Q430" s="850"/>
      <c r="R430" s="850"/>
      <c r="S430" s="850"/>
      <c r="T430" s="850"/>
      <c r="U430" s="850"/>
    </row>
    <row r="431" spans="1:21">
      <c r="A431" s="850" t="s">
        <v>2585</v>
      </c>
      <c r="B431" s="850" t="s">
        <v>676</v>
      </c>
      <c r="C431" s="576" t="s">
        <v>2586</v>
      </c>
      <c r="D431" s="850"/>
      <c r="E431" s="1" t="s">
        <v>1970</v>
      </c>
      <c r="F431" s="857">
        <f>F429-F418</f>
        <v>0</v>
      </c>
      <c r="G431" s="850"/>
      <c r="H431" s="850"/>
      <c r="I431" s="850"/>
      <c r="J431" s="850"/>
      <c r="K431" s="850"/>
      <c r="L431" s="850"/>
      <c r="M431" s="850"/>
      <c r="N431" s="850"/>
      <c r="O431" s="850"/>
      <c r="P431" s="850"/>
      <c r="Q431" s="850"/>
      <c r="R431" s="850"/>
      <c r="S431" s="850"/>
      <c r="T431" s="850"/>
      <c r="U431" s="850"/>
    </row>
    <row r="432" spans="1:21">
      <c r="A432" s="850" t="s">
        <v>2585</v>
      </c>
      <c r="B432" s="850" t="s">
        <v>676</v>
      </c>
      <c r="C432" s="576" t="s">
        <v>2586</v>
      </c>
      <c r="D432" s="850"/>
      <c r="E432" s="850"/>
      <c r="F432" s="850"/>
      <c r="G432" s="850"/>
      <c r="H432" s="850"/>
      <c r="I432" s="850"/>
      <c r="J432" s="850"/>
      <c r="K432" s="850"/>
      <c r="L432" s="850"/>
      <c r="M432" s="850"/>
      <c r="N432" s="850"/>
      <c r="O432" s="850"/>
      <c r="P432" s="850"/>
      <c r="Q432" s="850"/>
      <c r="R432" s="850"/>
      <c r="S432" s="850"/>
      <c r="T432" s="850"/>
      <c r="U432" s="850"/>
    </row>
    <row r="433" spans="1:21">
      <c r="A433" s="850" t="s">
        <v>2585</v>
      </c>
      <c r="B433" s="850" t="s">
        <v>676</v>
      </c>
      <c r="C433" s="576" t="s">
        <v>2586</v>
      </c>
      <c r="D433" s="850"/>
      <c r="E433" s="850" t="s">
        <v>2836</v>
      </c>
      <c r="F433" s="546">
        <v>45657</v>
      </c>
      <c r="G433" s="547"/>
      <c r="H433" s="547"/>
      <c r="I433" s="551">
        <v>45291</v>
      </c>
      <c r="J433" s="552"/>
      <c r="K433" s="552"/>
      <c r="L433" s="850"/>
      <c r="M433" s="850"/>
      <c r="N433" s="850"/>
      <c r="O433" s="850"/>
      <c r="P433" s="182">
        <v>44561</v>
      </c>
      <c r="Q433" s="183"/>
      <c r="R433" s="183"/>
      <c r="S433" s="850"/>
      <c r="T433" s="850"/>
      <c r="U433" s="850"/>
    </row>
    <row r="434" spans="1:21" ht="38.25">
      <c r="A434" s="850" t="s">
        <v>2585</v>
      </c>
      <c r="B434" s="850" t="s">
        <v>676</v>
      </c>
      <c r="C434" s="576" t="s">
        <v>2586</v>
      </c>
      <c r="D434" s="850"/>
      <c r="E434" s="569" t="s">
        <v>2837</v>
      </c>
      <c r="F434" s="549" t="s">
        <v>2838</v>
      </c>
      <c r="G434" s="549" t="s">
        <v>2839</v>
      </c>
      <c r="H434" s="549" t="s">
        <v>2840</v>
      </c>
      <c r="I434" s="554" t="s">
        <v>2838</v>
      </c>
      <c r="J434" s="554" t="s">
        <v>2839</v>
      </c>
      <c r="K434" s="554" t="s">
        <v>2840</v>
      </c>
      <c r="L434" s="193" t="s">
        <v>2841</v>
      </c>
      <c r="M434" s="193" t="s">
        <v>2842</v>
      </c>
      <c r="N434" s="193" t="s">
        <v>777</v>
      </c>
      <c r="O434" s="850"/>
      <c r="P434" s="152" t="s">
        <v>2838</v>
      </c>
      <c r="Q434" s="152" t="s">
        <v>2839</v>
      </c>
      <c r="R434" s="152" t="s">
        <v>2840</v>
      </c>
      <c r="S434" s="850"/>
      <c r="T434" s="850">
        <v>2023</v>
      </c>
      <c r="U434" s="850">
        <v>2022</v>
      </c>
    </row>
    <row r="435" spans="1:21">
      <c r="A435" s="850" t="s">
        <v>2585</v>
      </c>
      <c r="B435" s="850" t="s">
        <v>676</v>
      </c>
      <c r="C435" s="576" t="s">
        <v>2586</v>
      </c>
      <c r="D435" s="850"/>
      <c r="E435" s="850" t="s">
        <v>622</v>
      </c>
      <c r="F435" s="952">
        <v>1660895</v>
      </c>
      <c r="G435" s="951">
        <v>16608950000</v>
      </c>
      <c r="H435" s="1035">
        <f>G435/$G$458</f>
        <v>0.12335719751567704</v>
      </c>
      <c r="I435" s="938">
        <v>1660895</v>
      </c>
      <c r="J435" s="1042">
        <v>16608950000</v>
      </c>
      <c r="K435" s="1065">
        <f>J435/$J$458</f>
        <v>0.12335719751567704</v>
      </c>
      <c r="L435" s="857">
        <f t="shared" ref="L435:M457" si="19">F435-I435</f>
        <v>0</v>
      </c>
      <c r="M435" s="857">
        <f t="shared" si="19"/>
        <v>0</v>
      </c>
      <c r="N435" s="850" t="s">
        <v>2834</v>
      </c>
      <c r="O435" s="850"/>
      <c r="P435" s="848">
        <v>1660895</v>
      </c>
      <c r="Q435" s="848">
        <v>16608950000</v>
      </c>
      <c r="R435" s="1004">
        <v>0.16444504950495051</v>
      </c>
      <c r="S435" s="850"/>
      <c r="T435" s="857">
        <f>M435</f>
        <v>0</v>
      </c>
      <c r="U435" s="857">
        <f t="shared" ref="U435:U456" si="20">J435-Q435</f>
        <v>0</v>
      </c>
    </row>
    <row r="436" spans="1:21">
      <c r="A436" s="850" t="s">
        <v>2585</v>
      </c>
      <c r="B436" s="850" t="s">
        <v>676</v>
      </c>
      <c r="C436" s="576" t="s">
        <v>2586</v>
      </c>
      <c r="D436" s="850"/>
      <c r="E436" s="850" t="s">
        <v>2843</v>
      </c>
      <c r="F436" s="952">
        <v>1448451</v>
      </c>
      <c r="G436" s="951">
        <v>14484510000</v>
      </c>
      <c r="H436" s="1035">
        <f t="shared" ref="H436:H457" si="21">G436/$G$458</f>
        <v>0.10757865855383991</v>
      </c>
      <c r="I436" s="938">
        <v>1448451</v>
      </c>
      <c r="J436" s="1042">
        <v>14484510000</v>
      </c>
      <c r="K436" s="1065">
        <f t="shared" ref="K436:K457" si="22">J436/$J$458</f>
        <v>0.10757865855383991</v>
      </c>
      <c r="L436" s="857">
        <f t="shared" si="19"/>
        <v>0</v>
      </c>
      <c r="M436" s="857">
        <f t="shared" si="19"/>
        <v>0</v>
      </c>
      <c r="N436" s="850" t="s">
        <v>2834</v>
      </c>
      <c r="O436" s="850"/>
      <c r="P436" s="848">
        <v>1448451</v>
      </c>
      <c r="Q436" s="848">
        <v>14484510000</v>
      </c>
      <c r="R436" s="1004">
        <v>0.1434109900990099</v>
      </c>
      <c r="S436" s="850"/>
      <c r="T436" s="857">
        <f t="shared" ref="T436:T457" si="23">M436</f>
        <v>0</v>
      </c>
      <c r="U436" s="857">
        <f t="shared" si="20"/>
        <v>0</v>
      </c>
    </row>
    <row r="437" spans="1:21">
      <c r="A437" s="850" t="s">
        <v>2585</v>
      </c>
      <c r="B437" s="850" t="s">
        <v>676</v>
      </c>
      <c r="C437" s="576" t="s">
        <v>2586</v>
      </c>
      <c r="D437" s="850"/>
      <c r="E437" s="850" t="s">
        <v>2844</v>
      </c>
      <c r="F437" s="952">
        <v>23620</v>
      </c>
      <c r="G437" s="951">
        <v>236200000</v>
      </c>
      <c r="H437" s="1035">
        <f t="shared" si="21"/>
        <v>1.7542933209626689E-3</v>
      </c>
      <c r="I437" s="938">
        <v>23620</v>
      </c>
      <c r="J437" s="1042">
        <v>236200000</v>
      </c>
      <c r="K437" s="1065">
        <f t="shared" si="22"/>
        <v>1.7542933209626689E-3</v>
      </c>
      <c r="L437" s="857">
        <f t="shared" si="19"/>
        <v>0</v>
      </c>
      <c r="M437" s="857">
        <f t="shared" si="19"/>
        <v>0</v>
      </c>
      <c r="N437" s="850" t="s">
        <v>2834</v>
      </c>
      <c r="O437" s="850"/>
      <c r="P437" s="848">
        <v>1494746</v>
      </c>
      <c r="Q437" s="848">
        <v>14947460000</v>
      </c>
      <c r="R437" s="1004">
        <v>0.14799465346534654</v>
      </c>
      <c r="S437" s="850"/>
      <c r="T437" s="857">
        <f t="shared" si="23"/>
        <v>0</v>
      </c>
      <c r="U437" s="857">
        <f t="shared" si="20"/>
        <v>-14711260000</v>
      </c>
    </row>
    <row r="438" spans="1:21">
      <c r="A438" s="850" t="s">
        <v>2585</v>
      </c>
      <c r="B438" s="850" t="s">
        <v>676</v>
      </c>
      <c r="C438" s="576" t="s">
        <v>2586</v>
      </c>
      <c r="D438" s="850"/>
      <c r="E438" s="850" t="s">
        <v>2845</v>
      </c>
      <c r="F438" s="952">
        <v>5887766</v>
      </c>
      <c r="G438" s="951">
        <v>58877660000</v>
      </c>
      <c r="H438" s="1035">
        <f t="shared" si="21"/>
        <v>0.43729333485144323</v>
      </c>
      <c r="I438" s="938">
        <v>5887766</v>
      </c>
      <c r="J438" s="1042">
        <v>58877660000</v>
      </c>
      <c r="K438" s="1065">
        <f t="shared" si="22"/>
        <v>0.43729333485144323</v>
      </c>
      <c r="L438" s="857">
        <f t="shared" si="19"/>
        <v>0</v>
      </c>
      <c r="M438" s="857">
        <f t="shared" si="19"/>
        <v>0</v>
      </c>
      <c r="N438" s="850" t="s">
        <v>2835</v>
      </c>
      <c r="O438" s="850"/>
      <c r="P438" s="848">
        <v>4192085</v>
      </c>
      <c r="Q438" s="848">
        <v>41920850000</v>
      </c>
      <c r="R438" s="1004">
        <v>0.4150579207920792</v>
      </c>
      <c r="S438" s="850"/>
      <c r="T438" s="857">
        <f t="shared" si="23"/>
        <v>0</v>
      </c>
      <c r="U438" s="857">
        <f t="shared" si="20"/>
        <v>16956810000</v>
      </c>
    </row>
    <row r="439" spans="1:21">
      <c r="A439" s="850" t="s">
        <v>2585</v>
      </c>
      <c r="B439" s="850" t="s">
        <v>676</v>
      </c>
      <c r="C439" s="576" t="s">
        <v>2586</v>
      </c>
      <c r="D439" s="850"/>
      <c r="E439" s="850" t="s">
        <v>2846</v>
      </c>
      <c r="F439" s="952">
        <v>22843</v>
      </c>
      <c r="G439" s="951">
        <v>228430000</v>
      </c>
      <c r="H439" s="1035">
        <f t="shared" si="21"/>
        <v>1.6965843493120341E-3</v>
      </c>
      <c r="I439" s="938">
        <v>22843</v>
      </c>
      <c r="J439" s="1042">
        <v>228430000</v>
      </c>
      <c r="K439" s="1065">
        <f t="shared" si="22"/>
        <v>1.6965843493120341E-3</v>
      </c>
      <c r="L439" s="857">
        <f t="shared" si="19"/>
        <v>0</v>
      </c>
      <c r="M439" s="857">
        <f t="shared" si="19"/>
        <v>0</v>
      </c>
      <c r="N439" s="850" t="s">
        <v>2834</v>
      </c>
      <c r="O439" s="850"/>
      <c r="P439" s="848">
        <v>22843</v>
      </c>
      <c r="Q439" s="848">
        <v>228430000</v>
      </c>
      <c r="R439" s="1004">
        <v>2.2616831683168318E-3</v>
      </c>
      <c r="S439" s="850"/>
      <c r="T439" s="857">
        <f t="shared" si="23"/>
        <v>0</v>
      </c>
      <c r="U439" s="857">
        <f t="shared" si="20"/>
        <v>0</v>
      </c>
    </row>
    <row r="440" spans="1:21">
      <c r="A440" s="850" t="s">
        <v>2585</v>
      </c>
      <c r="B440" s="850" t="s">
        <v>676</v>
      </c>
      <c r="C440" s="576" t="s">
        <v>2586</v>
      </c>
      <c r="D440" s="850"/>
      <c r="E440" s="850" t="s">
        <v>2847</v>
      </c>
      <c r="F440" s="952">
        <v>22843</v>
      </c>
      <c r="G440" s="951">
        <v>228430000</v>
      </c>
      <c r="H440" s="1035">
        <f t="shared" si="21"/>
        <v>1.6965843493120341E-3</v>
      </c>
      <c r="I440" s="938">
        <v>22843</v>
      </c>
      <c r="J440" s="1042">
        <v>228430000</v>
      </c>
      <c r="K440" s="1065">
        <f t="shared" si="22"/>
        <v>1.6965843493120341E-3</v>
      </c>
      <c r="L440" s="857">
        <f t="shared" si="19"/>
        <v>0</v>
      </c>
      <c r="M440" s="857">
        <f t="shared" si="19"/>
        <v>0</v>
      </c>
      <c r="N440" s="850" t="s">
        <v>2834</v>
      </c>
      <c r="O440" s="850"/>
      <c r="P440" s="848">
        <v>22843</v>
      </c>
      <c r="Q440" s="848">
        <v>228430000</v>
      </c>
      <c r="R440" s="1004">
        <v>2.2616831683168318E-3</v>
      </c>
      <c r="S440" s="850"/>
      <c r="T440" s="857">
        <f t="shared" si="23"/>
        <v>0</v>
      </c>
      <c r="U440" s="857">
        <f t="shared" si="20"/>
        <v>0</v>
      </c>
    </row>
    <row r="441" spans="1:21">
      <c r="A441" s="850" t="s">
        <v>2585</v>
      </c>
      <c r="B441" s="850" t="s">
        <v>676</v>
      </c>
      <c r="C441" s="576" t="s">
        <v>2586</v>
      </c>
      <c r="D441" s="850"/>
      <c r="E441" s="850" t="s">
        <v>2848</v>
      </c>
      <c r="F441" s="952">
        <v>22843</v>
      </c>
      <c r="G441" s="951">
        <v>228430000</v>
      </c>
      <c r="H441" s="1035">
        <f t="shared" si="21"/>
        <v>1.6965843493120341E-3</v>
      </c>
      <c r="I441" s="938">
        <v>22843</v>
      </c>
      <c r="J441" s="1042">
        <v>228430000</v>
      </c>
      <c r="K441" s="1065">
        <f t="shared" si="22"/>
        <v>1.6965843493120341E-3</v>
      </c>
      <c r="L441" s="857">
        <f t="shared" si="19"/>
        <v>0</v>
      </c>
      <c r="M441" s="857">
        <f t="shared" si="19"/>
        <v>0</v>
      </c>
      <c r="N441" s="850" t="s">
        <v>2834</v>
      </c>
      <c r="O441" s="850"/>
      <c r="P441" s="848">
        <v>22843</v>
      </c>
      <c r="Q441" s="848">
        <v>228430000</v>
      </c>
      <c r="R441" s="1004">
        <v>2.2616831683168318E-3</v>
      </c>
      <c r="S441" s="850"/>
      <c r="T441" s="857">
        <f t="shared" si="23"/>
        <v>0</v>
      </c>
      <c r="U441" s="857">
        <f t="shared" si="20"/>
        <v>0</v>
      </c>
    </row>
    <row r="442" spans="1:21">
      <c r="A442" s="850" t="s">
        <v>2585</v>
      </c>
      <c r="B442" s="850" t="s">
        <v>676</v>
      </c>
      <c r="C442" s="576" t="s">
        <v>2586</v>
      </c>
      <c r="D442" s="850"/>
      <c r="E442" s="850" t="s">
        <v>2849</v>
      </c>
      <c r="F442" s="952">
        <v>22843</v>
      </c>
      <c r="G442" s="951">
        <v>228430000</v>
      </c>
      <c r="H442" s="1035">
        <f t="shared" si="21"/>
        <v>1.6965843493120341E-3</v>
      </c>
      <c r="I442" s="938">
        <v>22843</v>
      </c>
      <c r="J442" s="1042">
        <v>228430000</v>
      </c>
      <c r="K442" s="1065">
        <f t="shared" si="22"/>
        <v>1.6965843493120341E-3</v>
      </c>
      <c r="L442" s="857">
        <f t="shared" si="19"/>
        <v>0</v>
      </c>
      <c r="M442" s="857">
        <f t="shared" si="19"/>
        <v>0</v>
      </c>
      <c r="N442" s="850" t="s">
        <v>2834</v>
      </c>
      <c r="O442" s="850"/>
      <c r="P442" s="848">
        <v>22843</v>
      </c>
      <c r="Q442" s="848">
        <v>228430000</v>
      </c>
      <c r="R442" s="1004">
        <v>2.2616831683168318E-3</v>
      </c>
      <c r="S442" s="850"/>
      <c r="T442" s="857">
        <f t="shared" si="23"/>
        <v>0</v>
      </c>
      <c r="U442" s="857">
        <f t="shared" si="20"/>
        <v>0</v>
      </c>
    </row>
    <row r="443" spans="1:21">
      <c r="A443" s="850" t="s">
        <v>2585</v>
      </c>
      <c r="B443" s="850" t="s">
        <v>676</v>
      </c>
      <c r="C443" s="576" t="s">
        <v>2586</v>
      </c>
      <c r="D443" s="850"/>
      <c r="E443" s="850" t="s">
        <v>2850</v>
      </c>
      <c r="F443" s="952">
        <v>49478</v>
      </c>
      <c r="G443" s="951">
        <v>494780000</v>
      </c>
      <c r="H443" s="1035">
        <f t="shared" si="21"/>
        <v>3.6748063054441544E-3</v>
      </c>
      <c r="I443" s="938">
        <v>49478</v>
      </c>
      <c r="J443" s="1042">
        <v>494780000</v>
      </c>
      <c r="K443" s="1065">
        <f t="shared" si="22"/>
        <v>3.6748063054441544E-3</v>
      </c>
      <c r="L443" s="857">
        <f t="shared" si="19"/>
        <v>0</v>
      </c>
      <c r="M443" s="857">
        <f t="shared" si="19"/>
        <v>0</v>
      </c>
      <c r="N443" s="850" t="s">
        <v>2834</v>
      </c>
      <c r="O443" s="850"/>
      <c r="P443" s="848">
        <v>49478</v>
      </c>
      <c r="Q443" s="848">
        <v>494780000</v>
      </c>
      <c r="R443" s="1004">
        <v>4.8988118811881184E-3</v>
      </c>
      <c r="S443" s="850"/>
      <c r="T443" s="857">
        <f t="shared" si="23"/>
        <v>0</v>
      </c>
      <c r="U443" s="857">
        <f t="shared" si="20"/>
        <v>0</v>
      </c>
    </row>
    <row r="444" spans="1:21">
      <c r="A444" s="850" t="s">
        <v>2585</v>
      </c>
      <c r="B444" s="850" t="s">
        <v>676</v>
      </c>
      <c r="C444" s="576" t="s">
        <v>2586</v>
      </c>
      <c r="D444" s="850"/>
      <c r="E444" s="850" t="s">
        <v>2851</v>
      </c>
      <c r="F444" s="952">
        <v>231674</v>
      </c>
      <c r="G444" s="951">
        <v>2316740000</v>
      </c>
      <c r="H444" s="1035">
        <f t="shared" si="21"/>
        <v>1.7206780306549759E-2</v>
      </c>
      <c r="I444" s="938">
        <v>231674</v>
      </c>
      <c r="J444" s="1042">
        <v>2316740000</v>
      </c>
      <c r="K444" s="1065">
        <f t="shared" si="22"/>
        <v>1.7206780306549759E-2</v>
      </c>
      <c r="L444" s="857">
        <f t="shared" si="19"/>
        <v>0</v>
      </c>
      <c r="M444" s="857">
        <f t="shared" si="19"/>
        <v>0</v>
      </c>
      <c r="N444" s="850" t="s">
        <v>2834</v>
      </c>
      <c r="O444" s="850"/>
      <c r="P444" s="848">
        <v>187518</v>
      </c>
      <c r="Q444" s="848">
        <v>1875180000</v>
      </c>
      <c r="R444" s="1004">
        <v>1.8566138613861385E-2</v>
      </c>
      <c r="S444" s="850"/>
      <c r="T444" s="857">
        <f t="shared" si="23"/>
        <v>0</v>
      </c>
      <c r="U444" s="857">
        <f t="shared" si="20"/>
        <v>441560000</v>
      </c>
    </row>
    <row r="445" spans="1:21">
      <c r="A445" s="850" t="s">
        <v>2585</v>
      </c>
      <c r="B445" s="850" t="s">
        <v>676</v>
      </c>
      <c r="C445" s="576" t="s">
        <v>2586</v>
      </c>
      <c r="D445" s="850"/>
      <c r="E445" s="850" t="s">
        <v>626</v>
      </c>
      <c r="F445" s="952">
        <v>89845</v>
      </c>
      <c r="G445" s="951">
        <v>898450000</v>
      </c>
      <c r="H445" s="1035">
        <f t="shared" si="21"/>
        <v>6.6729247850080857E-3</v>
      </c>
      <c r="I445" s="938">
        <v>89845</v>
      </c>
      <c r="J445" s="1042">
        <v>898450000</v>
      </c>
      <c r="K445" s="1065">
        <f t="shared" si="22"/>
        <v>6.6729247850080857E-3</v>
      </c>
      <c r="L445" s="857">
        <f t="shared" si="19"/>
        <v>0</v>
      </c>
      <c r="M445" s="857">
        <f t="shared" si="19"/>
        <v>0</v>
      </c>
      <c r="N445" s="850" t="s">
        <v>2834</v>
      </c>
      <c r="O445" s="850"/>
      <c r="P445" s="848">
        <v>25862</v>
      </c>
      <c r="Q445" s="848">
        <v>258620000</v>
      </c>
      <c r="R445" s="1004">
        <v>2.5605940594059405E-3</v>
      </c>
      <c r="S445" s="850"/>
      <c r="T445" s="857">
        <f t="shared" si="23"/>
        <v>0</v>
      </c>
      <c r="U445" s="857">
        <f t="shared" si="20"/>
        <v>639830000</v>
      </c>
    </row>
    <row r="446" spans="1:21">
      <c r="A446" s="850" t="s">
        <v>2585</v>
      </c>
      <c r="B446" s="850" t="s">
        <v>676</v>
      </c>
      <c r="C446" s="576" t="s">
        <v>2586</v>
      </c>
      <c r="D446" s="850"/>
      <c r="E446" s="850" t="s">
        <v>623</v>
      </c>
      <c r="F446" s="952">
        <v>50662</v>
      </c>
      <c r="G446" s="951">
        <v>506620000</v>
      </c>
      <c r="H446" s="1035">
        <f t="shared" si="21"/>
        <v>3.7627437860546457E-3</v>
      </c>
      <c r="I446" s="938">
        <v>50662</v>
      </c>
      <c r="J446" s="1042">
        <v>506620000</v>
      </c>
      <c r="K446" s="1065">
        <f t="shared" si="22"/>
        <v>3.7627437860546457E-3</v>
      </c>
      <c r="L446" s="857">
        <f t="shared" si="19"/>
        <v>0</v>
      </c>
      <c r="M446" s="857">
        <f t="shared" si="19"/>
        <v>0</v>
      </c>
      <c r="N446" s="850" t="s">
        <v>2834</v>
      </c>
      <c r="O446" s="850"/>
      <c r="P446" s="848">
        <v>8001</v>
      </c>
      <c r="Q446" s="848">
        <v>80010000</v>
      </c>
      <c r="R446" s="1004">
        <v>7.9217821782178214E-4</v>
      </c>
      <c r="S446" s="850"/>
      <c r="T446" s="857">
        <f t="shared" si="23"/>
        <v>0</v>
      </c>
      <c r="U446" s="857">
        <f t="shared" si="20"/>
        <v>426610000</v>
      </c>
    </row>
    <row r="447" spans="1:21">
      <c r="A447" s="850" t="s">
        <v>2585</v>
      </c>
      <c r="B447" s="850" t="s">
        <v>676</v>
      </c>
      <c r="C447" s="576" t="s">
        <v>2586</v>
      </c>
      <c r="D447" s="850"/>
      <c r="E447" s="850" t="s">
        <v>2852</v>
      </c>
      <c r="F447" s="952">
        <v>39485</v>
      </c>
      <c r="G447" s="951">
        <v>394850000</v>
      </c>
      <c r="H447" s="1035">
        <f t="shared" si="21"/>
        <v>2.932610998230778E-3</v>
      </c>
      <c r="I447" s="938">
        <v>39485</v>
      </c>
      <c r="J447" s="1042">
        <v>394850000</v>
      </c>
      <c r="K447" s="1065">
        <f t="shared" si="22"/>
        <v>2.932610998230778E-3</v>
      </c>
      <c r="L447" s="857">
        <f t="shared" si="19"/>
        <v>0</v>
      </c>
      <c r="M447" s="857">
        <f t="shared" si="19"/>
        <v>0</v>
      </c>
      <c r="N447" s="850" t="s">
        <v>2834</v>
      </c>
      <c r="O447" s="850"/>
      <c r="P447" s="848">
        <v>39485</v>
      </c>
      <c r="Q447" s="848">
        <v>394850000</v>
      </c>
      <c r="R447" s="1004">
        <v>3.9094059405940596E-3</v>
      </c>
      <c r="S447" s="850"/>
      <c r="T447" s="857">
        <f t="shared" si="23"/>
        <v>0</v>
      </c>
      <c r="U447" s="857">
        <f t="shared" si="20"/>
        <v>0</v>
      </c>
    </row>
    <row r="448" spans="1:21">
      <c r="A448" s="850" t="s">
        <v>2585</v>
      </c>
      <c r="B448" s="850" t="s">
        <v>676</v>
      </c>
      <c r="C448" s="576" t="s">
        <v>2586</v>
      </c>
      <c r="D448" s="850"/>
      <c r="E448" s="850" t="s">
        <v>2853</v>
      </c>
      <c r="F448" s="952">
        <v>551702</v>
      </c>
      <c r="G448" s="951">
        <v>5517020000</v>
      </c>
      <c r="H448" s="1035">
        <f t="shared" si="21"/>
        <v>4.0975746560615846E-2</v>
      </c>
      <c r="I448" s="938">
        <v>551702</v>
      </c>
      <c r="J448" s="1042">
        <v>5517020000</v>
      </c>
      <c r="K448" s="1065">
        <f t="shared" si="22"/>
        <v>4.0975746560615846E-2</v>
      </c>
      <c r="L448" s="857">
        <f t="shared" si="19"/>
        <v>0</v>
      </c>
      <c r="M448" s="857">
        <f t="shared" si="19"/>
        <v>0</v>
      </c>
      <c r="N448" s="850" t="s">
        <v>2835</v>
      </c>
      <c r="O448" s="850"/>
      <c r="P448" s="848">
        <v>446554</v>
      </c>
      <c r="Q448" s="848">
        <v>4465540000</v>
      </c>
      <c r="R448" s="1004">
        <v>4.4213267326732676E-2</v>
      </c>
      <c r="S448" s="850"/>
      <c r="T448" s="857">
        <f t="shared" si="23"/>
        <v>0</v>
      </c>
      <c r="U448" s="857">
        <f t="shared" si="20"/>
        <v>1051480000</v>
      </c>
    </row>
    <row r="449" spans="1:21">
      <c r="A449" s="850" t="s">
        <v>2585</v>
      </c>
      <c r="B449" s="850" t="s">
        <v>676</v>
      </c>
      <c r="C449" s="576" t="s">
        <v>2586</v>
      </c>
      <c r="D449" s="850"/>
      <c r="E449" s="850" t="s">
        <v>2854</v>
      </c>
      <c r="F449" s="952">
        <v>27751</v>
      </c>
      <c r="G449" s="951">
        <v>277510000</v>
      </c>
      <c r="H449" s="1035">
        <f t="shared" si="21"/>
        <v>2.061108973329171E-3</v>
      </c>
      <c r="I449" s="938">
        <v>27751</v>
      </c>
      <c r="J449" s="1042">
        <v>277510000</v>
      </c>
      <c r="K449" s="1065">
        <f t="shared" si="22"/>
        <v>2.061108973329171E-3</v>
      </c>
      <c r="L449" s="857">
        <f t="shared" si="19"/>
        <v>0</v>
      </c>
      <c r="M449" s="857">
        <f t="shared" si="19"/>
        <v>0</v>
      </c>
      <c r="N449" s="850" t="s">
        <v>2834</v>
      </c>
      <c r="O449" s="850"/>
      <c r="P449" s="848">
        <v>27751</v>
      </c>
      <c r="Q449" s="848">
        <v>277510000</v>
      </c>
      <c r="R449" s="1004">
        <v>2.7476237623762375E-3</v>
      </c>
      <c r="S449" s="850"/>
      <c r="T449" s="857">
        <f t="shared" si="23"/>
        <v>0</v>
      </c>
      <c r="U449" s="857">
        <f t="shared" si="20"/>
        <v>0</v>
      </c>
    </row>
    <row r="450" spans="1:21">
      <c r="A450" s="850" t="s">
        <v>2585</v>
      </c>
      <c r="B450" s="850" t="s">
        <v>676</v>
      </c>
      <c r="C450" s="576" t="s">
        <v>2586</v>
      </c>
      <c r="D450" s="850"/>
      <c r="E450" s="850" t="s">
        <v>2855</v>
      </c>
      <c r="F450" s="952">
        <v>569240</v>
      </c>
      <c r="G450" s="951">
        <v>5692400000</v>
      </c>
      <c r="H450" s="1035">
        <f t="shared" si="21"/>
        <v>4.2278320492158745E-2</v>
      </c>
      <c r="I450" s="938">
        <v>569240</v>
      </c>
      <c r="J450" s="1042">
        <v>5692400000</v>
      </c>
      <c r="K450" s="1065">
        <f t="shared" si="22"/>
        <v>4.2278320492158745E-2</v>
      </c>
      <c r="L450" s="857">
        <f t="shared" si="19"/>
        <v>0</v>
      </c>
      <c r="M450" s="857">
        <f t="shared" si="19"/>
        <v>0</v>
      </c>
      <c r="N450" s="850" t="s">
        <v>2834</v>
      </c>
      <c r="O450" s="850"/>
      <c r="P450" s="848">
        <v>427802</v>
      </c>
      <c r="Q450" s="848">
        <v>4278020000</v>
      </c>
      <c r="R450" s="1004">
        <v>4.2356633663366339E-2</v>
      </c>
      <c r="S450" s="850"/>
      <c r="T450" s="857">
        <f t="shared" si="23"/>
        <v>0</v>
      </c>
      <c r="U450" s="857">
        <f t="shared" si="20"/>
        <v>1414380000</v>
      </c>
    </row>
    <row r="451" spans="1:21">
      <c r="A451" s="850" t="s">
        <v>2585</v>
      </c>
      <c r="B451" s="850" t="s">
        <v>676</v>
      </c>
      <c r="C451" s="576" t="s">
        <v>2586</v>
      </c>
      <c r="D451" s="850"/>
      <c r="E451" s="850" t="s">
        <v>2856</v>
      </c>
      <c r="F451" s="952">
        <v>564717</v>
      </c>
      <c r="G451" s="951">
        <v>5647170000</v>
      </c>
      <c r="H451" s="1035">
        <f t="shared" si="21"/>
        <v>4.1942390403644177E-2</v>
      </c>
      <c r="I451" s="938">
        <v>564717</v>
      </c>
      <c r="J451" s="1042">
        <v>5647170000</v>
      </c>
      <c r="K451" s="1065">
        <f t="shared" si="22"/>
        <v>4.1942390403644177E-2</v>
      </c>
      <c r="L451" s="857">
        <f t="shared" si="19"/>
        <v>0</v>
      </c>
      <c r="M451" s="857">
        <f t="shared" si="19"/>
        <v>0</v>
      </c>
      <c r="N451" s="850" t="s">
        <v>2834</v>
      </c>
      <c r="O451" s="850"/>
      <c r="P451" s="850"/>
      <c r="Q451" s="850"/>
      <c r="R451" s="850"/>
      <c r="S451" s="850"/>
      <c r="T451" s="857">
        <f t="shared" si="23"/>
        <v>0</v>
      </c>
      <c r="U451" s="857">
        <f t="shared" si="20"/>
        <v>5647170000</v>
      </c>
    </row>
    <row r="452" spans="1:21">
      <c r="A452" s="850" t="s">
        <v>2585</v>
      </c>
      <c r="B452" s="850" t="s">
        <v>676</v>
      </c>
      <c r="C452" s="576" t="s">
        <v>2586</v>
      </c>
      <c r="D452" s="850"/>
      <c r="E452" s="850" t="s">
        <v>2857</v>
      </c>
      <c r="F452" s="952">
        <v>1823100</v>
      </c>
      <c r="G452" s="951">
        <v>18231000000</v>
      </c>
      <c r="H452" s="1035">
        <f t="shared" si="21"/>
        <v>0.13540440954475197</v>
      </c>
      <c r="I452" s="938">
        <v>1823100</v>
      </c>
      <c r="J452" s="1042">
        <v>18231000000</v>
      </c>
      <c r="K452" s="1065">
        <f t="shared" si="22"/>
        <v>0.13540440954475197</v>
      </c>
      <c r="L452" s="857">
        <f t="shared" si="19"/>
        <v>0</v>
      </c>
      <c r="M452" s="857">
        <f t="shared" si="19"/>
        <v>0</v>
      </c>
      <c r="N452" s="850" t="s">
        <v>2834</v>
      </c>
      <c r="O452" s="850" t="s">
        <v>2858</v>
      </c>
      <c r="P452" s="850"/>
      <c r="Q452" s="850"/>
      <c r="R452" s="850"/>
      <c r="S452" s="850"/>
      <c r="T452" s="857">
        <f t="shared" si="23"/>
        <v>0</v>
      </c>
      <c r="U452" s="857">
        <f t="shared" si="20"/>
        <v>18231000000</v>
      </c>
    </row>
    <row r="453" spans="1:21">
      <c r="A453" s="850" t="s">
        <v>2585</v>
      </c>
      <c r="B453" s="850" t="s">
        <v>676</v>
      </c>
      <c r="C453" s="576" t="s">
        <v>2586</v>
      </c>
      <c r="D453" s="850"/>
      <c r="E453" s="850" t="s">
        <v>2859</v>
      </c>
      <c r="F453" s="952">
        <v>1999</v>
      </c>
      <c r="G453" s="951">
        <v>19990000</v>
      </c>
      <c r="H453" s="1035">
        <f t="shared" si="21"/>
        <v>1.4846877005098962E-4</v>
      </c>
      <c r="I453" s="938">
        <v>1999</v>
      </c>
      <c r="J453" s="1042">
        <v>19990000</v>
      </c>
      <c r="K453" s="1065">
        <f t="shared" si="22"/>
        <v>1.4846877005098962E-4</v>
      </c>
      <c r="L453" s="857">
        <f t="shared" si="19"/>
        <v>0</v>
      </c>
      <c r="M453" s="857">
        <f t="shared" si="19"/>
        <v>0</v>
      </c>
      <c r="N453" s="850" t="s">
        <v>2834</v>
      </c>
      <c r="O453" s="850"/>
      <c r="P453" s="850"/>
      <c r="Q453" s="850"/>
      <c r="R453" s="850"/>
      <c r="S453" s="850"/>
      <c r="T453" s="857">
        <f t="shared" si="23"/>
        <v>0</v>
      </c>
      <c r="U453" s="857">
        <f t="shared" si="20"/>
        <v>19990000</v>
      </c>
    </row>
    <row r="454" spans="1:21">
      <c r="A454" s="850" t="s">
        <v>2585</v>
      </c>
      <c r="B454" s="850" t="s">
        <v>676</v>
      </c>
      <c r="C454" s="576" t="s">
        <v>2586</v>
      </c>
      <c r="D454" s="850"/>
      <c r="E454" s="850" t="s">
        <v>2860</v>
      </c>
      <c r="F454" s="952">
        <v>2999</v>
      </c>
      <c r="G454" s="951">
        <v>29990000</v>
      </c>
      <c r="H454" s="1035">
        <f t="shared" si="21"/>
        <v>2.2274029083687739E-4</v>
      </c>
      <c r="I454" s="938">
        <v>2999</v>
      </c>
      <c r="J454" s="1042">
        <v>29990000</v>
      </c>
      <c r="K454" s="1065">
        <f t="shared" si="22"/>
        <v>2.2274029083687739E-4</v>
      </c>
      <c r="L454" s="857">
        <f t="shared" si="19"/>
        <v>0</v>
      </c>
      <c r="M454" s="857">
        <f t="shared" si="19"/>
        <v>0</v>
      </c>
      <c r="N454" s="850" t="s">
        <v>2834</v>
      </c>
      <c r="O454" s="850"/>
      <c r="P454" s="850"/>
      <c r="Q454" s="850"/>
      <c r="R454" s="850"/>
      <c r="S454" s="850"/>
      <c r="T454" s="857">
        <f t="shared" si="23"/>
        <v>0</v>
      </c>
      <c r="U454" s="857">
        <f t="shared" si="20"/>
        <v>29990000</v>
      </c>
    </row>
    <row r="455" spans="1:21">
      <c r="A455" s="850" t="s">
        <v>2585</v>
      </c>
      <c r="B455" s="850" t="s">
        <v>676</v>
      </c>
      <c r="C455" s="576" t="s">
        <v>2586</v>
      </c>
      <c r="D455" s="850"/>
      <c r="E455" s="850" t="s">
        <v>2861</v>
      </c>
      <c r="F455" s="952">
        <v>264749</v>
      </c>
      <c r="G455" s="951">
        <v>2647490000</v>
      </c>
      <c r="H455" s="1035">
        <f t="shared" si="21"/>
        <v>1.9663310856543E-2</v>
      </c>
      <c r="I455" s="938">
        <v>264749</v>
      </c>
      <c r="J455" s="1042">
        <v>2647490000</v>
      </c>
      <c r="K455" s="1065">
        <f t="shared" si="22"/>
        <v>1.9663310856543E-2</v>
      </c>
      <c r="L455" s="857">
        <f t="shared" si="19"/>
        <v>0</v>
      </c>
      <c r="M455" s="857">
        <f t="shared" si="19"/>
        <v>0</v>
      </c>
      <c r="N455" s="850" t="s">
        <v>2834</v>
      </c>
      <c r="O455" s="850"/>
      <c r="P455" s="850"/>
      <c r="Q455" s="850"/>
      <c r="R455" s="850"/>
      <c r="S455" s="850"/>
      <c r="T455" s="857">
        <f t="shared" si="23"/>
        <v>0</v>
      </c>
      <c r="U455" s="857">
        <f t="shared" si="20"/>
        <v>2647490000</v>
      </c>
    </row>
    <row r="456" spans="1:21">
      <c r="A456" s="850" t="s">
        <v>2585</v>
      </c>
      <c r="B456" s="850" t="s">
        <v>676</v>
      </c>
      <c r="C456" s="576" t="s">
        <v>2586</v>
      </c>
      <c r="D456" s="850"/>
      <c r="E456" s="850" t="s">
        <v>2862</v>
      </c>
      <c r="F456" s="952">
        <v>76312</v>
      </c>
      <c r="G456" s="951">
        <v>763120000</v>
      </c>
      <c r="H456" s="1035">
        <f t="shared" si="21"/>
        <v>5.6678082942126663E-3</v>
      </c>
      <c r="I456" s="938">
        <v>76312</v>
      </c>
      <c r="J456" s="1042">
        <v>763120000</v>
      </c>
      <c r="K456" s="1065">
        <f t="shared" si="22"/>
        <v>5.6678082942126663E-3</v>
      </c>
      <c r="L456" s="857">
        <f t="shared" si="19"/>
        <v>0</v>
      </c>
      <c r="M456" s="857">
        <f t="shared" si="19"/>
        <v>0</v>
      </c>
      <c r="N456" s="850" t="s">
        <v>2834</v>
      </c>
      <c r="O456" s="850"/>
      <c r="P456" s="850"/>
      <c r="Q456" s="850"/>
      <c r="R456" s="850"/>
      <c r="S456" s="850"/>
      <c r="T456" s="857">
        <f t="shared" si="23"/>
        <v>0</v>
      </c>
      <c r="U456" s="857">
        <f t="shared" si="20"/>
        <v>763120000</v>
      </c>
    </row>
    <row r="457" spans="1:21">
      <c r="A457" s="850" t="s">
        <v>2585</v>
      </c>
      <c r="B457" s="850" t="s">
        <v>676</v>
      </c>
      <c r="C457" s="576" t="s">
        <v>2586</v>
      </c>
      <c r="D457" s="850"/>
      <c r="E457" s="850" t="s">
        <v>2863</v>
      </c>
      <c r="F457" s="952">
        <v>8294</v>
      </c>
      <c r="G457" s="951">
        <v>82940000</v>
      </c>
      <c r="H457" s="1035">
        <f t="shared" si="21"/>
        <v>6.1600799339815303E-4</v>
      </c>
      <c r="I457" s="938">
        <v>8294</v>
      </c>
      <c r="J457" s="1042">
        <v>82940000</v>
      </c>
      <c r="K457" s="1065">
        <f t="shared" si="22"/>
        <v>6.1600799339815303E-4</v>
      </c>
      <c r="L457" s="857">
        <f t="shared" si="19"/>
        <v>0</v>
      </c>
      <c r="M457" s="857">
        <f t="shared" si="19"/>
        <v>0</v>
      </c>
      <c r="N457" s="850" t="s">
        <v>2834</v>
      </c>
      <c r="O457" s="850" t="s">
        <v>2864</v>
      </c>
      <c r="P457" s="850"/>
      <c r="Q457" s="850"/>
      <c r="R457" s="850"/>
      <c r="S457" s="850"/>
      <c r="T457" s="857">
        <f t="shared" si="23"/>
        <v>0</v>
      </c>
      <c r="U457" s="857">
        <f>J457-Q457</f>
        <v>82940000</v>
      </c>
    </row>
    <row r="458" spans="1:21" ht="13.5" thickBot="1">
      <c r="A458" s="850" t="s">
        <v>2585</v>
      </c>
      <c r="B458" s="850" t="s">
        <v>676</v>
      </c>
      <c r="C458" s="576" t="s">
        <v>2586</v>
      </c>
      <c r="D458" s="850"/>
      <c r="E458" s="850"/>
      <c r="F458" s="1543">
        <f t="shared" ref="F458:M458" si="24">SUM(F435:F457)</f>
        <v>13464111</v>
      </c>
      <c r="G458" s="1543">
        <f t="shared" si="24"/>
        <v>134641110000</v>
      </c>
      <c r="H458" s="1555">
        <f t="shared" si="24"/>
        <v>1.0000000000000004</v>
      </c>
      <c r="I458" s="1544">
        <f t="shared" si="24"/>
        <v>13464111</v>
      </c>
      <c r="J458" s="1544">
        <f t="shared" si="24"/>
        <v>134641110000</v>
      </c>
      <c r="K458" s="1556">
        <f t="shared" si="24"/>
        <v>1.0000000000000004</v>
      </c>
      <c r="L458" s="1528">
        <f t="shared" si="24"/>
        <v>0</v>
      </c>
      <c r="M458" s="1528">
        <f t="shared" si="24"/>
        <v>0</v>
      </c>
      <c r="N458" s="850"/>
      <c r="O458" s="850"/>
      <c r="P458" s="850"/>
      <c r="Q458" s="850"/>
      <c r="R458" s="850"/>
      <c r="S458" s="850"/>
      <c r="T458" s="850"/>
      <c r="U458" s="850"/>
    </row>
    <row r="459" spans="1:21" ht="13.5" thickTop="1">
      <c r="A459" s="850" t="s">
        <v>2585</v>
      </c>
      <c r="B459" s="850" t="s">
        <v>676</v>
      </c>
      <c r="C459" s="576" t="s">
        <v>2586</v>
      </c>
      <c r="D459" s="850"/>
      <c r="E459" s="850"/>
      <c r="F459" s="850"/>
      <c r="G459" s="850"/>
      <c r="H459" s="850"/>
      <c r="I459" s="850"/>
      <c r="J459" s="850"/>
      <c r="K459" s="850"/>
      <c r="L459" s="850"/>
      <c r="M459" s="850"/>
      <c r="N459" s="850"/>
      <c r="O459" s="850"/>
      <c r="P459" s="850"/>
      <c r="Q459" s="850"/>
      <c r="R459" s="850"/>
      <c r="S459" s="850"/>
      <c r="T459" s="850"/>
      <c r="U459" s="850"/>
    </row>
    <row r="460" spans="1:21">
      <c r="A460" s="172"/>
      <c r="B460" s="172" t="s">
        <v>676</v>
      </c>
      <c r="C460" s="172" t="s">
        <v>681</v>
      </c>
      <c r="D460" s="172"/>
      <c r="E460" s="562" t="s">
        <v>2865</v>
      </c>
      <c r="F460" s="172"/>
      <c r="G460" s="172"/>
      <c r="H460" s="172"/>
      <c r="I460" s="172"/>
      <c r="J460" s="172"/>
      <c r="K460" s="172"/>
      <c r="L460" s="172"/>
      <c r="M460" s="172"/>
      <c r="N460" s="172"/>
      <c r="O460" s="172"/>
      <c r="P460" s="172"/>
      <c r="Q460" s="172"/>
      <c r="R460" s="172"/>
      <c r="S460" s="172"/>
      <c r="T460" s="850"/>
      <c r="U460" s="850"/>
    </row>
    <row r="461" spans="1:21">
      <c r="A461" s="850"/>
      <c r="B461" s="850"/>
      <c r="C461" s="850"/>
      <c r="D461" s="850"/>
      <c r="E461" s="850"/>
      <c r="F461" s="850"/>
      <c r="G461" s="850"/>
      <c r="H461" s="850"/>
      <c r="I461" s="850"/>
      <c r="J461" s="850"/>
      <c r="K461" s="850"/>
      <c r="L461" s="850"/>
      <c r="M461" s="850"/>
      <c r="N461" s="850"/>
      <c r="O461" s="850"/>
      <c r="P461" s="850"/>
      <c r="Q461" s="850"/>
      <c r="R461" s="850"/>
      <c r="S461" s="850"/>
      <c r="T461" s="850"/>
      <c r="U461" s="850"/>
    </row>
    <row r="462" spans="1:21">
      <c r="A462" s="172"/>
      <c r="B462" s="172" t="s">
        <v>2227</v>
      </c>
      <c r="C462" s="172" t="s">
        <v>681</v>
      </c>
      <c r="D462" s="172"/>
      <c r="E462" s="562" t="s">
        <v>2866</v>
      </c>
      <c r="F462" s="172"/>
      <c r="G462" s="172"/>
      <c r="H462" s="172"/>
      <c r="I462" s="172"/>
      <c r="J462" s="172"/>
      <c r="K462" s="172"/>
      <c r="L462" s="172"/>
      <c r="M462" s="172"/>
      <c r="N462" s="172"/>
      <c r="O462" s="172"/>
      <c r="P462" s="172"/>
      <c r="Q462" s="172"/>
      <c r="R462" s="172"/>
      <c r="S462" s="172"/>
      <c r="T462" s="850"/>
      <c r="U462" s="850"/>
    </row>
    <row r="463" spans="1:21">
      <c r="A463" s="850" t="s">
        <v>2602</v>
      </c>
      <c r="B463" s="850" t="s">
        <v>2227</v>
      </c>
      <c r="C463" s="576" t="s">
        <v>2586</v>
      </c>
      <c r="D463" s="850"/>
      <c r="E463" s="850"/>
      <c r="F463" s="850"/>
      <c r="G463" s="850"/>
      <c r="H463" s="850"/>
      <c r="I463" s="850"/>
      <c r="J463" s="850"/>
      <c r="K463" s="850"/>
      <c r="L463" s="850"/>
      <c r="M463" s="850"/>
      <c r="N463" s="850"/>
      <c r="O463" s="850"/>
      <c r="P463" s="850"/>
      <c r="Q463" s="850"/>
      <c r="R463" s="850"/>
      <c r="S463" s="850"/>
      <c r="T463" s="850"/>
      <c r="U463" s="850"/>
    </row>
    <row r="464" spans="1:21" ht="25.5">
      <c r="A464" s="850" t="s">
        <v>2602</v>
      </c>
      <c r="B464" s="850" t="s">
        <v>2227</v>
      </c>
      <c r="C464" s="576" t="s">
        <v>2586</v>
      </c>
      <c r="D464" s="850"/>
      <c r="E464" s="850"/>
      <c r="F464" s="549" t="s">
        <v>2867</v>
      </c>
      <c r="G464" s="554" t="s">
        <v>2868</v>
      </c>
      <c r="H464" s="850"/>
      <c r="I464" s="850"/>
      <c r="J464" s="850"/>
      <c r="K464" s="850"/>
      <c r="L464" s="850"/>
      <c r="M464" s="850"/>
      <c r="N464" s="850"/>
      <c r="O464" s="850"/>
      <c r="P464" s="850"/>
      <c r="Q464" s="850"/>
      <c r="R464" s="850"/>
      <c r="S464" s="850"/>
      <c r="T464" s="850"/>
      <c r="U464" s="850"/>
    </row>
    <row r="465" spans="1:21">
      <c r="A465" s="850" t="s">
        <v>2602</v>
      </c>
      <c r="B465" s="850" t="s">
        <v>2227</v>
      </c>
      <c r="C465" s="576" t="s">
        <v>2586</v>
      </c>
      <c r="D465" s="850"/>
      <c r="E465" s="1" t="s">
        <v>2869</v>
      </c>
      <c r="F465" s="952"/>
      <c r="G465" s="938"/>
      <c r="H465" s="857">
        <f>SUM(G466:G474)</f>
        <v>4625101713</v>
      </c>
      <c r="I465" s="850"/>
      <c r="J465" s="850"/>
      <c r="K465" s="850"/>
      <c r="L465" s="850"/>
      <c r="M465" s="850"/>
      <c r="N465" s="850"/>
      <c r="O465" s="850"/>
      <c r="P465" s="850"/>
      <c r="Q465" s="850"/>
      <c r="R465" s="850"/>
      <c r="S465" s="850"/>
      <c r="T465" s="850"/>
      <c r="U465" s="850"/>
    </row>
    <row r="466" spans="1:21" ht="25.5">
      <c r="A466" s="850" t="s">
        <v>2602</v>
      </c>
      <c r="B466" s="850" t="s">
        <v>2227</v>
      </c>
      <c r="C466" s="576" t="s">
        <v>2586</v>
      </c>
      <c r="D466" s="850" t="s">
        <v>2389</v>
      </c>
      <c r="E466" s="1003" t="s">
        <v>2870</v>
      </c>
      <c r="F466" s="952">
        <f>-ROUND(SUMIFS('A0.LS'!AX:AX,'A0.LS'!C:C,D466),0)</f>
        <v>1918631822</v>
      </c>
      <c r="G466" s="938">
        <v>2298861008</v>
      </c>
      <c r="H466" s="857">
        <f t="shared" ref="H466:H475" si="25">G466/$H$465*$G$518</f>
        <v>2932747661.3032923</v>
      </c>
      <c r="I466" s="1004">
        <f>F466/$F$482</f>
        <v>2.9974546837678594E-2</v>
      </c>
      <c r="J466" s="848">
        <f t="shared" ref="J466:J474" si="26">ROUND(I466*$F$517,0)</f>
        <v>0</v>
      </c>
      <c r="K466" s="850" t="str">
        <f t="shared" ref="K466:K474" si="27">_xlfn.XLOOKUP(D466,$H$504:$H$510,$H$504:$H$510)</f>
        <v>20.1.1</v>
      </c>
      <c r="L466" s="848"/>
      <c r="M466" s="607">
        <v>4123700943</v>
      </c>
      <c r="N466" s="850"/>
      <c r="O466" s="850"/>
      <c r="P466" s="850"/>
      <c r="Q466" s="850"/>
      <c r="R466" s="850"/>
      <c r="S466" s="850"/>
      <c r="T466" s="850"/>
      <c r="U466" s="850"/>
    </row>
    <row r="467" spans="1:21" ht="25.5">
      <c r="A467" s="850" t="s">
        <v>2602</v>
      </c>
      <c r="B467" s="850" t="s">
        <v>2227</v>
      </c>
      <c r="C467" s="576" t="s">
        <v>2586</v>
      </c>
      <c r="D467" s="850" t="s">
        <v>2393</v>
      </c>
      <c r="E467" s="1003" t="s">
        <v>2871</v>
      </c>
      <c r="F467" s="952">
        <f>-ROUND(SUMIFS('A0.LS'!AX:AX,'A0.LS'!C:C,D467),0)</f>
        <v>739523798</v>
      </c>
      <c r="G467" s="938">
        <v>966641059</v>
      </c>
      <c r="H467" s="857">
        <f t="shared" si="25"/>
        <v>1233182125.9469497</v>
      </c>
      <c r="I467" s="1004">
        <f>F467/$F$482</f>
        <v>1.1553488515384878E-2</v>
      </c>
      <c r="J467" s="848">
        <f t="shared" si="26"/>
        <v>0</v>
      </c>
      <c r="K467" s="850" t="str">
        <f t="shared" si="27"/>
        <v>20.1.3</v>
      </c>
      <c r="L467" s="848"/>
      <c r="M467" s="1019">
        <v>1542894807</v>
      </c>
      <c r="N467" s="850"/>
      <c r="O467" s="850"/>
      <c r="P467" s="850"/>
      <c r="Q467" s="850"/>
      <c r="R467" s="850"/>
      <c r="S467" s="850"/>
      <c r="T467" s="850"/>
      <c r="U467" s="850"/>
    </row>
    <row r="468" spans="1:21" ht="25.35" customHeight="1">
      <c r="A468" s="850" t="s">
        <v>2602</v>
      </c>
      <c r="B468" s="850" t="s">
        <v>2227</v>
      </c>
      <c r="C468" s="576" t="s">
        <v>2586</v>
      </c>
      <c r="D468" s="850" t="s">
        <v>2411</v>
      </c>
      <c r="E468" s="1003" t="s">
        <v>2872</v>
      </c>
      <c r="F468" s="952">
        <f>-ROUND(SUMIFS('A0.LS'!AX:AX,'A0.LS'!C:C,D468),0)</f>
        <v>0</v>
      </c>
      <c r="G468" s="938">
        <v>0</v>
      </c>
      <c r="H468" s="857">
        <f t="shared" si="25"/>
        <v>0</v>
      </c>
      <c r="I468" s="1004">
        <f t="shared" ref="I468" si="28">F468/$F$482</f>
        <v>0</v>
      </c>
      <c r="J468" s="848">
        <f t="shared" si="26"/>
        <v>0</v>
      </c>
      <c r="K468" s="850" t="e">
        <f t="shared" si="27"/>
        <v>#N/A</v>
      </c>
      <c r="L468" s="848"/>
      <c r="M468" s="607">
        <v>730219674</v>
      </c>
      <c r="N468" s="850"/>
      <c r="O468" s="850"/>
      <c r="P468" s="850"/>
      <c r="Q468" s="850"/>
      <c r="R468" s="850"/>
      <c r="S468" s="850"/>
      <c r="T468" s="850"/>
      <c r="U468" s="850"/>
    </row>
    <row r="469" spans="1:21" ht="25.5">
      <c r="A469" s="850" t="s">
        <v>2602</v>
      </c>
      <c r="B469" s="850" t="s">
        <v>2227</v>
      </c>
      <c r="C469" s="576" t="s">
        <v>2586</v>
      </c>
      <c r="D469" s="850" t="s">
        <v>2385</v>
      </c>
      <c r="E469" s="1003" t="s">
        <v>2873</v>
      </c>
      <c r="F469" s="952">
        <f>-ROUND(SUMIFS('A0.LS'!AX:AX,'A0.LS'!C:C,D469),0)</f>
        <v>32348219</v>
      </c>
      <c r="G469" s="938">
        <f>-ROUND(SUMIFS('A0.LS'!BR:BR,'A0.LS'!C:C,D469),0)</f>
        <v>730219674</v>
      </c>
      <c r="H469" s="857">
        <f t="shared" si="25"/>
        <v>931570039.99310613</v>
      </c>
      <c r="I469" s="1004">
        <f t="shared" ref="I469:I474" si="29">F469/$F$482</f>
        <v>5.05372210766441E-4</v>
      </c>
      <c r="J469" s="848">
        <f t="shared" si="26"/>
        <v>0</v>
      </c>
      <c r="K469" s="850" t="str">
        <f t="shared" si="27"/>
        <v>20.1.2</v>
      </c>
      <c r="L469" s="848"/>
      <c r="M469" s="607">
        <v>363807000</v>
      </c>
      <c r="N469" s="850"/>
      <c r="O469" s="850"/>
      <c r="P469" s="850"/>
      <c r="Q469" s="850"/>
      <c r="R469" s="850"/>
      <c r="S469" s="850"/>
      <c r="T469" s="850"/>
      <c r="U469" s="850"/>
    </row>
    <row r="470" spans="1:21" ht="25.5">
      <c r="A470" s="850" t="s">
        <v>2602</v>
      </c>
      <c r="B470" s="850" t="s">
        <v>2227</v>
      </c>
      <c r="C470" s="576" t="s">
        <v>2586</v>
      </c>
      <c r="D470" s="850" t="s">
        <v>2387</v>
      </c>
      <c r="E470" s="1003" t="s">
        <v>2874</v>
      </c>
      <c r="F470" s="952">
        <f>-ROUND(SUMIFS('A0.LS'!AX:AX,'A0.LS'!C:C,D470),0)</f>
        <v>113859000</v>
      </c>
      <c r="G470" s="938">
        <v>252837000</v>
      </c>
      <c r="H470" s="857">
        <f t="shared" si="25"/>
        <v>322554133.48632532</v>
      </c>
      <c r="I470" s="1004">
        <f t="shared" si="29"/>
        <v>1.7788050261949879E-3</v>
      </c>
      <c r="J470" s="848">
        <f t="shared" si="26"/>
        <v>0</v>
      </c>
      <c r="K470" s="850" t="str">
        <f t="shared" si="27"/>
        <v>20.1.4</v>
      </c>
      <c r="L470" s="848"/>
      <c r="M470" s="608">
        <v>0</v>
      </c>
      <c r="N470" s="850"/>
      <c r="O470" s="850"/>
      <c r="P470" s="850"/>
      <c r="Q470" s="850"/>
      <c r="R470" s="850"/>
      <c r="S470" s="850"/>
      <c r="T470" s="850"/>
      <c r="U470" s="850"/>
    </row>
    <row r="471" spans="1:21" ht="25.35" customHeight="1">
      <c r="A471" s="850" t="s">
        <v>2602</v>
      </c>
      <c r="B471" s="850" t="s">
        <v>2227</v>
      </c>
      <c r="C471" s="576" t="s">
        <v>2586</v>
      </c>
      <c r="D471" s="850" t="s">
        <v>2405</v>
      </c>
      <c r="E471" s="1003" t="s">
        <v>2875</v>
      </c>
      <c r="F471" s="952">
        <f>-ROUND(SUMIFS('A0.LS'!AX:AX,'A0.LS'!C:C,D471),0)</f>
        <v>0</v>
      </c>
      <c r="G471" s="938">
        <v>0</v>
      </c>
      <c r="H471" s="857">
        <f t="shared" si="25"/>
        <v>0</v>
      </c>
      <c r="I471" s="1004">
        <f t="shared" si="29"/>
        <v>0</v>
      </c>
      <c r="J471" s="848">
        <f t="shared" si="26"/>
        <v>0</v>
      </c>
      <c r="K471" s="850" t="str">
        <f t="shared" si="27"/>
        <v>20.1.7</v>
      </c>
      <c r="L471" s="848"/>
      <c r="M471" s="608" t="s">
        <v>2876</v>
      </c>
      <c r="N471" s="850"/>
      <c r="O471" s="850"/>
      <c r="P471" s="850"/>
      <c r="Q471" s="850"/>
      <c r="R471" s="850"/>
      <c r="S471" s="850"/>
      <c r="T471" s="850"/>
      <c r="U471" s="850"/>
    </row>
    <row r="472" spans="1:21" ht="25.5">
      <c r="A472" s="850" t="s">
        <v>2602</v>
      </c>
      <c r="B472" s="850" t="s">
        <v>2227</v>
      </c>
      <c r="C472" s="576" t="s">
        <v>2586</v>
      </c>
      <c r="D472" s="850" t="s">
        <v>2395</v>
      </c>
      <c r="E472" s="1003" t="s">
        <v>2877</v>
      </c>
      <c r="F472" s="952">
        <f>-ROUND(SUMIFS('A0.LS'!AX:AX,'A0.LS'!C:C,D472),0)</f>
        <v>0</v>
      </c>
      <c r="G472" s="938">
        <f>-ROUND(SUMIFS('A0.LS'!BR:BR,'A0.LS'!C:C,D472),0)</f>
        <v>0</v>
      </c>
      <c r="H472" s="857">
        <f t="shared" si="25"/>
        <v>0</v>
      </c>
      <c r="I472" s="1004">
        <f t="shared" si="29"/>
        <v>0</v>
      </c>
      <c r="J472" s="848">
        <f t="shared" si="26"/>
        <v>0</v>
      </c>
      <c r="K472" s="850" t="str">
        <f t="shared" si="27"/>
        <v>20.1.5</v>
      </c>
      <c r="L472" s="848"/>
      <c r="M472" s="607">
        <v>941095</v>
      </c>
      <c r="N472" s="850"/>
      <c r="O472" s="850"/>
      <c r="P472" s="850"/>
      <c r="Q472" s="850"/>
      <c r="R472" s="850"/>
      <c r="S472" s="850"/>
      <c r="T472" s="850"/>
      <c r="U472" s="850"/>
    </row>
    <row r="473" spans="1:21" ht="38.25">
      <c r="A473" s="850" t="s">
        <v>2602</v>
      </c>
      <c r="B473" s="850" t="s">
        <v>2227</v>
      </c>
      <c r="C473" s="576" t="s">
        <v>2586</v>
      </c>
      <c r="D473" s="850" t="s">
        <v>2399</v>
      </c>
      <c r="E473" s="1003" t="s">
        <v>2878</v>
      </c>
      <c r="F473" s="952">
        <f>-ROUND(SUMIFS('A0.LS'!AX:AX,'A0.LS'!C:C,D473),0)</f>
        <v>0</v>
      </c>
      <c r="G473" s="938">
        <v>367150972</v>
      </c>
      <c r="H473" s="857">
        <f t="shared" si="25"/>
        <v>468388976.42402852</v>
      </c>
      <c r="I473" s="1004">
        <f t="shared" si="29"/>
        <v>0</v>
      </c>
      <c r="J473" s="848">
        <f t="shared" si="26"/>
        <v>0</v>
      </c>
      <c r="K473" s="850" t="str">
        <f t="shared" si="27"/>
        <v>20.1.6</v>
      </c>
      <c r="L473" s="848"/>
      <c r="M473" s="1066">
        <v>0</v>
      </c>
      <c r="N473" s="850"/>
      <c r="O473" s="850"/>
      <c r="P473" s="850"/>
      <c r="Q473" s="850"/>
      <c r="R473" s="850"/>
      <c r="S473" s="850"/>
      <c r="T473" s="850"/>
      <c r="U473" s="850"/>
    </row>
    <row r="474" spans="1:21">
      <c r="A474" s="850" t="s">
        <v>2602</v>
      </c>
      <c r="B474" s="850" t="s">
        <v>2227</v>
      </c>
      <c r="C474" s="576" t="s">
        <v>2586</v>
      </c>
      <c r="D474" s="850" t="s">
        <v>2380</v>
      </c>
      <c r="E474" s="1003" t="s">
        <v>246</v>
      </c>
      <c r="F474" s="952">
        <f>-'A0.LS'!L205</f>
        <v>4900000</v>
      </c>
      <c r="G474" s="938">
        <v>9392000</v>
      </c>
      <c r="H474" s="857">
        <f t="shared" si="25"/>
        <v>11981744.846298477</v>
      </c>
      <c r="I474" s="1004">
        <f t="shared" si="29"/>
        <v>7.6552091871133946E-5</v>
      </c>
      <c r="J474" s="848">
        <f t="shared" si="26"/>
        <v>0</v>
      </c>
      <c r="K474" s="850" t="e">
        <f t="shared" si="27"/>
        <v>#N/A</v>
      </c>
      <c r="L474" s="848"/>
      <c r="M474" s="1019">
        <v>42377669111</v>
      </c>
      <c r="N474" s="850"/>
      <c r="O474" s="850"/>
      <c r="P474" s="850"/>
      <c r="Q474" s="850"/>
      <c r="R474" s="850"/>
      <c r="S474" s="850"/>
      <c r="T474" s="850"/>
      <c r="U474" s="850"/>
    </row>
    <row r="475" spans="1:21" ht="25.35" customHeight="1">
      <c r="A475" s="850"/>
      <c r="B475" s="850"/>
      <c r="C475" s="576"/>
      <c r="D475" s="850"/>
      <c r="E475" s="1003" t="str">
        <f>'A4.N2FS Singles'!E494</f>
        <v>Doanh thu từ dịch vụ nghiên cứu định lượng trực tuyến</v>
      </c>
      <c r="F475" s="952">
        <f>-'A0.LS'!L186</f>
        <v>2888000001</v>
      </c>
      <c r="G475" s="938">
        <v>0</v>
      </c>
      <c r="H475" s="857">
        <f t="shared" si="25"/>
        <v>0</v>
      </c>
      <c r="I475" s="1004"/>
      <c r="J475" s="848"/>
      <c r="K475" s="850"/>
      <c r="L475" s="848"/>
      <c r="M475" s="1019"/>
      <c r="N475" s="850"/>
      <c r="O475" s="850"/>
      <c r="P475" s="850"/>
      <c r="Q475" s="850"/>
      <c r="R475" s="850"/>
      <c r="S475" s="850"/>
      <c r="T475" s="850"/>
      <c r="U475" s="850"/>
    </row>
    <row r="476" spans="1:21" s="4" customFormat="1">
      <c r="A476" s="850" t="s">
        <v>2602</v>
      </c>
      <c r="B476" s="850" t="s">
        <v>2227</v>
      </c>
      <c r="C476" s="576" t="s">
        <v>2586</v>
      </c>
      <c r="D476" s="899"/>
      <c r="E476" s="561" t="s">
        <v>2879</v>
      </c>
      <c r="F476" s="1067"/>
      <c r="G476" s="1068"/>
      <c r="H476" s="857"/>
      <c r="I476" s="1004">
        <f>F476/$F$482</f>
        <v>0</v>
      </c>
      <c r="J476" s="858"/>
      <c r="K476" s="899"/>
      <c r="L476" s="858"/>
      <c r="M476" s="1066">
        <v>0</v>
      </c>
      <c r="N476" s="899"/>
      <c r="O476" s="899"/>
      <c r="P476" s="899"/>
      <c r="Q476" s="899"/>
      <c r="R476" s="899"/>
      <c r="S476" s="899"/>
      <c r="T476" s="899"/>
      <c r="U476" s="899"/>
    </row>
    <row r="477" spans="1:21">
      <c r="A477" s="850" t="s">
        <v>2602</v>
      </c>
      <c r="B477" s="850" t="s">
        <v>2227</v>
      </c>
      <c r="C477" s="576" t="s">
        <v>2586</v>
      </c>
      <c r="D477" s="1069" t="s">
        <v>2379</v>
      </c>
      <c r="E477" s="1070" t="s">
        <v>2880</v>
      </c>
      <c r="F477" s="952">
        <f>-ROUND(SUMIFS('A0.LS'!AX:AX,'A0.LS'!C:C,D477),0)-F475</f>
        <v>40602301947</v>
      </c>
      <c r="G477" s="938">
        <v>42377669111</v>
      </c>
      <c r="H477" s="857"/>
      <c r="I477" s="1004">
        <f>F477/$F$482</f>
        <v>0.6343247242502581</v>
      </c>
      <c r="J477" s="848"/>
      <c r="K477" s="850"/>
      <c r="L477" s="848"/>
      <c r="M477" s="607">
        <v>2585344790</v>
      </c>
      <c r="N477" s="850"/>
      <c r="O477" s="850"/>
      <c r="P477" s="850"/>
      <c r="Q477" s="850"/>
      <c r="R477" s="850"/>
      <c r="S477" s="850"/>
      <c r="T477" s="850"/>
      <c r="U477" s="850"/>
    </row>
    <row r="478" spans="1:21">
      <c r="A478" s="850" t="s">
        <v>2602</v>
      </c>
      <c r="B478" s="850" t="s">
        <v>2227</v>
      </c>
      <c r="C478" s="576" t="s">
        <v>2586</v>
      </c>
      <c r="D478" s="1069" t="s">
        <v>2384</v>
      </c>
      <c r="E478" s="1070" t="s">
        <v>2881</v>
      </c>
      <c r="F478" s="1007"/>
      <c r="G478" s="938">
        <v>0</v>
      </c>
      <c r="H478" s="857"/>
      <c r="I478" s="1004">
        <f>F478/$F$482</f>
        <v>0</v>
      </c>
      <c r="J478" s="848"/>
      <c r="K478" s="850"/>
      <c r="L478" s="848"/>
      <c r="M478" s="607">
        <v>56937315</v>
      </c>
      <c r="N478" s="850"/>
      <c r="O478" s="850"/>
      <c r="P478" s="850"/>
      <c r="Q478" s="850"/>
      <c r="R478" s="850"/>
      <c r="S478" s="850"/>
      <c r="T478" s="850"/>
      <c r="U478" s="850"/>
    </row>
    <row r="479" spans="1:21">
      <c r="A479" s="850" t="s">
        <v>2602</v>
      </c>
      <c r="B479" s="850" t="s">
        <v>2227</v>
      </c>
      <c r="C479" s="576" t="s">
        <v>2586</v>
      </c>
      <c r="D479" s="899" t="s">
        <v>2412</v>
      </c>
      <c r="E479" s="1070" t="s">
        <v>1268</v>
      </c>
      <c r="F479" s="952">
        <f>-ROUND(SUMIFS('A0.LS'!AX:AX,'A0.LS'!C:C,D479),0)</f>
        <v>17027825078</v>
      </c>
      <c r="G479" s="938">
        <f>-ROUND(SUMIFS('A0.LS'!BR:BR,'A0.LS'!C:C,D479),0)</f>
        <v>2466107151</v>
      </c>
      <c r="H479" s="857"/>
      <c r="I479" s="1004"/>
      <c r="J479" s="848"/>
      <c r="K479" s="850"/>
      <c r="L479" s="848"/>
      <c r="M479" s="609">
        <v>51781514735</v>
      </c>
      <c r="N479" s="850"/>
      <c r="O479" s="850"/>
      <c r="P479" s="850"/>
      <c r="Q479" s="850"/>
      <c r="R479" s="850"/>
      <c r="S479" s="850"/>
      <c r="T479" s="850"/>
      <c r="U479" s="850"/>
    </row>
    <row r="480" spans="1:21">
      <c r="A480" s="850" t="s">
        <v>2602</v>
      </c>
      <c r="B480" s="850" t="s">
        <v>2227</v>
      </c>
      <c r="C480" s="576" t="s">
        <v>2586</v>
      </c>
      <c r="D480" s="899" t="s">
        <v>2413</v>
      </c>
      <c r="E480" s="1003" t="s">
        <v>2414</v>
      </c>
      <c r="F480" s="952">
        <f>-ROUND(SUMIFS('A0.LS'!AX:AX,'A0.LS'!C:C,D480),0)</f>
        <v>235763207</v>
      </c>
      <c r="G480" s="938">
        <f>-ROUND(SUMIFS('A0.LS'!BR:BR,'A0.LS'!C:C,D480),0)</f>
        <v>56937315</v>
      </c>
      <c r="H480" s="857"/>
      <c r="I480" s="1004"/>
      <c r="J480" s="848"/>
      <c r="K480" s="850"/>
      <c r="L480" s="848"/>
      <c r="M480" s="857"/>
      <c r="N480" s="850"/>
      <c r="O480" s="850"/>
      <c r="P480" s="850"/>
      <c r="Q480" s="850"/>
      <c r="R480" s="850"/>
      <c r="S480" s="850"/>
      <c r="T480" s="850"/>
      <c r="U480" s="850"/>
    </row>
    <row r="481" spans="1:21">
      <c r="A481" s="850"/>
      <c r="B481" s="850" t="s">
        <v>2227</v>
      </c>
      <c r="C481" s="576" t="s">
        <v>2586</v>
      </c>
      <c r="D481" s="899" t="s">
        <v>2882</v>
      </c>
      <c r="E481" s="1003" t="s">
        <v>246</v>
      </c>
      <c r="F481" s="952">
        <f>-'A0.LS'!AP205-ROUND(SUMIFS('A0.LS'!AX:AX,'A0.LS'!C:C,D478),0)</f>
        <v>445548457</v>
      </c>
      <c r="G481" s="938">
        <v>0</v>
      </c>
      <c r="H481" s="857"/>
      <c r="I481" s="1004"/>
      <c r="J481" s="848"/>
      <c r="K481" s="850"/>
      <c r="L481" s="848"/>
      <c r="M481" s="857"/>
      <c r="N481" s="850"/>
      <c r="O481" s="850"/>
      <c r="P481" s="850"/>
      <c r="Q481" s="850"/>
      <c r="R481" s="850"/>
      <c r="S481" s="850"/>
      <c r="T481" s="850"/>
      <c r="U481" s="850"/>
    </row>
    <row r="482" spans="1:21" ht="13.5" thickBot="1">
      <c r="A482" s="850" t="s">
        <v>2602</v>
      </c>
      <c r="B482" s="850" t="s">
        <v>2227</v>
      </c>
      <c r="C482" s="576" t="s">
        <v>2586</v>
      </c>
      <c r="D482" s="850"/>
      <c r="E482" s="1003"/>
      <c r="F482" s="1543">
        <f>SUM(F466:F481)</f>
        <v>64008701529</v>
      </c>
      <c r="G482" s="1543">
        <f>SUM(G466:G481)</f>
        <v>49525815290</v>
      </c>
      <c r="H482" s="850"/>
      <c r="I482" s="850"/>
      <c r="J482" s="850"/>
      <c r="K482" s="850"/>
      <c r="L482" s="857"/>
      <c r="M482" s="857"/>
      <c r="N482" s="850"/>
      <c r="O482" s="850"/>
      <c r="P482" s="850"/>
      <c r="Q482" s="850"/>
      <c r="R482" s="850"/>
      <c r="S482" s="850"/>
      <c r="T482" s="850"/>
      <c r="U482" s="850"/>
    </row>
    <row r="483" spans="1:21" ht="13.5" thickTop="1">
      <c r="A483" s="850" t="s">
        <v>2602</v>
      </c>
      <c r="B483" s="850" t="s">
        <v>2227</v>
      </c>
      <c r="C483" s="576" t="s">
        <v>2586</v>
      </c>
      <c r="D483" s="850"/>
      <c r="E483" s="1003"/>
      <c r="F483" s="850"/>
      <c r="G483" s="850"/>
      <c r="H483" s="850"/>
      <c r="I483" s="850"/>
      <c r="J483" s="850"/>
      <c r="K483" s="850"/>
      <c r="L483" s="850"/>
      <c r="M483" s="850"/>
      <c r="N483" s="850"/>
      <c r="O483" s="850"/>
      <c r="P483" s="850"/>
      <c r="Q483" s="850"/>
      <c r="R483" s="850"/>
      <c r="S483" s="850"/>
      <c r="T483" s="850"/>
      <c r="U483" s="850"/>
    </row>
    <row r="484" spans="1:21">
      <c r="A484" s="850" t="s">
        <v>2602</v>
      </c>
      <c r="B484" s="850" t="s">
        <v>2227</v>
      </c>
      <c r="C484" s="576" t="s">
        <v>2586</v>
      </c>
      <c r="D484" s="850"/>
      <c r="E484" s="194" t="s">
        <v>1970</v>
      </c>
      <c r="F484" s="857">
        <f>F482-'A2.PL'!R6</f>
        <v>0</v>
      </c>
      <c r="G484" s="857">
        <f>G482-'A2.PL'!V6</f>
        <v>-2136461806</v>
      </c>
      <c r="H484" s="850"/>
      <c r="I484" s="850"/>
      <c r="J484" s="850"/>
      <c r="K484" s="850"/>
      <c r="L484" s="850"/>
      <c r="M484" s="850"/>
      <c r="N484" s="850"/>
      <c r="O484" s="850"/>
      <c r="P484" s="850"/>
      <c r="Q484" s="850"/>
      <c r="R484" s="850"/>
      <c r="S484" s="850"/>
      <c r="T484" s="850"/>
      <c r="U484" s="850"/>
    </row>
    <row r="485" spans="1:21">
      <c r="A485" s="850" t="s">
        <v>2602</v>
      </c>
      <c r="B485" s="850" t="s">
        <v>2227</v>
      </c>
      <c r="C485" s="576" t="s">
        <v>2586</v>
      </c>
      <c r="D485" s="850"/>
      <c r="E485" s="1003"/>
      <c r="F485" s="850"/>
      <c r="G485" s="850"/>
      <c r="H485" s="850"/>
      <c r="I485" s="850"/>
      <c r="J485" s="850"/>
      <c r="K485" s="850"/>
      <c r="L485" s="850"/>
      <c r="M485" s="850"/>
      <c r="N485" s="850"/>
      <c r="O485" s="850"/>
      <c r="P485" s="850"/>
      <c r="Q485" s="850"/>
      <c r="R485" s="850"/>
      <c r="S485" s="850"/>
      <c r="T485" s="850"/>
      <c r="U485" s="850"/>
    </row>
    <row r="486" spans="1:21">
      <c r="A486" s="172"/>
      <c r="B486" s="172" t="s">
        <v>675</v>
      </c>
      <c r="C486" s="172" t="s">
        <v>681</v>
      </c>
      <c r="D486" s="172"/>
      <c r="E486" s="562" t="s">
        <v>2883</v>
      </c>
      <c r="F486" s="172"/>
      <c r="G486" s="172"/>
      <c r="H486" s="172"/>
      <c r="I486" s="172"/>
      <c r="J486" s="172"/>
      <c r="K486" s="172"/>
      <c r="L486" s="172"/>
      <c r="M486" s="172"/>
      <c r="N486" s="172"/>
      <c r="O486" s="172"/>
      <c r="P486" s="172"/>
      <c r="Q486" s="172"/>
      <c r="R486" s="172"/>
      <c r="S486" s="172"/>
      <c r="T486" s="850"/>
      <c r="U486" s="850"/>
    </row>
    <row r="487" spans="1:21">
      <c r="A487" s="850" t="s">
        <v>2602</v>
      </c>
      <c r="B487" s="850" t="s">
        <v>675</v>
      </c>
      <c r="C487" s="576" t="s">
        <v>2586</v>
      </c>
      <c r="D487" s="850"/>
      <c r="E487" s="1003"/>
      <c r="F487" s="850"/>
      <c r="G487" s="850"/>
      <c r="H487" s="850"/>
      <c r="I487" s="850"/>
      <c r="J487" s="850"/>
      <c r="K487" s="850"/>
      <c r="L487" s="850"/>
      <c r="M487" s="850"/>
      <c r="N487" s="850"/>
      <c r="O487" s="850"/>
      <c r="P487" s="850"/>
      <c r="Q487" s="850"/>
      <c r="R487" s="850"/>
      <c r="S487" s="850"/>
      <c r="T487" s="850"/>
      <c r="U487" s="850"/>
    </row>
    <row r="488" spans="1:21" ht="25.5">
      <c r="A488" s="850" t="s">
        <v>2602</v>
      </c>
      <c r="B488" s="850" t="s">
        <v>675</v>
      </c>
      <c r="C488" s="576" t="s">
        <v>2586</v>
      </c>
      <c r="D488" s="850"/>
      <c r="E488" s="1003"/>
      <c r="F488" s="549" t="s">
        <v>2867</v>
      </c>
      <c r="G488" s="554" t="s">
        <v>2868</v>
      </c>
      <c r="H488" s="850"/>
      <c r="I488" s="850"/>
      <c r="J488" s="850"/>
      <c r="K488" s="850"/>
      <c r="L488" s="850"/>
      <c r="M488" s="1071"/>
      <c r="N488" s="850"/>
      <c r="O488" s="850"/>
      <c r="P488" s="850"/>
      <c r="Q488" s="850"/>
      <c r="R488" s="850"/>
      <c r="S488" s="850"/>
      <c r="T488" s="850"/>
      <c r="U488" s="850"/>
    </row>
    <row r="489" spans="1:21">
      <c r="A489" s="850" t="s">
        <v>2602</v>
      </c>
      <c r="B489" s="850" t="s">
        <v>675</v>
      </c>
      <c r="C489" s="576" t="s">
        <v>2586</v>
      </c>
      <c r="D489" s="850" t="s">
        <v>2462</v>
      </c>
      <c r="E489" s="1003" t="s">
        <v>2884</v>
      </c>
      <c r="F489" s="952">
        <f>-ROUND(SUMIFS('A0.LS'!AX:AX,'A0.LS'!C:C,D489),0)-F490</f>
        <v>72660591632</v>
      </c>
      <c r="G489" s="938">
        <v>80634098123</v>
      </c>
      <c r="H489" s="850"/>
      <c r="I489" s="850"/>
      <c r="J489" s="850"/>
      <c r="K489" s="850"/>
      <c r="L489" s="848"/>
      <c r="M489" s="1071"/>
      <c r="N489" s="850"/>
      <c r="O489" s="850"/>
      <c r="P489" s="850"/>
      <c r="Q489" s="850"/>
      <c r="R489" s="850"/>
      <c r="S489" s="850"/>
      <c r="T489" s="850"/>
      <c r="U489" s="850"/>
    </row>
    <row r="490" spans="1:21">
      <c r="A490" s="850" t="s">
        <v>2602</v>
      </c>
      <c r="B490" s="850" t="s">
        <v>675</v>
      </c>
      <c r="C490" s="576" t="s">
        <v>2586</v>
      </c>
      <c r="D490" s="850" t="s">
        <v>2480</v>
      </c>
      <c r="E490" s="1003" t="s">
        <v>2885</v>
      </c>
      <c r="F490" s="952">
        <f>'A4.N2FS Singles'!F502</f>
        <v>52156748</v>
      </c>
      <c r="G490" s="938">
        <f>-ROUND(SUMIFS('A0.LS'!BR:BR,'A0.LS'!C:C,D490),0)</f>
        <v>105895134</v>
      </c>
      <c r="H490" s="850"/>
      <c r="I490" s="850" t="s">
        <v>2886</v>
      </c>
      <c r="J490" s="850"/>
      <c r="K490" s="850"/>
      <c r="L490" s="848"/>
      <c r="M490" s="1071"/>
      <c r="N490" s="850"/>
      <c r="O490" s="850"/>
      <c r="P490" s="850"/>
      <c r="Q490" s="850"/>
      <c r="R490" s="850"/>
      <c r="S490" s="850"/>
      <c r="T490" s="850"/>
      <c r="U490" s="850"/>
    </row>
    <row r="491" spans="1:21">
      <c r="A491" s="850" t="s">
        <v>2602</v>
      </c>
      <c r="B491" s="850" t="s">
        <v>675</v>
      </c>
      <c r="C491" s="576" t="s">
        <v>2586</v>
      </c>
      <c r="D491" s="850" t="s">
        <v>2470</v>
      </c>
      <c r="E491" s="1003" t="s">
        <v>2887</v>
      </c>
      <c r="F491" s="952">
        <f>-ROUND(SUMIFS('A0.LS'!AX:AX,'A0.LS'!C:C,D491),0)</f>
        <v>127313253878</v>
      </c>
      <c r="G491" s="938">
        <v>50151291745</v>
      </c>
      <c r="H491" s="850"/>
      <c r="I491" s="850"/>
      <c r="J491" s="850"/>
      <c r="K491" s="850"/>
      <c r="L491" s="848"/>
      <c r="M491" s="1071"/>
      <c r="N491" s="850"/>
      <c r="O491" s="850"/>
      <c r="P491" s="850"/>
      <c r="Q491" s="850"/>
      <c r="R491" s="850"/>
      <c r="S491" s="850"/>
      <c r="T491" s="850"/>
      <c r="U491" s="850"/>
    </row>
    <row r="492" spans="1:21">
      <c r="A492" s="850" t="s">
        <v>2602</v>
      </c>
      <c r="B492" s="850" t="s">
        <v>675</v>
      </c>
      <c r="C492" s="576" t="s">
        <v>2586</v>
      </c>
      <c r="D492" s="850" t="s">
        <v>2888</v>
      </c>
      <c r="E492" s="1003" t="s">
        <v>2889</v>
      </c>
      <c r="F492" s="952">
        <f>-ROUND(SUMIFS('A0.LS'!AX:AX,'A0.LS'!C:C,D492),0)</f>
        <v>0</v>
      </c>
      <c r="G492" s="938">
        <f>-ROUND(SUMIFS('A0.LS'!BR:BR,'A0.LS'!C:C,D492),0)</f>
        <v>0</v>
      </c>
      <c r="H492" s="850"/>
      <c r="I492" s="850"/>
      <c r="J492" s="850"/>
      <c r="K492" s="850"/>
      <c r="L492" s="848"/>
      <c r="M492" s="1071"/>
      <c r="N492" s="850"/>
      <c r="O492" s="850"/>
      <c r="P492" s="850"/>
      <c r="Q492" s="850"/>
      <c r="R492" s="850"/>
      <c r="S492" s="850"/>
      <c r="T492" s="850"/>
      <c r="U492" s="850"/>
    </row>
    <row r="493" spans="1:21">
      <c r="A493" s="850" t="s">
        <v>2602</v>
      </c>
      <c r="B493" s="850" t="s">
        <v>675</v>
      </c>
      <c r="C493" s="576" t="s">
        <v>2586</v>
      </c>
      <c r="D493" s="850" t="s">
        <v>2479</v>
      </c>
      <c r="E493" s="850" t="s">
        <v>262</v>
      </c>
      <c r="F493" s="952">
        <f>-ROUND(SUMIFS('A0.LS'!AX:AX,'A0.LS'!C:C,D493),0)</f>
        <v>13499626322</v>
      </c>
      <c r="G493" s="938">
        <f>-ROUND(SUMIFS('A0.LS'!BR:BR,'A0.LS'!C:C,D493),0)</f>
        <v>1697590366</v>
      </c>
      <c r="H493" s="850"/>
      <c r="I493" s="850"/>
      <c r="J493" s="850"/>
      <c r="K493" s="850"/>
      <c r="L493" s="848"/>
      <c r="M493" s="1071"/>
      <c r="N493" s="850"/>
      <c r="O493" s="850"/>
      <c r="P493" s="850"/>
      <c r="Q493" s="850"/>
      <c r="R493" s="850"/>
      <c r="S493" s="850"/>
      <c r="T493" s="850"/>
      <c r="U493" s="850"/>
    </row>
    <row r="494" spans="1:21">
      <c r="A494" s="850" t="s">
        <v>2602</v>
      </c>
      <c r="B494" s="850" t="s">
        <v>675</v>
      </c>
      <c r="C494" s="576" t="s">
        <v>2586</v>
      </c>
      <c r="D494" s="850" t="s">
        <v>2475</v>
      </c>
      <c r="E494" s="850" t="s">
        <v>2890</v>
      </c>
      <c r="F494" s="952">
        <f>-ROUND(SUMIFS('A0.LS'!AX:AX,'A0.LS'!C:C,D494),0)</f>
        <v>0</v>
      </c>
      <c r="G494" s="938">
        <f>-ROUND(SUMIFS('A0.LS'!BR:BR,'A0.LS'!C:C,D494),0)</f>
        <v>0</v>
      </c>
      <c r="H494" s="850"/>
      <c r="I494" s="850"/>
      <c r="J494" s="850"/>
      <c r="K494" s="850"/>
      <c r="L494" s="848"/>
      <c r="M494" s="1071"/>
      <c r="N494" s="850"/>
      <c r="O494" s="850"/>
      <c r="P494" s="850"/>
      <c r="Q494" s="850"/>
      <c r="R494" s="850"/>
      <c r="S494" s="850"/>
      <c r="T494" s="850"/>
      <c r="U494" s="850"/>
    </row>
    <row r="495" spans="1:21">
      <c r="A495" s="850" t="s">
        <v>2602</v>
      </c>
      <c r="B495" s="850" t="s">
        <v>675</v>
      </c>
      <c r="C495" s="576" t="s">
        <v>2586</v>
      </c>
      <c r="D495" s="850" t="s">
        <v>2474</v>
      </c>
      <c r="E495" s="850" t="s">
        <v>2891</v>
      </c>
      <c r="F495" s="952">
        <f>-ROUND(SUMIFS('A0.LS'!AX:AX,'A0.LS'!C:C,D495),0)</f>
        <v>6645171</v>
      </c>
      <c r="G495" s="938">
        <f>-ROUND(SUMIFS('A0.LS'!BR:BR,'A0.LS'!C:C,D495),0)</f>
        <v>34692835</v>
      </c>
      <c r="H495" s="850"/>
      <c r="I495" s="850" t="s">
        <v>2892</v>
      </c>
      <c r="J495" s="850"/>
      <c r="K495" s="850"/>
      <c r="L495" s="848"/>
      <c r="M495" s="1071"/>
      <c r="N495" s="850"/>
      <c r="O495" s="850"/>
      <c r="P495" s="850"/>
      <c r="Q495" s="850"/>
      <c r="R495" s="850"/>
      <c r="S495" s="850"/>
      <c r="T495" s="850"/>
      <c r="U495" s="850"/>
    </row>
    <row r="496" spans="1:21" ht="13.5" thickBot="1">
      <c r="A496" s="850" t="s">
        <v>2602</v>
      </c>
      <c r="B496" s="850" t="s">
        <v>675</v>
      </c>
      <c r="C496" s="576" t="s">
        <v>2586</v>
      </c>
      <c r="D496" s="850"/>
      <c r="E496" s="850"/>
      <c r="F496" s="1545">
        <f>SUM(F489:F495)</f>
        <v>213532273751</v>
      </c>
      <c r="G496" s="1546">
        <f>SUM(G489:G495)</f>
        <v>132623568203</v>
      </c>
      <c r="H496" s="850"/>
      <c r="I496" s="850"/>
      <c r="J496" s="850"/>
      <c r="K496" s="850"/>
      <c r="L496" s="234"/>
      <c r="M496" s="754"/>
      <c r="N496" s="850"/>
      <c r="O496" s="850"/>
      <c r="P496" s="850"/>
      <c r="Q496" s="850"/>
      <c r="R496" s="850"/>
      <c r="S496" s="850"/>
      <c r="T496" s="850"/>
      <c r="U496" s="850"/>
    </row>
    <row r="497" spans="1:19" ht="13.5" thickTop="1">
      <c r="A497" s="850" t="s">
        <v>2602</v>
      </c>
      <c r="B497" s="850" t="s">
        <v>675</v>
      </c>
      <c r="C497" s="576" t="s">
        <v>2586</v>
      </c>
      <c r="D497" s="850"/>
      <c r="E497" s="850"/>
      <c r="F497" s="850"/>
      <c r="G497" s="850"/>
      <c r="H497" s="850"/>
      <c r="I497" s="850"/>
      <c r="J497" s="850"/>
      <c r="K497" s="850"/>
      <c r="L497" s="850"/>
      <c r="M497" s="850"/>
      <c r="N497" s="850"/>
      <c r="O497" s="850"/>
      <c r="P497" s="850"/>
      <c r="Q497" s="850"/>
      <c r="R497" s="850"/>
      <c r="S497" s="850"/>
    </row>
    <row r="498" spans="1:19">
      <c r="A498" s="850" t="s">
        <v>2602</v>
      </c>
      <c r="B498" s="850" t="s">
        <v>675</v>
      </c>
      <c r="C498" s="576" t="s">
        <v>2586</v>
      </c>
      <c r="D498" s="850"/>
      <c r="E498" s="1" t="s">
        <v>1970</v>
      </c>
      <c r="F498" s="857">
        <f>F496-'A2.PL'!R12</f>
        <v>0</v>
      </c>
      <c r="G498" s="857">
        <f>G496-'A2.PL'!V12</f>
        <v>-79449742232</v>
      </c>
      <c r="H498" s="850"/>
      <c r="I498" s="850"/>
      <c r="J498" s="850"/>
      <c r="K498" s="850"/>
      <c r="L498" s="850"/>
      <c r="M498" s="850"/>
      <c r="N498" s="850"/>
      <c r="O498" s="850"/>
      <c r="P498" s="850"/>
      <c r="Q498" s="850"/>
      <c r="R498" s="850"/>
      <c r="S498" s="850"/>
    </row>
    <row r="499" spans="1:19">
      <c r="A499" s="850" t="s">
        <v>2602</v>
      </c>
      <c r="B499" s="850" t="s">
        <v>675</v>
      </c>
      <c r="C499" s="576" t="s">
        <v>2586</v>
      </c>
      <c r="D499" s="850"/>
      <c r="E499" s="850"/>
      <c r="F499" s="850"/>
      <c r="G499" s="850"/>
      <c r="H499" s="850"/>
      <c r="I499" s="850"/>
      <c r="J499" s="850"/>
      <c r="K499" s="850"/>
      <c r="L499" s="850"/>
      <c r="M499" s="850"/>
      <c r="N499" s="850"/>
      <c r="O499" s="850"/>
      <c r="P499" s="850"/>
      <c r="Q499" s="850"/>
      <c r="R499" s="850"/>
      <c r="S499" s="850"/>
    </row>
    <row r="500" spans="1:19">
      <c r="A500" s="172"/>
      <c r="B500" s="172" t="s">
        <v>2227</v>
      </c>
      <c r="C500" s="172" t="s">
        <v>681</v>
      </c>
      <c r="D500" s="172"/>
      <c r="E500" s="562" t="s">
        <v>2893</v>
      </c>
      <c r="F500" s="172" t="s">
        <v>2894</v>
      </c>
      <c r="G500" s="172"/>
      <c r="H500" s="172"/>
      <c r="I500" s="172"/>
      <c r="J500" s="172"/>
      <c r="K500" s="172"/>
      <c r="L500" s="172"/>
      <c r="M500" s="172"/>
      <c r="N500" s="172"/>
      <c r="O500" s="172"/>
      <c r="P500" s="172"/>
      <c r="Q500" s="172"/>
      <c r="R500" s="172"/>
      <c r="S500" s="172"/>
    </row>
    <row r="501" spans="1:19">
      <c r="A501" s="850" t="s">
        <v>2602</v>
      </c>
      <c r="B501" s="850" t="s">
        <v>2227</v>
      </c>
      <c r="C501" s="576" t="s">
        <v>2586</v>
      </c>
      <c r="D501" s="850"/>
      <c r="E501" s="850"/>
      <c r="F501" s="850"/>
      <c r="G501" s="850"/>
      <c r="H501" s="850"/>
      <c r="I501" s="850"/>
      <c r="J501" s="850"/>
      <c r="K501" s="850"/>
      <c r="L501" s="850"/>
      <c r="M501" s="850"/>
      <c r="N501" s="850"/>
      <c r="O501" s="850"/>
      <c r="P501" s="850"/>
      <c r="Q501" s="850"/>
      <c r="R501" s="850"/>
      <c r="S501" s="850"/>
    </row>
    <row r="502" spans="1:19" ht="25.5">
      <c r="A502" s="850" t="s">
        <v>2602</v>
      </c>
      <c r="B502" s="850" t="s">
        <v>2227</v>
      </c>
      <c r="C502" s="576" t="s">
        <v>2586</v>
      </c>
      <c r="D502" s="850"/>
      <c r="E502" s="850" t="s">
        <v>1200</v>
      </c>
      <c r="F502" s="549" t="s">
        <v>2867</v>
      </c>
      <c r="G502" s="554" t="s">
        <v>2868</v>
      </c>
      <c r="H502" s="275"/>
      <c r="I502" s="850"/>
      <c r="J502" s="850"/>
      <c r="K502" s="850"/>
      <c r="L502" s="850"/>
      <c r="M502" s="850"/>
      <c r="N502" s="850"/>
      <c r="O502" s="850"/>
      <c r="P502" s="850"/>
      <c r="Q502" s="850"/>
      <c r="R502" s="850"/>
      <c r="S502" s="850"/>
    </row>
    <row r="503" spans="1:19">
      <c r="A503" s="850"/>
      <c r="B503" s="850" t="s">
        <v>2227</v>
      </c>
      <c r="C503" s="576" t="s">
        <v>2586</v>
      </c>
      <c r="D503" s="850"/>
      <c r="E503" s="1" t="s">
        <v>2895</v>
      </c>
      <c r="F503" s="909"/>
      <c r="G503" s="938"/>
      <c r="H503" s="850"/>
      <c r="I503" s="850"/>
      <c r="J503" s="1010"/>
      <c r="K503" s="850"/>
      <c r="L503" s="850"/>
      <c r="M503" s="850"/>
      <c r="N503" s="850"/>
      <c r="O503" s="850"/>
      <c r="P503" s="850"/>
      <c r="Q503" s="850"/>
      <c r="R503" s="850"/>
      <c r="S503" s="850"/>
    </row>
    <row r="504" spans="1:19" ht="25.5">
      <c r="A504" s="850" t="s">
        <v>2602</v>
      </c>
      <c r="B504" s="850" t="s">
        <v>2227</v>
      </c>
      <c r="C504" s="576" t="s">
        <v>2586</v>
      </c>
      <c r="D504" s="850" t="s">
        <v>2446</v>
      </c>
      <c r="E504" s="1003" t="s">
        <v>2896</v>
      </c>
      <c r="F504" s="951">
        <f>H523</f>
        <v>745518091</v>
      </c>
      <c r="G504" s="938">
        <v>118078494.15449189</v>
      </c>
      <c r="H504" s="857" t="s">
        <v>2389</v>
      </c>
      <c r="I504" s="1019">
        <v>8545553260</v>
      </c>
      <c r="J504" s="1010"/>
      <c r="K504" s="850"/>
      <c r="L504" s="850"/>
      <c r="M504" s="850"/>
      <c r="N504" s="850"/>
      <c r="O504" s="850"/>
      <c r="P504" s="850"/>
      <c r="Q504" s="850"/>
      <c r="R504" s="850"/>
      <c r="S504" s="850"/>
    </row>
    <row r="505" spans="1:19" ht="25.5">
      <c r="A505" s="850" t="s">
        <v>2602</v>
      </c>
      <c r="B505" s="850" t="s">
        <v>2227</v>
      </c>
      <c r="C505" s="576" t="s">
        <v>2586</v>
      </c>
      <c r="D505" s="850" t="s">
        <v>2438</v>
      </c>
      <c r="E505" s="1003" t="s">
        <v>2897</v>
      </c>
      <c r="F505" s="951">
        <f>H524</f>
        <v>5981271081</v>
      </c>
      <c r="G505" s="938">
        <v>5712167630.543458</v>
      </c>
      <c r="H505" s="857" t="s">
        <v>2393</v>
      </c>
      <c r="I505" s="1019">
        <v>3220122433</v>
      </c>
      <c r="J505" s="1010"/>
      <c r="K505" s="850"/>
      <c r="L505" s="850"/>
      <c r="M505" s="850"/>
      <c r="N505" s="850"/>
      <c r="O505" s="850"/>
      <c r="P505" s="850"/>
      <c r="Q505" s="850"/>
      <c r="R505" s="850"/>
      <c r="S505" s="850"/>
    </row>
    <row r="506" spans="1:19" ht="25.5">
      <c r="A506" s="850" t="s">
        <v>2602</v>
      </c>
      <c r="B506" s="850" t="s">
        <v>2227</v>
      </c>
      <c r="C506" s="576" t="s">
        <v>2586</v>
      </c>
      <c r="D506" s="850" t="s">
        <v>2421</v>
      </c>
      <c r="E506" s="1003" t="s">
        <v>2898</v>
      </c>
      <c r="F506" s="951">
        <f>H526</f>
        <v>1374221599</v>
      </c>
      <c r="G506" s="938">
        <v>1446926411.8760161</v>
      </c>
      <c r="H506" s="857" t="s">
        <v>2385</v>
      </c>
      <c r="I506" s="1019">
        <v>2458395000</v>
      </c>
      <c r="J506" s="1010"/>
      <c r="K506" s="850"/>
      <c r="L506" s="850"/>
      <c r="M506" s="850"/>
      <c r="N506" s="850"/>
      <c r="O506" s="850"/>
      <c r="P506" s="850"/>
      <c r="Q506" s="850"/>
      <c r="R506" s="850"/>
      <c r="S506" s="850"/>
    </row>
    <row r="507" spans="1:19" ht="25.5">
      <c r="A507" s="850" t="s">
        <v>2602</v>
      </c>
      <c r="B507" s="850" t="s">
        <v>2227</v>
      </c>
      <c r="C507" s="576" t="s">
        <v>2586</v>
      </c>
      <c r="D507" s="850" t="s">
        <v>2444</v>
      </c>
      <c r="E507" s="1003" t="s">
        <v>2899</v>
      </c>
      <c r="F507" s="951">
        <f>H527</f>
        <v>128964705</v>
      </c>
      <c r="G507" s="938">
        <v>66247859.903310567</v>
      </c>
      <c r="H507" s="857" t="s">
        <v>2387</v>
      </c>
      <c r="I507" s="607">
        <v>55001243</v>
      </c>
      <c r="J507" s="1010"/>
      <c r="K507" s="850"/>
      <c r="L507" s="850"/>
      <c r="M507" s="850"/>
      <c r="N507" s="850"/>
      <c r="O507" s="850"/>
      <c r="P507" s="850"/>
      <c r="Q507" s="850"/>
      <c r="R507" s="850"/>
      <c r="S507" s="850"/>
    </row>
    <row r="508" spans="1:19" ht="25.35" customHeight="1">
      <c r="A508" s="850" t="s">
        <v>2602</v>
      </c>
      <c r="B508" s="850" t="s">
        <v>2227</v>
      </c>
      <c r="C508" s="576" t="s">
        <v>2586</v>
      </c>
      <c r="D508" s="850" t="s">
        <v>2900</v>
      </c>
      <c r="E508" s="1003" t="s">
        <v>2901</v>
      </c>
      <c r="F508" s="951">
        <v>0</v>
      </c>
      <c r="G508" s="938">
        <v>779531.87315105333</v>
      </c>
      <c r="H508" s="857" t="s">
        <v>2405</v>
      </c>
      <c r="I508" s="608" t="s">
        <v>2876</v>
      </c>
      <c r="J508" s="1010"/>
      <c r="K508" s="850"/>
      <c r="L508" s="850"/>
      <c r="M508" s="850"/>
      <c r="N508" s="850"/>
      <c r="O508" s="850"/>
      <c r="P508" s="850"/>
      <c r="Q508" s="850"/>
      <c r="R508" s="850"/>
      <c r="S508" s="850"/>
    </row>
    <row r="509" spans="1:19" ht="25.5">
      <c r="A509" s="850" t="s">
        <v>2602</v>
      </c>
      <c r="B509" s="850" t="s">
        <v>2227</v>
      </c>
      <c r="C509" s="576" t="s">
        <v>2586</v>
      </c>
      <c r="D509" s="850" t="s">
        <v>2441</v>
      </c>
      <c r="E509" s="1003" t="s">
        <v>2902</v>
      </c>
      <c r="F509" s="951">
        <f>H529</f>
        <v>34909089</v>
      </c>
      <c r="G509" s="938">
        <v>26181816</v>
      </c>
      <c r="H509" s="857" t="s">
        <v>2395</v>
      </c>
      <c r="I509" s="1066"/>
      <c r="J509" s="1010"/>
      <c r="K509" s="850"/>
      <c r="L509" s="850"/>
      <c r="M509" s="850"/>
      <c r="N509" s="850"/>
      <c r="O509" s="850"/>
      <c r="P509" s="850"/>
      <c r="Q509" s="850"/>
      <c r="R509" s="850"/>
      <c r="S509" s="850"/>
    </row>
    <row r="510" spans="1:19" ht="24.6" customHeight="1">
      <c r="A510" s="850" t="s">
        <v>2602</v>
      </c>
      <c r="B510" s="850" t="s">
        <v>2227</v>
      </c>
      <c r="C510" s="576" t="s">
        <v>2586</v>
      </c>
      <c r="D510" s="850" t="s">
        <v>2425</v>
      </c>
      <c r="E510" s="1003" t="s">
        <v>2903</v>
      </c>
      <c r="F510" s="951">
        <v>0</v>
      </c>
      <c r="G510" s="938">
        <v>30473369.349700801</v>
      </c>
      <c r="H510" s="857" t="s">
        <v>2399</v>
      </c>
      <c r="I510" s="1066"/>
      <c r="J510" s="1010"/>
      <c r="K510" s="850"/>
      <c r="L510" s="850"/>
      <c r="M510" s="850"/>
      <c r="N510" s="850"/>
      <c r="O510" s="850"/>
      <c r="P510" s="850"/>
      <c r="Q510" s="850"/>
      <c r="R510" s="850"/>
      <c r="S510" s="850"/>
    </row>
    <row r="511" spans="1:19" ht="25.5">
      <c r="A511" s="850" t="s">
        <v>2602</v>
      </c>
      <c r="B511" s="850" t="s">
        <v>2227</v>
      </c>
      <c r="C511" s="576" t="s">
        <v>2586</v>
      </c>
      <c r="D511" s="850"/>
      <c r="E511" s="1003" t="str">
        <f>'A4.N2FS Singles'!E522</f>
        <v>Giá vốn dịch vụ nghiên cứu định lượng trực tuyến</v>
      </c>
      <c r="F511" s="951">
        <f>H530</f>
        <v>1967313899</v>
      </c>
      <c r="G511" s="938">
        <v>0</v>
      </c>
      <c r="H511" s="857" t="s">
        <v>2380</v>
      </c>
      <c r="I511" s="607">
        <v>41385514070</v>
      </c>
      <c r="J511" s="581"/>
      <c r="K511" s="850"/>
      <c r="L511" s="850"/>
      <c r="M511" s="850"/>
      <c r="N511" s="850"/>
      <c r="O511" s="850"/>
      <c r="P511" s="850"/>
      <c r="Q511" s="850"/>
      <c r="R511" s="850"/>
      <c r="S511" s="850"/>
    </row>
    <row r="512" spans="1:19">
      <c r="A512" s="850" t="s">
        <v>2602</v>
      </c>
      <c r="B512" s="850" t="s">
        <v>2227</v>
      </c>
      <c r="C512" s="576" t="s">
        <v>2586</v>
      </c>
      <c r="D512" s="850"/>
      <c r="E512" s="194" t="s">
        <v>2904</v>
      </c>
      <c r="F512" s="952"/>
      <c r="G512" s="938"/>
      <c r="H512" s="857"/>
      <c r="I512" s="607">
        <v>9618769327</v>
      </c>
      <c r="J512" s="850"/>
      <c r="K512" s="850"/>
      <c r="L512" s="850"/>
      <c r="M512" s="850"/>
      <c r="N512" s="850"/>
      <c r="O512" s="850"/>
      <c r="P512" s="850"/>
      <c r="Q512" s="850"/>
      <c r="R512" s="850"/>
      <c r="S512" s="850"/>
    </row>
    <row r="513" spans="1:19">
      <c r="A513" s="850" t="s">
        <v>2602</v>
      </c>
      <c r="B513" s="850" t="s">
        <v>2227</v>
      </c>
      <c r="C513" s="576" t="s">
        <v>2586</v>
      </c>
      <c r="D513" s="850" t="s">
        <v>2455</v>
      </c>
      <c r="E513" s="1003" t="s">
        <v>2905</v>
      </c>
      <c r="F513" s="952">
        <f>ROUND(SUMIFS('A0.LS'!AX:AX,'A0.LS'!C:C,D513),0)</f>
        <v>39707669947</v>
      </c>
      <c r="G513" s="938">
        <v>27549782125.62722</v>
      </c>
      <c r="H513" s="857"/>
      <c r="I513" s="607">
        <v>75166574</v>
      </c>
      <c r="J513" s="850"/>
      <c r="K513" s="850"/>
      <c r="L513" s="850"/>
      <c r="M513" s="850"/>
      <c r="N513" s="850"/>
      <c r="O513" s="850"/>
      <c r="P513" s="850"/>
      <c r="Q513" s="850"/>
      <c r="R513" s="850"/>
      <c r="S513" s="850"/>
    </row>
    <row r="514" spans="1:19">
      <c r="A514" s="850" t="s">
        <v>2602</v>
      </c>
      <c r="B514" s="850" t="s">
        <v>2227</v>
      </c>
      <c r="C514" s="576" t="s">
        <v>2586</v>
      </c>
      <c r="D514" s="850" t="s">
        <v>2457</v>
      </c>
      <c r="E514" s="578" t="s">
        <v>2458</v>
      </c>
      <c r="F514" s="952">
        <f>ROUND(SUMIFS('A0.LS'!AX:AX,'A0.LS'!C:C,D514),0)</f>
        <v>32308754871</v>
      </c>
      <c r="G514" s="938">
        <f>ROUND(SUMIFS('A0.LS'!BR:BR,'A0.LS'!C:C,D514),0)+ROUND(SUMIFS($G$466:$G$480,$D$466:$D$480,H514)/$G$482*$G$518,0)</f>
        <v>9618769327</v>
      </c>
      <c r="H514" s="857"/>
      <c r="I514" s="1010">
        <f>ROUND(SUMIFS('A0.LS'!BT:BT,'A0.LS'!E:E,F514),0)+ROUND(SUMIFS($G$466:$G$480,$D$466:$D$480,J514)/$G$482*$G$518,0)</f>
        <v>0</v>
      </c>
      <c r="J514" s="850"/>
      <c r="K514" s="857"/>
      <c r="L514" s="850"/>
      <c r="M514" s="850"/>
      <c r="N514" s="850"/>
      <c r="O514" s="850"/>
      <c r="P514" s="850"/>
      <c r="Q514" s="850"/>
      <c r="R514" s="850"/>
      <c r="S514" s="850"/>
    </row>
    <row r="515" spans="1:19">
      <c r="A515" s="850" t="s">
        <v>2602</v>
      </c>
      <c r="B515" s="850" t="s">
        <v>2227</v>
      </c>
      <c r="C515" s="576" t="s">
        <v>2586</v>
      </c>
      <c r="D515" s="859" t="s">
        <v>2459</v>
      </c>
      <c r="E515" s="1003" t="s">
        <v>2460</v>
      </c>
      <c r="F515" s="952">
        <f>SUMIFS('A0.LS'!AX:AX,'A0.LS'!C:C,D515)-2</f>
        <v>240224804</v>
      </c>
      <c r="G515" s="938">
        <f>ROUND(SUMIFS('A0.LS'!BR:BR,'A0.LS'!C:C,D515),0)+ROUND(SUMIFS($G$466:$G$480,$D$466:$D$480,H515)/$G$482*$G$518,0)</f>
        <v>75166574</v>
      </c>
      <c r="H515" s="857"/>
      <c r="I515" s="1010">
        <f>ROUND(SUMIFS('A0.LS'!BT:BT,'A0.LS'!E:E,F515),0)+ROUND(SUMIFS($G$466:$G$480,$D$466:$D$480,J515)/$G$482*$G$518,0)</f>
        <v>0</v>
      </c>
      <c r="J515" s="850"/>
      <c r="K515" s="850"/>
      <c r="L515" s="850"/>
      <c r="M515" s="850"/>
      <c r="N515" s="850"/>
      <c r="O515" s="850"/>
      <c r="P515" s="850"/>
      <c r="Q515" s="850"/>
      <c r="R515" s="850"/>
      <c r="S515" s="850"/>
    </row>
    <row r="516" spans="1:19" ht="13.5" thickBot="1">
      <c r="A516" s="850" t="s">
        <v>2602</v>
      </c>
      <c r="B516" s="850" t="s">
        <v>2227</v>
      </c>
      <c r="C516" s="576" t="s">
        <v>2586</v>
      </c>
      <c r="D516" s="850"/>
      <c r="E516" s="850"/>
      <c r="F516" s="1543">
        <f>SUM(F504:F515)</f>
        <v>82488848086</v>
      </c>
      <c r="G516" s="1543">
        <f>SUM(G504:G515)</f>
        <v>44644573140.327347</v>
      </c>
      <c r="H516" s="850"/>
      <c r="I516" s="850"/>
      <c r="J516" s="850"/>
      <c r="K516" s="857"/>
      <c r="L516" s="850"/>
      <c r="M516" s="850"/>
      <c r="N516" s="850"/>
      <c r="O516" s="850"/>
      <c r="P516" s="850"/>
      <c r="Q516" s="850"/>
      <c r="R516" s="850"/>
      <c r="S516" s="850"/>
    </row>
    <row r="517" spans="1:19" ht="13.5" thickTop="1">
      <c r="A517" s="850" t="s">
        <v>2602</v>
      </c>
      <c r="B517" s="850" t="s">
        <v>2227</v>
      </c>
      <c r="C517" s="576" t="s">
        <v>2586</v>
      </c>
      <c r="D517" s="850"/>
      <c r="E517" s="850"/>
      <c r="F517" s="850"/>
      <c r="G517" s="850"/>
      <c r="H517" s="850"/>
      <c r="I517" s="850"/>
      <c r="J517" s="850"/>
      <c r="K517" s="850"/>
      <c r="L517" s="850"/>
      <c r="M517" s="850"/>
      <c r="N517" s="850"/>
      <c r="O517" s="850"/>
      <c r="P517" s="850"/>
      <c r="Q517" s="850"/>
      <c r="R517" s="850"/>
      <c r="S517" s="850"/>
    </row>
    <row r="518" spans="1:19">
      <c r="A518" s="850" t="s">
        <v>2602</v>
      </c>
      <c r="B518" s="850" t="s">
        <v>2227</v>
      </c>
      <c r="C518" s="576" t="s">
        <v>2586</v>
      </c>
      <c r="D518" s="859" t="s">
        <v>2416</v>
      </c>
      <c r="E518" s="850" t="s">
        <v>2906</v>
      </c>
      <c r="F518" s="952">
        <f>ROUND(SUMIFS('A0.LS'!AX:AX,'A0.LS'!C:C,D518),0)</f>
        <v>6461923217</v>
      </c>
      <c r="G518" s="938">
        <f>ROUND(SUMIFS('A0.LS'!BR:BR,'A0.LS'!C:C,D518),0)</f>
        <v>5900424682</v>
      </c>
      <c r="H518" s="850"/>
      <c r="I518" s="850"/>
      <c r="J518" s="857"/>
      <c r="K518" s="850"/>
      <c r="L518" s="850"/>
      <c r="M518" s="850"/>
      <c r="N518" s="850"/>
      <c r="O518" s="850"/>
      <c r="P518" s="850"/>
      <c r="Q518" s="850"/>
      <c r="R518" s="850"/>
      <c r="S518" s="850"/>
    </row>
    <row r="519" spans="1:19">
      <c r="A519" s="850" t="s">
        <v>2602</v>
      </c>
      <c r="B519" s="850" t="s">
        <v>2227</v>
      </c>
      <c r="C519" s="576" t="s">
        <v>2586</v>
      </c>
      <c r="D519" s="850"/>
      <c r="E519" s="850"/>
      <c r="F519" s="850"/>
      <c r="G519" s="850"/>
      <c r="H519" s="850"/>
      <c r="I519" s="850"/>
      <c r="J519" s="850"/>
      <c r="K519" s="850"/>
      <c r="L519" s="850"/>
      <c r="M519" s="850"/>
      <c r="N519" s="850"/>
      <c r="O519" s="850"/>
      <c r="P519" s="850"/>
      <c r="Q519" s="850"/>
      <c r="R519" s="850"/>
      <c r="S519" s="850"/>
    </row>
    <row r="520" spans="1:19">
      <c r="A520" s="850" t="s">
        <v>2602</v>
      </c>
      <c r="B520" s="850" t="s">
        <v>2227</v>
      </c>
      <c r="C520" s="576" t="s">
        <v>2586</v>
      </c>
      <c r="D520" s="850"/>
      <c r="E520" s="1" t="s">
        <v>1970</v>
      </c>
      <c r="F520" s="848">
        <f>F516+'A2.PL'!R9</f>
        <v>0</v>
      </c>
      <c r="G520" s="857">
        <f>G516+'A2.PL'!V9</f>
        <v>-20945974470.672653</v>
      </c>
      <c r="H520" s="850"/>
      <c r="I520" s="850"/>
      <c r="J520" s="850"/>
      <c r="K520" s="850"/>
      <c r="L520" s="850"/>
      <c r="M520" s="850"/>
      <c r="N520" s="850"/>
      <c r="O520" s="850"/>
      <c r="P520" s="850"/>
      <c r="Q520" s="850"/>
      <c r="R520" s="850"/>
      <c r="S520" s="850"/>
    </row>
    <row r="521" spans="1:19">
      <c r="A521" s="850"/>
      <c r="B521" s="850"/>
      <c r="C521" s="576" t="s">
        <v>2586</v>
      </c>
      <c r="D521" s="850"/>
      <c r="E521" s="1"/>
      <c r="F521" s="848"/>
      <c r="G521" s="857"/>
      <c r="H521" s="850"/>
      <c r="I521" s="850"/>
      <c r="J521" s="850"/>
      <c r="K521" s="850"/>
      <c r="L521" s="850"/>
      <c r="M521" s="850"/>
      <c r="N521" s="850"/>
      <c r="O521" s="850"/>
      <c r="P521" s="850"/>
      <c r="Q521" s="850"/>
      <c r="R521" s="850"/>
      <c r="S521" s="850"/>
    </row>
    <row r="522" spans="1:19">
      <c r="A522" s="850" t="s">
        <v>2602</v>
      </c>
      <c r="B522" s="850" t="s">
        <v>2227</v>
      </c>
      <c r="C522" s="576" t="s">
        <v>2586</v>
      </c>
      <c r="D522" s="850"/>
      <c r="E522" s="850"/>
      <c r="F522" s="579" t="s">
        <v>678</v>
      </c>
      <c r="G522" s="922" t="s">
        <v>2907</v>
      </c>
      <c r="H522" s="850"/>
      <c r="I522" s="850"/>
      <c r="J522" s="850"/>
      <c r="K522" s="850"/>
      <c r="L522" s="850"/>
      <c r="M522" s="850"/>
      <c r="N522" s="850"/>
      <c r="O522" s="850"/>
      <c r="P522" s="850"/>
      <c r="Q522" s="850"/>
      <c r="R522" s="850"/>
      <c r="S522" s="850"/>
    </row>
    <row r="523" spans="1:19" ht="25.5">
      <c r="A523" s="850" t="s">
        <v>2602</v>
      </c>
      <c r="B523" s="850" t="s">
        <v>2227</v>
      </c>
      <c r="C523" s="576" t="s">
        <v>2586</v>
      </c>
      <c r="D523" s="850" t="s">
        <v>2446</v>
      </c>
      <c r="E523" s="1003" t="s">
        <v>2896</v>
      </c>
      <c r="F523" s="580">
        <f>_xlfn.XLOOKUP(D523,'A4.N2FS Singles'!$D$515:$D$522,'A4.N2FS Singles'!$F$515:$F$522)</f>
        <v>1307031938</v>
      </c>
      <c r="G523" s="848">
        <f>'A0.LS'!AW212</f>
        <v>-561513847</v>
      </c>
      <c r="H523" s="848">
        <f t="shared" ref="H523:H529" si="30">SUM(F523:G523)</f>
        <v>745518091</v>
      </c>
      <c r="I523" s="850"/>
      <c r="J523" s="580"/>
      <c r="K523" s="850"/>
      <c r="L523" s="850"/>
      <c r="M523" s="850"/>
      <c r="N523" s="850"/>
      <c r="O523" s="850"/>
      <c r="P523" s="850"/>
      <c r="Q523" s="850"/>
      <c r="R523" s="850"/>
      <c r="S523" s="850"/>
    </row>
    <row r="524" spans="1:19" ht="25.5">
      <c r="A524" s="850" t="s">
        <v>2602</v>
      </c>
      <c r="B524" s="850" t="s">
        <v>2227</v>
      </c>
      <c r="C524" s="576" t="s">
        <v>2586</v>
      </c>
      <c r="D524" s="850" t="s">
        <v>2438</v>
      </c>
      <c r="E524" s="1003" t="s">
        <v>2897</v>
      </c>
      <c r="F524" s="580">
        <f>_xlfn.XLOOKUP(D524,'A4.N2FS Singles'!$D$515:$D$522,'A4.N2FS Singles'!$F$515:$F$522)</f>
        <v>5981271081</v>
      </c>
      <c r="G524" s="848">
        <v>0</v>
      </c>
      <c r="H524" s="848">
        <f t="shared" si="30"/>
        <v>5981271081</v>
      </c>
      <c r="I524" s="850"/>
      <c r="J524" s="850"/>
      <c r="K524" s="850"/>
      <c r="L524" s="850"/>
      <c r="M524" s="850"/>
      <c r="N524" s="850"/>
      <c r="O524" s="850"/>
      <c r="P524" s="850"/>
      <c r="Q524" s="850"/>
      <c r="R524" s="850"/>
      <c r="S524" s="850"/>
    </row>
    <row r="525" spans="1:19" ht="25.5">
      <c r="A525" s="850" t="s">
        <v>2602</v>
      </c>
      <c r="B525" s="850" t="s">
        <v>2227</v>
      </c>
      <c r="C525" s="576" t="s">
        <v>2586</v>
      </c>
      <c r="D525" s="850" t="s">
        <v>2457</v>
      </c>
      <c r="E525" s="1003" t="s">
        <v>2908</v>
      </c>
      <c r="F525" s="580">
        <f>_xlfn.XLOOKUP(D525,'A4.N2FS Singles'!$D$515:$D$522,'A4.N2FS Singles'!$F$515:$F$522)</f>
        <v>2578746000</v>
      </c>
      <c r="G525" s="848">
        <v>0</v>
      </c>
      <c r="H525" s="848">
        <f t="shared" si="30"/>
        <v>2578746000</v>
      </c>
      <c r="I525" s="850"/>
      <c r="J525" s="850"/>
      <c r="K525" s="850"/>
      <c r="L525" s="850"/>
      <c r="M525" s="850"/>
      <c r="N525" s="850"/>
      <c r="O525" s="850"/>
      <c r="P525" s="850"/>
      <c r="Q525" s="850"/>
      <c r="R525" s="850"/>
      <c r="S525" s="850"/>
    </row>
    <row r="526" spans="1:19" ht="25.5">
      <c r="A526" s="850" t="s">
        <v>2602</v>
      </c>
      <c r="B526" s="850" t="s">
        <v>2227</v>
      </c>
      <c r="C526" s="576" t="s">
        <v>2586</v>
      </c>
      <c r="D526" s="850" t="s">
        <v>2421</v>
      </c>
      <c r="E526" s="1003" t="s">
        <v>2898</v>
      </c>
      <c r="F526" s="580">
        <f>_xlfn.XLOOKUP(D526,'A4.N2FS Singles'!$D$515:$D$522,'A4.N2FS Singles'!$F$515:$F$522)</f>
        <v>1374221599</v>
      </c>
      <c r="G526" s="848">
        <f>'A0.LS'!AW214</f>
        <v>0</v>
      </c>
      <c r="H526" s="848">
        <f t="shared" si="30"/>
        <v>1374221599</v>
      </c>
      <c r="I526" s="857"/>
      <c r="J526" s="850"/>
      <c r="K526" s="850"/>
      <c r="L526" s="850"/>
      <c r="M526" s="850"/>
      <c r="N526" s="850"/>
      <c r="O526" s="850"/>
      <c r="P526" s="850"/>
      <c r="Q526" s="850"/>
      <c r="R526" s="850"/>
      <c r="S526" s="850"/>
    </row>
    <row r="527" spans="1:19" ht="25.5">
      <c r="A527" s="850" t="s">
        <v>2602</v>
      </c>
      <c r="B527" s="850" t="s">
        <v>2227</v>
      </c>
      <c r="C527" s="576" t="s">
        <v>2586</v>
      </c>
      <c r="D527" s="850" t="s">
        <v>2444</v>
      </c>
      <c r="E527" s="1003" t="s">
        <v>2899</v>
      </c>
      <c r="F527" s="580">
        <f>_xlfn.XLOOKUP(D527,'A4.N2FS Singles'!$D$515:$D$522,'A4.N2FS Singles'!$F$515:$F$522)</f>
        <v>128964705</v>
      </c>
      <c r="G527" s="848">
        <v>0</v>
      </c>
      <c r="H527" s="848">
        <f t="shared" si="30"/>
        <v>128964705</v>
      </c>
      <c r="I527" s="850"/>
      <c r="J527" s="850"/>
      <c r="K527" s="850"/>
      <c r="L527" s="850"/>
      <c r="M527" s="850"/>
      <c r="N527" s="850"/>
      <c r="O527" s="850"/>
      <c r="P527" s="850"/>
      <c r="Q527" s="850"/>
      <c r="R527" s="850"/>
      <c r="S527" s="850"/>
    </row>
    <row r="528" spans="1:19" ht="25.5">
      <c r="A528" s="850" t="s">
        <v>2602</v>
      </c>
      <c r="B528" s="850" t="s">
        <v>2227</v>
      </c>
      <c r="C528" s="576" t="s">
        <v>2586</v>
      </c>
      <c r="D528" s="850" t="s">
        <v>2900</v>
      </c>
      <c r="E528" s="1003" t="s">
        <v>2901</v>
      </c>
      <c r="F528" s="580">
        <f>_xlfn.XLOOKUP(D528,'A4.N2FS Singles'!$D$515:$D$522,'A4.N2FS Singles'!$F$515:$F$522)</f>
        <v>8759032</v>
      </c>
      <c r="G528" s="848">
        <v>0</v>
      </c>
      <c r="H528" s="848">
        <f t="shared" si="30"/>
        <v>8759032</v>
      </c>
      <c r="I528" s="850"/>
      <c r="J528" s="850"/>
      <c r="K528" s="850"/>
      <c r="L528" s="850"/>
      <c r="M528" s="850"/>
      <c r="N528" s="850"/>
      <c r="O528" s="850"/>
      <c r="P528" s="850"/>
      <c r="Q528" s="850"/>
      <c r="R528" s="850"/>
      <c r="S528" s="850"/>
    </row>
    <row r="529" spans="1:19" ht="25.5">
      <c r="A529" s="850" t="s">
        <v>2602</v>
      </c>
      <c r="B529" s="850" t="s">
        <v>2227</v>
      </c>
      <c r="C529" s="576" t="s">
        <v>2586</v>
      </c>
      <c r="D529" s="850" t="s">
        <v>2441</v>
      </c>
      <c r="E529" s="1003" t="s">
        <v>2902</v>
      </c>
      <c r="F529" s="580">
        <f>_xlfn.XLOOKUP(D529,'A4.N2FS Singles'!$D$515:$D$522,'A4.N2FS Singles'!$F$515:$F$522)</f>
        <v>34909089</v>
      </c>
      <c r="G529" s="848">
        <v>0</v>
      </c>
      <c r="H529" s="848">
        <f t="shared" si="30"/>
        <v>34909089</v>
      </c>
      <c r="I529" s="850"/>
      <c r="J529" s="850"/>
      <c r="K529" s="850"/>
      <c r="L529" s="850"/>
      <c r="M529" s="850"/>
      <c r="N529" s="850"/>
      <c r="O529" s="850"/>
      <c r="P529" s="850"/>
      <c r="Q529" s="850"/>
      <c r="R529" s="850"/>
      <c r="S529" s="850"/>
    </row>
    <row r="530" spans="1:19" ht="25.5">
      <c r="A530" s="850" t="s">
        <v>2602</v>
      </c>
      <c r="B530" s="850" t="s">
        <v>2227</v>
      </c>
      <c r="C530" s="576" t="s">
        <v>2586</v>
      </c>
      <c r="D530" s="850" t="s">
        <v>2425</v>
      </c>
      <c r="E530" s="1003" t="s">
        <v>2903</v>
      </c>
      <c r="F530" s="580">
        <f>_xlfn.XLOOKUP(D530,'A4.N2FS Singles'!$D$515:$D$522,'A4.N2FS Singles'!$F$515:$F$522)</f>
        <v>1967313899</v>
      </c>
      <c r="G530" s="848">
        <v>0</v>
      </c>
      <c r="H530" s="848">
        <f>SUM(F530:G530)</f>
        <v>1967313899</v>
      </c>
      <c r="I530" s="850"/>
      <c r="J530" s="850"/>
      <c r="K530" s="850"/>
      <c r="L530" s="850"/>
      <c r="M530" s="850"/>
      <c r="N530" s="850"/>
      <c r="O530" s="850"/>
      <c r="P530" s="850"/>
      <c r="Q530" s="850"/>
      <c r="R530" s="850"/>
      <c r="S530" s="850"/>
    </row>
    <row r="531" spans="1:19">
      <c r="A531" s="850" t="s">
        <v>2602</v>
      </c>
      <c r="B531" s="850" t="s">
        <v>2227</v>
      </c>
      <c r="C531" s="576" t="s">
        <v>2586</v>
      </c>
      <c r="D531" s="850"/>
      <c r="E531" s="850"/>
      <c r="F531" s="580">
        <f>SUM(F523:F530)</f>
        <v>13381217343</v>
      </c>
      <c r="G531" s="580">
        <f>SUM(G523:G530)</f>
        <v>-561513847</v>
      </c>
      <c r="H531" s="848">
        <f>SUM(H523:H530)</f>
        <v>12819703496</v>
      </c>
      <c r="I531" s="850"/>
      <c r="J531" s="850"/>
      <c r="K531" s="850"/>
      <c r="L531" s="850"/>
      <c r="M531" s="850"/>
      <c r="N531" s="850"/>
      <c r="O531" s="850"/>
      <c r="P531" s="850"/>
      <c r="Q531" s="850"/>
      <c r="R531" s="850"/>
      <c r="S531" s="850"/>
    </row>
    <row r="532" spans="1:19">
      <c r="A532" s="850" t="s">
        <v>2602</v>
      </c>
      <c r="B532" s="850" t="s">
        <v>2227</v>
      </c>
      <c r="C532" s="576" t="s">
        <v>2586</v>
      </c>
      <c r="D532" s="850"/>
      <c r="E532" s="850"/>
      <c r="F532" s="357"/>
      <c r="G532" s="850"/>
      <c r="H532" s="857"/>
      <c r="I532" s="850"/>
      <c r="J532" s="850"/>
      <c r="K532" s="850"/>
      <c r="L532" s="850"/>
      <c r="M532" s="850"/>
      <c r="N532" s="850"/>
      <c r="O532" s="850"/>
      <c r="P532" s="850"/>
      <c r="Q532" s="850"/>
      <c r="R532" s="850"/>
      <c r="S532" s="850"/>
    </row>
    <row r="533" spans="1:19">
      <c r="A533" s="850" t="s">
        <v>2602</v>
      </c>
      <c r="B533" s="850" t="s">
        <v>2227</v>
      </c>
      <c r="C533" s="576" t="s">
        <v>2586</v>
      </c>
      <c r="D533" s="850"/>
      <c r="E533" s="850"/>
      <c r="F533" s="275"/>
      <c r="G533" s="850"/>
      <c r="H533" s="857"/>
      <c r="I533" s="850"/>
      <c r="J533" s="850"/>
      <c r="K533" s="850"/>
      <c r="L533" s="850"/>
      <c r="M533" s="850"/>
      <c r="N533" s="850"/>
      <c r="O533" s="850"/>
      <c r="P533" s="850"/>
      <c r="Q533" s="850"/>
      <c r="R533" s="850"/>
      <c r="S533" s="850"/>
    </row>
    <row r="534" spans="1:19">
      <c r="A534" s="850" t="s">
        <v>2602</v>
      </c>
      <c r="B534" s="850" t="s">
        <v>2227</v>
      </c>
      <c r="C534" s="576" t="s">
        <v>2586</v>
      </c>
      <c r="D534" s="850"/>
      <c r="E534" s="850"/>
      <c r="F534" s="275"/>
      <c r="G534" s="850"/>
      <c r="H534" s="850"/>
      <c r="I534" s="850"/>
      <c r="J534" s="850"/>
      <c r="K534" s="850"/>
      <c r="L534" s="850"/>
      <c r="M534" s="850"/>
      <c r="N534" s="850"/>
      <c r="O534" s="850"/>
      <c r="P534" s="850"/>
      <c r="Q534" s="850"/>
      <c r="R534" s="850"/>
      <c r="S534" s="850"/>
    </row>
    <row r="535" spans="1:19">
      <c r="A535" s="850" t="s">
        <v>2602</v>
      </c>
      <c r="B535" s="850" t="s">
        <v>2227</v>
      </c>
      <c r="C535" s="576" t="s">
        <v>2586</v>
      </c>
      <c r="D535" s="850"/>
      <c r="E535" s="850"/>
      <c r="F535" s="275"/>
      <c r="G535" s="850"/>
      <c r="H535" s="850"/>
      <c r="I535" s="850"/>
      <c r="J535" s="850"/>
      <c r="K535" s="850"/>
      <c r="L535" s="850"/>
      <c r="M535" s="850"/>
      <c r="N535" s="850"/>
      <c r="O535" s="850"/>
      <c r="P535" s="850"/>
      <c r="Q535" s="850"/>
      <c r="R535" s="850"/>
      <c r="S535" s="850"/>
    </row>
    <row r="536" spans="1:19">
      <c r="A536" s="850" t="s">
        <v>2602</v>
      </c>
      <c r="B536" s="850" t="s">
        <v>2227</v>
      </c>
      <c r="C536" s="576" t="s">
        <v>2586</v>
      </c>
      <c r="D536" s="850"/>
      <c r="E536" s="850"/>
      <c r="F536" s="275"/>
      <c r="G536" s="850"/>
      <c r="H536" s="850"/>
      <c r="I536" s="850"/>
      <c r="J536" s="850"/>
      <c r="K536" s="850"/>
      <c r="L536" s="850"/>
      <c r="M536" s="850"/>
      <c r="N536" s="850"/>
      <c r="O536" s="850"/>
      <c r="P536" s="850"/>
      <c r="Q536" s="850"/>
      <c r="R536" s="850"/>
      <c r="S536" s="850"/>
    </row>
    <row r="537" spans="1:19">
      <c r="A537" s="172"/>
      <c r="B537" s="172" t="s">
        <v>676</v>
      </c>
      <c r="C537" s="172" t="s">
        <v>681</v>
      </c>
      <c r="D537" s="172"/>
      <c r="E537" s="562" t="s">
        <v>2909</v>
      </c>
      <c r="F537" s="172"/>
      <c r="G537" s="172"/>
      <c r="H537" s="172"/>
      <c r="I537" s="172"/>
      <c r="J537" s="172"/>
      <c r="K537" s="172"/>
      <c r="L537" s="172"/>
      <c r="M537" s="172"/>
      <c r="N537" s="172"/>
      <c r="O537" s="172"/>
      <c r="P537" s="172"/>
      <c r="Q537" s="172"/>
      <c r="R537" s="172"/>
      <c r="S537" s="172"/>
    </row>
    <row r="538" spans="1:19">
      <c r="A538" s="850" t="s">
        <v>2602</v>
      </c>
      <c r="B538" s="850" t="s">
        <v>676</v>
      </c>
      <c r="C538" s="576" t="s">
        <v>2586</v>
      </c>
      <c r="D538" s="850"/>
      <c r="E538" s="850"/>
      <c r="F538" s="850"/>
      <c r="G538" s="850"/>
      <c r="H538" s="850"/>
      <c r="I538" s="850"/>
      <c r="J538" s="850"/>
      <c r="K538" s="850"/>
      <c r="L538" s="850"/>
      <c r="M538" s="850"/>
      <c r="N538" s="850"/>
      <c r="O538" s="850"/>
      <c r="P538" s="850"/>
      <c r="Q538" s="850"/>
      <c r="R538" s="850"/>
      <c r="S538" s="850"/>
    </row>
    <row r="539" spans="1:19" ht="25.5">
      <c r="A539" s="850" t="s">
        <v>2602</v>
      </c>
      <c r="B539" s="850" t="s">
        <v>676</v>
      </c>
      <c r="C539" s="576" t="s">
        <v>2586</v>
      </c>
      <c r="D539" s="850"/>
      <c r="E539" s="850"/>
      <c r="F539" s="549" t="s">
        <v>2867</v>
      </c>
      <c r="G539" s="554" t="s">
        <v>2868</v>
      </c>
      <c r="H539" s="850"/>
      <c r="I539" s="850"/>
      <c r="J539" s="850"/>
      <c r="K539" s="850"/>
      <c r="L539" s="850"/>
      <c r="M539" s="850"/>
      <c r="N539" s="850"/>
      <c r="O539" s="850"/>
      <c r="P539" s="850"/>
      <c r="Q539" s="850"/>
      <c r="R539" s="850"/>
      <c r="S539" s="850"/>
    </row>
    <row r="540" spans="1:19">
      <c r="A540" s="850" t="s">
        <v>2602</v>
      </c>
      <c r="B540" s="850" t="s">
        <v>676</v>
      </c>
      <c r="C540" s="576" t="s">
        <v>2586</v>
      </c>
      <c r="D540" s="850" t="s">
        <v>2514</v>
      </c>
      <c r="E540" s="850" t="s">
        <v>2910</v>
      </c>
      <c r="F540" s="952">
        <f>ROUND(SUMIFS('A0.LS'!AX:AX,'A0.LS'!C:C,D540),0)</f>
        <v>153281825</v>
      </c>
      <c r="G540" s="938">
        <v>4731808938</v>
      </c>
      <c r="H540" s="850"/>
      <c r="I540" s="850"/>
      <c r="J540" s="850"/>
      <c r="K540" s="850"/>
      <c r="L540" s="850"/>
      <c r="M540" s="850"/>
      <c r="N540" s="850"/>
      <c r="O540" s="850"/>
      <c r="P540" s="850"/>
      <c r="Q540" s="850"/>
      <c r="R540" s="850"/>
      <c r="S540" s="850"/>
    </row>
    <row r="541" spans="1:19">
      <c r="A541" s="850" t="s">
        <v>2602</v>
      </c>
      <c r="B541" s="850" t="s">
        <v>676</v>
      </c>
      <c r="C541" s="576" t="s">
        <v>2586</v>
      </c>
      <c r="D541" s="850" t="s">
        <v>2911</v>
      </c>
      <c r="E541" s="850" t="s">
        <v>2912</v>
      </c>
      <c r="F541" s="952">
        <f>'A4.N2FS Singles'!F533</f>
        <v>0</v>
      </c>
      <c r="G541" s="938">
        <v>0</v>
      </c>
      <c r="H541" s="850" t="s">
        <v>2913</v>
      </c>
      <c r="I541" s="850"/>
      <c r="J541" s="850"/>
      <c r="K541" s="850"/>
      <c r="L541" s="850"/>
      <c r="M541" s="850"/>
      <c r="N541" s="850"/>
      <c r="O541" s="850"/>
      <c r="P541" s="850"/>
      <c r="Q541" s="850"/>
      <c r="R541" s="850"/>
      <c r="S541" s="850"/>
    </row>
    <row r="542" spans="1:19">
      <c r="A542" s="850" t="s">
        <v>2602</v>
      </c>
      <c r="B542" s="850" t="s">
        <v>676</v>
      </c>
      <c r="C542" s="576" t="s">
        <v>2586</v>
      </c>
      <c r="D542" s="850" t="s">
        <v>2526</v>
      </c>
      <c r="E542" s="850" t="s">
        <v>2914</v>
      </c>
      <c r="F542" s="952">
        <f>ROUND(SUMIFS('A0.LS'!AX:AX,'A0.LS'!C:C,D542),0)-F541</f>
        <v>10548613718</v>
      </c>
      <c r="G542" s="938">
        <v>3729014778</v>
      </c>
      <c r="H542" s="850"/>
      <c r="I542" s="850"/>
      <c r="J542" s="850"/>
      <c r="K542" s="850"/>
      <c r="L542" s="850"/>
      <c r="M542" s="850"/>
      <c r="N542" s="850"/>
      <c r="O542" s="850"/>
      <c r="P542" s="850"/>
      <c r="Q542" s="850"/>
      <c r="R542" s="850"/>
      <c r="S542" s="850"/>
    </row>
    <row r="543" spans="1:19">
      <c r="A543" s="850" t="s">
        <v>2602</v>
      </c>
      <c r="B543" s="850" t="s">
        <v>676</v>
      </c>
      <c r="C543" s="576" t="s">
        <v>2586</v>
      </c>
      <c r="D543" s="850" t="s">
        <v>2523</v>
      </c>
      <c r="E543" s="850" t="s">
        <v>2915</v>
      </c>
      <c r="F543" s="952">
        <f>ROUND(SUMIFS('A0.LS'!AX:AX,'A0.LS'!C:C,D543),0)</f>
        <v>53048958</v>
      </c>
      <c r="G543" s="938">
        <v>364386442</v>
      </c>
      <c r="H543" s="850"/>
      <c r="I543" s="850"/>
      <c r="J543" s="850"/>
      <c r="K543" s="850"/>
      <c r="L543" s="850"/>
      <c r="M543" s="850"/>
      <c r="N543" s="850"/>
      <c r="O543" s="850"/>
      <c r="P543" s="850"/>
      <c r="Q543" s="850"/>
      <c r="R543" s="850"/>
      <c r="S543" s="850"/>
    </row>
    <row r="544" spans="1:19">
      <c r="A544" s="850" t="s">
        <v>2602</v>
      </c>
      <c r="B544" s="850" t="s">
        <v>676</v>
      </c>
      <c r="C544" s="576" t="s">
        <v>2586</v>
      </c>
      <c r="D544" s="850" t="s">
        <v>2525</v>
      </c>
      <c r="E544" s="850" t="s">
        <v>2916</v>
      </c>
      <c r="F544" s="952">
        <f>ROUND(SUMIFS('A0.LS'!AX:AX,'A0.LS'!C:C,D544),0)</f>
        <v>0</v>
      </c>
      <c r="G544" s="938">
        <v>585517992</v>
      </c>
      <c r="H544" s="850"/>
      <c r="I544" s="850"/>
      <c r="J544" s="850"/>
      <c r="K544" s="850"/>
      <c r="L544" s="850"/>
      <c r="M544" s="850"/>
      <c r="N544" s="850"/>
      <c r="O544" s="850"/>
      <c r="P544" s="850"/>
      <c r="Q544" s="850"/>
      <c r="R544" s="850"/>
      <c r="S544" s="850"/>
    </row>
    <row r="545" spans="1:19">
      <c r="A545" s="850" t="s">
        <v>2602</v>
      </c>
      <c r="B545" s="850" t="s">
        <v>676</v>
      </c>
      <c r="C545" s="576" t="s">
        <v>2586</v>
      </c>
      <c r="D545" s="850" t="s">
        <v>2524</v>
      </c>
      <c r="E545" s="850" t="s">
        <v>270</v>
      </c>
      <c r="F545" s="952">
        <f>ROUND(SUMIFS('A0.LS'!AX:AX,'A0.LS'!C:C,D545),0)</f>
        <v>36956232</v>
      </c>
      <c r="G545" s="938">
        <v>23222502</v>
      </c>
      <c r="H545" s="850"/>
      <c r="I545" s="850"/>
      <c r="J545" s="850"/>
      <c r="K545" s="850"/>
      <c r="L545" s="850"/>
      <c r="M545" s="850"/>
      <c r="N545" s="850"/>
      <c r="O545" s="850"/>
      <c r="P545" s="850"/>
      <c r="Q545" s="850"/>
      <c r="R545" s="850"/>
      <c r="S545" s="850"/>
    </row>
    <row r="546" spans="1:19">
      <c r="A546" s="850" t="s">
        <v>2602</v>
      </c>
      <c r="B546" s="850" t="s">
        <v>676</v>
      </c>
      <c r="C546" s="576" t="s">
        <v>2586</v>
      </c>
      <c r="D546" s="850" t="s">
        <v>2528</v>
      </c>
      <c r="E546" s="850" t="s">
        <v>445</v>
      </c>
      <c r="F546" s="952">
        <f>ROUND(SUMIFS('A0.LS'!AX:AX,'A0.LS'!C:C,D546),0)</f>
        <v>779755105</v>
      </c>
      <c r="G546" s="938">
        <v>545630361</v>
      </c>
      <c r="H546" s="850"/>
      <c r="I546" s="850"/>
      <c r="J546" s="850"/>
      <c r="K546" s="850"/>
      <c r="L546" s="850"/>
      <c r="M546" s="850"/>
      <c r="N546" s="850"/>
      <c r="O546" s="850"/>
      <c r="P546" s="850"/>
      <c r="Q546" s="850"/>
      <c r="R546" s="850"/>
      <c r="S546" s="850"/>
    </row>
    <row r="547" spans="1:19" ht="13.5" thickBot="1">
      <c r="A547" s="850" t="s">
        <v>2602</v>
      </c>
      <c r="B547" s="850" t="s">
        <v>676</v>
      </c>
      <c r="C547" s="576" t="s">
        <v>2586</v>
      </c>
      <c r="D547" s="850"/>
      <c r="E547" s="850"/>
      <c r="F547" s="1545">
        <f>SUM(F540:F546)</f>
        <v>11571655838</v>
      </c>
      <c r="G547" s="1546">
        <f>SUM(G540:G546)</f>
        <v>9979581013</v>
      </c>
      <c r="H547" s="850"/>
      <c r="I547" s="850"/>
      <c r="J547" s="850"/>
      <c r="K547" s="850"/>
      <c r="L547" s="850"/>
      <c r="M547" s="850"/>
      <c r="N547" s="850"/>
      <c r="O547" s="850"/>
      <c r="P547" s="850"/>
      <c r="Q547" s="850"/>
      <c r="R547" s="850"/>
      <c r="S547" s="850"/>
    </row>
    <row r="548" spans="1:19" ht="13.5" thickTop="1">
      <c r="A548" s="850" t="s">
        <v>2602</v>
      </c>
      <c r="B548" s="850" t="s">
        <v>676</v>
      </c>
      <c r="C548" s="576" t="s">
        <v>2586</v>
      </c>
      <c r="D548" s="850"/>
      <c r="E548" s="850"/>
      <c r="F548" s="850"/>
      <c r="G548" s="850"/>
      <c r="H548" s="850"/>
      <c r="I548" s="850"/>
      <c r="J548" s="850"/>
      <c r="K548" s="850"/>
      <c r="L548" s="850"/>
      <c r="M548" s="850"/>
      <c r="N548" s="850"/>
      <c r="O548" s="850"/>
      <c r="P548" s="850"/>
      <c r="Q548" s="850"/>
      <c r="R548" s="850"/>
      <c r="S548" s="850"/>
    </row>
    <row r="549" spans="1:19">
      <c r="A549" s="850" t="s">
        <v>2602</v>
      </c>
      <c r="B549" s="850" t="s">
        <v>676</v>
      </c>
      <c r="C549" s="576" t="s">
        <v>2586</v>
      </c>
      <c r="D549" s="850"/>
      <c r="E549" s="1" t="s">
        <v>1970</v>
      </c>
      <c r="F549" s="857">
        <f>F547+'A2.PL'!R15</f>
        <v>0</v>
      </c>
      <c r="G549" s="857">
        <f>G547+'A2.PL'!V15</f>
        <v>-7927499421</v>
      </c>
      <c r="H549" s="850"/>
      <c r="I549" s="850"/>
      <c r="J549" s="850"/>
      <c r="K549" s="850"/>
      <c r="L549" s="850"/>
      <c r="M549" s="850"/>
      <c r="N549" s="850"/>
      <c r="O549" s="850"/>
      <c r="P549" s="850"/>
      <c r="Q549" s="850"/>
      <c r="R549" s="850"/>
      <c r="S549" s="850"/>
    </row>
    <row r="550" spans="1:19">
      <c r="A550" s="850" t="s">
        <v>2602</v>
      </c>
      <c r="B550" s="850" t="s">
        <v>676</v>
      </c>
      <c r="C550" s="576" t="s">
        <v>2586</v>
      </c>
      <c r="D550" s="850"/>
      <c r="E550" s="850"/>
      <c r="F550" s="850"/>
      <c r="G550" s="850"/>
      <c r="H550" s="850"/>
      <c r="I550" s="850"/>
      <c r="J550" s="850"/>
      <c r="K550" s="850"/>
      <c r="L550" s="850"/>
      <c r="M550" s="850"/>
      <c r="N550" s="850"/>
      <c r="O550" s="850"/>
      <c r="P550" s="850"/>
      <c r="Q550" s="850"/>
      <c r="R550" s="850"/>
      <c r="S550" s="850"/>
    </row>
    <row r="551" spans="1:19">
      <c r="A551" s="172"/>
      <c r="B551" s="172" t="s">
        <v>676</v>
      </c>
      <c r="C551" s="172" t="s">
        <v>681</v>
      </c>
      <c r="D551" s="172"/>
      <c r="E551" s="562" t="s">
        <v>2917</v>
      </c>
      <c r="F551" s="172"/>
      <c r="G551" s="172"/>
      <c r="H551" s="172"/>
      <c r="I551" s="172"/>
      <c r="J551" s="172"/>
      <c r="K551" s="172"/>
      <c r="L551" s="172"/>
      <c r="M551" s="172"/>
      <c r="N551" s="172"/>
      <c r="O551" s="172"/>
      <c r="P551" s="172"/>
      <c r="Q551" s="172"/>
      <c r="R551" s="172"/>
      <c r="S551" s="172"/>
    </row>
    <row r="552" spans="1:19">
      <c r="A552" s="850" t="s">
        <v>2602</v>
      </c>
      <c r="B552" s="850" t="s">
        <v>676</v>
      </c>
      <c r="C552" s="576" t="s">
        <v>2586</v>
      </c>
      <c r="D552" s="850"/>
      <c r="E552" s="850"/>
      <c r="F552" s="850"/>
      <c r="G552" s="850"/>
      <c r="H552" s="850"/>
      <c r="I552" s="850"/>
      <c r="J552" s="850"/>
      <c r="K552" s="850"/>
      <c r="L552" s="850"/>
      <c r="M552" s="850"/>
      <c r="N552" s="850"/>
      <c r="O552" s="850"/>
      <c r="P552" s="850"/>
      <c r="Q552" s="850"/>
      <c r="R552" s="850"/>
      <c r="S552" s="850"/>
    </row>
    <row r="553" spans="1:19" ht="25.5">
      <c r="A553" s="850" t="s">
        <v>2602</v>
      </c>
      <c r="B553" s="850" t="s">
        <v>676</v>
      </c>
      <c r="C553" s="576" t="s">
        <v>2586</v>
      </c>
      <c r="D553" s="850"/>
      <c r="E553" s="850"/>
      <c r="F553" s="549" t="s">
        <v>2867</v>
      </c>
      <c r="G553" s="554" t="s">
        <v>2868</v>
      </c>
      <c r="H553" s="850"/>
      <c r="I553" s="850"/>
      <c r="J553" s="850"/>
      <c r="K553" s="850"/>
      <c r="L553" s="850"/>
      <c r="M553" s="850"/>
      <c r="N553" s="850"/>
      <c r="O553" s="850"/>
      <c r="P553" s="850"/>
      <c r="Q553" s="850"/>
      <c r="R553" s="850"/>
      <c r="S553" s="850"/>
    </row>
    <row r="554" spans="1:19">
      <c r="A554" s="850" t="s">
        <v>2602</v>
      </c>
      <c r="B554" s="850" t="s">
        <v>676</v>
      </c>
      <c r="C554" s="576" t="s">
        <v>2586</v>
      </c>
      <c r="D554" s="1" t="s">
        <v>2548</v>
      </c>
      <c r="E554" s="1" t="s">
        <v>2918</v>
      </c>
      <c r="F554" s="238">
        <f>ROUND(SUMIFS('A0.LS'!AX:AX,'A0.LS'!C:C,D554),0)</f>
        <v>35699469</v>
      </c>
      <c r="G554" s="443">
        <v>25033084</v>
      </c>
      <c r="H554" s="850"/>
      <c r="I554" s="850"/>
      <c r="J554" s="850"/>
      <c r="K554" s="850"/>
      <c r="L554" s="850"/>
      <c r="M554" s="850"/>
      <c r="N554" s="850"/>
      <c r="O554" s="850"/>
      <c r="P554" s="850"/>
      <c r="Q554" s="850"/>
      <c r="R554" s="850"/>
      <c r="S554" s="850"/>
    </row>
    <row r="555" spans="1:19">
      <c r="A555" s="850" t="s">
        <v>2602</v>
      </c>
      <c r="B555" s="850" t="s">
        <v>676</v>
      </c>
      <c r="C555" s="576" t="s">
        <v>2586</v>
      </c>
      <c r="D555" s="1"/>
      <c r="E555" s="1" t="s">
        <v>336</v>
      </c>
      <c r="F555" s="537">
        <f>SUM(F556:F558)</f>
        <v>23830179296</v>
      </c>
      <c r="G555" s="556">
        <f>SUM(G556:G558)</f>
        <v>9658983196</v>
      </c>
      <c r="H555" s="850"/>
      <c r="I555" s="850"/>
      <c r="J555" s="850"/>
      <c r="K555" s="850"/>
      <c r="L555" s="850"/>
      <c r="M555" s="850"/>
      <c r="N555" s="850"/>
      <c r="O555" s="850"/>
      <c r="P555" s="850"/>
      <c r="Q555" s="850"/>
      <c r="R555" s="850"/>
      <c r="S555" s="850"/>
    </row>
    <row r="556" spans="1:19">
      <c r="A556" s="850" t="s">
        <v>2602</v>
      </c>
      <c r="B556" s="850" t="s">
        <v>676</v>
      </c>
      <c r="C556" s="576" t="s">
        <v>2586</v>
      </c>
      <c r="D556" s="850" t="s">
        <v>2539</v>
      </c>
      <c r="E556" s="850" t="s">
        <v>2919</v>
      </c>
      <c r="F556" s="952">
        <f>ROUND(SUMIFS('A0.LS'!AX:AX,'A0.LS'!C:C,D556),0)</f>
        <v>22295309338</v>
      </c>
      <c r="G556" s="938">
        <v>7789672053</v>
      </c>
      <c r="H556" s="850"/>
      <c r="I556" s="850"/>
      <c r="J556" s="850"/>
      <c r="K556" s="850"/>
      <c r="L556" s="850"/>
      <c r="M556" s="850"/>
      <c r="N556" s="850"/>
      <c r="O556" s="850"/>
      <c r="P556" s="850"/>
      <c r="Q556" s="850"/>
      <c r="R556" s="850"/>
      <c r="S556" s="850"/>
    </row>
    <row r="557" spans="1:19">
      <c r="A557" s="850" t="s">
        <v>2602</v>
      </c>
      <c r="B557" s="850" t="s">
        <v>676</v>
      </c>
      <c r="C557" s="576" t="s">
        <v>2586</v>
      </c>
      <c r="D557" s="850" t="s">
        <v>2541</v>
      </c>
      <c r="E557" s="850" t="s">
        <v>2920</v>
      </c>
      <c r="F557" s="952">
        <f>ROUND(SUMIFS('A0.LS'!AX:AX,'A0.LS'!C:C,D557),0)</f>
        <v>1314136000</v>
      </c>
      <c r="G557" s="938">
        <v>623839167</v>
      </c>
      <c r="H557" s="850"/>
      <c r="I557" s="850"/>
      <c r="J557" s="850"/>
      <c r="K557" s="850"/>
      <c r="L557" s="850"/>
      <c r="M557" s="850"/>
      <c r="N557" s="850"/>
      <c r="O557" s="850"/>
      <c r="P557" s="850"/>
      <c r="Q557" s="850"/>
      <c r="R557" s="850"/>
      <c r="S557" s="850"/>
    </row>
    <row r="558" spans="1:19">
      <c r="A558" s="850" t="s">
        <v>2602</v>
      </c>
      <c r="B558" s="850" t="s">
        <v>676</v>
      </c>
      <c r="C558" s="576" t="s">
        <v>2586</v>
      </c>
      <c r="D558" s="850" t="s">
        <v>2543</v>
      </c>
      <c r="E558" s="850" t="s">
        <v>2921</v>
      </c>
      <c r="F558" s="952">
        <f>ROUND(SUMIFS('A0.LS'!AX:AX,'A0.LS'!C:C,D558),0)</f>
        <v>220733958</v>
      </c>
      <c r="G558" s="938">
        <v>1245471976</v>
      </c>
      <c r="H558" s="850"/>
      <c r="I558" s="850"/>
      <c r="J558" s="850"/>
      <c r="K558" s="850"/>
      <c r="L558" s="850"/>
      <c r="M558" s="850"/>
      <c r="N558" s="850"/>
      <c r="O558" s="850"/>
      <c r="P558" s="850"/>
      <c r="Q558" s="850"/>
      <c r="R558" s="850"/>
      <c r="S558" s="850"/>
    </row>
    <row r="559" spans="1:19">
      <c r="A559" s="850" t="s">
        <v>2602</v>
      </c>
      <c r="B559" s="850" t="s">
        <v>676</v>
      </c>
      <c r="C559" s="576" t="s">
        <v>2586</v>
      </c>
      <c r="D559" s="1" t="s">
        <v>2544</v>
      </c>
      <c r="E559" s="1" t="s">
        <v>2922</v>
      </c>
      <c r="F559" s="238">
        <f>ROUND(SUMIFS('A0.LS'!AX:AX,'A0.LS'!C:C,D559),0)</f>
        <v>1157360658</v>
      </c>
      <c r="G559" s="443">
        <v>960716815</v>
      </c>
      <c r="H559" s="850"/>
      <c r="I559" s="850"/>
      <c r="J559" s="850"/>
      <c r="K559" s="850"/>
      <c r="L559" s="850"/>
      <c r="M559" s="850"/>
      <c r="N559" s="850"/>
      <c r="O559" s="850"/>
      <c r="P559" s="850"/>
      <c r="Q559" s="850"/>
      <c r="R559" s="850"/>
      <c r="S559" s="850"/>
    </row>
    <row r="560" spans="1:19">
      <c r="A560" s="850" t="s">
        <v>2602</v>
      </c>
      <c r="B560" s="850" t="s">
        <v>676</v>
      </c>
      <c r="C560" s="576" t="s">
        <v>2586</v>
      </c>
      <c r="D560" s="1" t="s">
        <v>2546</v>
      </c>
      <c r="E560" s="1" t="s">
        <v>2923</v>
      </c>
      <c r="F560" s="238">
        <f>ROUND(SUMIFS('A0.LS'!AX:AX,'A0.LS'!C:C,D560),0)</f>
        <v>13559130866</v>
      </c>
      <c r="G560" s="443">
        <v>8175205328.1838264</v>
      </c>
      <c r="H560" s="850"/>
      <c r="I560" s="850"/>
      <c r="J560" s="850"/>
      <c r="K560" s="850"/>
      <c r="L560" s="850"/>
      <c r="M560" s="850"/>
      <c r="N560" s="850"/>
      <c r="O560" s="850"/>
      <c r="P560" s="850"/>
      <c r="Q560" s="850"/>
      <c r="R560" s="850"/>
      <c r="S560" s="850"/>
    </row>
    <row r="561" spans="1:19">
      <c r="A561" s="850" t="s">
        <v>2602</v>
      </c>
      <c r="B561" s="850" t="s">
        <v>676</v>
      </c>
      <c r="C561" s="576" t="s">
        <v>2586</v>
      </c>
      <c r="D561" s="1"/>
      <c r="E561" s="1" t="s">
        <v>2924</v>
      </c>
      <c r="F561" s="537">
        <f>SUM(F562:F566)</f>
        <v>19229071165</v>
      </c>
      <c r="G561" s="556">
        <f>SUM(G562:G566)</f>
        <v>7693621662</v>
      </c>
      <c r="H561" s="850"/>
      <c r="I561" s="850"/>
      <c r="J561" s="850"/>
      <c r="K561" s="850"/>
      <c r="L561" s="850"/>
      <c r="M561" s="850"/>
      <c r="N561" s="850"/>
      <c r="O561" s="850"/>
      <c r="P561" s="850"/>
      <c r="Q561" s="850"/>
      <c r="R561" s="850"/>
      <c r="S561" s="850"/>
    </row>
    <row r="562" spans="1:19">
      <c r="A562" s="850" t="s">
        <v>2602</v>
      </c>
      <c r="B562" s="850" t="s">
        <v>676</v>
      </c>
      <c r="C562" s="576" t="s">
        <v>2586</v>
      </c>
      <c r="D562" s="850" t="s">
        <v>2557</v>
      </c>
      <c r="E562" s="850" t="s">
        <v>288</v>
      </c>
      <c r="F562" s="952">
        <f>ROUND(SUMIFS('A0.LS'!AX:AX,'A0.LS'!C:C,D562),0)</f>
        <v>4773798220</v>
      </c>
      <c r="G562" s="938">
        <v>1205366515</v>
      </c>
      <c r="H562" s="850"/>
      <c r="I562" s="850"/>
      <c r="J562" s="850"/>
      <c r="K562" s="850"/>
      <c r="L562" s="850"/>
      <c r="M562" s="850"/>
      <c r="N562" s="850"/>
      <c r="O562" s="850"/>
      <c r="P562" s="850"/>
      <c r="Q562" s="850"/>
      <c r="R562" s="850"/>
      <c r="S562" s="850"/>
    </row>
    <row r="563" spans="1:19">
      <c r="A563" s="850" t="s">
        <v>2602</v>
      </c>
      <c r="B563" s="850" t="s">
        <v>676</v>
      </c>
      <c r="C563" s="576" t="s">
        <v>2586</v>
      </c>
      <c r="D563" s="850" t="s">
        <v>2552</v>
      </c>
      <c r="E563" s="850" t="s">
        <v>2925</v>
      </c>
      <c r="F563" s="952">
        <f>ROUND(SUMIFS('A0.LS'!AX:AX,'A0.LS'!C:C,D563),0)</f>
        <v>3641925578</v>
      </c>
      <c r="G563" s="938">
        <v>1822561970</v>
      </c>
      <c r="H563" s="850"/>
      <c r="I563" s="850"/>
      <c r="J563" s="850"/>
      <c r="K563" s="850"/>
      <c r="L563" s="850"/>
      <c r="M563" s="850"/>
      <c r="N563" s="850"/>
      <c r="O563" s="850"/>
      <c r="P563" s="850"/>
      <c r="Q563" s="850"/>
      <c r="R563" s="850"/>
      <c r="S563" s="850"/>
    </row>
    <row r="564" spans="1:19" hidden="1">
      <c r="A564" s="850" t="s">
        <v>2602</v>
      </c>
      <c r="B564" s="850" t="s">
        <v>676</v>
      </c>
      <c r="C564" s="576" t="s">
        <v>2586</v>
      </c>
      <c r="D564" s="850" t="s">
        <v>2926</v>
      </c>
      <c r="E564" s="850" t="s">
        <v>2914</v>
      </c>
      <c r="F564" s="952">
        <f>ROUND(SUMIFS('A0.LS'!AX:AX,'A0.LS'!C:C,D564),0)</f>
        <v>0</v>
      </c>
      <c r="G564" s="938">
        <v>0</v>
      </c>
      <c r="H564" s="850"/>
      <c r="I564" s="850"/>
      <c r="J564" s="850"/>
      <c r="K564" s="850"/>
      <c r="L564" s="850"/>
      <c r="M564" s="850"/>
      <c r="N564" s="850"/>
      <c r="O564" s="850"/>
      <c r="P564" s="850"/>
      <c r="Q564" s="850"/>
      <c r="R564" s="850"/>
      <c r="S564" s="850"/>
    </row>
    <row r="565" spans="1:19">
      <c r="A565" s="850" t="s">
        <v>2602</v>
      </c>
      <c r="B565" s="850" t="s">
        <v>676</v>
      </c>
      <c r="C565" s="576" t="s">
        <v>2586</v>
      </c>
      <c r="D565" s="850" t="s">
        <v>2553</v>
      </c>
      <c r="E565" s="850" t="s">
        <v>2927</v>
      </c>
      <c r="F565" s="952">
        <f>ROUND(SUMIFS('A0.LS'!AX:AX,'A0.LS'!C:C,D565),0)</f>
        <v>1404980121</v>
      </c>
      <c r="G565" s="938">
        <v>1136697882</v>
      </c>
      <c r="H565" s="850"/>
      <c r="I565" s="850"/>
      <c r="J565" s="850"/>
      <c r="K565" s="850"/>
      <c r="L565" s="850"/>
      <c r="M565" s="850"/>
      <c r="N565" s="850"/>
      <c r="O565" s="850"/>
      <c r="P565" s="850"/>
      <c r="Q565" s="850"/>
      <c r="R565" s="850"/>
      <c r="S565" s="850"/>
    </row>
    <row r="566" spans="1:19">
      <c r="A566" s="850" t="s">
        <v>2602</v>
      </c>
      <c r="B566" s="850" t="s">
        <v>676</v>
      </c>
      <c r="C566" s="576" t="s">
        <v>2586</v>
      </c>
      <c r="D566" s="850" t="s">
        <v>2555</v>
      </c>
      <c r="E566" s="850" t="s">
        <v>445</v>
      </c>
      <c r="F566" s="952">
        <f>ROUND(SUMIFS('A0.LS'!AX:AX,'A0.LS'!C:C,D566),0)</f>
        <v>9408367246</v>
      </c>
      <c r="G566" s="938">
        <v>3528995295</v>
      </c>
      <c r="H566" s="850"/>
      <c r="I566" s="850"/>
      <c r="J566" s="850"/>
      <c r="K566" s="850"/>
      <c r="L566" s="850"/>
      <c r="M566" s="850"/>
      <c r="N566" s="850"/>
      <c r="O566" s="850"/>
      <c r="P566" s="850"/>
      <c r="Q566" s="850"/>
      <c r="R566" s="850"/>
      <c r="S566" s="850"/>
    </row>
    <row r="567" spans="1:19" hidden="1">
      <c r="A567" s="850" t="s">
        <v>2602</v>
      </c>
      <c r="B567" s="850" t="s">
        <v>676</v>
      </c>
      <c r="C567" s="576" t="s">
        <v>2586</v>
      </c>
      <c r="D567" s="351" t="s">
        <v>2928</v>
      </c>
      <c r="E567" s="1" t="s">
        <v>2929</v>
      </c>
      <c r="F567" s="952">
        <f>ROUND(SUMIFS('A0.LS'!AX:AX,'A0.LS'!C:C,D567),0)</f>
        <v>0</v>
      </c>
      <c r="G567" s="938">
        <f>ROUND(SUMIFS('A0.LS'!BR:BR,'A0.LS'!C:C,D567),0)</f>
        <v>0</v>
      </c>
      <c r="H567" s="850"/>
      <c r="I567" s="850"/>
      <c r="J567" s="850"/>
      <c r="K567" s="850"/>
      <c r="L567" s="850"/>
      <c r="M567" s="850"/>
      <c r="N567" s="850"/>
      <c r="O567" s="850"/>
      <c r="P567" s="850"/>
      <c r="Q567" s="850"/>
      <c r="R567" s="850"/>
      <c r="S567" s="850"/>
    </row>
    <row r="568" spans="1:19" ht="13.5" thickBot="1">
      <c r="A568" s="850" t="s">
        <v>2602</v>
      </c>
      <c r="B568" s="850" t="s">
        <v>676</v>
      </c>
      <c r="C568" s="576" t="s">
        <v>2586</v>
      </c>
      <c r="D568" s="850"/>
      <c r="E568" s="850"/>
      <c r="F568" s="1545">
        <f>SUM(F554:F555,F559:F561,F567)</f>
        <v>57811441454</v>
      </c>
      <c r="G568" s="1546">
        <f>SUM(G554:G555,G559:G561)</f>
        <v>26513560085.183826</v>
      </c>
      <c r="H568" s="850"/>
      <c r="I568" s="850"/>
      <c r="J568" s="850"/>
      <c r="K568" s="850"/>
      <c r="L568" s="850"/>
      <c r="M568" s="850"/>
      <c r="N568" s="850"/>
      <c r="O568" s="850"/>
      <c r="P568" s="850"/>
      <c r="Q568" s="850"/>
      <c r="R568" s="850"/>
      <c r="S568" s="850"/>
    </row>
    <row r="569" spans="1:19" ht="13.5" thickTop="1">
      <c r="A569" s="850" t="s">
        <v>2602</v>
      </c>
      <c r="B569" s="850" t="s">
        <v>676</v>
      </c>
      <c r="C569" s="576" t="s">
        <v>2586</v>
      </c>
      <c r="D569" s="850"/>
      <c r="E569" s="850"/>
      <c r="F569" s="850"/>
      <c r="G569" s="850"/>
      <c r="H569" s="850"/>
      <c r="I569" s="850"/>
      <c r="J569" s="850"/>
      <c r="K569" s="850"/>
      <c r="L569" s="850"/>
      <c r="M569" s="850"/>
      <c r="N569" s="850"/>
      <c r="O569" s="850"/>
      <c r="P569" s="850"/>
      <c r="Q569" s="850"/>
      <c r="R569" s="850"/>
      <c r="S569" s="850"/>
    </row>
    <row r="570" spans="1:19">
      <c r="A570" s="850" t="s">
        <v>2602</v>
      </c>
      <c r="B570" s="850" t="s">
        <v>676</v>
      </c>
      <c r="C570" s="576" t="s">
        <v>2586</v>
      </c>
      <c r="D570" s="850"/>
      <c r="E570" s="1" t="s">
        <v>1970</v>
      </c>
      <c r="F570" s="857">
        <f>F568+'A2.PL'!R16</f>
        <v>0</v>
      </c>
      <c r="G570" s="848">
        <f>G568+'A2.PL'!V16</f>
        <v>-29459298545.816174</v>
      </c>
      <c r="H570" s="850"/>
      <c r="I570" s="850"/>
      <c r="J570" s="850"/>
      <c r="K570" s="850"/>
      <c r="L570" s="850"/>
      <c r="M570" s="850"/>
      <c r="N570" s="850"/>
      <c r="O570" s="850"/>
      <c r="P570" s="850"/>
      <c r="Q570" s="850"/>
      <c r="R570" s="850"/>
      <c r="S570" s="850"/>
    </row>
    <row r="571" spans="1:19">
      <c r="A571" s="850" t="s">
        <v>2602</v>
      </c>
      <c r="B571" s="850" t="s">
        <v>676</v>
      </c>
      <c r="C571" s="576" t="s">
        <v>2586</v>
      </c>
      <c r="D571" s="850"/>
      <c r="E571" s="850"/>
      <c r="F571" s="850"/>
      <c r="G571" s="850"/>
      <c r="H571" s="850"/>
      <c r="I571" s="850"/>
      <c r="J571" s="850"/>
      <c r="K571" s="850"/>
      <c r="L571" s="850"/>
      <c r="M571" s="850"/>
      <c r="N571" s="850"/>
      <c r="O571" s="850"/>
      <c r="P571" s="850"/>
      <c r="Q571" s="850"/>
      <c r="R571" s="850"/>
      <c r="S571" s="850"/>
    </row>
    <row r="572" spans="1:19">
      <c r="A572" s="172"/>
      <c r="B572" s="172" t="s">
        <v>675</v>
      </c>
      <c r="C572" s="172" t="s">
        <v>681</v>
      </c>
      <c r="D572" s="172"/>
      <c r="E572" s="562" t="s">
        <v>2930</v>
      </c>
      <c r="F572" s="172"/>
      <c r="G572" s="172"/>
      <c r="H572" s="172"/>
      <c r="I572" s="172"/>
      <c r="J572" s="172"/>
      <c r="K572" s="172"/>
      <c r="L572" s="172"/>
      <c r="M572" s="172"/>
      <c r="N572" s="172"/>
      <c r="O572" s="172"/>
      <c r="P572" s="172"/>
      <c r="Q572" s="172"/>
      <c r="R572" s="172"/>
      <c r="S572" s="172"/>
    </row>
    <row r="573" spans="1:19">
      <c r="A573" s="850" t="s">
        <v>2931</v>
      </c>
      <c r="B573" s="850" t="s">
        <v>675</v>
      </c>
      <c r="C573" s="576" t="s">
        <v>2586</v>
      </c>
      <c r="D573" s="850"/>
      <c r="E573" s="850"/>
      <c r="F573" s="850"/>
      <c r="G573" s="850"/>
      <c r="H573" s="850"/>
      <c r="I573" s="850"/>
      <c r="J573" s="850"/>
      <c r="K573" s="850"/>
      <c r="L573" s="850"/>
      <c r="M573" s="850"/>
      <c r="N573" s="850"/>
      <c r="O573" s="850"/>
      <c r="P573" s="850"/>
      <c r="Q573" s="850"/>
      <c r="R573" s="850"/>
      <c r="S573" s="850"/>
    </row>
    <row r="574" spans="1:19" ht="25.5">
      <c r="A574" s="850" t="s">
        <v>2931</v>
      </c>
      <c r="B574" s="850" t="s">
        <v>675</v>
      </c>
      <c r="C574" s="576" t="s">
        <v>2586</v>
      </c>
      <c r="D574" s="850"/>
      <c r="E574" s="850"/>
      <c r="F574" s="549" t="s">
        <v>2867</v>
      </c>
      <c r="G574" s="554" t="s">
        <v>2868</v>
      </c>
      <c r="H574" s="850"/>
      <c r="I574" s="850"/>
      <c r="J574" s="850"/>
      <c r="K574" s="850"/>
      <c r="L574" s="850"/>
      <c r="M574" s="850"/>
      <c r="N574" s="850"/>
      <c r="O574" s="850"/>
      <c r="P574" s="850"/>
      <c r="Q574" s="850"/>
      <c r="R574" s="850"/>
      <c r="S574" s="850"/>
    </row>
    <row r="575" spans="1:19">
      <c r="A575" s="850" t="s">
        <v>2931</v>
      </c>
      <c r="B575" s="850" t="s">
        <v>675</v>
      </c>
      <c r="C575" s="576" t="s">
        <v>2586</v>
      </c>
      <c r="D575" s="859" t="s">
        <v>2503</v>
      </c>
      <c r="E575" s="850" t="s">
        <v>2932</v>
      </c>
      <c r="F575" s="952">
        <f>ROUND(SUMIFS('A0.LS'!AX:AX,'A0.LS'!C:C,D575),0)</f>
        <v>1718534241</v>
      </c>
      <c r="G575" s="938">
        <v>0</v>
      </c>
      <c r="H575" s="850"/>
      <c r="I575" s="850"/>
      <c r="J575" s="850"/>
      <c r="K575" s="850"/>
      <c r="L575" s="850"/>
      <c r="M575" s="850"/>
      <c r="N575" s="850"/>
      <c r="O575" s="850"/>
      <c r="P575" s="850"/>
      <c r="Q575" s="850"/>
      <c r="R575" s="850"/>
      <c r="S575" s="850"/>
    </row>
    <row r="576" spans="1:19">
      <c r="A576" s="850" t="s">
        <v>2931</v>
      </c>
      <c r="B576" s="850" t="s">
        <v>675</v>
      </c>
      <c r="C576" s="576" t="s">
        <v>2586</v>
      </c>
      <c r="D576" s="859" t="s">
        <v>2490</v>
      </c>
      <c r="E576" s="850" t="s">
        <v>2933</v>
      </c>
      <c r="F576" s="952">
        <f>ROUND(SUMIFS('A0.LS'!AX:AX,'A0.LS'!C:C,D576),0)</f>
        <v>8513887309</v>
      </c>
      <c r="G576" s="938">
        <v>33924394941</v>
      </c>
      <c r="H576" s="850" t="s">
        <v>681</v>
      </c>
      <c r="I576" s="850"/>
      <c r="J576" s="850"/>
      <c r="K576" s="850"/>
      <c r="L576" s="850"/>
      <c r="M576" s="850"/>
      <c r="N576" s="850"/>
      <c r="O576" s="850"/>
      <c r="P576" s="850"/>
      <c r="Q576" s="850"/>
      <c r="R576" s="850"/>
      <c r="S576" s="850"/>
    </row>
    <row r="577" spans="1:19">
      <c r="A577" s="850" t="s">
        <v>2931</v>
      </c>
      <c r="B577" s="850" t="s">
        <v>675</v>
      </c>
      <c r="C577" s="576" t="s">
        <v>2586</v>
      </c>
      <c r="D577" s="850" t="s">
        <v>2486</v>
      </c>
      <c r="E577" s="850" t="s">
        <v>2934</v>
      </c>
      <c r="F577" s="952">
        <f>ROUND(SUMIFS('A0.LS'!AX:AX,'A0.LS'!C:C,D577),0)</f>
        <v>0</v>
      </c>
      <c r="G577" s="938">
        <f>ROUND(SUMIFS('A0.LS'!BR:BR,'A0.LS'!C:C,D577),0)</f>
        <v>0</v>
      </c>
      <c r="H577" s="857"/>
      <c r="I577" s="850"/>
      <c r="J577" s="850"/>
      <c r="K577" s="850"/>
      <c r="L577" s="850"/>
      <c r="M577" s="850"/>
      <c r="N577" s="850"/>
      <c r="O577" s="850"/>
      <c r="P577" s="850"/>
      <c r="Q577" s="850"/>
      <c r="R577" s="850"/>
      <c r="S577" s="850"/>
    </row>
    <row r="578" spans="1:19">
      <c r="A578" s="850" t="s">
        <v>2931</v>
      </c>
      <c r="B578" s="850" t="s">
        <v>675</v>
      </c>
      <c r="C578" s="576" t="s">
        <v>2586</v>
      </c>
      <c r="D578" s="859" t="s">
        <v>2485</v>
      </c>
      <c r="E578" s="1003" t="s">
        <v>2935</v>
      </c>
      <c r="F578" s="952">
        <f>ROUND(SUMIFS('A0.LS'!AX:AX,'A0.LS'!C:C,D578),0)</f>
        <v>-56877041</v>
      </c>
      <c r="G578" s="938">
        <v>0</v>
      </c>
      <c r="H578" s="850"/>
      <c r="I578" s="857"/>
      <c r="J578" s="850"/>
      <c r="K578" s="850"/>
      <c r="L578" s="850"/>
      <c r="M578" s="850"/>
      <c r="N578" s="850"/>
      <c r="O578" s="850"/>
      <c r="P578" s="850"/>
      <c r="Q578" s="850"/>
      <c r="R578" s="850"/>
      <c r="S578" s="850"/>
    </row>
    <row r="579" spans="1:19">
      <c r="A579" s="850" t="s">
        <v>2931</v>
      </c>
      <c r="B579" s="850" t="s">
        <v>675</v>
      </c>
      <c r="C579" s="576" t="s">
        <v>2586</v>
      </c>
      <c r="D579" s="859" t="s">
        <v>2488</v>
      </c>
      <c r="E579" s="850" t="s">
        <v>2936</v>
      </c>
      <c r="F579" s="952">
        <f>ROUND(SUMIFS('A0.LS'!AX:AX,'A0.LS'!C:C,D579),0)</f>
        <v>89342676081</v>
      </c>
      <c r="G579" s="938">
        <v>60674283025</v>
      </c>
      <c r="H579" s="850" t="s">
        <v>681</v>
      </c>
      <c r="I579" s="850"/>
      <c r="J579" s="850"/>
      <c r="K579" s="850"/>
      <c r="L579" s="850"/>
      <c r="M579" s="850"/>
      <c r="N579" s="850"/>
      <c r="O579" s="850"/>
      <c r="P579" s="850"/>
      <c r="Q579" s="850"/>
      <c r="R579" s="850"/>
      <c r="S579" s="850"/>
    </row>
    <row r="580" spans="1:19">
      <c r="A580" s="850" t="s">
        <v>2931</v>
      </c>
      <c r="B580" s="850" t="s">
        <v>675</v>
      </c>
      <c r="C580" s="576" t="s">
        <v>2586</v>
      </c>
      <c r="D580" s="850" t="s">
        <v>2498</v>
      </c>
      <c r="E580" s="850" t="s">
        <v>2937</v>
      </c>
      <c r="F580" s="952">
        <f>ROUND(SUMIFS('A0.LS'!AX:AX,'A0.LS'!C:C,D580),0)</f>
        <v>0</v>
      </c>
      <c r="G580" s="938">
        <f>ROUND(SUMIFS('A0.LS'!BR:BR,'A0.LS'!C:C,D580),0)</f>
        <v>0</v>
      </c>
      <c r="H580" s="850"/>
      <c r="I580" s="850"/>
      <c r="J580" s="850"/>
      <c r="K580" s="850"/>
      <c r="L580" s="850"/>
      <c r="M580" s="850"/>
      <c r="N580" s="850"/>
      <c r="O580" s="850"/>
      <c r="P580" s="850"/>
      <c r="Q580" s="850"/>
      <c r="R580" s="850"/>
      <c r="S580" s="850"/>
    </row>
    <row r="581" spans="1:19">
      <c r="A581" s="850" t="s">
        <v>2931</v>
      </c>
      <c r="B581" s="850" t="s">
        <v>675</v>
      </c>
      <c r="C581" s="576" t="s">
        <v>2586</v>
      </c>
      <c r="D581" s="859" t="s">
        <v>2505</v>
      </c>
      <c r="E581" s="850" t="s">
        <v>2510</v>
      </c>
      <c r="F581" s="952">
        <f>ROUND(SUMIFS('A0.LS'!AX:AX,'A0.LS'!C:C,D581),0)</f>
        <v>0</v>
      </c>
      <c r="G581" s="938">
        <v>393000272.70959198</v>
      </c>
      <c r="H581" s="850"/>
      <c r="I581" s="850"/>
      <c r="J581" s="850"/>
      <c r="K581" s="850"/>
      <c r="L581" s="850"/>
      <c r="M581" s="850"/>
      <c r="N581" s="850"/>
      <c r="O581" s="850"/>
      <c r="P581" s="850"/>
      <c r="Q581" s="850"/>
      <c r="R581" s="850"/>
      <c r="S581" s="850"/>
    </row>
    <row r="582" spans="1:19">
      <c r="A582" s="850" t="s">
        <v>2931</v>
      </c>
      <c r="B582" s="850" t="s">
        <v>675</v>
      </c>
      <c r="C582" s="576" t="s">
        <v>2586</v>
      </c>
      <c r="D582" s="859" t="s">
        <v>2508</v>
      </c>
      <c r="E582" s="850" t="s">
        <v>2938</v>
      </c>
      <c r="F582" s="952">
        <f>ROUND(SUMIFS('A0.LS'!AX:AX,'A0.LS'!C:C,D582),0)</f>
        <v>15391572</v>
      </c>
      <c r="G582" s="938">
        <f>ROUND(SUMIFS('A0.LS'!BR:BR,'A0.LS'!C:C,D582),0)</f>
        <v>3226703</v>
      </c>
      <c r="H582" s="850"/>
      <c r="I582" s="850"/>
      <c r="J582" s="850"/>
      <c r="K582" s="850"/>
      <c r="L582" s="850"/>
      <c r="M582" s="850"/>
      <c r="N582" s="850"/>
      <c r="O582" s="850"/>
      <c r="P582" s="850"/>
      <c r="Q582" s="850"/>
      <c r="R582" s="850"/>
      <c r="S582" s="850"/>
    </row>
    <row r="583" spans="1:19" ht="13.5" thickBot="1">
      <c r="A583" s="850" t="s">
        <v>2931</v>
      </c>
      <c r="B583" s="850" t="s">
        <v>675</v>
      </c>
      <c r="C583" s="576" t="s">
        <v>2586</v>
      </c>
      <c r="D583" s="850"/>
      <c r="E583" s="850"/>
      <c r="F583" s="1543">
        <f>SUM(F575:F582)</f>
        <v>99533612162</v>
      </c>
      <c r="G583" s="1544">
        <f>SUM(G575:G582)</f>
        <v>94994904941.709595</v>
      </c>
      <c r="H583" s="850"/>
      <c r="I583" s="850"/>
      <c r="J583" s="850"/>
      <c r="K583" s="850"/>
      <c r="L583" s="850"/>
      <c r="M583" s="850"/>
      <c r="N583" s="850"/>
      <c r="O583" s="850"/>
      <c r="P583" s="850"/>
      <c r="Q583" s="850"/>
      <c r="R583" s="850"/>
      <c r="S583" s="850"/>
    </row>
    <row r="584" spans="1:19" ht="13.5" thickTop="1">
      <c r="A584" s="850" t="s">
        <v>2931</v>
      </c>
      <c r="B584" s="850" t="s">
        <v>675</v>
      </c>
      <c r="C584" s="576" t="s">
        <v>2586</v>
      </c>
      <c r="D584" s="850"/>
      <c r="E584" s="850"/>
      <c r="F584" s="850"/>
      <c r="G584" s="850"/>
      <c r="H584" s="850"/>
      <c r="I584" s="850"/>
      <c r="J584" s="850"/>
      <c r="K584" s="850"/>
      <c r="L584" s="850"/>
      <c r="M584" s="850"/>
      <c r="N584" s="850"/>
      <c r="O584" s="850"/>
      <c r="P584" s="850"/>
      <c r="Q584" s="850"/>
      <c r="R584" s="850"/>
      <c r="S584" s="850"/>
    </row>
    <row r="585" spans="1:19">
      <c r="A585" s="850" t="s">
        <v>2931</v>
      </c>
      <c r="B585" s="850" t="s">
        <v>675</v>
      </c>
      <c r="C585" s="576" t="s">
        <v>2586</v>
      </c>
      <c r="D585" s="850"/>
      <c r="E585" s="1" t="s">
        <v>1970</v>
      </c>
      <c r="F585" s="857">
        <f>F583+'A2.PL'!R13</f>
        <v>0</v>
      </c>
      <c r="G585" s="857">
        <f>G583+'A2.PL'!V13</f>
        <v>-69324523613.290405</v>
      </c>
      <c r="H585" s="850"/>
      <c r="I585" s="850"/>
      <c r="J585" s="850"/>
      <c r="K585" s="850"/>
      <c r="L585" s="850"/>
      <c r="M585" s="850"/>
      <c r="N585" s="850"/>
      <c r="O585" s="850"/>
      <c r="P585" s="850"/>
      <c r="Q585" s="850"/>
      <c r="R585" s="850"/>
      <c r="S585" s="850"/>
    </row>
    <row r="586" spans="1:19">
      <c r="A586" s="850" t="s">
        <v>2931</v>
      </c>
      <c r="B586" s="850" t="s">
        <v>675</v>
      </c>
      <c r="C586" s="576" t="s">
        <v>2586</v>
      </c>
      <c r="D586" s="850"/>
      <c r="E586" s="850"/>
      <c r="F586" s="850"/>
      <c r="G586" s="850"/>
      <c r="H586" s="850"/>
      <c r="I586" s="850"/>
      <c r="J586" s="850"/>
      <c r="K586" s="850"/>
      <c r="L586" s="850"/>
      <c r="M586" s="850"/>
      <c r="N586" s="850"/>
      <c r="O586" s="850"/>
      <c r="P586" s="850"/>
      <c r="Q586" s="850"/>
      <c r="R586" s="850"/>
      <c r="S586" s="850"/>
    </row>
    <row r="587" spans="1:19">
      <c r="A587" s="172"/>
      <c r="B587" s="172" t="s">
        <v>676</v>
      </c>
      <c r="C587" s="172" t="s">
        <v>681</v>
      </c>
      <c r="D587" s="172"/>
      <c r="E587" s="562" t="s">
        <v>2939</v>
      </c>
      <c r="F587" s="172"/>
      <c r="G587" s="172"/>
      <c r="H587" s="172"/>
      <c r="I587" s="172"/>
      <c r="J587" s="172"/>
      <c r="K587" s="172"/>
      <c r="L587" s="172"/>
      <c r="M587" s="172"/>
      <c r="N587" s="172"/>
      <c r="O587" s="172"/>
      <c r="P587" s="172"/>
      <c r="Q587" s="172"/>
      <c r="R587" s="172"/>
      <c r="S587" s="172"/>
    </row>
    <row r="588" spans="1:19">
      <c r="A588" s="850" t="s">
        <v>2585</v>
      </c>
      <c r="B588" s="850" t="s">
        <v>676</v>
      </c>
      <c r="C588" s="576" t="s">
        <v>2586</v>
      </c>
      <c r="D588" s="850"/>
      <c r="E588" s="850"/>
      <c r="F588" s="850"/>
      <c r="G588" s="850"/>
      <c r="H588" s="850"/>
      <c r="I588" s="850"/>
      <c r="J588" s="850"/>
      <c r="K588" s="850"/>
      <c r="L588" s="850"/>
      <c r="M588" s="850"/>
      <c r="N588" s="850"/>
      <c r="O588" s="850"/>
      <c r="P588" s="850"/>
      <c r="Q588" s="850"/>
      <c r="R588" s="850"/>
      <c r="S588" s="850"/>
    </row>
    <row r="589" spans="1:19" ht="25.5">
      <c r="A589" s="850" t="s">
        <v>2585</v>
      </c>
      <c r="B589" s="850" t="s">
        <v>676</v>
      </c>
      <c r="C589" s="576" t="s">
        <v>2586</v>
      </c>
      <c r="D589" s="850"/>
      <c r="E589" s="850"/>
      <c r="F589" s="549" t="s">
        <v>2867</v>
      </c>
      <c r="G589" s="554" t="s">
        <v>2868</v>
      </c>
      <c r="H589" s="850"/>
      <c r="I589" s="850"/>
      <c r="J589" s="850"/>
      <c r="K589" s="850"/>
      <c r="L589" s="850"/>
      <c r="M589" s="850"/>
      <c r="N589" s="850"/>
      <c r="O589" s="850"/>
      <c r="P589" s="850"/>
      <c r="Q589" s="850"/>
      <c r="R589" s="850"/>
      <c r="S589" s="850"/>
    </row>
    <row r="590" spans="1:19">
      <c r="A590" s="850" t="s">
        <v>2585</v>
      </c>
      <c r="B590" s="850" t="s">
        <v>676</v>
      </c>
      <c r="C590" s="576" t="s">
        <v>2586</v>
      </c>
      <c r="D590" s="850"/>
      <c r="E590" s="1" t="s">
        <v>443</v>
      </c>
      <c r="F590" s="909"/>
      <c r="G590" s="910"/>
      <c r="H590" s="850"/>
      <c r="I590" s="1019"/>
      <c r="J590" s="850"/>
      <c r="K590" s="850"/>
      <c r="L590" s="850"/>
      <c r="M590" s="850"/>
      <c r="N590" s="850"/>
      <c r="O590" s="850"/>
      <c r="P590" s="850"/>
      <c r="Q590" s="850"/>
      <c r="R590" s="850"/>
      <c r="S590" s="850"/>
    </row>
    <row r="591" spans="1:19">
      <c r="A591" s="850" t="s">
        <v>2585</v>
      </c>
      <c r="B591" s="850" t="s">
        <v>676</v>
      </c>
      <c r="C591" s="576" t="s">
        <v>2586</v>
      </c>
      <c r="D591" s="850"/>
      <c r="E591" s="850" t="s">
        <v>2940</v>
      </c>
      <c r="F591" s="952">
        <f>'A4.N2FS Singles'!F583</f>
        <v>0</v>
      </c>
      <c r="G591" s="938">
        <v>0</v>
      </c>
      <c r="H591" s="850"/>
      <c r="I591" s="1019"/>
      <c r="J591" s="848"/>
      <c r="K591" s="850"/>
      <c r="L591" s="850"/>
      <c r="M591" s="850"/>
      <c r="N591" s="850"/>
      <c r="O591" s="850"/>
      <c r="P591" s="850"/>
      <c r="Q591" s="850"/>
      <c r="R591" s="850"/>
      <c r="S591" s="850"/>
    </row>
    <row r="592" spans="1:19">
      <c r="A592" s="850" t="s">
        <v>2585</v>
      </c>
      <c r="B592" s="850" t="s">
        <v>676</v>
      </c>
      <c r="C592" s="576" t="s">
        <v>2586</v>
      </c>
      <c r="D592" s="850"/>
      <c r="E592" s="850" t="s">
        <v>2941</v>
      </c>
      <c r="F592" s="952">
        <f>'A4.N2FS Singles'!F584-'A0.LS'!AH351</f>
        <v>36573944</v>
      </c>
      <c r="G592" s="938">
        <v>148064344</v>
      </c>
      <c r="H592" s="850"/>
      <c r="I592" s="1019"/>
      <c r="J592" s="857"/>
      <c r="K592" s="850"/>
      <c r="L592" s="850"/>
      <c r="M592" s="850"/>
      <c r="N592" s="850"/>
      <c r="O592" s="850"/>
      <c r="P592" s="850"/>
      <c r="Q592" s="850"/>
      <c r="R592" s="850"/>
      <c r="S592" s="850"/>
    </row>
    <row r="593" spans="1:19">
      <c r="A593" s="850" t="s">
        <v>2585</v>
      </c>
      <c r="B593" s="850" t="s">
        <v>676</v>
      </c>
      <c r="C593" s="576" t="s">
        <v>2586</v>
      </c>
      <c r="D593" s="850"/>
      <c r="E593" s="850"/>
      <c r="F593" s="1603">
        <f>SUM(F591:F592)</f>
        <v>36573944</v>
      </c>
      <c r="G593" s="1602">
        <f>SUM(G591:G592)</f>
        <v>148064344</v>
      </c>
      <c r="H593" s="850"/>
      <c r="I593" s="1019"/>
      <c r="J593" s="850"/>
      <c r="K593" s="850"/>
      <c r="L593" s="850"/>
      <c r="M593" s="850"/>
      <c r="N593" s="850"/>
      <c r="O593" s="850"/>
      <c r="P593" s="850"/>
      <c r="Q593" s="850"/>
      <c r="R593" s="850"/>
      <c r="S593" s="850"/>
    </row>
    <row r="594" spans="1:19">
      <c r="A594" s="850" t="s">
        <v>2585</v>
      </c>
      <c r="B594" s="850" t="s">
        <v>676</v>
      </c>
      <c r="C594" s="576" t="s">
        <v>2586</v>
      </c>
      <c r="D594" s="850"/>
      <c r="E594" s="850"/>
      <c r="F594" s="850"/>
      <c r="G594" s="850"/>
      <c r="H594" s="850"/>
      <c r="I594" s="1019"/>
      <c r="J594" s="857"/>
      <c r="K594" s="850"/>
      <c r="L594" s="850"/>
      <c r="M594" s="850"/>
      <c r="N594" s="850"/>
      <c r="O594" s="850"/>
      <c r="P594" s="850"/>
      <c r="Q594" s="850"/>
      <c r="R594" s="850"/>
      <c r="S594" s="850"/>
    </row>
    <row r="595" spans="1:19">
      <c r="A595" s="850" t="s">
        <v>2585</v>
      </c>
      <c r="B595" s="850" t="s">
        <v>676</v>
      </c>
      <c r="C595" s="576" t="s">
        <v>2586</v>
      </c>
      <c r="D595" s="850"/>
      <c r="E595" s="1" t="s">
        <v>445</v>
      </c>
      <c r="F595" s="850"/>
      <c r="G595" s="850"/>
      <c r="H595" s="850"/>
      <c r="I595" s="1019"/>
      <c r="J595" s="850"/>
      <c r="K595" s="850"/>
      <c r="L595" s="850"/>
      <c r="M595" s="850"/>
      <c r="N595" s="850"/>
      <c r="O595" s="850"/>
      <c r="P595" s="850"/>
      <c r="Q595" s="850"/>
      <c r="R595" s="850"/>
      <c r="S595" s="850"/>
    </row>
    <row r="596" spans="1:19">
      <c r="A596" s="850" t="s">
        <v>2585</v>
      </c>
      <c r="B596" s="850" t="s">
        <v>676</v>
      </c>
      <c r="C596" s="576" t="s">
        <v>2586</v>
      </c>
      <c r="D596" s="850"/>
      <c r="E596" s="850" t="s">
        <v>2942</v>
      </c>
      <c r="F596" s="952">
        <f>'A4.N2FS Singles'!F588</f>
        <v>-26293277840</v>
      </c>
      <c r="G596" s="938">
        <v>-72494886616.145691</v>
      </c>
      <c r="H596" s="850"/>
      <c r="I596" s="1019"/>
      <c r="J596" s="850"/>
      <c r="K596" s="850"/>
      <c r="L596" s="850"/>
      <c r="M596" s="850"/>
      <c r="N596" s="850"/>
      <c r="O596" s="850"/>
      <c r="P596" s="850"/>
      <c r="Q596" s="850"/>
      <c r="R596" s="850"/>
      <c r="S596" s="850"/>
    </row>
    <row r="597" spans="1:19">
      <c r="A597" s="850" t="s">
        <v>2585</v>
      </c>
      <c r="B597" s="850" t="s">
        <v>676</v>
      </c>
      <c r="C597" s="576" t="s">
        <v>2586</v>
      </c>
      <c r="D597" s="850"/>
      <c r="E597" s="850" t="s">
        <v>2941</v>
      </c>
      <c r="F597" s="399">
        <f>'A4.N2FS Singles'!F589+4-'A0.LS'!AC352-'A0.LS'!AH352-4</f>
        <v>-26328368</v>
      </c>
      <c r="G597" s="938">
        <v>-9281392</v>
      </c>
      <c r="H597" s="850"/>
      <c r="I597" s="850"/>
      <c r="J597" s="850"/>
      <c r="K597" s="850"/>
      <c r="L597" s="850"/>
      <c r="M597" s="850"/>
      <c r="N597" s="850"/>
      <c r="O597" s="850"/>
      <c r="P597" s="850"/>
      <c r="Q597" s="850"/>
      <c r="R597" s="850"/>
      <c r="S597" s="850"/>
    </row>
    <row r="598" spans="1:19">
      <c r="A598" s="850" t="s">
        <v>2585</v>
      </c>
      <c r="B598" s="850" t="s">
        <v>676</v>
      </c>
      <c r="C598" s="576" t="s">
        <v>2586</v>
      </c>
      <c r="D598" s="850"/>
      <c r="E598" s="850"/>
      <c r="F598" s="1603">
        <f>SUM(F596:F597)</f>
        <v>-26319606208</v>
      </c>
      <c r="G598" s="1602">
        <f>SUM(G596:G597)</f>
        <v>-72504168008.145691</v>
      </c>
      <c r="H598" s="850"/>
      <c r="I598" s="848"/>
      <c r="J598" s="850"/>
      <c r="K598" s="850"/>
      <c r="L598" s="850"/>
      <c r="M598" s="850"/>
      <c r="N598" s="850"/>
      <c r="O598" s="850"/>
      <c r="P598" s="850"/>
      <c r="Q598" s="850"/>
      <c r="R598" s="850"/>
      <c r="S598" s="850"/>
    </row>
    <row r="599" spans="1:19">
      <c r="A599" s="850" t="s">
        <v>2585</v>
      </c>
      <c r="B599" s="850" t="s">
        <v>676</v>
      </c>
      <c r="C599" s="576" t="s">
        <v>2586</v>
      </c>
      <c r="D599" s="850"/>
      <c r="E599" s="850"/>
      <c r="F599" s="850"/>
      <c r="G599" s="850"/>
      <c r="H599" s="850"/>
      <c r="I599" s="850"/>
      <c r="J599" s="850"/>
      <c r="K599" s="850"/>
      <c r="L599" s="850"/>
      <c r="M599" s="850"/>
      <c r="N599" s="850"/>
      <c r="O599" s="850"/>
      <c r="P599" s="850"/>
      <c r="Q599" s="850"/>
      <c r="R599" s="850"/>
      <c r="S599" s="850"/>
    </row>
    <row r="600" spans="1:19">
      <c r="A600" s="850" t="s">
        <v>2585</v>
      </c>
      <c r="B600" s="850" t="s">
        <v>676</v>
      </c>
      <c r="C600" s="576" t="s">
        <v>2586</v>
      </c>
      <c r="D600" s="850"/>
      <c r="E600" s="850" t="s">
        <v>2943</v>
      </c>
      <c r="F600" s="952">
        <f>F591+F596</f>
        <v>-26293277840</v>
      </c>
      <c r="G600" s="938">
        <f>G591+G596</f>
        <v>-72494886616.145691</v>
      </c>
      <c r="H600" s="850"/>
      <c r="I600" s="850"/>
      <c r="J600" s="850"/>
      <c r="K600" s="850"/>
      <c r="L600" s="850"/>
      <c r="M600" s="850"/>
      <c r="N600" s="850"/>
      <c r="O600" s="850"/>
      <c r="P600" s="850"/>
      <c r="Q600" s="850"/>
      <c r="R600" s="850"/>
      <c r="S600" s="850"/>
    </row>
    <row r="601" spans="1:19">
      <c r="A601" s="850" t="s">
        <v>2585</v>
      </c>
      <c r="B601" s="850" t="s">
        <v>676</v>
      </c>
      <c r="C601" s="576" t="s">
        <v>2586</v>
      </c>
      <c r="D601" s="850"/>
      <c r="E601" s="850" t="s">
        <v>2944</v>
      </c>
      <c r="F601" s="952">
        <f>F592+F597</f>
        <v>10245576</v>
      </c>
      <c r="G601" s="938">
        <f>G592+G597</f>
        <v>138782952</v>
      </c>
      <c r="H601" s="850"/>
      <c r="I601" s="848"/>
      <c r="J601" s="850"/>
      <c r="K601" s="850"/>
      <c r="L601" s="850"/>
      <c r="M601" s="850"/>
      <c r="N601" s="850"/>
      <c r="O601" s="850"/>
      <c r="P601" s="850"/>
      <c r="Q601" s="850"/>
      <c r="R601" s="850"/>
      <c r="S601" s="850"/>
    </row>
    <row r="602" spans="1:19" ht="13.5" thickBot="1">
      <c r="A602" s="850" t="s">
        <v>2585</v>
      </c>
      <c r="B602" s="850" t="s">
        <v>676</v>
      </c>
      <c r="C602" s="576" t="s">
        <v>2586</v>
      </c>
      <c r="D602" s="850"/>
      <c r="E602" s="1" t="s">
        <v>2945</v>
      </c>
      <c r="F602" s="1545">
        <f>SUM(F600:F601)</f>
        <v>-26283032264</v>
      </c>
      <c r="G602" s="1546">
        <f>SUM(G600:G601)</f>
        <v>-72356103664.145691</v>
      </c>
      <c r="H602" s="850"/>
      <c r="I602" s="850"/>
      <c r="J602" s="850"/>
      <c r="K602" s="850"/>
      <c r="L602" s="850"/>
      <c r="M602" s="850"/>
      <c r="N602" s="850"/>
      <c r="O602" s="850"/>
      <c r="P602" s="850"/>
      <c r="Q602" s="850"/>
      <c r="R602" s="850"/>
      <c r="S602" s="850"/>
    </row>
    <row r="603" spans="1:19" ht="13.5" thickTop="1">
      <c r="A603" s="850" t="s">
        <v>2585</v>
      </c>
      <c r="B603" s="850" t="s">
        <v>676</v>
      </c>
      <c r="C603" s="576" t="s">
        <v>2586</v>
      </c>
      <c r="D603" s="850"/>
      <c r="E603" s="850"/>
      <c r="F603" s="850"/>
      <c r="G603" s="850"/>
      <c r="H603" s="850"/>
      <c r="I603" s="850"/>
      <c r="J603" s="850"/>
      <c r="K603" s="850"/>
      <c r="L603" s="850"/>
      <c r="M603" s="850"/>
      <c r="N603" s="850"/>
      <c r="O603" s="850"/>
      <c r="P603" s="850"/>
      <c r="Q603" s="850"/>
      <c r="R603" s="850"/>
      <c r="S603" s="850"/>
    </row>
    <row r="604" spans="1:19">
      <c r="A604" s="850" t="s">
        <v>2585</v>
      </c>
      <c r="B604" s="850" t="s">
        <v>676</v>
      </c>
      <c r="C604" s="576" t="s">
        <v>2586</v>
      </c>
      <c r="D604" s="850"/>
      <c r="E604" s="1" t="s">
        <v>1970</v>
      </c>
      <c r="F604" s="857">
        <f>F593-'A2.PL'!R19</f>
        <v>0</v>
      </c>
      <c r="G604" s="857">
        <f>G593-'A2.PL'!V19</f>
        <v>133075376</v>
      </c>
      <c r="H604" s="850"/>
      <c r="I604" s="850"/>
      <c r="J604" s="850"/>
      <c r="K604" s="850"/>
      <c r="L604" s="850"/>
      <c r="M604" s="850"/>
      <c r="N604" s="850"/>
      <c r="O604" s="850"/>
      <c r="P604" s="850"/>
      <c r="Q604" s="850"/>
      <c r="R604" s="850"/>
      <c r="S604" s="850"/>
    </row>
    <row r="605" spans="1:19">
      <c r="A605" s="850" t="s">
        <v>2585</v>
      </c>
      <c r="B605" s="850" t="s">
        <v>676</v>
      </c>
      <c r="C605" s="576" t="s">
        <v>2586</v>
      </c>
      <c r="D605" s="850"/>
      <c r="E605" s="1" t="s">
        <v>1970</v>
      </c>
      <c r="F605" s="857">
        <f>F598-'A2.PL'!R20</f>
        <v>0</v>
      </c>
      <c r="G605" s="857">
        <f>G598-'A2.PL'!V20</f>
        <v>-70510318409.145691</v>
      </c>
      <c r="H605" s="850"/>
      <c r="I605" s="850"/>
      <c r="J605" s="850"/>
      <c r="K605" s="850"/>
      <c r="L605" s="850"/>
      <c r="M605" s="850"/>
      <c r="N605" s="850"/>
      <c r="O605" s="850"/>
      <c r="P605" s="850"/>
      <c r="Q605" s="850"/>
      <c r="R605" s="850"/>
      <c r="S605" s="850"/>
    </row>
    <row r="606" spans="1:19">
      <c r="A606" s="850" t="s">
        <v>2585</v>
      </c>
      <c r="B606" s="850" t="s">
        <v>676</v>
      </c>
      <c r="C606" s="576" t="s">
        <v>2586</v>
      </c>
      <c r="D606" s="850"/>
      <c r="E606" s="1" t="s">
        <v>1970</v>
      </c>
      <c r="F606" s="857">
        <f>F602-'A2.PL'!R21</f>
        <v>0</v>
      </c>
      <c r="G606" s="857">
        <f>G602-'A2.PL'!V21</f>
        <v>-70377243033.145691</v>
      </c>
      <c r="H606" s="850"/>
      <c r="I606" s="850"/>
      <c r="J606" s="850"/>
      <c r="K606" s="850"/>
      <c r="L606" s="850"/>
      <c r="M606" s="850"/>
      <c r="N606" s="850"/>
      <c r="O606" s="850"/>
      <c r="P606" s="850"/>
      <c r="Q606" s="850"/>
      <c r="R606" s="850"/>
      <c r="S606" s="850"/>
    </row>
    <row r="607" spans="1:19">
      <c r="A607" s="850" t="s">
        <v>2585</v>
      </c>
      <c r="B607" s="850" t="s">
        <v>676</v>
      </c>
      <c r="C607" s="576" t="s">
        <v>2586</v>
      </c>
      <c r="D607" s="850"/>
      <c r="E607" s="1"/>
      <c r="F607" s="850"/>
      <c r="G607" s="850"/>
      <c r="H607" s="850"/>
      <c r="I607" s="850"/>
      <c r="J607" s="850"/>
      <c r="K607" s="850"/>
      <c r="L607" s="850"/>
      <c r="M607" s="850"/>
      <c r="N607" s="850"/>
      <c r="O607" s="850"/>
      <c r="P607" s="850"/>
      <c r="Q607" s="850"/>
      <c r="R607" s="850"/>
      <c r="S607" s="850"/>
    </row>
    <row r="608" spans="1:19">
      <c r="A608" s="172"/>
      <c r="B608" s="172" t="s">
        <v>675</v>
      </c>
      <c r="C608" s="172" t="s">
        <v>681</v>
      </c>
      <c r="D608" s="172"/>
      <c r="E608" s="562" t="s">
        <v>2946</v>
      </c>
      <c r="F608" s="172"/>
      <c r="G608" s="172"/>
      <c r="H608" s="172"/>
      <c r="I608" s="172"/>
      <c r="J608" s="172"/>
      <c r="K608" s="172"/>
      <c r="L608" s="172"/>
      <c r="M608" s="172"/>
      <c r="N608" s="172"/>
      <c r="O608" s="172"/>
      <c r="P608" s="172"/>
      <c r="Q608" s="172"/>
      <c r="R608" s="172"/>
      <c r="S608" s="172"/>
    </row>
    <row r="609" spans="1:20">
      <c r="A609" s="850" t="s">
        <v>2602</v>
      </c>
      <c r="B609" s="850" t="s">
        <v>675</v>
      </c>
      <c r="C609" s="576" t="s">
        <v>2586</v>
      </c>
      <c r="D609" s="850"/>
      <c r="E609" s="850"/>
      <c r="F609" s="850"/>
      <c r="G609" s="850"/>
      <c r="H609" s="850"/>
      <c r="I609" s="850"/>
      <c r="J609" s="850"/>
      <c r="K609" s="850"/>
      <c r="L609" s="850"/>
      <c r="M609" s="850"/>
      <c r="N609" s="850"/>
      <c r="O609" s="850"/>
      <c r="P609" s="850"/>
      <c r="Q609" s="850"/>
      <c r="R609" s="850"/>
      <c r="S609" s="850"/>
      <c r="T609" s="850"/>
    </row>
    <row r="610" spans="1:20" ht="25.5">
      <c r="A610" s="850" t="s">
        <v>2602</v>
      </c>
      <c r="B610" s="850" t="s">
        <v>675</v>
      </c>
      <c r="C610" s="576" t="s">
        <v>2586</v>
      </c>
      <c r="D610" s="850"/>
      <c r="E610" s="850"/>
      <c r="F610" s="549" t="s">
        <v>2867</v>
      </c>
      <c r="G610" s="554" t="s">
        <v>2868</v>
      </c>
      <c r="H610" s="850"/>
      <c r="I610" s="899" t="s">
        <v>2947</v>
      </c>
      <c r="J610" s="850"/>
      <c r="K610" s="850"/>
      <c r="L610" s="850"/>
      <c r="M610" s="850"/>
      <c r="N610" s="850"/>
      <c r="O610" s="850"/>
      <c r="P610" s="850"/>
      <c r="Q610" s="850"/>
      <c r="R610" s="850"/>
      <c r="S610" s="850"/>
      <c r="T610" s="850"/>
    </row>
    <row r="611" spans="1:20">
      <c r="A611" s="850" t="s">
        <v>2602</v>
      </c>
      <c r="B611" s="850" t="s">
        <v>675</v>
      </c>
      <c r="C611" s="576" t="s">
        <v>2586</v>
      </c>
      <c r="D611" s="850"/>
      <c r="E611" s="1003" t="s">
        <v>2948</v>
      </c>
      <c r="F611" s="951">
        <f>F540+F555</f>
        <v>23983461121</v>
      </c>
      <c r="G611" s="1042">
        <f>G540+G555</f>
        <v>14390792134</v>
      </c>
      <c r="H611" s="850"/>
      <c r="I611" s="850"/>
      <c r="J611" s="850"/>
      <c r="K611" s="850"/>
      <c r="L611" s="850"/>
      <c r="M611" s="850"/>
      <c r="N611" s="850"/>
      <c r="O611" s="850"/>
      <c r="P611" s="850"/>
      <c r="Q611" s="850"/>
      <c r="R611" s="850"/>
      <c r="S611" s="850"/>
      <c r="T611" s="850"/>
    </row>
    <row r="612" spans="1:20" ht="38.25">
      <c r="A612" s="850" t="s">
        <v>2602</v>
      </c>
      <c r="B612" s="850" t="s">
        <v>675</v>
      </c>
      <c r="C612" s="576" t="s">
        <v>2586</v>
      </c>
      <c r="D612" s="850"/>
      <c r="E612" s="1003" t="s">
        <v>2949</v>
      </c>
      <c r="F612" s="1072">
        <f>I223+H247-F820-F819</f>
        <v>18432689918</v>
      </c>
      <c r="G612" s="1282">
        <f>13795486717-1</f>
        <v>13795486716</v>
      </c>
      <c r="H612" s="857"/>
      <c r="I612" s="848">
        <f>I223+H247-F820-F819</f>
        <v>18432689918</v>
      </c>
      <c r="J612" s="857">
        <f>F612-I612</f>
        <v>0</v>
      </c>
      <c r="K612" s="850"/>
      <c r="L612" s="850"/>
      <c r="M612" s="850"/>
      <c r="N612" s="850"/>
      <c r="O612" s="850"/>
      <c r="P612" s="850"/>
      <c r="Q612" s="850"/>
      <c r="R612" s="850"/>
      <c r="S612" s="850"/>
      <c r="T612" s="850"/>
    </row>
    <row r="613" spans="1:20">
      <c r="A613" s="850" t="s">
        <v>2602</v>
      </c>
      <c r="B613" s="850" t="s">
        <v>675</v>
      </c>
      <c r="C613" s="576" t="s">
        <v>2586</v>
      </c>
      <c r="D613" s="850"/>
      <c r="E613" s="1003" t="s">
        <v>272</v>
      </c>
      <c r="F613" s="951">
        <f>F542+F543+F559+F504+F505+F506+F507</f>
        <v>19988998810</v>
      </c>
      <c r="G613" s="1042">
        <f>G505+G506+G507+G509+G504+G542+G543+G559</f>
        <v>12423720247.477276</v>
      </c>
      <c r="H613" s="850"/>
      <c r="I613" s="850"/>
      <c r="J613" s="850"/>
      <c r="K613" s="850"/>
      <c r="L613" s="850"/>
      <c r="M613" s="850"/>
      <c r="N613" s="850"/>
      <c r="O613" s="850"/>
      <c r="P613" s="850"/>
      <c r="Q613" s="850"/>
      <c r="R613" s="850"/>
      <c r="S613" s="850"/>
      <c r="T613" s="850"/>
    </row>
    <row r="614" spans="1:20">
      <c r="A614" s="850" t="s">
        <v>2602</v>
      </c>
      <c r="B614" s="850" t="s">
        <v>675</v>
      </c>
      <c r="C614" s="576" t="s">
        <v>2586</v>
      </c>
      <c r="D614" s="850"/>
      <c r="E614" s="1003" t="s">
        <v>807</v>
      </c>
      <c r="F614" s="951">
        <f>F615-SUM(F611:F613)</f>
        <v>89466795529</v>
      </c>
      <c r="G614" s="1042">
        <f>G615-SUM(G611:G613)+1</f>
        <v>40527715141.03389</v>
      </c>
      <c r="H614" s="850"/>
      <c r="I614" s="850"/>
      <c r="J614" s="850"/>
      <c r="K614" s="850"/>
      <c r="L614" s="850"/>
      <c r="M614" s="850"/>
      <c r="N614" s="850"/>
      <c r="O614" s="850"/>
      <c r="P614" s="850"/>
      <c r="Q614" s="850"/>
      <c r="R614" s="850"/>
      <c r="S614" s="850"/>
      <c r="T614" s="850"/>
    </row>
    <row r="615" spans="1:20" ht="13.5" thickBot="1">
      <c r="A615" s="850" t="s">
        <v>2602</v>
      </c>
      <c r="B615" s="850" t="s">
        <v>675</v>
      </c>
      <c r="C615" s="576" t="s">
        <v>2586</v>
      </c>
      <c r="D615" s="850"/>
      <c r="E615" s="850"/>
      <c r="F615" s="1543">
        <f>SUM(F568,F547,F516)</f>
        <v>151871945378</v>
      </c>
      <c r="G615" s="1544">
        <f>SUM(G568,G547,G516)-1</f>
        <v>81137714237.511169</v>
      </c>
      <c r="H615" s="850"/>
      <c r="I615" s="850"/>
      <c r="J615" s="850"/>
      <c r="K615" s="850"/>
      <c r="L615" s="850"/>
      <c r="M615" s="850"/>
      <c r="N615" s="850"/>
      <c r="O615" s="850"/>
      <c r="P615" s="850"/>
      <c r="Q615" s="850"/>
      <c r="R615" s="850"/>
      <c r="S615" s="850"/>
      <c r="T615" s="850"/>
    </row>
    <row r="616" spans="1:20" ht="13.5" thickTop="1">
      <c r="A616" s="850" t="s">
        <v>2602</v>
      </c>
      <c r="B616" s="850" t="s">
        <v>675</v>
      </c>
      <c r="C616" s="576" t="s">
        <v>2586</v>
      </c>
      <c r="D616" s="850"/>
      <c r="E616" s="850"/>
      <c r="F616" s="850"/>
      <c r="G616" s="850"/>
      <c r="H616" s="850"/>
      <c r="I616" s="850"/>
      <c r="J616" s="850"/>
      <c r="K616" s="850"/>
      <c r="L616" s="850"/>
      <c r="M616" s="850"/>
      <c r="N616" s="850"/>
      <c r="O616" s="850"/>
      <c r="P616" s="850"/>
      <c r="Q616" s="850"/>
      <c r="R616" s="850"/>
      <c r="S616" s="850"/>
      <c r="T616" s="850"/>
    </row>
    <row r="617" spans="1:20">
      <c r="A617" s="850" t="s">
        <v>2602</v>
      </c>
      <c r="B617" s="850" t="s">
        <v>675</v>
      </c>
      <c r="C617" s="576" t="s">
        <v>2586</v>
      </c>
      <c r="D617" s="850"/>
      <c r="E617" s="1" t="s">
        <v>1970</v>
      </c>
      <c r="F617" s="857"/>
      <c r="G617" s="850"/>
      <c r="H617" s="850"/>
      <c r="I617" s="850"/>
      <c r="J617" s="850"/>
      <c r="K617" s="850"/>
      <c r="L617" s="850"/>
      <c r="M617" s="850"/>
      <c r="N617" s="850"/>
      <c r="O617" s="850"/>
      <c r="P617" s="850"/>
      <c r="Q617" s="850"/>
      <c r="R617" s="850"/>
      <c r="S617" s="850"/>
      <c r="T617" s="850"/>
    </row>
    <row r="618" spans="1:20">
      <c r="A618" s="850" t="s">
        <v>2602</v>
      </c>
      <c r="B618" s="850" t="s">
        <v>675</v>
      </c>
      <c r="C618" s="576" t="s">
        <v>2586</v>
      </c>
      <c r="D618" s="850"/>
      <c r="E618" s="1" t="s">
        <v>1970</v>
      </c>
      <c r="F618" s="857">
        <f>F615+SUM('A2.PL'!R9+'A2.PL'!R15+'A2.PL'!R16)</f>
        <v>0</v>
      </c>
      <c r="G618" s="857">
        <f>G615+SUM('A2.PL'!V9+'A2.PL'!V15+'A2.PL'!V16)</f>
        <v>-58332772438.488831</v>
      </c>
      <c r="H618" s="850"/>
      <c r="I618" s="850"/>
      <c r="J618" s="850"/>
      <c r="K618" s="850"/>
      <c r="L618" s="850"/>
      <c r="M618" s="850"/>
      <c r="N618" s="850"/>
      <c r="O618" s="850"/>
      <c r="P618" s="850"/>
      <c r="Q618" s="850"/>
      <c r="R618" s="850"/>
      <c r="S618" s="850"/>
      <c r="T618" s="850"/>
    </row>
    <row r="619" spans="1:20">
      <c r="A619" s="850" t="s">
        <v>2602</v>
      </c>
      <c r="B619" s="850" t="s">
        <v>675</v>
      </c>
      <c r="C619" s="576" t="s">
        <v>2586</v>
      </c>
      <c r="D619" s="850"/>
      <c r="E619" s="850"/>
      <c r="F619" s="850"/>
      <c r="G619" s="850"/>
      <c r="H619" s="850"/>
      <c r="I619" s="850"/>
      <c r="J619" s="850"/>
      <c r="K619" s="850"/>
      <c r="L619" s="850"/>
      <c r="M619" s="850"/>
      <c r="N619" s="850"/>
      <c r="O619" s="850"/>
      <c r="P619" s="850"/>
      <c r="Q619" s="850"/>
      <c r="R619" s="850"/>
      <c r="S619" s="850"/>
      <c r="T619" s="850"/>
    </row>
    <row r="620" spans="1:20">
      <c r="A620" s="172"/>
      <c r="B620" s="172" t="s">
        <v>676</v>
      </c>
      <c r="C620" s="172" t="s">
        <v>681</v>
      </c>
      <c r="D620" s="172"/>
      <c r="E620" s="562" t="s">
        <v>2950</v>
      </c>
      <c r="F620" s="172"/>
      <c r="G620" s="172"/>
      <c r="H620" s="172"/>
      <c r="I620" s="172"/>
      <c r="J620" s="172"/>
      <c r="K620" s="172"/>
      <c r="L620" s="172"/>
      <c r="M620" s="172"/>
      <c r="N620" s="172"/>
      <c r="O620" s="172"/>
      <c r="P620" s="172"/>
      <c r="Q620" s="172"/>
      <c r="R620" s="172"/>
      <c r="S620" s="172"/>
      <c r="T620" s="850"/>
    </row>
    <row r="621" spans="1:20">
      <c r="A621" s="850"/>
      <c r="B621" s="850"/>
      <c r="C621" s="850"/>
      <c r="D621" s="850"/>
      <c r="E621" s="850"/>
      <c r="F621" s="850"/>
      <c r="G621" s="850"/>
      <c r="H621" s="850"/>
      <c r="I621" s="850"/>
      <c r="J621" s="850"/>
      <c r="K621" s="850"/>
      <c r="L621" s="850"/>
      <c r="M621" s="850"/>
      <c r="N621" s="850"/>
      <c r="O621" s="850"/>
      <c r="P621" s="850"/>
      <c r="Q621" s="850"/>
      <c r="R621" s="850"/>
      <c r="S621" s="850"/>
      <c r="T621" s="850"/>
    </row>
    <row r="622" spans="1:20">
      <c r="A622" s="172"/>
      <c r="B622" s="172" t="s">
        <v>676</v>
      </c>
      <c r="C622" s="172" t="s">
        <v>681</v>
      </c>
      <c r="D622" s="172"/>
      <c r="E622" s="562" t="s">
        <v>2951</v>
      </c>
      <c r="F622" s="172"/>
      <c r="G622" s="172"/>
      <c r="H622" s="172"/>
      <c r="I622" s="172"/>
      <c r="J622" s="172"/>
      <c r="K622" s="172"/>
      <c r="L622" s="172"/>
      <c r="M622" s="172"/>
      <c r="N622" s="172"/>
      <c r="O622" s="172"/>
      <c r="P622" s="172"/>
      <c r="Q622" s="172"/>
      <c r="R622" s="172"/>
      <c r="S622" s="172"/>
      <c r="T622" s="850"/>
    </row>
    <row r="623" spans="1:20">
      <c r="A623" s="850" t="s">
        <v>2585</v>
      </c>
      <c r="B623" s="850" t="s">
        <v>676</v>
      </c>
      <c r="C623" s="576" t="s">
        <v>2586</v>
      </c>
      <c r="D623" s="850"/>
      <c r="E623" s="850"/>
      <c r="F623" s="850"/>
      <c r="G623" s="850"/>
      <c r="H623" s="850"/>
      <c r="I623" s="850"/>
      <c r="J623" s="850"/>
      <c r="K623" s="850"/>
      <c r="L623" s="850"/>
      <c r="M623" s="850"/>
      <c r="N623" s="850"/>
      <c r="O623" s="850"/>
      <c r="P623" s="850"/>
      <c r="Q623" s="850"/>
      <c r="R623" s="850"/>
      <c r="S623" s="850"/>
      <c r="T623" s="850"/>
    </row>
    <row r="624" spans="1:20" ht="25.5">
      <c r="A624" s="850" t="s">
        <v>2585</v>
      </c>
      <c r="B624" s="850" t="s">
        <v>676</v>
      </c>
      <c r="C624" s="576" t="s">
        <v>2586</v>
      </c>
      <c r="D624" s="850"/>
      <c r="E624" s="850"/>
      <c r="F624" s="549" t="s">
        <v>2587</v>
      </c>
      <c r="G624" s="554" t="s">
        <v>2588</v>
      </c>
      <c r="H624" s="850"/>
      <c r="I624" s="850"/>
      <c r="J624" s="850"/>
      <c r="K624" s="850"/>
      <c r="L624" s="850"/>
      <c r="M624" s="850"/>
      <c r="N624" s="850"/>
      <c r="O624" s="850"/>
      <c r="P624" s="850"/>
      <c r="Q624" s="850"/>
      <c r="R624" s="850"/>
      <c r="S624" s="850"/>
      <c r="T624" s="850"/>
    </row>
    <row r="625" spans="1:24">
      <c r="A625" s="850" t="s">
        <v>2585</v>
      </c>
      <c r="B625" s="850" t="s">
        <v>676</v>
      </c>
      <c r="C625" s="576" t="s">
        <v>2586</v>
      </c>
      <c r="D625" s="850"/>
      <c r="E625" s="1" t="s">
        <v>2952</v>
      </c>
      <c r="F625" s="238">
        <f>'A2.PL'!R23</f>
        <v>-147614524</v>
      </c>
      <c r="G625" s="443">
        <f>'A2.PL'!V23</f>
        <v>-42033188331</v>
      </c>
      <c r="H625" s="850"/>
      <c r="I625" s="850"/>
      <c r="J625" s="850"/>
      <c r="K625" s="850"/>
      <c r="L625" s="850"/>
      <c r="M625" s="850"/>
      <c r="N625" s="850"/>
      <c r="O625" s="850"/>
      <c r="P625" s="850"/>
      <c r="Q625" s="850"/>
      <c r="R625" s="850"/>
      <c r="S625" s="850"/>
      <c r="T625" s="850"/>
      <c r="U625" s="850"/>
      <c r="V625" s="850"/>
      <c r="W625" s="850"/>
      <c r="X625" s="850"/>
    </row>
    <row r="626" spans="1:24">
      <c r="A626" s="850" t="s">
        <v>2585</v>
      </c>
      <c r="B626" s="850" t="s">
        <v>676</v>
      </c>
      <c r="C626" s="576" t="s">
        <v>2586</v>
      </c>
      <c r="D626" s="850"/>
      <c r="E626" s="37" t="s">
        <v>2953</v>
      </c>
      <c r="F626" s="238">
        <f>SUM(F627:F628)</f>
        <v>27702798238.333332</v>
      </c>
      <c r="G626" s="443">
        <f>SUM(G627:G628)</f>
        <v>2901410125</v>
      </c>
      <c r="H626" s="1012"/>
      <c r="I626" s="850"/>
      <c r="J626" s="850"/>
      <c r="K626" s="922" t="s">
        <v>651</v>
      </c>
      <c r="L626" s="922" t="s">
        <v>2120</v>
      </c>
      <c r="M626" s="922" t="s">
        <v>530</v>
      </c>
      <c r="N626" s="850"/>
      <c r="O626" s="850"/>
      <c r="P626" s="850"/>
      <c r="Q626" s="850"/>
      <c r="R626" s="850"/>
      <c r="S626" s="850"/>
      <c r="T626" s="850"/>
      <c r="U626" s="850"/>
      <c r="V626" s="850"/>
      <c r="W626" s="850"/>
      <c r="X626" s="850"/>
    </row>
    <row r="627" spans="1:24">
      <c r="A627" s="850" t="s">
        <v>2585</v>
      </c>
      <c r="B627" s="850" t="s">
        <v>676</v>
      </c>
      <c r="C627" s="576" t="s">
        <v>2586</v>
      </c>
      <c r="D627" s="850"/>
      <c r="E627" s="345" t="s">
        <v>2954</v>
      </c>
      <c r="F627" s="596">
        <f>S649</f>
        <v>1409520398.3333333</v>
      </c>
      <c r="G627" s="555">
        <v>916855335</v>
      </c>
      <c r="H627" s="850"/>
      <c r="I627" s="850"/>
      <c r="J627" s="850" t="s">
        <v>2955</v>
      </c>
      <c r="K627" s="848">
        <f>'A4.N2FS Singles'!F618</f>
        <v>1409520398.3333333</v>
      </c>
      <c r="L627" s="850"/>
      <c r="M627" s="850">
        <v>0</v>
      </c>
      <c r="N627" s="850"/>
      <c r="O627" s="850"/>
      <c r="P627" s="850"/>
      <c r="Q627" s="850"/>
      <c r="R627" s="850"/>
      <c r="S627" s="850"/>
      <c r="T627" s="850"/>
      <c r="U627" s="850"/>
      <c r="V627" s="850"/>
      <c r="W627" s="850"/>
      <c r="X627" s="850"/>
    </row>
    <row r="628" spans="1:24">
      <c r="A628" s="850" t="s">
        <v>2585</v>
      </c>
      <c r="B628" s="850" t="s">
        <v>676</v>
      </c>
      <c r="C628" s="576" t="s">
        <v>2586</v>
      </c>
      <c r="D628" s="850"/>
      <c r="E628" s="345" t="s">
        <v>2956</v>
      </c>
      <c r="F628" s="596">
        <f>S650</f>
        <v>26293277840</v>
      </c>
      <c r="G628" s="555">
        <v>1984554790</v>
      </c>
      <c r="H628" s="850"/>
      <c r="I628" s="850"/>
      <c r="J628" s="850"/>
      <c r="K628" s="848"/>
      <c r="L628" s="850"/>
      <c r="M628" s="850"/>
      <c r="N628" s="850"/>
      <c r="O628" s="850"/>
      <c r="P628" s="850"/>
      <c r="Q628" s="850"/>
      <c r="R628" s="850"/>
      <c r="S628" s="850"/>
      <c r="T628" s="850"/>
      <c r="U628" s="850"/>
      <c r="V628" s="850"/>
      <c r="W628" s="850"/>
      <c r="X628" s="850"/>
    </row>
    <row r="629" spans="1:24">
      <c r="A629" s="850" t="s">
        <v>2585</v>
      </c>
      <c r="B629" s="850" t="s">
        <v>676</v>
      </c>
      <c r="C629" s="576" t="s">
        <v>2586</v>
      </c>
      <c r="D629" s="850"/>
      <c r="E629" s="850" t="s">
        <v>2957</v>
      </c>
      <c r="F629" s="537">
        <f>SUM(F630:F634)</f>
        <v>-71985465242.333328</v>
      </c>
      <c r="G629" s="443">
        <f>SUM(G630:G634)</f>
        <v>-17662112228</v>
      </c>
      <c r="H629" s="850"/>
      <c r="I629" s="850"/>
      <c r="J629" s="850"/>
      <c r="K629" s="848"/>
      <c r="L629" s="848"/>
      <c r="M629" s="848"/>
      <c r="N629" s="850"/>
      <c r="O629" s="848">
        <f>2505542928</f>
        <v>2505542928</v>
      </c>
      <c r="P629" s="850"/>
      <c r="Q629" s="850"/>
      <c r="R629" s="850"/>
      <c r="S629" s="850"/>
      <c r="T629" s="850"/>
      <c r="U629" s="850"/>
      <c r="V629" s="850"/>
      <c r="W629" s="850"/>
      <c r="X629" s="850"/>
    </row>
    <row r="630" spans="1:24">
      <c r="A630" s="850" t="s">
        <v>2585</v>
      </c>
      <c r="B630" s="850" t="s">
        <v>676</v>
      </c>
      <c r="C630" s="576" t="s">
        <v>2586</v>
      </c>
      <c r="D630" s="850"/>
      <c r="E630" s="345" t="s">
        <v>2958</v>
      </c>
      <c r="F630" s="596">
        <f>S652</f>
        <v>-52156748</v>
      </c>
      <c r="G630" s="555">
        <v>-105895134</v>
      </c>
      <c r="H630" s="850"/>
      <c r="I630" s="850"/>
      <c r="J630" s="850"/>
      <c r="K630" s="848"/>
      <c r="L630" s="848"/>
      <c r="M630" s="848"/>
      <c r="N630" s="850"/>
      <c r="O630" s="848"/>
      <c r="P630" s="850"/>
      <c r="Q630" s="850"/>
      <c r="R630" s="850"/>
      <c r="S630" s="850"/>
      <c r="T630" s="850"/>
      <c r="U630" s="850"/>
      <c r="V630" s="850"/>
      <c r="W630" s="850"/>
      <c r="X630" s="850"/>
    </row>
    <row r="631" spans="1:24">
      <c r="A631" s="850" t="s">
        <v>2585</v>
      </c>
      <c r="B631" s="850" t="s">
        <v>676</v>
      </c>
      <c r="C631" s="576" t="s">
        <v>2586</v>
      </c>
      <c r="D631" s="850"/>
      <c r="E631" s="345" t="s">
        <v>2959</v>
      </c>
      <c r="F631" s="596">
        <f>S653</f>
        <v>0</v>
      </c>
      <c r="G631" s="555">
        <v>0</v>
      </c>
      <c r="H631" s="850"/>
      <c r="I631" s="850"/>
      <c r="J631" s="850"/>
      <c r="K631" s="848"/>
      <c r="L631" s="850"/>
      <c r="M631" s="850"/>
      <c r="N631" s="850"/>
      <c r="O631" s="848">
        <v>3500000</v>
      </c>
      <c r="P631" s="850"/>
      <c r="Q631" s="850"/>
      <c r="R631" s="850"/>
      <c r="S631" s="850"/>
      <c r="T631" s="850"/>
      <c r="U631" s="850"/>
      <c r="V631" s="850"/>
      <c r="W631" s="850"/>
      <c r="X631" s="850"/>
    </row>
    <row r="632" spans="1:24">
      <c r="A632" s="850" t="s">
        <v>2585</v>
      </c>
      <c r="B632" s="850" t="s">
        <v>676</v>
      </c>
      <c r="C632" s="576" t="s">
        <v>2586</v>
      </c>
      <c r="D632" s="850"/>
      <c r="E632" s="345" t="s">
        <v>2960</v>
      </c>
      <c r="F632" s="596">
        <f>S654</f>
        <v>-29456943607.333332</v>
      </c>
      <c r="G632" s="555">
        <v>-1816818270</v>
      </c>
      <c r="H632" s="850"/>
      <c r="I632" s="850"/>
      <c r="J632" s="850" t="s">
        <v>2961</v>
      </c>
      <c r="K632" s="850"/>
      <c r="L632" s="848"/>
      <c r="M632" s="850"/>
      <c r="N632" s="850"/>
      <c r="O632" s="848">
        <v>-692224658</v>
      </c>
      <c r="P632" s="850"/>
      <c r="Q632" s="850"/>
      <c r="R632" s="850"/>
      <c r="S632" s="850"/>
      <c r="T632" s="850"/>
      <c r="U632" s="850"/>
      <c r="V632" s="850"/>
      <c r="W632" s="850"/>
      <c r="X632" s="850"/>
    </row>
    <row r="633" spans="1:24">
      <c r="A633" s="850" t="s">
        <v>2585</v>
      </c>
      <c r="B633" s="850" t="s">
        <v>676</v>
      </c>
      <c r="C633" s="576" t="s">
        <v>2586</v>
      </c>
      <c r="D633" s="850"/>
      <c r="E633" s="345" t="s">
        <v>2962</v>
      </c>
      <c r="F633" s="596">
        <f>S655</f>
        <v>0</v>
      </c>
      <c r="G633" s="555">
        <v>0</v>
      </c>
      <c r="H633" s="850"/>
      <c r="I633" s="850"/>
      <c r="J633" s="850" t="s">
        <v>2963</v>
      </c>
      <c r="K633" s="850"/>
      <c r="L633" s="850"/>
      <c r="M633" s="850"/>
      <c r="N633" s="850"/>
      <c r="O633" s="848">
        <v>-1813318270</v>
      </c>
      <c r="P633" s="850"/>
      <c r="Q633" s="850"/>
      <c r="R633" s="850"/>
      <c r="S633" s="850"/>
      <c r="T633" s="850"/>
      <c r="U633" s="850"/>
      <c r="V633" s="850"/>
      <c r="W633" s="850"/>
      <c r="X633" s="850"/>
    </row>
    <row r="634" spans="1:24" ht="13.5" thickBot="1">
      <c r="A634" s="850" t="s">
        <v>2585</v>
      </c>
      <c r="B634" s="850" t="s">
        <v>676</v>
      </c>
      <c r="C634" s="576" t="s">
        <v>2586</v>
      </c>
      <c r="D634" s="850"/>
      <c r="E634" s="345" t="s">
        <v>2964</v>
      </c>
      <c r="F634" s="755">
        <f>S656</f>
        <v>-42476364887</v>
      </c>
      <c r="G634" s="597">
        <v>-15739398824</v>
      </c>
      <c r="H634" s="850"/>
      <c r="I634" s="850"/>
      <c r="J634" s="850"/>
      <c r="K634" s="850"/>
      <c r="L634" s="850"/>
      <c r="M634" s="850"/>
      <c r="N634" s="850"/>
      <c r="O634" s="1528">
        <f>SUM(O629:O633)</f>
        <v>3500000</v>
      </c>
      <c r="P634" s="850"/>
      <c r="Q634" s="850"/>
      <c r="R634" s="850"/>
      <c r="S634" s="850"/>
      <c r="T634" s="850"/>
      <c r="U634" s="850"/>
      <c r="V634" s="850"/>
      <c r="W634" s="850"/>
      <c r="X634" s="850"/>
    </row>
    <row r="635" spans="1:24" ht="13.5" thickTop="1">
      <c r="A635" s="850" t="s">
        <v>2585</v>
      </c>
      <c r="B635" s="850" t="s">
        <v>676</v>
      </c>
      <c r="C635" s="576" t="s">
        <v>2586</v>
      </c>
      <c r="D635" s="850"/>
      <c r="E635" s="1" t="s">
        <v>2965</v>
      </c>
      <c r="F635" s="537">
        <f>F625+F626+F629</f>
        <v>-44430281528</v>
      </c>
      <c r="G635" s="443">
        <f>G625+G626+G629</f>
        <v>-56793890434</v>
      </c>
      <c r="H635" s="850"/>
      <c r="I635" s="850"/>
      <c r="J635" s="850"/>
      <c r="K635" s="850"/>
      <c r="L635" s="850"/>
      <c r="M635" s="850"/>
      <c r="N635" s="850"/>
      <c r="O635" s="850"/>
      <c r="P635" s="850"/>
      <c r="Q635" s="850"/>
      <c r="R635" s="850"/>
      <c r="S635" s="850"/>
      <c r="T635" s="850"/>
      <c r="U635" s="850"/>
      <c r="V635" s="850"/>
      <c r="W635" s="850"/>
      <c r="X635" s="850"/>
    </row>
    <row r="636" spans="1:24">
      <c r="A636" s="850" t="s">
        <v>2585</v>
      </c>
      <c r="B636" s="850" t="s">
        <v>676</v>
      </c>
      <c r="C636" s="576" t="s">
        <v>2586</v>
      </c>
      <c r="D636" s="850"/>
      <c r="E636" s="1" t="s">
        <v>2966</v>
      </c>
      <c r="F636" s="1270">
        <v>0.2</v>
      </c>
      <c r="G636" s="1271">
        <v>0.2</v>
      </c>
      <c r="H636" s="850"/>
      <c r="I636" s="850"/>
      <c r="J636" s="850"/>
      <c r="K636" s="850"/>
      <c r="L636" s="850"/>
      <c r="M636" s="850"/>
      <c r="N636" s="850"/>
      <c r="O636" s="848"/>
      <c r="P636" s="850"/>
      <c r="Q636" s="850"/>
      <c r="R636" s="850"/>
      <c r="S636" s="850"/>
      <c r="T636" s="850"/>
      <c r="U636" s="850"/>
      <c r="V636" s="850"/>
      <c r="W636" s="850"/>
      <c r="X636" s="850"/>
    </row>
    <row r="637" spans="1:24">
      <c r="A637" s="850"/>
      <c r="B637" s="850"/>
      <c r="C637" s="576" t="s">
        <v>2586</v>
      </c>
      <c r="D637" s="850"/>
      <c r="E637" s="850" t="s">
        <v>2967</v>
      </c>
      <c r="F637" s="510">
        <v>0</v>
      </c>
      <c r="G637" s="1271"/>
      <c r="H637" s="850"/>
      <c r="I637" s="850"/>
      <c r="J637" s="850"/>
      <c r="K637" s="850"/>
      <c r="L637" s="850"/>
      <c r="M637" s="850"/>
      <c r="N637" s="850"/>
      <c r="O637" s="848"/>
      <c r="P637" s="850"/>
      <c r="Q637" s="850"/>
      <c r="R637" s="850"/>
      <c r="S637" s="850"/>
      <c r="T637" s="850"/>
      <c r="U637" s="850"/>
      <c r="V637" s="850"/>
      <c r="W637" s="850"/>
      <c r="X637" s="850"/>
    </row>
    <row r="638" spans="1:24" ht="13.5" thickBot="1">
      <c r="A638" s="850" t="s">
        <v>2585</v>
      </c>
      <c r="B638" s="850" t="s">
        <v>676</v>
      </c>
      <c r="C638" s="576" t="s">
        <v>2586</v>
      </c>
      <c r="D638" s="850"/>
      <c r="E638" s="850" t="s">
        <v>2968</v>
      </c>
      <c r="F638" s="1557">
        <v>0</v>
      </c>
      <c r="G638" s="1558">
        <v>0</v>
      </c>
      <c r="H638" s="850"/>
      <c r="I638" s="850"/>
      <c r="J638" s="850"/>
      <c r="K638" s="850"/>
      <c r="L638" s="850"/>
      <c r="M638" s="850"/>
      <c r="N638" s="850"/>
      <c r="O638" s="850"/>
      <c r="P638" s="850"/>
      <c r="Q638" s="850"/>
      <c r="R638" s="850"/>
      <c r="S638" s="850"/>
      <c r="T638" s="850"/>
      <c r="U638" s="850"/>
      <c r="V638" s="850"/>
      <c r="W638" s="850"/>
      <c r="X638" s="850"/>
    </row>
    <row r="639" spans="1:24" ht="13.5" thickTop="1">
      <c r="A639" s="850" t="s">
        <v>2585</v>
      </c>
      <c r="B639" s="850" t="s">
        <v>676</v>
      </c>
      <c r="C639" s="576" t="s">
        <v>2586</v>
      </c>
      <c r="D639" s="850"/>
      <c r="E639" s="850"/>
      <c r="F639" s="850"/>
      <c r="G639" s="850"/>
      <c r="H639" s="850"/>
      <c r="I639" s="850"/>
      <c r="J639" s="850"/>
      <c r="K639" s="850"/>
      <c r="L639" s="850"/>
      <c r="M639" s="850"/>
      <c r="N639" s="850"/>
      <c r="O639" s="850"/>
      <c r="P639" s="850"/>
      <c r="Q639" s="850"/>
      <c r="R639" s="850"/>
      <c r="S639" s="850"/>
      <c r="T639" s="850"/>
      <c r="U639" s="850"/>
      <c r="V639" s="850"/>
      <c r="W639" s="850"/>
      <c r="X639" s="850"/>
    </row>
    <row r="640" spans="1:24">
      <c r="A640" s="850" t="s">
        <v>2585</v>
      </c>
      <c r="B640" s="850" t="s">
        <v>676</v>
      </c>
      <c r="C640" s="576" t="s">
        <v>2586</v>
      </c>
      <c r="D640" s="850"/>
      <c r="E640" s="1" t="s">
        <v>1970</v>
      </c>
      <c r="F640" s="857">
        <f>F638-'A2.PL'!G26</f>
        <v>0</v>
      </c>
      <c r="G640" s="857">
        <f>G638-'A2.PL'!H26</f>
        <v>0</v>
      </c>
      <c r="H640" s="857">
        <f>G635+U668</f>
        <v>224798059564</v>
      </c>
      <c r="I640" s="850"/>
      <c r="J640" s="850"/>
      <c r="K640" s="850"/>
      <c r="L640" s="850"/>
      <c r="M640" s="850"/>
      <c r="N640" s="850"/>
      <c r="O640" s="850"/>
      <c r="P640" s="850"/>
      <c r="Q640" s="850"/>
      <c r="R640" s="850"/>
      <c r="S640" s="850"/>
      <c r="T640" s="850"/>
      <c r="U640" s="850"/>
      <c r="V640" s="850"/>
      <c r="W640" s="850"/>
      <c r="X640" s="850"/>
    </row>
    <row r="641" spans="1:24">
      <c r="A641" s="850" t="s">
        <v>2585</v>
      </c>
      <c r="B641" s="850" t="s">
        <v>676</v>
      </c>
      <c r="C641" s="576" t="s">
        <v>2586</v>
      </c>
      <c r="D641" s="850"/>
      <c r="E641" s="1"/>
      <c r="F641" s="857">
        <f>F625-'A2.PL'!R23</f>
        <v>0</v>
      </c>
      <c r="G641" s="857">
        <f>G625-'A2.PL'!V23</f>
        <v>0</v>
      </c>
      <c r="H641" s="850"/>
      <c r="I641" s="850"/>
      <c r="J641" s="850"/>
      <c r="K641" s="850"/>
      <c r="L641" s="850"/>
      <c r="M641" s="850"/>
      <c r="N641" s="850"/>
      <c r="O641" s="850"/>
      <c r="P641" s="850"/>
      <c r="Q641" s="850"/>
      <c r="R641" s="850"/>
      <c r="S641" s="850"/>
      <c r="T641" s="850"/>
      <c r="U641" s="850"/>
      <c r="V641" s="850"/>
      <c r="W641" s="850"/>
      <c r="X641" s="850"/>
    </row>
    <row r="642" spans="1:24">
      <c r="A642" s="850" t="s">
        <v>2585</v>
      </c>
      <c r="B642" s="850" t="s">
        <v>676</v>
      </c>
      <c r="C642" s="576" t="s">
        <v>2586</v>
      </c>
      <c r="D642" s="850"/>
      <c r="E642" s="1"/>
      <c r="F642" s="857">
        <f>F635+G654</f>
        <v>0</v>
      </c>
      <c r="G642" s="857">
        <f>G635+G653</f>
        <v>-4</v>
      </c>
      <c r="H642" s="850"/>
      <c r="I642" s="850"/>
      <c r="J642" s="850"/>
      <c r="K642" s="850"/>
      <c r="L642" s="850"/>
      <c r="M642" s="850"/>
      <c r="N642" s="850"/>
      <c r="O642" s="850"/>
      <c r="P642" s="850"/>
      <c r="Q642" s="850"/>
      <c r="R642" s="850"/>
      <c r="S642" s="850"/>
      <c r="T642" s="850"/>
      <c r="U642" s="850"/>
      <c r="V642" s="850"/>
      <c r="W642" s="850"/>
      <c r="X642" s="850"/>
    </row>
    <row r="643" spans="1:24">
      <c r="A643" s="850" t="s">
        <v>2585</v>
      </c>
      <c r="B643" s="850" t="s">
        <v>676</v>
      </c>
      <c r="C643" s="576" t="s">
        <v>2586</v>
      </c>
      <c r="D643" s="850"/>
      <c r="E643" s="850"/>
      <c r="F643" s="850"/>
      <c r="G643" s="850"/>
      <c r="H643" s="850"/>
      <c r="I643" s="850"/>
      <c r="J643" s="850"/>
      <c r="K643" s="850"/>
      <c r="L643" s="850"/>
      <c r="M643" s="850"/>
      <c r="N643" s="850"/>
      <c r="O643" s="850"/>
      <c r="P643" s="850"/>
      <c r="Q643" s="850"/>
      <c r="R643" s="850"/>
      <c r="S643" s="850"/>
      <c r="T643" s="850"/>
      <c r="U643" s="850"/>
      <c r="V643" s="850"/>
      <c r="W643" s="850"/>
      <c r="X643" s="850"/>
    </row>
    <row r="644" spans="1:24">
      <c r="A644" s="172"/>
      <c r="B644" s="172" t="s">
        <v>676</v>
      </c>
      <c r="C644" s="172" t="s">
        <v>681</v>
      </c>
      <c r="D644" s="172"/>
      <c r="E644" s="562" t="s">
        <v>2969</v>
      </c>
      <c r="F644" s="172"/>
      <c r="G644" s="172"/>
      <c r="H644" s="172"/>
      <c r="I644" s="172"/>
      <c r="J644" s="172"/>
      <c r="K644" s="172"/>
      <c r="L644" s="172"/>
      <c r="M644" s="172"/>
      <c r="N644" s="172"/>
      <c r="O644" s="172"/>
      <c r="P644" s="172"/>
      <c r="Q644" s="172"/>
      <c r="R644" s="172"/>
      <c r="S644" s="172"/>
      <c r="T644" s="850"/>
      <c r="U644" s="850"/>
      <c r="V644" s="850"/>
      <c r="W644" s="850"/>
      <c r="X644" s="850"/>
    </row>
    <row r="645" spans="1:24">
      <c r="A645" s="850" t="s">
        <v>2585</v>
      </c>
      <c r="B645" s="850" t="s">
        <v>676</v>
      </c>
      <c r="C645" s="576" t="s">
        <v>2586</v>
      </c>
      <c r="D645" s="850"/>
      <c r="E645" s="850"/>
      <c r="F645" s="850"/>
      <c r="G645" s="850"/>
      <c r="H645" s="850"/>
      <c r="I645" s="850"/>
      <c r="J645" s="850"/>
      <c r="K645" s="850"/>
      <c r="L645" s="850"/>
      <c r="M645" s="570" t="s">
        <v>678</v>
      </c>
      <c r="N645" s="570" t="s">
        <v>2970</v>
      </c>
      <c r="O645" s="570" t="s">
        <v>530</v>
      </c>
      <c r="P645" s="570" t="s">
        <v>555</v>
      </c>
      <c r="Q645" s="570" t="s">
        <v>494</v>
      </c>
      <c r="R645" s="570" t="s">
        <v>2971</v>
      </c>
      <c r="S645" s="570" t="s">
        <v>1169</v>
      </c>
      <c r="T645" s="850"/>
      <c r="U645" s="850"/>
      <c r="V645" s="850"/>
      <c r="W645" s="850"/>
      <c r="X645" s="850"/>
    </row>
    <row r="646" spans="1:24" ht="25.5">
      <c r="A646" s="850" t="s">
        <v>2585</v>
      </c>
      <c r="B646" s="850" t="s">
        <v>676</v>
      </c>
      <c r="C646" s="576" t="s">
        <v>2586</v>
      </c>
      <c r="D646" s="850"/>
      <c r="E646" s="571" t="s">
        <v>2972</v>
      </c>
      <c r="F646" s="571" t="s">
        <v>2973</v>
      </c>
      <c r="G646" s="571" t="s">
        <v>2974</v>
      </c>
      <c r="H646" s="571" t="s">
        <v>2975</v>
      </c>
      <c r="I646" s="571" t="s">
        <v>2976</v>
      </c>
      <c r="J646" s="571" t="s">
        <v>2977</v>
      </c>
      <c r="K646" s="850"/>
      <c r="L646" s="850"/>
      <c r="M646" s="740" t="s">
        <v>1224</v>
      </c>
      <c r="N646" s="740" t="s">
        <v>1224</v>
      </c>
      <c r="O646" s="740" t="s">
        <v>1224</v>
      </c>
      <c r="P646" s="740" t="s">
        <v>1224</v>
      </c>
      <c r="Q646" s="740" t="s">
        <v>1224</v>
      </c>
      <c r="R646" s="740" t="s">
        <v>1224</v>
      </c>
      <c r="S646" s="740" t="s">
        <v>1224</v>
      </c>
      <c r="T646" s="850"/>
      <c r="U646" s="850"/>
      <c r="V646" s="850"/>
      <c r="W646" s="850"/>
      <c r="X646" s="850"/>
    </row>
    <row r="647" spans="1:24">
      <c r="A647" s="850" t="s">
        <v>2585</v>
      </c>
      <c r="B647" s="850" t="s">
        <v>676</v>
      </c>
      <c r="C647" s="576" t="s">
        <v>2586</v>
      </c>
      <c r="D647" s="850"/>
      <c r="E647" s="1073">
        <v>2018</v>
      </c>
      <c r="F647" s="1073">
        <f>E647+5</f>
        <v>2023</v>
      </c>
      <c r="G647" s="1272">
        <v>933248930</v>
      </c>
      <c r="H647" s="1272">
        <v>0</v>
      </c>
      <c r="I647" s="1273">
        <f>-G647</f>
        <v>-933248930</v>
      </c>
      <c r="J647" s="1273">
        <f>SUM(G647:I647)</f>
        <v>0</v>
      </c>
      <c r="K647" s="850"/>
      <c r="L647" s="1" t="s">
        <v>2978</v>
      </c>
      <c r="M647" s="175">
        <f>'A2.PL'!G23</f>
        <v>1806302117</v>
      </c>
      <c r="N647" s="175">
        <f>-'A0.LS'!AC358</f>
        <v>-21586183767</v>
      </c>
      <c r="O647" s="175">
        <f>-'A0.LS'!AH358</f>
        <v>-22113821434</v>
      </c>
      <c r="P647" s="175">
        <f>-'A0.LS'!AT358</f>
        <v>-726200216</v>
      </c>
      <c r="Q647" s="175">
        <f>-'A0.LS'!AL358</f>
        <v>-4076111</v>
      </c>
      <c r="R647" s="175">
        <f>S647-SUM(M647:Q647)</f>
        <v>42476364887</v>
      </c>
      <c r="S647" s="175">
        <f>'A2.PL'!R23</f>
        <v>-147614524</v>
      </c>
      <c r="T647" s="857">
        <f t="shared" ref="T647:T657" si="31">S647-F625</f>
        <v>0</v>
      </c>
      <c r="U647" s="850"/>
      <c r="V647" s="850"/>
      <c r="W647" s="850"/>
      <c r="X647" s="850"/>
    </row>
    <row r="648" spans="1:24" ht="25.5">
      <c r="A648" s="850" t="s">
        <v>2585</v>
      </c>
      <c r="B648" s="850" t="s">
        <v>676</v>
      </c>
      <c r="C648" s="576" t="s">
        <v>2586</v>
      </c>
      <c r="D648" s="850"/>
      <c r="E648" s="1064" t="s">
        <v>2979</v>
      </c>
      <c r="F648" s="1073">
        <v>2024</v>
      </c>
      <c r="G648" s="952">
        <v>3607297872</v>
      </c>
      <c r="H648" s="952">
        <v>0</v>
      </c>
      <c r="I648" s="952">
        <v>0</v>
      </c>
      <c r="J648" s="951">
        <f>SUM(G648:I648)+J647</f>
        <v>3607297872</v>
      </c>
      <c r="K648" s="850"/>
      <c r="L648" s="1" t="s">
        <v>2953</v>
      </c>
      <c r="M648" s="175">
        <f>M649+M650</f>
        <v>27702798238.333332</v>
      </c>
      <c r="N648" s="175">
        <f t="shared" ref="N648:R648" si="32">N649+N650</f>
        <v>0</v>
      </c>
      <c r="O648" s="175">
        <f t="shared" si="32"/>
        <v>0</v>
      </c>
      <c r="P648" s="175">
        <f t="shared" si="32"/>
        <v>0</v>
      </c>
      <c r="Q648" s="175">
        <f t="shared" si="32"/>
        <v>0</v>
      </c>
      <c r="R648" s="175">
        <f t="shared" si="32"/>
        <v>0</v>
      </c>
      <c r="S648" s="175">
        <f>S649+S650</f>
        <v>27702798238.333332</v>
      </c>
      <c r="T648" s="857">
        <f t="shared" si="31"/>
        <v>0</v>
      </c>
      <c r="U648" s="850"/>
      <c r="V648" s="850"/>
      <c r="W648" s="850"/>
      <c r="X648" s="850"/>
    </row>
    <row r="649" spans="1:24" ht="25.5">
      <c r="A649" s="850" t="s">
        <v>2585</v>
      </c>
      <c r="B649" s="850" t="s">
        <v>676</v>
      </c>
      <c r="C649" s="576" t="s">
        <v>2586</v>
      </c>
      <c r="D649" s="850"/>
      <c r="E649" s="1064" t="s">
        <v>2980</v>
      </c>
      <c r="F649" s="1073">
        <v>2024</v>
      </c>
      <c r="G649" s="952">
        <v>286731443</v>
      </c>
      <c r="H649" s="952">
        <v>0</v>
      </c>
      <c r="I649" s="952">
        <v>0</v>
      </c>
      <c r="J649" s="951">
        <f>SUM(G649:I649)+J648</f>
        <v>3894029315</v>
      </c>
      <c r="K649" s="850"/>
      <c r="L649" s="850" t="s">
        <v>2981</v>
      </c>
      <c r="M649" s="848">
        <f>SUM(K627:K631)</f>
        <v>1409520398.3333333</v>
      </c>
      <c r="N649" s="848">
        <f>L629</f>
        <v>0</v>
      </c>
      <c r="O649" s="848">
        <f>M629</f>
        <v>0</v>
      </c>
      <c r="P649" s="848">
        <v>0</v>
      </c>
      <c r="Q649" s="848">
        <v>0</v>
      </c>
      <c r="R649" s="848">
        <v>0</v>
      </c>
      <c r="S649" s="848">
        <f>SUM(M649:R649)</f>
        <v>1409520398.3333333</v>
      </c>
      <c r="T649" s="857">
        <f t="shared" si="31"/>
        <v>0</v>
      </c>
      <c r="U649" s="850"/>
      <c r="V649" s="850"/>
      <c r="W649" s="850"/>
      <c r="X649" s="850"/>
    </row>
    <row r="650" spans="1:24">
      <c r="A650" s="850" t="s">
        <v>2585</v>
      </c>
      <c r="B650" s="850" t="s">
        <v>676</v>
      </c>
      <c r="C650" s="576" t="s">
        <v>2586</v>
      </c>
      <c r="D650" s="850"/>
      <c r="E650" s="1073">
        <v>2020</v>
      </c>
      <c r="F650" s="1073">
        <f>E650+5</f>
        <v>2025</v>
      </c>
      <c r="G650" s="952">
        <f>G666+G675</f>
        <v>21233115158</v>
      </c>
      <c r="H650" s="952">
        <f>H666+H675+H685</f>
        <v>-20256507525</v>
      </c>
      <c r="I650" s="952">
        <v>0</v>
      </c>
      <c r="J650" s="951">
        <f>SUM(G650:I650)+J649</f>
        <v>4870636948</v>
      </c>
      <c r="K650" s="850"/>
      <c r="L650" s="850" t="s">
        <v>2982</v>
      </c>
      <c r="M650" s="848">
        <f>-'A4.N2FS Singles'!F588</f>
        <v>26293277840</v>
      </c>
      <c r="N650" s="848">
        <v>0</v>
      </c>
      <c r="O650" s="848">
        <v>0</v>
      </c>
      <c r="P650" s="848">
        <v>0</v>
      </c>
      <c r="Q650" s="848">
        <v>0</v>
      </c>
      <c r="R650" s="848">
        <v>0</v>
      </c>
      <c r="S650" s="848">
        <f>SUM(M650:R650)</f>
        <v>26293277840</v>
      </c>
      <c r="T650" s="857">
        <f t="shared" si="31"/>
        <v>0</v>
      </c>
      <c r="U650" s="850"/>
      <c r="V650" s="850"/>
      <c r="W650" s="850"/>
      <c r="X650" s="850"/>
    </row>
    <row r="651" spans="1:24">
      <c r="A651" s="850" t="s">
        <v>2585</v>
      </c>
      <c r="B651" s="850" t="s">
        <v>676</v>
      </c>
      <c r="C651" s="576" t="s">
        <v>2586</v>
      </c>
      <c r="D651" s="850"/>
      <c r="E651" s="1073">
        <v>2021</v>
      </c>
      <c r="F651" s="1073">
        <f>E651+5</f>
        <v>2026</v>
      </c>
      <c r="G651" s="952">
        <f>G667+G676+G686</f>
        <v>220889929162</v>
      </c>
      <c r="H651" s="952">
        <f>H667+H676+H686</f>
        <v>-5306406767.3333321</v>
      </c>
      <c r="I651" s="952">
        <f>I667+I676+I686</f>
        <v>0</v>
      </c>
      <c r="J651" s="951">
        <f>SUM(G651:I651)+J650</f>
        <v>220454159342.66666</v>
      </c>
      <c r="K651" s="850"/>
      <c r="L651" s="1" t="s">
        <v>2957</v>
      </c>
      <c r="M651" s="175">
        <f>SUM(M652:M656)</f>
        <v>-29509100355.333332</v>
      </c>
      <c r="N651" s="175">
        <f t="shared" ref="N651:Q651" si="33">SUM(N652:N656)</f>
        <v>0</v>
      </c>
      <c r="O651" s="175">
        <f t="shared" si="33"/>
        <v>0</v>
      </c>
      <c r="P651" s="175">
        <f t="shared" si="33"/>
        <v>0</v>
      </c>
      <c r="Q651" s="175">
        <f t="shared" si="33"/>
        <v>0</v>
      </c>
      <c r="R651" s="175">
        <f>SUM(R652:R656)</f>
        <v>-42476364887</v>
      </c>
      <c r="S651" s="175">
        <f>SUM(S652:S656)</f>
        <v>-71985465242.333328</v>
      </c>
      <c r="T651" s="857">
        <f t="shared" si="31"/>
        <v>0</v>
      </c>
      <c r="U651" s="850"/>
      <c r="V651" s="850"/>
      <c r="W651" s="850"/>
      <c r="X651" s="850"/>
    </row>
    <row r="652" spans="1:24">
      <c r="A652" s="850" t="s">
        <v>2585</v>
      </c>
      <c r="B652" s="850" t="s">
        <v>676</v>
      </c>
      <c r="C652" s="576" t="s">
        <v>2586</v>
      </c>
      <c r="D652" s="850"/>
      <c r="E652" s="1073">
        <v>2022</v>
      </c>
      <c r="F652" s="1073">
        <f>E652+5</f>
        <v>2027</v>
      </c>
      <c r="G652" s="952">
        <f>G668+G677+G687+G694+G701</f>
        <v>281591949998</v>
      </c>
      <c r="H652" s="951">
        <f>H668+H677+H687+H694+H701</f>
        <v>-4528152287</v>
      </c>
      <c r="I652" s="951">
        <f t="shared" ref="G652:I654" si="34">I668+I677+I687+I694+I701</f>
        <v>0</v>
      </c>
      <c r="J652" s="951">
        <f t="shared" ref="J652" si="35">SUM(G652:I652)+J651</f>
        <v>497517957053.66663</v>
      </c>
      <c r="K652" s="850"/>
      <c r="L652" s="850" t="s">
        <v>2983</v>
      </c>
      <c r="M652" s="848">
        <f>-F490</f>
        <v>-52156748</v>
      </c>
      <c r="N652" s="848">
        <v>0</v>
      </c>
      <c r="O652" s="848">
        <v>0</v>
      </c>
      <c r="P652" s="848">
        <v>0</v>
      </c>
      <c r="Q652" s="848">
        <v>0</v>
      </c>
      <c r="R652" s="848">
        <v>0</v>
      </c>
      <c r="S652" s="848">
        <f>SUM(M652:R652)</f>
        <v>-52156748</v>
      </c>
      <c r="T652" s="857">
        <f t="shared" si="31"/>
        <v>0</v>
      </c>
      <c r="U652" s="850"/>
      <c r="V652" s="850"/>
      <c r="W652" s="850"/>
      <c r="X652" s="850"/>
    </row>
    <row r="653" spans="1:24">
      <c r="A653" s="850" t="s">
        <v>2585</v>
      </c>
      <c r="B653" s="850" t="s">
        <v>676</v>
      </c>
      <c r="C653" s="576" t="s">
        <v>2586</v>
      </c>
      <c r="D653" s="850"/>
      <c r="E653" s="1073">
        <v>2023</v>
      </c>
      <c r="F653" s="1073">
        <f>E653+5</f>
        <v>2028</v>
      </c>
      <c r="G653" s="952">
        <f t="shared" si="34"/>
        <v>56793890430</v>
      </c>
      <c r="H653" s="951">
        <f>H669+H678+H688+H695+H702</f>
        <v>-1816818270</v>
      </c>
      <c r="I653" s="951">
        <f t="shared" si="34"/>
        <v>0</v>
      </c>
      <c r="J653" s="951">
        <f>SUM(G653:I653)+J652</f>
        <v>552495029213.66663</v>
      </c>
      <c r="K653" s="850"/>
      <c r="L653" s="850" t="s">
        <v>2984</v>
      </c>
      <c r="M653" s="848">
        <f>-'A4.N2FS Singles'!F583</f>
        <v>0</v>
      </c>
      <c r="N653" s="848">
        <v>0</v>
      </c>
      <c r="O653" s="848">
        <v>0</v>
      </c>
      <c r="P653" s="848">
        <v>0</v>
      </c>
      <c r="Q653" s="848">
        <v>0</v>
      </c>
      <c r="R653" s="848">
        <v>0</v>
      </c>
      <c r="S653" s="848">
        <f>SUM(M653:R653)</f>
        <v>0</v>
      </c>
      <c r="T653" s="857">
        <f t="shared" si="31"/>
        <v>0</v>
      </c>
      <c r="U653" s="850"/>
      <c r="V653" s="850"/>
      <c r="W653" s="850"/>
      <c r="X653" s="850"/>
    </row>
    <row r="654" spans="1:24">
      <c r="A654" s="850" t="s">
        <v>2585</v>
      </c>
      <c r="B654" s="850" t="s">
        <v>676</v>
      </c>
      <c r="C654" s="576" t="s">
        <v>2586</v>
      </c>
      <c r="D654" s="850"/>
      <c r="E654" s="1073" t="s">
        <v>1224</v>
      </c>
      <c r="F654" s="1073">
        <v>2029</v>
      </c>
      <c r="G654" s="952">
        <f>G670+G679+G689+G696+G703</f>
        <v>44430281528</v>
      </c>
      <c r="H654" s="951">
        <f t="shared" si="34"/>
        <v>0</v>
      </c>
      <c r="I654" s="951">
        <f t="shared" si="34"/>
        <v>0</v>
      </c>
      <c r="J654" s="951">
        <f>SUM(G654:I654)+J653</f>
        <v>596925310741.66663</v>
      </c>
      <c r="K654" s="850"/>
      <c r="L654" s="850" t="s">
        <v>2963</v>
      </c>
      <c r="M654" s="848">
        <f>'A4.N2FS Singles'!F620</f>
        <v>-29456943607.333332</v>
      </c>
      <c r="N654" s="848">
        <v>0</v>
      </c>
      <c r="O654" s="848">
        <v>0</v>
      </c>
      <c r="P654" s="848">
        <v>0</v>
      </c>
      <c r="Q654" s="848">
        <v>0</v>
      </c>
      <c r="R654" s="848">
        <v>0</v>
      </c>
      <c r="S654" s="848">
        <f>SUM(M654:R654)</f>
        <v>-29456943607.333332</v>
      </c>
      <c r="T654" s="857">
        <f t="shared" si="31"/>
        <v>0</v>
      </c>
      <c r="U654" s="850"/>
      <c r="V654" s="850"/>
      <c r="W654" s="850"/>
      <c r="X654" s="850"/>
    </row>
    <row r="655" spans="1:24" ht="13.5" thickBot="1">
      <c r="A655" s="850" t="s">
        <v>2585</v>
      </c>
      <c r="B655" s="850" t="s">
        <v>676</v>
      </c>
      <c r="C655" s="576" t="s">
        <v>2586</v>
      </c>
      <c r="D655" s="850"/>
      <c r="E655" s="559" t="s">
        <v>2985</v>
      </c>
      <c r="F655" s="909"/>
      <c r="G655" s="1543">
        <f>SUM(G648:G654)</f>
        <v>628833195591</v>
      </c>
      <c r="H655" s="1543">
        <f>SUM(H648:H654)</f>
        <v>-31907884849.333332</v>
      </c>
      <c r="I655" s="1543">
        <f>SUM(I648:I654)</f>
        <v>0</v>
      </c>
      <c r="J655" s="909"/>
      <c r="K655" s="850"/>
      <c r="L655" s="850" t="s">
        <v>2961</v>
      </c>
      <c r="M655" s="848">
        <v>0</v>
      </c>
      <c r="N655" s="848">
        <v>0</v>
      </c>
      <c r="O655" s="848">
        <v>0</v>
      </c>
      <c r="P655" s="848">
        <v>0</v>
      </c>
      <c r="Q655" s="848">
        <v>0</v>
      </c>
      <c r="R655" s="848">
        <v>0</v>
      </c>
      <c r="S655" s="848">
        <f t="shared" ref="S655" si="36">SUM(M655:R655)</f>
        <v>0</v>
      </c>
      <c r="T655" s="857">
        <f t="shared" si="31"/>
        <v>0</v>
      </c>
      <c r="U655" s="850"/>
      <c r="V655" s="850"/>
      <c r="W655" s="850"/>
      <c r="X655" s="850"/>
    </row>
    <row r="656" spans="1:24" ht="13.5" thickTop="1">
      <c r="A656" s="850" t="s">
        <v>2585</v>
      </c>
      <c r="B656" s="850" t="s">
        <v>676</v>
      </c>
      <c r="C656" s="576" t="s">
        <v>2586</v>
      </c>
      <c r="D656" s="850"/>
      <c r="E656" s="850"/>
      <c r="F656" s="850"/>
      <c r="G656" s="850"/>
      <c r="H656" s="850"/>
      <c r="I656" s="850"/>
      <c r="J656" s="850"/>
      <c r="K656" s="850"/>
      <c r="L656" s="850" t="s">
        <v>2986</v>
      </c>
      <c r="M656" s="848">
        <v>0</v>
      </c>
      <c r="N656" s="848">
        <v>0</v>
      </c>
      <c r="O656" s="848">
        <v>0</v>
      </c>
      <c r="P656" s="848">
        <v>0</v>
      </c>
      <c r="Q656" s="848">
        <v>0</v>
      </c>
      <c r="R656" s="848">
        <f>-R647</f>
        <v>-42476364887</v>
      </c>
      <c r="S656" s="848">
        <f>SUM(M656:R656)</f>
        <v>-42476364887</v>
      </c>
      <c r="T656" s="857">
        <f t="shared" si="31"/>
        <v>0</v>
      </c>
      <c r="U656" s="850"/>
      <c r="V656" s="850"/>
      <c r="W656" s="850"/>
      <c r="X656" s="850"/>
    </row>
    <row r="657" spans="1:24">
      <c r="A657" s="850" t="s">
        <v>2585</v>
      </c>
      <c r="B657" s="850" t="s">
        <v>676</v>
      </c>
      <c r="C657" s="576" t="s">
        <v>2586</v>
      </c>
      <c r="D657" s="850"/>
      <c r="E657" s="1" t="s">
        <v>1970</v>
      </c>
      <c r="F657" s="850"/>
      <c r="G657" s="857">
        <f>G653+G635</f>
        <v>-4</v>
      </c>
      <c r="H657" s="850"/>
      <c r="I657" s="850" t="s">
        <v>2987</v>
      </c>
      <c r="J657" s="848">
        <f>ROUND(J654*20%,0)</f>
        <v>119385062148</v>
      </c>
      <c r="K657" s="850"/>
      <c r="L657" s="850" t="s">
        <v>2988</v>
      </c>
      <c r="M657" s="234">
        <v>0</v>
      </c>
      <c r="N657" s="234">
        <f>N647+N648+N651</f>
        <v>-21586183767</v>
      </c>
      <c r="O657" s="234">
        <f t="shared" ref="O657:R657" si="37">O647+O648+O651</f>
        <v>-22113821434</v>
      </c>
      <c r="P657" s="234">
        <f t="shared" si="37"/>
        <v>-726200216</v>
      </c>
      <c r="Q657" s="234">
        <f t="shared" si="37"/>
        <v>-4076111</v>
      </c>
      <c r="R657" s="234">
        <f t="shared" si="37"/>
        <v>0</v>
      </c>
      <c r="S657" s="234">
        <f>S647+S648+S651</f>
        <v>-44430281528</v>
      </c>
      <c r="T657" s="857">
        <f t="shared" si="31"/>
        <v>0</v>
      </c>
      <c r="U657" s="850"/>
      <c r="V657" s="850"/>
      <c r="W657" s="850"/>
      <c r="X657" s="850"/>
    </row>
    <row r="658" spans="1:24">
      <c r="A658" s="850" t="s">
        <v>2585</v>
      </c>
      <c r="B658" s="850" t="s">
        <v>676</v>
      </c>
      <c r="C658" s="576" t="s">
        <v>2586</v>
      </c>
      <c r="D658" s="850"/>
      <c r="E658" s="1" t="s">
        <v>1970</v>
      </c>
      <c r="F658" s="850"/>
      <c r="G658" s="857">
        <f>G654+F635</f>
        <v>0</v>
      </c>
      <c r="H658" s="850"/>
      <c r="I658" s="850"/>
      <c r="J658" s="850"/>
      <c r="K658" s="850"/>
      <c r="L658" s="850"/>
      <c r="M658" s="857"/>
      <c r="N658" s="850"/>
      <c r="O658" s="857"/>
      <c r="P658" s="850"/>
      <c r="Q658" s="850"/>
      <c r="R658" s="850"/>
      <c r="S658" s="850"/>
      <c r="T658" s="850"/>
      <c r="U658" s="850"/>
      <c r="V658" s="850"/>
      <c r="W658" s="850"/>
      <c r="X658" s="850"/>
    </row>
    <row r="659" spans="1:24">
      <c r="A659" s="850" t="s">
        <v>2585</v>
      </c>
      <c r="B659" s="850" t="s">
        <v>676</v>
      </c>
      <c r="C659" s="576" t="s">
        <v>2586</v>
      </c>
      <c r="D659" s="850"/>
      <c r="E659" s="850"/>
      <c r="F659" s="850"/>
      <c r="G659" s="850"/>
      <c r="H659" s="857"/>
      <c r="I659" s="850" t="s">
        <v>2989</v>
      </c>
      <c r="J659" s="848"/>
      <c r="K659" s="850"/>
      <c r="L659" s="1" t="s">
        <v>777</v>
      </c>
      <c r="M659" s="850" t="s">
        <v>2990</v>
      </c>
      <c r="N659" s="850"/>
      <c r="O659" s="850"/>
      <c r="P659" s="850"/>
      <c r="Q659" s="850"/>
      <c r="R659" s="850"/>
      <c r="S659" s="850"/>
      <c r="T659" s="850"/>
      <c r="U659" s="850"/>
      <c r="V659" s="850"/>
      <c r="W659" s="850"/>
      <c r="X659" s="850"/>
    </row>
    <row r="660" spans="1:24">
      <c r="A660" s="850" t="s">
        <v>2585</v>
      </c>
      <c r="B660" s="850" t="s">
        <v>676</v>
      </c>
      <c r="C660" s="576" t="s">
        <v>2586</v>
      </c>
      <c r="D660" s="850"/>
      <c r="E660" s="850"/>
      <c r="F660" s="850"/>
      <c r="G660" s="850"/>
      <c r="H660" s="857"/>
      <c r="I660" s="850"/>
      <c r="J660" s="857"/>
      <c r="K660" s="850"/>
      <c r="L660" s="850"/>
      <c r="M660" s="850"/>
      <c r="N660" s="850"/>
      <c r="O660" s="850"/>
      <c r="P660" s="850"/>
      <c r="Q660" s="850"/>
      <c r="R660" s="850"/>
      <c r="S660" s="850"/>
      <c r="T660" s="850"/>
      <c r="U660" s="850"/>
      <c r="V660" s="850"/>
      <c r="W660" s="850"/>
      <c r="X660" s="850"/>
    </row>
    <row r="661" spans="1:24" ht="38.25">
      <c r="A661" s="850" t="s">
        <v>2585</v>
      </c>
      <c r="B661" s="850" t="s">
        <v>676</v>
      </c>
      <c r="C661" s="576" t="s">
        <v>2586</v>
      </c>
      <c r="D661" s="850"/>
      <c r="E661" s="1" t="s">
        <v>2991</v>
      </c>
      <c r="F661" s="850"/>
      <c r="G661" s="850"/>
      <c r="H661" s="850"/>
      <c r="I661" s="850"/>
      <c r="J661" s="850"/>
      <c r="K661" s="850"/>
      <c r="L661" s="191" t="s">
        <v>2972</v>
      </c>
      <c r="M661" s="191" t="s">
        <v>2973</v>
      </c>
      <c r="N661" s="191" t="s">
        <v>2974</v>
      </c>
      <c r="O661" s="191" t="s">
        <v>2975</v>
      </c>
      <c r="P661" s="191" t="s">
        <v>2976</v>
      </c>
      <c r="Q661" s="191" t="s">
        <v>2977</v>
      </c>
      <c r="R661" s="850"/>
      <c r="S661" s="612" t="s">
        <v>2972</v>
      </c>
      <c r="T661" s="612" t="s">
        <v>2973</v>
      </c>
      <c r="U661" s="612" t="s">
        <v>2974</v>
      </c>
      <c r="V661" s="612" t="s">
        <v>2975</v>
      </c>
      <c r="W661" s="612" t="s">
        <v>2976</v>
      </c>
      <c r="X661" s="612" t="s">
        <v>2977</v>
      </c>
    </row>
    <row r="662" spans="1:24" ht="25.5">
      <c r="A662" s="850" t="s">
        <v>2585</v>
      </c>
      <c r="B662" s="850" t="s">
        <v>676</v>
      </c>
      <c r="C662" s="576" t="s">
        <v>2586</v>
      </c>
      <c r="D662" s="850"/>
      <c r="E662" s="191" t="s">
        <v>2972</v>
      </c>
      <c r="F662" s="191" t="s">
        <v>2973</v>
      </c>
      <c r="G662" s="191" t="s">
        <v>2974</v>
      </c>
      <c r="H662" s="191" t="s">
        <v>2975</v>
      </c>
      <c r="I662" s="191" t="s">
        <v>2976</v>
      </c>
      <c r="J662" s="191" t="s">
        <v>2977</v>
      </c>
      <c r="K662" s="850"/>
      <c r="L662" s="1012">
        <v>2017</v>
      </c>
      <c r="M662" s="1012">
        <f>L662+5</f>
        <v>2022</v>
      </c>
      <c r="N662" s="848">
        <v>38888925</v>
      </c>
      <c r="O662" s="848">
        <v>0</v>
      </c>
      <c r="P662" s="857">
        <f>-N662</f>
        <v>-38888925</v>
      </c>
      <c r="Q662" s="857">
        <f>SUM(N662:P662)</f>
        <v>0</v>
      </c>
      <c r="R662" s="850"/>
      <c r="S662" s="1074">
        <v>2017</v>
      </c>
      <c r="T662" s="1074">
        <f>S662+5</f>
        <v>2022</v>
      </c>
      <c r="U662" s="1042">
        <f t="shared" ref="U662:W665" si="38">N662</f>
        <v>38888925</v>
      </c>
      <c r="V662" s="1042">
        <f t="shared" si="38"/>
        <v>0</v>
      </c>
      <c r="W662" s="1042">
        <f t="shared" si="38"/>
        <v>-38888925</v>
      </c>
      <c r="X662" s="1042">
        <f>SUM(U662:W662)</f>
        <v>0</v>
      </c>
    </row>
    <row r="663" spans="1:24">
      <c r="A663" s="850" t="s">
        <v>2585</v>
      </c>
      <c r="B663" s="850" t="s">
        <v>676</v>
      </c>
      <c r="C663" s="576" t="s">
        <v>2586</v>
      </c>
      <c r="D663" s="850"/>
      <c r="E663" s="1032">
        <v>2018</v>
      </c>
      <c r="F663" s="1032">
        <f>E663+5</f>
        <v>2023</v>
      </c>
      <c r="G663" s="990">
        <f>'A4.N2FS Singles'!G634</f>
        <v>0</v>
      </c>
      <c r="H663" s="990">
        <f>'A4.N2FS Singles'!H634</f>
        <v>0</v>
      </c>
      <c r="I663" s="990">
        <f>'A4.N2FS Singles'!I634</f>
        <v>0</v>
      </c>
      <c r="J663" s="990">
        <f>'A4.N2FS Singles'!J634</f>
        <v>0</v>
      </c>
      <c r="K663" s="850"/>
      <c r="L663" s="1012">
        <v>2018</v>
      </c>
      <c r="M663" s="1012">
        <f>L663+5</f>
        <v>2023</v>
      </c>
      <c r="N663" s="857">
        <f t="shared" ref="N663:N668" si="39">G663</f>
        <v>0</v>
      </c>
      <c r="O663" s="848">
        <v>0</v>
      </c>
      <c r="P663" s="848">
        <v>0</v>
      </c>
      <c r="Q663" s="857">
        <f>Q662+SUM(N663:P663)</f>
        <v>0</v>
      </c>
      <c r="R663" s="850"/>
      <c r="S663" s="1074">
        <v>2018</v>
      </c>
      <c r="T663" s="1074">
        <f>S663+5</f>
        <v>2023</v>
      </c>
      <c r="U663" s="1042">
        <f t="shared" si="38"/>
        <v>0</v>
      </c>
      <c r="V663" s="1042">
        <f t="shared" si="38"/>
        <v>0</v>
      </c>
      <c r="W663" s="1042">
        <f t="shared" si="38"/>
        <v>0</v>
      </c>
      <c r="X663" s="1042">
        <f>X662+SUM(U663:W663)</f>
        <v>0</v>
      </c>
    </row>
    <row r="664" spans="1:24" ht="51">
      <c r="A664" s="850" t="s">
        <v>2585</v>
      </c>
      <c r="B664" s="850" t="s">
        <v>676</v>
      </c>
      <c r="C664" s="576" t="s">
        <v>2586</v>
      </c>
      <c r="D664" s="850"/>
      <c r="E664" s="1021" t="s">
        <v>2979</v>
      </c>
      <c r="F664" s="1032">
        <v>2024</v>
      </c>
      <c r="G664" s="990">
        <f>'A4.N2FS Singles'!G635</f>
        <v>3607297872</v>
      </c>
      <c r="H664" s="990">
        <f>'A4.N2FS Singles'!H635</f>
        <v>-3607297872</v>
      </c>
      <c r="I664" s="990">
        <f>'A4.N2FS Singles'!I635</f>
        <v>0</v>
      </c>
      <c r="J664" s="990">
        <f>'A4.N2FS Singles'!J635</f>
        <v>0</v>
      </c>
      <c r="K664" s="850"/>
      <c r="L664" s="1003" t="s">
        <v>2979</v>
      </c>
      <c r="M664" s="1012">
        <v>2024</v>
      </c>
      <c r="N664" s="857">
        <f t="shared" si="39"/>
        <v>3607297872</v>
      </c>
      <c r="O664" s="848">
        <v>0</v>
      </c>
      <c r="P664" s="848">
        <v>0</v>
      </c>
      <c r="Q664" s="857">
        <f t="shared" ref="Q664:Q668" si="40">Q663+SUM(N664:P664)</f>
        <v>3607297872</v>
      </c>
      <c r="R664" s="850"/>
      <c r="S664" s="1075" t="s">
        <v>2979</v>
      </c>
      <c r="T664" s="1074">
        <v>2024</v>
      </c>
      <c r="U664" s="1042">
        <f t="shared" si="38"/>
        <v>3607297872</v>
      </c>
      <c r="V664" s="1042">
        <f t="shared" si="38"/>
        <v>0</v>
      </c>
      <c r="W664" s="1042">
        <f t="shared" si="38"/>
        <v>0</v>
      </c>
      <c r="X664" s="1042">
        <f t="shared" ref="X664:X668" si="41">X663+SUM(U664:W664)</f>
        <v>3607297872</v>
      </c>
    </row>
    <row r="665" spans="1:24" ht="51">
      <c r="A665" s="850" t="s">
        <v>2585</v>
      </c>
      <c r="B665" s="850" t="s">
        <v>676</v>
      </c>
      <c r="C665" s="576" t="s">
        <v>2586</v>
      </c>
      <c r="D665" s="850"/>
      <c r="E665" s="1021" t="s">
        <v>2980</v>
      </c>
      <c r="F665" s="1032">
        <v>2024</v>
      </c>
      <c r="G665" s="990">
        <f>'A4.N2FS Singles'!G636</f>
        <v>286731443</v>
      </c>
      <c r="H665" s="990">
        <f>'A4.N2FS Singles'!H636</f>
        <v>-286731443</v>
      </c>
      <c r="I665" s="990">
        <f>'A4.N2FS Singles'!I636</f>
        <v>0</v>
      </c>
      <c r="J665" s="990">
        <f>'A4.N2FS Singles'!J636</f>
        <v>0</v>
      </c>
      <c r="K665" s="850"/>
      <c r="L665" s="1003" t="s">
        <v>2980</v>
      </c>
      <c r="M665" s="1012">
        <v>2024</v>
      </c>
      <c r="N665" s="857">
        <f t="shared" si="39"/>
        <v>286731443</v>
      </c>
      <c r="O665" s="848">
        <v>0</v>
      </c>
      <c r="P665" s="848">
        <v>0</v>
      </c>
      <c r="Q665" s="857">
        <f t="shared" si="40"/>
        <v>3894029315</v>
      </c>
      <c r="R665" s="850"/>
      <c r="S665" s="1075" t="s">
        <v>2980</v>
      </c>
      <c r="T665" s="1074">
        <v>2024</v>
      </c>
      <c r="U665" s="1042">
        <f t="shared" si="38"/>
        <v>286731443</v>
      </c>
      <c r="V665" s="1042">
        <f t="shared" si="38"/>
        <v>0</v>
      </c>
      <c r="W665" s="1042">
        <f t="shared" si="38"/>
        <v>0</v>
      </c>
      <c r="X665" s="1042">
        <f t="shared" si="41"/>
        <v>3894029315</v>
      </c>
    </row>
    <row r="666" spans="1:24">
      <c r="A666" s="850" t="s">
        <v>2585</v>
      </c>
      <c r="B666" s="850" t="s">
        <v>676</v>
      </c>
      <c r="C666" s="576" t="s">
        <v>2586</v>
      </c>
      <c r="D666" s="850"/>
      <c r="E666" s="1032">
        <v>2020</v>
      </c>
      <c r="F666" s="1032">
        <f>E666+5</f>
        <v>2025</v>
      </c>
      <c r="G666" s="990">
        <f>'A4.N2FS Singles'!G637</f>
        <v>20256507525</v>
      </c>
      <c r="H666" s="990">
        <f>'A4.N2FS Singles'!H637</f>
        <v>-20256507525</v>
      </c>
      <c r="I666" s="990">
        <f>'A4.N2FS Singles'!I637</f>
        <v>0</v>
      </c>
      <c r="J666" s="990">
        <f>'A4.N2FS Singles'!J637</f>
        <v>0</v>
      </c>
      <c r="K666" s="850"/>
      <c r="L666" s="1012">
        <v>2020</v>
      </c>
      <c r="M666" s="1012">
        <f>L666+5</f>
        <v>2025</v>
      </c>
      <c r="N666" s="857">
        <f t="shared" si="39"/>
        <v>20256507525</v>
      </c>
      <c r="O666" s="848">
        <v>0</v>
      </c>
      <c r="P666" s="848">
        <v>0</v>
      </c>
      <c r="Q666" s="857">
        <f t="shared" si="40"/>
        <v>24150536840</v>
      </c>
      <c r="R666" s="850"/>
      <c r="S666" s="1074">
        <v>2020</v>
      </c>
      <c r="T666" s="1074">
        <f>S666+5</f>
        <v>2025</v>
      </c>
      <c r="U666" s="1042">
        <f>N666+N674</f>
        <v>21233115158</v>
      </c>
      <c r="V666" s="1042">
        <f>O666+O674</f>
        <v>0</v>
      </c>
      <c r="W666" s="1042">
        <f>P666+P674</f>
        <v>0</v>
      </c>
      <c r="X666" s="1042">
        <f t="shared" si="41"/>
        <v>25127144473</v>
      </c>
    </row>
    <row r="667" spans="1:24">
      <c r="A667" s="850" t="s">
        <v>2585</v>
      </c>
      <c r="B667" s="850" t="s">
        <v>676</v>
      </c>
      <c r="C667" s="576" t="s">
        <v>2586</v>
      </c>
      <c r="D667" s="850"/>
      <c r="E667" s="1032">
        <v>2021</v>
      </c>
      <c r="F667" s="1032">
        <f>E667+5</f>
        <v>2026</v>
      </c>
      <c r="G667" s="990">
        <f>'A4.N2FS Singles'!G638</f>
        <v>62202745804</v>
      </c>
      <c r="H667" s="990">
        <f>'A4.N2FS Singles'!H638</f>
        <v>-5306406767.3333321</v>
      </c>
      <c r="I667" s="990">
        <f>'A4.N2FS Singles'!I638</f>
        <v>0</v>
      </c>
      <c r="J667" s="990">
        <f>'A4.N2FS Singles'!J638</f>
        <v>56896339036.666672</v>
      </c>
      <c r="K667" s="850"/>
      <c r="L667" s="1012">
        <v>2021</v>
      </c>
      <c r="M667" s="1012">
        <f>L667+5</f>
        <v>2026</v>
      </c>
      <c r="N667" s="857">
        <f t="shared" si="39"/>
        <v>62202745804</v>
      </c>
      <c r="O667" s="848">
        <v>0</v>
      </c>
      <c r="P667" s="848">
        <v>0</v>
      </c>
      <c r="Q667" s="857">
        <f t="shared" si="40"/>
        <v>86353282644</v>
      </c>
      <c r="R667" s="850"/>
      <c r="S667" s="1074">
        <v>2021</v>
      </c>
      <c r="T667" s="1074">
        <f>S667+5</f>
        <v>2026</v>
      </c>
      <c r="U667" s="1042">
        <f>N667+N675+N685</f>
        <v>220889929162</v>
      </c>
      <c r="V667" s="1042">
        <f>O667+O675+O685</f>
        <v>0</v>
      </c>
      <c r="W667" s="1042">
        <f>P667+P675+P685</f>
        <v>0</v>
      </c>
      <c r="X667" s="1042">
        <f t="shared" si="41"/>
        <v>246017073635</v>
      </c>
    </row>
    <row r="668" spans="1:24">
      <c r="A668" s="850" t="s">
        <v>2585</v>
      </c>
      <c r="B668" s="850" t="s">
        <v>676</v>
      </c>
      <c r="C668" s="576" t="s">
        <v>2586</v>
      </c>
      <c r="D668" s="850"/>
      <c r="E668" s="1032">
        <v>2022</v>
      </c>
      <c r="F668" s="1032">
        <f>E668+5</f>
        <v>2027</v>
      </c>
      <c r="G668" s="990">
        <f>'A4.N2FS Singles'!G639</f>
        <v>155690730363</v>
      </c>
      <c r="H668" s="990">
        <f>'A4.N2FS Singles'!H639</f>
        <v>0</v>
      </c>
      <c r="I668" s="990">
        <f>'A4.N2FS Singles'!I639</f>
        <v>0</v>
      </c>
      <c r="J668" s="990">
        <f>'A4.N2FS Singles'!J639</f>
        <v>212587069399.66669</v>
      </c>
      <c r="K668" s="850"/>
      <c r="L668" s="1012">
        <v>2022</v>
      </c>
      <c r="M668" s="1012">
        <f>L668+5</f>
        <v>2027</v>
      </c>
      <c r="N668" s="857">
        <f t="shared" si="39"/>
        <v>155690730363</v>
      </c>
      <c r="O668" s="848">
        <v>0</v>
      </c>
      <c r="P668" s="848">
        <v>0</v>
      </c>
      <c r="Q668" s="857">
        <f t="shared" si="40"/>
        <v>242044013007</v>
      </c>
      <c r="R668" s="850"/>
      <c r="S668" s="1074">
        <v>2022</v>
      </c>
      <c r="T668" s="1074">
        <f>S668+5</f>
        <v>2027</v>
      </c>
      <c r="U668" s="1042">
        <f>N668+N676+N686+N693+N700</f>
        <v>281591949998</v>
      </c>
      <c r="V668" s="1042">
        <f>O668+O676+O686+O693+O700</f>
        <v>-4528152287</v>
      </c>
      <c r="W668" s="1042">
        <f>P668+P676+P686+P693+P700</f>
        <v>0</v>
      </c>
      <c r="X668" s="1042">
        <f t="shared" si="41"/>
        <v>523080871346</v>
      </c>
    </row>
    <row r="669" spans="1:24">
      <c r="A669" s="850"/>
      <c r="B669" s="850"/>
      <c r="C669" s="576" t="s">
        <v>2586</v>
      </c>
      <c r="D669" s="850"/>
      <c r="E669" s="1032">
        <v>2023</v>
      </c>
      <c r="F669" s="1032">
        <f>E669+5</f>
        <v>2028</v>
      </c>
      <c r="G669" s="990">
        <f>'A4.N2FS Singles'!G640</f>
        <v>54335201537</v>
      </c>
      <c r="H669" s="990">
        <f>'A4.N2FS Singles'!H640</f>
        <v>0</v>
      </c>
      <c r="I669" s="990">
        <f>'A4.N2FS Singles'!I640</f>
        <v>0</v>
      </c>
      <c r="J669" s="990">
        <f>'A4.N2FS Singles'!J640</f>
        <v>266922270936.66669</v>
      </c>
      <c r="K669" s="850"/>
      <c r="L669" s="1012"/>
      <c r="M669" s="1012"/>
      <c r="N669" s="857"/>
      <c r="O669" s="848"/>
      <c r="P669" s="848"/>
      <c r="Q669" s="857"/>
      <c r="R669" s="850"/>
      <c r="S669" s="1074"/>
      <c r="T669" s="1074"/>
      <c r="U669" s="1042"/>
      <c r="V669" s="1042"/>
      <c r="W669" s="1042"/>
      <c r="X669" s="1042"/>
    </row>
    <row r="670" spans="1:24" ht="13.5" thickBot="1">
      <c r="A670" s="850" t="s">
        <v>2585</v>
      </c>
      <c r="B670" s="850" t="s">
        <v>676</v>
      </c>
      <c r="C670" s="576" t="s">
        <v>2586</v>
      </c>
      <c r="D670" s="850"/>
      <c r="E670" s="1032" t="s">
        <v>2992</v>
      </c>
      <c r="F670" s="1032"/>
      <c r="G670" s="990">
        <f>'A4.N2FS Singles'!G641</f>
        <v>0</v>
      </c>
      <c r="H670" s="990">
        <f>'A4.N2FS Singles'!H641</f>
        <v>0</v>
      </c>
      <c r="I670" s="990">
        <f>'A4.N2FS Singles'!I641</f>
        <v>0</v>
      </c>
      <c r="J670" s="990">
        <f>'A4.N2FS Singles'!J641</f>
        <v>266922270936.66669</v>
      </c>
      <c r="K670" s="850"/>
      <c r="L670" s="850"/>
      <c r="M670" s="850"/>
      <c r="N670" s="1528">
        <f>SUM(N662:N668)</f>
        <v>242082901932</v>
      </c>
      <c r="O670" s="1528">
        <f t="shared" ref="O670:P670" si="42">SUM(O662:O668)</f>
        <v>0</v>
      </c>
      <c r="P670" s="1528">
        <f t="shared" si="42"/>
        <v>-38888925</v>
      </c>
      <c r="Q670" s="850"/>
      <c r="R670" s="850"/>
      <c r="S670" s="910"/>
      <c r="T670" s="910"/>
      <c r="U670" s="1544">
        <f>SUM(U662:U668)</f>
        <v>527647912558</v>
      </c>
      <c r="V670" s="1544">
        <f t="shared" ref="V670:W670" si="43">SUM(V662:V668)</f>
        <v>-4528152287</v>
      </c>
      <c r="W670" s="1544">
        <f t="shared" si="43"/>
        <v>-38888925</v>
      </c>
      <c r="X670" s="910"/>
    </row>
    <row r="671" spans="1:24" ht="14.25" thickTop="1" thickBot="1">
      <c r="A671" s="850" t="s">
        <v>2585</v>
      </c>
      <c r="B671" s="850" t="s">
        <v>676</v>
      </c>
      <c r="C671" s="576" t="s">
        <v>2586</v>
      </c>
      <c r="D671" s="850"/>
      <c r="E671" s="201" t="s">
        <v>2985</v>
      </c>
      <c r="F671" s="992"/>
      <c r="G671" s="1559">
        <f>SUM(G663:G670)</f>
        <v>296379214544</v>
      </c>
      <c r="H671" s="1559">
        <f>SUM(H663:H670)</f>
        <v>-29456943607.333332</v>
      </c>
      <c r="I671" s="1559">
        <f>SUM(I663:I670)</f>
        <v>0</v>
      </c>
      <c r="J671" s="992"/>
      <c r="K671" s="850"/>
      <c r="L671" s="850"/>
      <c r="M671" s="850"/>
      <c r="N671" s="850"/>
      <c r="O671" s="850"/>
      <c r="P671" s="850"/>
      <c r="Q671" s="850"/>
      <c r="R671" s="850"/>
      <c r="S671" s="850"/>
      <c r="T671" s="850"/>
      <c r="U671" s="850"/>
      <c r="V671" s="850"/>
      <c r="W671" s="850"/>
      <c r="X671" s="850"/>
    </row>
    <row r="672" spans="1:24" ht="13.5" thickTop="1">
      <c r="A672" s="850" t="s">
        <v>2585</v>
      </c>
      <c r="B672" s="850" t="s">
        <v>676</v>
      </c>
      <c r="C672" s="576" t="s">
        <v>2586</v>
      </c>
      <c r="D672" s="850"/>
      <c r="E672" s="850"/>
      <c r="F672" s="850"/>
      <c r="G672" s="850"/>
      <c r="H672" s="850"/>
      <c r="I672" s="850"/>
      <c r="J672" s="850"/>
      <c r="K672" s="850"/>
      <c r="L672" s="1" t="s">
        <v>656</v>
      </c>
      <c r="M672" s="850"/>
      <c r="N672" s="850"/>
      <c r="O672" s="850"/>
      <c r="P672" s="850"/>
      <c r="Q672" s="850"/>
      <c r="R672" s="850"/>
      <c r="S672" s="850"/>
      <c r="T672" s="850"/>
      <c r="U672" s="850"/>
      <c r="V672" s="850"/>
      <c r="W672" s="850"/>
      <c r="X672" s="850"/>
    </row>
    <row r="673" spans="1:24" ht="25.5">
      <c r="A673" s="850" t="s">
        <v>2585</v>
      </c>
      <c r="B673" s="850" t="s">
        <v>676</v>
      </c>
      <c r="C673" s="576" t="s">
        <v>2586</v>
      </c>
      <c r="D673" s="850"/>
      <c r="E673" s="1" t="s">
        <v>656</v>
      </c>
      <c r="F673" s="850"/>
      <c r="G673" s="850"/>
      <c r="H673" s="850"/>
      <c r="I673" s="850"/>
      <c r="J673" s="850"/>
      <c r="K673" s="850"/>
      <c r="L673" s="593" t="s">
        <v>2972</v>
      </c>
      <c r="M673" s="593" t="s">
        <v>2973</v>
      </c>
      <c r="N673" s="593" t="s">
        <v>2974</v>
      </c>
      <c r="O673" s="593" t="s">
        <v>2975</v>
      </c>
      <c r="P673" s="594" t="s">
        <v>2976</v>
      </c>
      <c r="Q673" s="594" t="s">
        <v>2977</v>
      </c>
      <c r="R673" s="850"/>
      <c r="S673" s="850"/>
      <c r="T673" s="850"/>
      <c r="U673" s="850"/>
      <c r="V673" s="850"/>
      <c r="W673" s="850"/>
      <c r="X673" s="850"/>
    </row>
    <row r="674" spans="1:24" ht="25.5">
      <c r="A674" s="850" t="s">
        <v>2585</v>
      </c>
      <c r="B674" s="850" t="s">
        <v>676</v>
      </c>
      <c r="C674" s="576" t="s">
        <v>2586</v>
      </c>
      <c r="D674" s="850"/>
      <c r="E674" s="593" t="s">
        <v>2972</v>
      </c>
      <c r="F674" s="593" t="s">
        <v>2973</v>
      </c>
      <c r="G674" s="593" t="s">
        <v>2974</v>
      </c>
      <c r="H674" s="593" t="s">
        <v>2975</v>
      </c>
      <c r="I674" s="594" t="s">
        <v>2976</v>
      </c>
      <c r="J674" s="594" t="s">
        <v>2977</v>
      </c>
      <c r="K674" s="850"/>
      <c r="L674" s="1076">
        <v>2020</v>
      </c>
      <c r="M674" s="1076">
        <v>2025</v>
      </c>
      <c r="N674" s="857">
        <f>G675</f>
        <v>976607633</v>
      </c>
      <c r="O674" s="848">
        <v>0</v>
      </c>
      <c r="P674" s="848">
        <v>0</v>
      </c>
      <c r="Q674" s="857">
        <f>SUM(N674:P674)</f>
        <v>976607633</v>
      </c>
      <c r="R674" s="850"/>
      <c r="S674" s="850"/>
      <c r="T674" s="850"/>
      <c r="U674" s="850"/>
      <c r="V674" s="850"/>
      <c r="W674" s="850"/>
      <c r="X674" s="850"/>
    </row>
    <row r="675" spans="1:24">
      <c r="A675" s="850" t="s">
        <v>2585</v>
      </c>
      <c r="B675" s="850" t="s">
        <v>676</v>
      </c>
      <c r="C675" s="576" t="s">
        <v>2586</v>
      </c>
      <c r="D675" s="850"/>
      <c r="E675" s="1076">
        <v>2020</v>
      </c>
      <c r="F675" s="1076">
        <v>2025</v>
      </c>
      <c r="G675" s="936">
        <v>976607633</v>
      </c>
      <c r="H675" s="936">
        <v>0</v>
      </c>
      <c r="I675" s="936">
        <v>0</v>
      </c>
      <c r="J675" s="936">
        <f>SUM(G675:I675)</f>
        <v>976607633</v>
      </c>
      <c r="K675" s="850"/>
      <c r="L675" s="1077" t="s">
        <v>2993</v>
      </c>
      <c r="M675" s="1076">
        <v>2026</v>
      </c>
      <c r="N675" s="857">
        <f>G676</f>
        <v>132586489618</v>
      </c>
      <c r="O675" s="848">
        <v>0</v>
      </c>
      <c r="P675" s="848">
        <v>0</v>
      </c>
      <c r="Q675" s="857">
        <f>Q674+SUM(N675:P675)</f>
        <v>133563097251</v>
      </c>
      <c r="R675" s="850"/>
      <c r="S675" s="850"/>
      <c r="T675" s="850"/>
      <c r="U675" s="850"/>
      <c r="V675" s="850"/>
      <c r="W675" s="850"/>
      <c r="X675" s="850"/>
    </row>
    <row r="676" spans="1:24">
      <c r="A676" s="850" t="s">
        <v>2585</v>
      </c>
      <c r="B676" s="850" t="s">
        <v>676</v>
      </c>
      <c r="C676" s="576" t="s">
        <v>2586</v>
      </c>
      <c r="D676" s="850"/>
      <c r="E676" s="1077" t="s">
        <v>2993</v>
      </c>
      <c r="F676" s="1076">
        <v>2026</v>
      </c>
      <c r="G676" s="936">
        <f>ROUND(132586489618.228,0)</f>
        <v>132586489618</v>
      </c>
      <c r="H676" s="936">
        <v>0</v>
      </c>
      <c r="I676" s="936">
        <v>0</v>
      </c>
      <c r="J676" s="936">
        <f>J675+SUM(G676:I676)</f>
        <v>133563097251</v>
      </c>
      <c r="K676" s="850"/>
      <c r="L676" s="1077" t="s">
        <v>2994</v>
      </c>
      <c r="M676" s="1076">
        <v>2027</v>
      </c>
      <c r="N676" s="857">
        <f>G677</f>
        <v>125868034430</v>
      </c>
      <c r="O676" s="848">
        <v>0</v>
      </c>
      <c r="P676" s="848">
        <v>0</v>
      </c>
      <c r="Q676" s="857">
        <f>Q675+SUM(N676:P676)</f>
        <v>259431131681</v>
      </c>
      <c r="R676" s="850"/>
      <c r="S676" s="850"/>
      <c r="T676" s="850"/>
      <c r="U676" s="850"/>
      <c r="V676" s="850"/>
      <c r="W676" s="850"/>
      <c r="X676" s="850"/>
    </row>
    <row r="677" spans="1:24" ht="13.5" thickBot="1">
      <c r="A677" s="850" t="s">
        <v>2585</v>
      </c>
      <c r="B677" s="850" t="s">
        <v>676</v>
      </c>
      <c r="C677" s="576" t="s">
        <v>2586</v>
      </c>
      <c r="D677" s="850"/>
      <c r="E677" s="1077" t="s">
        <v>2994</v>
      </c>
      <c r="F677" s="1076">
        <v>2027</v>
      </c>
      <c r="G677" s="936">
        <v>125868034430</v>
      </c>
      <c r="H677" s="936">
        <v>0</v>
      </c>
      <c r="I677" s="936">
        <v>0</v>
      </c>
      <c r="J677" s="936">
        <f>J676+SUM(G677:I677)</f>
        <v>259431131681</v>
      </c>
      <c r="K677" s="850"/>
      <c r="L677" s="850"/>
      <c r="M677" s="850"/>
      <c r="N677" s="1560">
        <f>SUM(N674:N676)</f>
        <v>259431131681</v>
      </c>
      <c r="O677" s="1560">
        <f t="shared" ref="O677:P677" si="44">SUM(O674:O676)</f>
        <v>0</v>
      </c>
      <c r="P677" s="1560">
        <f t="shared" si="44"/>
        <v>0</v>
      </c>
      <c r="Q677" s="850"/>
      <c r="R677" s="850"/>
      <c r="S677" s="850"/>
      <c r="T677" s="850"/>
      <c r="U677" s="850"/>
      <c r="V677" s="850"/>
      <c r="W677" s="850"/>
      <c r="X677" s="850"/>
    </row>
    <row r="678" spans="1:24" ht="13.5" thickTop="1">
      <c r="A678" s="850"/>
      <c r="B678" s="850"/>
      <c r="C678" s="576" t="s">
        <v>2586</v>
      </c>
      <c r="D678" s="850"/>
      <c r="E678" s="1076">
        <v>2023</v>
      </c>
      <c r="F678" s="1076">
        <f>E678+5</f>
        <v>2028</v>
      </c>
      <c r="G678" s="948">
        <v>2434613730</v>
      </c>
      <c r="H678" s="936">
        <v>0</v>
      </c>
      <c r="I678" s="936">
        <v>0</v>
      </c>
      <c r="J678" s="936">
        <f>J677+SUM(G678:I678)</f>
        <v>261865745411</v>
      </c>
      <c r="K678" s="850"/>
      <c r="L678" s="850"/>
      <c r="M678" s="850"/>
      <c r="N678" s="322"/>
      <c r="O678" s="322"/>
      <c r="P678" s="322"/>
      <c r="Q678" s="850"/>
      <c r="R678" s="850"/>
      <c r="S678" s="850"/>
      <c r="T678" s="850"/>
      <c r="U678" s="850"/>
      <c r="V678" s="850"/>
      <c r="W678" s="850"/>
      <c r="X678" s="850"/>
    </row>
    <row r="679" spans="1:24">
      <c r="A679" s="850" t="s">
        <v>2585</v>
      </c>
      <c r="B679" s="850" t="s">
        <v>676</v>
      </c>
      <c r="C679" s="576" t="s">
        <v>2586</v>
      </c>
      <c r="D679" s="850"/>
      <c r="E679" s="1076" t="s">
        <v>1224</v>
      </c>
      <c r="F679" s="1076">
        <v>2029</v>
      </c>
      <c r="G679" s="948">
        <f>-N657</f>
        <v>21586183767</v>
      </c>
      <c r="H679" s="936">
        <v>0</v>
      </c>
      <c r="I679" s="936">
        <v>0</v>
      </c>
      <c r="J679" s="936">
        <f>J678+SUM(G679:I679)</f>
        <v>283451929178</v>
      </c>
      <c r="K679" s="850"/>
      <c r="L679" s="850"/>
      <c r="M679" s="850"/>
      <c r="N679" s="850"/>
      <c r="O679" s="850"/>
      <c r="P679" s="850"/>
      <c r="Q679" s="850"/>
      <c r="R679" s="850"/>
      <c r="S679" s="850"/>
      <c r="T679" s="850"/>
      <c r="U679" s="850"/>
      <c r="V679" s="850"/>
      <c r="W679" s="850"/>
      <c r="X679" s="850"/>
    </row>
    <row r="680" spans="1:24" ht="13.5" thickBot="1">
      <c r="A680" s="850" t="s">
        <v>2585</v>
      </c>
      <c r="B680" s="850" t="s">
        <v>676</v>
      </c>
      <c r="C680" s="576" t="s">
        <v>2586</v>
      </c>
      <c r="D680" s="850"/>
      <c r="E680" s="595" t="s">
        <v>2985</v>
      </c>
      <c r="F680" s="934"/>
      <c r="G680" s="1560">
        <f>SUM(G675:G679)</f>
        <v>283451929178</v>
      </c>
      <c r="H680" s="1560">
        <f t="shared" ref="H680" si="45">SUM(H675:H678)</f>
        <v>0</v>
      </c>
      <c r="I680" s="1560">
        <f>SUM(I675:I678)</f>
        <v>0</v>
      </c>
      <c r="J680" s="934"/>
      <c r="K680" s="850"/>
      <c r="L680" s="850"/>
      <c r="M680" s="850"/>
      <c r="N680" s="850"/>
      <c r="O680" s="850"/>
      <c r="P680" s="850"/>
      <c r="Q680" s="850"/>
      <c r="R680" s="850"/>
      <c r="S680" s="850"/>
      <c r="T680" s="850"/>
      <c r="U680" s="850"/>
      <c r="V680" s="850"/>
      <c r="W680" s="850"/>
      <c r="X680" s="850"/>
    </row>
    <row r="681" spans="1:24" ht="13.5" thickTop="1">
      <c r="A681" s="850" t="s">
        <v>2585</v>
      </c>
      <c r="B681" s="850" t="s">
        <v>676</v>
      </c>
      <c r="C681" s="576" t="s">
        <v>2586</v>
      </c>
      <c r="D681" s="850"/>
      <c r="E681" s="850"/>
      <c r="F681" s="850"/>
      <c r="G681" s="850"/>
      <c r="H681" s="850"/>
      <c r="I681" s="850"/>
      <c r="J681" s="850"/>
      <c r="K681" s="848"/>
      <c r="L681" s="1" t="s">
        <v>530</v>
      </c>
      <c r="M681" s="850"/>
      <c r="N681" s="850"/>
      <c r="O681" s="850"/>
      <c r="P681" s="850"/>
      <c r="Q681" s="850"/>
      <c r="R681" s="850"/>
      <c r="S681" s="850"/>
      <c r="T681" s="850"/>
      <c r="U681" s="850"/>
      <c r="V681" s="850"/>
      <c r="W681" s="850"/>
      <c r="X681" s="850"/>
    </row>
    <row r="682" spans="1:24" ht="25.5">
      <c r="A682" s="850" t="s">
        <v>2585</v>
      </c>
      <c r="B682" s="850" t="s">
        <v>676</v>
      </c>
      <c r="C682" s="576" t="s">
        <v>2586</v>
      </c>
      <c r="D682" s="850"/>
      <c r="E682" s="1" t="s">
        <v>530</v>
      </c>
      <c r="F682" s="850"/>
      <c r="G682" s="850"/>
      <c r="H682" s="850"/>
      <c r="I682" s="850"/>
      <c r="J682" s="850"/>
      <c r="K682" s="850"/>
      <c r="L682" s="593" t="s">
        <v>2972</v>
      </c>
      <c r="M682" s="593" t="s">
        <v>2973</v>
      </c>
      <c r="N682" s="593" t="s">
        <v>2974</v>
      </c>
      <c r="O682" s="593" t="s">
        <v>2975</v>
      </c>
      <c r="P682" s="594" t="s">
        <v>2976</v>
      </c>
      <c r="Q682" s="594" t="s">
        <v>2977</v>
      </c>
      <c r="R682" s="850"/>
      <c r="S682" s="850"/>
      <c r="T682" s="850"/>
      <c r="U682" s="850"/>
      <c r="V682" s="850"/>
      <c r="W682" s="850"/>
      <c r="X682" s="850"/>
    </row>
    <row r="683" spans="1:24" ht="25.5">
      <c r="A683" s="850" t="s">
        <v>2585</v>
      </c>
      <c r="B683" s="850" t="s">
        <v>676</v>
      </c>
      <c r="C683" s="576" t="s">
        <v>2586</v>
      </c>
      <c r="D683" s="850"/>
      <c r="E683" s="593" t="s">
        <v>2972</v>
      </c>
      <c r="F683" s="593" t="s">
        <v>2973</v>
      </c>
      <c r="G683" s="593" t="s">
        <v>2974</v>
      </c>
      <c r="H683" s="593" t="s">
        <v>2975</v>
      </c>
      <c r="I683" s="594" t="s">
        <v>2976</v>
      </c>
      <c r="J683" s="594" t="s">
        <v>2977</v>
      </c>
      <c r="K683" s="850"/>
      <c r="L683" s="1076" t="s">
        <v>2995</v>
      </c>
      <c r="M683" s="1076">
        <v>2024</v>
      </c>
      <c r="N683" s="857">
        <f t="shared" ref="N683:P686" si="46">G684</f>
        <v>30131381506</v>
      </c>
      <c r="O683" s="857">
        <f t="shared" si="46"/>
        <v>0</v>
      </c>
      <c r="P683" s="857">
        <f t="shared" si="46"/>
        <v>0</v>
      </c>
      <c r="Q683" s="857">
        <f>SUM(N683:P683)</f>
        <v>30131381506</v>
      </c>
      <c r="R683" s="850"/>
      <c r="S683" s="850"/>
      <c r="T683" s="850"/>
      <c r="U683" s="850"/>
      <c r="V683" s="850"/>
      <c r="W683" s="850"/>
      <c r="X683" s="850"/>
    </row>
    <row r="684" spans="1:24">
      <c r="A684" s="850" t="s">
        <v>2585</v>
      </c>
      <c r="B684" s="850" t="s">
        <v>676</v>
      </c>
      <c r="C684" s="576" t="s">
        <v>2586</v>
      </c>
      <c r="D684" s="850"/>
      <c r="E684" s="1076" t="s">
        <v>2995</v>
      </c>
      <c r="F684" s="1076">
        <v>2024</v>
      </c>
      <c r="G684" s="936">
        <v>30131381506</v>
      </c>
      <c r="H684" s="936">
        <v>0</v>
      </c>
      <c r="I684" s="936">
        <v>0</v>
      </c>
      <c r="J684" s="936">
        <v>30131381506</v>
      </c>
      <c r="K684" s="850"/>
      <c r="L684" s="1078" t="s">
        <v>2996</v>
      </c>
      <c r="M684" s="1076">
        <v>2025</v>
      </c>
      <c r="N684" s="857">
        <f t="shared" si="46"/>
        <v>69274225459</v>
      </c>
      <c r="O684" s="857">
        <f t="shared" si="46"/>
        <v>0</v>
      </c>
      <c r="P684" s="857">
        <f t="shared" si="46"/>
        <v>0</v>
      </c>
      <c r="Q684" s="857">
        <f>Q683+SUM(N684:P684)</f>
        <v>99405606965</v>
      </c>
      <c r="R684" s="850"/>
      <c r="S684" s="850"/>
      <c r="T684" s="850"/>
      <c r="U684" s="850"/>
      <c r="V684" s="850"/>
      <c r="W684" s="850"/>
      <c r="X684" s="850"/>
    </row>
    <row r="685" spans="1:24">
      <c r="A685" s="850" t="s">
        <v>2585</v>
      </c>
      <c r="B685" s="850" t="s">
        <v>676</v>
      </c>
      <c r="C685" s="576" t="s">
        <v>2586</v>
      </c>
      <c r="D685" s="850"/>
      <c r="E685" s="1078" t="s">
        <v>2996</v>
      </c>
      <c r="F685" s="1076">
        <v>2025</v>
      </c>
      <c r="G685" s="936">
        <v>69274225459</v>
      </c>
      <c r="H685" s="936">
        <v>0</v>
      </c>
      <c r="I685" s="936">
        <v>0</v>
      </c>
      <c r="J685" s="936">
        <f>J684+SUM(G685:I685)</f>
        <v>99405606965</v>
      </c>
      <c r="K685" s="850"/>
      <c r="L685" s="1078" t="s">
        <v>2993</v>
      </c>
      <c r="M685" s="1076">
        <v>2026</v>
      </c>
      <c r="N685" s="857">
        <f t="shared" si="46"/>
        <v>26100693740</v>
      </c>
      <c r="O685" s="857">
        <f t="shared" si="46"/>
        <v>0</v>
      </c>
      <c r="P685" s="857">
        <f t="shared" si="46"/>
        <v>0</v>
      </c>
      <c r="Q685" s="857">
        <f t="shared" ref="Q685:Q686" si="47">Q684+SUM(N685:P685)</f>
        <v>125506300705</v>
      </c>
      <c r="R685" s="850"/>
      <c r="S685" s="850"/>
      <c r="T685" s="850"/>
      <c r="U685" s="850"/>
      <c r="V685" s="850"/>
      <c r="W685" s="850"/>
      <c r="X685" s="850"/>
    </row>
    <row r="686" spans="1:24">
      <c r="A686" s="850" t="s">
        <v>2585</v>
      </c>
      <c r="B686" s="850" t="s">
        <v>676</v>
      </c>
      <c r="C686" s="576" t="s">
        <v>2586</v>
      </c>
      <c r="D686" s="850"/>
      <c r="E686" s="1078" t="s">
        <v>2993</v>
      </c>
      <c r="F686" s="1076">
        <v>2026</v>
      </c>
      <c r="G686" s="936">
        <v>26100693740</v>
      </c>
      <c r="H686" s="936"/>
      <c r="I686" s="936">
        <v>0</v>
      </c>
      <c r="J686" s="936">
        <f>J685+SUM(G686:I686)</f>
        <v>125506300705</v>
      </c>
      <c r="K686" s="850"/>
      <c r="L686" s="1076" t="s">
        <v>2994</v>
      </c>
      <c r="M686" s="1076">
        <v>2027</v>
      </c>
      <c r="N686" s="857">
        <f t="shared" si="46"/>
        <v>0</v>
      </c>
      <c r="O686" s="857">
        <f t="shared" si="46"/>
        <v>-4528152287</v>
      </c>
      <c r="P686" s="857">
        <f t="shared" si="46"/>
        <v>0</v>
      </c>
      <c r="Q686" s="857">
        <f t="shared" si="47"/>
        <v>120978148418</v>
      </c>
      <c r="R686" s="850"/>
      <c r="S686" s="850"/>
      <c r="T686" s="850"/>
      <c r="U686" s="850"/>
      <c r="V686" s="850"/>
      <c r="W686" s="850"/>
      <c r="X686" s="850"/>
    </row>
    <row r="687" spans="1:24" ht="13.5" thickBot="1">
      <c r="A687" s="850" t="s">
        <v>2585</v>
      </c>
      <c r="B687" s="850" t="s">
        <v>676</v>
      </c>
      <c r="C687" s="576" t="s">
        <v>2586</v>
      </c>
      <c r="D687" s="850"/>
      <c r="E687" s="1076" t="s">
        <v>2994</v>
      </c>
      <c r="F687" s="1076">
        <v>2027</v>
      </c>
      <c r="G687" s="936">
        <v>0</v>
      </c>
      <c r="H687" s="936">
        <v>-4528152287</v>
      </c>
      <c r="I687" s="936">
        <v>0</v>
      </c>
      <c r="J687" s="936">
        <f>J686+SUM(G687:I687)</f>
        <v>120978148418</v>
      </c>
      <c r="K687" s="850"/>
      <c r="L687" s="850"/>
      <c r="M687" s="850"/>
      <c r="N687" s="1528">
        <f>SUM(N683:N686)</f>
        <v>125506300705</v>
      </c>
      <c r="O687" s="1528">
        <f t="shared" ref="O687:P687" si="48">SUM(O683:O686)</f>
        <v>-4528152287</v>
      </c>
      <c r="P687" s="1528">
        <f t="shared" si="48"/>
        <v>0</v>
      </c>
      <c r="Q687" s="850"/>
      <c r="R687" s="850"/>
      <c r="S687" s="850"/>
      <c r="T687" s="850"/>
      <c r="U687" s="850"/>
      <c r="V687" s="850"/>
      <c r="W687" s="850"/>
      <c r="X687" s="850"/>
    </row>
    <row r="688" spans="1:24" ht="13.5" thickTop="1">
      <c r="A688" s="850"/>
      <c r="B688" s="850"/>
      <c r="C688" s="576" t="s">
        <v>2586</v>
      </c>
      <c r="D688" s="850"/>
      <c r="E688" s="1076">
        <v>2023</v>
      </c>
      <c r="F688" s="1076">
        <f>E688+5</f>
        <v>2028</v>
      </c>
      <c r="G688" s="948">
        <v>0</v>
      </c>
      <c r="H688" s="948">
        <f>-1816818270</f>
        <v>-1816818270</v>
      </c>
      <c r="I688" s="936">
        <v>0</v>
      </c>
      <c r="J688" s="936">
        <f>J687+SUM(G688:I688)</f>
        <v>119161330148</v>
      </c>
      <c r="K688" s="850"/>
      <c r="L688" s="850"/>
      <c r="M688" s="850"/>
      <c r="N688" s="234"/>
      <c r="O688" s="234"/>
      <c r="P688" s="234"/>
      <c r="Q688" s="850"/>
      <c r="R688" s="850"/>
      <c r="S688" s="850"/>
      <c r="T688" s="850"/>
      <c r="U688" s="850"/>
      <c r="V688" s="850"/>
      <c r="W688" s="850"/>
      <c r="X688" s="850"/>
    </row>
    <row r="689" spans="1:24">
      <c r="A689" s="850" t="s">
        <v>2585</v>
      </c>
      <c r="B689" s="850" t="s">
        <v>676</v>
      </c>
      <c r="C689" s="576" t="s">
        <v>2586</v>
      </c>
      <c r="D689" s="850"/>
      <c r="E689" s="1076" t="s">
        <v>1224</v>
      </c>
      <c r="F689" s="1076">
        <v>2029</v>
      </c>
      <c r="G689" s="948">
        <f>-O657</f>
        <v>22113821434</v>
      </c>
      <c r="H689" s="948">
        <v>0</v>
      </c>
      <c r="I689" s="936">
        <v>0</v>
      </c>
      <c r="J689" s="936">
        <f>J688+SUM(G689:I689)</f>
        <v>141275151582</v>
      </c>
      <c r="K689" s="850"/>
      <c r="L689" s="850"/>
      <c r="M689" s="850"/>
      <c r="N689" s="850"/>
      <c r="O689" s="850"/>
      <c r="P689" s="850"/>
      <c r="Q689" s="850"/>
      <c r="R689" s="850"/>
      <c r="S689" s="850"/>
      <c r="T689" s="850"/>
      <c r="U689" s="850"/>
      <c r="V689" s="850"/>
      <c r="W689" s="850"/>
      <c r="X689" s="850"/>
    </row>
    <row r="690" spans="1:24" ht="13.5" thickBot="1">
      <c r="A690" s="850" t="s">
        <v>2585</v>
      </c>
      <c r="B690" s="850" t="s">
        <v>676</v>
      </c>
      <c r="C690" s="576" t="s">
        <v>2586</v>
      </c>
      <c r="D690" s="850"/>
      <c r="E690" s="595" t="s">
        <v>2985</v>
      </c>
      <c r="F690" s="934"/>
      <c r="G690" s="1560">
        <f>SUM(G684:G689)</f>
        <v>147620122139</v>
      </c>
      <c r="H690" s="1560">
        <f>SUM(H684:H689)</f>
        <v>-6344970557</v>
      </c>
      <c r="I690" s="1560">
        <f>SUM(I684:I689)</f>
        <v>0</v>
      </c>
      <c r="J690" s="934"/>
      <c r="K690" s="850"/>
      <c r="L690" s="850"/>
      <c r="M690" s="850"/>
      <c r="N690" s="850"/>
      <c r="O690" s="850"/>
      <c r="P690" s="850"/>
      <c r="Q690" s="850"/>
      <c r="R690" s="850"/>
      <c r="S690" s="850"/>
      <c r="T690" s="850"/>
      <c r="U690" s="850"/>
      <c r="V690" s="850"/>
      <c r="W690" s="850"/>
      <c r="X690" s="850"/>
    </row>
    <row r="691" spans="1:24" ht="13.5" thickTop="1">
      <c r="A691" s="850" t="s">
        <v>2585</v>
      </c>
      <c r="B691" s="850" t="s">
        <v>676</v>
      </c>
      <c r="C691" s="576" t="s">
        <v>2586</v>
      </c>
      <c r="D691" s="850"/>
      <c r="E691" s="850"/>
      <c r="F691" s="850"/>
      <c r="G691" s="850" t="s">
        <v>2997</v>
      </c>
      <c r="H691" s="850"/>
      <c r="I691" s="850"/>
      <c r="J691" s="850"/>
      <c r="K691" s="850"/>
      <c r="L691" s="1" t="s">
        <v>555</v>
      </c>
      <c r="M691" s="850"/>
      <c r="N691" s="850"/>
      <c r="O691" s="850"/>
      <c r="P691" s="850"/>
      <c r="Q691" s="850"/>
      <c r="R691" s="850"/>
      <c r="S691" s="850"/>
      <c r="T691" s="850"/>
      <c r="U691" s="850"/>
      <c r="V691" s="850"/>
      <c r="W691" s="850"/>
      <c r="X691" s="850"/>
    </row>
    <row r="692" spans="1:24" ht="25.5">
      <c r="A692" s="850" t="s">
        <v>2585</v>
      </c>
      <c r="B692" s="850" t="s">
        <v>676</v>
      </c>
      <c r="C692" s="576" t="s">
        <v>2586</v>
      </c>
      <c r="D692" s="850"/>
      <c r="E692" s="1" t="s">
        <v>555</v>
      </c>
      <c r="F692" s="850"/>
      <c r="G692" s="850"/>
      <c r="H692" s="850"/>
      <c r="I692" s="850"/>
      <c r="J692" s="850"/>
      <c r="K692" s="850"/>
      <c r="L692" s="593" t="s">
        <v>2972</v>
      </c>
      <c r="M692" s="593" t="s">
        <v>2973</v>
      </c>
      <c r="N692" s="593" t="s">
        <v>2974</v>
      </c>
      <c r="O692" s="593" t="s">
        <v>2975</v>
      </c>
      <c r="P692" s="594" t="s">
        <v>2976</v>
      </c>
      <c r="Q692" s="594" t="s">
        <v>2977</v>
      </c>
      <c r="R692" s="850"/>
      <c r="S692" s="850"/>
      <c r="T692" s="850"/>
      <c r="U692" s="850"/>
      <c r="V692" s="850"/>
      <c r="W692" s="850"/>
      <c r="X692" s="850"/>
    </row>
    <row r="693" spans="1:24" ht="25.5">
      <c r="A693" s="850" t="s">
        <v>2585</v>
      </c>
      <c r="B693" s="850" t="s">
        <v>676</v>
      </c>
      <c r="C693" s="576" t="s">
        <v>2586</v>
      </c>
      <c r="D693" s="850"/>
      <c r="E693" s="593" t="s">
        <v>2972</v>
      </c>
      <c r="F693" s="593" t="s">
        <v>2973</v>
      </c>
      <c r="G693" s="593" t="s">
        <v>2974</v>
      </c>
      <c r="H693" s="593" t="s">
        <v>2975</v>
      </c>
      <c r="I693" s="594" t="s">
        <v>2976</v>
      </c>
      <c r="J693" s="594" t="s">
        <v>2977</v>
      </c>
      <c r="K693" s="850"/>
      <c r="L693" s="1076">
        <v>2022</v>
      </c>
      <c r="M693" s="1076">
        <f>L693+5</f>
        <v>2027</v>
      </c>
      <c r="N693" s="857">
        <f>G694</f>
        <v>33027922</v>
      </c>
      <c r="O693" s="857">
        <f>H694</f>
        <v>0</v>
      </c>
      <c r="P693" s="857">
        <f>I694</f>
        <v>0</v>
      </c>
      <c r="Q693" s="857">
        <f>SUM(N693:P693)</f>
        <v>33027922</v>
      </c>
      <c r="R693" s="850"/>
      <c r="S693" s="850"/>
      <c r="T693" s="850"/>
      <c r="U693" s="850"/>
      <c r="V693" s="850"/>
      <c r="W693" s="850"/>
      <c r="X693" s="850"/>
    </row>
    <row r="694" spans="1:24">
      <c r="A694" s="850" t="s">
        <v>2585</v>
      </c>
      <c r="B694" s="850" t="s">
        <v>676</v>
      </c>
      <c r="C694" s="576" t="s">
        <v>2586</v>
      </c>
      <c r="D694" s="850"/>
      <c r="E694" s="1076">
        <v>2022</v>
      </c>
      <c r="F694" s="1076">
        <f>E694+5</f>
        <v>2027</v>
      </c>
      <c r="G694" s="936">
        <v>33027922</v>
      </c>
      <c r="H694" s="936">
        <v>0</v>
      </c>
      <c r="I694" s="936">
        <v>0</v>
      </c>
      <c r="J694" s="936">
        <f>SUM(G694:I694)</f>
        <v>33027922</v>
      </c>
      <c r="K694" s="850"/>
      <c r="L694" s="1076"/>
      <c r="M694" s="1076"/>
      <c r="N694" s="857"/>
      <c r="O694" s="857"/>
      <c r="P694" s="857"/>
      <c r="Q694" s="857"/>
      <c r="R694" s="850"/>
      <c r="S694" s="850"/>
      <c r="T694" s="850"/>
      <c r="U694" s="850"/>
      <c r="V694" s="850"/>
      <c r="W694" s="850"/>
      <c r="X694" s="850"/>
    </row>
    <row r="695" spans="1:24">
      <c r="A695" s="850"/>
      <c r="B695" s="850"/>
      <c r="C695" s="576" t="s">
        <v>2586</v>
      </c>
      <c r="D695" s="850"/>
      <c r="E695" s="1076">
        <v>2023</v>
      </c>
      <c r="F695" s="1076">
        <f>E695+5</f>
        <v>2028</v>
      </c>
      <c r="G695" s="948">
        <v>20211946</v>
      </c>
      <c r="H695" s="936">
        <v>0</v>
      </c>
      <c r="I695" s="936">
        <v>0</v>
      </c>
      <c r="J695" s="948">
        <f>J694+SUM(G695:I695)</f>
        <v>53239868</v>
      </c>
      <c r="K695" s="850"/>
      <c r="L695" s="1076"/>
      <c r="M695" s="1076"/>
      <c r="N695" s="857"/>
      <c r="O695" s="857"/>
      <c r="P695" s="857"/>
      <c r="Q695" s="857"/>
      <c r="R695" s="850"/>
      <c r="S695" s="850"/>
      <c r="T695" s="850"/>
      <c r="U695" s="850"/>
      <c r="V695" s="850"/>
      <c r="W695" s="850"/>
      <c r="X695" s="850"/>
    </row>
    <row r="696" spans="1:24" ht="13.5" thickBot="1">
      <c r="A696" s="850" t="s">
        <v>2585</v>
      </c>
      <c r="B696" s="850" t="s">
        <v>676</v>
      </c>
      <c r="C696" s="576" t="s">
        <v>2586</v>
      </c>
      <c r="D696" s="850"/>
      <c r="E696" s="1076" t="s">
        <v>1224</v>
      </c>
      <c r="F696" s="1076">
        <v>2029</v>
      </c>
      <c r="G696" s="948">
        <f>-P657</f>
        <v>726200216</v>
      </c>
      <c r="H696" s="936">
        <v>0</v>
      </c>
      <c r="I696" s="936">
        <v>0</v>
      </c>
      <c r="J696" s="948">
        <f>J695+SUM(G696:I696)</f>
        <v>779440084</v>
      </c>
      <c r="K696" s="850"/>
      <c r="L696" s="850"/>
      <c r="M696" s="850"/>
      <c r="N696" s="1528">
        <f>SUM(N693:N694)</f>
        <v>33027922</v>
      </c>
      <c r="O696" s="1528">
        <f t="shared" ref="O696:P696" si="49">SUM(O693:O694)</f>
        <v>0</v>
      </c>
      <c r="P696" s="1528">
        <f t="shared" si="49"/>
        <v>0</v>
      </c>
      <c r="Q696" s="850"/>
      <c r="R696" s="850"/>
      <c r="S696" s="850"/>
      <c r="T696" s="850"/>
      <c r="U696" s="850"/>
      <c r="V696" s="850"/>
      <c r="W696" s="850"/>
      <c r="X696" s="850"/>
    </row>
    <row r="697" spans="1:24" ht="14.25" thickTop="1" thickBot="1">
      <c r="A697" s="850" t="s">
        <v>2585</v>
      </c>
      <c r="B697" s="850" t="s">
        <v>676</v>
      </c>
      <c r="C697" s="576" t="s">
        <v>2586</v>
      </c>
      <c r="D697" s="850"/>
      <c r="E697" s="595" t="s">
        <v>2985</v>
      </c>
      <c r="F697" s="934"/>
      <c r="G697" s="1560">
        <f>SUM(G694:G696)</f>
        <v>779440084</v>
      </c>
      <c r="H697" s="1560">
        <f>SUM(H694:H695)</f>
        <v>0</v>
      </c>
      <c r="I697" s="1560">
        <f>SUM(I694:I695)</f>
        <v>0</v>
      </c>
      <c r="J697" s="934"/>
      <c r="K697" s="850"/>
      <c r="L697" s="850"/>
      <c r="M697" s="850"/>
      <c r="N697" s="850"/>
      <c r="O697" s="850"/>
      <c r="P697" s="850"/>
      <c r="Q697" s="850"/>
      <c r="R697" s="850"/>
      <c r="S697" s="850"/>
      <c r="T697" s="850"/>
      <c r="U697" s="850"/>
      <c r="V697" s="850"/>
      <c r="W697" s="850"/>
      <c r="X697" s="850"/>
    </row>
    <row r="698" spans="1:24" ht="13.5" thickTop="1">
      <c r="A698" s="850" t="s">
        <v>2585</v>
      </c>
      <c r="B698" s="850" t="s">
        <v>676</v>
      </c>
      <c r="C698" s="576" t="s">
        <v>2586</v>
      </c>
      <c r="D698" s="850"/>
      <c r="E698" s="850"/>
      <c r="F698" s="850"/>
      <c r="G698" s="850"/>
      <c r="H698" s="850"/>
      <c r="I698" s="850"/>
      <c r="J698" s="850"/>
      <c r="K698" s="850"/>
      <c r="L698" s="1" t="s">
        <v>494</v>
      </c>
      <c r="M698" s="850"/>
      <c r="N698" s="850"/>
      <c r="O698" s="850"/>
      <c r="P698" s="850"/>
      <c r="Q698" s="850"/>
      <c r="R698" s="850"/>
      <c r="S698" s="850"/>
      <c r="T698" s="850"/>
      <c r="U698" s="850"/>
      <c r="V698" s="850"/>
      <c r="W698" s="850"/>
      <c r="X698" s="850"/>
    </row>
    <row r="699" spans="1:24" ht="25.5">
      <c r="A699" s="850" t="s">
        <v>2585</v>
      </c>
      <c r="B699" s="850" t="s">
        <v>676</v>
      </c>
      <c r="C699" s="576" t="s">
        <v>2586</v>
      </c>
      <c r="D699" s="850"/>
      <c r="E699" s="1" t="s">
        <v>494</v>
      </c>
      <c r="F699" s="850"/>
      <c r="G699" s="850"/>
      <c r="H699" s="850"/>
      <c r="I699" s="850"/>
      <c r="J699" s="850"/>
      <c r="K699" s="850"/>
      <c r="L699" s="593" t="s">
        <v>2972</v>
      </c>
      <c r="M699" s="593" t="s">
        <v>2973</v>
      </c>
      <c r="N699" s="593" t="s">
        <v>2974</v>
      </c>
      <c r="O699" s="593" t="s">
        <v>2975</v>
      </c>
      <c r="P699" s="594" t="s">
        <v>2976</v>
      </c>
      <c r="Q699" s="594" t="s">
        <v>2977</v>
      </c>
      <c r="R699" s="850"/>
      <c r="S699" s="850"/>
      <c r="T699" s="850"/>
      <c r="U699" s="850"/>
      <c r="V699" s="850"/>
      <c r="W699" s="850"/>
      <c r="X699" s="850"/>
    </row>
    <row r="700" spans="1:24" ht="25.5">
      <c r="A700" s="850" t="s">
        <v>2585</v>
      </c>
      <c r="B700" s="850" t="s">
        <v>676</v>
      </c>
      <c r="C700" s="576" t="s">
        <v>2586</v>
      </c>
      <c r="D700" s="850"/>
      <c r="E700" s="593" t="s">
        <v>2972</v>
      </c>
      <c r="F700" s="593" t="s">
        <v>2973</v>
      </c>
      <c r="G700" s="593" t="s">
        <v>2974</v>
      </c>
      <c r="H700" s="593" t="s">
        <v>2975</v>
      </c>
      <c r="I700" s="594" t="s">
        <v>2976</v>
      </c>
      <c r="J700" s="594" t="s">
        <v>2977</v>
      </c>
      <c r="K700" s="850"/>
      <c r="L700" s="1076">
        <v>2022</v>
      </c>
      <c r="M700" s="1076">
        <f>L700+5</f>
        <v>2027</v>
      </c>
      <c r="N700" s="857">
        <f>G701</f>
        <v>157283</v>
      </c>
      <c r="O700" s="857">
        <f>H701</f>
        <v>0</v>
      </c>
      <c r="P700" s="857">
        <f>I701</f>
        <v>0</v>
      </c>
      <c r="Q700" s="857">
        <f>SUM(N700:P700)</f>
        <v>157283</v>
      </c>
      <c r="R700" s="850"/>
      <c r="S700" s="850"/>
      <c r="T700" s="850"/>
      <c r="U700" s="850"/>
      <c r="V700" s="850"/>
      <c r="W700" s="850"/>
      <c r="X700" s="850"/>
    </row>
    <row r="701" spans="1:24">
      <c r="A701" s="850" t="s">
        <v>2585</v>
      </c>
      <c r="B701" s="850" t="s">
        <v>676</v>
      </c>
      <c r="C701" s="576" t="s">
        <v>2586</v>
      </c>
      <c r="D701" s="850"/>
      <c r="E701" s="1076">
        <v>2022</v>
      </c>
      <c r="F701" s="1076">
        <f>E701+5</f>
        <v>2027</v>
      </c>
      <c r="G701" s="936">
        <v>157283</v>
      </c>
      <c r="H701" s="936">
        <v>0</v>
      </c>
      <c r="I701" s="936">
        <v>0</v>
      </c>
      <c r="J701" s="936">
        <f>SUM(G701:I701)</f>
        <v>157283</v>
      </c>
      <c r="K701" s="850"/>
      <c r="L701" s="850"/>
      <c r="M701" s="850"/>
      <c r="N701" s="850"/>
      <c r="O701" s="850"/>
      <c r="P701" s="850"/>
      <c r="Q701" s="850"/>
      <c r="R701" s="850"/>
      <c r="S701" s="850"/>
      <c r="T701" s="850"/>
      <c r="U701" s="850"/>
      <c r="V701" s="850"/>
      <c r="W701" s="850"/>
      <c r="X701" s="850"/>
    </row>
    <row r="702" spans="1:24">
      <c r="A702" s="850" t="s">
        <v>2585</v>
      </c>
      <c r="B702" s="850" t="s">
        <v>676</v>
      </c>
      <c r="C702" s="576" t="s">
        <v>2586</v>
      </c>
      <c r="D702" s="850"/>
      <c r="E702" s="1076">
        <v>2023</v>
      </c>
      <c r="F702" s="1076">
        <f>E702+5</f>
        <v>2028</v>
      </c>
      <c r="G702" s="948">
        <v>3863217</v>
      </c>
      <c r="H702" s="936">
        <v>0</v>
      </c>
      <c r="I702" s="936">
        <v>0</v>
      </c>
      <c r="J702" s="948">
        <f>J701+SUM(G702:I702)</f>
        <v>4020500</v>
      </c>
      <c r="K702" s="850"/>
      <c r="L702" s="850"/>
      <c r="M702" s="850"/>
      <c r="N702" s="850"/>
      <c r="O702" s="850"/>
      <c r="P702" s="850"/>
      <c r="Q702" s="850"/>
      <c r="R702" s="850"/>
      <c r="S702" s="850"/>
      <c r="T702" s="850"/>
      <c r="U702" s="850"/>
      <c r="V702" s="850"/>
      <c r="W702" s="850"/>
      <c r="X702" s="850"/>
    </row>
    <row r="703" spans="1:24" ht="13.5" thickBot="1">
      <c r="A703" s="850" t="s">
        <v>2585</v>
      </c>
      <c r="B703" s="850" t="s">
        <v>676</v>
      </c>
      <c r="C703" s="576" t="s">
        <v>2586</v>
      </c>
      <c r="D703" s="850"/>
      <c r="E703" s="1076" t="s">
        <v>1224</v>
      </c>
      <c r="F703" s="1076">
        <v>2029</v>
      </c>
      <c r="G703" s="948">
        <f>-Q657</f>
        <v>4076111</v>
      </c>
      <c r="H703" s="936">
        <v>0</v>
      </c>
      <c r="I703" s="936">
        <v>0</v>
      </c>
      <c r="J703" s="948">
        <f>J702+SUM(G703:I703)</f>
        <v>8096611</v>
      </c>
      <c r="K703" s="850"/>
      <c r="L703" s="850"/>
      <c r="M703" s="850"/>
      <c r="N703" s="1528">
        <f>SUM(N700:N701)</f>
        <v>157283</v>
      </c>
      <c r="O703" s="1528">
        <f t="shared" ref="O703:P703" si="50">SUM(O700:O701)</f>
        <v>0</v>
      </c>
      <c r="P703" s="1528">
        <f t="shared" si="50"/>
        <v>0</v>
      </c>
      <c r="Q703" s="850"/>
      <c r="R703" s="850"/>
      <c r="S703" s="850"/>
      <c r="T703" s="850"/>
      <c r="U703" s="850"/>
      <c r="V703" s="850"/>
      <c r="W703" s="850"/>
      <c r="X703" s="850"/>
    </row>
    <row r="704" spans="1:24" ht="14.25" thickTop="1" thickBot="1">
      <c r="A704" s="850" t="s">
        <v>2585</v>
      </c>
      <c r="B704" s="850" t="s">
        <v>676</v>
      </c>
      <c r="C704" s="576" t="s">
        <v>2586</v>
      </c>
      <c r="D704" s="850"/>
      <c r="E704" s="595" t="s">
        <v>2985</v>
      </c>
      <c r="F704" s="934"/>
      <c r="G704" s="1560">
        <f>SUM(G701:G703)</f>
        <v>8096611</v>
      </c>
      <c r="H704" s="1560">
        <f>SUM(H701:H702)</f>
        <v>0</v>
      </c>
      <c r="I704" s="1560">
        <f>SUM(I701:I702)</f>
        <v>0</v>
      </c>
      <c r="J704" s="934"/>
      <c r="K704" s="850"/>
      <c r="L704" s="850"/>
      <c r="M704" s="850"/>
      <c r="N704" s="850"/>
      <c r="O704" s="850"/>
      <c r="P704" s="850"/>
      <c r="Q704" s="850"/>
      <c r="R704" s="850"/>
      <c r="S704" s="850"/>
      <c r="T704" s="850"/>
      <c r="U704" s="850"/>
      <c r="V704" s="850"/>
      <c r="W704" s="850"/>
      <c r="X704" s="850"/>
    </row>
    <row r="705" spans="1:24" ht="13.5" thickTop="1">
      <c r="A705" s="850"/>
      <c r="B705" s="850"/>
      <c r="C705" s="850"/>
      <c r="D705" s="850"/>
      <c r="E705" s="850"/>
      <c r="F705" s="850"/>
      <c r="G705" s="850"/>
      <c r="H705" s="850"/>
      <c r="I705" s="850"/>
      <c r="J705" s="850"/>
      <c r="K705" s="850"/>
      <c r="L705" s="850"/>
      <c r="M705" s="850"/>
      <c r="N705" s="850"/>
      <c r="O705" s="850"/>
      <c r="P705" s="850"/>
      <c r="Q705" s="850"/>
      <c r="R705" s="850"/>
      <c r="S705" s="850"/>
      <c r="T705" s="850"/>
      <c r="U705" s="850"/>
      <c r="V705" s="850"/>
      <c r="W705" s="850"/>
      <c r="X705" s="850"/>
    </row>
    <row r="706" spans="1:24">
      <c r="A706" s="172"/>
      <c r="B706" s="172" t="s">
        <v>2998</v>
      </c>
      <c r="C706" s="172" t="s">
        <v>681</v>
      </c>
      <c r="D706" s="172"/>
      <c r="E706" s="562" t="s">
        <v>2999</v>
      </c>
      <c r="F706" s="172"/>
      <c r="G706" s="172"/>
      <c r="H706" s="172"/>
      <c r="I706" s="172"/>
      <c r="J706" s="172"/>
      <c r="K706" s="172"/>
      <c r="L706" s="172"/>
      <c r="M706" s="172"/>
      <c r="N706" s="172"/>
      <c r="O706" s="172"/>
      <c r="P706" s="172"/>
      <c r="Q706" s="172"/>
      <c r="R706" s="172"/>
      <c r="S706" s="172"/>
      <c r="T706" s="850"/>
      <c r="U706" s="850"/>
      <c r="V706" s="850"/>
      <c r="W706" s="850"/>
      <c r="X706" s="850"/>
    </row>
    <row r="707" spans="1:24">
      <c r="A707" s="850" t="s">
        <v>2585</v>
      </c>
      <c r="B707" s="850" t="s">
        <v>675</v>
      </c>
      <c r="C707" s="576" t="s">
        <v>3000</v>
      </c>
      <c r="D707" s="850"/>
      <c r="E707" s="850"/>
      <c r="F707" s="850"/>
      <c r="G707" s="850"/>
      <c r="H707" s="850"/>
      <c r="I707" s="850"/>
      <c r="J707" s="850"/>
      <c r="K707" s="850"/>
      <c r="L707" s="850"/>
      <c r="M707" s="850"/>
      <c r="N707" s="850"/>
      <c r="O707" s="850"/>
      <c r="P707" s="850"/>
      <c r="Q707" s="850"/>
      <c r="R707" s="850"/>
      <c r="S707" s="850"/>
      <c r="T707" s="850"/>
      <c r="U707" s="850"/>
      <c r="V707" s="850"/>
      <c r="W707" s="850"/>
      <c r="X707" s="850"/>
    </row>
    <row r="708" spans="1:24">
      <c r="A708" s="850" t="s">
        <v>2585</v>
      </c>
      <c r="B708" s="850" t="s">
        <v>675</v>
      </c>
      <c r="C708" s="576" t="s">
        <v>3000</v>
      </c>
      <c r="D708" s="850"/>
      <c r="E708" s="850" t="s">
        <v>3001</v>
      </c>
      <c r="F708" s="850" t="s">
        <v>3002</v>
      </c>
      <c r="G708" s="850"/>
      <c r="H708" s="850"/>
      <c r="I708" s="850"/>
      <c r="J708" s="850"/>
      <c r="K708" s="850"/>
      <c r="L708" s="850"/>
      <c r="M708" s="850"/>
      <c r="N708" s="850"/>
      <c r="O708" s="850"/>
      <c r="P708" s="850"/>
      <c r="Q708" s="850"/>
      <c r="R708" s="850"/>
      <c r="S708" s="850"/>
      <c r="T708" s="850"/>
      <c r="U708" s="850"/>
      <c r="V708" s="850"/>
      <c r="W708" s="850"/>
      <c r="X708" s="850"/>
    </row>
    <row r="709" spans="1:24">
      <c r="A709" s="850" t="s">
        <v>2585</v>
      </c>
      <c r="B709" s="850" t="s">
        <v>675</v>
      </c>
      <c r="C709" s="576" t="s">
        <v>3000</v>
      </c>
      <c r="D709" s="850"/>
      <c r="E709" s="850" t="s">
        <v>3003</v>
      </c>
      <c r="F709" s="850" t="s">
        <v>3004</v>
      </c>
      <c r="G709" s="850"/>
      <c r="H709" s="850"/>
      <c r="I709" s="850"/>
      <c r="J709" s="850"/>
      <c r="K709" s="850"/>
      <c r="L709" s="850"/>
      <c r="M709" s="850"/>
      <c r="N709" s="850"/>
      <c r="O709" s="850"/>
      <c r="P709" s="850"/>
      <c r="Q709" s="850"/>
      <c r="R709" s="850"/>
      <c r="S709" s="850"/>
      <c r="T709" s="850"/>
      <c r="U709" s="850"/>
      <c r="V709" s="850"/>
      <c r="W709" s="850"/>
      <c r="X709" s="850"/>
    </row>
    <row r="710" spans="1:24">
      <c r="A710" s="850" t="s">
        <v>2585</v>
      </c>
      <c r="B710" s="850" t="s">
        <v>675</v>
      </c>
      <c r="C710" s="576" t="s">
        <v>3000</v>
      </c>
      <c r="D710" s="850"/>
      <c r="E710" s="850"/>
      <c r="F710" s="850" t="s">
        <v>626</v>
      </c>
      <c r="G710" s="850"/>
      <c r="H710" s="850"/>
      <c r="I710" s="850"/>
      <c r="J710" s="850"/>
      <c r="K710" s="850"/>
      <c r="L710" s="850"/>
      <c r="M710" s="850"/>
      <c r="N710" s="850"/>
      <c r="O710" s="850"/>
      <c r="P710" s="850"/>
      <c r="Q710" s="850"/>
      <c r="R710" s="850"/>
      <c r="S710" s="850"/>
      <c r="T710" s="850"/>
      <c r="U710" s="850"/>
      <c r="V710" s="850"/>
      <c r="W710" s="850"/>
      <c r="X710" s="850"/>
    </row>
    <row r="711" spans="1:24">
      <c r="A711" s="850" t="s">
        <v>2585</v>
      </c>
      <c r="B711" s="850" t="s">
        <v>675</v>
      </c>
      <c r="C711" s="576" t="s">
        <v>3000</v>
      </c>
      <c r="D711" s="850"/>
      <c r="E711" s="850"/>
      <c r="F711" s="850" t="s">
        <v>623</v>
      </c>
      <c r="G711" s="850"/>
      <c r="H711" s="850"/>
      <c r="I711" s="850"/>
      <c r="J711" s="850"/>
      <c r="K711" s="850"/>
      <c r="L711" s="850"/>
      <c r="M711" s="850"/>
      <c r="N711" s="850"/>
      <c r="O711" s="850"/>
      <c r="P711" s="850"/>
      <c r="Q711" s="850"/>
      <c r="R711" s="850"/>
      <c r="S711" s="850"/>
      <c r="T711" s="850"/>
      <c r="U711" s="850"/>
      <c r="V711" s="850"/>
      <c r="W711" s="850"/>
      <c r="X711" s="850"/>
    </row>
    <row r="712" spans="1:24">
      <c r="A712" s="850" t="s">
        <v>2585</v>
      </c>
      <c r="B712" s="850" t="s">
        <v>675</v>
      </c>
      <c r="C712" s="576" t="s">
        <v>3000</v>
      </c>
      <c r="D712" s="850"/>
      <c r="E712" s="850"/>
      <c r="F712" s="850" t="s">
        <v>2859</v>
      </c>
      <c r="G712" s="850"/>
      <c r="H712" s="850"/>
      <c r="I712" s="850"/>
      <c r="J712" s="850"/>
      <c r="K712" s="850"/>
      <c r="L712" s="850"/>
      <c r="M712" s="850"/>
      <c r="N712" s="850"/>
      <c r="O712" s="850"/>
      <c r="P712" s="850"/>
      <c r="Q712" s="850"/>
      <c r="R712" s="850"/>
      <c r="S712" s="850"/>
      <c r="T712" s="850"/>
      <c r="U712" s="850"/>
      <c r="V712" s="850"/>
      <c r="W712" s="850"/>
      <c r="X712" s="850"/>
    </row>
    <row r="713" spans="1:24">
      <c r="A713" s="850" t="s">
        <v>2585</v>
      </c>
      <c r="B713" s="850" t="s">
        <v>675</v>
      </c>
      <c r="C713" s="576" t="s">
        <v>3000</v>
      </c>
      <c r="D713" s="850"/>
      <c r="E713" s="850"/>
      <c r="F713" s="850" t="s">
        <v>2860</v>
      </c>
      <c r="G713" s="850"/>
      <c r="H713" s="850"/>
      <c r="I713" s="850"/>
      <c r="J713" s="850"/>
      <c r="K713" s="850"/>
      <c r="L713" s="850"/>
      <c r="M713" s="850"/>
      <c r="N713" s="850"/>
      <c r="O713" s="850"/>
      <c r="P713" s="850"/>
      <c r="Q713" s="850"/>
      <c r="R713" s="850"/>
      <c r="S713" s="850"/>
      <c r="T713" s="850"/>
      <c r="U713" s="850"/>
      <c r="V713" s="850"/>
      <c r="W713" s="850"/>
      <c r="X713" s="850"/>
    </row>
    <row r="714" spans="1:24">
      <c r="A714" s="850" t="s">
        <v>2585</v>
      </c>
      <c r="B714" s="850" t="s">
        <v>675</v>
      </c>
      <c r="C714" s="576" t="s">
        <v>3000</v>
      </c>
      <c r="D714" s="850"/>
      <c r="E714" s="850" t="s">
        <v>3005</v>
      </c>
      <c r="F714" s="850" t="s">
        <v>3006</v>
      </c>
      <c r="G714" s="850"/>
      <c r="H714" s="850"/>
      <c r="I714" s="850"/>
      <c r="J714" s="850"/>
      <c r="K714" s="850"/>
      <c r="L714" s="850"/>
      <c r="M714" s="850"/>
      <c r="N714" s="850"/>
      <c r="O714" s="850"/>
      <c r="P714" s="850"/>
      <c r="Q714" s="850"/>
      <c r="R714" s="850"/>
      <c r="S714" s="850"/>
      <c r="T714" s="850"/>
      <c r="U714" s="850"/>
      <c r="V714" s="850"/>
      <c r="W714" s="850"/>
      <c r="X714" s="850"/>
    </row>
    <row r="715" spans="1:24">
      <c r="A715" s="850" t="s">
        <v>2585</v>
      </c>
      <c r="B715" s="850" t="s">
        <v>675</v>
      </c>
      <c r="C715" s="576" t="s">
        <v>3000</v>
      </c>
      <c r="D715" s="850"/>
      <c r="E715" s="850"/>
      <c r="F715" s="850" t="s">
        <v>3007</v>
      </c>
      <c r="G715" s="850"/>
      <c r="H715" s="850"/>
      <c r="I715" s="850"/>
      <c r="J715" s="850">
        <v>293245222</v>
      </c>
      <c r="K715" s="850"/>
      <c r="L715" s="850"/>
      <c r="M715" s="850"/>
      <c r="N715" s="850"/>
      <c r="O715" s="850"/>
      <c r="P715" s="850"/>
      <c r="Q715" s="850"/>
      <c r="R715" s="850"/>
      <c r="S715" s="850"/>
      <c r="T715" s="850"/>
      <c r="U715" s="850"/>
      <c r="V715" s="850"/>
      <c r="W715" s="850"/>
      <c r="X715" s="850"/>
    </row>
    <row r="716" spans="1:24">
      <c r="A716" s="850" t="s">
        <v>2585</v>
      </c>
      <c r="B716" s="850" t="s">
        <v>675</v>
      </c>
      <c r="C716" s="576" t="s">
        <v>3000</v>
      </c>
      <c r="D716" s="850"/>
      <c r="E716" s="850"/>
      <c r="F716" s="850"/>
      <c r="G716" s="850"/>
      <c r="H716" s="850"/>
      <c r="I716" s="850"/>
      <c r="J716" s="850"/>
      <c r="K716" s="850"/>
      <c r="L716" s="850"/>
      <c r="M716" s="850"/>
      <c r="N716" s="850"/>
      <c r="O716" s="850"/>
      <c r="P716" s="850"/>
      <c r="Q716" s="850"/>
      <c r="R716" s="850"/>
      <c r="S716" s="850"/>
      <c r="T716" s="850"/>
      <c r="U716" s="850"/>
      <c r="V716" s="850"/>
      <c r="W716" s="850"/>
      <c r="X716" s="850"/>
    </row>
    <row r="717" spans="1:24">
      <c r="A717" s="850" t="s">
        <v>2585</v>
      </c>
      <c r="B717" s="850" t="s">
        <v>676</v>
      </c>
      <c r="C717" s="576" t="s">
        <v>2586</v>
      </c>
      <c r="D717" s="850"/>
      <c r="E717" s="732"/>
      <c r="F717" s="732"/>
      <c r="G717" s="732"/>
      <c r="H717" s="733" t="s">
        <v>3008</v>
      </c>
      <c r="I717" s="733"/>
      <c r="J717" s="734"/>
      <c r="K717" s="850"/>
      <c r="L717" s="850"/>
      <c r="M717" s="850"/>
      <c r="N717" s="850"/>
      <c r="O717" s="850"/>
      <c r="P717" s="850"/>
      <c r="Q717" s="850"/>
      <c r="R717" s="850"/>
      <c r="S717" s="850"/>
      <c r="T717" s="850"/>
      <c r="U717" s="850"/>
      <c r="V717" s="850"/>
      <c r="W717" s="850"/>
      <c r="X717" s="850"/>
    </row>
    <row r="718" spans="1:24">
      <c r="A718" s="850" t="s">
        <v>2585</v>
      </c>
      <c r="B718" s="850" t="s">
        <v>676</v>
      </c>
      <c r="C718" s="576" t="s">
        <v>2586</v>
      </c>
      <c r="D718" s="850"/>
      <c r="E718" s="735" t="s">
        <v>3009</v>
      </c>
      <c r="F718" s="735" t="s">
        <v>3010</v>
      </c>
      <c r="G718" s="735" t="s">
        <v>3011</v>
      </c>
      <c r="H718" s="736">
        <v>45657</v>
      </c>
      <c r="I718" s="737">
        <v>45291</v>
      </c>
      <c r="J718" s="738" t="s">
        <v>3012</v>
      </c>
      <c r="K718" s="850"/>
      <c r="L718" s="850"/>
      <c r="M718" s="850"/>
      <c r="N718" s="850"/>
      <c r="O718" s="850"/>
      <c r="P718" s="850"/>
      <c r="Q718" s="850"/>
      <c r="R718" s="850"/>
      <c r="S718" s="850"/>
      <c r="T718" s="850"/>
      <c r="U718" s="850"/>
      <c r="V718" s="850"/>
      <c r="W718" s="850"/>
      <c r="X718" s="850"/>
    </row>
    <row r="719" spans="1:24">
      <c r="A719" s="850" t="s">
        <v>2585</v>
      </c>
      <c r="B719" s="850" t="s">
        <v>676</v>
      </c>
      <c r="C719" s="576" t="s">
        <v>2586</v>
      </c>
      <c r="D719" s="850"/>
      <c r="E719" s="653" t="s">
        <v>3013</v>
      </c>
      <c r="F719" s="653" t="s">
        <v>3014</v>
      </c>
      <c r="G719" s="653" t="s">
        <v>3015</v>
      </c>
      <c r="H719" s="756">
        <v>380000</v>
      </c>
      <c r="I719" s="757">
        <v>380000</v>
      </c>
      <c r="J719" s="758"/>
      <c r="K719" s="850"/>
      <c r="L719" s="850" t="s">
        <v>3016</v>
      </c>
      <c r="M719" s="850"/>
      <c r="N719" s="1006" t="s">
        <v>3017</v>
      </c>
      <c r="O719" s="850"/>
      <c r="P719" s="850"/>
      <c r="Q719" s="850"/>
      <c r="R719" s="850"/>
      <c r="S719" s="850"/>
      <c r="T719" s="850"/>
      <c r="U719" s="850"/>
      <c r="V719" s="850"/>
      <c r="W719" s="850"/>
      <c r="X719" s="850"/>
    </row>
    <row r="720" spans="1:24">
      <c r="A720" s="850" t="s">
        <v>2585</v>
      </c>
      <c r="B720" s="850" t="s">
        <v>676</v>
      </c>
      <c r="C720" s="576" t="s">
        <v>2586</v>
      </c>
      <c r="D720" s="850"/>
      <c r="E720" s="653"/>
      <c r="F720" s="653"/>
      <c r="G720" s="759" t="s">
        <v>3018</v>
      </c>
      <c r="H720" s="760"/>
      <c r="I720" s="761">
        <v>2122875</v>
      </c>
      <c r="J720" s="758">
        <v>34106</v>
      </c>
      <c r="K720" s="850"/>
      <c r="L720" s="850"/>
      <c r="M720" s="850"/>
      <c r="N720" s="1006" t="s">
        <v>3017</v>
      </c>
      <c r="O720" s="850"/>
      <c r="P720" s="850"/>
      <c r="Q720" s="850"/>
      <c r="R720" s="850"/>
      <c r="S720" s="850"/>
      <c r="T720" s="850"/>
      <c r="U720" s="850"/>
      <c r="V720" s="850"/>
      <c r="W720" s="850"/>
      <c r="X720" s="850"/>
    </row>
    <row r="721" spans="1:24">
      <c r="A721" s="850" t="s">
        <v>2585</v>
      </c>
      <c r="B721" s="850" t="s">
        <v>676</v>
      </c>
      <c r="C721" s="576" t="s">
        <v>2586</v>
      </c>
      <c r="D721" s="850"/>
      <c r="E721" s="653"/>
      <c r="F721" s="653"/>
      <c r="G721" s="653"/>
      <c r="H721" s="760"/>
      <c r="I721" s="761"/>
      <c r="J721" s="758"/>
      <c r="K721" s="850"/>
      <c r="L721" s="850"/>
      <c r="M721" s="850"/>
      <c r="N721" s="1006" t="s">
        <v>3017</v>
      </c>
      <c r="O721" s="850"/>
      <c r="P721" s="850"/>
      <c r="Q721" s="850"/>
      <c r="R721" s="850"/>
      <c r="S721" s="850"/>
      <c r="T721" s="850"/>
      <c r="U721" s="850"/>
      <c r="V721" s="850"/>
      <c r="W721" s="850"/>
      <c r="X721" s="850"/>
    </row>
    <row r="722" spans="1:24">
      <c r="A722" s="850" t="s">
        <v>2585</v>
      </c>
      <c r="B722" s="850" t="s">
        <v>676</v>
      </c>
      <c r="C722" s="576" t="s">
        <v>2586</v>
      </c>
      <c r="D722" s="850"/>
      <c r="E722" s="653" t="s">
        <v>3019</v>
      </c>
      <c r="F722" s="653" t="s">
        <v>3014</v>
      </c>
      <c r="G722" s="653" t="s">
        <v>3020</v>
      </c>
      <c r="H722" s="760">
        <v>-4923970017</v>
      </c>
      <c r="I722" s="761">
        <v>-9841690560</v>
      </c>
      <c r="J722" s="758"/>
      <c r="K722" s="850"/>
      <c r="L722" s="850"/>
      <c r="M722" s="850"/>
      <c r="N722" s="1006" t="s">
        <v>3017</v>
      </c>
      <c r="O722" s="850"/>
      <c r="P722" s="850"/>
      <c r="Q722" s="850"/>
      <c r="R722" s="850"/>
      <c r="S722" s="850"/>
      <c r="T722" s="850"/>
      <c r="U722" s="850"/>
      <c r="V722" s="850"/>
      <c r="W722" s="850"/>
      <c r="X722" s="850"/>
    </row>
    <row r="723" spans="1:24">
      <c r="A723" s="850" t="s">
        <v>2585</v>
      </c>
      <c r="B723" s="850" t="s">
        <v>676</v>
      </c>
      <c r="C723" s="576" t="s">
        <v>2586</v>
      </c>
      <c r="D723" s="850"/>
      <c r="E723" s="653"/>
      <c r="F723" s="653"/>
      <c r="G723" s="762" t="s">
        <v>3021</v>
      </c>
      <c r="H723" s="760">
        <v>723632306</v>
      </c>
      <c r="I723" s="761">
        <v>387740404</v>
      </c>
      <c r="J723" s="758"/>
      <c r="K723" s="850"/>
      <c r="L723" s="850"/>
      <c r="M723" s="850"/>
      <c r="N723" s="1006" t="s">
        <v>3022</v>
      </c>
      <c r="O723" s="850"/>
      <c r="P723" s="850"/>
      <c r="Q723" s="850"/>
      <c r="R723" s="850"/>
      <c r="S723" s="850"/>
      <c r="T723" s="850"/>
      <c r="U723" s="850"/>
      <c r="V723" s="850"/>
      <c r="W723" s="850"/>
      <c r="X723" s="850"/>
    </row>
    <row r="724" spans="1:24">
      <c r="A724" s="850" t="s">
        <v>2585</v>
      </c>
      <c r="B724" s="850" t="s">
        <v>676</v>
      </c>
      <c r="C724" s="576" t="s">
        <v>2586</v>
      </c>
      <c r="D724" s="850"/>
      <c r="E724" s="653"/>
      <c r="F724" s="653"/>
      <c r="G724" s="653" t="s">
        <v>292</v>
      </c>
      <c r="H724" s="760">
        <v>0</v>
      </c>
      <c r="I724" s="761">
        <v>0</v>
      </c>
      <c r="J724" s="758">
        <v>-5478358624</v>
      </c>
      <c r="K724" s="850" t="s">
        <v>62</v>
      </c>
      <c r="L724" s="850"/>
      <c r="M724" s="850"/>
      <c r="N724" s="1006" t="s">
        <v>3022</v>
      </c>
      <c r="O724" s="850"/>
      <c r="P724" s="850"/>
      <c r="Q724" s="850"/>
      <c r="R724" s="850"/>
      <c r="S724" s="850"/>
      <c r="T724" s="850"/>
      <c r="U724" s="850"/>
      <c r="V724" s="850"/>
      <c r="W724" s="850"/>
      <c r="X724" s="850"/>
    </row>
    <row r="725" spans="1:24">
      <c r="A725" s="850" t="s">
        <v>2585</v>
      </c>
      <c r="B725" s="850" t="s">
        <v>676</v>
      </c>
      <c r="C725" s="576" t="s">
        <v>2586</v>
      </c>
      <c r="D725" s="850"/>
      <c r="E725" s="653"/>
      <c r="F725" s="653"/>
      <c r="G725" s="653" t="s">
        <v>3023</v>
      </c>
      <c r="H725" s="760">
        <v>0</v>
      </c>
      <c r="I725" s="761">
        <v>0</v>
      </c>
      <c r="J725" s="758">
        <v>-417280341</v>
      </c>
      <c r="K725" s="850" t="s">
        <v>432</v>
      </c>
      <c r="L725" s="850" t="s">
        <v>3024</v>
      </c>
      <c r="M725" s="850"/>
      <c r="N725" s="1006" t="s">
        <v>3022</v>
      </c>
      <c r="O725" s="850"/>
      <c r="P725" s="850"/>
      <c r="Q725" s="850"/>
      <c r="R725" s="850"/>
      <c r="S725" s="850"/>
      <c r="T725" s="850"/>
      <c r="U725" s="850"/>
      <c r="V725" s="850"/>
      <c r="W725" s="850"/>
      <c r="X725" s="850"/>
    </row>
    <row r="726" spans="1:24">
      <c r="A726" s="850" t="s">
        <v>2585</v>
      </c>
      <c r="B726" s="850" t="s">
        <v>676</v>
      </c>
      <c r="C726" s="576" t="s">
        <v>2586</v>
      </c>
      <c r="D726" s="850"/>
      <c r="E726" s="653"/>
      <c r="F726" s="653"/>
      <c r="G726" s="653" t="s">
        <v>3025</v>
      </c>
      <c r="H726" s="760">
        <v>0</v>
      </c>
      <c r="I726" s="761">
        <v>0</v>
      </c>
      <c r="J726" s="758">
        <v>-22297509</v>
      </c>
      <c r="K726" s="850" t="s">
        <v>432</v>
      </c>
      <c r="L726" s="850" t="s">
        <v>3024</v>
      </c>
      <c r="M726" s="850"/>
      <c r="N726" s="1006" t="s">
        <v>3022</v>
      </c>
      <c r="O726" s="850"/>
      <c r="P726" s="850"/>
      <c r="Q726" s="850"/>
      <c r="R726" s="850"/>
      <c r="S726" s="850"/>
      <c r="T726" s="850"/>
      <c r="U726" s="850"/>
      <c r="V726" s="850"/>
      <c r="W726" s="850"/>
      <c r="X726" s="850"/>
    </row>
    <row r="727" spans="1:24">
      <c r="A727" s="850"/>
      <c r="B727" s="850"/>
      <c r="C727" s="576" t="s">
        <v>2586</v>
      </c>
      <c r="D727" s="850"/>
      <c r="E727" s="653"/>
      <c r="F727" s="653"/>
      <c r="G727" s="653" t="s">
        <v>3026</v>
      </c>
      <c r="H727" s="760">
        <v>0</v>
      </c>
      <c r="I727" s="761">
        <v>0</v>
      </c>
      <c r="J727" s="758"/>
      <c r="K727" s="850"/>
      <c r="L727" s="850"/>
      <c r="M727" s="850"/>
      <c r="N727" s="1006"/>
      <c r="O727" s="850"/>
      <c r="P727" s="850"/>
      <c r="Q727" s="850"/>
      <c r="R727" s="850"/>
      <c r="S727" s="850"/>
      <c r="T727" s="850"/>
      <c r="U727" s="850"/>
      <c r="V727" s="850"/>
      <c r="W727" s="850"/>
      <c r="X727" s="850"/>
    </row>
    <row r="728" spans="1:24">
      <c r="A728" s="850"/>
      <c r="B728" s="850"/>
      <c r="C728" s="576" t="s">
        <v>2586</v>
      </c>
      <c r="D728" s="850"/>
      <c r="E728" s="653"/>
      <c r="F728" s="653"/>
      <c r="G728" s="739" t="s">
        <v>2458</v>
      </c>
      <c r="H728" s="760">
        <v>0</v>
      </c>
      <c r="I728" s="761">
        <v>0</v>
      </c>
      <c r="J728" s="758">
        <v>-293245222</v>
      </c>
      <c r="K728" s="850"/>
      <c r="L728" s="850"/>
      <c r="M728" s="850"/>
      <c r="N728" s="1006"/>
      <c r="O728" s="850"/>
      <c r="P728" s="850"/>
      <c r="Q728" s="850"/>
      <c r="R728" s="850"/>
      <c r="S728" s="850"/>
      <c r="T728" s="850"/>
      <c r="U728" s="850"/>
      <c r="V728" s="850"/>
      <c r="W728" s="850"/>
      <c r="X728" s="850"/>
    </row>
    <row r="729" spans="1:24" hidden="1">
      <c r="A729" s="850" t="s">
        <v>2585</v>
      </c>
      <c r="B729" s="850" t="s">
        <v>676</v>
      </c>
      <c r="C729" s="576" t="s">
        <v>2586</v>
      </c>
      <c r="D729" s="850"/>
      <c r="E729" s="653"/>
      <c r="F729" s="653"/>
      <c r="G729" s="653"/>
      <c r="H729" s="760"/>
      <c r="I729" s="761"/>
      <c r="J729" s="758"/>
      <c r="K729" s="850"/>
      <c r="L729" s="850"/>
      <c r="M729" s="850"/>
      <c r="N729" s="1006" t="s">
        <v>3022</v>
      </c>
      <c r="O729" s="850"/>
      <c r="P729" s="850"/>
      <c r="Q729" s="850"/>
      <c r="R729" s="850"/>
      <c r="S729" s="850"/>
      <c r="T729" s="850"/>
      <c r="U729" s="850"/>
      <c r="V729" s="850"/>
      <c r="W729" s="850"/>
      <c r="X729" s="850"/>
    </row>
    <row r="730" spans="1:24" hidden="1">
      <c r="A730" s="850" t="s">
        <v>2585</v>
      </c>
      <c r="B730" s="850" t="s">
        <v>676</v>
      </c>
      <c r="C730" s="576" t="s">
        <v>2586</v>
      </c>
      <c r="D730" s="850"/>
      <c r="E730" s="653"/>
      <c r="F730" s="653"/>
      <c r="G730" s="653"/>
      <c r="H730" s="760"/>
      <c r="I730" s="761"/>
      <c r="J730" s="758"/>
      <c r="K730" s="850"/>
      <c r="L730" s="850"/>
      <c r="M730" s="850"/>
      <c r="N730" s="1006" t="s">
        <v>3017</v>
      </c>
      <c r="O730" s="850"/>
      <c r="P730" s="850"/>
      <c r="Q730" s="850"/>
      <c r="R730" s="850"/>
      <c r="S730" s="850"/>
      <c r="T730" s="850"/>
      <c r="U730" s="850"/>
      <c r="V730" s="850"/>
      <c r="W730" s="850"/>
      <c r="X730" s="850"/>
    </row>
    <row r="731" spans="1:24" hidden="1">
      <c r="A731" s="850" t="s">
        <v>2585</v>
      </c>
      <c r="B731" s="850" t="s">
        <v>676</v>
      </c>
      <c r="C731" s="576" t="s">
        <v>2586</v>
      </c>
      <c r="D731" s="850"/>
      <c r="E731" s="653" t="s">
        <v>2120</v>
      </c>
      <c r="F731" s="653" t="s">
        <v>2595</v>
      </c>
      <c r="G731" s="653" t="s">
        <v>685</v>
      </c>
      <c r="H731" s="760"/>
      <c r="I731" s="761">
        <v>0</v>
      </c>
      <c r="J731" s="758"/>
      <c r="K731" s="857">
        <f>H731+F362</f>
        <v>1392966312611</v>
      </c>
      <c r="L731" s="850"/>
      <c r="M731" s="850"/>
      <c r="N731" s="1006" t="s">
        <v>3022</v>
      </c>
      <c r="O731" s="850"/>
      <c r="P731" s="850"/>
      <c r="Q731" s="850"/>
      <c r="R731" s="850"/>
      <c r="S731" s="850"/>
      <c r="T731" s="850"/>
      <c r="U731" s="850"/>
      <c r="V731" s="850"/>
      <c r="W731" s="850"/>
      <c r="X731" s="850"/>
    </row>
    <row r="732" spans="1:24" hidden="1">
      <c r="A732" s="850" t="s">
        <v>2585</v>
      </c>
      <c r="B732" s="850" t="s">
        <v>676</v>
      </c>
      <c r="C732" s="576" t="s">
        <v>2586</v>
      </c>
      <c r="D732" s="850"/>
      <c r="E732" s="653"/>
      <c r="F732" s="653"/>
      <c r="G732" s="653" t="s">
        <v>3027</v>
      </c>
      <c r="H732" s="760"/>
      <c r="I732" s="761">
        <v>0</v>
      </c>
      <c r="J732" s="758"/>
      <c r="K732" s="850" t="s">
        <v>291</v>
      </c>
      <c r="L732" s="850" t="s">
        <v>3024</v>
      </c>
      <c r="M732" s="850"/>
      <c r="N732" s="1006" t="s">
        <v>3022</v>
      </c>
      <c r="O732" s="850"/>
      <c r="P732" s="850"/>
      <c r="Q732" s="850"/>
      <c r="R732" s="850"/>
      <c r="S732" s="850"/>
      <c r="T732" s="850"/>
      <c r="U732" s="850"/>
      <c r="V732" s="850"/>
      <c r="W732" s="850"/>
      <c r="X732" s="850"/>
    </row>
    <row r="733" spans="1:24" hidden="1">
      <c r="A733" s="850" t="s">
        <v>2585</v>
      </c>
      <c r="B733" s="850" t="s">
        <v>676</v>
      </c>
      <c r="C733" s="576" t="s">
        <v>2586</v>
      </c>
      <c r="D733" s="850"/>
      <c r="E733" s="653"/>
      <c r="F733" s="653"/>
      <c r="G733" s="653" t="s">
        <v>3028</v>
      </c>
      <c r="H733" s="760">
        <v>0</v>
      </c>
      <c r="I733" s="761">
        <v>2674885117</v>
      </c>
      <c r="J733" s="758"/>
      <c r="K733" s="859" t="s">
        <v>277</v>
      </c>
      <c r="L733" s="850" t="s">
        <v>3024</v>
      </c>
      <c r="M733" s="850"/>
      <c r="N733" s="1006" t="s">
        <v>3022</v>
      </c>
      <c r="O733" s="850"/>
      <c r="P733" s="850"/>
      <c r="Q733" s="850"/>
      <c r="R733" s="850"/>
      <c r="S733" s="850"/>
      <c r="T733" s="850"/>
      <c r="U733" s="850"/>
      <c r="V733" s="850"/>
      <c r="W733" s="850"/>
      <c r="X733" s="850"/>
    </row>
    <row r="734" spans="1:24" hidden="1">
      <c r="A734" s="850" t="s">
        <v>2585</v>
      </c>
      <c r="B734" s="850" t="s">
        <v>676</v>
      </c>
      <c r="C734" s="576" t="s">
        <v>2586</v>
      </c>
      <c r="D734" s="850"/>
      <c r="E734" s="653"/>
      <c r="F734" s="653"/>
      <c r="G734" s="762" t="s">
        <v>3029</v>
      </c>
      <c r="H734" s="760">
        <v>-878047383</v>
      </c>
      <c r="I734" s="761">
        <v>0</v>
      </c>
      <c r="J734" s="758"/>
      <c r="K734" s="850" t="s">
        <v>3030</v>
      </c>
      <c r="L734" s="850" t="s">
        <v>3024</v>
      </c>
      <c r="M734" s="850"/>
      <c r="N734" s="1006" t="s">
        <v>3022</v>
      </c>
      <c r="O734" s="850"/>
      <c r="P734" s="850"/>
      <c r="Q734" s="850"/>
      <c r="R734" s="850"/>
      <c r="S734" s="850"/>
      <c r="T734" s="850"/>
      <c r="U734" s="850"/>
      <c r="V734" s="850"/>
      <c r="W734" s="850"/>
      <c r="X734" s="850"/>
    </row>
    <row r="735" spans="1:24" hidden="1">
      <c r="A735" s="850" t="s">
        <v>2585</v>
      </c>
      <c r="B735" s="850" t="s">
        <v>676</v>
      </c>
      <c r="C735" s="576" t="s">
        <v>2586</v>
      </c>
      <c r="D735" s="850"/>
      <c r="E735" s="653"/>
      <c r="F735" s="653"/>
      <c r="G735" s="653" t="s">
        <v>3031</v>
      </c>
      <c r="H735" s="760"/>
      <c r="I735" s="761">
        <v>-8237970</v>
      </c>
      <c r="J735" s="758"/>
      <c r="K735" s="850" t="s">
        <v>2426</v>
      </c>
      <c r="L735" s="850" t="s">
        <v>3032</v>
      </c>
      <c r="M735" s="850"/>
      <c r="N735" s="1006" t="s">
        <v>3022</v>
      </c>
      <c r="O735" s="850"/>
      <c r="P735" s="850"/>
      <c r="Q735" s="850"/>
      <c r="R735" s="850"/>
      <c r="S735" s="850"/>
      <c r="T735" s="850"/>
      <c r="U735" s="850"/>
      <c r="V735" s="850"/>
      <c r="W735" s="850"/>
      <c r="X735" s="850"/>
    </row>
    <row r="736" spans="1:24" hidden="1">
      <c r="A736" s="850"/>
      <c r="B736" s="850"/>
      <c r="C736" s="576" t="s">
        <v>2586</v>
      </c>
      <c r="D736" s="850"/>
      <c r="E736" s="653"/>
      <c r="F736" s="653"/>
      <c r="G736" s="653" t="s">
        <v>234</v>
      </c>
      <c r="H736" s="760">
        <v>0</v>
      </c>
      <c r="I736" s="761">
        <v>0</v>
      </c>
      <c r="J736" s="758">
        <v>8262000</v>
      </c>
      <c r="K736" s="850"/>
      <c r="L736" s="850"/>
      <c r="M736" s="850"/>
      <c r="N736" s="1006"/>
      <c r="O736" s="850"/>
      <c r="P736" s="850"/>
      <c r="Q736" s="850"/>
      <c r="R736" s="850"/>
      <c r="S736" s="850"/>
      <c r="T736" s="850"/>
      <c r="U736" s="850"/>
      <c r="V736" s="850"/>
      <c r="W736" s="850"/>
      <c r="X736" s="850"/>
    </row>
    <row r="737" spans="1:24" hidden="1">
      <c r="A737" s="850"/>
      <c r="B737" s="850"/>
      <c r="C737" s="576" t="s">
        <v>2586</v>
      </c>
      <c r="D737" s="850"/>
      <c r="E737" s="653"/>
      <c r="F737" s="653"/>
      <c r="G737" s="653" t="s">
        <v>3033</v>
      </c>
      <c r="H737" s="760">
        <v>0</v>
      </c>
      <c r="I737" s="761">
        <v>0</v>
      </c>
      <c r="J737" s="758">
        <v>-38364384</v>
      </c>
      <c r="K737" s="850"/>
      <c r="L737" s="850"/>
      <c r="M737" s="850"/>
      <c r="N737" s="1006"/>
      <c r="O737" s="850"/>
      <c r="P737" s="850"/>
      <c r="Q737" s="850"/>
      <c r="R737" s="850"/>
      <c r="S737" s="850"/>
      <c r="T737" s="850"/>
      <c r="U737" s="850"/>
      <c r="V737" s="850"/>
      <c r="W737" s="850"/>
      <c r="X737" s="850"/>
    </row>
    <row r="738" spans="1:24" hidden="1">
      <c r="A738" s="850" t="s">
        <v>2585</v>
      </c>
      <c r="B738" s="850" t="s">
        <v>676</v>
      </c>
      <c r="C738" s="576" t="s">
        <v>2586</v>
      </c>
      <c r="D738" s="850"/>
      <c r="E738" s="653"/>
      <c r="F738" s="653"/>
      <c r="G738" s="653"/>
      <c r="H738" s="760"/>
      <c r="I738" s="761"/>
      <c r="J738" s="758"/>
      <c r="K738" s="850"/>
      <c r="L738" s="850"/>
      <c r="M738" s="850"/>
      <c r="N738" s="1006" t="s">
        <v>3022</v>
      </c>
      <c r="O738" s="850"/>
      <c r="P738" s="850"/>
      <c r="Q738" s="850"/>
      <c r="R738" s="850"/>
      <c r="S738" s="850"/>
      <c r="T738" s="850"/>
      <c r="U738" s="850"/>
      <c r="V738" s="850"/>
      <c r="W738" s="850"/>
      <c r="X738" s="850"/>
    </row>
    <row r="739" spans="1:24" hidden="1">
      <c r="A739" s="850" t="s">
        <v>2585</v>
      </c>
      <c r="B739" s="850" t="s">
        <v>676</v>
      </c>
      <c r="C739" s="576" t="s">
        <v>2586</v>
      </c>
      <c r="D739" s="850"/>
      <c r="E739" s="653" t="s">
        <v>2599</v>
      </c>
      <c r="F739" s="653" t="s">
        <v>2598</v>
      </c>
      <c r="G739" s="653" t="s">
        <v>3034</v>
      </c>
      <c r="H739" s="760">
        <v>0</v>
      </c>
      <c r="I739" s="761">
        <v>0</v>
      </c>
      <c r="J739" s="758">
        <v>0</v>
      </c>
      <c r="K739" s="850"/>
      <c r="L739" s="850"/>
      <c r="M739" s="850"/>
      <c r="N739" s="1006" t="s">
        <v>3022</v>
      </c>
      <c r="O739" s="850"/>
      <c r="P739" s="850"/>
      <c r="Q739" s="850"/>
      <c r="R739" s="850"/>
      <c r="S739" s="850"/>
      <c r="T739" s="850"/>
      <c r="U739" s="850"/>
      <c r="V739" s="850"/>
      <c r="W739" s="850"/>
      <c r="X739" s="850"/>
    </row>
    <row r="740" spans="1:24" hidden="1">
      <c r="A740" s="850" t="s">
        <v>2585</v>
      </c>
      <c r="B740" s="850" t="s">
        <v>676</v>
      </c>
      <c r="C740" s="576" t="s">
        <v>2586</v>
      </c>
      <c r="D740" s="850"/>
      <c r="E740" s="653"/>
      <c r="F740" s="653"/>
      <c r="G740" s="653" t="s">
        <v>3035</v>
      </c>
      <c r="H740" s="760"/>
      <c r="I740" s="761">
        <v>-2086442</v>
      </c>
      <c r="J740" s="758"/>
      <c r="K740" s="850"/>
      <c r="L740" s="850"/>
      <c r="M740" s="857">
        <f>H740-I740</f>
        <v>2086442</v>
      </c>
      <c r="N740" s="1006" t="s">
        <v>3022</v>
      </c>
      <c r="O740" s="850"/>
      <c r="P740" s="850"/>
      <c r="Q740" s="850"/>
      <c r="R740" s="850"/>
      <c r="S740" s="850"/>
      <c r="T740" s="850"/>
      <c r="U740" s="850"/>
      <c r="V740" s="850"/>
      <c r="W740" s="850"/>
      <c r="X740" s="850"/>
    </row>
    <row r="741" spans="1:24" hidden="1">
      <c r="A741" s="850" t="s">
        <v>2585</v>
      </c>
      <c r="B741" s="850" t="s">
        <v>676</v>
      </c>
      <c r="C741" s="576" t="s">
        <v>2586</v>
      </c>
      <c r="D741" s="850"/>
      <c r="E741" s="653"/>
      <c r="F741" s="653"/>
      <c r="G741" s="762" t="s">
        <v>3036</v>
      </c>
      <c r="H741" s="760"/>
      <c r="I741" s="761">
        <v>403483000</v>
      </c>
      <c r="J741" s="758"/>
      <c r="K741" s="850"/>
      <c r="L741" s="850"/>
      <c r="M741" s="850"/>
      <c r="N741" s="1006" t="s">
        <v>3022</v>
      </c>
      <c r="O741" s="850"/>
      <c r="P741" s="850"/>
      <c r="Q741" s="850"/>
      <c r="R741" s="850"/>
      <c r="S741" s="850"/>
      <c r="T741" s="850"/>
      <c r="U741" s="850"/>
      <c r="V741" s="850"/>
      <c r="W741" s="850"/>
      <c r="X741" s="850"/>
    </row>
    <row r="742" spans="1:24" hidden="1">
      <c r="A742" s="850" t="s">
        <v>2585</v>
      </c>
      <c r="B742" s="850" t="s">
        <v>676</v>
      </c>
      <c r="C742" s="576" t="s">
        <v>2586</v>
      </c>
      <c r="D742" s="850"/>
      <c r="E742" s="653"/>
      <c r="F742" s="653"/>
      <c r="G742" s="762" t="s">
        <v>61</v>
      </c>
      <c r="H742" s="760">
        <v>57957700</v>
      </c>
      <c r="I742" s="761">
        <v>69601100</v>
      </c>
      <c r="J742" s="758"/>
      <c r="K742" s="850"/>
      <c r="L742" s="850"/>
      <c r="M742" s="850"/>
      <c r="N742" s="1006" t="s">
        <v>3017</v>
      </c>
      <c r="O742" s="850"/>
      <c r="P742" s="850"/>
      <c r="Q742" s="850"/>
      <c r="R742" s="850"/>
      <c r="S742" s="850"/>
      <c r="T742" s="850"/>
      <c r="U742" s="850"/>
      <c r="V742" s="850"/>
      <c r="W742" s="850"/>
      <c r="X742" s="850"/>
    </row>
    <row r="743" spans="1:24" hidden="1">
      <c r="A743" s="850" t="s">
        <v>2585</v>
      </c>
      <c r="B743" s="850" t="s">
        <v>676</v>
      </c>
      <c r="C743" s="576" t="s">
        <v>2586</v>
      </c>
      <c r="D743" s="850"/>
      <c r="E743" s="653"/>
      <c r="F743" s="653"/>
      <c r="G743" s="653" t="s">
        <v>3023</v>
      </c>
      <c r="H743" s="760"/>
      <c r="I743" s="761"/>
      <c r="J743" s="758">
        <v>-10949407</v>
      </c>
      <c r="K743" s="850"/>
      <c r="L743" s="850"/>
      <c r="M743" s="850"/>
      <c r="N743" s="1006" t="s">
        <v>3017</v>
      </c>
      <c r="O743" s="850"/>
      <c r="P743" s="850"/>
      <c r="Q743" s="850"/>
      <c r="R743" s="850"/>
      <c r="S743" s="850"/>
      <c r="T743" s="850"/>
      <c r="U743" s="850"/>
      <c r="V743" s="850"/>
      <c r="W743" s="850"/>
      <c r="X743" s="850"/>
    </row>
    <row r="744" spans="1:24" hidden="1">
      <c r="A744" s="850" t="s">
        <v>2585</v>
      </c>
      <c r="B744" s="850" t="s">
        <v>676</v>
      </c>
      <c r="C744" s="576" t="s">
        <v>2586</v>
      </c>
      <c r="D744" s="850"/>
      <c r="E744" s="653"/>
      <c r="F744" s="653"/>
      <c r="G744" s="739" t="s">
        <v>2458</v>
      </c>
      <c r="H744" s="760"/>
      <c r="I744" s="761"/>
      <c r="J744" s="758">
        <v>-164566553</v>
      </c>
      <c r="K744" s="850"/>
      <c r="L744" s="850"/>
      <c r="M744" s="850"/>
      <c r="N744" s="1006" t="s">
        <v>3017</v>
      </c>
      <c r="O744" s="850"/>
      <c r="P744" s="850"/>
      <c r="Q744" s="850"/>
      <c r="R744" s="850"/>
      <c r="S744" s="850"/>
      <c r="T744" s="850"/>
      <c r="U744" s="850"/>
      <c r="V744" s="850"/>
      <c r="W744" s="850"/>
      <c r="X744" s="850"/>
    </row>
    <row r="745" spans="1:24" hidden="1">
      <c r="A745" s="850" t="s">
        <v>2585</v>
      </c>
      <c r="B745" s="850" t="s">
        <v>676</v>
      </c>
      <c r="C745" s="576" t="s">
        <v>2586</v>
      </c>
      <c r="D745" s="850"/>
      <c r="E745" s="653"/>
      <c r="F745" s="653"/>
      <c r="G745" s="653" t="s">
        <v>3037</v>
      </c>
      <c r="H745" s="760">
        <v>-32232000000</v>
      </c>
      <c r="I745" s="761">
        <v>-34128000000</v>
      </c>
      <c r="J745" s="758">
        <v>1896000000</v>
      </c>
      <c r="K745" s="850"/>
      <c r="L745" s="850"/>
      <c r="M745" s="850"/>
      <c r="N745" s="1006" t="s">
        <v>3017</v>
      </c>
      <c r="O745" s="850"/>
      <c r="P745" s="850"/>
      <c r="Q745" s="850"/>
      <c r="R745" s="850"/>
      <c r="S745" s="850"/>
      <c r="T745" s="850"/>
      <c r="U745" s="850"/>
      <c r="V745" s="850"/>
      <c r="W745" s="850"/>
      <c r="X745" s="850"/>
    </row>
    <row r="746" spans="1:24" hidden="1">
      <c r="A746" s="850" t="s">
        <v>2585</v>
      </c>
      <c r="B746" s="850" t="s">
        <v>676</v>
      </c>
      <c r="C746" s="576" t="s">
        <v>2586</v>
      </c>
      <c r="D746" s="850"/>
      <c r="E746" s="653"/>
      <c r="F746" s="653"/>
      <c r="G746" s="653"/>
      <c r="H746" s="760"/>
      <c r="I746" s="761"/>
      <c r="J746" s="758"/>
      <c r="K746" s="850"/>
      <c r="L746" s="850"/>
      <c r="M746" s="850"/>
      <c r="N746" s="1006" t="s">
        <v>3017</v>
      </c>
      <c r="O746" s="850"/>
      <c r="P746" s="850"/>
      <c r="Q746" s="850"/>
      <c r="R746" s="850"/>
      <c r="S746" s="850"/>
      <c r="T746" s="850"/>
      <c r="U746" s="850"/>
      <c r="V746" s="850"/>
      <c r="W746" s="850"/>
      <c r="X746" s="850"/>
    </row>
    <row r="747" spans="1:24" hidden="1">
      <c r="A747" s="850" t="s">
        <v>2585</v>
      </c>
      <c r="B747" s="850" t="s">
        <v>676</v>
      </c>
      <c r="C747" s="576" t="s">
        <v>2586</v>
      </c>
      <c r="D747" s="850"/>
      <c r="E747" s="653"/>
      <c r="F747" s="653"/>
      <c r="G747" s="653"/>
      <c r="H747" s="760"/>
      <c r="I747" s="761"/>
      <c r="J747" s="758"/>
      <c r="K747" s="850"/>
      <c r="L747" s="850"/>
      <c r="M747" s="850"/>
      <c r="N747" s="1006" t="s">
        <v>3017</v>
      </c>
      <c r="O747" s="850"/>
      <c r="P747" s="850"/>
      <c r="Q747" s="850"/>
      <c r="R747" s="850"/>
      <c r="S747" s="850"/>
      <c r="T747" s="850"/>
      <c r="U747" s="850"/>
      <c r="V747" s="850"/>
      <c r="W747" s="850"/>
      <c r="X747" s="850"/>
    </row>
    <row r="748" spans="1:24">
      <c r="A748" s="850" t="s">
        <v>2585</v>
      </c>
      <c r="B748" s="850" t="s">
        <v>676</v>
      </c>
      <c r="C748" s="576" t="s">
        <v>2586</v>
      </c>
      <c r="D748" s="850"/>
      <c r="E748" s="653"/>
      <c r="F748" s="653"/>
      <c r="G748" s="653"/>
      <c r="H748" s="760"/>
      <c r="I748" s="761"/>
      <c r="J748" s="758"/>
      <c r="K748" s="850"/>
      <c r="L748" s="850"/>
      <c r="M748" s="850"/>
      <c r="N748" s="1006" t="s">
        <v>3017</v>
      </c>
      <c r="O748" s="850"/>
      <c r="P748" s="850"/>
      <c r="Q748" s="850"/>
      <c r="R748" s="850"/>
      <c r="S748" s="850"/>
      <c r="T748" s="850"/>
      <c r="U748" s="850"/>
      <c r="V748" s="850"/>
      <c r="W748" s="850"/>
      <c r="X748" s="850"/>
    </row>
    <row r="749" spans="1:24">
      <c r="A749" s="850" t="s">
        <v>2585</v>
      </c>
      <c r="B749" s="850" t="s">
        <v>676</v>
      </c>
      <c r="C749" s="576" t="s">
        <v>2586</v>
      </c>
      <c r="D749" s="850"/>
      <c r="E749" s="653" t="s">
        <v>3038</v>
      </c>
      <c r="F749" s="653" t="s">
        <v>3014</v>
      </c>
      <c r="G749" s="653" t="s">
        <v>3039</v>
      </c>
      <c r="H749" s="760"/>
      <c r="I749" s="761">
        <v>18231000000</v>
      </c>
      <c r="J749" s="758"/>
      <c r="K749" s="850"/>
      <c r="L749" s="850"/>
      <c r="M749" s="850"/>
      <c r="N749" s="1006" t="s">
        <v>3017</v>
      </c>
      <c r="O749" s="850"/>
      <c r="P749" s="850"/>
      <c r="Q749" s="850"/>
      <c r="R749" s="850"/>
      <c r="S749" s="850"/>
      <c r="T749" s="850"/>
      <c r="U749" s="850"/>
      <c r="V749" s="850"/>
      <c r="W749" s="850"/>
      <c r="X749" s="850"/>
    </row>
    <row r="750" spans="1:24">
      <c r="A750" s="850" t="s">
        <v>2585</v>
      </c>
      <c r="B750" s="850" t="s">
        <v>676</v>
      </c>
      <c r="C750" s="576" t="s">
        <v>2586</v>
      </c>
      <c r="D750" s="850"/>
      <c r="E750" s="653" t="s">
        <v>3040</v>
      </c>
      <c r="F750" s="653" t="s">
        <v>3014</v>
      </c>
      <c r="G750" s="653" t="s">
        <v>3039</v>
      </c>
      <c r="H750" s="760"/>
      <c r="I750" s="761">
        <v>2316740000</v>
      </c>
      <c r="J750" s="758"/>
      <c r="K750" s="850"/>
      <c r="L750" s="850"/>
      <c r="M750" s="850"/>
      <c r="N750" s="1006" t="s">
        <v>3017</v>
      </c>
      <c r="O750" s="850"/>
      <c r="P750" s="850"/>
      <c r="Q750" s="850"/>
      <c r="R750" s="850"/>
      <c r="S750" s="850"/>
      <c r="T750" s="850"/>
      <c r="U750" s="850"/>
      <c r="V750" s="850"/>
      <c r="W750" s="850"/>
      <c r="X750" s="850"/>
    </row>
    <row r="751" spans="1:24">
      <c r="A751" s="850" t="s">
        <v>2585</v>
      </c>
      <c r="B751" s="850" t="s">
        <v>676</v>
      </c>
      <c r="C751" s="576" t="s">
        <v>2586</v>
      </c>
      <c r="D751" s="850"/>
      <c r="E751" s="653" t="s">
        <v>3041</v>
      </c>
      <c r="F751" s="653" t="s">
        <v>3014</v>
      </c>
      <c r="G751" s="653" t="s">
        <v>3039</v>
      </c>
      <c r="H751" s="760"/>
      <c r="I751" s="761">
        <v>5647170000</v>
      </c>
      <c r="J751" s="758"/>
      <c r="K751" s="850" t="s">
        <v>62</v>
      </c>
      <c r="L751" s="850"/>
      <c r="M751" s="850"/>
      <c r="N751" s="1006" t="s">
        <v>3022</v>
      </c>
      <c r="O751" s="850"/>
      <c r="P751" s="850"/>
      <c r="Q751" s="850"/>
      <c r="R751" s="850"/>
      <c r="S751" s="850"/>
      <c r="T751" s="850"/>
      <c r="U751" s="850"/>
      <c r="V751" s="850"/>
      <c r="W751" s="850"/>
      <c r="X751" s="850"/>
    </row>
    <row r="752" spans="1:24">
      <c r="A752" s="850" t="s">
        <v>2585</v>
      </c>
      <c r="B752" s="850" t="s">
        <v>676</v>
      </c>
      <c r="C752" s="576" t="s">
        <v>2586</v>
      </c>
      <c r="D752" s="850"/>
      <c r="E752" s="653" t="s">
        <v>3042</v>
      </c>
      <c r="F752" s="653" t="s">
        <v>3014</v>
      </c>
      <c r="G752" s="653" t="s">
        <v>3039</v>
      </c>
      <c r="H752" s="760"/>
      <c r="I752" s="761">
        <v>2647490000</v>
      </c>
      <c r="J752" s="758"/>
      <c r="K752" s="850"/>
      <c r="L752" s="850"/>
      <c r="M752" s="850"/>
      <c r="N752" s="1006" t="s">
        <v>3022</v>
      </c>
      <c r="O752" s="850"/>
      <c r="P752" s="850"/>
      <c r="Q752" s="850"/>
      <c r="R752" s="850"/>
      <c r="S752" s="850"/>
      <c r="T752" s="850"/>
      <c r="U752" s="850"/>
      <c r="V752" s="850"/>
      <c r="W752" s="850"/>
      <c r="X752" s="850"/>
    </row>
    <row r="753" spans="1:24">
      <c r="A753" s="850" t="s">
        <v>2585</v>
      </c>
      <c r="B753" s="850" t="s">
        <v>676</v>
      </c>
      <c r="C753" s="576" t="s">
        <v>2586</v>
      </c>
      <c r="D753" s="850"/>
      <c r="E753" s="653" t="s">
        <v>3043</v>
      </c>
      <c r="F753" s="653" t="s">
        <v>3014</v>
      </c>
      <c r="G753" s="653" t="s">
        <v>3039</v>
      </c>
      <c r="H753" s="760"/>
      <c r="I753" s="761">
        <v>763120000</v>
      </c>
      <c r="J753" s="758"/>
      <c r="K753" s="850"/>
      <c r="L753" s="850"/>
      <c r="M753" s="850"/>
      <c r="N753" s="1006" t="s">
        <v>3017</v>
      </c>
      <c r="O753" s="850"/>
      <c r="P753" s="850"/>
      <c r="Q753" s="850"/>
      <c r="R753" s="850"/>
      <c r="S753" s="850"/>
      <c r="T753" s="850"/>
      <c r="U753" s="850"/>
      <c r="V753" s="850"/>
      <c r="W753" s="850"/>
      <c r="X753" s="850"/>
    </row>
    <row r="754" spans="1:24">
      <c r="A754" s="850" t="s">
        <v>2585</v>
      </c>
      <c r="B754" s="850" t="s">
        <v>676</v>
      </c>
      <c r="C754" s="576" t="s">
        <v>2586</v>
      </c>
      <c r="D754" s="850"/>
      <c r="E754" s="653" t="s">
        <v>3044</v>
      </c>
      <c r="F754" s="653" t="s">
        <v>3014</v>
      </c>
      <c r="G754" s="653" t="s">
        <v>3039</v>
      </c>
      <c r="H754" s="760"/>
      <c r="I754" s="761">
        <v>16608950000</v>
      </c>
      <c r="J754" s="758"/>
      <c r="K754" s="850"/>
      <c r="L754" s="850"/>
      <c r="M754" s="850"/>
      <c r="N754" s="1006" t="s">
        <v>3017</v>
      </c>
      <c r="O754" s="850"/>
      <c r="P754" s="850"/>
      <c r="Q754" s="850"/>
      <c r="R754" s="850"/>
      <c r="S754" s="850"/>
      <c r="T754" s="850"/>
      <c r="U754" s="850"/>
      <c r="V754" s="850"/>
      <c r="W754" s="850"/>
      <c r="X754" s="850"/>
    </row>
    <row r="755" spans="1:24">
      <c r="A755" s="850" t="s">
        <v>2585</v>
      </c>
      <c r="B755" s="850" t="s">
        <v>676</v>
      </c>
      <c r="C755" s="576" t="s">
        <v>2586</v>
      </c>
      <c r="D755" s="850"/>
      <c r="E755" s="653"/>
      <c r="F755" s="653"/>
      <c r="G755" s="653" t="s">
        <v>70</v>
      </c>
      <c r="H755" s="760">
        <v>15691677</v>
      </c>
      <c r="I755" s="761">
        <v>28437160</v>
      </c>
      <c r="J755" s="758"/>
      <c r="K755" s="850"/>
      <c r="L755" s="850"/>
      <c r="M755" s="857">
        <f>H755-I755</f>
        <v>-12745483</v>
      </c>
      <c r="N755" s="1006" t="s">
        <v>3022</v>
      </c>
      <c r="O755" s="850"/>
      <c r="P755" s="850"/>
      <c r="Q755" s="850"/>
      <c r="R755" s="850"/>
      <c r="S755" s="850"/>
      <c r="T755" s="850"/>
      <c r="U755" s="850"/>
      <c r="V755" s="850"/>
      <c r="W755" s="850"/>
      <c r="X755" s="850"/>
    </row>
    <row r="756" spans="1:24">
      <c r="A756" s="850" t="s">
        <v>2585</v>
      </c>
      <c r="B756" s="850" t="s">
        <v>676</v>
      </c>
      <c r="C756" s="576" t="s">
        <v>2586</v>
      </c>
      <c r="D756" s="850"/>
      <c r="E756" s="653" t="s">
        <v>3045</v>
      </c>
      <c r="F756" s="653" t="s">
        <v>3014</v>
      </c>
      <c r="G756" s="653" t="s">
        <v>3039</v>
      </c>
      <c r="H756" s="760"/>
      <c r="I756" s="761">
        <v>14484510000</v>
      </c>
      <c r="J756" s="758"/>
      <c r="K756" s="850"/>
      <c r="L756" s="850"/>
      <c r="M756" s="850"/>
      <c r="N756" s="1006" t="s">
        <v>3017</v>
      </c>
      <c r="O756" s="850"/>
      <c r="P756" s="850"/>
      <c r="Q756" s="850"/>
      <c r="R756" s="850"/>
      <c r="S756" s="850"/>
      <c r="T756" s="850"/>
      <c r="U756" s="850"/>
      <c r="V756" s="850"/>
      <c r="W756" s="850"/>
      <c r="X756" s="850"/>
    </row>
    <row r="757" spans="1:24">
      <c r="A757" s="850" t="s">
        <v>2585</v>
      </c>
      <c r="B757" s="850" t="s">
        <v>676</v>
      </c>
      <c r="C757" s="576" t="s">
        <v>2586</v>
      </c>
      <c r="D757" s="850"/>
      <c r="E757" s="653" t="s">
        <v>3046</v>
      </c>
      <c r="F757" s="653" t="s">
        <v>3014</v>
      </c>
      <c r="G757" s="653" t="s">
        <v>3039</v>
      </c>
      <c r="H757" s="760"/>
      <c r="I757" s="761">
        <v>506620000</v>
      </c>
      <c r="J757" s="758"/>
      <c r="K757" s="850"/>
      <c r="L757" s="850"/>
      <c r="M757" s="850"/>
      <c r="N757" s="1006" t="s">
        <v>3022</v>
      </c>
      <c r="O757" s="850"/>
      <c r="P757" s="850"/>
      <c r="Q757" s="850"/>
      <c r="R757" s="850"/>
      <c r="S757" s="850"/>
      <c r="T757" s="850"/>
      <c r="U757" s="850"/>
      <c r="V757" s="850"/>
      <c r="W757" s="850"/>
      <c r="X757" s="850"/>
    </row>
    <row r="758" spans="1:24">
      <c r="A758" s="850" t="s">
        <v>2585</v>
      </c>
      <c r="B758" s="850" t="s">
        <v>676</v>
      </c>
      <c r="C758" s="576" t="s">
        <v>2586</v>
      </c>
      <c r="D758" s="850"/>
      <c r="E758" s="653" t="s">
        <v>3047</v>
      </c>
      <c r="F758" s="653" t="s">
        <v>3014</v>
      </c>
      <c r="G758" s="653" t="s">
        <v>3039</v>
      </c>
      <c r="H758" s="760"/>
      <c r="I758" s="761">
        <v>898450000</v>
      </c>
      <c r="J758" s="758"/>
      <c r="K758" s="850"/>
      <c r="L758" s="850"/>
      <c r="M758" s="857">
        <f>H758-I758</f>
        <v>-898450000</v>
      </c>
      <c r="N758" s="1006" t="s">
        <v>3022</v>
      </c>
      <c r="O758" s="850"/>
      <c r="P758" s="850"/>
      <c r="Q758" s="850"/>
      <c r="R758" s="850"/>
      <c r="S758" s="850"/>
      <c r="T758" s="850"/>
      <c r="U758" s="850"/>
      <c r="V758" s="850"/>
      <c r="W758" s="850"/>
      <c r="X758" s="850"/>
    </row>
    <row r="759" spans="1:24">
      <c r="A759" s="850" t="s">
        <v>2585</v>
      </c>
      <c r="B759" s="850" t="s">
        <v>676</v>
      </c>
      <c r="C759" s="576" t="s">
        <v>2586</v>
      </c>
      <c r="D759" s="850"/>
      <c r="E759" s="653" t="s">
        <v>2863</v>
      </c>
      <c r="F759" s="653" t="s">
        <v>3014</v>
      </c>
      <c r="G759" s="653" t="s">
        <v>3039</v>
      </c>
      <c r="H759" s="760"/>
      <c r="I759" s="761"/>
      <c r="J759" s="758"/>
      <c r="K759" s="850"/>
      <c r="L759" s="850"/>
      <c r="M759" s="850"/>
      <c r="N759" s="1006" t="s">
        <v>3022</v>
      </c>
      <c r="O759" s="850"/>
      <c r="P759" s="850"/>
      <c r="Q759" s="850"/>
      <c r="R759" s="850"/>
      <c r="S759" s="850"/>
      <c r="T759" s="850"/>
      <c r="U759" s="850"/>
      <c r="V759" s="850"/>
      <c r="W759" s="850"/>
      <c r="X759" s="850"/>
    </row>
    <row r="760" spans="1:24">
      <c r="A760" s="850"/>
      <c r="B760" s="850"/>
      <c r="C760" s="576" t="s">
        <v>2586</v>
      </c>
      <c r="D760" s="850"/>
      <c r="E760" s="850"/>
      <c r="F760" s="850"/>
      <c r="G760" s="850"/>
      <c r="H760" s="850"/>
      <c r="I760" s="850"/>
      <c r="J760" s="850"/>
      <c r="K760" s="850"/>
      <c r="L760" s="850"/>
      <c r="M760" s="850"/>
      <c r="N760" s="850"/>
      <c r="O760" s="850"/>
      <c r="P760" s="850"/>
      <c r="Q760" s="850"/>
      <c r="R760" s="850"/>
      <c r="S760" s="850"/>
      <c r="T760" s="850"/>
      <c r="U760" s="850"/>
      <c r="V760" s="850"/>
      <c r="W760" s="850"/>
      <c r="X760" s="850"/>
    </row>
    <row r="761" spans="1:24">
      <c r="A761" s="850" t="s">
        <v>2585</v>
      </c>
      <c r="B761" s="850" t="s">
        <v>675</v>
      </c>
      <c r="C761" s="576" t="s">
        <v>2586</v>
      </c>
      <c r="D761" s="850"/>
      <c r="E761" s="1" t="s">
        <v>3048</v>
      </c>
      <c r="F761" s="850"/>
      <c r="G761" s="850"/>
      <c r="H761" s="850"/>
      <c r="I761" s="850"/>
      <c r="J761" s="850"/>
      <c r="K761" s="850"/>
      <c r="L761" s="850"/>
      <c r="M761" s="850"/>
      <c r="N761" s="850"/>
      <c r="O761" s="850"/>
      <c r="P761" s="850"/>
      <c r="Q761" s="850"/>
      <c r="R761" s="850"/>
      <c r="S761" s="850"/>
      <c r="T761" s="850"/>
      <c r="U761" s="850"/>
      <c r="V761" s="850"/>
      <c r="W761" s="850"/>
      <c r="X761" s="850"/>
    </row>
    <row r="762" spans="1:24" ht="15">
      <c r="A762" s="850" t="s">
        <v>2585</v>
      </c>
      <c r="B762" s="850" t="s">
        <v>675</v>
      </c>
      <c r="C762" s="576" t="s">
        <v>2586</v>
      </c>
      <c r="D762" s="850"/>
      <c r="E762" s="850"/>
      <c r="F762" s="850"/>
      <c r="G762" s="687" t="s">
        <v>3049</v>
      </c>
      <c r="H762" s="1034"/>
      <c r="I762" s="850"/>
      <c r="J762" s="850"/>
      <c r="K762" s="850"/>
      <c r="L762" s="850"/>
      <c r="M762" s="850"/>
      <c r="N762" s="850"/>
      <c r="O762" s="850"/>
      <c r="P762" s="850"/>
      <c r="Q762" s="850"/>
      <c r="R762" s="850"/>
      <c r="S762" s="850"/>
      <c r="T762" s="850"/>
      <c r="U762" s="850"/>
      <c r="V762" s="850"/>
      <c r="W762" s="850"/>
      <c r="X762" s="850"/>
    </row>
    <row r="763" spans="1:24" ht="25.5">
      <c r="A763" s="850" t="s">
        <v>2585</v>
      </c>
      <c r="B763" s="850" t="s">
        <v>675</v>
      </c>
      <c r="C763" s="576" t="s">
        <v>2586</v>
      </c>
      <c r="D763" s="850"/>
      <c r="E763" s="172" t="s">
        <v>3050</v>
      </c>
      <c r="F763" s="172" t="s">
        <v>3051</v>
      </c>
      <c r="G763" s="173">
        <v>45657</v>
      </c>
      <c r="H763" s="174">
        <v>45107</v>
      </c>
      <c r="I763" s="173" t="s">
        <v>2867</v>
      </c>
      <c r="J763" s="174" t="s">
        <v>2868</v>
      </c>
      <c r="K763" s="850"/>
      <c r="L763" s="850"/>
      <c r="M763" s="850"/>
      <c r="N763" s="850"/>
      <c r="O763" s="850"/>
      <c r="P763" s="850"/>
      <c r="Q763" s="850"/>
      <c r="R763" s="850"/>
      <c r="S763" s="850"/>
      <c r="T763" s="850"/>
      <c r="U763" s="850"/>
      <c r="V763" s="850"/>
      <c r="W763" s="850"/>
      <c r="X763" s="850"/>
    </row>
    <row r="764" spans="1:24">
      <c r="A764" s="850" t="s">
        <v>2585</v>
      </c>
      <c r="B764" s="850" t="s">
        <v>675</v>
      </c>
      <c r="C764" s="576" t="s">
        <v>2586</v>
      </c>
      <c r="D764" s="850"/>
      <c r="E764" s="850" t="s">
        <v>3044</v>
      </c>
      <c r="F764" s="1003" t="s">
        <v>3052</v>
      </c>
      <c r="G764" s="990">
        <v>1063597056</v>
      </c>
      <c r="H764" s="847">
        <f>'A4.N2FS Singles'!H705</f>
        <v>527271800</v>
      </c>
      <c r="I764" s="990">
        <f>'A4.N2FS Singles'!I705</f>
        <v>1066078900</v>
      </c>
      <c r="J764" s="847">
        <f>'A4.N2FS Singles'!J705</f>
        <v>1281540000</v>
      </c>
      <c r="K764" s="850"/>
      <c r="L764" s="850"/>
      <c r="M764" s="850"/>
      <c r="N764" s="850"/>
      <c r="O764" s="850"/>
      <c r="P764" s="850"/>
      <c r="Q764" s="850"/>
      <c r="R764" s="850"/>
      <c r="S764" s="850"/>
      <c r="T764" s="850"/>
      <c r="U764" s="850"/>
      <c r="V764" s="850"/>
      <c r="W764" s="850"/>
      <c r="X764" s="850"/>
    </row>
    <row r="765" spans="1:24" ht="25.5">
      <c r="A765" s="850" t="s">
        <v>2585</v>
      </c>
      <c r="B765" s="850" t="s">
        <v>675</v>
      </c>
      <c r="C765" s="576" t="s">
        <v>2586</v>
      </c>
      <c r="D765" s="850"/>
      <c r="E765" s="850" t="s">
        <v>3046</v>
      </c>
      <c r="F765" s="1003" t="s">
        <v>3053</v>
      </c>
      <c r="G765" s="990">
        <v>44250000</v>
      </c>
      <c r="H765" s="847">
        <f>'A4.N2FS Singles'!H706</f>
        <v>399217600</v>
      </c>
      <c r="I765" s="990">
        <f>'A4.N2FS Singles'!I706</f>
        <v>810604800</v>
      </c>
      <c r="J765" s="847">
        <f>'A4.N2FS Singles'!J706</f>
        <v>782600000</v>
      </c>
      <c r="K765" s="850"/>
      <c r="L765" s="850"/>
      <c r="M765" s="850"/>
      <c r="N765" s="850"/>
      <c r="O765" s="850"/>
      <c r="P765" s="850"/>
      <c r="Q765" s="850"/>
      <c r="R765" s="850"/>
      <c r="S765" s="850"/>
      <c r="T765" s="850"/>
      <c r="U765" s="850"/>
      <c r="V765" s="850"/>
      <c r="W765" s="850"/>
      <c r="X765" s="850"/>
    </row>
    <row r="766" spans="1:24" ht="25.5">
      <c r="A766" s="850" t="s">
        <v>2585</v>
      </c>
      <c r="B766" s="850" t="s">
        <v>675</v>
      </c>
      <c r="C766" s="576" t="s">
        <v>2586</v>
      </c>
      <c r="D766" s="850"/>
      <c r="E766" s="850" t="s">
        <v>3047</v>
      </c>
      <c r="F766" s="1003" t="s">
        <v>3054</v>
      </c>
      <c r="G766" s="990">
        <v>44250000</v>
      </c>
      <c r="H766" s="847">
        <f>'A4.N2FS Singles'!H707</f>
        <v>399341400</v>
      </c>
      <c r="I766" s="990">
        <f>'A4.N2FS Singles'!I707</f>
        <v>809114700</v>
      </c>
      <c r="J766" s="847">
        <f>'A4.N2FS Singles'!J707</f>
        <v>733850000</v>
      </c>
      <c r="K766" s="850"/>
      <c r="L766" s="850"/>
      <c r="M766" s="850"/>
      <c r="N766" s="850"/>
      <c r="O766" s="850"/>
      <c r="P766" s="850"/>
      <c r="Q766" s="850"/>
      <c r="R766" s="850"/>
      <c r="S766" s="850"/>
      <c r="T766" s="850"/>
      <c r="U766" s="850"/>
      <c r="V766" s="850"/>
      <c r="W766" s="850"/>
      <c r="X766" s="850"/>
    </row>
    <row r="767" spans="1:24" ht="25.5">
      <c r="A767" s="850" t="s">
        <v>2585</v>
      </c>
      <c r="B767" s="850" t="s">
        <v>675</v>
      </c>
      <c r="C767" s="576" t="s">
        <v>2586</v>
      </c>
      <c r="D767" s="850"/>
      <c r="E767" s="850" t="s">
        <v>3055</v>
      </c>
      <c r="F767" s="1003" t="s">
        <v>3056</v>
      </c>
      <c r="G767" s="990">
        <v>44250000</v>
      </c>
      <c r="H767" s="847">
        <f>'A4.N2FS Singles'!H708</f>
        <v>391589041</v>
      </c>
      <c r="I767" s="990">
        <f>'A4.N2FS Singles'!I708</f>
        <v>852889041</v>
      </c>
      <c r="J767" s="847">
        <f>'A4.N2FS Singles'!J708</f>
        <v>429589041</v>
      </c>
      <c r="K767" s="850"/>
      <c r="L767" s="850"/>
      <c r="M767" s="850"/>
      <c r="N767" s="850"/>
      <c r="O767" s="850"/>
      <c r="P767" s="850"/>
      <c r="Q767" s="850"/>
      <c r="R767" s="850"/>
      <c r="S767" s="850"/>
      <c r="T767" s="850"/>
      <c r="U767" s="850"/>
      <c r="V767" s="850"/>
      <c r="W767" s="850"/>
      <c r="X767" s="850"/>
    </row>
    <row r="768" spans="1:24">
      <c r="A768" s="850"/>
      <c r="B768" s="850"/>
      <c r="C768" s="576"/>
      <c r="D768" s="850"/>
      <c r="E768" s="850" t="s">
        <v>3057</v>
      </c>
      <c r="F768" s="1003" t="s">
        <v>3058</v>
      </c>
      <c r="G768" s="990">
        <v>74800000</v>
      </c>
      <c r="H768" s="847"/>
      <c r="I768" s="990"/>
      <c r="J768" s="847"/>
      <c r="K768" s="850"/>
      <c r="L768" s="850"/>
      <c r="M768" s="850"/>
      <c r="N768" s="850"/>
      <c r="O768" s="850"/>
      <c r="P768" s="850"/>
      <c r="Q768" s="850"/>
      <c r="R768" s="850"/>
      <c r="S768" s="850"/>
      <c r="T768" s="850"/>
      <c r="U768" s="850"/>
      <c r="V768" s="850"/>
      <c r="W768" s="850"/>
      <c r="X768" s="850"/>
    </row>
    <row r="769" spans="1:24">
      <c r="A769" s="850" t="s">
        <v>2585</v>
      </c>
      <c r="B769" s="850" t="s">
        <v>675</v>
      </c>
      <c r="C769" s="576" t="s">
        <v>2586</v>
      </c>
      <c r="D769" s="850" t="s">
        <v>3059</v>
      </c>
      <c r="E769" s="850" t="s">
        <v>3060</v>
      </c>
      <c r="F769" s="1003" t="s">
        <v>1165</v>
      </c>
      <c r="G769" s="990">
        <v>58500000</v>
      </c>
      <c r="H769" s="847">
        <f>'A4.N2FS Singles'!H709</f>
        <v>456976895</v>
      </c>
      <c r="I769" s="990">
        <f>'A4.N2FS Singles'!I709</f>
        <v>0</v>
      </c>
      <c r="J769" s="847">
        <f>'A4.N2FS Singles'!J709</f>
        <v>0</v>
      </c>
      <c r="K769" s="850"/>
      <c r="L769" s="850"/>
      <c r="M769" s="850"/>
      <c r="N769" s="850"/>
      <c r="O769" s="850"/>
      <c r="P769" s="850"/>
      <c r="Q769" s="850"/>
      <c r="R769" s="850"/>
      <c r="S769" s="850"/>
      <c r="T769" s="850"/>
      <c r="U769" s="850"/>
      <c r="V769" s="850"/>
      <c r="W769" s="850"/>
      <c r="X769" s="850"/>
    </row>
    <row r="770" spans="1:24">
      <c r="A770" s="850" t="s">
        <v>2585</v>
      </c>
      <c r="B770" s="850" t="s">
        <v>675</v>
      </c>
      <c r="C770" s="576" t="s">
        <v>2586</v>
      </c>
      <c r="D770" s="850"/>
      <c r="E770" s="850" t="s">
        <v>3061</v>
      </c>
      <c r="F770" s="1003" t="s">
        <v>3062</v>
      </c>
      <c r="G770" s="990">
        <f>'A4.N2FS Singles'!G711</f>
        <v>0</v>
      </c>
      <c r="H770" s="847">
        <f>'A4.N2FS Singles'!H711</f>
        <v>471300000</v>
      </c>
      <c r="I770" s="990">
        <f>'A4.N2FS Singles'!I711</f>
        <v>1164266667</v>
      </c>
      <c r="J770" s="847">
        <f>'A4.N2FS Singles'!J711</f>
        <v>0</v>
      </c>
      <c r="K770" s="850"/>
      <c r="L770" s="850"/>
      <c r="M770" s="850"/>
      <c r="N770" s="850"/>
      <c r="O770" s="850"/>
      <c r="P770" s="850"/>
      <c r="Q770" s="850"/>
      <c r="R770" s="850"/>
      <c r="S770" s="850"/>
      <c r="T770" s="850"/>
      <c r="U770" s="850"/>
      <c r="V770" s="850"/>
      <c r="W770" s="850"/>
      <c r="X770" s="850"/>
    </row>
    <row r="771" spans="1:24" ht="13.5" thickBot="1">
      <c r="A771" s="850" t="s">
        <v>2585</v>
      </c>
      <c r="B771" s="850" t="s">
        <v>675</v>
      </c>
      <c r="C771" s="576" t="s">
        <v>2586</v>
      </c>
      <c r="D771" s="850"/>
      <c r="E771" s="850"/>
      <c r="F771" s="850"/>
      <c r="G771" s="1559">
        <f>SUM(G764:G770)</f>
        <v>1329647056</v>
      </c>
      <c r="H771" s="1561">
        <f>SUM(H764:H770)-H769</f>
        <v>2188719841</v>
      </c>
      <c r="I771" s="1559">
        <f>SUM(I764:I770)</f>
        <v>4702954108</v>
      </c>
      <c r="J771" s="1561">
        <f>SUM(J764:J770)</f>
        <v>3227579041</v>
      </c>
      <c r="K771" s="850"/>
      <c r="L771" s="850"/>
      <c r="M771" s="850"/>
      <c r="N771" s="850"/>
      <c r="O771" s="850"/>
      <c r="P771" s="850"/>
      <c r="Q771" s="850"/>
      <c r="R771" s="850"/>
      <c r="S771" s="850"/>
      <c r="T771" s="850"/>
      <c r="U771" s="850"/>
      <c r="V771" s="850"/>
      <c r="W771" s="850"/>
      <c r="X771" s="850"/>
    </row>
    <row r="772" spans="1:24" ht="13.5" thickTop="1">
      <c r="A772" s="850" t="s">
        <v>2585</v>
      </c>
      <c r="B772" s="850" t="s">
        <v>2227</v>
      </c>
      <c r="C772" s="576" t="s">
        <v>2586</v>
      </c>
      <c r="D772" s="850"/>
      <c r="E772" s="1" t="s">
        <v>3048</v>
      </c>
      <c r="F772" s="850"/>
      <c r="G772" s="850"/>
      <c r="H772" s="850"/>
      <c r="I772" s="850"/>
      <c r="J772" s="850"/>
      <c r="K772" s="850"/>
      <c r="L772" s="850"/>
      <c r="M772" s="850"/>
      <c r="N772" s="850"/>
      <c r="O772" s="850"/>
      <c r="P772" s="850"/>
      <c r="Q772" s="850"/>
      <c r="R772" s="850"/>
      <c r="S772" s="850"/>
      <c r="T772" s="850"/>
      <c r="U772" s="850"/>
      <c r="V772" s="850"/>
      <c r="W772" s="850"/>
      <c r="X772" s="850"/>
    </row>
    <row r="773" spans="1:24">
      <c r="A773" s="850" t="s">
        <v>2585</v>
      </c>
      <c r="B773" s="850" t="s">
        <v>2227</v>
      </c>
      <c r="C773" s="576" t="s">
        <v>2586</v>
      </c>
      <c r="D773" s="850"/>
      <c r="E773" s="850"/>
      <c r="F773" s="850"/>
      <c r="G773" s="850"/>
      <c r="H773" s="850"/>
      <c r="I773" s="850"/>
      <c r="J773" s="850"/>
      <c r="K773" s="850"/>
      <c r="L773" s="850"/>
      <c r="M773" s="850"/>
      <c r="N773" s="850"/>
      <c r="O773" s="850"/>
      <c r="P773" s="850"/>
      <c r="Q773" s="850"/>
      <c r="R773" s="850"/>
      <c r="S773" s="850"/>
      <c r="T773" s="850"/>
      <c r="U773" s="850"/>
      <c r="V773" s="850"/>
      <c r="W773" s="850"/>
      <c r="X773" s="850"/>
    </row>
    <row r="774" spans="1:24" ht="25.5">
      <c r="A774" s="850" t="s">
        <v>2585</v>
      </c>
      <c r="B774" s="850" t="s">
        <v>2227</v>
      </c>
      <c r="C774" s="576" t="s">
        <v>2586</v>
      </c>
      <c r="D774" s="850"/>
      <c r="E774" s="172" t="s">
        <v>3050</v>
      </c>
      <c r="F774" s="172" t="s">
        <v>3051</v>
      </c>
      <c r="G774" s="549" t="s">
        <v>2867</v>
      </c>
      <c r="H774" s="554" t="s">
        <v>2868</v>
      </c>
      <c r="I774" s="850"/>
      <c r="J774" s="850"/>
      <c r="K774" s="850"/>
      <c r="L774" s="850"/>
      <c r="M774" s="850"/>
      <c r="N774" s="850"/>
      <c r="O774" s="850"/>
      <c r="P774" s="850"/>
      <c r="Q774" s="850"/>
      <c r="R774" s="850"/>
      <c r="S774" s="850"/>
      <c r="T774" s="850"/>
      <c r="U774" s="850"/>
      <c r="V774" s="850"/>
      <c r="W774" s="850"/>
      <c r="X774" s="850"/>
    </row>
    <row r="775" spans="1:24">
      <c r="A775" s="850" t="s">
        <v>2585</v>
      </c>
      <c r="B775" s="850" t="s">
        <v>2227</v>
      </c>
      <c r="C775" s="576" t="s">
        <v>2586</v>
      </c>
      <c r="D775" s="850"/>
      <c r="E775" s="850" t="s">
        <v>3044</v>
      </c>
      <c r="F775" s="1003" t="s">
        <v>3052</v>
      </c>
      <c r="G775" s="952">
        <f>_xlfn.XLOOKUP(E775,'A4.N2FS Singles'!$E$705:$E$711,'A4.N2FS Singles'!$G$705:$G$711)</f>
        <v>1292065881</v>
      </c>
      <c r="H775" s="938">
        <f>_xlfn.XLOOKUP(E775,'A4.N2FS Singles'!$E$705:$E$711,'A4.N2FS Singles'!$H$705:$H$711)</f>
        <v>527271800</v>
      </c>
      <c r="I775" s="850"/>
      <c r="J775" s="850"/>
      <c r="K775" s="850"/>
      <c r="L775" s="850"/>
      <c r="M775" s="850"/>
      <c r="N775" s="850"/>
      <c r="O775" s="850"/>
      <c r="P775" s="850"/>
      <c r="Q775" s="850"/>
      <c r="R775" s="850"/>
      <c r="S775" s="850"/>
      <c r="T775" s="850"/>
      <c r="U775" s="850"/>
      <c r="V775" s="850"/>
      <c r="W775" s="850"/>
      <c r="X775" s="850"/>
    </row>
    <row r="776" spans="1:24" ht="25.5">
      <c r="A776" s="850" t="s">
        <v>2585</v>
      </c>
      <c r="B776" s="850" t="s">
        <v>2227</v>
      </c>
      <c r="C776" s="576" t="s">
        <v>2586</v>
      </c>
      <c r="D776" s="850"/>
      <c r="E776" s="850" t="s">
        <v>3046</v>
      </c>
      <c r="F776" s="1003" t="s">
        <v>3053</v>
      </c>
      <c r="G776" s="952">
        <f>_xlfn.XLOOKUP(E776,'A4.N2FS Singles'!$E$705:$E$711,'A4.N2FS Singles'!$G$705:$G$711)</f>
        <v>50250000</v>
      </c>
      <c r="H776" s="938">
        <f>_xlfn.XLOOKUP(E776,'A4.N2FS Singles'!$E$705:$E$711,'A4.N2FS Singles'!$H$705:$H$711)</f>
        <v>399217600</v>
      </c>
      <c r="I776" s="850"/>
      <c r="J776" s="850"/>
      <c r="K776" s="850"/>
      <c r="L776" s="850"/>
      <c r="M776" s="850"/>
      <c r="N776" s="850"/>
      <c r="O776" s="850"/>
      <c r="P776" s="850"/>
      <c r="Q776" s="850"/>
      <c r="R776" s="850"/>
      <c r="S776" s="850"/>
      <c r="T776" s="850"/>
      <c r="U776" s="850"/>
      <c r="V776" s="850"/>
      <c r="W776" s="850"/>
      <c r="X776" s="850"/>
    </row>
    <row r="777" spans="1:24" ht="25.5">
      <c r="A777" s="850" t="s">
        <v>2585</v>
      </c>
      <c r="B777" s="850" t="s">
        <v>2227</v>
      </c>
      <c r="C777" s="576" t="s">
        <v>2586</v>
      </c>
      <c r="D777" s="850"/>
      <c r="E777" s="850" t="s">
        <v>3047</v>
      </c>
      <c r="F777" s="1003" t="s">
        <v>3054</v>
      </c>
      <c r="G777" s="952">
        <f>_xlfn.XLOOKUP(E777,'A4.N2FS Singles'!$E$705:$E$711,'A4.N2FS Singles'!$G$705:$G$711)</f>
        <v>45225000</v>
      </c>
      <c r="H777" s="938">
        <f>_xlfn.XLOOKUP(E777,'A4.N2FS Singles'!$E$705:$E$711,'A4.N2FS Singles'!$H$705:$H$711)</f>
        <v>399341400</v>
      </c>
      <c r="I777" s="850"/>
      <c r="J777" s="850"/>
      <c r="K777" s="850"/>
      <c r="L777" s="850"/>
      <c r="M777" s="850"/>
      <c r="N777" s="850"/>
      <c r="O777" s="850"/>
      <c r="P777" s="850"/>
      <c r="Q777" s="850"/>
      <c r="R777" s="850"/>
      <c r="S777" s="850"/>
      <c r="T777" s="850"/>
      <c r="U777" s="850"/>
      <c r="V777" s="850"/>
      <c r="W777" s="850"/>
      <c r="X777" s="850"/>
    </row>
    <row r="778" spans="1:24" ht="25.5">
      <c r="A778" s="850" t="s">
        <v>2585</v>
      </c>
      <c r="B778" s="850" t="s">
        <v>2227</v>
      </c>
      <c r="C778" s="576" t="s">
        <v>2586</v>
      </c>
      <c r="D778" s="850"/>
      <c r="E778" s="850" t="s">
        <v>3055</v>
      </c>
      <c r="F778" s="1003" t="s">
        <v>3056</v>
      </c>
      <c r="G778" s="952">
        <f>_xlfn.XLOOKUP(E778,'A4.N2FS Singles'!$E$705:$E$711,'A4.N2FS Singles'!$G$705:$G$711)</f>
        <v>45225000</v>
      </c>
      <c r="H778" s="938">
        <f>_xlfn.XLOOKUP(E778,'A4.N2FS Singles'!$E$705:$E$711,'A4.N2FS Singles'!$H$705:$H$711)</f>
        <v>391589041</v>
      </c>
      <c r="I778" s="850"/>
      <c r="J778" s="850"/>
      <c r="K778" s="850"/>
      <c r="L778" s="850"/>
      <c r="M778" s="850"/>
      <c r="N778" s="850"/>
      <c r="O778" s="850"/>
      <c r="P778" s="850"/>
      <c r="Q778" s="850"/>
      <c r="R778" s="850"/>
      <c r="S778" s="850"/>
      <c r="T778" s="850"/>
      <c r="U778" s="850"/>
      <c r="V778" s="850"/>
      <c r="W778" s="850"/>
      <c r="X778" s="850"/>
    </row>
    <row r="779" spans="1:24">
      <c r="A779" s="850" t="s">
        <v>2585</v>
      </c>
      <c r="B779" s="850" t="s">
        <v>2227</v>
      </c>
      <c r="C779" s="576" t="s">
        <v>2586</v>
      </c>
      <c r="D779" s="850"/>
      <c r="E779" s="850" t="s">
        <v>3061</v>
      </c>
      <c r="F779" s="1003" t="s">
        <v>3062</v>
      </c>
      <c r="G779" s="952">
        <f>_xlfn.XLOOKUP(E779,'A4.N2FS Singles'!$E$705:$E$711,'A4.N2FS Singles'!$G$705:$G$711)</f>
        <v>0</v>
      </c>
      <c r="H779" s="938">
        <f>_xlfn.XLOOKUP(E779,'A4.N2FS Singles'!$E$705:$E$711,'A4.N2FS Singles'!$H$705:$H$711)</f>
        <v>471300000</v>
      </c>
      <c r="I779" s="850"/>
      <c r="J779" s="850"/>
      <c r="K779" s="850"/>
      <c r="L779" s="850"/>
      <c r="M779" s="850"/>
      <c r="N779" s="850"/>
      <c r="O779" s="850"/>
      <c r="P779" s="850"/>
      <c r="Q779" s="850"/>
      <c r="R779" s="850"/>
      <c r="S779" s="850"/>
      <c r="T779" s="850"/>
      <c r="U779" s="850"/>
      <c r="V779" s="850"/>
      <c r="W779" s="850"/>
      <c r="X779" s="850"/>
    </row>
    <row r="780" spans="1:24" ht="13.5" thickBot="1">
      <c r="A780" s="850" t="s">
        <v>2585</v>
      </c>
      <c r="B780" s="850" t="s">
        <v>2227</v>
      </c>
      <c r="C780" s="576" t="s">
        <v>2586</v>
      </c>
      <c r="D780" s="850"/>
      <c r="E780" s="850"/>
      <c r="F780" s="850"/>
      <c r="G780" s="1543">
        <f>SUM(G775:G779)</f>
        <v>1432765881</v>
      </c>
      <c r="H780" s="1544">
        <f>SUM(H775:H779)</f>
        <v>2188719841</v>
      </c>
      <c r="I780" s="850"/>
      <c r="J780" s="850"/>
      <c r="K780" s="850"/>
      <c r="L780" s="850"/>
      <c r="M780" s="850"/>
      <c r="N780" s="850"/>
      <c r="O780" s="850"/>
      <c r="P780" s="850"/>
      <c r="Q780" s="850"/>
      <c r="R780" s="850"/>
      <c r="S780" s="850"/>
      <c r="T780" s="850"/>
      <c r="U780" s="850"/>
      <c r="V780" s="850"/>
      <c r="W780" s="850"/>
      <c r="X780" s="850"/>
    </row>
    <row r="781" spans="1:24" ht="13.5" thickTop="1">
      <c r="A781" s="850"/>
      <c r="B781" s="850"/>
      <c r="C781" s="850"/>
      <c r="D781" s="850"/>
      <c r="E781" s="850"/>
      <c r="F781" s="850"/>
      <c r="G781" s="850"/>
      <c r="H781" s="850"/>
      <c r="I781" s="850"/>
      <c r="J781" s="850"/>
      <c r="K781" s="850"/>
      <c r="L781" s="850"/>
      <c r="M781" s="850"/>
      <c r="N781" s="850"/>
      <c r="O781" s="850"/>
      <c r="P781" s="850"/>
      <c r="Q781" s="850"/>
      <c r="R781" s="850"/>
      <c r="S781" s="850"/>
      <c r="T781" s="850"/>
      <c r="U781" s="850"/>
      <c r="V781" s="850"/>
      <c r="W781" s="850"/>
      <c r="X781" s="850"/>
    </row>
    <row r="782" spans="1:24">
      <c r="A782" s="172"/>
      <c r="B782" s="172" t="s">
        <v>676</v>
      </c>
      <c r="C782" s="172" t="s">
        <v>681</v>
      </c>
      <c r="D782" s="172"/>
      <c r="E782" s="562" t="s">
        <v>3063</v>
      </c>
      <c r="F782" s="172"/>
      <c r="G782" s="172"/>
      <c r="H782" s="172"/>
      <c r="I782" s="172"/>
      <c r="J782" s="172"/>
      <c r="K782" s="172"/>
      <c r="L782" s="172"/>
      <c r="M782" s="172"/>
      <c r="N782" s="172"/>
      <c r="O782" s="172"/>
      <c r="P782" s="172"/>
      <c r="Q782" s="172"/>
      <c r="R782" s="172"/>
      <c r="S782" s="172"/>
      <c r="T782" s="850"/>
      <c r="U782" s="850"/>
      <c r="V782" s="850"/>
      <c r="W782" s="850"/>
      <c r="X782" s="850"/>
    </row>
    <row r="783" spans="1:24">
      <c r="A783" s="850" t="s">
        <v>2585</v>
      </c>
      <c r="B783" s="850" t="s">
        <v>676</v>
      </c>
      <c r="C783" s="576" t="s">
        <v>2586</v>
      </c>
      <c r="D783" s="850"/>
      <c r="E783" s="850"/>
      <c r="F783" s="850"/>
      <c r="G783" s="850"/>
      <c r="H783" s="850"/>
      <c r="I783" s="850"/>
      <c r="J783" s="850"/>
      <c r="K783" s="850"/>
      <c r="L783" s="850"/>
      <c r="M783" s="850"/>
      <c r="N783" s="850"/>
      <c r="O783" s="850"/>
      <c r="P783" s="850"/>
      <c r="Q783" s="850"/>
      <c r="R783" s="850"/>
      <c r="S783" s="850"/>
      <c r="T783" s="850"/>
      <c r="U783" s="850"/>
      <c r="V783" s="850"/>
      <c r="W783" s="850"/>
      <c r="X783" s="850"/>
    </row>
    <row r="784" spans="1:24" ht="25.5">
      <c r="A784" s="850" t="s">
        <v>2585</v>
      </c>
      <c r="B784" s="850" t="s">
        <v>676</v>
      </c>
      <c r="C784" s="576" t="s">
        <v>2586</v>
      </c>
      <c r="D784" s="850"/>
      <c r="E784" s="1070"/>
      <c r="F784" s="549" t="s">
        <v>2867</v>
      </c>
      <c r="G784" s="554" t="s">
        <v>2868</v>
      </c>
      <c r="H784" s="850"/>
      <c r="I784" s="850"/>
      <c r="J784" s="850"/>
      <c r="K784" s="850"/>
      <c r="L784" s="850"/>
      <c r="M784" s="850"/>
      <c r="N784" s="850"/>
      <c r="O784" s="850"/>
      <c r="P784" s="850"/>
      <c r="Q784" s="850"/>
      <c r="R784" s="850"/>
      <c r="S784" s="850"/>
      <c r="T784" s="850"/>
      <c r="U784" s="850"/>
      <c r="V784" s="850"/>
      <c r="W784" s="850"/>
      <c r="X784" s="850"/>
    </row>
    <row r="785" spans="1:24" ht="25.5">
      <c r="A785" s="850" t="s">
        <v>2585</v>
      </c>
      <c r="B785" s="850" t="s">
        <v>676</v>
      </c>
      <c r="C785" s="576" t="s">
        <v>2586</v>
      </c>
      <c r="D785" s="850"/>
      <c r="E785" s="1070" t="s">
        <v>3064</v>
      </c>
      <c r="F785" s="952">
        <f>'A2.PL'!R30</f>
        <v>-35665212</v>
      </c>
      <c r="G785" s="938">
        <f>'A2.PL'!V30</f>
        <v>-42054697835</v>
      </c>
      <c r="H785" s="850"/>
      <c r="I785" s="850"/>
      <c r="J785" s="850"/>
      <c r="K785" s="850"/>
      <c r="L785" s="850"/>
      <c r="M785" s="850"/>
      <c r="N785" s="850"/>
      <c r="O785" s="850"/>
      <c r="P785" s="850"/>
      <c r="Q785" s="850"/>
      <c r="R785" s="850"/>
      <c r="S785" s="850"/>
      <c r="T785" s="850"/>
      <c r="U785" s="850"/>
      <c r="V785" s="850"/>
      <c r="W785" s="850"/>
      <c r="X785" s="850"/>
    </row>
    <row r="786" spans="1:24" ht="38.25">
      <c r="A786" s="850" t="s">
        <v>2585</v>
      </c>
      <c r="B786" s="850" t="s">
        <v>676</v>
      </c>
      <c r="C786" s="576" t="s">
        <v>2586</v>
      </c>
      <c r="D786" s="850"/>
      <c r="E786" s="1070" t="s">
        <v>3065</v>
      </c>
      <c r="F786" s="952">
        <v>13451876</v>
      </c>
      <c r="G786" s="938">
        <v>12753364</v>
      </c>
      <c r="H786" s="850"/>
      <c r="I786" s="850"/>
      <c r="J786" s="850"/>
      <c r="K786" s="850"/>
      <c r="L786" s="850"/>
      <c r="M786" s="850"/>
      <c r="N786" s="850"/>
      <c r="O786" s="850"/>
      <c r="P786" s="850"/>
      <c r="Q786" s="850"/>
      <c r="R786" s="850"/>
      <c r="S786" s="850"/>
      <c r="T786" s="850"/>
      <c r="U786" s="850"/>
      <c r="V786" s="850"/>
      <c r="W786" s="850"/>
      <c r="X786" s="850"/>
    </row>
    <row r="787" spans="1:24">
      <c r="A787" s="850" t="s">
        <v>2585</v>
      </c>
      <c r="B787" s="850" t="s">
        <v>676</v>
      </c>
      <c r="C787" s="576" t="s">
        <v>2586</v>
      </c>
      <c r="D787" s="850"/>
      <c r="E787" s="1070" t="s">
        <v>3066</v>
      </c>
      <c r="F787" s="952">
        <f>ROUND(F785/F786,0)</f>
        <v>-3</v>
      </c>
      <c r="G787" s="938">
        <f>ROUND(G785/G786,0)</f>
        <v>-3298</v>
      </c>
      <c r="H787" s="850"/>
      <c r="I787" s="850"/>
      <c r="J787" s="850"/>
      <c r="K787" s="850"/>
      <c r="L787" s="850"/>
      <c r="M787" s="850"/>
      <c r="N787" s="850"/>
      <c r="O787" s="850"/>
      <c r="P787" s="850"/>
      <c r="Q787" s="850"/>
      <c r="R787" s="850"/>
      <c r="S787" s="850"/>
      <c r="T787" s="850"/>
      <c r="U787" s="850"/>
      <c r="V787" s="850"/>
      <c r="W787" s="850"/>
      <c r="X787" s="850"/>
    </row>
    <row r="788" spans="1:24">
      <c r="A788" s="850" t="s">
        <v>2585</v>
      </c>
      <c r="B788" s="850" t="s">
        <v>676</v>
      </c>
      <c r="C788" s="576" t="s">
        <v>2586</v>
      </c>
      <c r="D788" s="850"/>
      <c r="E788" s="573"/>
      <c r="F788" s="573"/>
      <c r="G788" s="573"/>
      <c r="H788" s="850"/>
      <c r="I788" s="850"/>
      <c r="J788" s="850"/>
      <c r="K788" s="850"/>
      <c r="L788" s="850"/>
      <c r="M788" s="850"/>
      <c r="N788" s="850"/>
      <c r="O788" s="850"/>
      <c r="P788" s="850"/>
      <c r="Q788" s="850"/>
      <c r="R788" s="850"/>
      <c r="S788" s="850"/>
      <c r="T788" s="850"/>
      <c r="U788" s="850"/>
      <c r="V788" s="850"/>
      <c r="W788" s="850"/>
      <c r="X788" s="850"/>
    </row>
    <row r="789" spans="1:24">
      <c r="A789" s="850" t="s">
        <v>2585</v>
      </c>
      <c r="B789" s="850" t="s">
        <v>676</v>
      </c>
      <c r="C789" s="576" t="s">
        <v>2586</v>
      </c>
      <c r="D789" s="850"/>
      <c r="E789" s="573"/>
      <c r="F789" s="573"/>
      <c r="G789" s="573"/>
      <c r="H789" s="850"/>
      <c r="I789" s="850"/>
      <c r="J789" s="850"/>
      <c r="K789" s="850"/>
      <c r="L789" s="850"/>
      <c r="M789" s="850"/>
      <c r="N789" s="850"/>
      <c r="O789" s="850"/>
      <c r="P789" s="850"/>
      <c r="Q789" s="850"/>
      <c r="R789" s="850"/>
      <c r="S789" s="850"/>
      <c r="T789" s="850"/>
      <c r="U789" s="850"/>
      <c r="V789" s="850"/>
      <c r="W789" s="850"/>
      <c r="X789" s="850"/>
    </row>
    <row r="790" spans="1:24">
      <c r="A790" s="172"/>
      <c r="B790" s="172" t="s">
        <v>2227</v>
      </c>
      <c r="C790" s="172" t="s">
        <v>681</v>
      </c>
      <c r="D790" s="172"/>
      <c r="E790" s="562" t="s">
        <v>3067</v>
      </c>
      <c r="F790" s="172"/>
      <c r="G790" s="172"/>
      <c r="H790" s="172"/>
      <c r="I790" s="172"/>
      <c r="J790" s="172"/>
      <c r="K790" s="172"/>
      <c r="L790" s="172"/>
      <c r="M790" s="172"/>
      <c r="N790" s="172"/>
      <c r="O790" s="172"/>
      <c r="P790" s="172"/>
      <c r="Q790" s="172"/>
      <c r="R790" s="172"/>
      <c r="S790" s="172"/>
      <c r="T790" s="850"/>
      <c r="U790" s="850"/>
      <c r="V790" s="850"/>
      <c r="W790" s="850"/>
      <c r="X790" s="850"/>
    </row>
    <row r="791" spans="1:24">
      <c r="A791" s="850" t="s">
        <v>2585</v>
      </c>
      <c r="B791" s="850" t="s">
        <v>2227</v>
      </c>
      <c r="C791" s="576" t="s">
        <v>2586</v>
      </c>
      <c r="D791" s="850"/>
      <c r="E791" s="850"/>
      <c r="F791" s="850"/>
      <c r="G791" s="850"/>
      <c r="H791" s="850"/>
      <c r="I791" s="850"/>
      <c r="J791" s="850"/>
      <c r="K791" s="850"/>
      <c r="L791" s="850"/>
      <c r="M791" s="850"/>
      <c r="N791" s="850"/>
      <c r="O791" s="850"/>
      <c r="P791" s="850"/>
      <c r="Q791" s="850"/>
      <c r="R791" s="850"/>
      <c r="S791" s="850"/>
      <c r="T791" s="850"/>
      <c r="U791" s="850"/>
      <c r="V791" s="850"/>
      <c r="W791" s="850"/>
      <c r="X791" s="850"/>
    </row>
    <row r="792" spans="1:24">
      <c r="A792" s="850" t="s">
        <v>2585</v>
      </c>
      <c r="B792" s="850" t="s">
        <v>2227</v>
      </c>
      <c r="C792" s="576" t="s">
        <v>2586</v>
      </c>
      <c r="D792" s="850"/>
      <c r="E792" s="1" t="s">
        <v>3068</v>
      </c>
      <c r="F792" s="850"/>
      <c r="G792" s="850"/>
      <c r="H792" s="850"/>
      <c r="I792" s="850"/>
      <c r="J792" s="850"/>
      <c r="K792" s="850"/>
      <c r="L792" s="850"/>
      <c r="M792" s="850"/>
      <c r="N792" s="850"/>
      <c r="O792" s="850"/>
      <c r="P792" s="850"/>
      <c r="Q792" s="850"/>
      <c r="R792" s="850"/>
      <c r="S792" s="850"/>
      <c r="T792" s="850"/>
      <c r="U792" s="850"/>
      <c r="V792" s="850"/>
      <c r="W792" s="850"/>
      <c r="X792" s="850"/>
    </row>
    <row r="793" spans="1:24" ht="13.35" customHeight="1">
      <c r="A793" s="850" t="s">
        <v>2585</v>
      </c>
      <c r="B793" s="850" t="s">
        <v>2227</v>
      </c>
      <c r="C793" s="576" t="s">
        <v>2586</v>
      </c>
      <c r="D793" s="850"/>
      <c r="E793" s="850"/>
      <c r="F793" s="850"/>
      <c r="G793" s="850"/>
      <c r="H793" s="850"/>
      <c r="I793" s="850"/>
      <c r="J793" s="850"/>
      <c r="K793" s="850"/>
      <c r="L793" s="850"/>
      <c r="M793" s="850"/>
      <c r="N793" s="850"/>
      <c r="O793" s="850"/>
      <c r="P793" s="850"/>
      <c r="Q793" s="850"/>
      <c r="R793" s="850"/>
      <c r="S793" s="850"/>
      <c r="T793" s="850"/>
      <c r="U793" s="850"/>
      <c r="V793" s="850"/>
      <c r="W793" s="850"/>
      <c r="X793" s="850"/>
    </row>
    <row r="794" spans="1:24">
      <c r="A794" s="850" t="s">
        <v>2585</v>
      </c>
      <c r="B794" s="850" t="s">
        <v>2227</v>
      </c>
      <c r="C794" s="576" t="s">
        <v>2586</v>
      </c>
      <c r="D794" s="850"/>
      <c r="E794" s="560"/>
      <c r="F794" s="546">
        <v>45657</v>
      </c>
      <c r="G794" s="547"/>
      <c r="H794" s="551">
        <v>45291</v>
      </c>
      <c r="I794" s="552"/>
      <c r="J794" s="850"/>
      <c r="K794" s="850"/>
      <c r="L794" s="850"/>
      <c r="M794" s="850"/>
      <c r="N794" s="850"/>
      <c r="O794" s="850"/>
      <c r="P794" s="850"/>
      <c r="Q794" s="850"/>
      <c r="R794" s="850"/>
      <c r="S794" s="850"/>
      <c r="T794" s="850"/>
      <c r="U794" s="850"/>
      <c r="V794" s="850"/>
      <c r="W794" s="850"/>
      <c r="X794" s="850"/>
    </row>
    <row r="795" spans="1:24">
      <c r="A795" s="850" t="s">
        <v>2585</v>
      </c>
      <c r="B795" s="850" t="s">
        <v>2227</v>
      </c>
      <c r="C795" s="576" t="s">
        <v>2586</v>
      </c>
      <c r="D795" s="850"/>
      <c r="E795" s="1659"/>
      <c r="F795" s="589" t="s">
        <v>3069</v>
      </c>
      <c r="G795" s="589" t="s">
        <v>3070</v>
      </c>
      <c r="H795" s="590" t="s">
        <v>3069</v>
      </c>
      <c r="I795" s="590" t="s">
        <v>3070</v>
      </c>
      <c r="J795" s="850"/>
      <c r="K795" s="850"/>
      <c r="L795" s="77" t="s">
        <v>3071</v>
      </c>
      <c r="M795" s="77" t="s">
        <v>3072</v>
      </c>
      <c r="N795" s="850"/>
      <c r="O795" s="850"/>
      <c r="P795" s="850"/>
      <c r="Q795" s="850"/>
      <c r="R795" s="850"/>
      <c r="S795" s="850"/>
      <c r="T795" s="850"/>
      <c r="U795" s="850"/>
      <c r="V795" s="850"/>
      <c r="W795" s="850"/>
      <c r="X795" s="850"/>
    </row>
    <row r="796" spans="1:24">
      <c r="A796" s="850" t="s">
        <v>2585</v>
      </c>
      <c r="B796" s="850" t="s">
        <v>2227</v>
      </c>
      <c r="C796" s="576" t="s">
        <v>2586</v>
      </c>
      <c r="D796" s="850"/>
      <c r="E796" s="1659"/>
      <c r="F796" s="589" t="s">
        <v>3073</v>
      </c>
      <c r="G796" s="589" t="s">
        <v>3074</v>
      </c>
      <c r="H796" s="590" t="s">
        <v>3073</v>
      </c>
      <c r="I796" s="590" t="s">
        <v>3074</v>
      </c>
      <c r="J796" s="850"/>
      <c r="K796" s="850" t="s">
        <v>3075</v>
      </c>
      <c r="L796" s="1017">
        <v>6200000</v>
      </c>
      <c r="M796" s="848">
        <v>8250000</v>
      </c>
      <c r="N796" s="850"/>
      <c r="O796" s="850"/>
      <c r="P796" s="850"/>
      <c r="Q796" s="850"/>
      <c r="R796" s="850"/>
      <c r="S796" s="850"/>
      <c r="T796" s="850"/>
      <c r="U796" s="850"/>
      <c r="V796" s="850"/>
      <c r="W796" s="850"/>
      <c r="X796" s="850"/>
    </row>
    <row r="797" spans="1:24">
      <c r="A797" s="850" t="s">
        <v>2585</v>
      </c>
      <c r="B797" s="850" t="s">
        <v>2227</v>
      </c>
      <c r="C797" s="576" t="s">
        <v>2586</v>
      </c>
      <c r="D797" s="850"/>
      <c r="E797" s="1070" t="s">
        <v>3076</v>
      </c>
      <c r="F797" s="591">
        <v>1740</v>
      </c>
      <c r="G797" s="591">
        <f>F797*M796*J797</f>
        <v>7177500000</v>
      </c>
      <c r="H797" s="592">
        <v>2340</v>
      </c>
      <c r="I797" s="592">
        <f>H797*J797*L796</f>
        <v>7254000000</v>
      </c>
      <c r="J797" s="848">
        <v>0.5</v>
      </c>
      <c r="K797" s="1017"/>
      <c r="L797" s="850"/>
      <c r="M797" s="850"/>
      <c r="N797" s="850"/>
      <c r="O797" s="850"/>
      <c r="P797" s="850"/>
      <c r="Q797" s="850"/>
      <c r="R797" s="850"/>
      <c r="S797" s="850"/>
      <c r="T797" s="850"/>
      <c r="U797" s="850"/>
      <c r="V797" s="850"/>
      <c r="W797" s="850"/>
      <c r="X797" s="850"/>
    </row>
    <row r="798" spans="1:24">
      <c r="A798" s="850" t="s">
        <v>2585</v>
      </c>
      <c r="B798" s="850" t="s">
        <v>2227</v>
      </c>
      <c r="C798" s="576" t="s">
        <v>2586</v>
      </c>
      <c r="D798" s="850"/>
      <c r="E798" s="1070" t="s">
        <v>3077</v>
      </c>
      <c r="F798" s="591">
        <v>3360</v>
      </c>
      <c r="G798" s="591">
        <f>F798*M796</f>
        <v>27720000000</v>
      </c>
      <c r="H798" s="592">
        <v>3960</v>
      </c>
      <c r="I798" s="592">
        <f>L796*H798</f>
        <v>24552000000</v>
      </c>
      <c r="J798" s="848"/>
      <c r="K798" s="1017"/>
      <c r="L798" s="850"/>
      <c r="M798" s="850"/>
      <c r="N798" s="850"/>
      <c r="O798" s="850"/>
      <c r="P798" s="850"/>
      <c r="Q798" s="850"/>
      <c r="R798" s="850"/>
      <c r="S798" s="850"/>
      <c r="T798" s="850"/>
      <c r="U798" s="850"/>
      <c r="V798" s="850"/>
      <c r="W798" s="850"/>
      <c r="X798" s="850"/>
    </row>
    <row r="799" spans="1:24">
      <c r="A799" s="850" t="s">
        <v>2585</v>
      </c>
      <c r="B799" s="850" t="s">
        <v>2227</v>
      </c>
      <c r="C799" s="576" t="s">
        <v>2586</v>
      </c>
      <c r="D799" s="850"/>
      <c r="E799" s="850"/>
      <c r="F799" s="850"/>
      <c r="G799" s="850"/>
      <c r="H799" s="850"/>
      <c r="I799" s="850"/>
      <c r="J799" s="850"/>
      <c r="K799" s="850"/>
      <c r="L799" s="850"/>
      <c r="M799" s="850"/>
      <c r="N799" s="850"/>
      <c r="O799" s="850"/>
      <c r="P799" s="850"/>
      <c r="Q799" s="850"/>
      <c r="R799" s="850"/>
      <c r="S799" s="850"/>
      <c r="T799" s="850"/>
      <c r="U799" s="850"/>
      <c r="V799" s="850"/>
      <c r="W799" s="850"/>
      <c r="X799" s="850"/>
    </row>
    <row r="800" spans="1:24">
      <c r="A800" s="850" t="s">
        <v>2585</v>
      </c>
      <c r="B800" s="850" t="s">
        <v>2227</v>
      </c>
      <c r="C800" s="576" t="s">
        <v>2586</v>
      </c>
      <c r="D800" s="850"/>
      <c r="E800" s="850"/>
      <c r="F800" s="850"/>
      <c r="G800" s="850"/>
      <c r="H800" s="850"/>
      <c r="I800" s="850"/>
      <c r="J800" s="850"/>
      <c r="K800" s="850"/>
      <c r="L800" s="850"/>
      <c r="M800" s="850"/>
      <c r="N800" s="850"/>
      <c r="O800" s="850"/>
      <c r="P800" s="850"/>
      <c r="Q800" s="850"/>
      <c r="R800" s="850"/>
      <c r="S800" s="850"/>
      <c r="T800" s="850"/>
      <c r="U800" s="850"/>
      <c r="V800" s="850"/>
      <c r="W800" s="850"/>
      <c r="X800" s="850"/>
    </row>
    <row r="801" spans="1:24">
      <c r="A801" s="172"/>
      <c r="B801" s="172" t="s">
        <v>676</v>
      </c>
      <c r="C801" s="172" t="s">
        <v>681</v>
      </c>
      <c r="D801" s="172"/>
      <c r="E801" s="562" t="s">
        <v>3078</v>
      </c>
      <c r="F801" s="172"/>
      <c r="G801" s="172"/>
      <c r="H801" s="172"/>
      <c r="I801" s="172"/>
      <c r="J801" s="172"/>
      <c r="K801" s="172"/>
      <c r="L801" s="172"/>
      <c r="M801" s="172"/>
      <c r="N801" s="172"/>
      <c r="O801" s="172"/>
      <c r="P801" s="172"/>
      <c r="Q801" s="172"/>
      <c r="R801" s="172"/>
      <c r="S801" s="172"/>
      <c r="T801" s="850"/>
      <c r="U801" s="850"/>
      <c r="V801" s="850"/>
      <c r="W801" s="850"/>
      <c r="X801" s="850"/>
    </row>
    <row r="802" spans="1:24">
      <c r="A802" s="850" t="s">
        <v>2585</v>
      </c>
      <c r="B802" s="850" t="s">
        <v>676</v>
      </c>
      <c r="C802" s="576" t="s">
        <v>2586</v>
      </c>
      <c r="D802" s="850"/>
      <c r="E802" s="850" t="s">
        <v>3079</v>
      </c>
      <c r="F802" s="850"/>
      <c r="G802" s="850"/>
      <c r="H802" s="850"/>
      <c r="I802" s="850"/>
      <c r="J802" s="850"/>
      <c r="K802" s="850"/>
      <c r="L802" s="850"/>
      <c r="M802" s="850"/>
      <c r="N802" s="850"/>
      <c r="O802" s="850"/>
      <c r="P802" s="850"/>
      <c r="Q802" s="850"/>
      <c r="R802" s="850"/>
      <c r="S802" s="850"/>
      <c r="T802" s="850"/>
      <c r="U802" s="850"/>
      <c r="V802" s="850"/>
      <c r="W802" s="850"/>
      <c r="X802" s="850"/>
    </row>
    <row r="803" spans="1:24" ht="25.5">
      <c r="A803" s="850" t="s">
        <v>2585</v>
      </c>
      <c r="B803" s="850" t="s">
        <v>676</v>
      </c>
      <c r="C803" s="576" t="s">
        <v>2586</v>
      </c>
      <c r="D803" s="850"/>
      <c r="E803" s="850"/>
      <c r="F803" s="545" t="s">
        <v>2587</v>
      </c>
      <c r="G803" s="550" t="s">
        <v>2588</v>
      </c>
      <c r="H803" s="850"/>
      <c r="I803" s="1041"/>
      <c r="J803" s="776" t="s">
        <v>3080</v>
      </c>
      <c r="K803" s="776" t="s">
        <v>2751</v>
      </c>
      <c r="L803" s="850"/>
      <c r="M803" s="850"/>
      <c r="N803" s="850"/>
      <c r="O803" s="850"/>
      <c r="P803" s="850"/>
      <c r="Q803" s="850"/>
      <c r="R803" s="850"/>
      <c r="S803" s="850"/>
      <c r="T803" s="850"/>
      <c r="U803" s="850"/>
      <c r="V803" s="850"/>
      <c r="W803" s="850"/>
      <c r="X803" s="850"/>
    </row>
    <row r="804" spans="1:24">
      <c r="A804" s="850" t="s">
        <v>2585</v>
      </c>
      <c r="B804" s="850" t="s">
        <v>676</v>
      </c>
      <c r="C804" s="576" t="s">
        <v>2586</v>
      </c>
      <c r="D804" s="850"/>
      <c r="E804" s="850" t="s">
        <v>3081</v>
      </c>
      <c r="F804" s="952">
        <f>'A4.N2FS Singles'!F718+'A4.N2FS Consol'!J804</f>
        <v>4393768084</v>
      </c>
      <c r="G804" s="938">
        <v>716471338</v>
      </c>
      <c r="H804" s="850"/>
      <c r="I804" s="1079" t="s">
        <v>3082</v>
      </c>
      <c r="J804" s="1080">
        <v>2315692546</v>
      </c>
      <c r="K804" s="1080">
        <v>929053416</v>
      </c>
      <c r="L804" s="850"/>
      <c r="M804" s="850"/>
      <c r="N804" s="850"/>
      <c r="O804" s="850"/>
      <c r="P804" s="850"/>
      <c r="Q804" s="850"/>
      <c r="R804" s="850"/>
      <c r="S804" s="850"/>
      <c r="T804" s="850"/>
      <c r="U804" s="850"/>
      <c r="V804" s="850"/>
      <c r="W804" s="850"/>
      <c r="X804" s="850"/>
    </row>
    <row r="805" spans="1:24">
      <c r="A805" s="850" t="s">
        <v>2585</v>
      </c>
      <c r="B805" s="850" t="s">
        <v>676</v>
      </c>
      <c r="C805" s="576" t="s">
        <v>2586</v>
      </c>
      <c r="D805" s="850"/>
      <c r="E805" s="850" t="s">
        <v>3083</v>
      </c>
      <c r="F805" s="952">
        <f>'A4.N2FS Singles'!F719+'A4.N2FS Consol'!J805</f>
        <v>0</v>
      </c>
      <c r="G805" s="938">
        <v>5091178641</v>
      </c>
      <c r="H805" s="850"/>
      <c r="I805" s="1081" t="s">
        <v>3083</v>
      </c>
      <c r="J805" s="1041">
        <v>0</v>
      </c>
      <c r="K805" s="1041">
        <v>0</v>
      </c>
      <c r="L805" s="850"/>
      <c r="M805" s="850"/>
      <c r="N805" s="850"/>
      <c r="O805" s="850"/>
      <c r="P805" s="850"/>
      <c r="Q805" s="850"/>
      <c r="R805" s="850"/>
      <c r="S805" s="850"/>
      <c r="T805" s="850"/>
      <c r="U805" s="850"/>
      <c r="V805" s="850"/>
      <c r="W805" s="850"/>
      <c r="X805" s="850"/>
    </row>
    <row r="806" spans="1:24">
      <c r="A806" s="850" t="s">
        <v>2585</v>
      </c>
      <c r="B806" s="850" t="s">
        <v>676</v>
      </c>
      <c r="C806" s="576" t="s">
        <v>2586</v>
      </c>
      <c r="D806" s="850"/>
      <c r="E806" s="850" t="s">
        <v>3084</v>
      </c>
      <c r="F806" s="952">
        <v>0</v>
      </c>
      <c r="G806" s="938">
        <v>0</v>
      </c>
      <c r="H806" s="850"/>
      <c r="I806" s="1082" t="s">
        <v>628</v>
      </c>
      <c r="J806" s="1083">
        <v>2315692546</v>
      </c>
      <c r="K806" s="1083">
        <v>1152444501</v>
      </c>
      <c r="L806" s="850"/>
      <c r="M806" s="850"/>
      <c r="N806" s="850"/>
      <c r="O806" s="850"/>
      <c r="P806" s="850"/>
      <c r="Q806" s="850"/>
      <c r="R806" s="850"/>
      <c r="S806" s="850"/>
      <c r="T806" s="850"/>
      <c r="U806" s="850"/>
      <c r="V806" s="850"/>
      <c r="W806" s="850"/>
      <c r="X806" s="850"/>
    </row>
    <row r="807" spans="1:24" ht="13.5" thickBot="1">
      <c r="A807" s="850" t="s">
        <v>2585</v>
      </c>
      <c r="B807" s="850" t="s">
        <v>676</v>
      </c>
      <c r="C807" s="576" t="s">
        <v>2586</v>
      </c>
      <c r="D807" s="850"/>
      <c r="E807" s="850"/>
      <c r="F807" s="1545">
        <f>SUM(F804:F806)</f>
        <v>4393768084</v>
      </c>
      <c r="G807" s="1546">
        <f>SUM(G804:G806)</f>
        <v>5807649979</v>
      </c>
      <c r="H807" s="850"/>
      <c r="I807" s="850"/>
      <c r="J807" s="850"/>
      <c r="K807" s="850"/>
      <c r="L807" s="850"/>
      <c r="M807" s="850"/>
      <c r="N807" s="850"/>
      <c r="O807" s="850"/>
      <c r="P807" s="850"/>
      <c r="Q807" s="850"/>
      <c r="R807" s="850"/>
      <c r="S807" s="850"/>
      <c r="T807" s="850"/>
      <c r="U807" s="850"/>
      <c r="V807" s="850"/>
      <c r="W807" s="850"/>
      <c r="X807" s="850"/>
    </row>
    <row r="808" spans="1:24" ht="13.5" thickTop="1">
      <c r="A808" s="850" t="s">
        <v>2585</v>
      </c>
      <c r="B808" s="850" t="s">
        <v>676</v>
      </c>
      <c r="C808" s="576" t="s">
        <v>2586</v>
      </c>
      <c r="D808" s="850"/>
      <c r="E808" s="850"/>
      <c r="F808" s="850"/>
      <c r="G808" s="850"/>
      <c r="H808" s="850"/>
      <c r="I808" s="850"/>
      <c r="J808" s="850"/>
      <c r="K808" s="850"/>
      <c r="L808" s="850"/>
      <c r="M808" s="850"/>
      <c r="N808" s="850"/>
      <c r="O808" s="850"/>
      <c r="P808" s="850"/>
      <c r="Q808" s="850"/>
      <c r="R808" s="850"/>
      <c r="S808" s="850"/>
      <c r="T808" s="850"/>
      <c r="U808" s="850"/>
      <c r="V808" s="850"/>
      <c r="W808" s="850"/>
      <c r="X808" s="850"/>
    </row>
    <row r="809" spans="1:24">
      <c r="A809" s="850" t="s">
        <v>2585</v>
      </c>
      <c r="B809" s="850" t="s">
        <v>676</v>
      </c>
      <c r="C809" s="576" t="s">
        <v>2586</v>
      </c>
      <c r="D809" s="850"/>
      <c r="E809" s="850"/>
      <c r="F809" s="850"/>
      <c r="G809" s="850"/>
      <c r="H809" s="850"/>
      <c r="I809" s="850"/>
      <c r="J809" s="850"/>
      <c r="K809" s="850"/>
      <c r="L809" s="850"/>
      <c r="M809" s="850"/>
      <c r="N809" s="850"/>
      <c r="O809" s="850"/>
      <c r="P809" s="850"/>
      <c r="Q809" s="850"/>
      <c r="R809" s="850"/>
      <c r="S809" s="850"/>
      <c r="T809" s="850"/>
      <c r="U809" s="850"/>
      <c r="V809" s="850"/>
      <c r="W809" s="850"/>
      <c r="X809" s="850"/>
    </row>
    <row r="810" spans="1:24">
      <c r="A810" s="850" t="s">
        <v>2585</v>
      </c>
      <c r="B810" s="850" t="s">
        <v>676</v>
      </c>
      <c r="C810" s="576" t="s">
        <v>2586</v>
      </c>
      <c r="D810" s="850"/>
      <c r="E810" s="850"/>
      <c r="F810" s="850"/>
      <c r="G810" s="850"/>
      <c r="H810" s="850"/>
      <c r="I810" s="850"/>
      <c r="J810" s="850"/>
      <c r="K810" s="850"/>
      <c r="L810" s="850"/>
      <c r="M810" s="850"/>
      <c r="N810" s="850"/>
      <c r="O810" s="850"/>
      <c r="P810" s="850"/>
      <c r="Q810" s="850"/>
      <c r="R810" s="850"/>
      <c r="S810" s="850"/>
      <c r="T810" s="850"/>
      <c r="U810" s="850"/>
      <c r="V810" s="850"/>
      <c r="W810" s="850"/>
      <c r="X810" s="850"/>
    </row>
    <row r="811" spans="1:24">
      <c r="A811" s="172"/>
      <c r="B811" s="172" t="s">
        <v>676</v>
      </c>
      <c r="C811" s="172" t="s">
        <v>681</v>
      </c>
      <c r="D811" s="172"/>
      <c r="E811" s="562" t="s">
        <v>3085</v>
      </c>
      <c r="F811" s="172"/>
      <c r="G811" s="172"/>
      <c r="H811" s="172"/>
      <c r="I811" s="172"/>
      <c r="J811" s="172"/>
      <c r="K811" s="172"/>
      <c r="L811" s="172"/>
      <c r="M811" s="172"/>
      <c r="N811" s="172"/>
      <c r="O811" s="172"/>
      <c r="P811" s="172"/>
      <c r="Q811" s="172"/>
      <c r="R811" s="172"/>
      <c r="S811" s="172"/>
      <c r="T811" s="850"/>
      <c r="U811" s="850"/>
      <c r="V811" s="850"/>
      <c r="W811" s="850"/>
      <c r="X811" s="850"/>
    </row>
    <row r="812" spans="1:24">
      <c r="A812" s="850" t="s">
        <v>2585</v>
      </c>
      <c r="B812" s="850" t="s">
        <v>676</v>
      </c>
      <c r="C812" s="576" t="s">
        <v>3000</v>
      </c>
      <c r="D812" s="850"/>
      <c r="E812" s="850" t="s">
        <v>3079</v>
      </c>
      <c r="F812" s="850"/>
      <c r="G812" s="850"/>
      <c r="H812" s="850"/>
      <c r="I812" s="850"/>
      <c r="J812" s="850"/>
      <c r="K812" s="850"/>
      <c r="L812" s="850"/>
      <c r="M812" s="850"/>
      <c r="N812" s="850"/>
      <c r="O812" s="850"/>
      <c r="P812" s="850"/>
      <c r="Q812" s="850"/>
      <c r="R812" s="850"/>
      <c r="S812" s="850"/>
      <c r="T812" s="850"/>
      <c r="U812" s="850"/>
      <c r="V812" s="850"/>
      <c r="W812" s="850"/>
      <c r="X812" s="850"/>
    </row>
    <row r="813" spans="1:24" ht="25.5">
      <c r="A813" s="850" t="s">
        <v>2585</v>
      </c>
      <c r="B813" s="850" t="s">
        <v>676</v>
      </c>
      <c r="C813" s="576" t="s">
        <v>3000</v>
      </c>
      <c r="D813" s="850"/>
      <c r="E813" s="850"/>
      <c r="F813" s="545" t="s">
        <v>2587</v>
      </c>
      <c r="G813" s="550" t="s">
        <v>2588</v>
      </c>
      <c r="H813" s="850"/>
      <c r="I813" s="850"/>
      <c r="J813" s="850"/>
      <c r="K813" s="850"/>
      <c r="L813" s="850"/>
      <c r="M813" s="850"/>
      <c r="N813" s="850"/>
      <c r="O813" s="850"/>
      <c r="P813" s="850"/>
      <c r="Q813" s="850"/>
      <c r="R813" s="850"/>
      <c r="S813" s="850"/>
      <c r="T813" s="850"/>
      <c r="U813" s="850"/>
      <c r="V813" s="850"/>
      <c r="W813" s="850"/>
      <c r="X813" s="850"/>
    </row>
    <row r="814" spans="1:24">
      <c r="A814" s="850" t="s">
        <v>2585</v>
      </c>
      <c r="B814" s="850" t="s">
        <v>676</v>
      </c>
      <c r="C814" s="576" t="s">
        <v>3000</v>
      </c>
      <c r="D814" s="850"/>
      <c r="E814" s="1084" t="s">
        <v>3086</v>
      </c>
      <c r="F814" s="952">
        <f>G821</f>
        <v>94600055220</v>
      </c>
      <c r="G814" s="938">
        <v>121294625653</v>
      </c>
      <c r="H814" s="850"/>
      <c r="I814" s="850"/>
      <c r="J814" s="850"/>
      <c r="K814" s="850"/>
      <c r="L814" s="850"/>
      <c r="M814" s="850"/>
      <c r="N814" s="850"/>
      <c r="O814" s="850"/>
      <c r="P814" s="850"/>
      <c r="Q814" s="850"/>
      <c r="R814" s="850"/>
      <c r="S814" s="850"/>
      <c r="T814" s="850"/>
      <c r="U814" s="850"/>
      <c r="V814" s="850"/>
      <c r="W814" s="850"/>
      <c r="X814" s="850"/>
    </row>
    <row r="815" spans="1:24" ht="38.25">
      <c r="A815" s="850" t="s">
        <v>2585</v>
      </c>
      <c r="B815" s="850" t="s">
        <v>676</v>
      </c>
      <c r="C815" s="576" t="s">
        <v>3000</v>
      </c>
      <c r="D815" s="850"/>
      <c r="E815" s="1084" t="s">
        <v>3087</v>
      </c>
      <c r="F815" s="952">
        <v>0</v>
      </c>
      <c r="G815" s="938">
        <v>-1754073365</v>
      </c>
      <c r="H815" s="850"/>
      <c r="I815" s="850"/>
      <c r="J815" s="850"/>
      <c r="K815" s="850"/>
      <c r="L815" s="850"/>
      <c r="M815" s="850"/>
      <c r="N815" s="850"/>
      <c r="O815" s="850"/>
      <c r="P815" s="850"/>
      <c r="Q815" s="850"/>
      <c r="R815" s="850"/>
      <c r="S815" s="850"/>
      <c r="T815" s="850"/>
      <c r="U815" s="850"/>
      <c r="V815" s="850"/>
      <c r="W815" s="850"/>
      <c r="X815" s="850"/>
    </row>
    <row r="816" spans="1:24">
      <c r="A816" s="850" t="s">
        <v>2585</v>
      </c>
      <c r="B816" s="850" t="s">
        <v>676</v>
      </c>
      <c r="C816" s="576" t="s">
        <v>3000</v>
      </c>
      <c r="D816" s="850"/>
      <c r="E816" s="1084" t="s">
        <v>3088</v>
      </c>
      <c r="F816" s="952">
        <f>SUM(F814:F815)</f>
        <v>94600055220</v>
      </c>
      <c r="G816" s="938">
        <v>119540552288</v>
      </c>
      <c r="H816" s="850"/>
      <c r="I816" s="850"/>
      <c r="J816" s="850"/>
      <c r="K816" s="850"/>
      <c r="L816" s="850"/>
      <c r="M816" s="850"/>
      <c r="N816" s="850"/>
      <c r="O816" s="850"/>
      <c r="P816" s="850"/>
      <c r="Q816" s="850"/>
      <c r="R816" s="850"/>
      <c r="S816" s="850"/>
      <c r="T816" s="850"/>
      <c r="U816" s="850"/>
      <c r="V816" s="850"/>
      <c r="W816" s="850"/>
      <c r="X816" s="850"/>
    </row>
    <row r="817" spans="1:24">
      <c r="A817" s="850" t="s">
        <v>2585</v>
      </c>
      <c r="B817" s="850" t="s">
        <v>676</v>
      </c>
      <c r="C817" s="576" t="s">
        <v>3000</v>
      </c>
      <c r="D817" s="850"/>
      <c r="E817" s="1084" t="s">
        <v>3089</v>
      </c>
      <c r="F817" s="1047" t="s">
        <v>3090</v>
      </c>
      <c r="G817" s="1037" t="s">
        <v>3090</v>
      </c>
      <c r="H817" s="850"/>
      <c r="I817" s="850"/>
      <c r="J817" s="850"/>
      <c r="K817" s="850"/>
      <c r="L817" s="850"/>
      <c r="M817" s="850"/>
      <c r="N817" s="850"/>
      <c r="O817" s="850"/>
      <c r="P817" s="850"/>
      <c r="Q817" s="850"/>
      <c r="R817" s="850"/>
      <c r="S817" s="850"/>
      <c r="T817" s="850"/>
      <c r="U817" s="850"/>
      <c r="V817" s="850"/>
      <c r="W817" s="850"/>
      <c r="X817" s="850"/>
    </row>
    <row r="818" spans="1:24">
      <c r="A818" s="850" t="s">
        <v>2585</v>
      </c>
      <c r="B818" s="850" t="s">
        <v>676</v>
      </c>
      <c r="C818" s="576" t="s">
        <v>3000</v>
      </c>
      <c r="D818" s="850"/>
      <c r="E818" s="1084" t="s">
        <v>3091</v>
      </c>
      <c r="F818" s="952">
        <f>G821</f>
        <v>94600055220</v>
      </c>
      <c r="G818" s="938">
        <v>108400840789</v>
      </c>
      <c r="H818" s="850"/>
      <c r="I818" s="850"/>
      <c r="J818" s="850"/>
      <c r="K818" s="850"/>
      <c r="L818" s="850"/>
      <c r="M818" s="850"/>
      <c r="N818" s="850"/>
      <c r="O818" s="850"/>
      <c r="P818" s="850"/>
      <c r="Q818" s="850"/>
      <c r="R818" s="850"/>
      <c r="S818" s="850"/>
      <c r="T818" s="850"/>
      <c r="U818" s="850"/>
      <c r="V818" s="850"/>
      <c r="W818" s="850"/>
      <c r="X818" s="850"/>
    </row>
    <row r="819" spans="1:24" ht="38.25">
      <c r="A819" s="850" t="s">
        <v>2585</v>
      </c>
      <c r="B819" s="850" t="s">
        <v>676</v>
      </c>
      <c r="C819" s="576" t="s">
        <v>3000</v>
      </c>
      <c r="D819" s="850"/>
      <c r="E819" s="1084" t="s">
        <v>3087</v>
      </c>
      <c r="F819" s="952"/>
      <c r="G819" s="938">
        <v>-1754073365</v>
      </c>
      <c r="H819" s="850"/>
      <c r="I819" s="850"/>
      <c r="J819" s="850"/>
      <c r="K819" s="850"/>
      <c r="L819" s="850"/>
      <c r="M819" s="850"/>
      <c r="N819" s="850"/>
      <c r="O819" s="850"/>
      <c r="P819" s="850"/>
      <c r="Q819" s="850"/>
      <c r="R819" s="850"/>
      <c r="S819" s="850"/>
      <c r="T819" s="850"/>
      <c r="U819" s="850"/>
      <c r="V819" s="850"/>
      <c r="W819" s="850"/>
      <c r="X819" s="850"/>
    </row>
    <row r="820" spans="1:24">
      <c r="A820" s="850" t="s">
        <v>2585</v>
      </c>
      <c r="B820" s="850" t="s">
        <v>676</v>
      </c>
      <c r="C820" s="576" t="s">
        <v>3000</v>
      </c>
      <c r="D820" s="850"/>
      <c r="E820" s="1084" t="s">
        <v>3092</v>
      </c>
      <c r="F820" s="952">
        <f>ROUND(-GW!M32,0)</f>
        <v>-11939179383</v>
      </c>
      <c r="G820" s="938">
        <v>-12046712204</v>
      </c>
      <c r="H820" s="850"/>
      <c r="I820" s="850"/>
      <c r="J820" s="850"/>
      <c r="K820" s="850"/>
      <c r="L820" s="850"/>
      <c r="M820" s="850"/>
      <c r="N820" s="850"/>
      <c r="O820" s="850"/>
      <c r="P820" s="850"/>
      <c r="Q820" s="850"/>
      <c r="R820" s="850"/>
      <c r="S820" s="850"/>
      <c r="T820" s="850"/>
      <c r="U820" s="850"/>
      <c r="V820" s="850"/>
      <c r="W820" s="850"/>
      <c r="X820" s="850"/>
    </row>
    <row r="821" spans="1:24" ht="26.25" thickBot="1">
      <c r="A821" s="850" t="s">
        <v>2585</v>
      </c>
      <c r="B821" s="850" t="s">
        <v>676</v>
      </c>
      <c r="C821" s="576" t="s">
        <v>3000</v>
      </c>
      <c r="D821" s="850"/>
      <c r="E821" s="563" t="s">
        <v>3093</v>
      </c>
      <c r="F821" s="1545">
        <f>SUM(F818:F820)</f>
        <v>82660875837</v>
      </c>
      <c r="G821" s="1546">
        <v>94600055220</v>
      </c>
      <c r="H821" s="850"/>
      <c r="I821" s="850"/>
      <c r="J821" s="850"/>
      <c r="K821" s="850"/>
      <c r="L821" s="850"/>
      <c r="M821" s="850"/>
      <c r="N821" s="850"/>
      <c r="O821" s="850"/>
      <c r="P821" s="850"/>
      <c r="Q821" s="850"/>
      <c r="R821" s="850"/>
      <c r="S821" s="850"/>
      <c r="T821" s="850"/>
      <c r="U821" s="850"/>
      <c r="V821" s="850"/>
      <c r="W821" s="850"/>
      <c r="X821" s="850"/>
    </row>
    <row r="822" spans="1:24" ht="13.5" thickTop="1">
      <c r="A822" s="850"/>
      <c r="B822" s="850"/>
      <c r="C822" s="850"/>
      <c r="D822" s="850"/>
      <c r="E822" s="850"/>
      <c r="F822" s="850"/>
      <c r="G822" s="850"/>
      <c r="H822" s="850"/>
      <c r="I822" s="850"/>
      <c r="J822" s="850"/>
      <c r="K822" s="850"/>
      <c r="L822" s="850"/>
      <c r="M822" s="850"/>
      <c r="N822" s="850"/>
      <c r="O822" s="850"/>
      <c r="P822" s="850"/>
      <c r="Q822" s="850"/>
      <c r="R822" s="850"/>
      <c r="S822" s="850"/>
      <c r="T822" s="850"/>
      <c r="U822" s="850"/>
      <c r="V822" s="850"/>
      <c r="W822" s="850"/>
      <c r="X822" s="850"/>
    </row>
    <row r="823" spans="1:24">
      <c r="A823" s="850"/>
      <c r="B823" s="850"/>
      <c r="C823" s="850"/>
      <c r="D823" s="850"/>
      <c r="E823" s="850"/>
      <c r="F823" s="848">
        <f>F821-'A1.BS'!R81</f>
        <v>0</v>
      </c>
      <c r="G823" s="857">
        <f>G821-'A1.BS'!V81</f>
        <v>0</v>
      </c>
      <c r="H823" s="850"/>
      <c r="I823" s="850"/>
      <c r="J823" s="850"/>
      <c r="K823" s="850"/>
      <c r="L823" s="850"/>
      <c r="M823" s="850"/>
      <c r="N823" s="850"/>
      <c r="O823" s="850"/>
      <c r="P823" s="850"/>
      <c r="Q823" s="850"/>
      <c r="R823" s="850"/>
      <c r="S823" s="850"/>
      <c r="T823" s="850"/>
      <c r="U823" s="850"/>
      <c r="V823" s="850"/>
      <c r="W823" s="850"/>
      <c r="X823" s="850"/>
    </row>
  </sheetData>
  <autoFilter ref="A5:T822" xr:uid="{023343F2-3999-4B7C-B5CE-D9EC973E92CB}"/>
  <mergeCells count="6">
    <mergeCell ref="N47:O47"/>
    <mergeCell ref="E795:E796"/>
    <mergeCell ref="N213:R213"/>
    <mergeCell ref="N253:P253"/>
    <mergeCell ref="N231:P231"/>
    <mergeCell ref="N237:P237"/>
  </mergeCells>
  <conditionalFormatting sqref="C4 C389:C404 C623:C643">
    <cfRule type="containsText" dxfId="151" priority="109" operator="containsText" text="Pending">
      <formula>NOT(ISERROR(SEARCH("Pending",C4)))</formula>
    </cfRule>
    <cfRule type="containsText" dxfId="150" priority="110" operator="containsText" text="Done">
      <formula>NOT(ISERROR(SEARCH("Done",C4)))</formula>
    </cfRule>
  </conditionalFormatting>
  <conditionalFormatting sqref="C7:C24">
    <cfRule type="containsText" dxfId="149" priority="108" operator="containsText" text="Done">
      <formula>NOT(ISERROR(SEARCH("Done",C7)))</formula>
    </cfRule>
    <cfRule type="containsText" dxfId="148" priority="107" operator="containsText" text="Pending">
      <formula>NOT(ISERROR(SEARCH("Pending",C7)))</formula>
    </cfRule>
  </conditionalFormatting>
  <conditionalFormatting sqref="C27:C41">
    <cfRule type="containsText" dxfId="147" priority="104" operator="containsText" text="Done">
      <formula>NOT(ISERROR(SEARCH("Done",C27)))</formula>
    </cfRule>
    <cfRule type="containsText" dxfId="146" priority="103" operator="containsText" text="Pending">
      <formula>NOT(ISERROR(SEARCH("Pending",C27)))</formula>
    </cfRule>
  </conditionalFormatting>
  <conditionalFormatting sqref="C45:C71">
    <cfRule type="containsText" dxfId="145" priority="52" operator="containsText" text="Done">
      <formula>NOT(ISERROR(SEARCH("Done",C45)))</formula>
    </cfRule>
    <cfRule type="containsText" dxfId="144" priority="51" operator="containsText" text="Pending">
      <formula>NOT(ISERROR(SEARCH("Pending",C45)))</formula>
    </cfRule>
  </conditionalFormatting>
  <conditionalFormatting sqref="C75:C83">
    <cfRule type="containsText" dxfId="143" priority="50" operator="containsText" text="Done">
      <formula>NOT(ISERROR(SEARCH("Done",C75)))</formula>
    </cfRule>
    <cfRule type="containsText" dxfId="142" priority="49" operator="containsText" text="Pending">
      <formula>NOT(ISERROR(SEARCH("Pending",C75)))</formula>
    </cfRule>
  </conditionalFormatting>
  <conditionalFormatting sqref="C85:C106">
    <cfRule type="containsText" dxfId="141" priority="48" operator="containsText" text="Done">
      <formula>NOT(ISERROR(SEARCH("Done",C85)))</formula>
    </cfRule>
    <cfRule type="containsText" dxfId="140" priority="47" operator="containsText" text="Pending">
      <formula>NOT(ISERROR(SEARCH("Pending",C85)))</formula>
    </cfRule>
  </conditionalFormatting>
  <conditionalFormatting sqref="C110:C126">
    <cfRule type="containsText" dxfId="139" priority="44" operator="containsText" text="Done">
      <formula>NOT(ISERROR(SEARCH("Done",C110)))</formula>
    </cfRule>
    <cfRule type="containsText" dxfId="138" priority="43" operator="containsText" text="Pending">
      <formula>NOT(ISERROR(SEARCH("Pending",C110)))</formula>
    </cfRule>
  </conditionalFormatting>
  <conditionalFormatting sqref="C128:C153">
    <cfRule type="containsText" dxfId="137" priority="45" operator="containsText" text="Pending">
      <formula>NOT(ISERROR(SEARCH("Pending",C128)))</formula>
    </cfRule>
    <cfRule type="containsText" dxfId="136" priority="46" operator="containsText" text="Done">
      <formula>NOT(ISERROR(SEARCH("Done",C128)))</formula>
    </cfRule>
  </conditionalFormatting>
  <conditionalFormatting sqref="C155:C200">
    <cfRule type="containsText" dxfId="135" priority="42" operator="containsText" text="Done">
      <formula>NOT(ISERROR(SEARCH("Done",C155)))</formula>
    </cfRule>
    <cfRule type="containsText" dxfId="134" priority="41" operator="containsText" text="Pending">
      <formula>NOT(ISERROR(SEARCH("Pending",C155)))</formula>
    </cfRule>
  </conditionalFormatting>
  <conditionalFormatting sqref="C202:C210">
    <cfRule type="containsText" dxfId="133" priority="40" operator="containsText" text="Done">
      <formula>NOT(ISERROR(SEARCH("Done",C202)))</formula>
    </cfRule>
    <cfRule type="containsText" dxfId="132" priority="39" operator="containsText" text="Pending">
      <formula>NOT(ISERROR(SEARCH("Pending",C202)))</formula>
    </cfRule>
  </conditionalFormatting>
  <conditionalFormatting sqref="C212:C235">
    <cfRule type="containsText" dxfId="131" priority="38" operator="containsText" text="Done">
      <formula>NOT(ISERROR(SEARCH("Done",C212)))</formula>
    </cfRule>
    <cfRule type="containsText" dxfId="130" priority="37" operator="containsText" text="Pending">
      <formula>NOT(ISERROR(SEARCH("Pending",C212)))</formula>
    </cfRule>
  </conditionalFormatting>
  <conditionalFormatting sqref="C237:C256">
    <cfRule type="containsText" dxfId="129" priority="35" operator="containsText" text="Pending">
      <formula>NOT(ISERROR(SEARCH("Pending",C237)))</formula>
    </cfRule>
    <cfRule type="containsText" dxfId="128" priority="36" operator="containsText" text="Done">
      <formula>NOT(ISERROR(SEARCH("Done",C237)))</formula>
    </cfRule>
  </conditionalFormatting>
  <conditionalFormatting sqref="C258:C273">
    <cfRule type="containsText" dxfId="127" priority="34" operator="containsText" text="Done">
      <formula>NOT(ISERROR(SEARCH("Done",C258)))</formula>
    </cfRule>
    <cfRule type="containsText" dxfId="126" priority="33" operator="containsText" text="Pending">
      <formula>NOT(ISERROR(SEARCH("Pending",C258)))</formula>
    </cfRule>
  </conditionalFormatting>
  <conditionalFormatting sqref="C275:C292">
    <cfRule type="containsText" dxfId="125" priority="31" operator="containsText" text="Pending">
      <formula>NOT(ISERROR(SEARCH("Pending",C275)))</formula>
    </cfRule>
    <cfRule type="containsText" dxfId="124" priority="32" operator="containsText" text="Done">
      <formula>NOT(ISERROR(SEARCH("Done",C275)))</formula>
    </cfRule>
  </conditionalFormatting>
  <conditionalFormatting sqref="C294:C309">
    <cfRule type="containsText" dxfId="123" priority="30" operator="containsText" text="Done">
      <formula>NOT(ISERROR(SEARCH("Done",C294)))</formula>
    </cfRule>
    <cfRule type="containsText" dxfId="122" priority="29" operator="containsText" text="Pending">
      <formula>NOT(ISERROR(SEARCH("Pending",C294)))</formula>
    </cfRule>
  </conditionalFormatting>
  <conditionalFormatting sqref="C311:C332">
    <cfRule type="containsText" dxfId="121" priority="28" operator="containsText" text="Done">
      <formula>NOT(ISERROR(SEARCH("Done",C311)))</formula>
    </cfRule>
    <cfRule type="containsText" dxfId="120" priority="27" operator="containsText" text="Pending">
      <formula>NOT(ISERROR(SEARCH("Pending",C311)))</formula>
    </cfRule>
  </conditionalFormatting>
  <conditionalFormatting sqref="C334:C350">
    <cfRule type="containsText" dxfId="119" priority="86" operator="containsText" text="Done">
      <formula>NOT(ISERROR(SEARCH("Done",C334)))</formula>
    </cfRule>
    <cfRule type="containsText" dxfId="118" priority="85" operator="containsText" text="Pending">
      <formula>NOT(ISERROR(SEARCH("Pending",C334)))</formula>
    </cfRule>
  </conditionalFormatting>
  <conditionalFormatting sqref="C352:C361">
    <cfRule type="containsText" dxfId="117" priority="25" operator="containsText" text="Pending">
      <formula>NOT(ISERROR(SEARCH("Pending",C352)))</formula>
    </cfRule>
    <cfRule type="containsText" dxfId="116" priority="26" operator="containsText" text="Done">
      <formula>NOT(ISERROR(SEARCH("Done",C352)))</formula>
    </cfRule>
  </conditionalFormatting>
  <conditionalFormatting sqref="C367:C387 C406:C422">
    <cfRule type="containsText" dxfId="115" priority="81" operator="containsText" text="Pending">
      <formula>NOT(ISERROR(SEARCH("Pending",C367)))</formula>
    </cfRule>
    <cfRule type="containsText" dxfId="114" priority="82" operator="containsText" text="Done">
      <formula>NOT(ISERROR(SEARCH("Done",C367)))</formula>
    </cfRule>
  </conditionalFormatting>
  <conditionalFormatting sqref="C424:C459">
    <cfRule type="containsText" dxfId="113" priority="77" operator="containsText" text="Pending">
      <formula>NOT(ISERROR(SEARCH("Pending",C424)))</formula>
    </cfRule>
    <cfRule type="containsText" dxfId="112" priority="78" operator="containsText" text="Done">
      <formula>NOT(ISERROR(SEARCH("Done",C424)))</formula>
    </cfRule>
  </conditionalFormatting>
  <conditionalFormatting sqref="C463:C485">
    <cfRule type="containsText" dxfId="111" priority="24" operator="containsText" text="Done">
      <formula>NOT(ISERROR(SEARCH("Done",C463)))</formula>
    </cfRule>
    <cfRule type="containsText" dxfId="110" priority="23" operator="containsText" text="Pending">
      <formula>NOT(ISERROR(SEARCH("Pending",C463)))</formula>
    </cfRule>
  </conditionalFormatting>
  <conditionalFormatting sqref="C487:C499">
    <cfRule type="containsText" dxfId="109" priority="22" operator="containsText" text="Done">
      <formula>NOT(ISERROR(SEARCH("Done",C487)))</formula>
    </cfRule>
    <cfRule type="containsText" dxfId="108" priority="21" operator="containsText" text="Pending">
      <formula>NOT(ISERROR(SEARCH("Pending",C487)))</formula>
    </cfRule>
  </conditionalFormatting>
  <conditionalFormatting sqref="C501:C536">
    <cfRule type="containsText" dxfId="107" priority="20" operator="containsText" text="Done">
      <formula>NOT(ISERROR(SEARCH("Done",C501)))</formula>
    </cfRule>
    <cfRule type="containsText" dxfId="106" priority="19" operator="containsText" text="Pending">
      <formula>NOT(ISERROR(SEARCH("Pending",C501)))</formula>
    </cfRule>
  </conditionalFormatting>
  <conditionalFormatting sqref="C538:C550">
    <cfRule type="containsText" dxfId="105" priority="18" operator="containsText" text="Done">
      <formula>NOT(ISERROR(SEARCH("Done",C538)))</formula>
    </cfRule>
    <cfRule type="containsText" dxfId="104" priority="17" operator="containsText" text="Pending">
      <formula>NOT(ISERROR(SEARCH("Pending",C538)))</formula>
    </cfRule>
  </conditionalFormatting>
  <conditionalFormatting sqref="C552:C571">
    <cfRule type="containsText" dxfId="103" priority="16" operator="containsText" text="Done">
      <formula>NOT(ISERROR(SEARCH("Done",C552)))</formula>
    </cfRule>
    <cfRule type="containsText" dxfId="102" priority="15" operator="containsText" text="Pending">
      <formula>NOT(ISERROR(SEARCH("Pending",C552)))</formula>
    </cfRule>
  </conditionalFormatting>
  <conditionalFormatting sqref="C573:C586">
    <cfRule type="containsText" dxfId="101" priority="14" operator="containsText" text="Done">
      <formula>NOT(ISERROR(SEARCH("Done",C573)))</formula>
    </cfRule>
    <cfRule type="containsText" dxfId="100" priority="13" operator="containsText" text="Pending">
      <formula>NOT(ISERROR(SEARCH("Pending",C573)))</formula>
    </cfRule>
  </conditionalFormatting>
  <conditionalFormatting sqref="C588:C607">
    <cfRule type="containsText" dxfId="99" priority="11" operator="containsText" text="Pending">
      <formula>NOT(ISERROR(SEARCH("Pending",C588)))</formula>
    </cfRule>
    <cfRule type="containsText" dxfId="98" priority="12" operator="containsText" text="Done">
      <formula>NOT(ISERROR(SEARCH("Done",C588)))</formula>
    </cfRule>
  </conditionalFormatting>
  <conditionalFormatting sqref="C609:C619">
    <cfRule type="containsText" dxfId="97" priority="10" operator="containsText" text="Done">
      <formula>NOT(ISERROR(SEARCH("Done",C609)))</formula>
    </cfRule>
    <cfRule type="containsText" dxfId="96" priority="9" operator="containsText" text="Pending">
      <formula>NOT(ISERROR(SEARCH("Pending",C609)))</formula>
    </cfRule>
  </conditionalFormatting>
  <conditionalFormatting sqref="C645:C704">
    <cfRule type="containsText" dxfId="95" priority="4" operator="containsText" text="Done">
      <formula>NOT(ISERROR(SEARCH("Done",C645)))</formula>
    </cfRule>
    <cfRule type="containsText" dxfId="94" priority="3" operator="containsText" text="Pending">
      <formula>NOT(ISERROR(SEARCH("Pending",C645)))</formula>
    </cfRule>
  </conditionalFormatting>
  <conditionalFormatting sqref="C706:C780">
    <cfRule type="containsText" dxfId="93" priority="2" operator="containsText" text="Done">
      <formula>NOT(ISERROR(SEARCH("Done",C706)))</formula>
    </cfRule>
    <cfRule type="containsText" dxfId="92" priority="1" operator="containsText" text="Pending">
      <formula>NOT(ISERROR(SEARCH("Pending",C706)))</formula>
    </cfRule>
  </conditionalFormatting>
  <conditionalFormatting sqref="C783:C789 C791:C800 C802:C810 C812:C821">
    <cfRule type="containsText" dxfId="91" priority="53" operator="containsText" text="Pending">
      <formula>NOT(ISERROR(SEARCH("Pending",C783)))</formula>
    </cfRule>
    <cfRule type="containsText" dxfId="90" priority="54" operator="containsText" text="Done">
      <formula>NOT(ISERROR(SEARCH("Done",C783)))</formula>
    </cfRule>
  </conditionalFormatting>
  <conditionalFormatting sqref="F420:J421 F435 F618:G618">
    <cfRule type="cellIs" dxfId="89" priority="111" operator="notEqual">
      <formula>0</formula>
    </cfRule>
  </conditionalFormatting>
  <dataValidations count="1">
    <dataValidation type="list" allowBlank="1" showInputMessage="1" showErrorMessage="1" sqref="C4 C812:C821 C7:C24 C27:C41 C45:C71 C75:C83 C128:C153 C110:C126 C85:C106 C783:C789 C155:C200 C334:C350 C212:C235 C237:C256 C258:C273 C275:C292 C311:C332 C294:C309 C706:C780 C791:C800 C623:C643 C802:C810 C352:C361 C424:C459 C463:C485 C487:C499 C501:C536 C202:C210 C538:C550 C552:C571 C573:C586 C588:C607 C609:C619 C367:C387 C645:C704 C406:C422 C389:C404" xr:uid="{6E18B7DD-6850-465D-B3C2-66C48AA8099D}">
      <formula1>"Done, Pending"</formula1>
    </dataValidation>
  </dataValidations>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15845-FB4D-4523-914D-53B6217281EC}">
  <sheetPr codeName="Sheet6">
    <tabColor rgb="FF002060"/>
  </sheetPr>
  <dimension ref="A1:U727"/>
  <sheetViews>
    <sheetView topLeftCell="A35" zoomScale="63" zoomScaleNormal="55" workbookViewId="0">
      <selection activeCell="H61" sqref="H61"/>
    </sheetView>
  </sheetViews>
  <sheetFormatPr defaultColWidth="9.140625" defaultRowHeight="12.75"/>
  <cols>
    <col min="1" max="1" width="13.140625" style="2" bestFit="1" customWidth="1"/>
    <col min="2" max="2" width="11.85546875" style="2" bestFit="1" customWidth="1"/>
    <col min="3" max="3" width="11.85546875" style="2" customWidth="1"/>
    <col min="4" max="4" width="9.140625" style="2"/>
    <col min="5" max="5" width="41.140625" style="2" customWidth="1"/>
    <col min="6" max="6" width="25.85546875" style="2" customWidth="1"/>
    <col min="7" max="7" width="40" style="2" bestFit="1" customWidth="1"/>
    <col min="8" max="8" width="22.85546875" style="2" bestFit="1" customWidth="1"/>
    <col min="9" max="9" width="25" style="2" customWidth="1"/>
    <col min="10" max="10" width="21.42578125" style="2" bestFit="1" customWidth="1"/>
    <col min="11" max="11" width="23.85546875" style="2" bestFit="1" customWidth="1"/>
    <col min="12" max="12" width="53.140625" style="2" bestFit="1" customWidth="1"/>
    <col min="13" max="14" width="20.85546875" style="2" bestFit="1" customWidth="1"/>
    <col min="15" max="15" width="18.140625" style="2" bestFit="1" customWidth="1"/>
    <col min="16" max="17" width="20.85546875" style="2" bestFit="1" customWidth="1"/>
    <col min="18" max="18" width="9.140625" style="2"/>
    <col min="19" max="19" width="13.85546875" style="2" bestFit="1" customWidth="1"/>
    <col min="20" max="21" width="16" style="2" bestFit="1" customWidth="1"/>
    <col min="22" max="16384" width="9.140625" style="2"/>
  </cols>
  <sheetData>
    <row r="1" spans="1:19">
      <c r="A1" s="1" t="s">
        <v>0</v>
      </c>
      <c r="B1" s="850" t="s">
        <v>1</v>
      </c>
      <c r="C1" s="850"/>
      <c r="D1" s="850"/>
      <c r="E1" s="850"/>
      <c r="F1" s="850"/>
      <c r="G1" s="850"/>
      <c r="H1" s="850"/>
      <c r="I1" s="850"/>
      <c r="J1" s="850"/>
      <c r="K1" s="850"/>
      <c r="L1" s="850"/>
      <c r="M1" s="850"/>
      <c r="N1" s="850"/>
      <c r="O1" s="850"/>
      <c r="P1" s="850"/>
      <c r="Q1" s="850"/>
      <c r="R1" s="850"/>
      <c r="S1" s="850"/>
    </row>
    <row r="2" spans="1:19">
      <c r="A2" s="1" t="s">
        <v>2</v>
      </c>
      <c r="B2" s="852">
        <v>45657</v>
      </c>
      <c r="C2" s="852"/>
      <c r="D2" s="850"/>
      <c r="E2" s="850"/>
      <c r="F2" s="850"/>
      <c r="G2" s="850"/>
      <c r="H2" s="850"/>
      <c r="I2" s="850"/>
      <c r="J2" s="850"/>
      <c r="K2" s="850"/>
      <c r="L2" s="850"/>
      <c r="M2" s="850"/>
      <c r="N2" s="850"/>
      <c r="O2" s="850"/>
      <c r="P2" s="850"/>
      <c r="Q2" s="850"/>
      <c r="R2" s="850"/>
      <c r="S2" s="850"/>
    </row>
    <row r="3" spans="1:19">
      <c r="A3" s="3" t="s">
        <v>3094</v>
      </c>
      <c r="B3" s="850"/>
      <c r="C3" s="850"/>
      <c r="D3" s="850"/>
      <c r="E3" s="850"/>
      <c r="F3" s="850"/>
      <c r="G3" s="850"/>
      <c r="H3" s="850"/>
      <c r="I3" s="850"/>
      <c r="J3" s="850"/>
      <c r="K3" s="850"/>
      <c r="L3" s="850"/>
      <c r="M3" s="850"/>
      <c r="N3" s="850"/>
      <c r="O3" s="850"/>
      <c r="P3" s="850"/>
      <c r="Q3" s="850"/>
      <c r="R3" s="850"/>
      <c r="S3" s="850"/>
    </row>
    <row r="4" spans="1:19">
      <c r="A4" s="850"/>
      <c r="B4" s="850"/>
      <c r="C4" s="576"/>
      <c r="D4" s="850"/>
      <c r="E4" s="850"/>
      <c r="F4" s="850"/>
      <c r="G4" s="850"/>
      <c r="H4" s="850"/>
      <c r="I4" s="850"/>
      <c r="J4" s="850"/>
      <c r="K4" s="850"/>
      <c r="L4" s="850"/>
      <c r="M4" s="850"/>
      <c r="N4" s="850"/>
      <c r="O4" s="850"/>
      <c r="P4" s="850"/>
      <c r="Q4" s="850"/>
      <c r="R4" s="850"/>
      <c r="S4" s="850"/>
    </row>
    <row r="5" spans="1:19">
      <c r="A5" s="171" t="s">
        <v>2580</v>
      </c>
      <c r="B5" s="171" t="s">
        <v>2581</v>
      </c>
      <c r="C5" s="171" t="s">
        <v>2582</v>
      </c>
      <c r="D5" s="171" t="s">
        <v>2583</v>
      </c>
      <c r="E5" s="171" t="s">
        <v>777</v>
      </c>
      <c r="F5" s="850"/>
      <c r="G5" s="850"/>
      <c r="H5" s="850"/>
      <c r="I5" s="850"/>
      <c r="J5" s="850"/>
      <c r="K5" s="850"/>
      <c r="L5" s="850"/>
      <c r="M5" s="850"/>
      <c r="N5" s="850"/>
      <c r="O5" s="850"/>
      <c r="P5" s="850"/>
      <c r="Q5" s="850"/>
      <c r="R5" s="850"/>
      <c r="S5" s="850"/>
    </row>
    <row r="6" spans="1:19">
      <c r="A6" s="172"/>
      <c r="B6" s="172" t="s">
        <v>676</v>
      </c>
      <c r="C6" s="172" t="s">
        <v>681</v>
      </c>
      <c r="D6" s="172"/>
      <c r="E6" s="172" t="s">
        <v>2584</v>
      </c>
      <c r="F6" s="172"/>
      <c r="G6" s="172"/>
      <c r="H6" s="172"/>
      <c r="I6" s="172"/>
      <c r="J6" s="172"/>
      <c r="K6" s="172"/>
      <c r="L6" s="172"/>
      <c r="M6" s="172"/>
      <c r="N6" s="172"/>
      <c r="O6" s="172"/>
      <c r="P6" s="172"/>
      <c r="Q6" s="172"/>
      <c r="R6" s="172"/>
      <c r="S6" s="172"/>
    </row>
    <row r="7" spans="1:19">
      <c r="A7" s="850" t="s">
        <v>2585</v>
      </c>
      <c r="B7" s="850" t="s">
        <v>676</v>
      </c>
      <c r="C7" s="576" t="s">
        <v>2586</v>
      </c>
      <c r="D7" s="850"/>
      <c r="E7" s="850"/>
      <c r="F7" s="850"/>
      <c r="G7" s="850"/>
      <c r="H7" s="850"/>
      <c r="I7" s="850"/>
      <c r="J7" s="850"/>
      <c r="K7" s="850"/>
      <c r="L7" s="850"/>
      <c r="M7" s="850"/>
      <c r="N7" s="850"/>
      <c r="O7" s="850"/>
      <c r="P7" s="850"/>
      <c r="Q7" s="850"/>
      <c r="R7" s="850"/>
      <c r="S7" s="850"/>
    </row>
    <row r="8" spans="1:19" ht="25.5">
      <c r="A8" s="850" t="s">
        <v>2585</v>
      </c>
      <c r="B8" s="850" t="s">
        <v>676</v>
      </c>
      <c r="C8" s="576" t="s">
        <v>2586</v>
      </c>
      <c r="D8" s="850"/>
      <c r="E8" s="850"/>
      <c r="F8" s="173" t="s">
        <v>2587</v>
      </c>
      <c r="G8" s="174" t="s">
        <v>2588</v>
      </c>
      <c r="H8" s="850"/>
      <c r="I8" s="850"/>
      <c r="J8" s="850"/>
      <c r="K8" s="850"/>
      <c r="L8" s="850"/>
      <c r="M8" s="850"/>
      <c r="N8" s="850"/>
      <c r="O8" s="850"/>
      <c r="P8" s="850"/>
      <c r="Q8" s="850"/>
      <c r="R8" s="850"/>
      <c r="S8" s="850"/>
    </row>
    <row r="9" spans="1:19">
      <c r="A9" s="850" t="s">
        <v>2585</v>
      </c>
      <c r="B9" s="850" t="s">
        <v>676</v>
      </c>
      <c r="C9" s="576" t="s">
        <v>2586</v>
      </c>
      <c r="D9" s="850"/>
      <c r="E9" s="850" t="s">
        <v>2589</v>
      </c>
      <c r="F9" s="988">
        <f>G447</f>
        <v>0.52173091858794096</v>
      </c>
      <c r="G9" s="989">
        <v>0.52170000000000005</v>
      </c>
      <c r="H9" s="850"/>
      <c r="I9" s="850"/>
      <c r="J9" s="850"/>
      <c r="K9" s="850"/>
      <c r="L9" s="850"/>
      <c r="M9" s="850"/>
      <c r="N9" s="850"/>
      <c r="O9" s="850"/>
      <c r="P9" s="850"/>
      <c r="Q9" s="850"/>
      <c r="R9" s="850"/>
      <c r="S9" s="850"/>
    </row>
    <row r="10" spans="1:19">
      <c r="A10" s="850" t="s">
        <v>2585</v>
      </c>
      <c r="B10" s="850" t="s">
        <v>676</v>
      </c>
      <c r="C10" s="576" t="s">
        <v>2586</v>
      </c>
      <c r="D10" s="850"/>
      <c r="E10" s="850" t="s">
        <v>2590</v>
      </c>
      <c r="F10" s="988">
        <f>G448</f>
        <v>0.47826908141205904</v>
      </c>
      <c r="G10" s="989">
        <v>0.4783</v>
      </c>
      <c r="H10" s="850"/>
      <c r="I10" s="850"/>
      <c r="J10" s="850"/>
      <c r="K10" s="850"/>
      <c r="L10" s="850"/>
      <c r="M10" s="850"/>
      <c r="N10" s="850"/>
      <c r="O10" s="850"/>
      <c r="P10" s="850"/>
      <c r="Q10" s="850"/>
      <c r="R10" s="850"/>
      <c r="S10" s="850"/>
    </row>
    <row r="11" spans="1:19">
      <c r="A11" s="850" t="s">
        <v>2585</v>
      </c>
      <c r="B11" s="850" t="s">
        <v>676</v>
      </c>
      <c r="C11" s="576" t="s">
        <v>2586</v>
      </c>
      <c r="D11" s="850"/>
      <c r="E11" s="850"/>
      <c r="F11" s="850"/>
      <c r="G11" s="850"/>
      <c r="H11" s="850"/>
      <c r="I11" s="850"/>
      <c r="J11" s="850"/>
      <c r="K11" s="850"/>
      <c r="L11" s="850"/>
      <c r="M11" s="850"/>
      <c r="N11" s="850"/>
      <c r="O11" s="850"/>
      <c r="P11" s="850"/>
      <c r="Q11" s="850"/>
      <c r="R11" s="850"/>
      <c r="S11" s="850"/>
    </row>
    <row r="12" spans="1:19" ht="25.5">
      <c r="A12" s="850" t="s">
        <v>2585</v>
      </c>
      <c r="B12" s="850" t="s">
        <v>676</v>
      </c>
      <c r="C12" s="576" t="s">
        <v>2586</v>
      </c>
      <c r="D12" s="850"/>
      <c r="E12" s="850"/>
      <c r="F12" s="173" t="s">
        <v>2587</v>
      </c>
      <c r="G12" s="174" t="s">
        <v>2588</v>
      </c>
      <c r="H12" s="850"/>
      <c r="I12" s="850"/>
      <c r="J12" s="850"/>
      <c r="K12" s="850"/>
      <c r="L12" s="850"/>
      <c r="M12" s="850"/>
      <c r="N12" s="850"/>
      <c r="O12" s="850"/>
      <c r="P12" s="850"/>
      <c r="Q12" s="850"/>
      <c r="R12" s="850"/>
      <c r="S12" s="850"/>
    </row>
    <row r="13" spans="1:19">
      <c r="A13" s="850" t="s">
        <v>2585</v>
      </c>
      <c r="B13" s="850" t="s">
        <v>676</v>
      </c>
      <c r="C13" s="576" t="s">
        <v>2586</v>
      </c>
      <c r="D13" s="850"/>
      <c r="E13" s="850" t="s">
        <v>2591</v>
      </c>
      <c r="F13" s="990">
        <v>200000000</v>
      </c>
      <c r="G13" s="991">
        <v>200000000</v>
      </c>
      <c r="H13" s="850"/>
      <c r="I13" s="850"/>
      <c r="J13" s="850"/>
      <c r="K13" s="850"/>
      <c r="L13" s="850"/>
      <c r="M13" s="850"/>
      <c r="N13" s="850"/>
      <c r="O13" s="850"/>
      <c r="P13" s="850"/>
      <c r="Q13" s="850"/>
      <c r="R13" s="850"/>
      <c r="S13" s="850"/>
    </row>
    <row r="14" spans="1:19">
      <c r="A14" s="850" t="s">
        <v>2585</v>
      </c>
      <c r="B14" s="850" t="s">
        <v>676</v>
      </c>
      <c r="C14" s="576" t="s">
        <v>2586</v>
      </c>
      <c r="D14" s="850"/>
      <c r="E14" s="850" t="s">
        <v>2592</v>
      </c>
      <c r="F14" s="990">
        <f>'A1.BS'!G121</f>
        <v>134641110000</v>
      </c>
      <c r="G14" s="847">
        <f>'A1.BS'!L121</f>
        <v>134641110000</v>
      </c>
      <c r="H14" s="850"/>
      <c r="I14" s="850"/>
      <c r="J14" s="850"/>
      <c r="K14" s="850"/>
      <c r="L14" s="850"/>
      <c r="M14" s="850"/>
      <c r="N14" s="850"/>
      <c r="O14" s="850"/>
      <c r="P14" s="850"/>
      <c r="Q14" s="850"/>
      <c r="R14" s="850"/>
      <c r="S14" s="850"/>
    </row>
    <row r="15" spans="1:19">
      <c r="A15" s="850" t="s">
        <v>2585</v>
      </c>
      <c r="B15" s="850" t="s">
        <v>676</v>
      </c>
      <c r="C15" s="576" t="s">
        <v>2586</v>
      </c>
      <c r="D15" s="850"/>
      <c r="E15" s="850" t="s">
        <v>2593</v>
      </c>
      <c r="F15" s="992">
        <v>38</v>
      </c>
      <c r="G15" s="993">
        <v>112</v>
      </c>
      <c r="H15" s="850"/>
      <c r="I15" s="850"/>
      <c r="J15" s="850"/>
      <c r="K15" s="850"/>
      <c r="L15" s="850"/>
      <c r="M15" s="850"/>
      <c r="N15" s="850"/>
      <c r="O15" s="850"/>
      <c r="P15" s="850"/>
      <c r="Q15" s="850"/>
      <c r="R15" s="850"/>
      <c r="S15" s="850"/>
    </row>
    <row r="16" spans="1:19">
      <c r="A16" s="850" t="s">
        <v>2585</v>
      </c>
      <c r="B16" s="850" t="s">
        <v>676</v>
      </c>
      <c r="C16" s="576" t="s">
        <v>2586</v>
      </c>
      <c r="D16" s="850"/>
      <c r="E16" s="850"/>
      <c r="F16" s="850"/>
      <c r="G16" s="850"/>
      <c r="H16" s="850"/>
      <c r="I16" s="850"/>
      <c r="J16" s="850"/>
      <c r="K16" s="850"/>
      <c r="L16" s="850"/>
      <c r="M16" s="850"/>
      <c r="N16" s="850"/>
      <c r="O16" s="850"/>
      <c r="P16" s="850"/>
      <c r="Q16" s="850"/>
      <c r="R16" s="850"/>
      <c r="S16" s="850"/>
    </row>
    <row r="17" spans="1:19" ht="25.5">
      <c r="A17" s="850" t="s">
        <v>2585</v>
      </c>
      <c r="B17" s="850" t="s">
        <v>676</v>
      </c>
      <c r="C17" s="576" t="s">
        <v>2586</v>
      </c>
      <c r="D17" s="850"/>
      <c r="E17" s="850"/>
      <c r="F17" s="173" t="s">
        <v>2587</v>
      </c>
      <c r="G17" s="173" t="s">
        <v>2594</v>
      </c>
      <c r="H17" s="174" t="s">
        <v>2588</v>
      </c>
      <c r="I17" s="188" t="s">
        <v>2594</v>
      </c>
      <c r="J17" s="850"/>
      <c r="K17" s="850"/>
      <c r="L17" s="850"/>
      <c r="M17" s="850"/>
      <c r="N17" s="850"/>
      <c r="O17" s="850"/>
      <c r="P17" s="850"/>
      <c r="Q17" s="850"/>
      <c r="R17" s="850"/>
      <c r="S17" s="850"/>
    </row>
    <row r="18" spans="1:19">
      <c r="A18" s="850" t="s">
        <v>2585</v>
      </c>
      <c r="B18" s="850" t="s">
        <v>676</v>
      </c>
      <c r="C18" s="576" t="s">
        <v>2586</v>
      </c>
      <c r="D18" s="850"/>
      <c r="E18" s="1" t="s">
        <v>2595</v>
      </c>
      <c r="F18" s="992"/>
      <c r="G18" s="992"/>
      <c r="H18" s="993"/>
      <c r="I18" s="993"/>
      <c r="J18" s="850"/>
      <c r="K18" s="850"/>
      <c r="L18" s="850"/>
      <c r="M18" s="850"/>
      <c r="N18" s="850"/>
      <c r="O18" s="850"/>
      <c r="P18" s="850"/>
      <c r="Q18" s="850"/>
      <c r="R18" s="850"/>
      <c r="S18" s="850"/>
    </row>
    <row r="19" spans="1:19">
      <c r="A19" s="850" t="s">
        <v>2585</v>
      </c>
      <c r="B19" s="850" t="s">
        <v>676</v>
      </c>
      <c r="C19" s="576" t="s">
        <v>2586</v>
      </c>
      <c r="D19" s="850"/>
      <c r="E19" s="850" t="s">
        <v>2596</v>
      </c>
      <c r="F19" s="994">
        <v>440000000000</v>
      </c>
      <c r="G19" s="988">
        <v>1</v>
      </c>
      <c r="H19" s="847">
        <v>440000000000</v>
      </c>
      <c r="I19" s="995">
        <v>1</v>
      </c>
      <c r="J19" s="850"/>
      <c r="K19" s="850"/>
      <c r="L19" s="850"/>
      <c r="M19" s="850"/>
      <c r="N19" s="850"/>
      <c r="O19" s="850"/>
      <c r="P19" s="850"/>
      <c r="Q19" s="850"/>
      <c r="R19" s="850"/>
      <c r="S19" s="850"/>
    </row>
    <row r="20" spans="1:19">
      <c r="A20" s="850" t="s">
        <v>2585</v>
      </c>
      <c r="B20" s="850" t="s">
        <v>676</v>
      </c>
      <c r="C20" s="576" t="s">
        <v>2586</v>
      </c>
      <c r="D20" s="850"/>
      <c r="E20" s="850" t="s">
        <v>2597</v>
      </c>
      <c r="F20" s="994">
        <v>20000000</v>
      </c>
      <c r="G20" s="988">
        <f>Group!E111+Group!E110</f>
        <v>0.75</v>
      </c>
      <c r="H20" s="847">
        <v>20000000</v>
      </c>
      <c r="I20" s="995">
        <v>0.75</v>
      </c>
      <c r="J20" s="850"/>
      <c r="K20" s="850"/>
      <c r="L20" s="850"/>
      <c r="M20" s="850"/>
      <c r="N20" s="850"/>
      <c r="O20" s="850"/>
      <c r="P20" s="850"/>
      <c r="Q20" s="850"/>
      <c r="R20" s="850"/>
      <c r="S20" s="850"/>
    </row>
    <row r="21" spans="1:19">
      <c r="A21" s="850" t="s">
        <v>2585</v>
      </c>
      <c r="B21" s="850" t="s">
        <v>676</v>
      </c>
      <c r="C21" s="576" t="s">
        <v>2586</v>
      </c>
      <c r="D21" s="850"/>
      <c r="E21" s="1" t="s">
        <v>2598</v>
      </c>
      <c r="F21" s="992"/>
      <c r="G21" s="992"/>
      <c r="H21" s="993"/>
      <c r="I21" s="993"/>
      <c r="J21" s="850"/>
      <c r="K21" s="850"/>
      <c r="L21" s="850"/>
      <c r="M21" s="850"/>
      <c r="N21" s="850"/>
      <c r="O21" s="850"/>
      <c r="P21" s="850"/>
      <c r="Q21" s="850"/>
      <c r="R21" s="850"/>
      <c r="S21" s="850"/>
    </row>
    <row r="22" spans="1:19">
      <c r="A22" s="850" t="s">
        <v>2585</v>
      </c>
      <c r="B22" s="850" t="s">
        <v>676</v>
      </c>
      <c r="C22" s="576" t="s">
        <v>2586</v>
      </c>
      <c r="D22" s="850"/>
      <c r="E22" s="850" t="s">
        <v>2599</v>
      </c>
      <c r="F22" s="990">
        <f>Group!X18</f>
        <v>558599980000</v>
      </c>
      <c r="G22" s="988">
        <f>Group!Y16</f>
        <v>0.9949409235567821</v>
      </c>
      <c r="H22" s="847">
        <v>553473980000</v>
      </c>
      <c r="I22" s="995">
        <v>0.99080000000000001</v>
      </c>
      <c r="J22" s="850"/>
      <c r="K22" s="850"/>
      <c r="L22" s="850"/>
      <c r="M22" s="850"/>
      <c r="N22" s="850"/>
      <c r="O22" s="850"/>
      <c r="P22" s="850"/>
      <c r="Q22" s="850"/>
      <c r="R22" s="850"/>
      <c r="S22" s="850"/>
    </row>
    <row r="23" spans="1:19">
      <c r="A23" s="850" t="s">
        <v>2585</v>
      </c>
      <c r="B23" s="850" t="s">
        <v>676</v>
      </c>
      <c r="C23" s="576" t="s">
        <v>2586</v>
      </c>
      <c r="D23" s="850"/>
      <c r="E23" s="850" t="s">
        <v>2600</v>
      </c>
      <c r="F23" s="990">
        <f>Group!BN53</f>
        <v>4898000000</v>
      </c>
      <c r="G23" s="988">
        <f>Group!BO53</f>
        <v>0.99959183669999996</v>
      </c>
      <c r="H23" s="847">
        <f>Group!BD53</f>
        <v>2498000000</v>
      </c>
      <c r="I23" s="995">
        <f>Group!BE53</f>
        <v>0.99919999999999998</v>
      </c>
      <c r="J23" s="850"/>
      <c r="K23" s="850"/>
      <c r="L23" s="850"/>
      <c r="M23" s="850"/>
      <c r="N23" s="850"/>
      <c r="O23" s="850"/>
      <c r="P23" s="850"/>
      <c r="Q23" s="850"/>
      <c r="R23" s="850"/>
      <c r="S23" s="850"/>
    </row>
    <row r="24" spans="1:19">
      <c r="A24" s="850" t="s">
        <v>2585</v>
      </c>
      <c r="B24" s="850" t="s">
        <v>676</v>
      </c>
      <c r="C24" s="576" t="s">
        <v>2586</v>
      </c>
      <c r="D24" s="850"/>
      <c r="E24" s="850"/>
      <c r="F24" s="850"/>
      <c r="G24" s="850"/>
      <c r="H24" s="850"/>
      <c r="I24" s="850"/>
      <c r="J24" s="850"/>
      <c r="K24" s="850"/>
      <c r="L24" s="850"/>
      <c r="M24" s="850"/>
      <c r="N24" s="850"/>
      <c r="O24" s="850"/>
      <c r="P24" s="850"/>
      <c r="Q24" s="850"/>
      <c r="R24" s="850"/>
      <c r="S24" s="850"/>
    </row>
    <row r="25" spans="1:19">
      <c r="A25" s="172"/>
      <c r="B25" s="172" t="s">
        <v>2188</v>
      </c>
      <c r="C25" s="172" t="s">
        <v>681</v>
      </c>
      <c r="D25" s="172"/>
      <c r="E25" s="172" t="s">
        <v>2601</v>
      </c>
      <c r="F25" s="172"/>
      <c r="G25" s="172"/>
      <c r="H25" s="172"/>
      <c r="I25" s="172"/>
      <c r="J25" s="172"/>
      <c r="K25" s="172"/>
      <c r="L25" s="172"/>
      <c r="M25" s="172"/>
      <c r="N25" s="172"/>
      <c r="O25" s="172"/>
      <c r="P25" s="172"/>
      <c r="Q25" s="172"/>
      <c r="R25" s="172"/>
      <c r="S25" s="172"/>
    </row>
    <row r="26" spans="1:19">
      <c r="A26" s="850" t="s">
        <v>2602</v>
      </c>
      <c r="B26" s="850" t="s">
        <v>2188</v>
      </c>
      <c r="C26" s="576" t="s">
        <v>2586</v>
      </c>
      <c r="D26" s="850"/>
      <c r="E26" s="850"/>
      <c r="F26" s="850"/>
      <c r="G26" s="850"/>
      <c r="H26" s="850"/>
      <c r="I26" s="850"/>
      <c r="J26" s="850"/>
      <c r="K26" s="850"/>
      <c r="L26" s="850"/>
      <c r="M26" s="850"/>
      <c r="N26" s="850"/>
      <c r="O26" s="850"/>
      <c r="P26" s="850"/>
      <c r="Q26" s="850"/>
      <c r="R26" s="850"/>
      <c r="S26" s="850"/>
    </row>
    <row r="27" spans="1:19">
      <c r="A27" s="850" t="s">
        <v>2602</v>
      </c>
      <c r="B27" s="850" t="s">
        <v>2188</v>
      </c>
      <c r="C27" s="576" t="s">
        <v>2586</v>
      </c>
      <c r="D27" s="850"/>
      <c r="E27" s="850"/>
      <c r="F27" s="850"/>
      <c r="G27" s="850"/>
      <c r="H27" s="850"/>
      <c r="I27" s="850"/>
      <c r="J27" s="850"/>
      <c r="K27" s="850"/>
      <c r="L27" s="850"/>
      <c r="M27" s="850"/>
      <c r="N27" s="850"/>
      <c r="O27" s="850"/>
      <c r="P27" s="850"/>
      <c r="Q27" s="850"/>
      <c r="R27" s="850"/>
      <c r="S27" s="850"/>
    </row>
    <row r="28" spans="1:19" ht="25.5">
      <c r="A28" s="850" t="s">
        <v>2602</v>
      </c>
      <c r="B28" s="850" t="s">
        <v>2188</v>
      </c>
      <c r="C28" s="576" t="s">
        <v>2586</v>
      </c>
      <c r="D28" s="850"/>
      <c r="E28" s="850"/>
      <c r="F28" s="173" t="s">
        <v>2587</v>
      </c>
      <c r="G28" s="174" t="s">
        <v>2588</v>
      </c>
      <c r="H28" s="850"/>
      <c r="I28" s="850"/>
      <c r="J28" s="850"/>
      <c r="K28" s="850"/>
      <c r="L28" s="850"/>
      <c r="M28" s="850"/>
      <c r="N28" s="850"/>
      <c r="O28" s="850"/>
      <c r="P28" s="850"/>
      <c r="Q28" s="850"/>
      <c r="R28" s="850"/>
      <c r="S28" s="850"/>
    </row>
    <row r="29" spans="1:19">
      <c r="A29" s="850" t="s">
        <v>2602</v>
      </c>
      <c r="B29" s="850" t="s">
        <v>2188</v>
      </c>
      <c r="C29" s="576" t="s">
        <v>2586</v>
      </c>
      <c r="D29" s="859" t="s">
        <v>2186</v>
      </c>
      <c r="E29" s="850" t="s">
        <v>2603</v>
      </c>
      <c r="F29" s="990">
        <f>SUMIFS('A0.LS'!L:L,'A0.LS'!D:D,'A4.N2FS Singles'!D29)</f>
        <v>0</v>
      </c>
      <c r="G29" s="847">
        <v>5000000</v>
      </c>
      <c r="H29" s="850"/>
      <c r="I29" s="850"/>
      <c r="J29" s="850"/>
      <c r="K29" s="850"/>
      <c r="L29" s="850"/>
      <c r="M29" s="850"/>
      <c r="N29" s="850"/>
      <c r="O29" s="850"/>
      <c r="P29" s="850"/>
      <c r="Q29" s="850"/>
      <c r="R29" s="850"/>
      <c r="S29" s="850"/>
    </row>
    <row r="30" spans="1:19">
      <c r="A30" s="850" t="s">
        <v>2602</v>
      </c>
      <c r="B30" s="850" t="s">
        <v>2188</v>
      </c>
      <c r="C30" s="576" t="s">
        <v>2586</v>
      </c>
      <c r="D30" s="859" t="s">
        <v>2191</v>
      </c>
      <c r="E30" s="850" t="s">
        <v>2604</v>
      </c>
      <c r="F30" s="990">
        <f>SUMIFS('A0.LS'!L:L,'A0.LS'!D:D,'A4.N2FS Singles'!D30)</f>
        <v>41786977835</v>
      </c>
      <c r="G30" s="847">
        <v>55941772314</v>
      </c>
      <c r="H30" s="850"/>
      <c r="I30" s="850"/>
      <c r="J30" s="850"/>
      <c r="K30" s="850"/>
      <c r="L30" s="850"/>
      <c r="M30" s="850"/>
      <c r="N30" s="850"/>
      <c r="O30" s="850"/>
      <c r="P30" s="850"/>
      <c r="Q30" s="850"/>
      <c r="R30" s="850"/>
      <c r="S30" s="850"/>
    </row>
    <row r="31" spans="1:19">
      <c r="A31" s="850" t="s">
        <v>2602</v>
      </c>
      <c r="B31" s="850" t="s">
        <v>2188</v>
      </c>
      <c r="C31" s="576" t="s">
        <v>2586</v>
      </c>
      <c r="D31" s="859" t="s">
        <v>2196</v>
      </c>
      <c r="E31" s="850" t="s">
        <v>21</v>
      </c>
      <c r="F31" s="990">
        <f>SUMIFS('A0.LS'!L:L,'A0.LS'!D:D,'A4.N2FS Singles'!D31)</f>
        <v>0</v>
      </c>
      <c r="G31" s="847">
        <v>0</v>
      </c>
      <c r="H31" s="850"/>
      <c r="I31" s="850"/>
      <c r="J31" s="850"/>
      <c r="K31" s="850"/>
      <c r="L31" s="850"/>
      <c r="M31" s="850"/>
      <c r="N31" s="850"/>
      <c r="O31" s="850"/>
      <c r="P31" s="850"/>
      <c r="Q31" s="850"/>
      <c r="R31" s="850"/>
      <c r="S31" s="850"/>
    </row>
    <row r="32" spans="1:19">
      <c r="A32" s="850" t="s">
        <v>2602</v>
      </c>
      <c r="B32" s="850" t="s">
        <v>2188</v>
      </c>
      <c r="C32" s="576" t="s">
        <v>2586</v>
      </c>
      <c r="D32" s="859" t="s">
        <v>2200</v>
      </c>
      <c r="E32" s="850" t="s">
        <v>2201</v>
      </c>
      <c r="F32" s="990">
        <f>SUMIFS('A0.LS'!L:L,'A0.LS'!D:D,'A4.N2FS Singles'!D32)</f>
        <v>30000000000</v>
      </c>
      <c r="G32" s="847">
        <v>15010000000</v>
      </c>
      <c r="H32" s="850"/>
      <c r="I32" s="850"/>
      <c r="J32" s="850"/>
      <c r="K32" s="850"/>
      <c r="L32" s="850"/>
      <c r="M32" s="850"/>
      <c r="N32" s="850"/>
      <c r="O32" s="850"/>
      <c r="P32" s="850"/>
      <c r="Q32" s="850"/>
      <c r="R32" s="850"/>
      <c r="S32" s="850"/>
    </row>
    <row r="33" spans="1:19" ht="13.5" thickBot="1">
      <c r="A33" s="850" t="s">
        <v>2602</v>
      </c>
      <c r="B33" s="850" t="s">
        <v>2188</v>
      </c>
      <c r="C33" s="576" t="s">
        <v>2586</v>
      </c>
      <c r="D33" s="850"/>
      <c r="E33" s="850"/>
      <c r="F33" s="1559">
        <f>SUM(F29:F32)</f>
        <v>71786977835</v>
      </c>
      <c r="G33" s="1561">
        <v>70956772314</v>
      </c>
      <c r="H33" s="850"/>
      <c r="I33" s="850"/>
      <c r="J33" s="850"/>
      <c r="K33" s="850"/>
      <c r="L33" s="850"/>
      <c r="M33" s="850"/>
      <c r="N33" s="850"/>
      <c r="O33" s="850"/>
      <c r="P33" s="850"/>
      <c r="Q33" s="850"/>
      <c r="R33" s="850"/>
      <c r="S33" s="850"/>
    </row>
    <row r="34" spans="1:19" ht="13.5" thickTop="1">
      <c r="A34" s="850" t="s">
        <v>2602</v>
      </c>
      <c r="B34" s="850" t="s">
        <v>2188</v>
      </c>
      <c r="C34" s="576" t="s">
        <v>2586</v>
      </c>
      <c r="D34" s="850"/>
      <c r="E34" s="850"/>
      <c r="F34" s="850"/>
      <c r="G34" s="850"/>
      <c r="H34" s="850"/>
      <c r="I34" s="850"/>
      <c r="J34" s="850"/>
      <c r="K34" s="850"/>
      <c r="L34" s="850"/>
      <c r="M34" s="850"/>
      <c r="N34" s="850"/>
      <c r="O34" s="850"/>
      <c r="P34" s="850"/>
      <c r="Q34" s="850"/>
      <c r="R34" s="850"/>
      <c r="S34" s="850"/>
    </row>
    <row r="35" spans="1:19">
      <c r="A35" s="850" t="s">
        <v>2602</v>
      </c>
      <c r="B35" s="850" t="s">
        <v>2188</v>
      </c>
      <c r="C35" s="576" t="s">
        <v>2586</v>
      </c>
      <c r="D35" s="850"/>
      <c r="E35" s="1" t="s">
        <v>1970</v>
      </c>
      <c r="F35" s="857">
        <f>F33-'A1.BS'!G9</f>
        <v>0</v>
      </c>
      <c r="G35" s="857">
        <f>G33-'[14]N2FS.S'!$E$33</f>
        <v>0</v>
      </c>
      <c r="H35" s="850"/>
      <c r="I35" s="850"/>
      <c r="J35" s="850"/>
      <c r="K35" s="850"/>
      <c r="L35" s="850"/>
      <c r="M35" s="850"/>
      <c r="N35" s="850"/>
      <c r="O35" s="850"/>
      <c r="P35" s="850"/>
      <c r="Q35" s="850"/>
      <c r="R35" s="850"/>
      <c r="S35" s="850"/>
    </row>
    <row r="36" spans="1:19">
      <c r="A36" s="850" t="s">
        <v>2602</v>
      </c>
      <c r="B36" s="850" t="s">
        <v>2188</v>
      </c>
      <c r="C36" s="576" t="s">
        <v>2586</v>
      </c>
      <c r="D36" s="850"/>
      <c r="E36" s="850"/>
      <c r="F36" s="850"/>
      <c r="G36" s="850"/>
      <c r="H36" s="850"/>
      <c r="I36" s="850"/>
      <c r="J36" s="850"/>
      <c r="K36" s="850"/>
      <c r="L36" s="850"/>
      <c r="M36" s="850"/>
      <c r="N36" s="850"/>
      <c r="O36" s="850"/>
      <c r="P36" s="850"/>
      <c r="Q36" s="850"/>
      <c r="R36" s="850"/>
      <c r="S36" s="850"/>
    </row>
    <row r="37" spans="1:19">
      <c r="A37" s="850" t="s">
        <v>2602</v>
      </c>
      <c r="B37" s="850" t="s">
        <v>2188</v>
      </c>
      <c r="C37" s="576" t="s">
        <v>2586</v>
      </c>
      <c r="D37" s="850"/>
      <c r="E37" s="850"/>
      <c r="F37" s="182">
        <v>45657</v>
      </c>
      <c r="G37" s="183"/>
      <c r="H37" s="185">
        <v>45291</v>
      </c>
      <c r="I37" s="186"/>
      <c r="J37" s="850"/>
      <c r="K37" s="850"/>
      <c r="L37" s="850"/>
      <c r="M37" s="850"/>
      <c r="N37" s="850"/>
      <c r="O37" s="850"/>
      <c r="P37" s="850"/>
      <c r="Q37" s="850"/>
      <c r="R37" s="850"/>
      <c r="S37" s="850"/>
    </row>
    <row r="38" spans="1:19">
      <c r="A38" s="850" t="s">
        <v>2602</v>
      </c>
      <c r="B38" s="850" t="s">
        <v>2188</v>
      </c>
      <c r="C38" s="576" t="s">
        <v>2586</v>
      </c>
      <c r="D38" s="850"/>
      <c r="E38" s="850"/>
      <c r="F38" s="184" t="s">
        <v>2605</v>
      </c>
      <c r="G38" s="184" t="s">
        <v>2606</v>
      </c>
      <c r="H38" s="187" t="s">
        <v>2605</v>
      </c>
      <c r="I38" s="187" t="s">
        <v>2606</v>
      </c>
      <c r="J38" s="850"/>
      <c r="K38" s="850"/>
      <c r="L38" s="850"/>
      <c r="M38" s="850"/>
      <c r="N38" s="850"/>
      <c r="O38" s="850"/>
      <c r="P38" s="850"/>
      <c r="Q38" s="850"/>
      <c r="R38" s="850"/>
      <c r="S38" s="850"/>
    </row>
    <row r="39" spans="1:19">
      <c r="A39" s="850" t="s">
        <v>2602</v>
      </c>
      <c r="B39" s="850" t="s">
        <v>2188</v>
      </c>
      <c r="C39" s="576" t="s">
        <v>2586</v>
      </c>
      <c r="D39" s="850"/>
      <c r="E39" s="1" t="s">
        <v>2201</v>
      </c>
      <c r="F39" s="996" t="s">
        <v>2607</v>
      </c>
      <c r="G39" s="997">
        <v>4.1500000000000002E-2</v>
      </c>
      <c r="H39" s="993" t="s">
        <v>2608</v>
      </c>
      <c r="I39" s="995">
        <v>3.95E-2</v>
      </c>
      <c r="J39" s="850"/>
      <c r="K39" s="850"/>
      <c r="L39" s="850"/>
      <c r="M39" s="850"/>
      <c r="N39" s="850"/>
      <c r="O39" s="850"/>
      <c r="P39" s="850"/>
      <c r="Q39" s="850"/>
      <c r="R39" s="850"/>
      <c r="S39" s="850"/>
    </row>
    <row r="40" spans="1:19">
      <c r="A40" s="850" t="s">
        <v>2602</v>
      </c>
      <c r="B40" s="850" t="s">
        <v>2188</v>
      </c>
      <c r="C40" s="576" t="s">
        <v>2586</v>
      </c>
      <c r="D40" s="850"/>
      <c r="E40" s="850"/>
      <c r="F40" s="850"/>
      <c r="G40" s="850"/>
      <c r="H40" s="850"/>
      <c r="I40" s="850"/>
      <c r="J40" s="850"/>
      <c r="K40" s="850"/>
      <c r="L40" s="850"/>
      <c r="M40" s="850"/>
      <c r="N40" s="850"/>
      <c r="O40" s="850"/>
      <c r="P40" s="850"/>
      <c r="Q40" s="850"/>
      <c r="R40" s="850"/>
      <c r="S40" s="850"/>
    </row>
    <row r="41" spans="1:19">
      <c r="A41" s="172"/>
      <c r="B41" s="172" t="s">
        <v>676</v>
      </c>
      <c r="C41" s="172" t="s">
        <v>681</v>
      </c>
      <c r="D41" s="172"/>
      <c r="E41" s="172" t="s">
        <v>2609</v>
      </c>
      <c r="F41" s="172"/>
      <c r="G41" s="172"/>
      <c r="H41" s="172"/>
      <c r="I41" s="172"/>
      <c r="J41" s="172"/>
      <c r="K41" s="172"/>
      <c r="L41" s="172"/>
      <c r="M41" s="172"/>
      <c r="N41" s="172"/>
      <c r="O41" s="172"/>
      <c r="P41" s="172"/>
      <c r="Q41" s="172"/>
      <c r="R41" s="172"/>
      <c r="S41" s="172"/>
    </row>
    <row r="42" spans="1:19">
      <c r="A42" s="850"/>
      <c r="B42" s="850"/>
      <c r="C42" s="850"/>
      <c r="D42" s="850"/>
      <c r="E42" s="850"/>
      <c r="F42" s="850"/>
      <c r="G42" s="850"/>
      <c r="H42" s="850"/>
      <c r="I42" s="850"/>
      <c r="J42" s="850"/>
      <c r="K42" s="850"/>
      <c r="L42" s="850"/>
      <c r="M42" s="850"/>
      <c r="N42" s="850"/>
      <c r="O42" s="850"/>
      <c r="P42" s="850"/>
      <c r="Q42" s="850"/>
      <c r="R42" s="850"/>
      <c r="S42" s="850"/>
    </row>
    <row r="43" spans="1:19">
      <c r="A43" s="172"/>
      <c r="B43" s="172" t="s">
        <v>676</v>
      </c>
      <c r="C43" s="172" t="s">
        <v>681</v>
      </c>
      <c r="D43" s="172"/>
      <c r="E43" s="172" t="s">
        <v>2610</v>
      </c>
      <c r="F43" s="172"/>
      <c r="G43" s="172"/>
      <c r="H43" s="172"/>
      <c r="I43" s="172"/>
      <c r="J43" s="172"/>
      <c r="K43" s="172"/>
      <c r="L43" s="172"/>
      <c r="M43" s="172"/>
      <c r="N43" s="172"/>
      <c r="O43" s="172"/>
      <c r="P43" s="172"/>
      <c r="Q43" s="172"/>
      <c r="R43" s="172"/>
      <c r="S43" s="172"/>
    </row>
    <row r="44" spans="1:19">
      <c r="A44" s="850" t="s">
        <v>2611</v>
      </c>
      <c r="B44" s="850" t="s">
        <v>676</v>
      </c>
      <c r="C44" s="576" t="s">
        <v>2586</v>
      </c>
      <c r="D44" s="850"/>
      <c r="E44" s="850"/>
      <c r="F44" s="850"/>
      <c r="G44" s="857"/>
      <c r="H44" s="850"/>
      <c r="I44" s="850"/>
      <c r="J44" s="850"/>
      <c r="K44" s="850"/>
      <c r="L44" s="850"/>
      <c r="M44" s="850"/>
      <c r="N44" s="850"/>
      <c r="O44" s="850"/>
      <c r="P44" s="850"/>
      <c r="Q44" s="850"/>
      <c r="R44" s="850"/>
      <c r="S44" s="850"/>
    </row>
    <row r="45" spans="1:19">
      <c r="A45" s="850" t="s">
        <v>2611</v>
      </c>
      <c r="B45" s="850"/>
      <c r="C45" s="850"/>
      <c r="D45" s="850"/>
      <c r="E45" s="850"/>
      <c r="F45" s="182">
        <v>45657</v>
      </c>
      <c r="G45" s="183"/>
      <c r="H45" s="183"/>
      <c r="I45" s="185">
        <v>45291</v>
      </c>
      <c r="J45" s="186"/>
      <c r="K45" s="186"/>
      <c r="L45" s="850"/>
      <c r="M45" s="850"/>
      <c r="N45" s="850"/>
      <c r="O45" s="850"/>
      <c r="P45" s="850"/>
      <c r="Q45" s="850"/>
      <c r="R45" s="850"/>
      <c r="S45" s="850"/>
    </row>
    <row r="46" spans="1:19" ht="25.5">
      <c r="A46" s="850" t="s">
        <v>2611</v>
      </c>
      <c r="B46" s="850" t="s">
        <v>676</v>
      </c>
      <c r="C46" s="576" t="s">
        <v>2586</v>
      </c>
      <c r="D46" s="850"/>
      <c r="E46" s="850"/>
      <c r="F46" s="152" t="s">
        <v>2612</v>
      </c>
      <c r="G46" s="152" t="s">
        <v>2613</v>
      </c>
      <c r="H46" s="152" t="s">
        <v>2614</v>
      </c>
      <c r="I46" s="190" t="s">
        <v>2612</v>
      </c>
      <c r="J46" s="190" t="s">
        <v>2613</v>
      </c>
      <c r="K46" s="190" t="s">
        <v>2614</v>
      </c>
      <c r="L46" s="850"/>
      <c r="M46" s="850"/>
      <c r="N46" s="850"/>
      <c r="O46" s="850"/>
      <c r="P46" s="850"/>
      <c r="Q46" s="850"/>
      <c r="R46" s="850"/>
      <c r="S46" s="850"/>
    </row>
    <row r="47" spans="1:19">
      <c r="A47" s="850" t="s">
        <v>2611</v>
      </c>
      <c r="B47" s="850" t="s">
        <v>676</v>
      </c>
      <c r="C47" s="576" t="s">
        <v>2586</v>
      </c>
      <c r="D47" s="859" t="s">
        <v>2205</v>
      </c>
      <c r="E47" s="850" t="s">
        <v>28</v>
      </c>
      <c r="F47" s="990">
        <f>SUMIFS('A0.LS'!L:L,'A0.LS'!D:D,'A4.N2FS Singles'!D47)</f>
        <v>41523831221</v>
      </c>
      <c r="G47" s="990">
        <f>F47+'A5.FY24'!K120+'A5.FY24'!K126</f>
        <v>40938769494</v>
      </c>
      <c r="H47" s="994">
        <f>-ROUND('A5.FY24'!Q204,0)</f>
        <v>127484513</v>
      </c>
      <c r="I47" s="847">
        <f>ROUND(SUMIFS('A0.LS'!Q:Q,'A0.LS'!D:D,'A4.N2FS Singles'!D47),0)</f>
        <v>67464686475</v>
      </c>
      <c r="J47" s="847">
        <v>70617321428</v>
      </c>
      <c r="K47" s="998">
        <v>184373354</v>
      </c>
      <c r="L47" s="850"/>
      <c r="M47" s="848"/>
      <c r="N47" s="848"/>
      <c r="O47" s="848"/>
      <c r="P47" s="850"/>
      <c r="Q47" s="850"/>
      <c r="R47" s="850"/>
      <c r="S47" s="850"/>
    </row>
    <row r="48" spans="1:19">
      <c r="A48" s="850" t="s">
        <v>2611</v>
      </c>
      <c r="B48" s="850" t="s">
        <v>676</v>
      </c>
      <c r="C48" s="576" t="s">
        <v>2586</v>
      </c>
      <c r="D48" s="859"/>
      <c r="E48" s="850" t="s">
        <v>2618</v>
      </c>
      <c r="F48" s="990">
        <f>SUMIFS('1218_Misa'!H:H,'1218_Misa'!J:J,"ccq")</f>
        <v>223226741933</v>
      </c>
      <c r="G48" s="990">
        <f>F48+'A5.FY24'!K172+'A5.FY24'!K178</f>
        <v>249170323793</v>
      </c>
      <c r="H48" s="994">
        <v>0</v>
      </c>
      <c r="I48" s="847">
        <v>342560541565</v>
      </c>
      <c r="J48" s="847">
        <f>I48+K59</f>
        <v>348482525506</v>
      </c>
      <c r="K48" s="998"/>
      <c r="L48" s="850"/>
      <c r="M48" s="848"/>
      <c r="N48" s="848"/>
      <c r="O48" s="848"/>
      <c r="P48" s="850"/>
      <c r="Q48" s="850"/>
      <c r="R48" s="850"/>
      <c r="S48" s="850"/>
    </row>
    <row r="49" spans="1:19">
      <c r="A49" s="850" t="s">
        <v>2611</v>
      </c>
      <c r="B49" s="850" t="s">
        <v>676</v>
      </c>
      <c r="C49" s="576" t="s">
        <v>2586</v>
      </c>
      <c r="D49" s="859" t="s">
        <v>2208</v>
      </c>
      <c r="E49" s="850" t="s">
        <v>30</v>
      </c>
      <c r="F49" s="990">
        <f>SUMIFS('A0.LS'!L:L,'A0.LS'!D:D,'A4.N2FS Singles'!D49)</f>
        <v>720766853337</v>
      </c>
      <c r="G49" s="990">
        <f>F49</f>
        <v>720766853337</v>
      </c>
      <c r="H49" s="994">
        <v>0</v>
      </c>
      <c r="I49" s="847">
        <f>ROUND(SUMIFS('A0.LS'!Q:Q,'A0.LS'!D:D,'A4.N2FS Singles'!D49),0)</f>
        <v>371239782862</v>
      </c>
      <c r="J49" s="847">
        <v>371239782862</v>
      </c>
      <c r="K49" s="847">
        <v>0</v>
      </c>
      <c r="L49" s="899" t="s">
        <v>30</v>
      </c>
      <c r="M49" s="857">
        <f>F49</f>
        <v>720766853337</v>
      </c>
      <c r="N49" s="850"/>
      <c r="O49" s="848"/>
      <c r="P49" s="850"/>
      <c r="Q49" s="848"/>
      <c r="R49" s="850"/>
      <c r="S49" s="850"/>
    </row>
    <row r="50" spans="1:19">
      <c r="A50" s="850" t="s">
        <v>2611</v>
      </c>
      <c r="B50" s="850" t="s">
        <v>676</v>
      </c>
      <c r="C50" s="576" t="s">
        <v>2586</v>
      </c>
      <c r="D50" s="859"/>
      <c r="E50" s="850" t="s">
        <v>2630</v>
      </c>
      <c r="F50" s="990">
        <f>SUMIFS('1218_Misa'!H:H,'1218_Misa'!J:J,"cctg")</f>
        <v>191057534240</v>
      </c>
      <c r="G50" s="990">
        <f>F50</f>
        <v>191057534240</v>
      </c>
      <c r="H50" s="990">
        <v>0</v>
      </c>
      <c r="I50" s="847">
        <v>476102425350</v>
      </c>
      <c r="J50" s="847">
        <f>824584950847-J48</f>
        <v>476102425341</v>
      </c>
      <c r="K50" s="847">
        <v>0</v>
      </c>
      <c r="L50" s="899" t="s">
        <v>1455</v>
      </c>
      <c r="M50" s="848">
        <v>476102425350</v>
      </c>
      <c r="N50" s="850"/>
      <c r="O50" s="848"/>
      <c r="P50" s="850"/>
      <c r="Q50" s="850"/>
      <c r="R50" s="850"/>
      <c r="S50" s="850"/>
    </row>
    <row r="51" spans="1:19" ht="13.5" thickBot="1">
      <c r="A51" s="850" t="s">
        <v>2611</v>
      </c>
      <c r="B51" s="850" t="s">
        <v>676</v>
      </c>
      <c r="C51" s="576" t="s">
        <v>2586</v>
      </c>
      <c r="D51" s="850"/>
      <c r="E51" s="850"/>
      <c r="F51" s="1562">
        <f>SUM(F47:F50)</f>
        <v>1176574960731</v>
      </c>
      <c r="G51" s="1562">
        <f>SUM(G47:G50)</f>
        <v>1201933480864</v>
      </c>
      <c r="H51" s="1562">
        <f t="shared" ref="H51:K51" si="0">SUM(H47:H50)</f>
        <v>127484513</v>
      </c>
      <c r="I51" s="1563">
        <f t="shared" si="0"/>
        <v>1257367436252</v>
      </c>
      <c r="J51" s="1563">
        <f t="shared" si="0"/>
        <v>1266442055137</v>
      </c>
      <c r="K51" s="1563">
        <f t="shared" si="0"/>
        <v>184373354</v>
      </c>
      <c r="L51" s="921"/>
      <c r="M51" s="857">
        <f>F81</f>
        <v>115382191780</v>
      </c>
      <c r="N51" s="850"/>
      <c r="O51" s="1529"/>
      <c r="P51" s="850"/>
      <c r="Q51" s="850"/>
      <c r="R51" s="850"/>
      <c r="S51" s="850"/>
    </row>
    <row r="52" spans="1:19" ht="13.5" thickTop="1">
      <c r="A52" s="850" t="s">
        <v>2611</v>
      </c>
      <c r="B52" s="850" t="s">
        <v>676</v>
      </c>
      <c r="C52" s="576" t="s">
        <v>2586</v>
      </c>
      <c r="D52" s="850"/>
      <c r="E52" s="850"/>
      <c r="F52" s="857">
        <f>F48+F50-'A0.LS'!L24</f>
        <v>0</v>
      </c>
      <c r="G52" s="857">
        <f>G51-F51</f>
        <v>25358520133</v>
      </c>
      <c r="H52" s="857">
        <f>H51+'A1.BS'!G15</f>
        <v>0</v>
      </c>
      <c r="I52" s="850"/>
      <c r="J52" s="848">
        <v>818662966915</v>
      </c>
      <c r="K52" s="857">
        <f>J52-I50</f>
        <v>342560541565</v>
      </c>
      <c r="L52" s="850"/>
      <c r="M52" s="850"/>
      <c r="N52" s="850"/>
      <c r="O52" s="850"/>
      <c r="P52" s="850"/>
      <c r="Q52" s="850"/>
      <c r="R52" s="850"/>
      <c r="S52" s="850"/>
    </row>
    <row r="53" spans="1:19">
      <c r="A53" s="850" t="s">
        <v>2611</v>
      </c>
      <c r="B53" s="850" t="s">
        <v>676</v>
      </c>
      <c r="C53" s="576" t="s">
        <v>2586</v>
      </c>
      <c r="D53" s="850"/>
      <c r="E53" s="850" t="s">
        <v>2626</v>
      </c>
      <c r="F53" s="850"/>
      <c r="G53" s="850"/>
      <c r="H53" s="857"/>
      <c r="I53" s="850"/>
      <c r="J53" s="850"/>
      <c r="K53" s="850"/>
      <c r="L53" s="850"/>
      <c r="M53" s="850"/>
      <c r="N53" s="850"/>
      <c r="O53" s="850"/>
      <c r="P53" s="850"/>
      <c r="Q53" s="850"/>
      <c r="R53" s="850"/>
      <c r="S53" s="850"/>
    </row>
    <row r="54" spans="1:19">
      <c r="A54" s="850" t="s">
        <v>2611</v>
      </c>
      <c r="B54" s="850" t="s">
        <v>676</v>
      </c>
      <c r="C54" s="576" t="s">
        <v>2586</v>
      </c>
      <c r="D54" s="850"/>
      <c r="E54" s="850"/>
      <c r="F54" s="850"/>
      <c r="G54" s="370"/>
      <c r="H54" s="857">
        <f>G50-F50</f>
        <v>0</v>
      </c>
      <c r="I54" s="850"/>
      <c r="J54" s="850"/>
      <c r="K54" s="850"/>
      <c r="L54" s="857"/>
      <c r="M54" s="850"/>
      <c r="N54" s="850"/>
      <c r="O54" s="850"/>
      <c r="P54" s="850"/>
      <c r="Q54" s="850"/>
      <c r="R54" s="850"/>
      <c r="S54" s="850"/>
    </row>
    <row r="55" spans="1:19">
      <c r="A55" s="850" t="s">
        <v>2611</v>
      </c>
      <c r="B55" s="850" t="s">
        <v>676</v>
      </c>
      <c r="C55" s="576" t="s">
        <v>2586</v>
      </c>
      <c r="D55" s="850"/>
      <c r="E55" s="850"/>
      <c r="F55" s="182"/>
      <c r="G55" s="183" t="s">
        <v>3072</v>
      </c>
      <c r="H55" s="183"/>
      <c r="I55" s="185">
        <v>45291</v>
      </c>
      <c r="J55" s="186"/>
      <c r="K55" s="186"/>
      <c r="L55" s="850"/>
      <c r="M55" s="850"/>
      <c r="N55" s="850"/>
      <c r="O55" s="850"/>
      <c r="P55" s="850"/>
      <c r="Q55" s="850"/>
      <c r="R55" s="850"/>
      <c r="S55" s="850"/>
    </row>
    <row r="56" spans="1:19" ht="25.5">
      <c r="A56" s="850" t="s">
        <v>2611</v>
      </c>
      <c r="B56" s="850" t="s">
        <v>676</v>
      </c>
      <c r="C56" s="576" t="s">
        <v>2586</v>
      </c>
      <c r="D56" s="850"/>
      <c r="E56" s="850"/>
      <c r="F56" s="152" t="s">
        <v>2612</v>
      </c>
      <c r="G56" s="152" t="s">
        <v>2613</v>
      </c>
      <c r="H56" s="152" t="s">
        <v>2629</v>
      </c>
      <c r="I56" s="190" t="s">
        <v>2612</v>
      </c>
      <c r="J56" s="190" t="s">
        <v>2613</v>
      </c>
      <c r="K56" s="190" t="s">
        <v>2629</v>
      </c>
      <c r="L56" s="850"/>
      <c r="M56" s="850"/>
      <c r="N56" s="850"/>
      <c r="O56" s="850"/>
      <c r="P56" s="850"/>
      <c r="Q56" s="850"/>
      <c r="R56" s="850"/>
      <c r="S56" s="850"/>
    </row>
    <row r="57" spans="1:19">
      <c r="A57" s="850" t="s">
        <v>2611</v>
      </c>
      <c r="B57" s="850" t="s">
        <v>676</v>
      </c>
      <c r="C57" s="576" t="s">
        <v>2586</v>
      </c>
      <c r="D57" s="850"/>
      <c r="E57" s="850" t="s">
        <v>28</v>
      </c>
      <c r="F57" s="990">
        <f>G57*(1+(F47-G47)/G47)</f>
        <v>41448319830.981041</v>
      </c>
      <c r="G57" s="990">
        <f>'[18]D303 - 3388'!$S$2</f>
        <v>40864322043</v>
      </c>
      <c r="H57" s="990">
        <f>ROUND(G57-F57,0)</f>
        <v>-583997788</v>
      </c>
      <c r="I57" s="847">
        <v>66843543296</v>
      </c>
      <c r="J57" s="847">
        <v>69996178240</v>
      </c>
      <c r="K57" s="998">
        <f>J57-I57</f>
        <v>3152634944</v>
      </c>
      <c r="L57" s="850"/>
      <c r="M57" s="377"/>
      <c r="N57" s="377"/>
      <c r="O57" s="850"/>
      <c r="P57" s="850"/>
      <c r="Q57" s="850"/>
      <c r="R57" s="850"/>
      <c r="S57" s="850"/>
    </row>
    <row r="58" spans="1:19" hidden="1">
      <c r="A58" s="850" t="s">
        <v>2611</v>
      </c>
      <c r="B58" s="850" t="s">
        <v>676</v>
      </c>
      <c r="C58" s="576" t="s">
        <v>2586</v>
      </c>
      <c r="D58" s="850"/>
      <c r="E58" s="850" t="s">
        <v>30</v>
      </c>
      <c r="F58" s="990">
        <v>0</v>
      </c>
      <c r="G58" s="990">
        <v>0</v>
      </c>
      <c r="H58" s="990">
        <f>ROUND(G58-F58,0)</f>
        <v>0</v>
      </c>
      <c r="I58" s="847">
        <v>0</v>
      </c>
      <c r="J58" s="847">
        <v>0</v>
      </c>
      <c r="K58" s="998">
        <f>J58-I58</f>
        <v>0</v>
      </c>
      <c r="L58" s="850"/>
      <c r="M58" s="850"/>
      <c r="N58" s="850"/>
      <c r="O58" s="850"/>
      <c r="P58" s="848">
        <v>209888886780</v>
      </c>
      <c r="Q58" s="848">
        <v>177854418997</v>
      </c>
      <c r="R58" s="850"/>
      <c r="S58" s="850"/>
    </row>
    <row r="59" spans="1:19">
      <c r="A59" s="850" t="s">
        <v>2611</v>
      </c>
      <c r="B59" s="850" t="s">
        <v>676</v>
      </c>
      <c r="C59" s="576" t="s">
        <v>2586</v>
      </c>
      <c r="D59" s="850"/>
      <c r="E59" s="850" t="s">
        <v>2618</v>
      </c>
      <c r="F59" s="990">
        <f>F61-F57</f>
        <v>111842509354.28503</v>
      </c>
      <c r="G59" s="990">
        <f>SUM('[18]D501 CCQ'!$L$5:$L$19,'[18]D501 CCQ'!$L$22:$L$29)</f>
        <v>137785027275.26608</v>
      </c>
      <c r="H59" s="990">
        <f>G52-H57</f>
        <v>25942517921</v>
      </c>
      <c r="I59" s="847">
        <v>231291094031</v>
      </c>
      <c r="J59" s="847">
        <v>237213077972</v>
      </c>
      <c r="K59" s="998">
        <f>J59-I59</f>
        <v>5921983941</v>
      </c>
      <c r="L59" s="850"/>
      <c r="M59" s="848">
        <v>231291094031</v>
      </c>
      <c r="N59" s="848">
        <v>237213077972</v>
      </c>
      <c r="O59" s="850"/>
      <c r="P59" s="848">
        <v>415801903697</v>
      </c>
      <c r="Q59" s="848">
        <v>353055053565</v>
      </c>
      <c r="R59" s="850"/>
      <c r="S59" s="850"/>
    </row>
    <row r="60" spans="1:19" hidden="1">
      <c r="A60" s="850" t="s">
        <v>2611</v>
      </c>
      <c r="B60" s="850" t="s">
        <v>676</v>
      </c>
      <c r="C60" s="576" t="s">
        <v>2586</v>
      </c>
      <c r="D60" s="850"/>
      <c r="E60" s="850" t="s">
        <v>2630</v>
      </c>
      <c r="F60" s="990">
        <v>0</v>
      </c>
      <c r="G60" s="990">
        <v>0</v>
      </c>
      <c r="H60" s="990">
        <f>ROUND(G60-F60,0)</f>
        <v>0</v>
      </c>
      <c r="I60" s="847">
        <v>0</v>
      </c>
      <c r="J60" s="847">
        <v>0</v>
      </c>
      <c r="K60" s="998">
        <f>J60-I60</f>
        <v>0</v>
      </c>
      <c r="L60" s="850"/>
      <c r="M60" s="850"/>
      <c r="N60" s="850"/>
      <c r="O60" s="850"/>
      <c r="P60" s="850"/>
      <c r="Q60" s="850"/>
      <c r="R60" s="850"/>
      <c r="S60" s="850"/>
    </row>
    <row r="61" spans="1:19" ht="13.5" thickBot="1">
      <c r="A61" s="850" t="s">
        <v>2611</v>
      </c>
      <c r="B61" s="850" t="s">
        <v>676</v>
      </c>
      <c r="C61" s="576" t="s">
        <v>2586</v>
      </c>
      <c r="D61" s="850"/>
      <c r="E61" s="850"/>
      <c r="F61" s="1562">
        <v>153290829185.26608</v>
      </c>
      <c r="G61" s="1562">
        <f>SUBTOTAL(9,G57:G60)</f>
        <v>178649349318.26608</v>
      </c>
      <c r="H61" s="1562">
        <f>SUBTOTAL(9,H57:H60)</f>
        <v>25358520133</v>
      </c>
      <c r="I61" s="1563">
        <f t="shared" ref="I61:K61" si="1">SUM(I57:I60)</f>
        <v>298134637327</v>
      </c>
      <c r="J61" s="1563">
        <f t="shared" si="1"/>
        <v>307209256212</v>
      </c>
      <c r="K61" s="1563">
        <f t="shared" si="1"/>
        <v>9074618885</v>
      </c>
      <c r="L61" s="850"/>
      <c r="M61" s="850"/>
      <c r="N61" s="850"/>
      <c r="O61" s="850"/>
      <c r="P61" s="850"/>
      <c r="Q61" s="850"/>
      <c r="R61" s="850"/>
      <c r="S61" s="850"/>
    </row>
    <row r="62" spans="1:19" ht="13.5" thickTop="1">
      <c r="A62" s="850" t="s">
        <v>2611</v>
      </c>
      <c r="B62" s="850" t="s">
        <v>676</v>
      </c>
      <c r="C62" s="576" t="s">
        <v>2586</v>
      </c>
      <c r="D62" s="850"/>
      <c r="E62" s="1" t="s">
        <v>1970</v>
      </c>
      <c r="F62" s="371"/>
      <c r="G62" s="857"/>
      <c r="H62" s="371">
        <f>G52-H61</f>
        <v>0</v>
      </c>
      <c r="I62" s="371"/>
      <c r="J62" s="857"/>
      <c r="K62" s="371">
        <f>K61+G374</f>
        <v>9074618885</v>
      </c>
      <c r="L62" s="850"/>
      <c r="M62" s="850"/>
      <c r="N62" s="850"/>
      <c r="O62" s="850"/>
      <c r="P62" s="850"/>
      <c r="Q62" s="850"/>
      <c r="R62" s="850"/>
      <c r="S62" s="850"/>
    </row>
    <row r="63" spans="1:19">
      <c r="A63" s="850" t="s">
        <v>2611</v>
      </c>
      <c r="B63" s="850" t="s">
        <v>676</v>
      </c>
      <c r="C63" s="576" t="s">
        <v>2586</v>
      </c>
      <c r="D63" s="850"/>
      <c r="E63" s="850"/>
      <c r="F63" s="371"/>
      <c r="G63" s="371"/>
      <c r="H63" s="371"/>
      <c r="I63" s="175"/>
      <c r="J63" s="371"/>
      <c r="K63" s="371"/>
      <c r="L63" s="850"/>
      <c r="M63" s="850"/>
      <c r="N63" s="850"/>
      <c r="O63" s="850"/>
      <c r="P63" s="850"/>
      <c r="Q63" s="850"/>
      <c r="R63" s="850"/>
      <c r="S63" s="850"/>
    </row>
    <row r="64" spans="1:19">
      <c r="A64" s="850"/>
      <c r="B64" s="850"/>
      <c r="C64" s="850"/>
      <c r="D64" s="850"/>
      <c r="E64" s="850"/>
      <c r="F64" s="371"/>
      <c r="G64" s="371"/>
      <c r="H64" s="175"/>
      <c r="I64" s="371"/>
      <c r="J64" s="371"/>
      <c r="K64" s="371"/>
      <c r="L64" s="850"/>
      <c r="M64" s="850"/>
      <c r="N64" s="850"/>
      <c r="O64" s="850"/>
      <c r="P64" s="850"/>
      <c r="Q64" s="850"/>
      <c r="R64" s="850"/>
      <c r="S64" s="850"/>
    </row>
    <row r="65" spans="1:19">
      <c r="A65" s="850" t="s">
        <v>2611</v>
      </c>
      <c r="B65" s="850" t="s">
        <v>676</v>
      </c>
      <c r="C65" s="576" t="s">
        <v>2586</v>
      </c>
      <c r="D65" s="850"/>
      <c r="E65" s="1" t="s">
        <v>1970</v>
      </c>
      <c r="F65" s="857">
        <f>F51-'A1.BS'!G14</f>
        <v>0</v>
      </c>
      <c r="G65" s="922" t="s">
        <v>64</v>
      </c>
      <c r="H65" s="857">
        <f>H51-F73</f>
        <v>-56888841</v>
      </c>
      <c r="I65" s="848">
        <f>I51-'A1.BS'!L14</f>
        <v>0</v>
      </c>
      <c r="J65" s="850"/>
      <c r="K65" s="857">
        <f>K51-G73</f>
        <v>0</v>
      </c>
      <c r="L65" s="850"/>
      <c r="M65" s="850"/>
      <c r="N65" s="850"/>
      <c r="O65" s="850"/>
      <c r="P65" s="850"/>
      <c r="Q65" s="850"/>
      <c r="R65" s="850"/>
      <c r="S65" s="850"/>
    </row>
    <row r="66" spans="1:19">
      <c r="A66" s="850" t="s">
        <v>2611</v>
      </c>
      <c r="B66" s="850" t="s">
        <v>676</v>
      </c>
      <c r="C66" s="576"/>
      <c r="D66" s="850"/>
      <c r="E66" s="360" t="s">
        <v>2632</v>
      </c>
      <c r="F66" s="857">
        <f>G51-F51</f>
        <v>25358520133</v>
      </c>
      <c r="G66" s="857">
        <f>F162</f>
        <v>25358520133</v>
      </c>
      <c r="H66" s="357">
        <f>G66-F66</f>
        <v>0</v>
      </c>
      <c r="I66" s="848"/>
      <c r="J66" s="857"/>
      <c r="K66" s="850"/>
      <c r="L66" s="850"/>
      <c r="M66" s="848"/>
      <c r="N66" s="857"/>
      <c r="O66" s="850"/>
      <c r="P66" s="850"/>
      <c r="Q66" s="850"/>
      <c r="R66" s="850"/>
      <c r="S66" s="850"/>
    </row>
    <row r="67" spans="1:19">
      <c r="A67" s="172"/>
      <c r="B67" s="172" t="s">
        <v>676</v>
      </c>
      <c r="C67" s="172" t="s">
        <v>681</v>
      </c>
      <c r="D67" s="172"/>
      <c r="E67" s="172" t="s">
        <v>2636</v>
      </c>
      <c r="F67" s="172"/>
      <c r="G67" s="172"/>
      <c r="H67" s="172"/>
      <c r="I67" s="172" t="s">
        <v>3095</v>
      </c>
      <c r="J67" s="172"/>
      <c r="K67" s="172"/>
      <c r="L67" s="172"/>
      <c r="M67" s="172"/>
      <c r="N67" s="172"/>
      <c r="O67" s="172"/>
      <c r="P67" s="172"/>
      <c r="Q67" s="172"/>
      <c r="R67" s="172"/>
      <c r="S67" s="172"/>
    </row>
    <row r="68" spans="1:19">
      <c r="A68" s="850" t="s">
        <v>2585</v>
      </c>
      <c r="B68" s="850" t="s">
        <v>676</v>
      </c>
      <c r="C68" s="576" t="s">
        <v>2586</v>
      </c>
      <c r="D68" s="850"/>
      <c r="E68" s="275" t="s">
        <v>2637</v>
      </c>
      <c r="F68" s="850"/>
      <c r="G68" s="850"/>
      <c r="H68" s="850"/>
      <c r="I68" s="850"/>
      <c r="J68" s="850"/>
      <c r="K68" s="850"/>
      <c r="L68" s="850"/>
      <c r="M68" s="850"/>
      <c r="N68" s="850"/>
      <c r="O68" s="850"/>
      <c r="P68" s="850"/>
      <c r="Q68" s="850"/>
      <c r="R68" s="850"/>
      <c r="S68" s="850"/>
    </row>
    <row r="69" spans="1:19" ht="25.5">
      <c r="A69" s="850" t="s">
        <v>2585</v>
      </c>
      <c r="B69" s="850" t="s">
        <v>676</v>
      </c>
      <c r="C69" s="576" t="s">
        <v>2586</v>
      </c>
      <c r="D69" s="850"/>
      <c r="E69" s="850"/>
      <c r="F69" s="173" t="s">
        <v>2638</v>
      </c>
      <c r="G69" s="174" t="s">
        <v>2588</v>
      </c>
      <c r="H69" s="850"/>
      <c r="I69" s="850"/>
      <c r="J69" s="850"/>
      <c r="K69" s="850"/>
      <c r="L69" s="850"/>
      <c r="M69" s="850"/>
      <c r="N69" s="850"/>
      <c r="O69" s="850"/>
      <c r="P69" s="850"/>
      <c r="Q69" s="850"/>
      <c r="R69" s="850"/>
      <c r="S69" s="850"/>
    </row>
    <row r="70" spans="1:19">
      <c r="A70" s="850" t="s">
        <v>2585</v>
      </c>
      <c r="B70" s="850" t="s">
        <v>676</v>
      </c>
      <c r="C70" s="576" t="s">
        <v>2586</v>
      </c>
      <c r="D70" s="850"/>
      <c r="E70" s="1" t="s">
        <v>2639</v>
      </c>
      <c r="F70" s="994">
        <f>G73</f>
        <v>184373354</v>
      </c>
      <c r="G70" s="847">
        <v>34113193</v>
      </c>
      <c r="H70" s="850"/>
      <c r="I70" s="850"/>
      <c r="J70" s="850"/>
      <c r="K70" s="850"/>
      <c r="L70" s="850"/>
      <c r="M70" s="850"/>
      <c r="N70" s="850"/>
      <c r="O70" s="850"/>
      <c r="P70" s="850"/>
      <c r="Q70" s="850"/>
      <c r="R70" s="850"/>
      <c r="S70" s="850"/>
    </row>
    <row r="71" spans="1:19">
      <c r="A71" s="850" t="s">
        <v>2585</v>
      </c>
      <c r="B71" s="850" t="s">
        <v>676</v>
      </c>
      <c r="C71" s="576" t="s">
        <v>2586</v>
      </c>
      <c r="D71" s="850"/>
      <c r="E71" s="850" t="s">
        <v>2640</v>
      </c>
      <c r="F71" s="990">
        <v>0</v>
      </c>
      <c r="G71" s="847">
        <v>393000273</v>
      </c>
      <c r="H71" s="850"/>
      <c r="I71" s="850"/>
      <c r="J71" s="850"/>
      <c r="K71" s="850"/>
      <c r="L71" s="850"/>
      <c r="M71" s="850"/>
      <c r="N71" s="850"/>
      <c r="O71" s="850"/>
      <c r="P71" s="850"/>
      <c r="Q71" s="850"/>
      <c r="R71" s="850"/>
      <c r="S71" s="850"/>
    </row>
    <row r="72" spans="1:19">
      <c r="A72" s="850" t="s">
        <v>2585</v>
      </c>
      <c r="B72" s="850" t="s">
        <v>676</v>
      </c>
      <c r="C72" s="576" t="s">
        <v>2586</v>
      </c>
      <c r="D72" s="850"/>
      <c r="E72" s="850" t="s">
        <v>2641</v>
      </c>
      <c r="F72" s="990">
        <f>ROUND('A0.LS'!L268,0)</f>
        <v>0</v>
      </c>
      <c r="G72" s="847">
        <v>-242740112</v>
      </c>
      <c r="H72" s="850"/>
      <c r="I72" s="850"/>
      <c r="J72" s="850"/>
      <c r="K72" s="850"/>
      <c r="L72" s="850"/>
      <c r="M72" s="850"/>
      <c r="N72" s="850"/>
      <c r="O72" s="850"/>
      <c r="P72" s="850"/>
      <c r="Q72" s="850"/>
      <c r="R72" s="850"/>
      <c r="S72" s="850"/>
    </row>
    <row r="73" spans="1:19" ht="13.5" thickBot="1">
      <c r="A73" s="850" t="s">
        <v>2585</v>
      </c>
      <c r="B73" s="850" t="s">
        <v>676</v>
      </c>
      <c r="C73" s="576" t="s">
        <v>2586</v>
      </c>
      <c r="D73" s="850"/>
      <c r="E73" s="1" t="s">
        <v>2642</v>
      </c>
      <c r="F73" s="1559">
        <f>SUM(F70:F72)</f>
        <v>184373354</v>
      </c>
      <c r="G73" s="1561">
        <v>184373354</v>
      </c>
      <c r="H73" s="850"/>
      <c r="I73" s="850"/>
      <c r="J73" s="850"/>
      <c r="K73" s="850"/>
      <c r="L73" s="850"/>
      <c r="M73" s="850"/>
      <c r="N73" s="850"/>
      <c r="O73" s="850"/>
      <c r="P73" s="850"/>
      <c r="Q73" s="850"/>
      <c r="R73" s="850"/>
      <c r="S73" s="850"/>
    </row>
    <row r="74" spans="1:19" ht="13.5" thickTop="1">
      <c r="A74" s="850" t="s">
        <v>2585</v>
      </c>
      <c r="B74" s="850" t="s">
        <v>676</v>
      </c>
      <c r="C74" s="576" t="s">
        <v>2586</v>
      </c>
      <c r="D74" s="850"/>
      <c r="E74" s="850"/>
      <c r="F74" s="850"/>
      <c r="G74" s="850"/>
      <c r="H74" s="850"/>
      <c r="I74" s="850"/>
      <c r="J74" s="850"/>
      <c r="K74" s="850"/>
      <c r="L74" s="850"/>
      <c r="M74" s="850"/>
      <c r="N74" s="850"/>
      <c r="O74" s="850"/>
      <c r="P74" s="850"/>
      <c r="Q74" s="850"/>
      <c r="R74" s="850"/>
      <c r="S74" s="850"/>
    </row>
    <row r="75" spans="1:19">
      <c r="A75" s="850" t="s">
        <v>2585</v>
      </c>
      <c r="B75" s="850" t="s">
        <v>676</v>
      </c>
      <c r="C75" s="576" t="s">
        <v>2586</v>
      </c>
      <c r="D75" s="850"/>
      <c r="E75" s="1" t="s">
        <v>1970</v>
      </c>
      <c r="F75" s="857">
        <f>F73+'A1.BS'!G15</f>
        <v>56888841</v>
      </c>
      <c r="G75" s="857">
        <f>G73+'A1.BS'!L15</f>
        <v>0</v>
      </c>
      <c r="H75" s="850"/>
      <c r="I75" s="850"/>
      <c r="J75" s="850"/>
      <c r="K75" s="850"/>
      <c r="L75" s="850"/>
      <c r="M75" s="850"/>
      <c r="N75" s="850"/>
      <c r="O75" s="850"/>
      <c r="P75" s="850"/>
      <c r="Q75" s="850"/>
      <c r="R75" s="850"/>
      <c r="S75" s="850"/>
    </row>
    <row r="76" spans="1:19">
      <c r="A76" s="850" t="s">
        <v>2585</v>
      </c>
      <c r="B76" s="850" t="s">
        <v>676</v>
      </c>
      <c r="C76" s="576" t="s">
        <v>2586</v>
      </c>
      <c r="D76" s="850"/>
      <c r="E76" s="850"/>
      <c r="F76" s="850"/>
      <c r="G76" s="850"/>
      <c r="H76" s="850"/>
      <c r="I76" s="850"/>
      <c r="J76" s="850"/>
      <c r="K76" s="850"/>
      <c r="L76" s="850"/>
      <c r="M76" s="850"/>
      <c r="N76" s="850"/>
      <c r="O76" s="850"/>
      <c r="P76" s="850"/>
      <c r="Q76" s="850"/>
      <c r="R76" s="850"/>
      <c r="S76" s="850"/>
    </row>
    <row r="77" spans="1:19">
      <c r="A77" s="172"/>
      <c r="B77" s="172" t="s">
        <v>676</v>
      </c>
      <c r="C77" s="172" t="s">
        <v>681</v>
      </c>
      <c r="D77" s="172"/>
      <c r="E77" s="172" t="s">
        <v>2643</v>
      </c>
      <c r="F77" s="172"/>
      <c r="G77" s="172"/>
      <c r="H77" s="172"/>
      <c r="I77" s="172"/>
      <c r="J77" s="172"/>
      <c r="K77" s="172"/>
      <c r="L77" s="172"/>
      <c r="M77" s="172"/>
      <c r="N77" s="172"/>
      <c r="O77" s="172"/>
      <c r="P77" s="172"/>
      <c r="Q77" s="172"/>
      <c r="R77" s="172"/>
      <c r="S77" s="172"/>
    </row>
    <row r="78" spans="1:19">
      <c r="A78" s="850" t="s">
        <v>2602</v>
      </c>
      <c r="B78" s="850" t="s">
        <v>676</v>
      </c>
      <c r="C78" s="576" t="s">
        <v>2586</v>
      </c>
      <c r="D78" s="850"/>
      <c r="E78" s="850"/>
      <c r="F78" s="850"/>
      <c r="G78" s="850"/>
      <c r="H78" s="850"/>
      <c r="I78" s="850"/>
      <c r="J78" s="850"/>
      <c r="K78" s="850"/>
      <c r="L78" s="850"/>
      <c r="M78" s="850"/>
      <c r="N78" s="850"/>
      <c r="O78" s="850"/>
      <c r="P78" s="850"/>
      <c r="Q78" s="850"/>
      <c r="R78" s="850"/>
      <c r="S78" s="850"/>
    </row>
    <row r="79" spans="1:19">
      <c r="A79" s="850" t="s">
        <v>2602</v>
      </c>
      <c r="B79" s="850" t="s">
        <v>676</v>
      </c>
      <c r="C79" s="576" t="s">
        <v>2586</v>
      </c>
      <c r="D79" s="850"/>
      <c r="E79" s="850"/>
      <c r="F79" s="182">
        <v>45657</v>
      </c>
      <c r="G79" s="183"/>
      <c r="H79" s="185">
        <v>45291</v>
      </c>
      <c r="I79" s="186"/>
      <c r="J79" s="850"/>
      <c r="K79" s="850"/>
      <c r="L79" s="850"/>
      <c r="M79" s="850"/>
      <c r="N79" s="850"/>
      <c r="O79" s="850"/>
      <c r="P79" s="850"/>
      <c r="Q79" s="850"/>
      <c r="R79" s="850"/>
      <c r="S79" s="850"/>
    </row>
    <row r="80" spans="1:19">
      <c r="A80" s="850" t="s">
        <v>2602</v>
      </c>
      <c r="B80" s="850" t="s">
        <v>676</v>
      </c>
      <c r="C80" s="576" t="s">
        <v>2586</v>
      </c>
      <c r="D80" s="850"/>
      <c r="E80" s="850"/>
      <c r="F80" s="184" t="s">
        <v>2616</v>
      </c>
      <c r="G80" s="184" t="s">
        <v>2644</v>
      </c>
      <c r="H80" s="187" t="s">
        <v>2616</v>
      </c>
      <c r="I80" s="187" t="s">
        <v>2644</v>
      </c>
      <c r="J80" s="850"/>
      <c r="K80" s="850"/>
      <c r="L80" s="850"/>
      <c r="M80" s="850"/>
      <c r="N80" s="850"/>
      <c r="O80" s="850"/>
      <c r="P80" s="850"/>
      <c r="Q80" s="850"/>
      <c r="R80" s="850"/>
      <c r="S80" s="850"/>
    </row>
    <row r="81" spans="1:19" ht="13.5" thickBot="1">
      <c r="A81" s="850" t="s">
        <v>2602</v>
      </c>
      <c r="B81" s="850" t="s">
        <v>676</v>
      </c>
      <c r="C81" s="576" t="s">
        <v>2586</v>
      </c>
      <c r="D81" s="850" t="s">
        <v>2219</v>
      </c>
      <c r="E81" s="850" t="s">
        <v>2645</v>
      </c>
      <c r="F81" s="1564">
        <f>ROUND(SUMIFS('A0.LS'!L:L,'A0.LS'!D:D,'A4.N2FS Singles'!D81),0)</f>
        <v>115382191780</v>
      </c>
      <c r="G81" s="1565">
        <f>F81</f>
        <v>115382191780</v>
      </c>
      <c r="H81" s="1566">
        <v>574472342467</v>
      </c>
      <c r="I81" s="1567">
        <f>H81</f>
        <v>574472342467</v>
      </c>
      <c r="J81" s="850"/>
      <c r="K81" s="850"/>
      <c r="L81" s="850"/>
      <c r="M81" s="850"/>
      <c r="N81" s="850"/>
      <c r="O81" s="850"/>
      <c r="P81" s="850"/>
      <c r="Q81" s="850"/>
      <c r="R81" s="850"/>
      <c r="S81" s="850"/>
    </row>
    <row r="82" spans="1:19" ht="13.5" thickTop="1">
      <c r="A82" s="850" t="s">
        <v>2602</v>
      </c>
      <c r="B82" s="850" t="s">
        <v>676</v>
      </c>
      <c r="C82" s="576" t="s">
        <v>2586</v>
      </c>
      <c r="D82" s="850"/>
      <c r="E82" s="850"/>
      <c r="F82" s="234">
        <f>SUM(F81)</f>
        <v>115382191780</v>
      </c>
      <c r="G82" s="234">
        <f>SUM(G81)</f>
        <v>115382191780</v>
      </c>
      <c r="H82" s="234">
        <v>574472342467</v>
      </c>
      <c r="I82" s="234">
        <v>574472342467</v>
      </c>
      <c r="J82" s="850"/>
      <c r="K82" s="850"/>
      <c r="L82" s="850"/>
      <c r="M82" s="850"/>
      <c r="N82" s="850"/>
      <c r="O82" s="850"/>
      <c r="P82" s="850"/>
      <c r="Q82" s="850"/>
      <c r="R82" s="850"/>
      <c r="S82" s="850"/>
    </row>
    <row r="83" spans="1:19">
      <c r="A83" s="850" t="s">
        <v>2602</v>
      </c>
      <c r="B83" s="850" t="s">
        <v>676</v>
      </c>
      <c r="C83" s="576" t="s">
        <v>2586</v>
      </c>
      <c r="D83" s="850"/>
      <c r="E83" s="1" t="s">
        <v>1970</v>
      </c>
      <c r="F83" s="857">
        <f>F81-'A1.BS'!G16</f>
        <v>0</v>
      </c>
      <c r="G83" s="850"/>
      <c r="H83" s="857">
        <f>H81-'A1.BS'!L16</f>
        <v>0</v>
      </c>
      <c r="I83" s="850"/>
      <c r="J83" s="850"/>
      <c r="K83" s="850"/>
      <c r="L83" s="850"/>
      <c r="M83" s="850"/>
      <c r="N83" s="850"/>
      <c r="O83" s="850"/>
      <c r="P83" s="850"/>
      <c r="Q83" s="850"/>
      <c r="R83" s="850"/>
      <c r="S83" s="850"/>
    </row>
    <row r="84" spans="1:19">
      <c r="A84" s="850" t="s">
        <v>2585</v>
      </c>
      <c r="B84" s="850" t="s">
        <v>676</v>
      </c>
      <c r="C84" s="576" t="s">
        <v>2586</v>
      </c>
      <c r="D84" s="850"/>
      <c r="E84" s="850"/>
      <c r="F84" s="850"/>
      <c r="G84" s="850"/>
      <c r="H84" s="850"/>
      <c r="I84" s="850"/>
      <c r="J84" s="850"/>
      <c r="K84" s="850"/>
      <c r="L84" s="850"/>
      <c r="M84" s="850"/>
      <c r="N84" s="850"/>
      <c r="O84" s="850"/>
      <c r="P84" s="850"/>
      <c r="Q84" s="850"/>
      <c r="R84" s="850"/>
      <c r="S84" s="850"/>
    </row>
    <row r="85" spans="1:19">
      <c r="A85" s="850" t="s">
        <v>2585</v>
      </c>
      <c r="B85" s="850" t="s">
        <v>676</v>
      </c>
      <c r="C85" s="576" t="s">
        <v>2586</v>
      </c>
      <c r="D85" s="850"/>
      <c r="E85" s="850"/>
      <c r="F85" s="182">
        <v>45473</v>
      </c>
      <c r="G85" s="183"/>
      <c r="H85" s="185">
        <v>45291</v>
      </c>
      <c r="I85" s="186"/>
      <c r="J85" s="850"/>
      <c r="K85" s="850"/>
      <c r="L85" s="850"/>
      <c r="M85" s="850"/>
      <c r="N85" s="850"/>
      <c r="O85" s="850"/>
      <c r="P85" s="850"/>
      <c r="Q85" s="850"/>
      <c r="R85" s="850"/>
      <c r="S85" s="850"/>
    </row>
    <row r="86" spans="1:19">
      <c r="A86" s="850" t="s">
        <v>2585</v>
      </c>
      <c r="B86" s="850" t="s">
        <v>676</v>
      </c>
      <c r="C86" s="576" t="s">
        <v>2586</v>
      </c>
      <c r="D86" s="850"/>
      <c r="E86" s="850"/>
      <c r="F86" s="184" t="s">
        <v>2605</v>
      </c>
      <c r="G86" s="184" t="s">
        <v>2651</v>
      </c>
      <c r="H86" s="187" t="s">
        <v>2605</v>
      </c>
      <c r="I86" s="187" t="s">
        <v>2606</v>
      </c>
      <c r="J86" s="850"/>
      <c r="K86" s="850"/>
      <c r="L86" s="850"/>
      <c r="M86" s="850"/>
      <c r="N86" s="850"/>
      <c r="O86" s="850"/>
      <c r="P86" s="850"/>
      <c r="Q86" s="850"/>
      <c r="R86" s="850"/>
      <c r="S86" s="850"/>
    </row>
    <row r="87" spans="1:19">
      <c r="A87" s="850" t="s">
        <v>2585</v>
      </c>
      <c r="B87" s="850" t="s">
        <v>676</v>
      </c>
      <c r="C87" s="576" t="s">
        <v>2586</v>
      </c>
      <c r="D87" s="850"/>
      <c r="E87" s="850" t="s">
        <v>2645</v>
      </c>
      <c r="F87" s="992" t="s">
        <v>3096</v>
      </c>
      <c r="G87" s="996" t="s">
        <v>3097</v>
      </c>
      <c r="H87" s="993" t="s">
        <v>2652</v>
      </c>
      <c r="I87" s="999" t="s">
        <v>2653</v>
      </c>
      <c r="J87" s="850"/>
      <c r="K87" s="850"/>
      <c r="L87" s="850"/>
      <c r="M87" s="850"/>
      <c r="N87" s="850"/>
      <c r="O87" s="850"/>
      <c r="P87" s="850"/>
      <c r="Q87" s="850"/>
      <c r="R87" s="850"/>
      <c r="S87" s="850"/>
    </row>
    <row r="88" spans="1:19">
      <c r="A88" s="850" t="s">
        <v>2585</v>
      </c>
      <c r="B88" s="850" t="s">
        <v>676</v>
      </c>
      <c r="C88" s="576" t="s">
        <v>2586</v>
      </c>
      <c r="D88" s="850"/>
      <c r="E88" s="850"/>
      <c r="F88" s="850"/>
      <c r="G88" s="850"/>
      <c r="H88" s="850"/>
      <c r="I88" s="850"/>
      <c r="J88" s="850"/>
      <c r="K88" s="850"/>
      <c r="L88" s="850"/>
      <c r="M88" s="850"/>
      <c r="N88" s="850"/>
      <c r="O88" s="850"/>
      <c r="P88" s="850"/>
      <c r="Q88" s="850"/>
      <c r="R88" s="850"/>
      <c r="S88" s="850"/>
    </row>
    <row r="89" spans="1:19">
      <c r="A89" s="172"/>
      <c r="B89" s="172" t="s">
        <v>675</v>
      </c>
      <c r="C89" s="172" t="s">
        <v>681</v>
      </c>
      <c r="D89" s="172"/>
      <c r="E89" s="172" t="s">
        <v>2666</v>
      </c>
      <c r="F89" s="172"/>
      <c r="G89" s="172"/>
      <c r="H89" s="172"/>
      <c r="I89" s="172"/>
      <c r="J89" s="172"/>
      <c r="K89" s="172"/>
      <c r="L89" s="172"/>
      <c r="M89" s="172"/>
      <c r="N89" s="172"/>
      <c r="O89" s="172"/>
      <c r="P89" s="172"/>
      <c r="Q89" s="172"/>
      <c r="R89" s="172"/>
      <c r="S89" s="172"/>
    </row>
    <row r="90" spans="1:19">
      <c r="A90" s="850"/>
      <c r="B90" s="850"/>
      <c r="C90" s="850"/>
      <c r="D90" s="850"/>
      <c r="E90" s="850"/>
      <c r="F90" s="850"/>
      <c r="G90" s="850"/>
      <c r="H90" s="850"/>
      <c r="I90" s="850"/>
      <c r="J90" s="850"/>
      <c r="K90" s="850"/>
      <c r="L90" s="850"/>
      <c r="M90" s="850"/>
      <c r="N90" s="850"/>
      <c r="O90" s="850"/>
      <c r="P90" s="850"/>
      <c r="Q90" s="850"/>
      <c r="R90" s="850"/>
      <c r="S90" s="850"/>
    </row>
    <row r="91" spans="1:19">
      <c r="A91" s="172"/>
      <c r="B91" s="172" t="s">
        <v>675</v>
      </c>
      <c r="C91" s="172" t="s">
        <v>681</v>
      </c>
      <c r="D91" s="172"/>
      <c r="E91" s="172" t="s">
        <v>2667</v>
      </c>
      <c r="F91" s="172"/>
      <c r="G91" s="172"/>
      <c r="H91" s="172"/>
      <c r="I91" s="172"/>
      <c r="J91" s="172"/>
      <c r="K91" s="172"/>
      <c r="L91" s="172"/>
      <c r="M91" s="172"/>
      <c r="N91" s="172"/>
      <c r="O91" s="172"/>
      <c r="P91" s="172"/>
      <c r="Q91" s="172"/>
      <c r="R91" s="172"/>
      <c r="S91" s="172"/>
    </row>
    <row r="92" spans="1:19">
      <c r="A92" s="850" t="s">
        <v>2585</v>
      </c>
      <c r="B92" s="850" t="s">
        <v>675</v>
      </c>
      <c r="C92" s="576" t="s">
        <v>2586</v>
      </c>
      <c r="D92" s="850"/>
      <c r="E92" s="850"/>
      <c r="F92" s="850"/>
      <c r="G92" s="850"/>
      <c r="H92" s="850"/>
      <c r="I92" s="850"/>
      <c r="J92" s="850"/>
      <c r="K92" s="850"/>
      <c r="L92" s="850"/>
      <c r="M92" s="850"/>
      <c r="N92" s="850"/>
      <c r="O92" s="850"/>
      <c r="P92" s="850"/>
      <c r="Q92" s="850"/>
      <c r="R92" s="850"/>
      <c r="S92" s="850"/>
    </row>
    <row r="93" spans="1:19">
      <c r="A93" s="850" t="s">
        <v>2585</v>
      </c>
      <c r="B93" s="850" t="s">
        <v>675</v>
      </c>
      <c r="C93" s="576" t="s">
        <v>2586</v>
      </c>
      <c r="D93" s="850"/>
      <c r="E93" s="850"/>
      <c r="F93" s="850"/>
      <c r="G93" s="850"/>
      <c r="H93" s="850"/>
      <c r="I93" s="850"/>
      <c r="J93" s="850"/>
      <c r="K93" s="850"/>
      <c r="L93" s="850"/>
      <c r="M93" s="850"/>
      <c r="N93" s="850"/>
      <c r="O93" s="850"/>
      <c r="P93" s="850"/>
      <c r="Q93" s="850"/>
      <c r="R93" s="850"/>
      <c r="S93" s="850"/>
    </row>
    <row r="94" spans="1:19" ht="25.5">
      <c r="A94" s="850" t="s">
        <v>2585</v>
      </c>
      <c r="B94" s="850" t="s">
        <v>675</v>
      </c>
      <c r="C94" s="576" t="s">
        <v>2586</v>
      </c>
      <c r="D94" s="850"/>
      <c r="E94" s="850"/>
      <c r="F94" s="173" t="s">
        <v>2587</v>
      </c>
      <c r="G94" s="174" t="s">
        <v>2588</v>
      </c>
      <c r="H94" s="850"/>
      <c r="I94" s="850"/>
      <c r="J94" s="850"/>
      <c r="K94" s="850"/>
      <c r="L94" s="850"/>
      <c r="M94" s="850"/>
      <c r="N94" s="850"/>
      <c r="O94" s="850"/>
      <c r="P94" s="850"/>
      <c r="Q94" s="850"/>
      <c r="R94" s="850"/>
      <c r="S94" s="850"/>
    </row>
    <row r="95" spans="1:19">
      <c r="A95" s="850" t="s">
        <v>2585</v>
      </c>
      <c r="B95" s="850" t="s">
        <v>675</v>
      </c>
      <c r="C95" s="576" t="s">
        <v>2586</v>
      </c>
      <c r="D95" s="850"/>
      <c r="E95" s="1" t="s">
        <v>2668</v>
      </c>
      <c r="F95" s="992"/>
      <c r="G95" s="993"/>
      <c r="H95" s="850"/>
      <c r="I95" s="850"/>
      <c r="J95" s="850"/>
      <c r="K95" s="850"/>
      <c r="L95" s="850"/>
      <c r="M95" s="850"/>
      <c r="N95" s="850"/>
      <c r="O95" s="850"/>
      <c r="P95" s="850"/>
      <c r="Q95" s="850"/>
      <c r="R95" s="850"/>
      <c r="S95" s="850"/>
    </row>
    <row r="96" spans="1:19">
      <c r="A96" s="850" t="s">
        <v>2585</v>
      </c>
      <c r="B96" s="850" t="s">
        <v>675</v>
      </c>
      <c r="C96" s="576" t="s">
        <v>2586</v>
      </c>
      <c r="D96" s="850"/>
      <c r="E96" s="850" t="s">
        <v>2669</v>
      </c>
      <c r="F96" s="992"/>
      <c r="G96" s="993"/>
      <c r="H96" s="850"/>
      <c r="I96" s="850"/>
      <c r="J96" s="850"/>
      <c r="K96" s="850"/>
      <c r="L96" s="850"/>
      <c r="M96" s="850"/>
      <c r="N96" s="850"/>
      <c r="O96" s="850"/>
      <c r="P96" s="850"/>
      <c r="Q96" s="850"/>
      <c r="R96" s="850"/>
      <c r="S96" s="850"/>
    </row>
    <row r="97" spans="1:19">
      <c r="A97" s="850"/>
      <c r="B97" s="850"/>
      <c r="C97" s="576"/>
      <c r="D97" s="850"/>
      <c r="E97" s="859" t="s">
        <v>3098</v>
      </c>
      <c r="F97" s="992"/>
      <c r="G97" s="847">
        <v>8655778</v>
      </c>
      <c r="H97" s="850" t="s">
        <v>3099</v>
      </c>
      <c r="I97" s="850"/>
      <c r="J97" s="850"/>
      <c r="K97" s="850"/>
      <c r="L97" s="850"/>
      <c r="M97" s="850"/>
      <c r="N97" s="850"/>
      <c r="O97" s="850"/>
      <c r="P97" s="850"/>
      <c r="Q97" s="850"/>
      <c r="R97" s="850"/>
      <c r="S97" s="850"/>
    </row>
    <row r="98" spans="1:19">
      <c r="A98" s="850" t="s">
        <v>2585</v>
      </c>
      <c r="B98" s="850" t="s">
        <v>675</v>
      </c>
      <c r="C98" s="576" t="s">
        <v>2586</v>
      </c>
      <c r="D98" s="850"/>
      <c r="E98" s="859" t="s">
        <v>3100</v>
      </c>
      <c r="F98" s="1000">
        <f>204461825</f>
        <v>204461825</v>
      </c>
      <c r="G98" s="993"/>
      <c r="H98" s="850"/>
      <c r="I98" s="850"/>
      <c r="J98" s="850"/>
      <c r="K98" s="850"/>
      <c r="L98" s="850"/>
      <c r="M98" s="850"/>
      <c r="N98" s="850"/>
      <c r="O98" s="850"/>
      <c r="P98" s="850"/>
      <c r="Q98" s="850"/>
      <c r="R98" s="850"/>
      <c r="S98" s="850"/>
    </row>
    <row r="99" spans="1:19">
      <c r="A99" s="850" t="s">
        <v>2585</v>
      </c>
      <c r="B99" s="850" t="s">
        <v>675</v>
      </c>
      <c r="C99" s="576" t="s">
        <v>2586</v>
      </c>
      <c r="D99" s="850"/>
      <c r="E99" s="859" t="s">
        <v>2673</v>
      </c>
      <c r="F99" s="990">
        <v>400000</v>
      </c>
      <c r="G99" s="847">
        <v>0</v>
      </c>
      <c r="H99" s="850"/>
      <c r="I99" s="850"/>
      <c r="J99" s="850"/>
      <c r="K99" s="850"/>
      <c r="L99" s="850"/>
      <c r="M99" s="850"/>
      <c r="N99" s="850"/>
      <c r="O99" s="850"/>
      <c r="P99" s="850"/>
      <c r="Q99" s="850"/>
      <c r="R99" s="850"/>
      <c r="S99" s="850"/>
    </row>
    <row r="100" spans="1:19">
      <c r="A100" s="850" t="s">
        <v>2585</v>
      </c>
      <c r="B100" s="850" t="s">
        <v>675</v>
      </c>
      <c r="C100" s="576" t="s">
        <v>2586</v>
      </c>
      <c r="D100" s="850"/>
      <c r="E100" s="859" t="s">
        <v>2674</v>
      </c>
      <c r="F100" s="1000">
        <f>'A5.FY24'!K13+'A5.FY24'!G17-3312851</f>
        <v>52985839</v>
      </c>
      <c r="G100" s="847">
        <v>48322270</v>
      </c>
      <c r="H100" s="850" t="s">
        <v>3101</v>
      </c>
      <c r="I100" s="850"/>
      <c r="J100" s="850"/>
      <c r="K100" s="850"/>
      <c r="L100" s="850"/>
      <c r="M100" s="850"/>
      <c r="N100" s="850"/>
      <c r="O100" s="850"/>
      <c r="P100" s="850"/>
      <c r="Q100" s="850"/>
      <c r="R100" s="850"/>
      <c r="S100" s="850"/>
    </row>
    <row r="101" spans="1:19" ht="13.5" thickBot="1">
      <c r="A101" s="850" t="s">
        <v>2585</v>
      </c>
      <c r="B101" s="850" t="s">
        <v>675</v>
      </c>
      <c r="C101" s="576" t="s">
        <v>2586</v>
      </c>
      <c r="D101" s="850"/>
      <c r="E101" s="850"/>
      <c r="F101" s="1562">
        <f>SUM(F98:F100)</f>
        <v>257847664</v>
      </c>
      <c r="G101" s="1563">
        <f>SUM(G97:G100)</f>
        <v>56978048</v>
      </c>
      <c r="H101" s="850"/>
      <c r="I101" s="850"/>
      <c r="J101" s="850"/>
      <c r="K101" s="850"/>
      <c r="L101" s="850"/>
      <c r="M101" s="850"/>
      <c r="N101" s="850"/>
      <c r="O101" s="850"/>
      <c r="P101" s="850"/>
      <c r="Q101" s="850"/>
      <c r="R101" s="850"/>
      <c r="S101" s="850"/>
    </row>
    <row r="102" spans="1:19" ht="13.5" thickTop="1">
      <c r="A102" s="850" t="s">
        <v>2585</v>
      </c>
      <c r="B102" s="850" t="s">
        <v>675</v>
      </c>
      <c r="C102" s="576" t="s">
        <v>2586</v>
      </c>
      <c r="D102" s="850"/>
      <c r="E102" s="850"/>
      <c r="F102" s="850"/>
      <c r="G102" s="850"/>
      <c r="H102" s="850"/>
      <c r="I102" s="850"/>
      <c r="J102" s="850"/>
      <c r="K102" s="850"/>
      <c r="L102" s="850"/>
      <c r="M102" s="850"/>
      <c r="N102" s="850"/>
      <c r="O102" s="850"/>
      <c r="P102" s="850"/>
      <c r="Q102" s="850"/>
      <c r="R102" s="850"/>
      <c r="S102" s="850"/>
    </row>
    <row r="103" spans="1:19">
      <c r="A103" s="850" t="s">
        <v>2585</v>
      </c>
      <c r="B103" s="850" t="s">
        <v>675</v>
      </c>
      <c r="C103" s="576" t="s">
        <v>2586</v>
      </c>
      <c r="D103" s="850"/>
      <c r="E103" s="1" t="s">
        <v>1970</v>
      </c>
      <c r="F103" s="857">
        <f>F101-'A1.BS'!G19</f>
        <v>0</v>
      </c>
      <c r="G103" s="857">
        <f>G101-'A1.BS'!L19</f>
        <v>0</v>
      </c>
      <c r="H103" s="850"/>
      <c r="I103" s="850"/>
      <c r="J103" s="850"/>
      <c r="K103" s="850"/>
      <c r="L103" s="850"/>
      <c r="M103" s="850"/>
      <c r="N103" s="850"/>
      <c r="O103" s="850"/>
      <c r="P103" s="850"/>
      <c r="Q103" s="850"/>
      <c r="R103" s="850"/>
      <c r="S103" s="850"/>
    </row>
    <row r="104" spans="1:19">
      <c r="A104" s="850" t="s">
        <v>2585</v>
      </c>
      <c r="B104" s="850" t="s">
        <v>675</v>
      </c>
      <c r="C104" s="576" t="s">
        <v>2586</v>
      </c>
      <c r="D104" s="850"/>
      <c r="E104" s="850"/>
      <c r="F104" s="850"/>
      <c r="G104" s="850"/>
      <c r="H104" s="850"/>
      <c r="I104" s="850"/>
      <c r="J104" s="850"/>
      <c r="K104" s="850"/>
      <c r="L104" s="850"/>
      <c r="M104" s="850"/>
      <c r="N104" s="850"/>
      <c r="O104" s="850"/>
      <c r="P104" s="850"/>
      <c r="Q104" s="850"/>
      <c r="R104" s="850"/>
      <c r="S104" s="850"/>
    </row>
    <row r="105" spans="1:19">
      <c r="A105" s="850" t="s">
        <v>2585</v>
      </c>
      <c r="B105" s="850" t="s">
        <v>675</v>
      </c>
      <c r="C105" s="576" t="s">
        <v>2586</v>
      </c>
      <c r="D105" s="850"/>
      <c r="E105" s="859" t="s">
        <v>3102</v>
      </c>
      <c r="F105" s="850"/>
      <c r="G105" s="850"/>
      <c r="H105" s="850"/>
      <c r="I105" s="850" t="s">
        <v>2683</v>
      </c>
      <c r="J105" s="850"/>
      <c r="K105" s="850"/>
      <c r="L105" s="850"/>
      <c r="M105" s="850"/>
      <c r="N105" s="850"/>
      <c r="O105" s="850"/>
      <c r="P105" s="850"/>
      <c r="Q105" s="850"/>
      <c r="R105" s="850"/>
      <c r="S105" s="850"/>
    </row>
    <row r="106" spans="1:19">
      <c r="A106" s="850" t="s">
        <v>2585</v>
      </c>
      <c r="B106" s="850" t="s">
        <v>675</v>
      </c>
      <c r="C106" s="576" t="s">
        <v>2586</v>
      </c>
      <c r="D106" s="850"/>
      <c r="E106" s="1001" t="s">
        <v>3103</v>
      </c>
      <c r="F106" s="990">
        <f>F99</f>
        <v>400000</v>
      </c>
      <c r="G106" s="847">
        <v>0</v>
      </c>
      <c r="H106" s="850"/>
      <c r="I106" s="850"/>
      <c r="J106" s="850"/>
      <c r="K106" s="850"/>
      <c r="L106" s="850"/>
      <c r="M106" s="850"/>
      <c r="N106" s="850"/>
      <c r="O106" s="850"/>
      <c r="P106" s="850"/>
      <c r="Q106" s="850"/>
      <c r="R106" s="850"/>
      <c r="S106" s="850"/>
    </row>
    <row r="107" spans="1:19" ht="13.5" thickBot="1">
      <c r="A107" s="850" t="s">
        <v>2585</v>
      </c>
      <c r="B107" s="850" t="s">
        <v>675</v>
      </c>
      <c r="C107" s="576" t="s">
        <v>2586</v>
      </c>
      <c r="D107" s="850"/>
      <c r="E107" s="850"/>
      <c r="F107" s="1562">
        <f>SUM(F106:F106)</f>
        <v>400000</v>
      </c>
      <c r="G107" s="1563">
        <f>SUM(G106:G106)</f>
        <v>0</v>
      </c>
      <c r="H107" s="850"/>
      <c r="I107" s="850"/>
      <c r="J107" s="850"/>
      <c r="K107" s="850"/>
      <c r="L107" s="850"/>
      <c r="M107" s="850"/>
      <c r="N107" s="850"/>
      <c r="O107" s="850"/>
      <c r="P107" s="850"/>
      <c r="Q107" s="850"/>
      <c r="R107" s="850"/>
      <c r="S107" s="850"/>
    </row>
    <row r="108" spans="1:19" ht="13.5" thickTop="1">
      <c r="A108" s="850" t="s">
        <v>2585</v>
      </c>
      <c r="B108" s="850" t="s">
        <v>675</v>
      </c>
      <c r="C108" s="576" t="s">
        <v>2586</v>
      </c>
      <c r="D108" s="850"/>
      <c r="E108" s="850"/>
      <c r="F108" s="850"/>
      <c r="G108" s="850"/>
      <c r="H108" s="850"/>
      <c r="I108" s="850"/>
      <c r="J108" s="850"/>
      <c r="K108" s="850"/>
      <c r="L108" s="850"/>
      <c r="M108" s="850"/>
      <c r="N108" s="850"/>
      <c r="O108" s="850"/>
      <c r="P108" s="850"/>
      <c r="Q108" s="850"/>
      <c r="R108" s="850"/>
      <c r="S108" s="850"/>
    </row>
    <row r="109" spans="1:19">
      <c r="A109" s="850" t="s">
        <v>2585</v>
      </c>
      <c r="B109" s="850" t="s">
        <v>675</v>
      </c>
      <c r="C109" s="576" t="s">
        <v>2586</v>
      </c>
      <c r="D109" s="850"/>
      <c r="E109" s="1" t="s">
        <v>1970</v>
      </c>
      <c r="F109" s="848">
        <f>F107-F99</f>
        <v>0</v>
      </c>
      <c r="G109" s="848">
        <f>G107-G99</f>
        <v>0</v>
      </c>
      <c r="H109" s="850"/>
      <c r="I109" s="850"/>
      <c r="J109" s="850"/>
      <c r="K109" s="850"/>
      <c r="L109" s="850"/>
      <c r="M109" s="850"/>
      <c r="N109" s="850"/>
      <c r="O109" s="850"/>
      <c r="P109" s="850"/>
      <c r="Q109" s="850"/>
      <c r="R109" s="850"/>
      <c r="S109" s="850"/>
    </row>
    <row r="110" spans="1:19">
      <c r="A110" s="850" t="s">
        <v>2585</v>
      </c>
      <c r="B110" s="850" t="s">
        <v>675</v>
      </c>
      <c r="C110" s="576" t="s">
        <v>2586</v>
      </c>
      <c r="D110" s="850"/>
      <c r="E110" s="850"/>
      <c r="F110" s="850"/>
      <c r="G110" s="850"/>
      <c r="H110" s="850"/>
      <c r="I110" s="850"/>
      <c r="J110" s="850"/>
      <c r="K110" s="850"/>
      <c r="L110" s="850"/>
      <c r="M110" s="850"/>
      <c r="N110" s="850"/>
      <c r="O110" s="850"/>
      <c r="P110" s="850"/>
      <c r="Q110" s="850"/>
      <c r="R110" s="850"/>
      <c r="S110" s="850"/>
    </row>
    <row r="111" spans="1:19">
      <c r="A111" s="850" t="s">
        <v>2585</v>
      </c>
      <c r="B111" s="850" t="s">
        <v>675</v>
      </c>
      <c r="C111" s="576" t="s">
        <v>2586</v>
      </c>
      <c r="D111" s="850"/>
      <c r="E111" s="850"/>
      <c r="F111" s="850"/>
      <c r="G111" s="850"/>
      <c r="H111" s="850"/>
      <c r="I111" s="850"/>
      <c r="J111" s="850"/>
      <c r="K111" s="850"/>
      <c r="L111" s="850"/>
      <c r="M111" s="850"/>
      <c r="N111" s="850"/>
      <c r="O111" s="850"/>
      <c r="P111" s="850"/>
      <c r="Q111" s="850"/>
      <c r="R111" s="850"/>
      <c r="S111" s="850"/>
    </row>
    <row r="112" spans="1:19">
      <c r="A112" s="172"/>
      <c r="B112" s="172" t="s">
        <v>675</v>
      </c>
      <c r="C112" s="172" t="s">
        <v>681</v>
      </c>
      <c r="D112" s="172"/>
      <c r="E112" s="172" t="s">
        <v>2676</v>
      </c>
      <c r="F112" s="172"/>
      <c r="G112" s="172"/>
      <c r="H112" s="172"/>
      <c r="I112" s="172"/>
      <c r="J112" s="172"/>
      <c r="K112" s="172"/>
      <c r="L112" s="172"/>
      <c r="M112" s="172"/>
      <c r="N112" s="172"/>
      <c r="O112" s="172"/>
      <c r="P112" s="172"/>
      <c r="Q112" s="172"/>
      <c r="R112" s="172"/>
      <c r="S112" s="172"/>
    </row>
    <row r="113" spans="1:19">
      <c r="A113" s="850" t="s">
        <v>2585</v>
      </c>
      <c r="B113" s="850" t="s">
        <v>675</v>
      </c>
      <c r="C113" s="576" t="s">
        <v>2586</v>
      </c>
      <c r="D113" s="850"/>
      <c r="E113" s="850"/>
      <c r="F113" s="850"/>
      <c r="G113" s="850"/>
      <c r="H113" s="850"/>
      <c r="I113" s="850"/>
      <c r="J113" s="850"/>
      <c r="K113" s="850"/>
      <c r="L113" s="850"/>
      <c r="M113" s="850"/>
      <c r="N113" s="850"/>
      <c r="O113" s="850"/>
      <c r="P113" s="850"/>
      <c r="Q113" s="850"/>
      <c r="R113" s="850"/>
      <c r="S113" s="850"/>
    </row>
    <row r="114" spans="1:19" ht="25.5">
      <c r="A114" s="850" t="s">
        <v>2585</v>
      </c>
      <c r="B114" s="850" t="s">
        <v>675</v>
      </c>
      <c r="C114" s="576" t="s">
        <v>2586</v>
      </c>
      <c r="D114" s="850"/>
      <c r="E114" s="850"/>
      <c r="F114" s="173" t="s">
        <v>2587</v>
      </c>
      <c r="G114" s="174" t="s">
        <v>2588</v>
      </c>
      <c r="H114" s="850"/>
      <c r="I114" s="850"/>
      <c r="J114" s="850"/>
      <c r="K114" s="850"/>
      <c r="L114" s="850"/>
      <c r="M114" s="850"/>
      <c r="N114" s="850"/>
      <c r="O114" s="850"/>
      <c r="P114" s="850"/>
      <c r="Q114" s="850"/>
      <c r="R114" s="850"/>
      <c r="S114" s="850"/>
    </row>
    <row r="115" spans="1:19">
      <c r="A115" s="850" t="s">
        <v>2585</v>
      </c>
      <c r="B115" s="850" t="s">
        <v>675</v>
      </c>
      <c r="C115" s="576" t="s">
        <v>2586</v>
      </c>
      <c r="D115" s="850"/>
      <c r="E115" s="1" t="s">
        <v>2668</v>
      </c>
      <c r="F115" s="992"/>
      <c r="G115" s="993"/>
      <c r="H115" s="850"/>
      <c r="I115" s="850"/>
      <c r="J115" s="850"/>
      <c r="K115" s="850"/>
      <c r="L115" s="850"/>
      <c r="M115" s="850"/>
      <c r="N115" s="850"/>
      <c r="O115" s="850"/>
      <c r="P115" s="850"/>
      <c r="Q115" s="850"/>
      <c r="R115" s="850"/>
      <c r="S115" s="850"/>
    </row>
    <row r="116" spans="1:19">
      <c r="A116" s="850" t="s">
        <v>2585</v>
      </c>
      <c r="B116" s="850" t="s">
        <v>675</v>
      </c>
      <c r="C116" s="576" t="s">
        <v>2586</v>
      </c>
      <c r="D116" s="850"/>
      <c r="E116" s="850" t="s">
        <v>2230</v>
      </c>
      <c r="F116" s="992"/>
      <c r="G116" s="993"/>
      <c r="H116" s="850"/>
      <c r="I116" s="850"/>
      <c r="J116" s="850"/>
      <c r="K116" s="850"/>
      <c r="L116" s="850"/>
      <c r="M116" s="850"/>
      <c r="N116" s="850"/>
      <c r="O116" s="850"/>
      <c r="P116" s="850"/>
      <c r="Q116" s="850"/>
      <c r="R116" s="850"/>
      <c r="S116" s="850"/>
    </row>
    <row r="117" spans="1:19">
      <c r="A117" s="850" t="s">
        <v>2585</v>
      </c>
      <c r="B117" s="850" t="s">
        <v>675</v>
      </c>
      <c r="C117" s="576" t="s">
        <v>2586</v>
      </c>
      <c r="D117" s="850"/>
      <c r="E117" s="859" t="s">
        <v>2677</v>
      </c>
      <c r="F117" s="990">
        <v>89207360</v>
      </c>
      <c r="G117" s="847">
        <v>10275000</v>
      </c>
      <c r="H117" s="850" t="s">
        <v>3099</v>
      </c>
      <c r="I117" s="850"/>
      <c r="J117" s="850"/>
      <c r="K117" s="850"/>
      <c r="L117" s="850"/>
      <c r="M117" s="850"/>
      <c r="N117" s="850"/>
      <c r="O117" s="850"/>
      <c r="P117" s="850"/>
      <c r="Q117" s="850"/>
      <c r="R117" s="850"/>
      <c r="S117" s="850"/>
    </row>
    <row r="118" spans="1:19">
      <c r="A118" s="850" t="s">
        <v>2585</v>
      </c>
      <c r="B118" s="850" t="s">
        <v>675</v>
      </c>
      <c r="C118" s="576" t="s">
        <v>2586</v>
      </c>
      <c r="D118" s="850"/>
      <c r="E118" s="859" t="s">
        <v>2678</v>
      </c>
      <c r="F118" s="990">
        <v>0</v>
      </c>
      <c r="G118" s="847">
        <v>16904765</v>
      </c>
      <c r="H118" s="850" t="s">
        <v>3099</v>
      </c>
      <c r="I118" s="850"/>
      <c r="J118" s="850"/>
      <c r="K118" s="850"/>
      <c r="L118" s="850"/>
      <c r="M118" s="850"/>
      <c r="N118" s="850"/>
      <c r="O118" s="850"/>
      <c r="P118" s="850"/>
      <c r="Q118" s="850"/>
      <c r="R118" s="850"/>
      <c r="S118" s="850"/>
    </row>
    <row r="119" spans="1:19" ht="12.75" customHeight="1">
      <c r="A119" s="850" t="s">
        <v>2585</v>
      </c>
      <c r="B119" s="850" t="s">
        <v>675</v>
      </c>
      <c r="C119" s="576" t="s">
        <v>2586</v>
      </c>
      <c r="D119" s="850"/>
      <c r="E119" s="1001" t="s">
        <v>2679</v>
      </c>
      <c r="F119" s="990">
        <f>0</f>
        <v>0</v>
      </c>
      <c r="G119" s="847">
        <v>0</v>
      </c>
      <c r="H119" s="850"/>
      <c r="I119" s="850"/>
      <c r="J119" s="850"/>
      <c r="K119" s="850"/>
      <c r="L119" s="850"/>
      <c r="M119" s="850"/>
      <c r="N119" s="850"/>
      <c r="O119" s="850"/>
      <c r="P119" s="850"/>
      <c r="Q119" s="850"/>
      <c r="R119" s="850"/>
      <c r="S119" s="850"/>
    </row>
    <row r="120" spans="1:19">
      <c r="A120" s="850" t="s">
        <v>2585</v>
      </c>
      <c r="B120" s="850" t="s">
        <v>675</v>
      </c>
      <c r="C120" s="576" t="s">
        <v>2586</v>
      </c>
      <c r="D120" s="850"/>
      <c r="E120" s="859" t="s">
        <v>3104</v>
      </c>
      <c r="F120" s="990">
        <v>0</v>
      </c>
      <c r="G120" s="847">
        <v>0</v>
      </c>
      <c r="H120" s="850"/>
      <c r="I120" s="850"/>
      <c r="J120" s="850"/>
      <c r="K120" s="850"/>
      <c r="L120" s="850"/>
      <c r="M120" s="850"/>
      <c r="N120" s="850"/>
      <c r="O120" s="850"/>
      <c r="P120" s="850"/>
      <c r="Q120" s="850"/>
      <c r="R120" s="850"/>
      <c r="S120" s="850"/>
    </row>
    <row r="121" spans="1:19">
      <c r="A121" s="850" t="s">
        <v>2585</v>
      </c>
      <c r="B121" s="850" t="s">
        <v>675</v>
      </c>
      <c r="C121" s="576" t="s">
        <v>2586</v>
      </c>
      <c r="D121" s="850"/>
      <c r="E121" s="859" t="s">
        <v>3105</v>
      </c>
      <c r="F121" s="990">
        <v>0</v>
      </c>
      <c r="G121" s="847">
        <v>0</v>
      </c>
      <c r="H121" s="850"/>
      <c r="I121" s="850"/>
      <c r="J121" s="850"/>
      <c r="K121" s="850"/>
      <c r="L121" s="850"/>
      <c r="M121" s="850"/>
      <c r="N121" s="850"/>
      <c r="O121" s="850"/>
      <c r="P121" s="850"/>
      <c r="Q121" s="850"/>
      <c r="R121" s="850"/>
      <c r="S121" s="850"/>
    </row>
    <row r="122" spans="1:19">
      <c r="A122" s="850" t="s">
        <v>2585</v>
      </c>
      <c r="B122" s="850" t="s">
        <v>675</v>
      </c>
      <c r="C122" s="576" t="s">
        <v>2586</v>
      </c>
      <c r="D122" s="850"/>
      <c r="E122" s="859" t="s">
        <v>3106</v>
      </c>
      <c r="F122" s="990">
        <v>7470300</v>
      </c>
      <c r="G122" s="847">
        <v>0</v>
      </c>
      <c r="H122" s="850"/>
      <c r="I122" s="850"/>
      <c r="J122" s="850"/>
      <c r="K122" s="850"/>
      <c r="L122" s="850"/>
      <c r="M122" s="850"/>
      <c r="N122" s="850"/>
      <c r="O122" s="850"/>
      <c r="P122" s="850"/>
      <c r="Q122" s="850"/>
      <c r="R122" s="850"/>
      <c r="S122" s="850"/>
    </row>
    <row r="123" spans="1:19" ht="13.5" thickBot="1">
      <c r="A123" s="850" t="s">
        <v>2585</v>
      </c>
      <c r="B123" s="850" t="s">
        <v>675</v>
      </c>
      <c r="C123" s="576" t="s">
        <v>2586</v>
      </c>
      <c r="D123" s="850"/>
      <c r="E123" s="850"/>
      <c r="F123" s="1562">
        <f>SUM(F117:F122)</f>
        <v>96677660</v>
      </c>
      <c r="G123" s="1563">
        <f>SUM(G117:G122)</f>
        <v>27179765</v>
      </c>
      <c r="H123" s="850"/>
      <c r="I123" s="850"/>
      <c r="J123" s="850"/>
      <c r="K123" s="850"/>
      <c r="L123" s="850"/>
      <c r="M123" s="850"/>
      <c r="N123" s="850"/>
      <c r="O123" s="850"/>
      <c r="P123" s="850"/>
      <c r="Q123" s="850"/>
      <c r="R123" s="850"/>
      <c r="S123" s="850"/>
    </row>
    <row r="124" spans="1:19" ht="13.5" thickTop="1">
      <c r="A124" s="850" t="s">
        <v>2585</v>
      </c>
      <c r="B124" s="850" t="s">
        <v>675</v>
      </c>
      <c r="C124" s="576" t="s">
        <v>2586</v>
      </c>
      <c r="D124" s="850"/>
      <c r="E124" s="850"/>
      <c r="F124" s="850"/>
      <c r="G124" s="850"/>
      <c r="H124" s="850"/>
      <c r="I124" s="850"/>
      <c r="J124" s="850"/>
      <c r="K124" s="850"/>
      <c r="L124" s="850"/>
      <c r="M124" s="850"/>
      <c r="N124" s="850"/>
      <c r="O124" s="850"/>
      <c r="P124" s="850"/>
      <c r="Q124" s="850"/>
      <c r="R124" s="850"/>
      <c r="S124" s="850"/>
    </row>
    <row r="125" spans="1:19">
      <c r="A125" s="850" t="s">
        <v>2585</v>
      </c>
      <c r="B125" s="850" t="s">
        <v>675</v>
      </c>
      <c r="C125" s="576" t="s">
        <v>2586</v>
      </c>
      <c r="D125" s="850"/>
      <c r="E125" s="1" t="s">
        <v>1970</v>
      </c>
      <c r="F125" s="857">
        <f>F123-'A1.BS'!G20</f>
        <v>0</v>
      </c>
      <c r="G125" s="848">
        <f>G123-'A1.BS'!L20</f>
        <v>0</v>
      </c>
      <c r="H125" s="850"/>
      <c r="I125" s="850"/>
      <c r="J125" s="850"/>
      <c r="K125" s="850"/>
      <c r="L125" s="850"/>
      <c r="M125" s="850"/>
      <c r="N125" s="850"/>
      <c r="O125" s="850"/>
      <c r="P125" s="850"/>
      <c r="Q125" s="850"/>
      <c r="R125" s="850"/>
      <c r="S125" s="850"/>
    </row>
    <row r="126" spans="1:19">
      <c r="A126" s="850" t="s">
        <v>2585</v>
      </c>
      <c r="B126" s="850" t="s">
        <v>675</v>
      </c>
      <c r="C126" s="576" t="s">
        <v>2586</v>
      </c>
      <c r="D126" s="850"/>
      <c r="E126" s="850"/>
      <c r="F126" s="850"/>
      <c r="G126" s="850"/>
      <c r="H126" s="850"/>
      <c r="I126" s="850"/>
      <c r="J126" s="850"/>
      <c r="K126" s="850"/>
      <c r="L126" s="850"/>
      <c r="M126" s="850"/>
      <c r="N126" s="850"/>
      <c r="O126" s="850"/>
      <c r="P126" s="850"/>
      <c r="Q126" s="850"/>
      <c r="R126" s="850"/>
      <c r="S126" s="850"/>
    </row>
    <row r="127" spans="1:19">
      <c r="A127" s="850" t="s">
        <v>2585</v>
      </c>
      <c r="B127" s="850" t="s">
        <v>675</v>
      </c>
      <c r="C127" s="576" t="s">
        <v>2586</v>
      </c>
      <c r="D127" s="850"/>
      <c r="E127" s="859" t="s">
        <v>2682</v>
      </c>
      <c r="F127" s="992"/>
      <c r="G127" s="993"/>
      <c r="H127" s="850"/>
      <c r="I127" s="850" t="s">
        <v>2683</v>
      </c>
      <c r="J127" s="850"/>
      <c r="K127" s="850"/>
      <c r="L127" s="850"/>
      <c r="M127" s="850"/>
      <c r="N127" s="850"/>
      <c r="O127" s="850"/>
      <c r="P127" s="850"/>
      <c r="Q127" s="850"/>
      <c r="R127" s="850"/>
      <c r="S127" s="850"/>
    </row>
    <row r="128" spans="1:19">
      <c r="A128" s="850" t="s">
        <v>2585</v>
      </c>
      <c r="B128" s="850" t="s">
        <v>675</v>
      </c>
      <c r="C128" s="576" t="s">
        <v>2586</v>
      </c>
      <c r="D128" s="850"/>
      <c r="E128" s="859" t="s">
        <v>2684</v>
      </c>
      <c r="F128" s="990">
        <v>0</v>
      </c>
      <c r="G128" s="847">
        <v>0</v>
      </c>
      <c r="H128" s="850"/>
      <c r="I128" s="850"/>
      <c r="J128" s="850"/>
      <c r="K128" s="850"/>
      <c r="L128" s="850"/>
      <c r="M128" s="850"/>
      <c r="N128" s="850"/>
      <c r="O128" s="850"/>
      <c r="P128" s="850"/>
      <c r="Q128" s="850"/>
      <c r="R128" s="850"/>
      <c r="S128" s="850"/>
    </row>
    <row r="129" spans="1:19">
      <c r="A129" s="850" t="s">
        <v>2585</v>
      </c>
      <c r="B129" s="850" t="s">
        <v>675</v>
      </c>
      <c r="C129" s="576" t="s">
        <v>2586</v>
      </c>
      <c r="D129" s="850"/>
      <c r="E129" s="859" t="s">
        <v>2685</v>
      </c>
      <c r="F129" s="990">
        <v>0</v>
      </c>
      <c r="G129" s="847">
        <v>0</v>
      </c>
      <c r="H129" s="850"/>
      <c r="I129" s="850"/>
      <c r="J129" s="850"/>
      <c r="K129" s="850"/>
      <c r="L129" s="850"/>
      <c r="M129" s="850"/>
      <c r="N129" s="850"/>
      <c r="O129" s="850"/>
      <c r="P129" s="850"/>
      <c r="Q129" s="850"/>
      <c r="R129" s="850"/>
      <c r="S129" s="850"/>
    </row>
    <row r="130" spans="1:19" ht="13.5" thickBot="1">
      <c r="A130" s="850" t="s">
        <v>2585</v>
      </c>
      <c r="B130" s="850" t="s">
        <v>675</v>
      </c>
      <c r="C130" s="576" t="s">
        <v>2586</v>
      </c>
      <c r="D130" s="850"/>
      <c r="E130" s="850"/>
      <c r="F130" s="1568">
        <f>SUM(F128:F129)</f>
        <v>0</v>
      </c>
      <c r="G130" s="1569">
        <f>SUM(G128:G129)</f>
        <v>0</v>
      </c>
      <c r="H130" s="850"/>
      <c r="I130" s="850"/>
      <c r="J130" s="850"/>
      <c r="K130" s="850"/>
      <c r="L130" s="850"/>
      <c r="M130" s="850"/>
      <c r="N130" s="850"/>
      <c r="O130" s="850"/>
      <c r="P130" s="850"/>
      <c r="Q130" s="850"/>
      <c r="R130" s="850"/>
      <c r="S130" s="850"/>
    </row>
    <row r="131" spans="1:19" ht="13.5" thickTop="1">
      <c r="A131" s="850" t="s">
        <v>2585</v>
      </c>
      <c r="B131" s="850" t="s">
        <v>675</v>
      </c>
      <c r="C131" s="576" t="s">
        <v>2586</v>
      </c>
      <c r="D131" s="850"/>
      <c r="E131" s="850"/>
      <c r="F131" s="850"/>
      <c r="G131" s="850"/>
      <c r="H131" s="850"/>
      <c r="I131" s="850"/>
      <c r="J131" s="850"/>
      <c r="K131" s="850"/>
      <c r="L131" s="850"/>
      <c r="M131" s="850"/>
      <c r="N131" s="850"/>
      <c r="O131" s="850"/>
      <c r="P131" s="850"/>
      <c r="Q131" s="850"/>
      <c r="R131" s="850"/>
      <c r="S131" s="850"/>
    </row>
    <row r="132" spans="1:19">
      <c r="A132" s="850" t="s">
        <v>2585</v>
      </c>
      <c r="B132" s="850" t="s">
        <v>675</v>
      </c>
      <c r="C132" s="576" t="s">
        <v>2586</v>
      </c>
      <c r="D132" s="850"/>
      <c r="E132" s="1" t="s">
        <v>1970</v>
      </c>
      <c r="F132" s="1002">
        <f>F130-F121</f>
        <v>0</v>
      </c>
      <c r="G132" s="1002">
        <f>G130-G121</f>
        <v>0</v>
      </c>
      <c r="H132" s="850"/>
      <c r="I132" s="850"/>
      <c r="J132" s="850"/>
      <c r="K132" s="850"/>
      <c r="L132" s="850"/>
      <c r="M132" s="850"/>
      <c r="N132" s="850"/>
      <c r="O132" s="850"/>
      <c r="P132" s="850"/>
      <c r="Q132" s="850"/>
      <c r="R132" s="850"/>
      <c r="S132" s="850"/>
    </row>
    <row r="133" spans="1:19">
      <c r="A133" s="850" t="s">
        <v>2585</v>
      </c>
      <c r="B133" s="850" t="s">
        <v>675</v>
      </c>
      <c r="C133" s="576" t="s">
        <v>2586</v>
      </c>
      <c r="D133" s="850"/>
      <c r="E133" s="850"/>
      <c r="F133" s="850"/>
      <c r="G133" s="850"/>
      <c r="H133" s="850"/>
      <c r="I133" s="850"/>
      <c r="J133" s="850"/>
      <c r="K133" s="850"/>
      <c r="L133" s="850"/>
      <c r="M133" s="850"/>
      <c r="N133" s="850"/>
      <c r="O133" s="850"/>
      <c r="P133" s="850"/>
      <c r="Q133" s="850"/>
      <c r="R133" s="850"/>
      <c r="S133" s="850"/>
    </row>
    <row r="134" spans="1:19">
      <c r="A134" s="172"/>
      <c r="B134" s="172" t="s">
        <v>675</v>
      </c>
      <c r="C134" s="172" t="s">
        <v>681</v>
      </c>
      <c r="D134" s="172"/>
      <c r="E134" s="172" t="s">
        <v>2687</v>
      </c>
      <c r="F134" s="172"/>
      <c r="G134" s="172"/>
      <c r="H134" s="172"/>
      <c r="I134" s="172"/>
      <c r="J134" s="172"/>
      <c r="K134" s="172"/>
      <c r="L134" s="172"/>
      <c r="M134" s="172"/>
      <c r="N134" s="172"/>
      <c r="O134" s="172"/>
      <c r="P134" s="172"/>
      <c r="Q134" s="172"/>
      <c r="R134" s="172"/>
      <c r="S134" s="172"/>
    </row>
    <row r="135" spans="1:19">
      <c r="A135" s="850" t="s">
        <v>2585</v>
      </c>
      <c r="B135" s="850" t="s">
        <v>675</v>
      </c>
      <c r="C135" s="576" t="s">
        <v>2586</v>
      </c>
      <c r="D135" s="850"/>
      <c r="E135" s="850"/>
      <c r="F135" s="850"/>
      <c r="G135" s="850"/>
      <c r="H135" s="850"/>
      <c r="I135" s="850"/>
      <c r="J135" s="850"/>
      <c r="K135" s="850"/>
      <c r="L135" s="850"/>
      <c r="M135" s="850"/>
      <c r="N135" s="850"/>
      <c r="O135" s="850"/>
      <c r="P135" s="850"/>
      <c r="Q135" s="850"/>
      <c r="R135" s="850"/>
      <c r="S135" s="850"/>
    </row>
    <row r="136" spans="1:19">
      <c r="A136" s="850" t="s">
        <v>2585</v>
      </c>
      <c r="B136" s="850" t="s">
        <v>675</v>
      </c>
      <c r="C136" s="576" t="s">
        <v>2586</v>
      </c>
      <c r="D136" s="850"/>
      <c r="E136" s="850"/>
      <c r="F136" s="182">
        <v>45657</v>
      </c>
      <c r="G136" s="183"/>
      <c r="H136" s="185">
        <v>45291</v>
      </c>
      <c r="I136" s="186"/>
      <c r="J136" s="850"/>
      <c r="K136" s="850"/>
      <c r="L136" s="850"/>
      <c r="M136" s="850"/>
      <c r="N136" s="850"/>
      <c r="O136" s="850"/>
      <c r="P136" s="850"/>
      <c r="Q136" s="850"/>
      <c r="R136" s="850"/>
      <c r="S136" s="850"/>
    </row>
    <row r="137" spans="1:19" ht="25.5">
      <c r="A137" s="850" t="s">
        <v>2585</v>
      </c>
      <c r="B137" s="850" t="s">
        <v>675</v>
      </c>
      <c r="C137" s="576" t="s">
        <v>2586</v>
      </c>
      <c r="D137" s="850"/>
      <c r="E137" s="299" t="s">
        <v>2791</v>
      </c>
      <c r="F137" s="152" t="s">
        <v>2688</v>
      </c>
      <c r="G137" s="152" t="s">
        <v>2614</v>
      </c>
      <c r="H137" s="190" t="s">
        <v>2688</v>
      </c>
      <c r="I137" s="190" t="s">
        <v>2614</v>
      </c>
      <c r="J137" s="850"/>
      <c r="K137" s="850"/>
      <c r="L137" s="850"/>
      <c r="M137" s="850"/>
      <c r="N137" s="850"/>
      <c r="O137" s="850"/>
      <c r="P137" s="850"/>
      <c r="Q137" s="850"/>
      <c r="R137" s="850"/>
      <c r="S137" s="850"/>
    </row>
    <row r="138" spans="1:19">
      <c r="A138" s="850" t="s">
        <v>2585</v>
      </c>
      <c r="B138" s="850" t="s">
        <v>675</v>
      </c>
      <c r="C138" s="576" t="s">
        <v>2586</v>
      </c>
      <c r="D138" s="850"/>
      <c r="E138" s="1" t="s">
        <v>2668</v>
      </c>
      <c r="F138" s="992"/>
      <c r="G138" s="992"/>
      <c r="H138" s="993"/>
      <c r="I138" s="993"/>
      <c r="J138" s="850"/>
      <c r="K138" s="850"/>
      <c r="L138" s="850"/>
      <c r="M138" s="850"/>
      <c r="N138" s="850"/>
      <c r="O138" s="850"/>
      <c r="P138" s="850"/>
      <c r="Q138" s="850"/>
      <c r="R138" s="850"/>
      <c r="S138" s="850"/>
    </row>
    <row r="139" spans="1:19">
      <c r="A139" s="850" t="s">
        <v>2585</v>
      </c>
      <c r="B139" s="850" t="s">
        <v>675</v>
      </c>
      <c r="C139" s="576" t="s">
        <v>2586</v>
      </c>
      <c r="D139" s="859" t="s">
        <v>2245</v>
      </c>
      <c r="E139" s="1003" t="s">
        <v>2689</v>
      </c>
      <c r="F139" s="990">
        <f>ROUND(SUMIFS('A0.LS'!L:L,'A0.LS'!D:D,'A4.N2FS Singles'!D139),0)</f>
        <v>2084520548</v>
      </c>
      <c r="G139" s="990">
        <v>0</v>
      </c>
      <c r="H139" s="847">
        <f>ROUND(SUMIFS('A0.LS'!Q:Q,'A0.LS'!D:D,'A4.N2FS Singles'!D139),0)</f>
        <v>23257811780</v>
      </c>
      <c r="I139" s="847">
        <v>0</v>
      </c>
      <c r="J139" s="946">
        <f t="shared" ref="J139:J144" si="2">F139/$F$145</f>
        <v>6.1424656559909516E-2</v>
      </c>
      <c r="K139" s="946">
        <f t="shared" ref="K139:K144" si="3">H139/$H$145</f>
        <v>0.43023704440241972</v>
      </c>
      <c r="L139" s="850"/>
      <c r="M139" s="850"/>
      <c r="N139" s="850"/>
      <c r="O139" s="850"/>
      <c r="P139" s="850"/>
      <c r="Q139" s="850"/>
      <c r="R139" s="850"/>
      <c r="S139" s="850"/>
    </row>
    <row r="140" spans="1:19" ht="25.5">
      <c r="A140" s="850" t="s">
        <v>2585</v>
      </c>
      <c r="B140" s="850" t="s">
        <v>675</v>
      </c>
      <c r="C140" s="576" t="s">
        <v>2586</v>
      </c>
      <c r="D140" s="850"/>
      <c r="E140" s="1001" t="s">
        <v>2690</v>
      </c>
      <c r="F140" s="990"/>
      <c r="G140" s="990">
        <v>0</v>
      </c>
      <c r="H140" s="847">
        <v>13344256648</v>
      </c>
      <c r="I140" s="847">
        <v>0</v>
      </c>
      <c r="J140" s="946">
        <f t="shared" si="2"/>
        <v>0</v>
      </c>
      <c r="K140" s="946">
        <f t="shared" si="3"/>
        <v>0.24685011617988339</v>
      </c>
      <c r="L140" s="850"/>
      <c r="M140" s="850"/>
      <c r="N140" s="850"/>
      <c r="O140" s="850"/>
      <c r="P140" s="850"/>
      <c r="Q140" s="850"/>
      <c r="R140" s="850"/>
      <c r="S140" s="850"/>
    </row>
    <row r="141" spans="1:19" ht="38.25">
      <c r="A141" s="850" t="s">
        <v>2585</v>
      </c>
      <c r="B141" s="850" t="s">
        <v>675</v>
      </c>
      <c r="C141" s="576" t="s">
        <v>2586</v>
      </c>
      <c r="D141" s="859" t="s">
        <v>2239</v>
      </c>
      <c r="E141" s="1003" t="s">
        <v>2691</v>
      </c>
      <c r="F141" s="990">
        <f>ROUND(SUMIFS('A0.LS'!L:L,'A0.LS'!D:D,'A4.N2FS Singles'!D141),0)</f>
        <v>25358520133</v>
      </c>
      <c r="G141" s="990">
        <v>0</v>
      </c>
      <c r="H141" s="847">
        <f>ROUND(SUMIFS('A0.LS'!Q:Q,'A0.LS'!D:D,'A4.N2FS Singles'!D141),0)</f>
        <v>9074618885</v>
      </c>
      <c r="I141" s="847">
        <v>0</v>
      </c>
      <c r="J141" s="946">
        <f t="shared" si="2"/>
        <v>0.74724060241649193</v>
      </c>
      <c r="K141" s="946">
        <f t="shared" si="3"/>
        <v>0.16786777901084129</v>
      </c>
      <c r="L141" s="850"/>
      <c r="M141" s="850"/>
      <c r="N141" s="850"/>
      <c r="O141" s="850"/>
      <c r="P141" s="850"/>
      <c r="Q141" s="850"/>
      <c r="R141" s="850"/>
      <c r="S141" s="850"/>
    </row>
    <row r="142" spans="1:19">
      <c r="A142" s="850" t="s">
        <v>2585</v>
      </c>
      <c r="B142" s="850" t="s">
        <v>675</v>
      </c>
      <c r="C142" s="576" t="s">
        <v>2586</v>
      </c>
      <c r="D142" s="850"/>
      <c r="E142" s="1003" t="s">
        <v>2696</v>
      </c>
      <c r="F142" s="990"/>
      <c r="G142" s="990">
        <v>0</v>
      </c>
      <c r="H142" s="847">
        <v>3566649656</v>
      </c>
      <c r="I142" s="847">
        <v>0</v>
      </c>
      <c r="J142" s="946">
        <f t="shared" si="2"/>
        <v>0</v>
      </c>
      <c r="K142" s="946">
        <f t="shared" si="3"/>
        <v>6.5978038730879568E-2</v>
      </c>
      <c r="L142" s="850"/>
      <c r="M142" s="850"/>
      <c r="N142" s="850"/>
      <c r="O142" s="850"/>
      <c r="P142" s="850"/>
      <c r="Q142" s="850"/>
      <c r="R142" s="850"/>
      <c r="S142" s="850"/>
    </row>
    <row r="143" spans="1:19">
      <c r="A143" s="850" t="s">
        <v>2585</v>
      </c>
      <c r="B143" s="850" t="s">
        <v>675</v>
      </c>
      <c r="C143" s="576" t="s">
        <v>2586</v>
      </c>
      <c r="D143" s="859" t="s">
        <v>2256</v>
      </c>
      <c r="E143" s="1003" t="s">
        <v>2697</v>
      </c>
      <c r="F143" s="990">
        <f>ROUND(SUMIFS('A0.LS'!L:L,'A0.LS'!D:D,'A4.N2FS Singles'!D143),0)</f>
        <v>1217818537</v>
      </c>
      <c r="G143" s="990">
        <v>0</v>
      </c>
      <c r="H143" s="847">
        <f>ROUND(SUMIFS('A0.LS'!Q:Q,'A0.LS'!D:D,'A4.N2FS Singles'!D143),0)</f>
        <v>1479284783</v>
      </c>
      <c r="I143" s="847">
        <v>0</v>
      </c>
      <c r="J143" s="946">
        <f t="shared" si="2"/>
        <v>3.5885511159526581E-2</v>
      </c>
      <c r="K143" s="946">
        <f t="shared" si="3"/>
        <v>2.736470304634114E-2</v>
      </c>
      <c r="L143" s="850"/>
      <c r="M143" s="850"/>
      <c r="N143" s="850"/>
      <c r="O143" s="850"/>
      <c r="P143" s="850"/>
      <c r="Q143" s="850"/>
      <c r="R143" s="850"/>
      <c r="S143" s="850"/>
    </row>
    <row r="144" spans="1:19">
      <c r="A144" s="850" t="s">
        <v>2585</v>
      </c>
      <c r="B144" s="850" t="s">
        <v>675</v>
      </c>
      <c r="C144" s="576" t="s">
        <v>2586</v>
      </c>
      <c r="D144" s="859" t="s">
        <v>2220</v>
      </c>
      <c r="E144" s="1003" t="s">
        <v>2694</v>
      </c>
      <c r="F144" s="211">
        <f>ROUND(SUMIFS('A0.LS'!L:L,'A0.LS'!D:D,'A4.N2FS Singles'!D144)-SUM(F140,F142),0)+F158</f>
        <v>5275358984</v>
      </c>
      <c r="G144" s="990">
        <v>0</v>
      </c>
      <c r="H144" s="847">
        <f>ROUND(SUMIFS('A0.LS'!Q:Q,'A0.LS'!D:D,'A4.N2FS Singles'!D144)-SUM(H140,H142)+H158,0)</f>
        <v>3335512206</v>
      </c>
      <c r="I144" s="847">
        <v>0</v>
      </c>
      <c r="J144" s="946">
        <f t="shared" si="2"/>
        <v>0.15544922986407195</v>
      </c>
      <c r="K144" s="946">
        <f t="shared" si="3"/>
        <v>6.1702318629634857E-2</v>
      </c>
      <c r="L144" s="850"/>
      <c r="M144" s="850"/>
      <c r="N144" s="850"/>
      <c r="O144" s="850"/>
      <c r="P144" s="850"/>
      <c r="Q144" s="850"/>
      <c r="R144" s="850"/>
      <c r="S144" s="850"/>
    </row>
    <row r="145" spans="1:19" ht="13.5" thickBot="1">
      <c r="A145" s="850" t="s">
        <v>2585</v>
      </c>
      <c r="B145" s="850" t="s">
        <v>675</v>
      </c>
      <c r="C145" s="576" t="s">
        <v>2586</v>
      </c>
      <c r="D145" s="850"/>
      <c r="E145" s="850"/>
      <c r="F145" s="1559">
        <f>SUM(F139:F144)</f>
        <v>33936218202</v>
      </c>
      <c r="G145" s="1559">
        <f>SUM(G139:G144)</f>
        <v>0</v>
      </c>
      <c r="H145" s="1561">
        <f>SUM(H139:H144)</f>
        <v>54058133958</v>
      </c>
      <c r="I145" s="1561">
        <f>SUM(I139:I144)</f>
        <v>0</v>
      </c>
      <c r="J145" s="850"/>
      <c r="K145" s="850"/>
      <c r="L145" s="850"/>
      <c r="M145" s="850"/>
      <c r="N145" s="850"/>
      <c r="O145" s="850"/>
      <c r="P145" s="850"/>
      <c r="Q145" s="850"/>
      <c r="R145" s="850"/>
      <c r="S145" s="850"/>
    </row>
    <row r="146" spans="1:19" ht="13.5" thickTop="1">
      <c r="A146" s="850" t="s">
        <v>2585</v>
      </c>
      <c r="B146" s="850" t="s">
        <v>675</v>
      </c>
      <c r="C146" s="576" t="s">
        <v>2586</v>
      </c>
      <c r="D146" s="850"/>
      <c r="E146" s="850"/>
      <c r="F146" s="850"/>
      <c r="G146" s="850"/>
      <c r="H146" s="850"/>
      <c r="I146" s="850"/>
      <c r="J146" s="850"/>
      <c r="K146" s="850"/>
      <c r="L146" s="850"/>
      <c r="M146" s="850"/>
      <c r="N146" s="850"/>
      <c r="O146" s="850"/>
      <c r="P146" s="850"/>
      <c r="Q146" s="850"/>
      <c r="R146" s="850"/>
      <c r="S146" s="850"/>
    </row>
    <row r="147" spans="1:19">
      <c r="A147" s="850" t="s">
        <v>2585</v>
      </c>
      <c r="B147" s="850" t="s">
        <v>675</v>
      </c>
      <c r="C147" s="576" t="s">
        <v>2586</v>
      </c>
      <c r="D147" s="850"/>
      <c r="E147" s="1" t="s">
        <v>2002</v>
      </c>
      <c r="F147" s="857">
        <f>F145+G145-'A1.BS'!G24</f>
        <v>0</v>
      </c>
      <c r="G147" s="850"/>
      <c r="H147" s="857">
        <f>H145-'A1.BS'!L24</f>
        <v>0</v>
      </c>
      <c r="I147" s="850"/>
      <c r="J147" s="850"/>
      <c r="K147" s="850"/>
      <c r="L147" s="850"/>
      <c r="M147" s="850"/>
      <c r="N147" s="850"/>
      <c r="O147" s="850"/>
      <c r="P147" s="850"/>
      <c r="Q147" s="850"/>
      <c r="R147" s="850"/>
      <c r="S147" s="850"/>
    </row>
    <row r="148" spans="1:19">
      <c r="A148" s="850" t="s">
        <v>2585</v>
      </c>
      <c r="B148" s="850" t="s">
        <v>675</v>
      </c>
      <c r="C148" s="576" t="s">
        <v>2586</v>
      </c>
      <c r="D148" s="850"/>
      <c r="E148" s="850"/>
      <c r="F148" s="850"/>
      <c r="G148" s="850"/>
      <c r="H148" s="850"/>
      <c r="I148" s="850"/>
      <c r="J148" s="850"/>
      <c r="K148" s="850"/>
      <c r="L148" s="850"/>
      <c r="M148" s="850"/>
      <c r="N148" s="850"/>
      <c r="O148" s="850"/>
      <c r="P148" s="850"/>
      <c r="Q148" s="850"/>
      <c r="R148" s="850"/>
      <c r="S148" s="850"/>
    </row>
    <row r="149" spans="1:19">
      <c r="A149" s="850" t="s">
        <v>2585</v>
      </c>
      <c r="B149" s="850" t="s">
        <v>675</v>
      </c>
      <c r="C149" s="576" t="s">
        <v>2586</v>
      </c>
      <c r="D149" s="850"/>
      <c r="E149" s="850"/>
      <c r="F149" s="182">
        <v>45473</v>
      </c>
      <c r="G149" s="183"/>
      <c r="H149" s="185">
        <v>45291</v>
      </c>
      <c r="I149" s="186"/>
      <c r="J149" s="850"/>
      <c r="K149" s="850"/>
      <c r="L149" s="850"/>
      <c r="M149" s="182">
        <v>45473</v>
      </c>
      <c r="N149" s="183"/>
      <c r="O149" s="185">
        <v>45291</v>
      </c>
      <c r="P149" s="186"/>
      <c r="Q149" s="850"/>
      <c r="R149" s="850"/>
      <c r="S149" s="850"/>
    </row>
    <row r="150" spans="1:19" ht="25.5">
      <c r="A150" s="850" t="s">
        <v>2585</v>
      </c>
      <c r="B150" s="850" t="s">
        <v>675</v>
      </c>
      <c r="C150" s="576" t="s">
        <v>2586</v>
      </c>
      <c r="D150" s="850"/>
      <c r="E150" s="850"/>
      <c r="F150" s="152" t="s">
        <v>2688</v>
      </c>
      <c r="G150" s="152" t="s">
        <v>2614</v>
      </c>
      <c r="H150" s="190" t="s">
        <v>2688</v>
      </c>
      <c r="I150" s="190" t="s">
        <v>2614</v>
      </c>
      <c r="J150" s="850"/>
      <c r="K150" s="850"/>
      <c r="L150" s="299" t="s">
        <v>2791</v>
      </c>
      <c r="M150" s="152" t="s">
        <v>2688</v>
      </c>
      <c r="N150" s="152" t="s">
        <v>2614</v>
      </c>
      <c r="O150" s="190" t="s">
        <v>2688</v>
      </c>
      <c r="P150" s="190" t="s">
        <v>2614</v>
      </c>
      <c r="Q150" s="850"/>
      <c r="R150" s="850"/>
      <c r="S150" s="850"/>
    </row>
    <row r="151" spans="1:19">
      <c r="A151" s="850" t="s">
        <v>2585</v>
      </c>
      <c r="B151" s="850" t="s">
        <v>675</v>
      </c>
      <c r="C151" s="576" t="s">
        <v>2586</v>
      </c>
      <c r="D151" s="850"/>
      <c r="E151" s="1" t="s">
        <v>2668</v>
      </c>
      <c r="F151" s="850"/>
      <c r="G151" s="899"/>
      <c r="H151" s="850"/>
      <c r="I151" s="850"/>
      <c r="J151" s="850"/>
      <c r="K151" s="850"/>
      <c r="L151" s="1" t="s">
        <v>2668</v>
      </c>
      <c r="M151" s="992"/>
      <c r="N151" s="992"/>
      <c r="O151" s="993"/>
      <c r="P151" s="993"/>
      <c r="Q151" s="850"/>
      <c r="R151" s="850"/>
      <c r="S151" s="850"/>
    </row>
    <row r="152" spans="1:19">
      <c r="A152" s="850" t="s">
        <v>2585</v>
      </c>
      <c r="B152" s="850" t="s">
        <v>675</v>
      </c>
      <c r="C152" s="576" t="s">
        <v>2586</v>
      </c>
      <c r="D152" s="850"/>
      <c r="E152" s="859" t="s">
        <v>3107</v>
      </c>
      <c r="F152" s="990">
        <f>F140</f>
        <v>0</v>
      </c>
      <c r="G152" s="990">
        <v>0</v>
      </c>
      <c r="H152" s="847">
        <v>13344256648</v>
      </c>
      <c r="I152" s="847">
        <v>0</v>
      </c>
      <c r="J152" s="1004">
        <f>H152/$H$165</f>
        <v>0.24685011617988339</v>
      </c>
      <c r="K152" s="1004">
        <f>F152/$F$165</f>
        <v>0</v>
      </c>
      <c r="L152" s="850" t="s">
        <v>2689</v>
      </c>
      <c r="M152" s="994">
        <f>F157</f>
        <v>2084520548</v>
      </c>
      <c r="N152" s="990">
        <v>0</v>
      </c>
      <c r="O152" s="998">
        <f>H157</f>
        <v>23257811780</v>
      </c>
      <c r="P152" s="847">
        <v>0</v>
      </c>
      <c r="Q152" s="850"/>
      <c r="R152" s="850"/>
      <c r="S152" s="850"/>
    </row>
    <row r="153" spans="1:19">
      <c r="A153" s="850" t="s">
        <v>2585</v>
      </c>
      <c r="B153" s="850" t="s">
        <v>675</v>
      </c>
      <c r="C153" s="576" t="s">
        <v>2586</v>
      </c>
      <c r="D153" s="850"/>
      <c r="E153" s="859" t="s">
        <v>3108</v>
      </c>
      <c r="F153" s="990">
        <v>0</v>
      </c>
      <c r="G153" s="990">
        <v>0</v>
      </c>
      <c r="H153" s="847">
        <v>0</v>
      </c>
      <c r="I153" s="847">
        <v>0</v>
      </c>
      <c r="J153" s="1004">
        <f t="shared" ref="J153:J164" si="4">H153/$H$165</f>
        <v>0</v>
      </c>
      <c r="K153" s="1004">
        <f t="shared" ref="K153:K163" si="5">F153/$F$165</f>
        <v>0</v>
      </c>
      <c r="L153" s="859" t="s">
        <v>3107</v>
      </c>
      <c r="M153" s="990">
        <v>13344256648</v>
      </c>
      <c r="N153" s="990">
        <v>0</v>
      </c>
      <c r="O153" s="847">
        <v>8223302826</v>
      </c>
      <c r="P153" s="847">
        <v>0</v>
      </c>
      <c r="Q153" s="850"/>
      <c r="R153" s="850"/>
      <c r="S153" s="850"/>
    </row>
    <row r="154" spans="1:19" ht="25.5">
      <c r="A154" s="850" t="s">
        <v>2585</v>
      </c>
      <c r="B154" s="850" t="s">
        <v>675</v>
      </c>
      <c r="C154" s="576" t="s">
        <v>2586</v>
      </c>
      <c r="D154" s="850"/>
      <c r="E154" s="859" t="s">
        <v>3109</v>
      </c>
      <c r="F154" s="990">
        <v>0</v>
      </c>
      <c r="G154" s="990">
        <v>0</v>
      </c>
      <c r="H154" s="847">
        <v>27409060</v>
      </c>
      <c r="I154" s="847">
        <v>0</v>
      </c>
      <c r="J154" s="1004">
        <f t="shared" si="4"/>
        <v>5.0702934032638327E-4</v>
      </c>
      <c r="K154" s="1004">
        <f t="shared" si="5"/>
        <v>0</v>
      </c>
      <c r="L154" s="1003" t="s">
        <v>2691</v>
      </c>
      <c r="M154" s="994">
        <f>F162</f>
        <v>25358520133</v>
      </c>
      <c r="N154" s="990">
        <v>0</v>
      </c>
      <c r="O154" s="847">
        <f>H162</f>
        <v>9074618885</v>
      </c>
      <c r="P154" s="847">
        <v>0</v>
      </c>
      <c r="Q154" s="850"/>
      <c r="R154" s="850"/>
      <c r="S154" s="850"/>
    </row>
    <row r="155" spans="1:19">
      <c r="A155" s="850" t="s">
        <v>2585</v>
      </c>
      <c r="B155" s="850" t="s">
        <v>675</v>
      </c>
      <c r="C155" s="576" t="s">
        <v>2586</v>
      </c>
      <c r="D155" s="850"/>
      <c r="E155" s="1008" t="s">
        <v>3110</v>
      </c>
      <c r="F155" s="990"/>
      <c r="G155" s="990">
        <v>0</v>
      </c>
      <c r="H155" s="847">
        <v>7175263</v>
      </c>
      <c r="I155" s="847">
        <v>0</v>
      </c>
      <c r="J155" s="1004">
        <f t="shared" si="4"/>
        <v>1.3273234709830641E-4</v>
      </c>
      <c r="K155" s="1004">
        <f t="shared" si="5"/>
        <v>0</v>
      </c>
      <c r="L155" s="850" t="s">
        <v>2696</v>
      </c>
      <c r="M155" s="990">
        <f>F164</f>
        <v>0</v>
      </c>
      <c r="N155" s="990">
        <f>G164</f>
        <v>0</v>
      </c>
      <c r="O155" s="847">
        <f>H164</f>
        <v>3566649656</v>
      </c>
      <c r="P155" s="847">
        <f>I164</f>
        <v>0</v>
      </c>
      <c r="Q155" s="850"/>
      <c r="R155" s="850"/>
      <c r="S155" s="850"/>
    </row>
    <row r="156" spans="1:19">
      <c r="A156" s="850" t="s">
        <v>2585</v>
      </c>
      <c r="B156" s="850" t="s">
        <v>675</v>
      </c>
      <c r="C156" s="576" t="s">
        <v>2586</v>
      </c>
      <c r="D156" s="850"/>
      <c r="E156" s="1008" t="s">
        <v>3111</v>
      </c>
      <c r="F156" s="990">
        <f>'A5.FY24'!K92</f>
        <v>2329343846</v>
      </c>
      <c r="G156" s="990">
        <v>0</v>
      </c>
      <c r="H156" s="847">
        <v>3163952678</v>
      </c>
      <c r="I156" s="847">
        <v>0</v>
      </c>
      <c r="J156" s="1004">
        <f t="shared" si="4"/>
        <v>5.8528706900208685E-2</v>
      </c>
      <c r="K156" s="1004">
        <f t="shared" si="5"/>
        <v>6.8638875202149729E-2</v>
      </c>
      <c r="L156" s="850" t="s">
        <v>2697</v>
      </c>
      <c r="M156" s="994">
        <f>F159</f>
        <v>1217818537</v>
      </c>
      <c r="N156" s="994">
        <f>G159</f>
        <v>0</v>
      </c>
      <c r="O156" s="998">
        <f>H159</f>
        <v>1479284783</v>
      </c>
      <c r="P156" s="998">
        <f>I159</f>
        <v>0</v>
      </c>
      <c r="Q156" s="850"/>
      <c r="R156" s="850"/>
      <c r="S156" s="850"/>
    </row>
    <row r="157" spans="1:19">
      <c r="A157" s="850" t="s">
        <v>2585</v>
      </c>
      <c r="B157" s="850" t="s">
        <v>675</v>
      </c>
      <c r="C157" s="576" t="s">
        <v>2586</v>
      </c>
      <c r="D157" s="859" t="s">
        <v>2245</v>
      </c>
      <c r="E157" s="850" t="s">
        <v>2689</v>
      </c>
      <c r="F157" s="990">
        <f>ROUND(SUMIFS('A0.LS'!L:L,'A0.LS'!D:D,'A4.N2FS Singles'!D157),0)</f>
        <v>2084520548</v>
      </c>
      <c r="G157" s="990">
        <v>0</v>
      </c>
      <c r="H157" s="847">
        <v>23257811780</v>
      </c>
      <c r="I157" s="847">
        <v>0</v>
      </c>
      <c r="J157" s="1004">
        <f t="shared" si="4"/>
        <v>0.43023704440241972</v>
      </c>
      <c r="K157" s="1004">
        <f t="shared" si="5"/>
        <v>6.1424656559909516E-2</v>
      </c>
      <c r="L157" s="850" t="s">
        <v>3112</v>
      </c>
      <c r="M157" s="994">
        <f>F161</f>
        <v>2872759147</v>
      </c>
      <c r="N157" s="994">
        <f>G161</f>
        <v>0</v>
      </c>
      <c r="O157" s="998">
        <f>H161</f>
        <v>792935656</v>
      </c>
      <c r="P157" s="998">
        <f>I161</f>
        <v>0</v>
      </c>
      <c r="Q157" s="850"/>
      <c r="R157" s="850"/>
      <c r="S157" s="850"/>
    </row>
    <row r="158" spans="1:19">
      <c r="A158" s="850" t="s">
        <v>2585</v>
      </c>
      <c r="B158" s="850" t="s">
        <v>675</v>
      </c>
      <c r="C158" s="576" t="s">
        <v>2586</v>
      </c>
      <c r="D158" s="859" t="s">
        <v>2233</v>
      </c>
      <c r="E158" s="1006" t="s">
        <v>61</v>
      </c>
      <c r="F158" s="990">
        <f>ROUND(SUMIFS('A0.LS'!L:L,'A0.LS'!D:D,'A4.N2FS Singles'!D158),0)</f>
        <v>56549028</v>
      </c>
      <c r="G158" s="990">
        <v>0</v>
      </c>
      <c r="H158" s="847">
        <v>77981100</v>
      </c>
      <c r="I158" s="847">
        <v>0</v>
      </c>
      <c r="J158" s="1004">
        <f t="shared" si="4"/>
        <v>1.4425414695332759E-3</v>
      </c>
      <c r="K158" s="1004">
        <f t="shared" si="5"/>
        <v>1.6663326379916822E-3</v>
      </c>
      <c r="L158" s="850" t="s">
        <v>56</v>
      </c>
      <c r="M158" s="994">
        <f>F165-SUM(M152:M157)</f>
        <v>-10941656811</v>
      </c>
      <c r="N158" s="990">
        <v>0</v>
      </c>
      <c r="O158" s="998">
        <f>H165-SUM(O152:O157)</f>
        <v>7663530372</v>
      </c>
      <c r="P158" s="998">
        <f>I162</f>
        <v>0</v>
      </c>
      <c r="Q158" s="850"/>
      <c r="R158" s="850"/>
      <c r="S158" s="850"/>
    </row>
    <row r="159" spans="1:19" ht="13.5" thickBot="1">
      <c r="A159" s="850" t="s">
        <v>2585</v>
      </c>
      <c r="B159" s="850" t="s">
        <v>675</v>
      </c>
      <c r="C159" s="576" t="s">
        <v>2586</v>
      </c>
      <c r="D159" s="859" t="s">
        <v>2256</v>
      </c>
      <c r="E159" s="850" t="s">
        <v>2697</v>
      </c>
      <c r="F159" s="990">
        <f>ROUND(SUMIFS('A0.LS'!L:L,'A0.LS'!D:D,'A4.N2FS Singles'!D159),0)</f>
        <v>1217818537</v>
      </c>
      <c r="G159" s="990">
        <v>0</v>
      </c>
      <c r="H159" s="847">
        <v>1479284783</v>
      </c>
      <c r="I159" s="847">
        <v>0</v>
      </c>
      <c r="J159" s="1004">
        <f t="shared" si="4"/>
        <v>2.736470304634114E-2</v>
      </c>
      <c r="K159" s="1004">
        <f t="shared" si="5"/>
        <v>3.5885511159526581E-2</v>
      </c>
      <c r="L159" s="850"/>
      <c r="M159" s="1559">
        <f>SUM(M152:M158)</f>
        <v>33936218202</v>
      </c>
      <c r="N159" s="1559">
        <f t="shared" ref="N159:P159" si="6">SUM(N152:N158)</f>
        <v>0</v>
      </c>
      <c r="O159" s="1561">
        <f t="shared" si="6"/>
        <v>54058133958</v>
      </c>
      <c r="P159" s="1561">
        <f t="shared" si="6"/>
        <v>0</v>
      </c>
      <c r="Q159" s="850"/>
      <c r="R159" s="850"/>
      <c r="S159" s="850"/>
    </row>
    <row r="160" spans="1:19" ht="13.5" thickTop="1">
      <c r="A160" s="850" t="s">
        <v>2585</v>
      </c>
      <c r="B160" s="850" t="s">
        <v>675</v>
      </c>
      <c r="C160" s="576" t="s">
        <v>2586</v>
      </c>
      <c r="D160" s="850"/>
      <c r="E160" s="850" t="s">
        <v>3113</v>
      </c>
      <c r="F160" s="990">
        <v>0</v>
      </c>
      <c r="G160" s="990">
        <v>0</v>
      </c>
      <c r="H160" s="847">
        <v>0</v>
      </c>
      <c r="I160" s="847">
        <v>0</v>
      </c>
      <c r="J160" s="1004">
        <f t="shared" si="4"/>
        <v>0</v>
      </c>
      <c r="K160" s="1004">
        <f t="shared" si="5"/>
        <v>0</v>
      </c>
      <c r="L160" s="850"/>
      <c r="M160" s="850"/>
      <c r="N160" s="850"/>
      <c r="O160" s="850"/>
      <c r="P160" s="850"/>
      <c r="Q160" s="850"/>
      <c r="R160" s="850"/>
      <c r="S160" s="850"/>
    </row>
    <row r="161" spans="1:19">
      <c r="A161" s="850" t="s">
        <v>2585</v>
      </c>
      <c r="B161" s="850" t="s">
        <v>675</v>
      </c>
      <c r="C161" s="576" t="s">
        <v>2586</v>
      </c>
      <c r="D161" s="1005" t="s">
        <v>3114</v>
      </c>
      <c r="E161" s="1006" t="s">
        <v>3112</v>
      </c>
      <c r="F161" s="1007">
        <f>'A5.FY24'!K97</f>
        <v>2872759147</v>
      </c>
      <c r="G161" s="1007">
        <v>0</v>
      </c>
      <c r="H161" s="1007">
        <v>792935656</v>
      </c>
      <c r="I161" s="847">
        <v>0</v>
      </c>
      <c r="J161" s="1004">
        <f t="shared" si="4"/>
        <v>1.4668202506140232E-2</v>
      </c>
      <c r="K161" s="1004">
        <f t="shared" si="5"/>
        <v>8.4651717227310158E-2</v>
      </c>
      <c r="L161" s="850"/>
      <c r="M161" s="850"/>
      <c r="N161" s="850"/>
      <c r="O161" s="850"/>
      <c r="P161" s="850"/>
      <c r="Q161" s="850"/>
      <c r="R161" s="850"/>
      <c r="S161" s="850"/>
    </row>
    <row r="162" spans="1:19" ht="38.25">
      <c r="A162" s="850" t="s">
        <v>2585</v>
      </c>
      <c r="B162" s="850" t="s">
        <v>675</v>
      </c>
      <c r="C162" s="576" t="s">
        <v>2586</v>
      </c>
      <c r="D162" s="859" t="s">
        <v>2239</v>
      </c>
      <c r="E162" s="1003" t="s">
        <v>2691</v>
      </c>
      <c r="F162" s="990">
        <f>ROUND(SUMIFS('A0.LS'!L:L,'A0.LS'!D:D,'A4.N2FS Singles'!D162),0)</f>
        <v>25358520133</v>
      </c>
      <c r="G162" s="990">
        <v>0</v>
      </c>
      <c r="H162" s="847">
        <v>9074618885</v>
      </c>
      <c r="I162" s="847">
        <v>0</v>
      </c>
      <c r="J162" s="1004">
        <f t="shared" si="4"/>
        <v>0.16786777901084129</v>
      </c>
      <c r="K162" s="1004">
        <f t="shared" si="5"/>
        <v>0.74724060241649193</v>
      </c>
      <c r="L162" s="850"/>
      <c r="M162" s="850"/>
      <c r="N162" s="850"/>
      <c r="O162" s="850"/>
      <c r="P162" s="850"/>
      <c r="Q162" s="850"/>
      <c r="R162" s="850"/>
      <c r="S162" s="850"/>
    </row>
    <row r="163" spans="1:19">
      <c r="A163" s="850" t="s">
        <v>2585</v>
      </c>
      <c r="B163" s="850" t="s">
        <v>675</v>
      </c>
      <c r="C163" s="576" t="s">
        <v>2586</v>
      </c>
      <c r="D163" s="859" t="s">
        <v>2220</v>
      </c>
      <c r="E163" s="1006" t="s">
        <v>2694</v>
      </c>
      <c r="F163" s="211">
        <f>ROUND(SUMIFS('A0.LS'!L:L,'A0.LS'!D:D,'A4.N2FS Singles'!D163)-SUM('A4.N2FS Singles'!F161,'A4.N2FS Singles'!F164,F152:F156),0)</f>
        <v>16706963</v>
      </c>
      <c r="G163" s="990">
        <v>0</v>
      </c>
      <c r="H163" s="847">
        <v>-733941551</v>
      </c>
      <c r="I163" s="847">
        <v>0</v>
      </c>
      <c r="J163" s="1004">
        <f t="shared" si="4"/>
        <v>-1.3576893933672026E-2</v>
      </c>
      <c r="K163" s="1004">
        <f t="shared" si="5"/>
        <v>4.9230479662036683E-4</v>
      </c>
      <c r="L163" s="850"/>
      <c r="M163" s="850"/>
      <c r="N163" s="850"/>
      <c r="O163" s="850"/>
      <c r="P163" s="850"/>
      <c r="Q163" s="850"/>
      <c r="R163" s="850"/>
      <c r="S163" s="850"/>
    </row>
    <row r="164" spans="1:19">
      <c r="A164" s="850" t="s">
        <v>2585</v>
      </c>
      <c r="B164" s="850" t="s">
        <v>675</v>
      </c>
      <c r="C164" s="576" t="s">
        <v>2586</v>
      </c>
      <c r="D164" s="850"/>
      <c r="E164" s="850" t="s">
        <v>2696</v>
      </c>
      <c r="F164" s="990">
        <f>F142</f>
        <v>0</v>
      </c>
      <c r="G164" s="990">
        <v>0</v>
      </c>
      <c r="H164" s="847">
        <v>3566649656</v>
      </c>
      <c r="I164" s="847">
        <v>0</v>
      </c>
      <c r="J164" s="1004">
        <f t="shared" si="4"/>
        <v>6.5978038730879568E-2</v>
      </c>
      <c r="K164" s="850"/>
      <c r="L164" s="850"/>
      <c r="M164" s="850"/>
      <c r="N164" s="850"/>
      <c r="O164" s="850"/>
      <c r="P164" s="850"/>
      <c r="Q164" s="850"/>
      <c r="R164" s="850"/>
      <c r="S164" s="850"/>
    </row>
    <row r="165" spans="1:19" ht="13.5" thickBot="1">
      <c r="A165" s="850" t="s">
        <v>2585</v>
      </c>
      <c r="B165" s="850" t="s">
        <v>675</v>
      </c>
      <c r="C165" s="576" t="s">
        <v>2586</v>
      </c>
      <c r="D165" s="850"/>
      <c r="E165" s="850"/>
      <c r="F165" s="1562">
        <f>SUM(F152:F164)</f>
        <v>33936218202</v>
      </c>
      <c r="G165" s="1562">
        <f>SUM(G152:G164)</f>
        <v>0</v>
      </c>
      <c r="H165" s="1563">
        <f>SUM(H152:H164)</f>
        <v>54058133958</v>
      </c>
      <c r="I165" s="1563">
        <f>SUM(I152:I164)</f>
        <v>0</v>
      </c>
      <c r="J165" s="850"/>
      <c r="K165" s="850"/>
      <c r="L165" s="850"/>
      <c r="M165" s="1284" t="s">
        <v>2668</v>
      </c>
      <c r="N165" s="850"/>
      <c r="O165" s="850"/>
      <c r="P165" s="850"/>
      <c r="Q165" s="850"/>
      <c r="R165" s="850"/>
      <c r="S165" s="850"/>
    </row>
    <row r="166" spans="1:19" ht="39" thickTop="1">
      <c r="A166" s="850" t="s">
        <v>2585</v>
      </c>
      <c r="B166" s="850" t="s">
        <v>675</v>
      </c>
      <c r="C166" s="576" t="s">
        <v>2586</v>
      </c>
      <c r="D166" s="850"/>
      <c r="E166" s="850"/>
      <c r="F166" s="857"/>
      <c r="G166" s="850"/>
      <c r="H166" s="850"/>
      <c r="I166" s="850"/>
      <c r="J166" s="850"/>
      <c r="K166" s="850"/>
      <c r="L166" s="1017">
        <v>14238513674</v>
      </c>
      <c r="M166" s="1287" t="s">
        <v>3107</v>
      </c>
      <c r="N166" s="1025">
        <v>2034118077</v>
      </c>
      <c r="O166" s="850"/>
      <c r="P166" s="850"/>
      <c r="Q166" s="850"/>
      <c r="R166" s="850"/>
      <c r="S166" s="850"/>
    </row>
    <row r="167" spans="1:19" ht="38.25">
      <c r="A167" s="850" t="s">
        <v>2585</v>
      </c>
      <c r="B167" s="850" t="s">
        <v>675</v>
      </c>
      <c r="C167" s="576" t="s">
        <v>2586</v>
      </c>
      <c r="D167" s="850"/>
      <c r="E167" s="1" t="s">
        <v>1970</v>
      </c>
      <c r="F167" s="857">
        <f>F165+G165-'A1.BS'!G24</f>
        <v>0</v>
      </c>
      <c r="G167" s="850"/>
      <c r="H167" s="857">
        <f>H165-'A1.BS'!L24</f>
        <v>0</v>
      </c>
      <c r="I167" s="850"/>
      <c r="J167" s="850"/>
      <c r="K167" s="850"/>
      <c r="L167" s="850"/>
      <c r="M167" s="1287" t="s">
        <v>3108</v>
      </c>
      <c r="N167" s="1025">
        <v>0</v>
      </c>
      <c r="O167" s="850"/>
      <c r="P167" s="850"/>
      <c r="Q167" s="850"/>
      <c r="R167" s="850"/>
      <c r="S167" s="850"/>
    </row>
    <row r="168" spans="1:19" ht="25.5">
      <c r="A168" s="850" t="s">
        <v>2585</v>
      </c>
      <c r="B168" s="850" t="s">
        <v>675</v>
      </c>
      <c r="C168" s="576" t="s">
        <v>2586</v>
      </c>
      <c r="D168" s="850"/>
      <c r="E168" s="850"/>
      <c r="F168" s="850"/>
      <c r="G168" s="850"/>
      <c r="H168" s="850"/>
      <c r="I168" s="850"/>
      <c r="J168" s="850"/>
      <c r="K168" s="850"/>
      <c r="L168" s="850"/>
      <c r="M168" s="1287" t="s">
        <v>3109</v>
      </c>
      <c r="N168" s="1025">
        <v>0</v>
      </c>
      <c r="O168" s="850"/>
      <c r="P168" s="850"/>
      <c r="Q168" s="850"/>
      <c r="R168" s="850"/>
      <c r="S168" s="850"/>
    </row>
    <row r="169" spans="1:19" ht="38.25">
      <c r="A169" s="850" t="s">
        <v>2585</v>
      </c>
      <c r="B169" s="850" t="s">
        <v>675</v>
      </c>
      <c r="C169" s="576" t="s">
        <v>2586</v>
      </c>
      <c r="D169" s="850"/>
      <c r="E169" s="1" t="s">
        <v>2696</v>
      </c>
      <c r="F169" s="992"/>
      <c r="G169" s="992"/>
      <c r="H169" s="993"/>
      <c r="I169" s="993"/>
      <c r="J169" s="850"/>
      <c r="K169" s="850"/>
      <c r="L169" s="850"/>
      <c r="M169" s="1284" t="s">
        <v>3110</v>
      </c>
      <c r="N169" s="857">
        <v>7175263</v>
      </c>
      <c r="O169" s="857">
        <f>N169+N170+N173+N175+N177</f>
        <v>14911036011</v>
      </c>
      <c r="P169" s="850"/>
      <c r="Q169" s="850"/>
      <c r="R169" s="850"/>
      <c r="S169" s="850"/>
    </row>
    <row r="170" spans="1:19" ht="38.25">
      <c r="A170" s="850" t="s">
        <v>2585</v>
      </c>
      <c r="B170" s="850" t="s">
        <v>675</v>
      </c>
      <c r="C170" s="576" t="s">
        <v>2586</v>
      </c>
      <c r="D170" s="850"/>
      <c r="E170" s="1001" t="s">
        <v>3115</v>
      </c>
      <c r="F170" s="1000"/>
      <c r="G170" s="990">
        <v>0</v>
      </c>
      <c r="H170" s="998">
        <v>2674885117</v>
      </c>
      <c r="I170" s="993"/>
      <c r="J170" s="850" t="s">
        <v>1250</v>
      </c>
      <c r="K170" s="850"/>
      <c r="L170" s="850"/>
      <c r="M170" s="1285" t="s">
        <v>3111</v>
      </c>
      <c r="N170" s="857">
        <v>5571246748</v>
      </c>
      <c r="O170" s="850"/>
      <c r="P170" s="850"/>
      <c r="Q170" s="850"/>
      <c r="R170" s="850"/>
      <c r="S170" s="850"/>
    </row>
    <row r="171" spans="1:19">
      <c r="A171" s="850" t="s">
        <v>2585</v>
      </c>
      <c r="B171" s="850" t="s">
        <v>675</v>
      </c>
      <c r="C171" s="576" t="s">
        <v>2586</v>
      </c>
      <c r="D171" s="850"/>
      <c r="E171" s="1001" t="s">
        <v>2700</v>
      </c>
      <c r="F171" s="990">
        <v>0</v>
      </c>
      <c r="G171" s="990">
        <v>0</v>
      </c>
      <c r="H171" s="998">
        <v>380000</v>
      </c>
      <c r="I171" s="993"/>
      <c r="J171" s="850" t="s">
        <v>62</v>
      </c>
      <c r="K171" s="850"/>
      <c r="L171" s="850"/>
      <c r="M171" s="1286" t="s">
        <v>2689</v>
      </c>
      <c r="N171" s="1025">
        <v>36078998795</v>
      </c>
      <c r="O171" s="850"/>
      <c r="P171" s="850"/>
      <c r="Q171" s="850"/>
      <c r="R171" s="850"/>
      <c r="S171" s="850"/>
    </row>
    <row r="172" spans="1:19">
      <c r="A172" s="850" t="s">
        <v>2585</v>
      </c>
      <c r="B172" s="850" t="s">
        <v>675</v>
      </c>
      <c r="C172" s="576" t="s">
        <v>2586</v>
      </c>
      <c r="D172" s="850"/>
      <c r="E172" s="1001" t="s">
        <v>2701</v>
      </c>
      <c r="F172" s="990">
        <v>0</v>
      </c>
      <c r="G172" s="990">
        <v>0</v>
      </c>
      <c r="H172" s="998">
        <v>28437160</v>
      </c>
      <c r="I172" s="993"/>
      <c r="J172" s="850" t="s">
        <v>62</v>
      </c>
      <c r="K172" s="850"/>
      <c r="L172" s="850"/>
      <c r="M172" s="1283" t="s">
        <v>61</v>
      </c>
      <c r="N172" s="857">
        <v>66037700</v>
      </c>
      <c r="O172" s="850"/>
      <c r="P172" s="850"/>
      <c r="Q172" s="850"/>
      <c r="R172" s="850"/>
      <c r="S172" s="850"/>
    </row>
    <row r="173" spans="1:19">
      <c r="A173" s="850" t="s">
        <v>2585</v>
      </c>
      <c r="B173" s="850" t="s">
        <v>675</v>
      </c>
      <c r="C173" s="576" t="s">
        <v>2586</v>
      </c>
      <c r="D173" s="850"/>
      <c r="E173" s="1008" t="s">
        <v>3116</v>
      </c>
      <c r="F173" s="1007"/>
      <c r="G173" s="1007">
        <v>0</v>
      </c>
      <c r="H173" s="1007">
        <v>21638000</v>
      </c>
      <c r="I173" s="1006"/>
      <c r="J173" s="1006" t="s">
        <v>3117</v>
      </c>
      <c r="K173" s="850" t="s">
        <v>2248</v>
      </c>
      <c r="L173" s="358">
        <v>1218</v>
      </c>
      <c r="M173" s="1286" t="s">
        <v>2697</v>
      </c>
      <c r="N173" s="1025">
        <v>738560037</v>
      </c>
      <c r="O173" s="850"/>
      <c r="P173" s="850"/>
      <c r="Q173" s="850"/>
      <c r="R173" s="850"/>
      <c r="S173" s="850"/>
    </row>
    <row r="174" spans="1:19">
      <c r="A174" s="850" t="s">
        <v>2585</v>
      </c>
      <c r="B174" s="850" t="s">
        <v>675</v>
      </c>
      <c r="C174" s="576" t="s">
        <v>2586</v>
      </c>
      <c r="D174" s="850"/>
      <c r="E174" s="1008" t="s">
        <v>3116</v>
      </c>
      <c r="F174" s="1007">
        <v>0</v>
      </c>
      <c r="G174" s="1007">
        <v>0</v>
      </c>
      <c r="H174" s="1007">
        <v>381845000</v>
      </c>
      <c r="I174" s="1006"/>
      <c r="J174" s="1006" t="s">
        <v>3018</v>
      </c>
      <c r="K174" s="850" t="s">
        <v>2248</v>
      </c>
      <c r="L174" s="358" t="s">
        <v>62</v>
      </c>
      <c r="M174" s="1286" t="s">
        <v>3113</v>
      </c>
      <c r="N174" s="1025">
        <v>0</v>
      </c>
      <c r="O174" s="850"/>
      <c r="P174" s="850"/>
      <c r="Q174" s="850"/>
      <c r="R174" s="850"/>
      <c r="S174" s="850"/>
    </row>
    <row r="175" spans="1:19">
      <c r="A175" s="850" t="s">
        <v>2585</v>
      </c>
      <c r="B175" s="850" t="s">
        <v>675</v>
      </c>
      <c r="C175" s="576" t="s">
        <v>2586</v>
      </c>
      <c r="D175" s="850"/>
      <c r="E175" s="1008" t="s">
        <v>3116</v>
      </c>
      <c r="F175" s="1007"/>
      <c r="G175" s="1007">
        <v>0</v>
      </c>
      <c r="H175" s="1007">
        <v>69601100</v>
      </c>
      <c r="I175" s="1006"/>
      <c r="J175" s="1006" t="s">
        <v>60</v>
      </c>
      <c r="K175" s="850"/>
      <c r="L175" s="358"/>
      <c r="M175" s="850" t="s">
        <v>3112</v>
      </c>
      <c r="N175" s="857">
        <v>3563865203</v>
      </c>
      <c r="O175" s="850"/>
      <c r="P175" s="850"/>
      <c r="Q175" s="850"/>
      <c r="R175" s="850"/>
      <c r="S175" s="850"/>
    </row>
    <row r="176" spans="1:19">
      <c r="A176" s="850" t="s">
        <v>2585</v>
      </c>
      <c r="B176" s="850" t="s">
        <v>675</v>
      </c>
      <c r="C176" s="576" t="s">
        <v>2586</v>
      </c>
      <c r="D176" s="850"/>
      <c r="E176" s="1009" t="s">
        <v>2700</v>
      </c>
      <c r="F176" s="1007"/>
      <c r="G176" s="1007">
        <v>0</v>
      </c>
      <c r="H176" s="1007">
        <v>2122875</v>
      </c>
      <c r="I176" s="1006"/>
      <c r="J176" s="1006" t="s">
        <v>3018</v>
      </c>
      <c r="K176" s="850" t="s">
        <v>2248</v>
      </c>
      <c r="L176" s="358" t="s">
        <v>62</v>
      </c>
      <c r="M176" s="1006" t="s">
        <v>2691</v>
      </c>
      <c r="N176" s="1025">
        <v>31526322962</v>
      </c>
      <c r="O176" s="850"/>
      <c r="P176" s="850"/>
      <c r="Q176" s="850"/>
      <c r="R176" s="850"/>
      <c r="S176" s="850"/>
    </row>
    <row r="177" spans="1:19">
      <c r="A177" s="850" t="s">
        <v>2585</v>
      </c>
      <c r="B177" s="850" t="s">
        <v>675</v>
      </c>
      <c r="C177" s="576" t="s">
        <v>2586</v>
      </c>
      <c r="D177" s="850"/>
      <c r="E177" s="1009" t="s">
        <v>2702</v>
      </c>
      <c r="F177" s="1007"/>
      <c r="G177" s="1007">
        <v>0</v>
      </c>
      <c r="H177" s="1007">
        <v>387740404</v>
      </c>
      <c r="I177" s="1006"/>
      <c r="J177" s="1006" t="s">
        <v>3117</v>
      </c>
      <c r="K177" s="850" t="s">
        <v>2248</v>
      </c>
      <c r="L177" s="358">
        <v>1218</v>
      </c>
      <c r="M177" s="850" t="s">
        <v>2694</v>
      </c>
      <c r="N177" s="857">
        <v>5030188760</v>
      </c>
      <c r="O177" s="850"/>
      <c r="P177" s="850"/>
      <c r="Q177" s="850"/>
      <c r="R177" s="850"/>
      <c r="S177" s="850"/>
    </row>
    <row r="178" spans="1:19">
      <c r="A178" s="850" t="s">
        <v>2585</v>
      </c>
      <c r="B178" s="850" t="s">
        <v>675</v>
      </c>
      <c r="C178" s="576" t="s">
        <v>2586</v>
      </c>
      <c r="D178" s="850"/>
      <c r="E178" s="859"/>
      <c r="F178" s="990"/>
      <c r="G178" s="990"/>
      <c r="H178" s="993"/>
      <c r="I178" s="993"/>
      <c r="J178" s="850"/>
      <c r="K178" s="850"/>
      <c r="L178" s="97"/>
      <c r="M178" s="1006" t="s">
        <v>2696</v>
      </c>
      <c r="N178" s="1288">
        <v>2382928429</v>
      </c>
      <c r="O178" s="850"/>
      <c r="P178" s="850"/>
      <c r="Q178" s="850"/>
      <c r="R178" s="850"/>
      <c r="S178" s="850"/>
    </row>
    <row r="179" spans="1:19" ht="13.5" thickBot="1">
      <c r="A179" s="850" t="s">
        <v>2585</v>
      </c>
      <c r="B179" s="850" t="s">
        <v>675</v>
      </c>
      <c r="C179" s="576" t="s">
        <v>2586</v>
      </c>
      <c r="D179" s="850"/>
      <c r="E179" s="850"/>
      <c r="F179" s="1570">
        <f>SUM(F170:F178)</f>
        <v>0</v>
      </c>
      <c r="G179" s="1562">
        <f>SUM(G170:G178)</f>
        <v>0</v>
      </c>
      <c r="H179" s="1563">
        <f>SUM(H170:H178)</f>
        <v>3566649656</v>
      </c>
      <c r="I179" s="1563">
        <f>SUM(I170:I178)</f>
        <v>0</v>
      </c>
      <c r="J179" s="850"/>
      <c r="K179" s="850"/>
      <c r="L179" s="859"/>
      <c r="M179" s="850"/>
      <c r="N179" s="857">
        <v>86999441974</v>
      </c>
      <c r="O179" s="850"/>
      <c r="P179" s="850"/>
      <c r="Q179" s="850"/>
      <c r="R179" s="850"/>
      <c r="S179" s="850"/>
    </row>
    <row r="180" spans="1:19" ht="13.5" thickTop="1">
      <c r="A180" s="850" t="s">
        <v>2585</v>
      </c>
      <c r="B180" s="850" t="s">
        <v>675</v>
      </c>
      <c r="C180" s="576" t="s">
        <v>2586</v>
      </c>
      <c r="D180" s="850"/>
      <c r="E180" s="850"/>
      <c r="F180" s="850"/>
      <c r="G180" s="850"/>
      <c r="H180" s="850"/>
      <c r="I180" s="850"/>
      <c r="J180" s="850"/>
      <c r="K180" s="850"/>
      <c r="L180" s="850"/>
      <c r="M180" s="850"/>
      <c r="N180" s="850"/>
      <c r="O180" s="850"/>
      <c r="P180" s="850"/>
      <c r="Q180" s="850"/>
      <c r="R180" s="850"/>
      <c r="S180" s="850"/>
    </row>
    <row r="181" spans="1:19">
      <c r="A181" s="850" t="s">
        <v>2585</v>
      </c>
      <c r="B181" s="850" t="s">
        <v>675</v>
      </c>
      <c r="C181" s="576" t="s">
        <v>2586</v>
      </c>
      <c r="D181" s="850"/>
      <c r="E181" s="1" t="s">
        <v>1970</v>
      </c>
      <c r="F181" s="848">
        <f>F179-F164</f>
        <v>0</v>
      </c>
      <c r="G181" s="848">
        <f>G179-G164</f>
        <v>0</v>
      </c>
      <c r="H181" s="848">
        <f>H179-H164</f>
        <v>0</v>
      </c>
      <c r="I181" s="848">
        <f>I179-I164</f>
        <v>0</v>
      </c>
      <c r="J181" s="850"/>
      <c r="K181" s="850"/>
      <c r="L181" s="850"/>
      <c r="M181" s="850"/>
      <c r="N181" s="850"/>
      <c r="O181" s="850"/>
      <c r="P181" s="850"/>
      <c r="Q181" s="850"/>
      <c r="R181" s="850"/>
      <c r="S181" s="850"/>
    </row>
    <row r="182" spans="1:19">
      <c r="A182" s="850" t="s">
        <v>2585</v>
      </c>
      <c r="B182" s="850" t="s">
        <v>675</v>
      </c>
      <c r="C182" s="576" t="s">
        <v>2586</v>
      </c>
      <c r="D182" s="850"/>
      <c r="E182" s="850"/>
      <c r="F182" s="850"/>
      <c r="G182" s="850"/>
      <c r="H182" s="850"/>
      <c r="I182" s="850"/>
      <c r="J182" s="850"/>
      <c r="K182" s="850"/>
      <c r="L182" s="850"/>
      <c r="M182" s="850"/>
      <c r="N182" s="850"/>
      <c r="O182" s="850"/>
      <c r="P182" s="850"/>
      <c r="Q182" s="850"/>
      <c r="R182" s="850"/>
      <c r="S182" s="850"/>
    </row>
    <row r="183" spans="1:19">
      <c r="A183" s="172"/>
      <c r="B183" s="172" t="s">
        <v>2265</v>
      </c>
      <c r="C183" s="172" t="s">
        <v>681</v>
      </c>
      <c r="D183" s="172"/>
      <c r="E183" s="172" t="s">
        <v>2703</v>
      </c>
      <c r="F183" s="172"/>
      <c r="G183" s="172"/>
      <c r="H183" s="172"/>
      <c r="I183" s="172"/>
      <c r="J183" s="172"/>
      <c r="K183" s="172"/>
      <c r="L183" s="172"/>
      <c r="M183" s="172"/>
      <c r="N183" s="172"/>
      <c r="O183" s="172"/>
      <c r="P183" s="172"/>
      <c r="Q183" s="172"/>
      <c r="R183" s="172"/>
      <c r="S183" s="172"/>
    </row>
    <row r="184" spans="1:19">
      <c r="A184" s="850" t="s">
        <v>2602</v>
      </c>
      <c r="B184" s="850" t="s">
        <v>2265</v>
      </c>
      <c r="C184" s="576" t="s">
        <v>2586</v>
      </c>
      <c r="D184" s="850"/>
      <c r="E184" s="850"/>
      <c r="F184" s="850"/>
      <c r="G184" s="850"/>
      <c r="H184" s="850"/>
      <c r="I184" s="850"/>
      <c r="J184" s="850"/>
      <c r="K184" s="850"/>
      <c r="L184" s="850"/>
      <c r="M184" s="850"/>
      <c r="N184" s="850"/>
      <c r="O184" s="850"/>
      <c r="P184" s="850"/>
      <c r="Q184" s="850"/>
      <c r="R184" s="850"/>
      <c r="S184" s="850"/>
    </row>
    <row r="185" spans="1:19">
      <c r="A185" s="850" t="s">
        <v>2602</v>
      </c>
      <c r="B185" s="850" t="s">
        <v>2265</v>
      </c>
      <c r="C185" s="576" t="s">
        <v>2586</v>
      </c>
      <c r="D185" s="850"/>
      <c r="E185" s="850"/>
      <c r="F185" s="182">
        <v>45657</v>
      </c>
      <c r="G185" s="183"/>
      <c r="H185" s="185">
        <v>45291</v>
      </c>
      <c r="I185" s="186"/>
      <c r="J185" s="850"/>
      <c r="K185" s="850"/>
      <c r="L185" s="850"/>
      <c r="M185" s="850"/>
      <c r="N185" s="850"/>
      <c r="O185" s="850"/>
      <c r="P185" s="850"/>
      <c r="Q185" s="850"/>
      <c r="R185" s="850"/>
      <c r="S185" s="850"/>
    </row>
    <row r="186" spans="1:19" ht="25.5">
      <c r="A186" s="850" t="s">
        <v>2602</v>
      </c>
      <c r="B186" s="850" t="s">
        <v>2265</v>
      </c>
      <c r="C186" s="576" t="s">
        <v>2586</v>
      </c>
      <c r="D186" s="850"/>
      <c r="E186" s="850"/>
      <c r="F186" s="152" t="s">
        <v>2612</v>
      </c>
      <c r="G186" s="152" t="s">
        <v>2614</v>
      </c>
      <c r="H186" s="190" t="s">
        <v>2612</v>
      </c>
      <c r="I186" s="190" t="s">
        <v>2614</v>
      </c>
      <c r="J186" s="850"/>
      <c r="K186" s="850"/>
      <c r="L186" s="850"/>
      <c r="M186" s="850"/>
      <c r="N186" s="850"/>
      <c r="O186" s="850"/>
      <c r="P186" s="850"/>
      <c r="Q186" s="850"/>
      <c r="R186" s="850"/>
      <c r="S186" s="850"/>
    </row>
    <row r="187" spans="1:19" ht="13.5" thickBot="1">
      <c r="A187" s="850" t="s">
        <v>2602</v>
      </c>
      <c r="B187" s="850" t="s">
        <v>2265</v>
      </c>
      <c r="C187" s="576" t="s">
        <v>2586</v>
      </c>
      <c r="D187" s="859" t="s">
        <v>2267</v>
      </c>
      <c r="E187" s="850" t="s">
        <v>2705</v>
      </c>
      <c r="F187" s="1564">
        <f>ROUND(SUMIFS('A0.LS'!L:L,'A0.LS'!D:D,'A4.N2FS Singles'!D187),0)</f>
        <v>0</v>
      </c>
      <c r="G187" s="1564">
        <v>0</v>
      </c>
      <c r="H187" s="1566">
        <f>ROUND(SUMIFS('A0.LS'!Q:Q,'A0.LS'!D:D,'A4.N2FS Singles'!D187),0)</f>
        <v>3000000000</v>
      </c>
      <c r="I187" s="1566">
        <v>0</v>
      </c>
      <c r="J187" s="850"/>
      <c r="K187" s="850"/>
      <c r="L187" s="850"/>
      <c r="M187" s="850"/>
      <c r="N187" s="850"/>
      <c r="O187" s="850"/>
      <c r="P187" s="850"/>
      <c r="Q187" s="850"/>
      <c r="R187" s="850"/>
      <c r="S187" s="850"/>
    </row>
    <row r="188" spans="1:19" ht="13.5" thickTop="1">
      <c r="A188" s="850" t="s">
        <v>2602</v>
      </c>
      <c r="B188" s="850" t="s">
        <v>2265</v>
      </c>
      <c r="C188" s="576" t="s">
        <v>2586</v>
      </c>
      <c r="D188" s="850"/>
      <c r="E188" s="850"/>
      <c r="F188" s="234">
        <f>SUM(F187)</f>
        <v>0</v>
      </c>
      <c r="G188" s="234">
        <f>SUM(G187)</f>
        <v>0</v>
      </c>
      <c r="H188" s="234">
        <f>SUM(H187)</f>
        <v>3000000000</v>
      </c>
      <c r="I188" s="234">
        <f>SUM(I187)</f>
        <v>0</v>
      </c>
      <c r="J188" s="850"/>
      <c r="K188" s="850"/>
      <c r="L188" s="850"/>
      <c r="M188" s="850"/>
      <c r="N188" s="850"/>
      <c r="O188" s="850"/>
      <c r="P188" s="850"/>
      <c r="Q188" s="850"/>
      <c r="R188" s="850"/>
      <c r="S188" s="850"/>
    </row>
    <row r="189" spans="1:19">
      <c r="A189" s="850" t="s">
        <v>2602</v>
      </c>
      <c r="B189" s="850" t="s">
        <v>2265</v>
      </c>
      <c r="C189" s="576" t="s">
        <v>2586</v>
      </c>
      <c r="D189" s="850"/>
      <c r="E189" s="1" t="s">
        <v>1970</v>
      </c>
      <c r="F189" s="848">
        <f>F187-'A1.BS'!G29</f>
        <v>0</v>
      </c>
      <c r="G189" s="850"/>
      <c r="H189" s="857">
        <f>H187-'A1.BS'!L29</f>
        <v>0</v>
      </c>
      <c r="I189" s="850"/>
      <c r="J189" s="850"/>
      <c r="K189" s="850"/>
      <c r="L189" s="850"/>
      <c r="M189" s="850"/>
      <c r="N189" s="850"/>
      <c r="O189" s="850"/>
      <c r="P189" s="850"/>
      <c r="Q189" s="850"/>
      <c r="R189" s="850"/>
      <c r="S189" s="850"/>
    </row>
    <row r="190" spans="1:19">
      <c r="A190" s="850" t="s">
        <v>2602</v>
      </c>
      <c r="B190" s="850" t="s">
        <v>2265</v>
      </c>
      <c r="C190" s="576" t="s">
        <v>2586</v>
      </c>
      <c r="D190" s="850"/>
      <c r="E190" s="850"/>
      <c r="F190" s="850"/>
      <c r="G190" s="850"/>
      <c r="H190" s="850"/>
      <c r="I190" s="850"/>
      <c r="J190" s="850"/>
      <c r="K190" s="850"/>
      <c r="L190" s="850"/>
      <c r="M190" s="850"/>
      <c r="N190" s="850"/>
      <c r="O190" s="850"/>
      <c r="P190" s="850"/>
      <c r="Q190" s="850"/>
      <c r="R190" s="850"/>
      <c r="S190" s="850"/>
    </row>
    <row r="191" spans="1:19">
      <c r="A191" s="172"/>
      <c r="B191" s="172" t="s">
        <v>2188</v>
      </c>
      <c r="C191" s="172" t="s">
        <v>681</v>
      </c>
      <c r="D191" s="172"/>
      <c r="E191" s="172" t="s">
        <v>2706</v>
      </c>
      <c r="F191" s="172"/>
      <c r="G191" s="172"/>
      <c r="H191" s="172"/>
      <c r="I191" s="172"/>
      <c r="J191" s="172"/>
      <c r="K191" s="172"/>
      <c r="L191" s="172"/>
      <c r="M191" s="172"/>
      <c r="N191" s="172"/>
      <c r="O191" s="172"/>
      <c r="P191" s="172"/>
      <c r="Q191" s="172"/>
      <c r="R191" s="172"/>
      <c r="S191" s="172"/>
    </row>
    <row r="192" spans="1:19" ht="11.85" customHeight="1">
      <c r="A192" s="850" t="s">
        <v>2585</v>
      </c>
      <c r="B192" s="850" t="s">
        <v>2188</v>
      </c>
      <c r="C192" s="576" t="s">
        <v>3000</v>
      </c>
      <c r="D192" s="850"/>
      <c r="E192" s="850"/>
      <c r="F192" s="850"/>
      <c r="G192" s="850"/>
      <c r="H192" s="850"/>
      <c r="I192" s="850"/>
      <c r="J192" s="850"/>
      <c r="K192" s="850"/>
      <c r="L192" s="850"/>
      <c r="M192" s="850"/>
      <c r="N192" s="850"/>
      <c r="O192" s="850"/>
      <c r="P192" s="850"/>
      <c r="Q192" s="850"/>
      <c r="R192" s="850"/>
      <c r="S192" s="850"/>
    </row>
    <row r="193" spans="1:19">
      <c r="A193" s="850" t="s">
        <v>2585</v>
      </c>
      <c r="B193" s="850" t="s">
        <v>2188</v>
      </c>
      <c r="C193" s="576" t="s">
        <v>3000</v>
      </c>
      <c r="D193" s="850"/>
      <c r="E193" s="850"/>
      <c r="F193" s="850"/>
      <c r="G193" s="850"/>
      <c r="H193" s="850"/>
      <c r="I193" s="850"/>
      <c r="J193" s="850"/>
      <c r="K193" s="850"/>
      <c r="L193" s="850"/>
      <c r="M193" s="850" t="s">
        <v>3118</v>
      </c>
      <c r="N193" s="850"/>
      <c r="O193" s="850"/>
      <c r="P193" s="850"/>
      <c r="Q193" s="850"/>
      <c r="R193" s="850"/>
      <c r="S193" s="850"/>
    </row>
    <row r="194" spans="1:19" ht="38.25">
      <c r="A194" s="850" t="s">
        <v>2585</v>
      </c>
      <c r="B194" s="850" t="s">
        <v>2188</v>
      </c>
      <c r="C194" s="576" t="s">
        <v>3000</v>
      </c>
      <c r="D194" s="850"/>
      <c r="E194" s="850"/>
      <c r="F194" s="152" t="s">
        <v>2708</v>
      </c>
      <c r="G194" s="152" t="s">
        <v>2709</v>
      </c>
      <c r="H194" s="152" t="s">
        <v>2710</v>
      </c>
      <c r="I194" s="152" t="s">
        <v>2711</v>
      </c>
      <c r="J194" s="850"/>
      <c r="K194" s="899" t="s">
        <v>1970</v>
      </c>
      <c r="L194" s="850"/>
      <c r="M194" s="850"/>
      <c r="N194" s="850"/>
      <c r="O194" s="850"/>
      <c r="P194" s="850"/>
      <c r="Q194" s="850"/>
      <c r="R194" s="850"/>
      <c r="S194" s="850"/>
    </row>
    <row r="195" spans="1:19">
      <c r="A195" s="850" t="s">
        <v>2585</v>
      </c>
      <c r="B195" s="850" t="s">
        <v>2188</v>
      </c>
      <c r="C195" s="576" t="s">
        <v>3000</v>
      </c>
      <c r="D195" s="850"/>
      <c r="E195" s="1" t="s">
        <v>1891</v>
      </c>
      <c r="F195" s="850"/>
      <c r="G195" s="850"/>
      <c r="H195" s="850"/>
      <c r="I195" s="850"/>
      <c r="J195" s="850"/>
      <c r="K195" s="850"/>
      <c r="L195" s="850"/>
      <c r="M195" s="850"/>
      <c r="N195" s="850"/>
      <c r="O195" s="850"/>
      <c r="P195" s="850"/>
      <c r="Q195" s="850"/>
      <c r="R195" s="850"/>
      <c r="S195" s="850"/>
    </row>
    <row r="196" spans="1:19">
      <c r="A196" s="850" t="s">
        <v>2585</v>
      </c>
      <c r="B196" s="850" t="s">
        <v>2188</v>
      </c>
      <c r="C196" s="576" t="s">
        <v>3000</v>
      </c>
      <c r="D196" s="850"/>
      <c r="E196" s="850" t="s">
        <v>2639</v>
      </c>
      <c r="F196" s="847">
        <v>1067397049</v>
      </c>
      <c r="G196" s="212">
        <v>203591273</v>
      </c>
      <c r="H196" s="847">
        <v>1051112727</v>
      </c>
      <c r="I196" s="847">
        <v>2322101049</v>
      </c>
      <c r="J196" s="850"/>
      <c r="K196" s="857"/>
      <c r="L196" s="1010"/>
      <c r="M196" s="1010"/>
      <c r="N196" s="850"/>
      <c r="O196" s="850"/>
      <c r="P196" s="850"/>
      <c r="Q196" s="850"/>
      <c r="R196" s="850"/>
      <c r="S196" s="850"/>
    </row>
    <row r="197" spans="1:19">
      <c r="A197" s="850" t="s">
        <v>2585</v>
      </c>
      <c r="B197" s="850" t="s">
        <v>2188</v>
      </c>
      <c r="C197" s="576" t="s">
        <v>3000</v>
      </c>
      <c r="D197" s="850"/>
      <c r="E197" s="859" t="s">
        <v>2713</v>
      </c>
      <c r="F197" s="990">
        <v>80909091</v>
      </c>
      <c r="G197" s="990"/>
      <c r="H197" s="990">
        <v>0</v>
      </c>
      <c r="I197" s="990">
        <v>80909091</v>
      </c>
      <c r="J197" s="850"/>
      <c r="K197" s="850"/>
      <c r="L197" s="850"/>
      <c r="M197" s="850"/>
      <c r="N197" s="850"/>
      <c r="O197" s="850"/>
      <c r="P197" s="850"/>
      <c r="Q197" s="850"/>
      <c r="R197" s="850"/>
      <c r="S197" s="850"/>
    </row>
    <row r="198" spans="1:19" hidden="1">
      <c r="A198" s="850" t="s">
        <v>2585</v>
      </c>
      <c r="B198" s="850" t="s">
        <v>2188</v>
      </c>
      <c r="C198" s="576" t="s">
        <v>3000</v>
      </c>
      <c r="D198" s="850"/>
      <c r="E198" s="859" t="s">
        <v>3119</v>
      </c>
      <c r="F198" s="990"/>
      <c r="G198" s="990"/>
      <c r="H198" s="990">
        <v>0</v>
      </c>
      <c r="I198" s="990">
        <v>0</v>
      </c>
      <c r="J198" s="850"/>
      <c r="K198" s="850"/>
      <c r="L198" s="850"/>
      <c r="M198" s="850"/>
      <c r="N198" s="850"/>
      <c r="O198" s="850"/>
      <c r="P198" s="850"/>
      <c r="Q198" s="850"/>
      <c r="R198" s="850"/>
      <c r="S198" s="850"/>
    </row>
    <row r="199" spans="1:19" hidden="1">
      <c r="A199" s="850" t="s">
        <v>2585</v>
      </c>
      <c r="B199" s="850" t="s">
        <v>2188</v>
      </c>
      <c r="C199" s="576" t="s">
        <v>3000</v>
      </c>
      <c r="D199" s="850"/>
      <c r="E199" s="859" t="s">
        <v>2715</v>
      </c>
      <c r="F199" s="990">
        <v>0</v>
      </c>
      <c r="G199" s="990"/>
      <c r="H199" s="990"/>
      <c r="I199" s="990">
        <v>0</v>
      </c>
      <c r="J199" s="850"/>
      <c r="K199" s="850"/>
      <c r="L199" s="850"/>
      <c r="M199" s="850"/>
      <c r="N199" s="850"/>
      <c r="O199" s="850"/>
      <c r="P199" s="850"/>
      <c r="Q199" s="850"/>
      <c r="R199" s="850"/>
      <c r="S199" s="850"/>
    </row>
    <row r="200" spans="1:19">
      <c r="A200" s="850" t="s">
        <v>2585</v>
      </c>
      <c r="B200" s="850" t="s">
        <v>2188</v>
      </c>
      <c r="C200" s="576" t="s">
        <v>3000</v>
      </c>
      <c r="D200" s="850"/>
      <c r="E200" s="850" t="s">
        <v>2642</v>
      </c>
      <c r="F200" s="1604">
        <v>1148306140</v>
      </c>
      <c r="G200" s="1604">
        <v>203591273</v>
      </c>
      <c r="H200" s="1604">
        <v>1051112727</v>
      </c>
      <c r="I200" s="1604">
        <v>2403010140</v>
      </c>
      <c r="J200" s="850"/>
      <c r="K200" s="857">
        <f>I200-'A1.BS'!G52</f>
        <v>0</v>
      </c>
      <c r="L200" s="850"/>
      <c r="M200" s="850"/>
      <c r="N200" s="850"/>
      <c r="O200" s="850"/>
      <c r="P200" s="850"/>
      <c r="Q200" s="850"/>
      <c r="R200" s="850"/>
      <c r="S200" s="850"/>
    </row>
    <row r="201" spans="1:19">
      <c r="A201" s="850" t="s">
        <v>2585</v>
      </c>
      <c r="B201" s="850" t="s">
        <v>2188</v>
      </c>
      <c r="C201" s="576" t="s">
        <v>3000</v>
      </c>
      <c r="D201" s="850"/>
      <c r="E201" s="850"/>
      <c r="F201" s="857"/>
      <c r="G201" s="857"/>
      <c r="H201" s="1011"/>
      <c r="I201" s="850"/>
      <c r="J201" s="850"/>
      <c r="K201" s="850"/>
      <c r="L201" s="850"/>
      <c r="M201" s="850"/>
      <c r="N201" s="850"/>
      <c r="O201" s="850"/>
      <c r="P201" s="850"/>
      <c r="Q201" s="850"/>
      <c r="R201" s="850"/>
      <c r="S201" s="850"/>
    </row>
    <row r="202" spans="1:19">
      <c r="A202" s="850" t="s">
        <v>2585</v>
      </c>
      <c r="B202" s="850" t="s">
        <v>2188</v>
      </c>
      <c r="C202" s="576" t="s">
        <v>3000</v>
      </c>
      <c r="D202" s="850"/>
      <c r="E202" s="1" t="s">
        <v>2717</v>
      </c>
      <c r="F202" s="850"/>
      <c r="G202" s="850"/>
      <c r="H202" s="1011"/>
      <c r="I202" s="850"/>
      <c r="J202" s="850"/>
      <c r="K202" s="850"/>
      <c r="L202" s="850"/>
      <c r="M202" s="850"/>
      <c r="N202" s="850"/>
      <c r="O202" s="850"/>
      <c r="P202" s="850"/>
      <c r="Q202" s="850"/>
      <c r="R202" s="850"/>
      <c r="S202" s="850"/>
    </row>
    <row r="203" spans="1:19">
      <c r="A203" s="850" t="s">
        <v>2585</v>
      </c>
      <c r="B203" s="850" t="s">
        <v>2188</v>
      </c>
      <c r="C203" s="576" t="s">
        <v>3000</v>
      </c>
      <c r="D203" s="850"/>
      <c r="E203" s="850" t="s">
        <v>2639</v>
      </c>
      <c r="F203" s="847">
        <v>396772612</v>
      </c>
      <c r="G203" s="847">
        <v>108772051</v>
      </c>
      <c r="H203" s="847">
        <v>388162936</v>
      </c>
      <c r="I203" s="847">
        <v>893707599</v>
      </c>
      <c r="J203" s="850"/>
      <c r="K203" s="857"/>
      <c r="L203" s="850"/>
      <c r="M203" s="850"/>
      <c r="N203" s="850"/>
      <c r="O203" s="850"/>
      <c r="P203" s="850"/>
      <c r="Q203" s="850"/>
      <c r="R203" s="850"/>
      <c r="S203" s="850"/>
    </row>
    <row r="204" spans="1:19">
      <c r="A204" s="850" t="s">
        <v>2585</v>
      </c>
      <c r="B204" s="850" t="s">
        <v>2188</v>
      </c>
      <c r="C204" s="576" t="s">
        <v>3000</v>
      </c>
      <c r="D204" s="850"/>
      <c r="E204" s="859" t="s">
        <v>2718</v>
      </c>
      <c r="F204" s="990">
        <v>311811488</v>
      </c>
      <c r="G204" s="990">
        <v>67863742</v>
      </c>
      <c r="H204" s="211">
        <f>131389092-36</f>
        <v>131389056</v>
      </c>
      <c r="I204" s="990">
        <f>SUM(F204:H204)</f>
        <v>511064286</v>
      </c>
      <c r="J204" s="850"/>
      <c r="K204" s="850"/>
      <c r="L204" s="848"/>
      <c r="M204" s="848"/>
      <c r="N204" s="848"/>
      <c r="O204" s="848"/>
      <c r="P204" s="850"/>
      <c r="Q204" s="850"/>
      <c r="R204" s="850"/>
      <c r="S204" s="848"/>
    </row>
    <row r="205" spans="1:19" hidden="1">
      <c r="A205" s="850" t="s">
        <v>2585</v>
      </c>
      <c r="B205" s="850" t="s">
        <v>2188</v>
      </c>
      <c r="C205" s="576" t="s">
        <v>3000</v>
      </c>
      <c r="D205" s="850"/>
      <c r="E205" s="859" t="s">
        <v>3119</v>
      </c>
      <c r="F205" s="990"/>
      <c r="G205" s="990"/>
      <c r="H205" s="990"/>
      <c r="I205" s="990">
        <v>0</v>
      </c>
      <c r="J205" s="850"/>
      <c r="K205" s="850"/>
      <c r="L205" s="848"/>
      <c r="M205" s="848"/>
      <c r="N205" s="848"/>
      <c r="O205" s="848"/>
      <c r="P205" s="850"/>
      <c r="Q205" s="850"/>
      <c r="R205" s="850"/>
      <c r="S205" s="850"/>
    </row>
    <row r="206" spans="1:19" hidden="1">
      <c r="A206" s="850" t="s">
        <v>2585</v>
      </c>
      <c r="B206" s="850" t="s">
        <v>2188</v>
      </c>
      <c r="C206" s="576" t="s">
        <v>3000</v>
      </c>
      <c r="D206" s="850"/>
      <c r="E206" s="859" t="s">
        <v>2715</v>
      </c>
      <c r="F206" s="990"/>
      <c r="G206" s="990"/>
      <c r="H206" s="990"/>
      <c r="I206" s="990">
        <v>0</v>
      </c>
      <c r="J206" s="850"/>
      <c r="K206" s="850"/>
      <c r="L206" s="850"/>
      <c r="M206" s="850"/>
      <c r="N206" s="850"/>
      <c r="O206" s="850"/>
      <c r="P206" s="850"/>
      <c r="Q206" s="850"/>
      <c r="R206" s="850"/>
      <c r="S206" s="850"/>
    </row>
    <row r="207" spans="1:19">
      <c r="A207" s="850" t="s">
        <v>2585</v>
      </c>
      <c r="B207" s="850" t="s">
        <v>2188</v>
      </c>
      <c r="C207" s="576" t="s">
        <v>3000</v>
      </c>
      <c r="D207" s="850"/>
      <c r="E207" s="850" t="s">
        <v>2642</v>
      </c>
      <c r="F207" s="1604">
        <f>F203+F204</f>
        <v>708584100</v>
      </c>
      <c r="G207" s="1604">
        <f>G203+G204</f>
        <v>176635793</v>
      </c>
      <c r="H207" s="1604">
        <f t="shared" ref="H207" si="7">H203+H204</f>
        <v>519551992</v>
      </c>
      <c r="I207" s="1604">
        <v>1404771885</v>
      </c>
      <c r="J207" s="857"/>
      <c r="K207" s="857">
        <f>I207+'A1.BS'!G53</f>
        <v>0</v>
      </c>
      <c r="L207" s="848"/>
      <c r="M207" s="848"/>
      <c r="N207" s="1012"/>
      <c r="O207" s="850"/>
      <c r="P207" s="850"/>
      <c r="Q207" s="850"/>
      <c r="R207" s="850"/>
      <c r="S207" s="850"/>
    </row>
    <row r="208" spans="1:19">
      <c r="A208" s="850" t="s">
        <v>2585</v>
      </c>
      <c r="B208" s="850" t="s">
        <v>2188</v>
      </c>
      <c r="C208" s="576" t="s">
        <v>3000</v>
      </c>
      <c r="D208" s="850"/>
      <c r="E208" s="850"/>
      <c r="F208" s="848"/>
      <c r="G208" s="848"/>
      <c r="H208" s="848"/>
      <c r="I208" s="857"/>
      <c r="J208" s="857"/>
      <c r="K208" s="850"/>
      <c r="L208" s="850"/>
      <c r="M208" s="850"/>
      <c r="N208" s="1012"/>
      <c r="O208" s="850"/>
      <c r="P208" s="850"/>
      <c r="Q208" s="850"/>
      <c r="R208" s="850"/>
      <c r="S208" s="850"/>
    </row>
    <row r="209" spans="1:19">
      <c r="A209" s="850" t="s">
        <v>2585</v>
      </c>
      <c r="B209" s="850" t="s">
        <v>2188</v>
      </c>
      <c r="C209" s="576" t="s">
        <v>3000</v>
      </c>
      <c r="D209" s="850"/>
      <c r="E209" s="1" t="s">
        <v>2721</v>
      </c>
      <c r="F209" s="850"/>
      <c r="G209" s="857"/>
      <c r="H209" s="857"/>
      <c r="I209" s="850"/>
      <c r="J209" s="850"/>
      <c r="K209" s="850"/>
      <c r="L209" s="850"/>
      <c r="M209" s="850"/>
      <c r="N209" s="850"/>
      <c r="O209" s="850"/>
      <c r="P209" s="850"/>
      <c r="Q209" s="850"/>
      <c r="R209" s="850"/>
      <c r="S209" s="850"/>
    </row>
    <row r="210" spans="1:19" ht="13.5" thickBot="1">
      <c r="A210" s="850" t="s">
        <v>2585</v>
      </c>
      <c r="B210" s="850" t="s">
        <v>2188</v>
      </c>
      <c r="C210" s="576" t="s">
        <v>3000</v>
      </c>
      <c r="D210" s="850"/>
      <c r="E210" s="850" t="s">
        <v>2722</v>
      </c>
      <c r="F210" s="1567">
        <f>F196-F203</f>
        <v>670624437</v>
      </c>
      <c r="G210" s="1567">
        <f t="shared" ref="G210:H210" si="8">G196-G203</f>
        <v>94819222</v>
      </c>
      <c r="H210" s="1567">
        <f t="shared" si="8"/>
        <v>662949791</v>
      </c>
      <c r="I210" s="1567">
        <f>SUM(F210:H210)</f>
        <v>1428393450</v>
      </c>
      <c r="J210" s="850"/>
      <c r="K210" s="857"/>
      <c r="L210" s="850"/>
      <c r="M210" s="850"/>
      <c r="N210" s="850"/>
      <c r="O210" s="850"/>
      <c r="P210" s="850"/>
      <c r="Q210" s="850"/>
      <c r="R210" s="850"/>
      <c r="S210" s="850"/>
    </row>
    <row r="211" spans="1:19" ht="14.25" thickTop="1" thickBot="1">
      <c r="A211" s="850" t="s">
        <v>2585</v>
      </c>
      <c r="B211" s="850" t="s">
        <v>2188</v>
      </c>
      <c r="C211" s="576" t="s">
        <v>3000</v>
      </c>
      <c r="D211" s="850"/>
      <c r="E211" s="850" t="s">
        <v>2723</v>
      </c>
      <c r="F211" s="1013">
        <f>F200-F207</f>
        <v>439722040</v>
      </c>
      <c r="G211" s="1013">
        <f>G200-G207</f>
        <v>26955480</v>
      </c>
      <c r="H211" s="1013">
        <f>H200-H207</f>
        <v>531560735</v>
      </c>
      <c r="I211" s="1013">
        <f>I200-I207</f>
        <v>998238255</v>
      </c>
      <c r="J211" s="850"/>
      <c r="K211" s="857">
        <f>I211-'A1.BS'!G51</f>
        <v>0</v>
      </c>
      <c r="L211" s="857">
        <f>I204+F228-F604</f>
        <v>0</v>
      </c>
      <c r="M211" s="850"/>
      <c r="N211" s="850"/>
      <c r="O211" s="850"/>
      <c r="P211" s="850"/>
      <c r="Q211" s="850"/>
      <c r="R211" s="850"/>
      <c r="S211" s="850"/>
    </row>
    <row r="212" spans="1:19" ht="13.5" thickTop="1">
      <c r="A212" s="850" t="s">
        <v>2585</v>
      </c>
      <c r="B212" s="850" t="s">
        <v>2188</v>
      </c>
      <c r="C212" s="576" t="s">
        <v>3000</v>
      </c>
      <c r="D212" s="850"/>
      <c r="E212" s="850"/>
      <c r="F212" s="848"/>
      <c r="G212" s="848"/>
      <c r="H212" s="857"/>
      <c r="I212" s="850"/>
      <c r="J212" s="850"/>
      <c r="K212" s="850"/>
      <c r="L212" s="850"/>
      <c r="M212" s="850"/>
      <c r="N212" s="850"/>
      <c r="O212" s="850"/>
      <c r="P212" s="850"/>
      <c r="Q212" s="850"/>
      <c r="R212" s="850"/>
      <c r="S212" s="850"/>
    </row>
    <row r="213" spans="1:19" ht="25.5">
      <c r="A213" s="850" t="s">
        <v>2585</v>
      </c>
      <c r="B213" s="850" t="s">
        <v>2188</v>
      </c>
      <c r="C213" s="576" t="s">
        <v>3000</v>
      </c>
      <c r="D213" s="850"/>
      <c r="E213" s="850"/>
      <c r="F213" s="173" t="s">
        <v>2587</v>
      </c>
      <c r="G213" s="174" t="s">
        <v>2588</v>
      </c>
      <c r="H213" s="850"/>
      <c r="I213" s="850"/>
      <c r="J213" s="850"/>
      <c r="K213" s="850"/>
      <c r="L213" s="850"/>
      <c r="M213" s="850"/>
      <c r="N213" s="850"/>
      <c r="O213" s="850"/>
      <c r="P213" s="850"/>
      <c r="Q213" s="850"/>
      <c r="R213" s="850"/>
      <c r="S213" s="850"/>
    </row>
    <row r="214" spans="1:19" ht="25.5">
      <c r="A214" s="850" t="s">
        <v>2585</v>
      </c>
      <c r="B214" s="850" t="s">
        <v>2188</v>
      </c>
      <c r="C214" s="576" t="s">
        <v>3000</v>
      </c>
      <c r="D214" s="850"/>
      <c r="E214" s="1003" t="s">
        <v>2725</v>
      </c>
      <c r="F214" s="990">
        <v>0</v>
      </c>
      <c r="G214" s="847">
        <v>0</v>
      </c>
      <c r="H214" s="850"/>
      <c r="I214" s="850"/>
      <c r="J214" s="850"/>
      <c r="K214" s="850"/>
      <c r="L214" s="850"/>
      <c r="M214" s="850"/>
      <c r="N214" s="850"/>
      <c r="O214" s="850"/>
      <c r="P214" s="850"/>
      <c r="Q214" s="850"/>
      <c r="R214" s="850"/>
      <c r="S214" s="850"/>
    </row>
    <row r="215" spans="1:19">
      <c r="A215" s="850" t="s">
        <v>2585</v>
      </c>
      <c r="B215" s="850" t="s">
        <v>2188</v>
      </c>
      <c r="C215" s="576" t="s">
        <v>3000</v>
      </c>
      <c r="D215" s="850"/>
      <c r="E215" s="850"/>
      <c r="F215" s="850"/>
      <c r="G215" s="850"/>
      <c r="H215" s="850"/>
      <c r="I215" s="850"/>
      <c r="J215" s="850"/>
      <c r="K215" s="850"/>
      <c r="L215" s="850"/>
      <c r="M215" s="850"/>
      <c r="N215" s="850"/>
      <c r="O215" s="850"/>
      <c r="P215" s="850"/>
      <c r="Q215" s="850"/>
      <c r="R215" s="850"/>
      <c r="S215" s="850"/>
    </row>
    <row r="216" spans="1:19">
      <c r="A216" s="850" t="s">
        <v>2585</v>
      </c>
      <c r="B216" s="850" t="s">
        <v>2188</v>
      </c>
      <c r="C216" s="576" t="s">
        <v>3000</v>
      </c>
      <c r="D216" s="850"/>
      <c r="E216" s="850"/>
      <c r="F216" s="850"/>
      <c r="G216" s="850"/>
      <c r="H216" s="850"/>
      <c r="I216" s="850"/>
      <c r="J216" s="850"/>
      <c r="K216" s="850"/>
      <c r="L216" s="850"/>
      <c r="M216" s="850"/>
      <c r="N216" s="850"/>
      <c r="O216" s="850"/>
      <c r="P216" s="850"/>
      <c r="Q216" s="850"/>
      <c r="R216" s="850"/>
      <c r="S216" s="850"/>
    </row>
    <row r="217" spans="1:19">
      <c r="A217" s="172"/>
      <c r="B217" s="172" t="s">
        <v>2188</v>
      </c>
      <c r="C217" s="172" t="s">
        <v>681</v>
      </c>
      <c r="D217" s="172"/>
      <c r="E217" s="172" t="s">
        <v>2727</v>
      </c>
      <c r="F217" s="172"/>
      <c r="G217" s="172"/>
      <c r="H217" s="172"/>
      <c r="I217" s="172"/>
      <c r="J217" s="172"/>
      <c r="K217" s="172"/>
      <c r="L217" s="172"/>
      <c r="M217" s="172"/>
      <c r="N217" s="172"/>
      <c r="O217" s="172"/>
      <c r="P217" s="172"/>
      <c r="Q217" s="172"/>
      <c r="R217" s="172"/>
      <c r="S217" s="172"/>
    </row>
    <row r="218" spans="1:19">
      <c r="A218" s="850" t="s">
        <v>2585</v>
      </c>
      <c r="B218" s="850" t="s">
        <v>2188</v>
      </c>
      <c r="C218" s="576" t="s">
        <v>3000</v>
      </c>
      <c r="D218" s="850"/>
      <c r="E218" s="850"/>
      <c r="F218" s="850"/>
      <c r="G218" s="850"/>
      <c r="H218" s="850"/>
      <c r="I218" s="850"/>
      <c r="J218" s="850"/>
      <c r="K218" s="850"/>
      <c r="L218" s="850"/>
      <c r="M218" s="850"/>
      <c r="N218" s="850"/>
      <c r="O218" s="850"/>
      <c r="P218" s="850"/>
      <c r="Q218" s="850"/>
      <c r="R218" s="850"/>
      <c r="S218" s="850"/>
    </row>
    <row r="219" spans="1:19" ht="25.5">
      <c r="A219" s="850" t="s">
        <v>2585</v>
      </c>
      <c r="B219" s="850" t="s">
        <v>2188</v>
      </c>
      <c r="C219" s="576" t="s">
        <v>3000</v>
      </c>
      <c r="D219" s="850"/>
      <c r="E219" s="850"/>
      <c r="F219" s="152" t="s">
        <v>2729</v>
      </c>
      <c r="G219" s="1014"/>
      <c r="H219" s="1014" t="s">
        <v>1970</v>
      </c>
      <c r="I219" s="850"/>
      <c r="J219" s="850"/>
      <c r="K219" s="850"/>
      <c r="L219" s="850"/>
      <c r="M219" s="850"/>
      <c r="N219" s="850"/>
      <c r="O219" s="850"/>
      <c r="P219" s="850"/>
      <c r="Q219" s="850"/>
      <c r="R219" s="850"/>
      <c r="S219" s="850"/>
    </row>
    <row r="220" spans="1:19">
      <c r="A220" s="850" t="s">
        <v>2585</v>
      </c>
      <c r="B220" s="850" t="s">
        <v>2188</v>
      </c>
      <c r="C220" s="576" t="s">
        <v>3000</v>
      </c>
      <c r="D220" s="850"/>
      <c r="E220" s="1" t="s">
        <v>1891</v>
      </c>
      <c r="F220" s="850"/>
      <c r="G220" s="850"/>
      <c r="H220" s="850"/>
      <c r="I220" s="850"/>
      <c r="J220" s="850"/>
      <c r="K220" s="850"/>
      <c r="L220" s="850"/>
      <c r="M220" s="850"/>
      <c r="N220" s="850"/>
      <c r="O220" s="850"/>
      <c r="P220" s="850"/>
      <c r="Q220" s="850"/>
      <c r="R220" s="850"/>
      <c r="S220" s="850"/>
    </row>
    <row r="221" spans="1:19">
      <c r="A221" s="850" t="s">
        <v>2585</v>
      </c>
      <c r="B221" s="850" t="s">
        <v>2188</v>
      </c>
      <c r="C221" s="576" t="s">
        <v>3000</v>
      </c>
      <c r="D221" s="850"/>
      <c r="E221" s="850" t="s">
        <v>2639</v>
      </c>
      <c r="F221" s="847">
        <v>44677813903</v>
      </c>
      <c r="G221" s="850"/>
      <c r="H221" s="857">
        <f>F221-'A1.BS'!L58</f>
        <v>0</v>
      </c>
      <c r="I221" s="850"/>
      <c r="J221" s="850"/>
      <c r="K221" s="850"/>
      <c r="L221" s="850"/>
      <c r="M221" s="850"/>
      <c r="N221" s="850"/>
      <c r="O221" s="850"/>
      <c r="P221" s="850"/>
      <c r="Q221" s="850"/>
      <c r="R221" s="850"/>
      <c r="S221" s="850"/>
    </row>
    <row r="222" spans="1:19">
      <c r="A222" s="850" t="s">
        <v>2585</v>
      </c>
      <c r="B222" s="850" t="s">
        <v>2188</v>
      </c>
      <c r="C222" s="576" t="s">
        <v>3000</v>
      </c>
      <c r="D222" s="850"/>
      <c r="E222" s="859" t="s">
        <v>2732</v>
      </c>
      <c r="F222" s="990">
        <v>8330777517</v>
      </c>
      <c r="G222" s="850"/>
      <c r="H222" s="850"/>
      <c r="I222" s="850"/>
      <c r="J222" s="850"/>
      <c r="K222" s="850"/>
      <c r="L222" s="850"/>
      <c r="M222" s="850"/>
      <c r="N222" s="850"/>
      <c r="O222" s="850"/>
      <c r="P222" s="850"/>
      <c r="Q222" s="850"/>
      <c r="R222" s="850"/>
      <c r="S222" s="850"/>
    </row>
    <row r="223" spans="1:19">
      <c r="A223" s="850"/>
      <c r="B223" s="850" t="s">
        <v>2188</v>
      </c>
      <c r="C223" s="576" t="s">
        <v>3000</v>
      </c>
      <c r="D223" s="850"/>
      <c r="E223" s="859" t="s">
        <v>2733</v>
      </c>
      <c r="F223" s="990">
        <v>0</v>
      </c>
      <c r="G223" s="850"/>
      <c r="H223" s="850"/>
      <c r="I223" s="850"/>
      <c r="J223" s="850"/>
      <c r="K223" s="850"/>
      <c r="L223" s="850"/>
      <c r="M223" s="850"/>
      <c r="N223" s="850"/>
      <c r="O223" s="850"/>
      <c r="P223" s="850"/>
      <c r="Q223" s="850"/>
      <c r="R223" s="850"/>
      <c r="S223" s="850"/>
    </row>
    <row r="224" spans="1:19">
      <c r="A224" s="850" t="s">
        <v>2585</v>
      </c>
      <c r="B224" s="850" t="s">
        <v>2188</v>
      </c>
      <c r="C224" s="576" t="s">
        <v>3000</v>
      </c>
      <c r="D224" s="850"/>
      <c r="E224" s="850" t="s">
        <v>2642</v>
      </c>
      <c r="F224" s="1604">
        <f>SUM(F221:F223)</f>
        <v>53008591420</v>
      </c>
      <c r="G224" s="857"/>
      <c r="H224" s="857">
        <f>F224-'A1.BS'!G58</f>
        <v>0</v>
      </c>
      <c r="I224" s="850"/>
      <c r="J224" s="850"/>
      <c r="K224" s="850"/>
      <c r="L224" s="850"/>
      <c r="M224" s="850"/>
      <c r="N224" s="850"/>
      <c r="O224" s="850"/>
      <c r="P224" s="850"/>
      <c r="Q224" s="850"/>
      <c r="R224" s="850"/>
      <c r="S224" s="850"/>
    </row>
    <row r="225" spans="1:19">
      <c r="A225" s="850" t="s">
        <v>2585</v>
      </c>
      <c r="B225" s="850" t="s">
        <v>2188</v>
      </c>
      <c r="C225" s="576" t="s">
        <v>3000</v>
      </c>
      <c r="D225" s="850"/>
      <c r="E225" s="850"/>
      <c r="F225" s="850"/>
      <c r="G225" s="850"/>
      <c r="H225" s="850"/>
      <c r="I225" s="850"/>
      <c r="J225" s="850"/>
      <c r="K225" s="850"/>
      <c r="L225" s="850"/>
      <c r="M225" s="850"/>
      <c r="N225" s="850"/>
      <c r="O225" s="850"/>
      <c r="P225" s="850"/>
      <c r="Q225" s="850"/>
      <c r="R225" s="850"/>
      <c r="S225" s="850"/>
    </row>
    <row r="226" spans="1:19">
      <c r="A226" s="850" t="s">
        <v>2585</v>
      </c>
      <c r="B226" s="850" t="s">
        <v>2188</v>
      </c>
      <c r="C226" s="576" t="s">
        <v>3000</v>
      </c>
      <c r="D226" s="850"/>
      <c r="E226" s="1" t="s">
        <v>2717</v>
      </c>
      <c r="F226" s="850"/>
      <c r="G226" s="850"/>
      <c r="H226" s="850"/>
      <c r="I226" s="850"/>
      <c r="J226" s="850"/>
      <c r="K226" s="850"/>
      <c r="L226" s="850"/>
      <c r="M226" s="850"/>
      <c r="N226" s="850"/>
      <c r="O226" s="850"/>
      <c r="P226" s="850"/>
      <c r="Q226" s="850"/>
      <c r="R226" s="850"/>
      <c r="S226" s="850"/>
    </row>
    <row r="227" spans="1:19">
      <c r="A227" s="850" t="s">
        <v>2585</v>
      </c>
      <c r="B227" s="850" t="s">
        <v>2188</v>
      </c>
      <c r="C227" s="576" t="s">
        <v>3000</v>
      </c>
      <c r="D227" s="850"/>
      <c r="E227" s="850" t="s">
        <v>2639</v>
      </c>
      <c r="F227" s="847">
        <v>3871344813</v>
      </c>
      <c r="G227" s="850"/>
      <c r="H227" s="857"/>
      <c r="I227" s="850"/>
      <c r="J227" s="850"/>
      <c r="K227" s="850"/>
      <c r="L227" s="850"/>
      <c r="M227" s="850"/>
      <c r="N227" s="850"/>
      <c r="O227" s="850"/>
      <c r="P227" s="850"/>
      <c r="Q227" s="850"/>
      <c r="R227" s="850"/>
      <c r="S227" s="850"/>
    </row>
    <row r="228" spans="1:19">
      <c r="A228" s="850" t="s">
        <v>2585</v>
      </c>
      <c r="B228" s="850" t="s">
        <v>2188</v>
      </c>
      <c r="C228" s="576" t="s">
        <v>3000</v>
      </c>
      <c r="D228" s="850"/>
      <c r="E228" s="859" t="s">
        <v>2718</v>
      </c>
      <c r="F228" s="990">
        <v>3471510390</v>
      </c>
      <c r="G228" s="850"/>
      <c r="H228" s="850"/>
      <c r="I228" s="850"/>
      <c r="J228" s="850"/>
      <c r="K228" s="850"/>
      <c r="L228" s="850"/>
      <c r="M228" s="850"/>
      <c r="N228" s="850"/>
      <c r="O228" s="850"/>
      <c r="P228" s="850"/>
      <c r="Q228" s="850"/>
      <c r="R228" s="850"/>
      <c r="S228" s="850"/>
    </row>
    <row r="229" spans="1:19">
      <c r="A229" s="850" t="s">
        <v>2585</v>
      </c>
      <c r="B229" s="850" t="s">
        <v>2188</v>
      </c>
      <c r="C229" s="576" t="s">
        <v>3000</v>
      </c>
      <c r="D229" s="850"/>
      <c r="E229" s="850" t="s">
        <v>2642</v>
      </c>
      <c r="F229" s="1604">
        <f>SUM(F227:F228)</f>
        <v>7342855203</v>
      </c>
      <c r="G229" s="850"/>
      <c r="H229" s="857">
        <f>F229+'A1.BS'!G59</f>
        <v>0</v>
      </c>
      <c r="I229" s="850"/>
      <c r="J229" s="850"/>
      <c r="K229" s="850"/>
      <c r="L229" s="850"/>
      <c r="M229" s="850"/>
      <c r="N229" s="850"/>
      <c r="O229" s="850"/>
      <c r="P229" s="850"/>
      <c r="Q229" s="850"/>
      <c r="R229" s="850"/>
      <c r="S229" s="850"/>
    </row>
    <row r="230" spans="1:19">
      <c r="A230" s="850" t="s">
        <v>2585</v>
      </c>
      <c r="B230" s="850" t="s">
        <v>2188</v>
      </c>
      <c r="C230" s="576" t="s">
        <v>3000</v>
      </c>
      <c r="D230" s="850"/>
      <c r="E230" s="850"/>
      <c r="F230" s="850"/>
      <c r="G230" s="850"/>
      <c r="H230" s="850"/>
      <c r="I230" s="850"/>
      <c r="J230" s="850"/>
      <c r="K230" s="850"/>
      <c r="L230" s="850"/>
      <c r="M230" s="850"/>
      <c r="N230" s="850"/>
      <c r="O230" s="850"/>
      <c r="P230" s="850"/>
      <c r="Q230" s="850"/>
      <c r="R230" s="850"/>
      <c r="S230" s="850"/>
    </row>
    <row r="231" spans="1:19">
      <c r="A231" s="850" t="s">
        <v>2585</v>
      </c>
      <c r="B231" s="850" t="s">
        <v>2188</v>
      </c>
      <c r="C231" s="576" t="s">
        <v>3000</v>
      </c>
      <c r="D231" s="850"/>
      <c r="E231" s="1" t="s">
        <v>2721</v>
      </c>
      <c r="F231" s="850"/>
      <c r="G231" s="850"/>
      <c r="H231" s="850"/>
      <c r="I231" s="850"/>
      <c r="J231" s="850"/>
      <c r="K231" s="850"/>
      <c r="L231" s="850"/>
      <c r="M231" s="850"/>
      <c r="N231" s="850"/>
      <c r="O231" s="850"/>
      <c r="P231" s="850"/>
      <c r="Q231" s="850"/>
      <c r="R231" s="850"/>
      <c r="S231" s="850"/>
    </row>
    <row r="232" spans="1:19">
      <c r="A232" s="850" t="s">
        <v>2585</v>
      </c>
      <c r="B232" s="850" t="s">
        <v>2188</v>
      </c>
      <c r="C232" s="576" t="s">
        <v>3000</v>
      </c>
      <c r="D232" s="850"/>
      <c r="E232" s="850" t="s">
        <v>2722</v>
      </c>
      <c r="F232" s="1613">
        <v>40806469090</v>
      </c>
      <c r="G232" s="850"/>
      <c r="H232" s="857"/>
      <c r="I232" s="850"/>
      <c r="J232" s="850"/>
      <c r="K232" s="850"/>
      <c r="L232" s="850"/>
      <c r="M232" s="850"/>
      <c r="N232" s="850"/>
      <c r="O232" s="850"/>
      <c r="P232" s="850"/>
      <c r="Q232" s="850"/>
      <c r="R232" s="850"/>
      <c r="S232" s="850"/>
    </row>
    <row r="233" spans="1:19" ht="13.5" thickBot="1">
      <c r="A233" s="850" t="s">
        <v>2585</v>
      </c>
      <c r="B233" s="850" t="s">
        <v>2188</v>
      </c>
      <c r="C233" s="576" t="s">
        <v>3000</v>
      </c>
      <c r="D233" s="850"/>
      <c r="E233" s="850" t="s">
        <v>2723</v>
      </c>
      <c r="F233" s="1565">
        <f>F224-F229</f>
        <v>45665736217</v>
      </c>
      <c r="G233" s="850"/>
      <c r="H233" s="857">
        <f>F233-'A1.BS'!G57</f>
        <v>0</v>
      </c>
      <c r="I233" s="850"/>
      <c r="J233" s="850"/>
      <c r="K233" s="850"/>
      <c r="L233" s="850"/>
      <c r="M233" s="850"/>
      <c r="N233" s="850"/>
      <c r="O233" s="850"/>
      <c r="P233" s="850"/>
      <c r="Q233" s="850"/>
      <c r="R233" s="850"/>
      <c r="S233" s="850"/>
    </row>
    <row r="234" spans="1:19" ht="13.5" thickTop="1">
      <c r="A234" s="850" t="s">
        <v>2585</v>
      </c>
      <c r="B234" s="850" t="s">
        <v>2188</v>
      </c>
      <c r="C234" s="576" t="s">
        <v>3000</v>
      </c>
      <c r="D234" s="850"/>
      <c r="E234" s="850"/>
      <c r="F234" s="850"/>
      <c r="G234" s="850"/>
      <c r="H234" s="850"/>
      <c r="I234" s="850"/>
      <c r="J234" s="850"/>
      <c r="K234" s="850"/>
      <c r="L234" s="850"/>
      <c r="M234" s="850"/>
      <c r="N234" s="850"/>
      <c r="O234" s="850"/>
      <c r="P234" s="850"/>
      <c r="Q234" s="850"/>
      <c r="R234" s="850"/>
      <c r="S234" s="850"/>
    </row>
    <row r="235" spans="1:19" ht="25.5">
      <c r="A235" s="850" t="s">
        <v>2585</v>
      </c>
      <c r="B235" s="850" t="s">
        <v>2188</v>
      </c>
      <c r="C235" s="576" t="s">
        <v>3000</v>
      </c>
      <c r="D235" s="850"/>
      <c r="E235" s="850"/>
      <c r="F235" s="173" t="s">
        <v>2638</v>
      </c>
      <c r="G235" s="174" t="s">
        <v>2588</v>
      </c>
      <c r="H235" s="850"/>
      <c r="I235" s="850"/>
      <c r="J235" s="850"/>
      <c r="K235" s="850"/>
      <c r="L235" s="850"/>
      <c r="M235" s="850"/>
      <c r="N235" s="850"/>
      <c r="O235" s="850"/>
      <c r="P235" s="850"/>
      <c r="Q235" s="850"/>
      <c r="R235" s="850"/>
      <c r="S235" s="850"/>
    </row>
    <row r="236" spans="1:19" ht="25.5">
      <c r="A236" s="850" t="s">
        <v>2585</v>
      </c>
      <c r="B236" s="850" t="s">
        <v>2188</v>
      </c>
      <c r="C236" s="576" t="s">
        <v>3000</v>
      </c>
      <c r="D236" s="850"/>
      <c r="E236" s="1003" t="s">
        <v>2734</v>
      </c>
      <c r="F236" s="990">
        <v>0</v>
      </c>
      <c r="G236" s="847">
        <v>0</v>
      </c>
      <c r="H236" s="850"/>
      <c r="I236" s="850"/>
      <c r="J236" s="850"/>
      <c r="K236" s="850"/>
      <c r="L236" s="850"/>
      <c r="M236" s="850"/>
      <c r="N236" s="850"/>
      <c r="O236" s="850"/>
      <c r="P236" s="850"/>
      <c r="Q236" s="850"/>
      <c r="R236" s="850"/>
      <c r="S236" s="850"/>
    </row>
    <row r="237" spans="1:19">
      <c r="A237" s="850" t="s">
        <v>2585</v>
      </c>
      <c r="B237" s="850" t="s">
        <v>2188</v>
      </c>
      <c r="C237" s="576" t="s">
        <v>3000</v>
      </c>
      <c r="D237" s="850"/>
      <c r="E237" s="850"/>
      <c r="F237" s="850"/>
      <c r="G237" s="850"/>
      <c r="H237" s="850"/>
      <c r="I237" s="850"/>
      <c r="J237" s="850"/>
      <c r="K237" s="850"/>
      <c r="L237" s="850"/>
      <c r="M237" s="850"/>
      <c r="N237" s="850"/>
      <c r="O237" s="850"/>
      <c r="P237" s="850"/>
      <c r="Q237" s="850"/>
      <c r="R237" s="850"/>
      <c r="S237" s="850"/>
    </row>
    <row r="238" spans="1:19">
      <c r="A238" s="172"/>
      <c r="B238" s="172" t="s">
        <v>2188</v>
      </c>
      <c r="C238" s="172" t="s">
        <v>681</v>
      </c>
      <c r="D238" s="172"/>
      <c r="E238" s="172" t="s">
        <v>2736</v>
      </c>
      <c r="F238" s="172"/>
      <c r="G238" s="172"/>
      <c r="H238" s="172"/>
      <c r="I238" s="172"/>
      <c r="J238" s="172"/>
      <c r="K238" s="172"/>
      <c r="L238" s="172"/>
      <c r="M238" s="172"/>
      <c r="N238" s="172"/>
      <c r="O238" s="172"/>
      <c r="P238" s="172"/>
      <c r="Q238" s="172"/>
      <c r="R238" s="172"/>
      <c r="S238" s="172"/>
    </row>
    <row r="239" spans="1:19">
      <c r="A239" s="850" t="s">
        <v>2602</v>
      </c>
      <c r="B239" s="850" t="s">
        <v>2188</v>
      </c>
      <c r="C239" s="576" t="s">
        <v>2586</v>
      </c>
      <c r="D239" s="850"/>
      <c r="E239" s="850"/>
      <c r="F239" s="850"/>
      <c r="G239" s="850"/>
      <c r="H239" s="850"/>
      <c r="I239" s="850"/>
      <c r="J239" s="850"/>
      <c r="K239" s="850"/>
      <c r="L239" s="850"/>
      <c r="M239" s="850"/>
      <c r="N239" s="850"/>
      <c r="O239" s="850"/>
      <c r="P239" s="850"/>
      <c r="Q239" s="850"/>
      <c r="R239" s="850"/>
      <c r="S239" s="850"/>
    </row>
    <row r="240" spans="1:19" ht="25.5">
      <c r="A240" s="850" t="s">
        <v>2602</v>
      </c>
      <c r="B240" s="850" t="s">
        <v>2188</v>
      </c>
      <c r="C240" s="576" t="s">
        <v>2586</v>
      </c>
      <c r="D240" s="850"/>
      <c r="E240" s="850"/>
      <c r="F240" s="173" t="s">
        <v>2587</v>
      </c>
      <c r="G240" s="174" t="s">
        <v>2588</v>
      </c>
      <c r="H240" s="850"/>
      <c r="I240" s="850"/>
      <c r="J240" s="850"/>
      <c r="K240" s="850"/>
      <c r="L240" s="850"/>
      <c r="M240" s="850"/>
      <c r="N240" s="850"/>
      <c r="O240" s="850"/>
      <c r="P240" s="850"/>
      <c r="Q240" s="850"/>
      <c r="R240" s="850"/>
      <c r="S240" s="850"/>
    </row>
    <row r="241" spans="1:19">
      <c r="A241" s="850" t="s">
        <v>2602</v>
      </c>
      <c r="B241" s="850" t="s">
        <v>2188</v>
      </c>
      <c r="C241" s="576" t="s">
        <v>2586</v>
      </c>
      <c r="D241" s="850"/>
      <c r="E241" s="1" t="s">
        <v>2668</v>
      </c>
      <c r="F241" s="992"/>
      <c r="G241" s="993"/>
      <c r="H241" s="850"/>
      <c r="I241" s="850"/>
      <c r="J241" s="850"/>
      <c r="K241" s="850"/>
      <c r="L241" s="850"/>
      <c r="M241" s="850"/>
      <c r="N241" s="850"/>
      <c r="O241" s="850"/>
      <c r="P241" s="850"/>
      <c r="Q241" s="850"/>
      <c r="R241" s="850"/>
      <c r="S241" s="850"/>
    </row>
    <row r="242" spans="1:19">
      <c r="A242" s="850" t="s">
        <v>2602</v>
      </c>
      <c r="B242" s="850" t="s">
        <v>2188</v>
      </c>
      <c r="C242" s="576" t="s">
        <v>2586</v>
      </c>
      <c r="D242" s="859" t="s">
        <v>2271</v>
      </c>
      <c r="E242" s="850" t="s">
        <v>2737</v>
      </c>
      <c r="F242" s="990">
        <f>ROUND(SUMIFS('A0.LS'!L:L,'A0.LS'!D:D,'A4.N2FS Singles'!D242),0)</f>
        <v>0</v>
      </c>
      <c r="G242" s="847">
        <v>37399020</v>
      </c>
      <c r="H242" s="850"/>
      <c r="I242" s="850"/>
      <c r="J242" s="850"/>
      <c r="K242" s="850"/>
      <c r="L242" s="850"/>
      <c r="M242" s="850"/>
      <c r="N242" s="850"/>
      <c r="O242" s="850"/>
      <c r="P242" s="850"/>
      <c r="Q242" s="850"/>
      <c r="R242" s="850"/>
      <c r="S242" s="850"/>
    </row>
    <row r="243" spans="1:19">
      <c r="A243" s="850" t="s">
        <v>2602</v>
      </c>
      <c r="B243" s="850" t="s">
        <v>2188</v>
      </c>
      <c r="C243" s="576" t="s">
        <v>2586</v>
      </c>
      <c r="D243" s="859" t="s">
        <v>2274</v>
      </c>
      <c r="E243" s="850" t="s">
        <v>2738</v>
      </c>
      <c r="F243" s="990">
        <f>ROUND(SUMIFS('A0.LS'!L:L,'A0.LS'!D:D,'A4.N2FS Singles'!D243),0)</f>
        <v>201534109</v>
      </c>
      <c r="G243" s="847">
        <v>324890000</v>
      </c>
      <c r="H243" s="850"/>
      <c r="I243" s="850"/>
      <c r="J243" s="850"/>
      <c r="K243" s="850"/>
      <c r="L243" s="850"/>
      <c r="M243" s="850"/>
      <c r="N243" s="850"/>
      <c r="O243" s="850"/>
      <c r="P243" s="850"/>
      <c r="Q243" s="850"/>
      <c r="R243" s="850"/>
      <c r="S243" s="850"/>
    </row>
    <row r="244" spans="1:19" ht="13.5" thickBot="1">
      <c r="A244" s="850" t="s">
        <v>2602</v>
      </c>
      <c r="B244" s="850" t="s">
        <v>2188</v>
      </c>
      <c r="C244" s="576" t="s">
        <v>2586</v>
      </c>
      <c r="D244" s="850"/>
      <c r="E244" s="850"/>
      <c r="F244" s="1562">
        <f>SUM(F242:F243)</f>
        <v>201534109</v>
      </c>
      <c r="G244" s="1563">
        <v>362289020</v>
      </c>
      <c r="H244" s="850"/>
      <c r="I244" s="850"/>
      <c r="J244" s="850"/>
      <c r="K244" s="850"/>
      <c r="L244" s="850"/>
      <c r="M244" s="850"/>
      <c r="N244" s="850"/>
      <c r="O244" s="850"/>
      <c r="P244" s="850"/>
      <c r="Q244" s="850"/>
      <c r="R244" s="850"/>
      <c r="S244" s="850"/>
    </row>
    <row r="245" spans="1:19" ht="13.5" thickTop="1">
      <c r="A245" s="850" t="s">
        <v>2602</v>
      </c>
      <c r="B245" s="850" t="s">
        <v>2188</v>
      </c>
      <c r="C245" s="576" t="s">
        <v>2586</v>
      </c>
      <c r="D245" s="850"/>
      <c r="E245" s="850"/>
      <c r="F245" s="850"/>
      <c r="G245" s="850"/>
      <c r="H245" s="850"/>
      <c r="I245" s="850"/>
      <c r="J245" s="850"/>
      <c r="K245" s="850"/>
      <c r="L245" s="850"/>
      <c r="M245" s="850"/>
      <c r="N245" s="850"/>
      <c r="O245" s="850"/>
      <c r="P245" s="850"/>
      <c r="Q245" s="850"/>
      <c r="R245" s="850"/>
      <c r="S245" s="850"/>
    </row>
    <row r="246" spans="1:19">
      <c r="A246" s="850" t="s">
        <v>2602</v>
      </c>
      <c r="B246" s="850" t="s">
        <v>2188</v>
      </c>
      <c r="C246" s="576" t="s">
        <v>2586</v>
      </c>
      <c r="D246" s="850"/>
      <c r="E246" s="1" t="s">
        <v>1970</v>
      </c>
      <c r="F246" s="857">
        <f>F244-'A1.BS'!G33</f>
        <v>0</v>
      </c>
      <c r="G246" s="857"/>
      <c r="H246" s="850"/>
      <c r="I246" s="850"/>
      <c r="J246" s="850"/>
      <c r="K246" s="850"/>
      <c r="L246" s="850"/>
      <c r="M246" s="850"/>
      <c r="N246" s="850"/>
      <c r="O246" s="850"/>
      <c r="P246" s="850"/>
      <c r="Q246" s="850"/>
      <c r="R246" s="850"/>
      <c r="S246" s="850"/>
    </row>
    <row r="247" spans="1:19">
      <c r="A247" s="850" t="s">
        <v>2602</v>
      </c>
      <c r="B247" s="850" t="s">
        <v>2188</v>
      </c>
      <c r="C247" s="576" t="s">
        <v>2586</v>
      </c>
      <c r="D247" s="850"/>
      <c r="E247" s="850"/>
      <c r="F247" s="850"/>
      <c r="G247" s="850"/>
      <c r="H247" s="850"/>
      <c r="I247" s="850"/>
      <c r="J247" s="850"/>
      <c r="K247" s="850"/>
      <c r="L247" s="850"/>
      <c r="M247" s="850"/>
      <c r="N247" s="850"/>
      <c r="O247" s="850"/>
      <c r="P247" s="850"/>
      <c r="Q247" s="850"/>
      <c r="R247" s="850"/>
      <c r="S247" s="850"/>
    </row>
    <row r="248" spans="1:19">
      <c r="A248" s="850" t="s">
        <v>2602</v>
      </c>
      <c r="B248" s="850" t="s">
        <v>2188</v>
      </c>
      <c r="C248" s="576" t="s">
        <v>2586</v>
      </c>
      <c r="D248" s="850"/>
      <c r="E248" s="1" t="s">
        <v>2739</v>
      </c>
      <c r="F248" s="850"/>
      <c r="G248" s="850"/>
      <c r="H248" s="850"/>
      <c r="I248" s="850"/>
      <c r="J248" s="850"/>
      <c r="K248" s="850"/>
      <c r="L248" s="850"/>
      <c r="M248" s="850"/>
      <c r="N248" s="850"/>
      <c r="O248" s="850"/>
      <c r="P248" s="850"/>
      <c r="Q248" s="850"/>
      <c r="R248" s="850"/>
      <c r="S248" s="850"/>
    </row>
    <row r="249" spans="1:19">
      <c r="A249" s="850" t="s">
        <v>2602</v>
      </c>
      <c r="B249" s="850" t="s">
        <v>2188</v>
      </c>
      <c r="C249" s="576" t="s">
        <v>2586</v>
      </c>
      <c r="D249" s="859" t="s">
        <v>2291</v>
      </c>
      <c r="E249" s="850" t="s">
        <v>2737</v>
      </c>
      <c r="F249" s="990">
        <f>ROUND(SUMIFS('A0.LS'!L:L,'A0.LS'!D:D,'A4.N2FS Singles'!D249),0)</f>
        <v>61349387</v>
      </c>
      <c r="G249" s="847">
        <v>399112963</v>
      </c>
      <c r="H249" s="850"/>
      <c r="I249" s="850"/>
      <c r="J249" s="850"/>
      <c r="K249" s="850"/>
      <c r="L249" s="850"/>
      <c r="M249" s="850"/>
      <c r="N249" s="850"/>
      <c r="O249" s="850"/>
      <c r="P249" s="850"/>
      <c r="Q249" s="850"/>
      <c r="R249" s="850"/>
      <c r="S249" s="850"/>
    </row>
    <row r="250" spans="1:19">
      <c r="A250" s="850" t="s">
        <v>2602</v>
      </c>
      <c r="B250" s="850" t="s">
        <v>2188</v>
      </c>
      <c r="C250" s="576" t="s">
        <v>2586</v>
      </c>
      <c r="D250" s="859" t="s">
        <v>2292</v>
      </c>
      <c r="E250" s="850" t="s">
        <v>2740</v>
      </c>
      <c r="F250" s="990">
        <f>ROUND(SUMIFS('A0.LS'!L:L,'A0.LS'!D:D,'A4.N2FS Singles'!D250),0)</f>
        <v>772752815</v>
      </c>
      <c r="G250" s="847">
        <v>1403189512</v>
      </c>
      <c r="H250" s="850"/>
      <c r="I250" s="850"/>
      <c r="J250" s="850"/>
      <c r="K250" s="850"/>
      <c r="L250" s="850"/>
      <c r="M250" s="850"/>
      <c r="N250" s="850"/>
      <c r="O250" s="850"/>
      <c r="P250" s="850"/>
      <c r="Q250" s="850"/>
      <c r="R250" s="850"/>
      <c r="S250" s="850"/>
    </row>
    <row r="251" spans="1:19" ht="13.5" thickBot="1">
      <c r="A251" s="850" t="s">
        <v>2602</v>
      </c>
      <c r="B251" s="850" t="s">
        <v>2188</v>
      </c>
      <c r="C251" s="576" t="s">
        <v>2586</v>
      </c>
      <c r="D251" s="850"/>
      <c r="E251" s="850"/>
      <c r="F251" s="1562">
        <f>SUM(F249:F250)</f>
        <v>834102202</v>
      </c>
      <c r="G251" s="1563">
        <v>1802302475</v>
      </c>
      <c r="H251" s="850"/>
      <c r="I251" s="850"/>
      <c r="J251" s="850"/>
      <c r="K251" s="850"/>
      <c r="L251" s="850"/>
      <c r="M251" s="850"/>
      <c r="N251" s="850"/>
      <c r="O251" s="850"/>
      <c r="P251" s="850"/>
      <c r="Q251" s="850"/>
      <c r="R251" s="850"/>
      <c r="S251" s="850"/>
    </row>
    <row r="252" spans="1:19" ht="13.5" thickTop="1">
      <c r="A252" s="850" t="s">
        <v>2602</v>
      </c>
      <c r="B252" s="850" t="s">
        <v>2188</v>
      </c>
      <c r="C252" s="576" t="s">
        <v>2586</v>
      </c>
      <c r="D252" s="850"/>
      <c r="E252" s="850"/>
      <c r="F252" s="850"/>
      <c r="G252" s="850"/>
      <c r="H252" s="850"/>
      <c r="I252" s="850"/>
      <c r="J252" s="850"/>
      <c r="K252" s="850"/>
      <c r="L252" s="850"/>
      <c r="M252" s="850"/>
      <c r="N252" s="850"/>
      <c r="O252" s="850"/>
      <c r="P252" s="850"/>
      <c r="Q252" s="850"/>
      <c r="R252" s="850"/>
      <c r="S252" s="850"/>
    </row>
    <row r="253" spans="1:19">
      <c r="A253" s="850" t="s">
        <v>2602</v>
      </c>
      <c r="B253" s="850" t="s">
        <v>2188</v>
      </c>
      <c r="C253" s="576" t="s">
        <v>2586</v>
      </c>
      <c r="D253" s="850"/>
      <c r="E253" s="1" t="s">
        <v>1970</v>
      </c>
      <c r="F253" s="857">
        <f>F251-'A1.BS'!G77</f>
        <v>0</v>
      </c>
      <c r="G253" s="857">
        <f>G251-'[14]N2FS.S'!$E$249</f>
        <v>0</v>
      </c>
      <c r="H253" s="850"/>
      <c r="I253" s="850"/>
      <c r="J253" s="850"/>
      <c r="K253" s="850"/>
      <c r="L253" s="850"/>
      <c r="M253" s="850"/>
      <c r="N253" s="850"/>
      <c r="O253" s="850"/>
      <c r="P253" s="850"/>
      <c r="Q253" s="850"/>
      <c r="R253" s="850"/>
      <c r="S253" s="850"/>
    </row>
    <row r="254" spans="1:19">
      <c r="A254" s="850" t="s">
        <v>2602</v>
      </c>
      <c r="B254" s="850" t="s">
        <v>2188</v>
      </c>
      <c r="C254" s="576" t="s">
        <v>2586</v>
      </c>
      <c r="D254" s="850"/>
      <c r="E254" s="850"/>
      <c r="F254" s="850"/>
      <c r="G254" s="850"/>
      <c r="H254" s="850"/>
      <c r="I254" s="850"/>
      <c r="J254" s="850"/>
      <c r="K254" s="850"/>
      <c r="L254" s="850"/>
      <c r="M254" s="850"/>
      <c r="N254" s="850"/>
      <c r="O254" s="850"/>
      <c r="P254" s="850"/>
      <c r="Q254" s="850"/>
      <c r="R254" s="850"/>
      <c r="S254" s="850"/>
    </row>
    <row r="255" spans="1:19">
      <c r="A255" s="172"/>
      <c r="B255" s="172" t="s">
        <v>2188</v>
      </c>
      <c r="C255" s="172" t="s">
        <v>681</v>
      </c>
      <c r="D255" s="172"/>
      <c r="E255" s="172" t="s">
        <v>2741</v>
      </c>
      <c r="F255" s="172"/>
      <c r="G255" s="172"/>
      <c r="H255" s="172"/>
      <c r="I255" s="172"/>
      <c r="J255" s="172"/>
      <c r="K255" s="172"/>
      <c r="L255" s="172"/>
      <c r="M255" s="172"/>
      <c r="N255" s="172"/>
      <c r="O255" s="172"/>
      <c r="P255" s="172"/>
      <c r="Q255" s="172"/>
      <c r="R255" s="172"/>
      <c r="S255" s="172"/>
    </row>
    <row r="256" spans="1:19">
      <c r="A256" s="850" t="s">
        <v>2602</v>
      </c>
      <c r="B256" s="850" t="s">
        <v>2188</v>
      </c>
      <c r="C256" s="576" t="s">
        <v>2586</v>
      </c>
      <c r="D256" s="850"/>
      <c r="E256" s="850"/>
      <c r="F256" s="850"/>
      <c r="G256" s="850"/>
      <c r="H256" s="850"/>
      <c r="I256" s="850"/>
      <c r="J256" s="850"/>
      <c r="K256" s="850"/>
      <c r="L256" s="850"/>
      <c r="M256" s="850"/>
      <c r="N256" s="850"/>
      <c r="O256" s="850"/>
      <c r="P256" s="850"/>
      <c r="Q256" s="850"/>
      <c r="R256" s="850"/>
      <c r="S256" s="850"/>
    </row>
    <row r="257" spans="1:19" ht="25.5">
      <c r="A257" s="850" t="s">
        <v>2602</v>
      </c>
      <c r="B257" s="850" t="s">
        <v>2188</v>
      </c>
      <c r="C257" s="576" t="s">
        <v>2586</v>
      </c>
      <c r="D257" s="850"/>
      <c r="E257" s="850"/>
      <c r="F257" s="173" t="s">
        <v>2587</v>
      </c>
      <c r="G257" s="174" t="s">
        <v>2588</v>
      </c>
      <c r="H257" s="850"/>
      <c r="I257" s="850"/>
      <c r="J257" s="850"/>
      <c r="K257" s="850"/>
      <c r="L257" s="850"/>
      <c r="M257" s="850"/>
      <c r="N257" s="850"/>
      <c r="O257" s="850"/>
      <c r="P257" s="850"/>
      <c r="Q257" s="850"/>
      <c r="R257" s="850"/>
      <c r="S257" s="850"/>
    </row>
    <row r="258" spans="1:19">
      <c r="A258" s="850" t="s">
        <v>2602</v>
      </c>
      <c r="B258" s="850" t="s">
        <v>2188</v>
      </c>
      <c r="C258" s="576" t="s">
        <v>2586</v>
      </c>
      <c r="D258" s="850"/>
      <c r="E258" s="850" t="s">
        <v>2742</v>
      </c>
      <c r="F258" s="992"/>
      <c r="G258" s="993"/>
      <c r="H258" s="850"/>
      <c r="I258" s="850"/>
      <c r="J258" s="850"/>
      <c r="K258" s="850"/>
      <c r="L258" s="850"/>
      <c r="M258" s="850"/>
      <c r="N258" s="850"/>
      <c r="O258" s="850"/>
      <c r="P258" s="850"/>
      <c r="Q258" s="850"/>
      <c r="R258" s="850"/>
      <c r="S258" s="850"/>
    </row>
    <row r="259" spans="1:19">
      <c r="A259" s="850" t="s">
        <v>2602</v>
      </c>
      <c r="B259" s="850" t="s">
        <v>2188</v>
      </c>
      <c r="C259" s="576" t="s">
        <v>2586</v>
      </c>
      <c r="D259" s="859" t="s">
        <v>2286</v>
      </c>
      <c r="E259" s="859" t="s">
        <v>2743</v>
      </c>
      <c r="F259" s="990">
        <f>ROUND(SUMIFS('A0.LS'!L:L,'A0.LS'!D:D,'A4.N2FS Singles'!D259),0)</f>
        <v>7014749613</v>
      </c>
      <c r="G259" s="847">
        <v>5350661938</v>
      </c>
      <c r="H259" s="850"/>
      <c r="I259" s="850"/>
      <c r="J259" s="850"/>
      <c r="K259" s="850"/>
      <c r="L259" s="850"/>
      <c r="M259" s="850"/>
      <c r="N259" s="850"/>
      <c r="O259" s="850"/>
      <c r="P259" s="850"/>
      <c r="Q259" s="850"/>
      <c r="R259" s="850"/>
      <c r="S259" s="850"/>
    </row>
    <row r="260" spans="1:19" ht="13.5" thickBot="1">
      <c r="A260" s="850" t="s">
        <v>2602</v>
      </c>
      <c r="B260" s="850" t="s">
        <v>2188</v>
      </c>
      <c r="C260" s="576" t="s">
        <v>2586</v>
      </c>
      <c r="D260" s="850"/>
      <c r="E260" s="850"/>
      <c r="F260" s="1571">
        <f>SUM(F259)</f>
        <v>7014749613</v>
      </c>
      <c r="G260" s="1572">
        <v>5350661938</v>
      </c>
      <c r="H260" s="850"/>
      <c r="I260" s="850"/>
      <c r="J260" s="850"/>
      <c r="K260" s="850"/>
      <c r="L260" s="850"/>
      <c r="M260" s="850"/>
      <c r="N260" s="850"/>
      <c r="O260" s="850"/>
      <c r="P260" s="850"/>
      <c r="Q260" s="850"/>
      <c r="R260" s="850"/>
      <c r="S260" s="850"/>
    </row>
    <row r="261" spans="1:19" ht="13.5" thickTop="1">
      <c r="A261" s="850" t="s">
        <v>2602</v>
      </c>
      <c r="B261" s="850" t="s">
        <v>2188</v>
      </c>
      <c r="C261" s="576" t="s">
        <v>2586</v>
      </c>
      <c r="D261" s="850"/>
      <c r="E261" s="850"/>
      <c r="F261" s="850"/>
      <c r="G261" s="850"/>
      <c r="H261" s="850"/>
      <c r="I261" s="850"/>
      <c r="J261" s="850"/>
      <c r="K261" s="850"/>
      <c r="L261" s="850"/>
      <c r="M261" s="850"/>
      <c r="N261" s="850"/>
      <c r="O261" s="850"/>
      <c r="P261" s="850"/>
      <c r="Q261" s="850"/>
      <c r="R261" s="850"/>
      <c r="S261" s="850"/>
    </row>
    <row r="262" spans="1:19">
      <c r="A262" s="850" t="s">
        <v>2602</v>
      </c>
      <c r="B262" s="850" t="s">
        <v>2188</v>
      </c>
      <c r="C262" s="576" t="s">
        <v>2586</v>
      </c>
      <c r="D262" s="850"/>
      <c r="E262" s="850" t="s">
        <v>2744</v>
      </c>
      <c r="F262" s="850"/>
      <c r="G262" s="850"/>
      <c r="H262" s="850"/>
      <c r="I262" s="850"/>
      <c r="J262" s="850"/>
      <c r="K262" s="850"/>
      <c r="L262" s="850"/>
      <c r="M262" s="850"/>
      <c r="N262" s="850"/>
      <c r="O262" s="850"/>
      <c r="P262" s="850"/>
      <c r="Q262" s="850"/>
      <c r="R262" s="850"/>
      <c r="S262" s="850"/>
    </row>
    <row r="263" spans="1:19" ht="25.5">
      <c r="A263" s="850" t="s">
        <v>2602</v>
      </c>
      <c r="B263" s="850" t="s">
        <v>2188</v>
      </c>
      <c r="C263" s="576" t="s">
        <v>2586</v>
      </c>
      <c r="D263" s="850"/>
      <c r="E263" s="850"/>
      <c r="F263" s="173" t="s">
        <v>2587</v>
      </c>
      <c r="G263" s="174" t="s">
        <v>2588</v>
      </c>
      <c r="H263" s="850"/>
      <c r="I263" s="850"/>
      <c r="J263" s="850"/>
      <c r="K263" s="850"/>
      <c r="L263" s="850"/>
      <c r="M263" s="850"/>
      <c r="N263" s="850"/>
      <c r="O263" s="850"/>
      <c r="P263" s="850"/>
      <c r="Q263" s="850"/>
      <c r="R263" s="850"/>
      <c r="S263" s="850"/>
    </row>
    <row r="264" spans="1:19">
      <c r="A264" s="850" t="s">
        <v>2585</v>
      </c>
      <c r="B264" s="850" t="s">
        <v>2188</v>
      </c>
      <c r="C264" s="576" t="s">
        <v>2586</v>
      </c>
      <c r="D264" s="850"/>
      <c r="E264" s="850" t="s">
        <v>2745</v>
      </c>
      <c r="F264" s="850"/>
      <c r="G264" s="850"/>
      <c r="H264" s="850"/>
      <c r="I264" s="850"/>
      <c r="J264" s="850"/>
      <c r="K264" s="850"/>
      <c r="L264" s="850"/>
      <c r="M264" s="850"/>
      <c r="N264" s="850"/>
      <c r="O264" s="850"/>
      <c r="P264" s="850"/>
      <c r="Q264" s="850"/>
      <c r="R264" s="850"/>
      <c r="S264" s="850"/>
    </row>
    <row r="265" spans="1:19">
      <c r="A265" s="850" t="s">
        <v>2585</v>
      </c>
      <c r="B265" s="850" t="s">
        <v>2188</v>
      </c>
      <c r="C265" s="576" t="s">
        <v>2586</v>
      </c>
      <c r="D265" s="850"/>
      <c r="E265" s="1" t="s">
        <v>2722</v>
      </c>
      <c r="F265" s="994">
        <f>G268</f>
        <v>5350661938</v>
      </c>
      <c r="G265" s="847">
        <v>7039671296</v>
      </c>
      <c r="H265" s="850"/>
      <c r="I265" s="850"/>
      <c r="J265" s="850"/>
      <c r="K265" s="850"/>
      <c r="L265" s="850"/>
      <c r="M265" s="850"/>
      <c r="N265" s="850"/>
      <c r="O265" s="850"/>
      <c r="P265" s="850"/>
      <c r="Q265" s="850"/>
      <c r="R265" s="850"/>
      <c r="S265" s="850"/>
    </row>
    <row r="266" spans="1:19">
      <c r="A266" s="850" t="s">
        <v>2585</v>
      </c>
      <c r="B266" s="850" t="s">
        <v>2188</v>
      </c>
      <c r="C266" s="576" t="s">
        <v>2586</v>
      </c>
      <c r="D266" s="850"/>
      <c r="E266" s="850" t="s">
        <v>2746</v>
      </c>
      <c r="F266" s="990">
        <v>9994865192</v>
      </c>
      <c r="G266" s="847">
        <v>19625961290</v>
      </c>
      <c r="H266" s="850"/>
      <c r="I266" s="850"/>
      <c r="J266" s="850"/>
      <c r="K266" s="850"/>
      <c r="L266" s="850"/>
      <c r="M266" s="850"/>
      <c r="N266" s="850"/>
      <c r="O266" s="850"/>
      <c r="P266" s="850"/>
      <c r="Q266" s="850"/>
      <c r="R266" s="850"/>
      <c r="S266" s="850"/>
    </row>
    <row r="267" spans="1:19">
      <c r="A267" s="850" t="s">
        <v>2585</v>
      </c>
      <c r="B267" s="850" t="s">
        <v>2188</v>
      </c>
      <c r="C267" s="576" t="s">
        <v>2586</v>
      </c>
      <c r="D267" s="850"/>
      <c r="E267" s="850" t="s">
        <v>2747</v>
      </c>
      <c r="F267" s="994">
        <v>-8330777517</v>
      </c>
      <c r="G267" s="847">
        <v>-21314970648</v>
      </c>
      <c r="H267" s="857"/>
      <c r="I267" s="850"/>
      <c r="J267" s="850"/>
      <c r="K267" s="850"/>
      <c r="L267" s="850"/>
      <c r="M267" s="850"/>
      <c r="N267" s="850"/>
      <c r="O267" s="850"/>
      <c r="P267" s="850"/>
      <c r="Q267" s="850"/>
      <c r="R267" s="850"/>
      <c r="S267" s="850"/>
    </row>
    <row r="268" spans="1:19" ht="13.5" thickBot="1">
      <c r="A268" s="850" t="s">
        <v>2585</v>
      </c>
      <c r="B268" s="850" t="s">
        <v>2188</v>
      </c>
      <c r="C268" s="576" t="s">
        <v>2586</v>
      </c>
      <c r="D268" s="850"/>
      <c r="E268" s="1" t="s">
        <v>2723</v>
      </c>
      <c r="F268" s="1559">
        <f>SUM(F265:F267)</f>
        <v>7014749613</v>
      </c>
      <c r="G268" s="1561">
        <v>5350661938</v>
      </c>
      <c r="H268" s="850"/>
      <c r="I268" s="857"/>
      <c r="J268" s="850"/>
      <c r="K268" s="850"/>
      <c r="L268" s="850"/>
      <c r="M268" s="850"/>
      <c r="N268" s="850"/>
      <c r="O268" s="850"/>
      <c r="P268" s="850"/>
      <c r="Q268" s="850"/>
      <c r="R268" s="850"/>
      <c r="S268" s="850"/>
    </row>
    <row r="269" spans="1:19" ht="13.5" thickTop="1">
      <c r="A269" s="850" t="s">
        <v>2585</v>
      </c>
      <c r="B269" s="850" t="s">
        <v>2188</v>
      </c>
      <c r="C269" s="576" t="s">
        <v>2586</v>
      </c>
      <c r="D269" s="850"/>
      <c r="E269" s="850"/>
      <c r="F269" s="850"/>
      <c r="G269" s="850"/>
      <c r="H269" s="850"/>
      <c r="I269" s="850"/>
      <c r="J269" s="850"/>
      <c r="K269" s="850"/>
      <c r="L269" s="850"/>
      <c r="M269" s="850"/>
      <c r="N269" s="850"/>
      <c r="O269" s="850"/>
      <c r="P269" s="850"/>
      <c r="Q269" s="850"/>
      <c r="R269" s="850"/>
      <c r="S269" s="850"/>
    </row>
    <row r="270" spans="1:19">
      <c r="A270" s="850" t="s">
        <v>2585</v>
      </c>
      <c r="B270" s="850" t="s">
        <v>2188</v>
      </c>
      <c r="C270" s="576" t="s">
        <v>2586</v>
      </c>
      <c r="D270" s="850"/>
      <c r="E270" s="1" t="s">
        <v>1970</v>
      </c>
      <c r="F270" s="857">
        <f>F268-F260</f>
        <v>0</v>
      </c>
      <c r="G270" s="857">
        <f>G268-G260</f>
        <v>0</v>
      </c>
      <c r="H270" s="850"/>
      <c r="I270" s="850"/>
      <c r="J270" s="850"/>
      <c r="K270" s="850"/>
      <c r="L270" s="850"/>
      <c r="M270" s="850"/>
      <c r="N270" s="850"/>
      <c r="O270" s="850"/>
      <c r="P270" s="850"/>
      <c r="Q270" s="850"/>
      <c r="R270" s="850"/>
      <c r="S270" s="850"/>
    </row>
    <row r="271" spans="1:19">
      <c r="A271" s="850" t="s">
        <v>2585</v>
      </c>
      <c r="B271" s="850" t="s">
        <v>2188</v>
      </c>
      <c r="C271" s="576" t="s">
        <v>2586</v>
      </c>
      <c r="D271" s="850"/>
      <c r="E271" s="1" t="s">
        <v>1970</v>
      </c>
      <c r="F271" s="857">
        <f>F260-'A1.BS'!G67</f>
        <v>0</v>
      </c>
      <c r="G271" s="857">
        <f>G260-'[14]N2FS.S'!$E$258</f>
        <v>0</v>
      </c>
      <c r="H271" s="850"/>
      <c r="I271" s="850"/>
      <c r="J271" s="850"/>
      <c r="K271" s="850"/>
      <c r="L271" s="850"/>
      <c r="M271" s="850"/>
      <c r="N271" s="850"/>
      <c r="O271" s="850"/>
      <c r="P271" s="850"/>
      <c r="Q271" s="850"/>
      <c r="R271" s="850"/>
      <c r="S271" s="850"/>
    </row>
    <row r="272" spans="1:19">
      <c r="A272" s="850" t="s">
        <v>2585</v>
      </c>
      <c r="B272" s="850" t="s">
        <v>2188</v>
      </c>
      <c r="C272" s="576" t="s">
        <v>2586</v>
      </c>
      <c r="D272" s="850"/>
      <c r="E272" s="1" t="s">
        <v>1970</v>
      </c>
      <c r="F272" s="857">
        <f>F267+F222</f>
        <v>0</v>
      </c>
      <c r="G272" s="857"/>
      <c r="H272" s="850"/>
      <c r="I272" s="850"/>
      <c r="J272" s="850"/>
      <c r="K272" s="850"/>
      <c r="L272" s="850"/>
      <c r="M272" s="850"/>
      <c r="N272" s="850"/>
      <c r="O272" s="850"/>
      <c r="P272" s="850"/>
      <c r="Q272" s="850"/>
      <c r="R272" s="850"/>
      <c r="S272" s="850"/>
    </row>
    <row r="273" spans="1:19">
      <c r="A273" s="850" t="s">
        <v>2585</v>
      </c>
      <c r="B273" s="850" t="s">
        <v>2188</v>
      </c>
      <c r="C273" s="576" t="s">
        <v>2586</v>
      </c>
      <c r="D273" s="850"/>
      <c r="E273" s="850"/>
      <c r="F273" s="850"/>
      <c r="G273" s="850"/>
      <c r="H273" s="850"/>
      <c r="I273" s="850"/>
      <c r="J273" s="850"/>
      <c r="K273" s="850"/>
      <c r="L273" s="850"/>
      <c r="M273" s="850"/>
      <c r="N273" s="850"/>
      <c r="O273" s="850"/>
      <c r="P273" s="850"/>
      <c r="Q273" s="850"/>
      <c r="R273" s="850"/>
      <c r="S273" s="850"/>
    </row>
    <row r="274" spans="1:19">
      <c r="A274" s="172"/>
      <c r="B274" s="172" t="s">
        <v>676</v>
      </c>
      <c r="C274" s="172" t="s">
        <v>681</v>
      </c>
      <c r="D274" s="172"/>
      <c r="E274" s="172" t="s">
        <v>3120</v>
      </c>
      <c r="F274" s="172"/>
      <c r="G274" s="172"/>
      <c r="H274" s="172"/>
      <c r="I274" s="172"/>
      <c r="J274" s="172"/>
      <c r="K274" s="172"/>
      <c r="L274" s="172"/>
      <c r="M274" s="172"/>
      <c r="N274" s="172"/>
      <c r="O274" s="172"/>
      <c r="P274" s="172"/>
      <c r="Q274" s="172"/>
      <c r="R274" s="172"/>
      <c r="S274" s="172"/>
    </row>
    <row r="275" spans="1:19">
      <c r="A275" s="850" t="s">
        <v>2585</v>
      </c>
      <c r="B275" s="850" t="s">
        <v>676</v>
      </c>
      <c r="C275" s="576" t="s">
        <v>2586</v>
      </c>
      <c r="D275" s="850"/>
      <c r="E275" s="850"/>
      <c r="F275" s="850"/>
      <c r="G275" s="850"/>
      <c r="H275" s="850"/>
      <c r="I275" s="850"/>
      <c r="J275" s="850"/>
      <c r="K275" s="850"/>
      <c r="L275" s="850"/>
      <c r="M275" s="850"/>
      <c r="N275" s="850"/>
      <c r="O275" s="850"/>
      <c r="P275" s="850"/>
      <c r="Q275" s="850"/>
      <c r="R275" s="850"/>
      <c r="S275" s="850"/>
    </row>
    <row r="276" spans="1:19">
      <c r="A276" s="850" t="s">
        <v>2585</v>
      </c>
      <c r="B276" s="850" t="s">
        <v>676</v>
      </c>
      <c r="C276" s="576" t="s">
        <v>2586</v>
      </c>
      <c r="D276" s="850"/>
      <c r="E276" s="850"/>
      <c r="F276" s="182">
        <v>45657</v>
      </c>
      <c r="G276" s="183"/>
      <c r="H276" s="183"/>
      <c r="I276" s="185">
        <v>45291</v>
      </c>
      <c r="J276" s="186"/>
      <c r="K276" s="186"/>
      <c r="L276" s="850"/>
      <c r="M276" s="850"/>
      <c r="N276" s="850"/>
      <c r="O276" s="850"/>
      <c r="P276" s="850"/>
      <c r="Q276" s="850"/>
      <c r="R276" s="850"/>
      <c r="S276" s="850"/>
    </row>
    <row r="277" spans="1:19" ht="25.5">
      <c r="A277" s="850" t="s">
        <v>2585</v>
      </c>
      <c r="B277" s="850" t="s">
        <v>676</v>
      </c>
      <c r="C277" s="576" t="s">
        <v>2586</v>
      </c>
      <c r="D277" s="850"/>
      <c r="E277" s="850"/>
      <c r="F277" s="173" t="s">
        <v>2612</v>
      </c>
      <c r="G277" s="152" t="s">
        <v>2614</v>
      </c>
      <c r="H277" s="152" t="s">
        <v>2613</v>
      </c>
      <c r="I277" s="188" t="s">
        <v>2612</v>
      </c>
      <c r="J277" s="189" t="s">
        <v>2614</v>
      </c>
      <c r="K277" s="189" t="s">
        <v>2613</v>
      </c>
      <c r="L277" s="850"/>
      <c r="M277" s="850"/>
      <c r="N277" s="850"/>
      <c r="O277" s="850"/>
      <c r="P277" s="850"/>
      <c r="Q277" s="850"/>
      <c r="R277" s="850"/>
      <c r="S277" s="850"/>
    </row>
    <row r="278" spans="1:19">
      <c r="A278" s="850" t="s">
        <v>2585</v>
      </c>
      <c r="B278" s="850" t="s">
        <v>676</v>
      </c>
      <c r="C278" s="576" t="s">
        <v>2586</v>
      </c>
      <c r="D278" s="850"/>
      <c r="E278" s="1" t="s">
        <v>96</v>
      </c>
      <c r="F278" s="195">
        <f t="shared" ref="F278:I278" si="9">SUM(F279:F280)</f>
        <v>440010000000</v>
      </c>
      <c r="G278" s="195">
        <f>SUM(G279:G280)</f>
        <v>-73388185416</v>
      </c>
      <c r="H278" s="195">
        <f t="shared" si="9"/>
        <v>366621814584</v>
      </c>
      <c r="I278" s="202">
        <f t="shared" si="9"/>
        <v>440010000000</v>
      </c>
      <c r="J278" s="202">
        <f>SUM(J279:J280)</f>
        <v>-38430233692</v>
      </c>
      <c r="K278" s="202">
        <f>SUM(K279:K280)</f>
        <v>401579766308</v>
      </c>
      <c r="L278" s="850"/>
      <c r="M278" s="850"/>
      <c r="N278" s="850"/>
      <c r="O278" s="850"/>
      <c r="P278" s="850"/>
      <c r="Q278" s="850"/>
      <c r="R278" s="850"/>
      <c r="S278" s="850"/>
    </row>
    <row r="279" spans="1:19" ht="25.5">
      <c r="A279" s="850" t="s">
        <v>2585</v>
      </c>
      <c r="B279" s="850" t="s">
        <v>676</v>
      </c>
      <c r="C279" s="576" t="s">
        <v>2586</v>
      </c>
      <c r="D279" s="850"/>
      <c r="E279" s="1001" t="s">
        <v>3115</v>
      </c>
      <c r="F279" s="994">
        <f>I279</f>
        <v>440000000000</v>
      </c>
      <c r="G279" s="990">
        <f>ROUND(-'Dự phòng Finhay JSC'!C7,0)</f>
        <v>-73384137110</v>
      </c>
      <c r="H279" s="994">
        <f>SUM(F279:G279)</f>
        <v>366615862890</v>
      </c>
      <c r="I279" s="847">
        <v>440000000000</v>
      </c>
      <c r="J279" s="847">
        <f>'A0.LS'!Q92-J280</f>
        <v>-38428223442</v>
      </c>
      <c r="K279" s="998">
        <f>SUM(I279:J279)</f>
        <v>401571776558</v>
      </c>
      <c r="L279" s="850"/>
      <c r="M279" s="850"/>
      <c r="N279" s="850"/>
      <c r="O279" s="850"/>
      <c r="P279" s="850"/>
      <c r="Q279" s="850"/>
      <c r="R279" s="850"/>
      <c r="S279" s="850"/>
    </row>
    <row r="280" spans="1:19">
      <c r="A280" s="850" t="s">
        <v>2585</v>
      </c>
      <c r="B280" s="850" t="s">
        <v>676</v>
      </c>
      <c r="C280" s="576" t="s">
        <v>2586</v>
      </c>
      <c r="D280" s="850"/>
      <c r="E280" s="1001" t="s">
        <v>3121</v>
      </c>
      <c r="F280" s="994">
        <f>I280</f>
        <v>10000000</v>
      </c>
      <c r="G280" s="990">
        <f>ROUND(-'Dự phòng Finhay JSC'!D6,0)</f>
        <v>-4048306</v>
      </c>
      <c r="H280" s="994">
        <f>SUM(F280:G280)</f>
        <v>5951694</v>
      </c>
      <c r="I280" s="847">
        <v>10000000</v>
      </c>
      <c r="J280" s="847">
        <f>-2010250</f>
        <v>-2010250</v>
      </c>
      <c r="K280" s="998">
        <f>SUM(I280:J280)</f>
        <v>7989750</v>
      </c>
      <c r="L280" s="850"/>
      <c r="M280" s="850"/>
      <c r="N280" s="850"/>
      <c r="O280" s="850"/>
      <c r="P280" s="850"/>
      <c r="Q280" s="850"/>
      <c r="R280" s="850"/>
      <c r="S280" s="850"/>
    </row>
    <row r="281" spans="1:19">
      <c r="A281" s="850" t="s">
        <v>2585</v>
      </c>
      <c r="B281" s="850" t="s">
        <v>676</v>
      </c>
      <c r="C281" s="576" t="s">
        <v>2586</v>
      </c>
      <c r="D281" s="850"/>
      <c r="E281" s="1" t="s">
        <v>98</v>
      </c>
      <c r="F281" s="200">
        <f t="shared" ref="F281:K281" si="10">F282</f>
        <v>1000000</v>
      </c>
      <c r="G281" s="200">
        <f t="shared" si="10"/>
        <v>-155888</v>
      </c>
      <c r="H281" s="200">
        <f t="shared" si="10"/>
        <v>844112</v>
      </c>
      <c r="I281" s="203">
        <f t="shared" si="10"/>
        <v>1000000</v>
      </c>
      <c r="J281" s="203">
        <f t="shared" si="10"/>
        <v>0</v>
      </c>
      <c r="K281" s="203">
        <f t="shared" si="10"/>
        <v>1000000</v>
      </c>
      <c r="L281" s="850"/>
      <c r="M281" s="850"/>
      <c r="N281" s="850"/>
      <c r="O281" s="850"/>
      <c r="P281" s="850"/>
      <c r="Q281" s="850"/>
      <c r="R281" s="850"/>
      <c r="S281" s="850"/>
    </row>
    <row r="282" spans="1:19">
      <c r="A282" s="850" t="s">
        <v>2585</v>
      </c>
      <c r="B282" s="850" t="s">
        <v>676</v>
      </c>
      <c r="C282" s="576" t="s">
        <v>2586</v>
      </c>
      <c r="D282" s="850"/>
      <c r="E282" s="1001" t="s">
        <v>3122</v>
      </c>
      <c r="F282" s="994">
        <f>I282</f>
        <v>1000000</v>
      </c>
      <c r="G282" s="990">
        <f>ROUND(-'Dự phòng Finhay JSC'!E6,0)</f>
        <v>-155888</v>
      </c>
      <c r="H282" s="994">
        <f>SUM(F282:G282)</f>
        <v>844112</v>
      </c>
      <c r="I282" s="847">
        <v>1000000</v>
      </c>
      <c r="J282" s="847">
        <v>0</v>
      </c>
      <c r="K282" s="998">
        <f>SUM(I282:J282)</f>
        <v>1000000</v>
      </c>
      <c r="L282" s="850"/>
      <c r="M282" s="850"/>
      <c r="N282" s="850"/>
      <c r="O282" s="850"/>
      <c r="P282" s="850"/>
      <c r="Q282" s="850"/>
      <c r="R282" s="850"/>
      <c r="S282" s="850"/>
    </row>
    <row r="283" spans="1:19" ht="13.5" thickBot="1">
      <c r="A283" s="850" t="s">
        <v>2585</v>
      </c>
      <c r="B283" s="850" t="s">
        <v>676</v>
      </c>
      <c r="C283" s="576" t="s">
        <v>2586</v>
      </c>
      <c r="D283" s="850"/>
      <c r="E283" s="850"/>
      <c r="F283" s="1562">
        <f t="shared" ref="F283:K283" si="11">SUM(F278,F281)</f>
        <v>440011000000</v>
      </c>
      <c r="G283" s="1562">
        <f t="shared" si="11"/>
        <v>-73388341304</v>
      </c>
      <c r="H283" s="1562">
        <f t="shared" si="11"/>
        <v>366622658696</v>
      </c>
      <c r="I283" s="1563">
        <f t="shared" si="11"/>
        <v>440011000000</v>
      </c>
      <c r="J283" s="1563">
        <f t="shared" si="11"/>
        <v>-38430233692</v>
      </c>
      <c r="K283" s="1563">
        <f t="shared" si="11"/>
        <v>401580766308</v>
      </c>
      <c r="L283" s="850"/>
      <c r="M283" s="850"/>
      <c r="N283" s="850"/>
      <c r="O283" s="850"/>
      <c r="P283" s="850"/>
      <c r="Q283" s="850"/>
      <c r="R283" s="850"/>
      <c r="S283" s="850"/>
    </row>
    <row r="284" spans="1:19" ht="13.5" thickTop="1">
      <c r="A284" s="850" t="s">
        <v>2585</v>
      </c>
      <c r="B284" s="850" t="s">
        <v>676</v>
      </c>
      <c r="C284" s="576" t="s">
        <v>2586</v>
      </c>
      <c r="D284" s="850"/>
      <c r="E284" s="850"/>
      <c r="F284" s="850"/>
      <c r="G284" s="850"/>
      <c r="H284" s="850"/>
      <c r="I284" s="850"/>
      <c r="J284" s="850"/>
      <c r="K284" s="850"/>
      <c r="L284" s="850"/>
      <c r="M284" s="850"/>
      <c r="N284" s="850"/>
      <c r="O284" s="850"/>
      <c r="P284" s="850"/>
      <c r="Q284" s="850"/>
      <c r="R284" s="850"/>
      <c r="S284" s="850"/>
    </row>
    <row r="285" spans="1:19">
      <c r="A285" s="850" t="s">
        <v>2585</v>
      </c>
      <c r="B285" s="850" t="s">
        <v>676</v>
      </c>
      <c r="C285" s="576" t="s">
        <v>2586</v>
      </c>
      <c r="D285" s="850"/>
      <c r="E285" s="1" t="s">
        <v>1970</v>
      </c>
      <c r="F285" s="857">
        <f>F278-'A1.BS'!G70</f>
        <v>0</v>
      </c>
      <c r="G285" s="848">
        <f>G283-'A1.BS'!G73</f>
        <v>0</v>
      </c>
      <c r="H285" s="850"/>
      <c r="I285" s="857">
        <f>I278-'A1.BS'!L70</f>
        <v>0</v>
      </c>
      <c r="J285" s="850"/>
      <c r="K285" s="850"/>
      <c r="L285" s="850"/>
      <c r="M285" s="850" t="s">
        <v>3123</v>
      </c>
      <c r="N285" s="850"/>
      <c r="O285" s="850"/>
      <c r="P285" s="850"/>
      <c r="Q285" s="850"/>
      <c r="R285" s="850"/>
      <c r="S285" s="850"/>
    </row>
    <row r="286" spans="1:19">
      <c r="A286" s="850" t="s">
        <v>2585</v>
      </c>
      <c r="B286" s="850" t="s">
        <v>676</v>
      </c>
      <c r="C286" s="576" t="s">
        <v>2586</v>
      </c>
      <c r="D286" s="850"/>
      <c r="E286" s="850"/>
      <c r="F286" s="857">
        <f>F282-'A1.BS'!G72</f>
        <v>0</v>
      </c>
      <c r="G286" s="850"/>
      <c r="H286" s="850"/>
      <c r="I286" s="857">
        <f>I281-'A1.BS'!L72</f>
        <v>0</v>
      </c>
      <c r="J286" s="850"/>
      <c r="K286" s="850"/>
      <c r="L286" s="850"/>
      <c r="M286" s="850"/>
      <c r="N286" s="850"/>
      <c r="O286" s="850"/>
      <c r="P286" s="850"/>
      <c r="Q286" s="850"/>
      <c r="R286" s="850"/>
      <c r="S286" s="850"/>
    </row>
    <row r="287" spans="1:19">
      <c r="A287" s="850" t="s">
        <v>2585</v>
      </c>
      <c r="B287" s="850" t="s">
        <v>676</v>
      </c>
      <c r="C287" s="576" t="s">
        <v>2586</v>
      </c>
      <c r="D287" s="850"/>
      <c r="E287" s="850"/>
      <c r="F287" s="850"/>
      <c r="G287" s="850"/>
      <c r="H287" s="850"/>
      <c r="I287" s="850"/>
      <c r="J287" s="850"/>
      <c r="K287" s="850"/>
      <c r="L287" s="850"/>
      <c r="M287" s="850"/>
      <c r="N287" s="850"/>
      <c r="O287" s="850"/>
      <c r="P287" s="850"/>
      <c r="Q287" s="850"/>
      <c r="R287" s="850"/>
      <c r="S287" s="850"/>
    </row>
    <row r="288" spans="1:19">
      <c r="A288" s="850" t="s">
        <v>2585</v>
      </c>
      <c r="B288" s="850" t="s">
        <v>676</v>
      </c>
      <c r="C288" s="576" t="s">
        <v>2586</v>
      </c>
      <c r="D288" s="850"/>
      <c r="E288" s="850"/>
      <c r="F288" s="182">
        <v>45657</v>
      </c>
      <c r="G288" s="183"/>
      <c r="H288" s="185">
        <v>45291</v>
      </c>
      <c r="I288" s="186"/>
      <c r="J288" s="850"/>
      <c r="K288" s="850"/>
      <c r="L288" s="850"/>
      <c r="M288" s="850"/>
      <c r="N288" s="850"/>
      <c r="O288" s="850"/>
      <c r="P288" s="850"/>
      <c r="Q288" s="850"/>
      <c r="R288" s="850"/>
      <c r="S288" s="850"/>
    </row>
    <row r="289" spans="1:19" ht="25.5">
      <c r="A289" s="850" t="s">
        <v>2585</v>
      </c>
      <c r="B289" s="850" t="s">
        <v>676</v>
      </c>
      <c r="C289" s="576" t="s">
        <v>2586</v>
      </c>
      <c r="D289" s="850"/>
      <c r="E289" s="850"/>
      <c r="F289" s="152" t="s">
        <v>3124</v>
      </c>
      <c r="G289" s="152" t="s">
        <v>3125</v>
      </c>
      <c r="H289" s="190" t="s">
        <v>3124</v>
      </c>
      <c r="I289" s="190" t="s">
        <v>3125</v>
      </c>
      <c r="J289" s="850"/>
      <c r="K289" s="850"/>
      <c r="L289" s="850"/>
      <c r="M289" s="850"/>
      <c r="N289" s="850"/>
      <c r="O289" s="850"/>
      <c r="P289" s="850"/>
      <c r="Q289" s="850"/>
      <c r="R289" s="850"/>
      <c r="S289" s="850"/>
    </row>
    <row r="290" spans="1:19" ht="25.5">
      <c r="A290" s="850" t="s">
        <v>2585</v>
      </c>
      <c r="B290" s="850" t="s">
        <v>676</v>
      </c>
      <c r="C290" s="576" t="s">
        <v>2586</v>
      </c>
      <c r="D290" s="850"/>
      <c r="E290" s="1003" t="s">
        <v>3126</v>
      </c>
      <c r="F290" s="1015">
        <v>100</v>
      </c>
      <c r="G290" s="1015">
        <v>100</v>
      </c>
      <c r="H290" s="1016">
        <v>100</v>
      </c>
      <c r="I290" s="1016">
        <v>100</v>
      </c>
      <c r="J290" s="850"/>
      <c r="K290" s="850"/>
      <c r="L290" s="850"/>
      <c r="M290" s="850"/>
      <c r="N290" s="850"/>
      <c r="O290" s="850"/>
      <c r="P290" s="850"/>
      <c r="Q290" s="850"/>
      <c r="R290" s="850"/>
      <c r="S290" s="850"/>
    </row>
    <row r="291" spans="1:19">
      <c r="A291" s="850" t="s">
        <v>2585</v>
      </c>
      <c r="B291" s="850" t="s">
        <v>676</v>
      </c>
      <c r="C291" s="576" t="s">
        <v>2586</v>
      </c>
      <c r="D291" s="850"/>
      <c r="E291" s="1003" t="s">
        <v>2597</v>
      </c>
      <c r="F291" s="1015">
        <v>50</v>
      </c>
      <c r="G291" s="1015">
        <v>50</v>
      </c>
      <c r="H291" s="1016">
        <v>50</v>
      </c>
      <c r="I291" s="1016">
        <v>50</v>
      </c>
      <c r="J291" s="850"/>
      <c r="K291" s="850"/>
      <c r="L291" s="850"/>
      <c r="M291" s="850"/>
      <c r="N291" s="850"/>
      <c r="O291" s="850"/>
      <c r="P291" s="850"/>
      <c r="Q291" s="850"/>
      <c r="R291" s="850"/>
      <c r="S291" s="850"/>
    </row>
    <row r="292" spans="1:19">
      <c r="A292" s="850" t="s">
        <v>2585</v>
      </c>
      <c r="B292" s="850" t="s">
        <v>676</v>
      </c>
      <c r="C292" s="576" t="s">
        <v>2586</v>
      </c>
      <c r="D292" s="850"/>
      <c r="E292" s="850"/>
      <c r="F292" s="850"/>
      <c r="G292" s="850"/>
      <c r="H292" s="850"/>
      <c r="I292" s="850"/>
      <c r="J292" s="850"/>
      <c r="K292" s="850"/>
      <c r="L292" s="850"/>
      <c r="M292" s="850"/>
      <c r="N292" s="850"/>
      <c r="O292" s="850"/>
      <c r="P292" s="850"/>
      <c r="Q292" s="850"/>
      <c r="R292" s="850"/>
      <c r="S292" s="850"/>
    </row>
    <row r="293" spans="1:19">
      <c r="A293" s="172"/>
      <c r="B293" s="172" t="s">
        <v>2265</v>
      </c>
      <c r="C293" s="172" t="s">
        <v>681</v>
      </c>
      <c r="D293" s="172"/>
      <c r="E293" s="172" t="s">
        <v>3127</v>
      </c>
      <c r="F293" s="172"/>
      <c r="G293" s="172"/>
      <c r="H293" s="172"/>
      <c r="I293" s="172"/>
      <c r="J293" s="172"/>
      <c r="K293" s="172"/>
      <c r="L293" s="172"/>
      <c r="M293" s="172"/>
      <c r="N293" s="172"/>
      <c r="O293" s="172"/>
      <c r="P293" s="172"/>
      <c r="Q293" s="172"/>
      <c r="R293" s="172"/>
      <c r="S293" s="172"/>
    </row>
    <row r="294" spans="1:19">
      <c r="A294" s="850" t="s">
        <v>2585</v>
      </c>
      <c r="B294" s="850" t="s">
        <v>2265</v>
      </c>
      <c r="C294" s="576" t="s">
        <v>2586</v>
      </c>
      <c r="D294" s="850"/>
      <c r="E294" s="850"/>
      <c r="F294" s="850"/>
      <c r="G294" s="850"/>
      <c r="H294" s="850"/>
      <c r="I294" s="850"/>
      <c r="J294" s="850"/>
      <c r="K294" s="850"/>
      <c r="L294" s="850"/>
      <c r="M294" s="850"/>
      <c r="N294" s="850"/>
      <c r="O294" s="850"/>
      <c r="P294" s="850"/>
      <c r="Q294" s="850"/>
      <c r="R294" s="850"/>
      <c r="S294" s="850"/>
    </row>
    <row r="295" spans="1:19">
      <c r="A295" s="850" t="s">
        <v>2585</v>
      </c>
      <c r="B295" s="850" t="s">
        <v>2265</v>
      </c>
      <c r="C295" s="576" t="s">
        <v>2586</v>
      </c>
      <c r="D295" s="850"/>
      <c r="E295" s="850"/>
      <c r="F295" s="182">
        <v>45657</v>
      </c>
      <c r="G295" s="183"/>
      <c r="H295" s="185">
        <v>45291</v>
      </c>
      <c r="I295" s="186"/>
      <c r="J295" s="850"/>
      <c r="K295" s="850"/>
      <c r="L295" s="850"/>
      <c r="M295" s="850"/>
      <c r="N295" s="850"/>
      <c r="O295" s="850"/>
      <c r="P295" s="850"/>
      <c r="Q295" s="850"/>
      <c r="R295" s="850"/>
      <c r="S295" s="850"/>
    </row>
    <row r="296" spans="1:19" ht="38.25">
      <c r="A296" s="850" t="s">
        <v>2585</v>
      </c>
      <c r="B296" s="850" t="s">
        <v>2265</v>
      </c>
      <c r="C296" s="576" t="s">
        <v>2586</v>
      </c>
      <c r="D296" s="850"/>
      <c r="E296" s="850"/>
      <c r="F296" s="152" t="s">
        <v>2688</v>
      </c>
      <c r="G296" s="152" t="s">
        <v>2749</v>
      </c>
      <c r="H296" s="190" t="s">
        <v>2688</v>
      </c>
      <c r="I296" s="190" t="s">
        <v>2749</v>
      </c>
      <c r="J296" s="850"/>
      <c r="K296" s="850"/>
      <c r="L296" s="850"/>
      <c r="M296" s="850"/>
      <c r="N296" s="850"/>
      <c r="O296" s="850"/>
      <c r="P296" s="850"/>
      <c r="Q296" s="850"/>
      <c r="R296" s="850"/>
      <c r="S296" s="850"/>
    </row>
    <row r="297" spans="1:19">
      <c r="A297" s="850" t="s">
        <v>2585</v>
      </c>
      <c r="B297" s="850" t="s">
        <v>2265</v>
      </c>
      <c r="C297" s="576" t="s">
        <v>2586</v>
      </c>
      <c r="D297" s="850"/>
      <c r="E297" s="1" t="s">
        <v>2668</v>
      </c>
      <c r="F297" s="992"/>
      <c r="G297" s="992"/>
      <c r="H297" s="993"/>
      <c r="I297" s="993"/>
      <c r="J297" s="850"/>
      <c r="K297" s="850"/>
      <c r="L297" s="850"/>
      <c r="M297" s="850"/>
      <c r="N297" s="850"/>
      <c r="O297" s="850"/>
      <c r="P297" s="850"/>
      <c r="Q297" s="850"/>
      <c r="R297" s="850"/>
      <c r="S297" s="850"/>
    </row>
    <row r="298" spans="1:19">
      <c r="A298" s="850" t="s">
        <v>2585</v>
      </c>
      <c r="B298" s="850" t="s">
        <v>2265</v>
      </c>
      <c r="C298" s="576" t="s">
        <v>2586</v>
      </c>
      <c r="D298" s="850"/>
      <c r="E298" s="859" t="s">
        <v>3128</v>
      </c>
      <c r="F298" s="992"/>
      <c r="G298" s="992"/>
      <c r="H298" s="993"/>
      <c r="I298" s="993"/>
      <c r="J298" s="850" t="s">
        <v>3099</v>
      </c>
      <c r="K298" s="850"/>
      <c r="L298" s="850"/>
      <c r="M298" s="850"/>
      <c r="N298" s="850"/>
      <c r="O298" s="850"/>
      <c r="P298" s="850"/>
      <c r="Q298" s="850"/>
      <c r="R298" s="850"/>
      <c r="S298" s="850"/>
    </row>
    <row r="299" spans="1:19">
      <c r="A299" s="850" t="s">
        <v>2585</v>
      </c>
      <c r="B299" s="850" t="s">
        <v>2265</v>
      </c>
      <c r="C299" s="576" t="s">
        <v>2586</v>
      </c>
      <c r="D299" s="850"/>
      <c r="E299" s="859" t="s">
        <v>3129</v>
      </c>
      <c r="F299" s="992"/>
      <c r="G299" s="992"/>
      <c r="H299" s="993"/>
      <c r="I299" s="993"/>
      <c r="J299" s="850" t="s">
        <v>3099</v>
      </c>
      <c r="K299" s="850"/>
      <c r="L299" s="850"/>
      <c r="M299" s="850"/>
      <c r="N299" s="850"/>
      <c r="O299" s="850"/>
      <c r="P299" s="850"/>
      <c r="Q299" s="850"/>
      <c r="R299" s="850"/>
      <c r="S299" s="850"/>
    </row>
    <row r="300" spans="1:19">
      <c r="A300" s="850" t="s">
        <v>2585</v>
      </c>
      <c r="B300" s="850" t="s">
        <v>2265</v>
      </c>
      <c r="C300" s="576" t="s">
        <v>2586</v>
      </c>
      <c r="D300" s="850"/>
      <c r="E300" s="859" t="s">
        <v>2753</v>
      </c>
      <c r="F300" s="990">
        <f>F307</f>
        <v>4940562146</v>
      </c>
      <c r="G300" s="990">
        <f>G307</f>
        <v>4940562146</v>
      </c>
      <c r="H300" s="847">
        <v>9843920652</v>
      </c>
      <c r="I300" s="847">
        <v>9843920652</v>
      </c>
      <c r="J300" s="850"/>
      <c r="K300" s="850"/>
      <c r="L300" s="850"/>
      <c r="M300" s="850"/>
      <c r="N300" s="850"/>
      <c r="O300" s="850"/>
      <c r="P300" s="850"/>
      <c r="Q300" s="850"/>
      <c r="R300" s="850"/>
      <c r="S300" s="850"/>
    </row>
    <row r="301" spans="1:19">
      <c r="A301" s="850" t="s">
        <v>2585</v>
      </c>
      <c r="B301" s="850" t="s">
        <v>2265</v>
      </c>
      <c r="C301" s="576" t="s">
        <v>2586</v>
      </c>
      <c r="D301" s="850"/>
      <c r="E301" s="859" t="s">
        <v>2755</v>
      </c>
      <c r="F301" s="990">
        <v>122017170</v>
      </c>
      <c r="G301" s="990">
        <f>F301</f>
        <v>122017170</v>
      </c>
      <c r="H301" s="847">
        <v>305711779</v>
      </c>
      <c r="I301" s="847">
        <v>305711779</v>
      </c>
      <c r="J301" s="850" t="s">
        <v>3101</v>
      </c>
      <c r="K301" s="850">
        <v>122017170</v>
      </c>
      <c r="L301" s="857"/>
      <c r="M301" s="850"/>
      <c r="N301" s="850"/>
      <c r="O301" s="850"/>
      <c r="P301" s="850"/>
      <c r="Q301" s="850"/>
      <c r="R301" s="850"/>
      <c r="S301" s="850"/>
    </row>
    <row r="302" spans="1:19" ht="13.5" thickBot="1">
      <c r="A302" s="850" t="s">
        <v>2585</v>
      </c>
      <c r="B302" s="850" t="s">
        <v>2265</v>
      </c>
      <c r="C302" s="576" t="s">
        <v>2586</v>
      </c>
      <c r="D302" s="850"/>
      <c r="E302" s="850"/>
      <c r="F302" s="1562">
        <f>SUM(F300:F301)</f>
        <v>5062579316</v>
      </c>
      <c r="G302" s="1562">
        <f>SUM(G298:G301)</f>
        <v>5062579316</v>
      </c>
      <c r="H302" s="1563">
        <f>SUM(H298:H301)</f>
        <v>10149632431</v>
      </c>
      <c r="I302" s="1563">
        <f>SUM(I298:I301)</f>
        <v>10149632431</v>
      </c>
      <c r="J302" s="850"/>
      <c r="K302" s="850"/>
      <c r="L302" s="850"/>
      <c r="M302" s="850"/>
      <c r="N302" s="850"/>
      <c r="O302" s="850"/>
      <c r="P302" s="850"/>
      <c r="Q302" s="850"/>
      <c r="R302" s="850"/>
      <c r="S302" s="850"/>
    </row>
    <row r="303" spans="1:19" ht="13.5" thickTop="1">
      <c r="A303" s="850" t="s">
        <v>2585</v>
      </c>
      <c r="B303" s="850" t="s">
        <v>2265</v>
      </c>
      <c r="C303" s="576" t="s">
        <v>2586</v>
      </c>
      <c r="D303" s="850"/>
      <c r="E303" s="850"/>
      <c r="F303" s="850"/>
      <c r="G303" s="850"/>
      <c r="H303" s="850"/>
      <c r="I303" s="850"/>
      <c r="J303" s="850"/>
      <c r="K303" s="850"/>
      <c r="L303" s="850"/>
      <c r="M303" s="850"/>
      <c r="N303" s="850"/>
      <c r="O303" s="850"/>
      <c r="P303" s="850"/>
      <c r="Q303" s="850"/>
      <c r="R303" s="850"/>
      <c r="S303" s="850"/>
    </row>
    <row r="304" spans="1:19">
      <c r="A304" s="850" t="s">
        <v>2585</v>
      </c>
      <c r="B304" s="850" t="s">
        <v>2265</v>
      </c>
      <c r="C304" s="576" t="s">
        <v>2586</v>
      </c>
      <c r="D304" s="850"/>
      <c r="E304" s="850" t="s">
        <v>2756</v>
      </c>
      <c r="F304" s="992"/>
      <c r="G304" s="992"/>
      <c r="H304" s="993"/>
      <c r="I304" s="993"/>
      <c r="J304" s="850"/>
      <c r="K304" s="850"/>
      <c r="L304" s="850"/>
      <c r="M304" s="850"/>
      <c r="N304" s="850"/>
      <c r="O304" s="850"/>
      <c r="P304" s="850"/>
      <c r="Q304" s="850"/>
      <c r="R304" s="850"/>
      <c r="S304" s="850"/>
    </row>
    <row r="305" spans="1:19">
      <c r="A305" s="850" t="s">
        <v>2585</v>
      </c>
      <c r="B305" s="850" t="s">
        <v>2265</v>
      </c>
      <c r="C305" s="576" t="s">
        <v>2586</v>
      </c>
      <c r="D305" s="850"/>
      <c r="E305" s="859" t="s">
        <v>2757</v>
      </c>
      <c r="F305" s="990">
        <f>4939338621-181328</f>
        <v>4939157293</v>
      </c>
      <c r="G305" s="994">
        <f>F305</f>
        <v>4939157293</v>
      </c>
      <c r="H305" s="847">
        <v>9841690560</v>
      </c>
      <c r="I305" s="847">
        <v>9841690560</v>
      </c>
      <c r="J305" s="850"/>
      <c r="K305" s="850"/>
      <c r="L305" s="848"/>
      <c r="M305" s="850"/>
      <c r="N305" s="850"/>
      <c r="O305" s="850"/>
      <c r="P305" s="850"/>
      <c r="Q305" s="850"/>
      <c r="R305" s="850"/>
      <c r="S305" s="850"/>
    </row>
    <row r="306" spans="1:19">
      <c r="A306" s="850" t="s">
        <v>2585</v>
      </c>
      <c r="B306" s="850" t="s">
        <v>2265</v>
      </c>
      <c r="C306" s="576" t="s">
        <v>2586</v>
      </c>
      <c r="D306" s="850"/>
      <c r="E306" s="859" t="s">
        <v>3116</v>
      </c>
      <c r="F306" s="990">
        <v>1404853</v>
      </c>
      <c r="G306" s="990">
        <f>F306</f>
        <v>1404853</v>
      </c>
      <c r="H306" s="847">
        <v>2230092</v>
      </c>
      <c r="I306" s="847">
        <v>2230092</v>
      </c>
      <c r="J306" s="850">
        <v>331.01</v>
      </c>
      <c r="K306" s="1017" t="e">
        <f>2086442-'A5.FY24'!#REF!</f>
        <v>#REF!</v>
      </c>
      <c r="L306" s="848"/>
      <c r="M306" s="850"/>
      <c r="N306" s="850"/>
      <c r="O306" s="850"/>
      <c r="P306" s="850"/>
      <c r="Q306" s="850"/>
      <c r="R306" s="850"/>
      <c r="S306" s="850"/>
    </row>
    <row r="307" spans="1:19" ht="13.5" thickBot="1">
      <c r="A307" s="850" t="s">
        <v>2585</v>
      </c>
      <c r="B307" s="850" t="s">
        <v>2265</v>
      </c>
      <c r="C307" s="576" t="s">
        <v>2586</v>
      </c>
      <c r="D307" s="850"/>
      <c r="E307" s="850"/>
      <c r="F307" s="1562">
        <f>SUM(F305:F306)</f>
        <v>4940562146</v>
      </c>
      <c r="G307" s="1562">
        <f>SUM(G305:G306)</f>
        <v>4940562146</v>
      </c>
      <c r="H307" s="1563">
        <f>SUM(H305:H306)</f>
        <v>9843920652</v>
      </c>
      <c r="I307" s="1563">
        <f>SUM(I305:I306)</f>
        <v>9843920652</v>
      </c>
      <c r="J307" s="850"/>
      <c r="K307" s="850"/>
      <c r="L307" s="848"/>
      <c r="M307" s="850"/>
      <c r="N307" s="850"/>
      <c r="O307" s="850"/>
      <c r="P307" s="850"/>
      <c r="Q307" s="850"/>
      <c r="R307" s="850"/>
      <c r="S307" s="850"/>
    </row>
    <row r="308" spans="1:19" ht="13.5" thickTop="1">
      <c r="A308" s="850" t="s">
        <v>2585</v>
      </c>
      <c r="B308" s="850" t="s">
        <v>2265</v>
      </c>
      <c r="C308" s="576" t="s">
        <v>2586</v>
      </c>
      <c r="D308" s="850"/>
      <c r="E308" s="850"/>
      <c r="F308" s="850"/>
      <c r="G308" s="850"/>
      <c r="H308" s="850"/>
      <c r="I308" s="850"/>
      <c r="J308" s="850"/>
      <c r="K308" s="850"/>
      <c r="L308" s="848"/>
      <c r="M308" s="850"/>
      <c r="N308" s="850"/>
      <c r="O308" s="850"/>
      <c r="P308" s="850"/>
      <c r="Q308" s="850"/>
      <c r="R308" s="850"/>
      <c r="S308" s="850"/>
    </row>
    <row r="309" spans="1:19">
      <c r="A309" s="850" t="s">
        <v>2585</v>
      </c>
      <c r="B309" s="850" t="s">
        <v>2265</v>
      </c>
      <c r="C309" s="576" t="s">
        <v>2586</v>
      </c>
      <c r="D309" s="850"/>
      <c r="E309" s="1" t="s">
        <v>1970</v>
      </c>
      <c r="F309" s="857">
        <f>F307-F300</f>
        <v>0</v>
      </c>
      <c r="G309" s="857">
        <f>G307-G300</f>
        <v>0</v>
      </c>
      <c r="H309" s="857">
        <f>H307-H300</f>
        <v>0</v>
      </c>
      <c r="I309" s="857">
        <f>I307-I300</f>
        <v>0</v>
      </c>
      <c r="J309" s="850"/>
      <c r="K309" s="850"/>
      <c r="L309" s="1221"/>
      <c r="M309" s="850"/>
      <c r="N309" s="850"/>
      <c r="O309" s="850"/>
      <c r="P309" s="850"/>
      <c r="Q309" s="850"/>
      <c r="R309" s="850"/>
      <c r="S309" s="850"/>
    </row>
    <row r="310" spans="1:19">
      <c r="A310" s="850" t="s">
        <v>2585</v>
      </c>
      <c r="B310" s="850" t="s">
        <v>2265</v>
      </c>
      <c r="C310" s="576" t="s">
        <v>2586</v>
      </c>
      <c r="D310" s="850"/>
      <c r="E310" s="208" t="s">
        <v>1970</v>
      </c>
      <c r="F310" s="1018">
        <f>F302-'A1.BS'!G88</f>
        <v>0</v>
      </c>
      <c r="G310" s="850"/>
      <c r="H310" s="857">
        <f>H302-'A1.BS'!L88</f>
        <v>0</v>
      </c>
      <c r="I310" s="850"/>
      <c r="J310" s="850"/>
      <c r="K310" s="850"/>
      <c r="L310" s="850"/>
      <c r="M310" s="850"/>
      <c r="N310" s="850"/>
      <c r="O310" s="850"/>
      <c r="P310" s="850"/>
      <c r="Q310" s="850"/>
      <c r="R310" s="850"/>
      <c r="S310" s="850"/>
    </row>
    <row r="311" spans="1:19">
      <c r="A311" s="850" t="s">
        <v>2585</v>
      </c>
      <c r="B311" s="850" t="s">
        <v>2265</v>
      </c>
      <c r="C311" s="576" t="s">
        <v>2586</v>
      </c>
      <c r="D311" s="850"/>
      <c r="E311" s="850"/>
      <c r="F311" s="850"/>
      <c r="G311" s="850"/>
      <c r="H311" s="850"/>
      <c r="I311" s="850"/>
      <c r="J311" s="850"/>
      <c r="K311" s="850"/>
      <c r="L311" s="850"/>
      <c r="M311" s="850"/>
      <c r="N311" s="850"/>
      <c r="O311" s="850"/>
      <c r="P311" s="850"/>
      <c r="Q311" s="850"/>
      <c r="R311" s="850"/>
      <c r="S311" s="850"/>
    </row>
    <row r="312" spans="1:19">
      <c r="A312" s="172"/>
      <c r="B312" s="172" t="s">
        <v>675</v>
      </c>
      <c r="C312" s="172" t="s">
        <v>681</v>
      </c>
      <c r="D312" s="172"/>
      <c r="E312" s="172" t="s">
        <v>3130</v>
      </c>
      <c r="F312" s="172"/>
      <c r="G312" s="172"/>
      <c r="H312" s="172"/>
      <c r="I312" s="172"/>
      <c r="J312" s="172"/>
      <c r="K312" s="172"/>
      <c r="L312" s="172"/>
      <c r="M312" s="172"/>
      <c r="N312" s="172"/>
      <c r="O312" s="172"/>
      <c r="P312" s="172"/>
      <c r="Q312" s="172"/>
      <c r="R312" s="172"/>
      <c r="S312" s="172"/>
    </row>
    <row r="313" spans="1:19">
      <c r="A313" s="850" t="s">
        <v>2585</v>
      </c>
      <c r="B313" s="850" t="s">
        <v>675</v>
      </c>
      <c r="C313" s="576" t="s">
        <v>2586</v>
      </c>
      <c r="D313" s="850"/>
      <c r="E313" s="850"/>
      <c r="F313" s="850"/>
      <c r="G313" s="850"/>
      <c r="H313" s="850"/>
      <c r="I313" s="850"/>
      <c r="J313" s="850"/>
      <c r="K313" s="850"/>
      <c r="L313" s="850"/>
      <c r="M313" s="850"/>
      <c r="N313" s="850"/>
      <c r="O313" s="850"/>
      <c r="P313" s="850"/>
      <c r="Q313" s="850"/>
      <c r="R313" s="850"/>
      <c r="S313" s="850"/>
    </row>
    <row r="314" spans="1:19">
      <c r="A314" s="850" t="s">
        <v>2585</v>
      </c>
      <c r="B314" s="850" t="s">
        <v>675</v>
      </c>
      <c r="C314" s="576" t="s">
        <v>2586</v>
      </c>
      <c r="D314" s="850"/>
      <c r="E314" s="850"/>
      <c r="F314" s="850"/>
      <c r="G314" s="850"/>
      <c r="H314" s="850"/>
      <c r="I314" s="850"/>
      <c r="J314" s="850"/>
      <c r="K314" s="850" t="s">
        <v>2759</v>
      </c>
      <c r="L314" s="850"/>
      <c r="M314" s="850"/>
      <c r="N314" s="850"/>
      <c r="O314" s="850"/>
      <c r="P314" s="850"/>
      <c r="Q314" s="850"/>
      <c r="R314" s="850"/>
      <c r="S314" s="850"/>
    </row>
    <row r="315" spans="1:19" ht="25.5">
      <c r="A315" s="850" t="s">
        <v>2585</v>
      </c>
      <c r="B315" s="850" t="s">
        <v>675</v>
      </c>
      <c r="C315" s="576" t="s">
        <v>2586</v>
      </c>
      <c r="D315" s="850"/>
      <c r="E315" s="850"/>
      <c r="F315" s="152" t="s">
        <v>2760</v>
      </c>
      <c r="G315" s="152" t="s">
        <v>2761</v>
      </c>
      <c r="H315" s="152" t="s">
        <v>2762</v>
      </c>
      <c r="I315" s="152" t="s">
        <v>2763</v>
      </c>
      <c r="J315" s="850"/>
      <c r="K315" s="850"/>
      <c r="L315" s="850"/>
      <c r="M315" s="850"/>
      <c r="N315" s="850"/>
      <c r="O315" s="850"/>
      <c r="P315" s="850"/>
      <c r="Q315" s="850"/>
      <c r="R315" s="850"/>
      <c r="S315" s="850"/>
    </row>
    <row r="316" spans="1:19">
      <c r="A316" s="850" t="s">
        <v>2585</v>
      </c>
      <c r="B316" s="850" t="s">
        <v>675</v>
      </c>
      <c r="C316" s="576" t="s">
        <v>2586</v>
      </c>
      <c r="D316" s="850"/>
      <c r="E316" s="1" t="s">
        <v>2764</v>
      </c>
      <c r="F316" s="993"/>
      <c r="G316" s="992"/>
      <c r="H316" s="992"/>
      <c r="I316" s="992"/>
      <c r="J316" s="850"/>
      <c r="K316" s="850"/>
      <c r="L316" s="850"/>
      <c r="M316" s="850"/>
      <c r="N316" s="850"/>
      <c r="O316" s="850"/>
      <c r="P316" s="850"/>
      <c r="Q316" s="850"/>
      <c r="R316" s="850"/>
      <c r="S316" s="850"/>
    </row>
    <row r="317" spans="1:19">
      <c r="A317" s="850" t="s">
        <v>2585</v>
      </c>
      <c r="B317" s="850" t="s">
        <v>675</v>
      </c>
      <c r="C317" s="576" t="s">
        <v>2586</v>
      </c>
      <c r="D317" s="859" t="s">
        <v>2306</v>
      </c>
      <c r="E317" s="850" t="s">
        <v>2766</v>
      </c>
      <c r="F317" s="847">
        <f>-ROUND(SUMIFS('A0.LS'!Q:Q,'A0.LS'!D:D,'A4.N2FS Singles'!D317),0)</f>
        <v>0</v>
      </c>
      <c r="G317" s="990">
        <f>I317-SUM(F317,H317)</f>
        <v>541736785</v>
      </c>
      <c r="H317" s="990">
        <f>-G327</f>
        <v>-536618723</v>
      </c>
      <c r="I317" s="990">
        <f>-ROUND(SUMIFS('A0.LS'!L:L,'A0.LS'!D:D,'A4.N2FS Singles'!D317),0)</f>
        <v>5118062</v>
      </c>
      <c r="J317" s="848"/>
      <c r="K317" s="848"/>
      <c r="L317" s="857"/>
      <c r="M317" s="850"/>
      <c r="N317" s="850"/>
      <c r="O317" s="850"/>
      <c r="P317" s="850"/>
      <c r="Q317" s="850"/>
      <c r="R317" s="850"/>
      <c r="S317" s="850"/>
    </row>
    <row r="318" spans="1:19">
      <c r="A318" s="850" t="s">
        <v>2585</v>
      </c>
      <c r="B318" s="850" t="s">
        <v>675</v>
      </c>
      <c r="C318" s="576" t="s">
        <v>2586</v>
      </c>
      <c r="D318" s="850"/>
      <c r="E318" s="850" t="s">
        <v>135</v>
      </c>
      <c r="F318" s="847">
        <f>SUM(F319:F321)</f>
        <v>2531546345</v>
      </c>
      <c r="G318" s="990">
        <f t="shared" ref="G318" si="12">SUM(G319:G321)</f>
        <v>6372307647</v>
      </c>
      <c r="H318" s="990">
        <f>SUM(H319:H321)</f>
        <v>-8478899388</v>
      </c>
      <c r="I318" s="990">
        <f>SUM(I319:I321)</f>
        <v>424954604</v>
      </c>
      <c r="J318" s="848">
        <f>'A5.FY24'!G260+'A5.FY24'!G262</f>
        <v>0</v>
      </c>
      <c r="K318" s="850"/>
      <c r="L318" s="857"/>
      <c r="M318" s="850"/>
      <c r="N318" s="850"/>
      <c r="O318" s="850"/>
      <c r="P318" s="850"/>
      <c r="Q318" s="850"/>
      <c r="R318" s="850"/>
      <c r="S318" s="850"/>
    </row>
    <row r="319" spans="1:19" s="37" customFormat="1">
      <c r="A319" s="37" t="s">
        <v>2585</v>
      </c>
      <c r="B319" s="850" t="s">
        <v>675</v>
      </c>
      <c r="C319" s="576" t="s">
        <v>2586</v>
      </c>
      <c r="D319" s="345" t="s">
        <v>2310</v>
      </c>
      <c r="E319" s="345" t="s">
        <v>2767</v>
      </c>
      <c r="F319" s="346">
        <f>-ROUND(SUMIFS('A0.LS'!Q:Q,'A0.LS'!D:D,'A4.N2FS Singles'!D319),0)</f>
        <v>1174009001</v>
      </c>
      <c r="G319" s="347">
        <f>I319-SUM(F319,H319)</f>
        <v>750722989</v>
      </c>
      <c r="H319" s="347">
        <f>-K319</f>
        <v>-1838490459</v>
      </c>
      <c r="I319" s="347">
        <f>-ROUND(SUMIFS('A0.LS'!L:L,'A0.LS'!D:D,'A4.N2FS Singles'!D319),0)</f>
        <v>86241531</v>
      </c>
      <c r="K319" s="348">
        <v>1838490459</v>
      </c>
      <c r="L319" s="857"/>
    </row>
    <row r="320" spans="1:19" s="37" customFormat="1">
      <c r="A320" s="37" t="s">
        <v>2585</v>
      </c>
      <c r="B320" s="850" t="s">
        <v>675</v>
      </c>
      <c r="C320" s="576" t="s">
        <v>2586</v>
      </c>
      <c r="D320" s="345" t="s">
        <v>2316</v>
      </c>
      <c r="E320" s="345" t="s">
        <v>2769</v>
      </c>
      <c r="F320" s="346">
        <f>-ROUND(SUMIFS('A0.LS'!Q:Q,'A0.LS'!D:D,'A4.N2FS Singles'!D320),0)</f>
        <v>66225151</v>
      </c>
      <c r="G320" s="347">
        <f t="shared" ref="G320:G321" si="13">I320-SUM(F320,H320)</f>
        <v>72033331</v>
      </c>
      <c r="H320" s="347">
        <f>-K320</f>
        <v>-138258482</v>
      </c>
      <c r="I320" s="347">
        <f>-ROUND(SUMIFS('A0.LS'!L:L,'A0.LS'!D:D,'A4.N2FS Singles'!D320),0)</f>
        <v>0</v>
      </c>
      <c r="K320" s="348">
        <v>138258482</v>
      </c>
      <c r="L320" s="857"/>
    </row>
    <row r="321" spans="1:19" s="37" customFormat="1">
      <c r="A321" s="37" t="s">
        <v>2585</v>
      </c>
      <c r="B321" s="850" t="s">
        <v>675</v>
      </c>
      <c r="C321" s="576" t="s">
        <v>2586</v>
      </c>
      <c r="D321" s="345" t="s">
        <v>2318</v>
      </c>
      <c r="E321" s="345" t="s">
        <v>2770</v>
      </c>
      <c r="F321" s="346">
        <f>-ROUND(SUMIFS('A0.LS'!Q:Q,'A0.LS'!D:D,'A4.N2FS Singles'!D321),0)</f>
        <v>1291312193</v>
      </c>
      <c r="G321" s="347">
        <f t="shared" si="13"/>
        <v>5549551327</v>
      </c>
      <c r="H321" s="347">
        <f>-K321</f>
        <v>-6502150447</v>
      </c>
      <c r="I321" s="347">
        <f>-ROUND(SUMIFS('A0.LS'!L:L,'A0.LS'!D:D,'A4.N2FS Singles'!D321),0)</f>
        <v>338713073</v>
      </c>
      <c r="K321" s="348">
        <v>6502150447</v>
      </c>
      <c r="L321" s="857"/>
    </row>
    <row r="322" spans="1:19">
      <c r="A322" s="850" t="s">
        <v>2585</v>
      </c>
      <c r="B322" s="850" t="s">
        <v>675</v>
      </c>
      <c r="C322" s="576" t="s">
        <v>2586</v>
      </c>
      <c r="D322" s="859" t="s">
        <v>2308</v>
      </c>
      <c r="E322" s="850" t="s">
        <v>145</v>
      </c>
      <c r="F322" s="847">
        <f>-ROUND(SUMIFS('A0.LS'!Q:Q,'A0.LS'!D:D,'A4.N2FS Singles'!D322),0)</f>
        <v>61480303</v>
      </c>
      <c r="G322" s="990">
        <f>SUM(G323:G324)</f>
        <v>43770084</v>
      </c>
      <c r="H322" s="990">
        <f>SUM(H323:H324)</f>
        <v>-104131971</v>
      </c>
      <c r="I322" s="990">
        <f>-ROUND(SUMIFS('A0.LS'!L:L,'A0.LS'!D:D,'A4.N2FS Singles'!D322),0)</f>
        <v>1118416</v>
      </c>
      <c r="J322" s="850"/>
      <c r="K322" s="850"/>
      <c r="L322" s="857"/>
      <c r="M322" s="850"/>
      <c r="N322" s="850"/>
      <c r="O322" s="850"/>
      <c r="P322" s="850"/>
      <c r="Q322" s="850"/>
      <c r="R322" s="850"/>
      <c r="S322" s="850"/>
    </row>
    <row r="323" spans="1:19">
      <c r="A323" s="850" t="s">
        <v>2585</v>
      </c>
      <c r="B323" s="850" t="s">
        <v>675</v>
      </c>
      <c r="C323" s="576" t="s">
        <v>2586</v>
      </c>
      <c r="D323" s="859"/>
      <c r="E323" s="345" t="s">
        <v>2773</v>
      </c>
      <c r="F323" s="346">
        <v>0</v>
      </c>
      <c r="G323" s="347">
        <f t="shared" ref="G323:G324" si="14">I323-SUM(F323,H323)</f>
        <v>4500000</v>
      </c>
      <c r="H323" s="347">
        <f>-K323</f>
        <v>-4500000</v>
      </c>
      <c r="I323" s="347">
        <v>0</v>
      </c>
      <c r="J323" s="850"/>
      <c r="K323" s="848">
        <v>4500000</v>
      </c>
      <c r="L323" s="857"/>
      <c r="M323" s="850"/>
      <c r="N323" s="850"/>
      <c r="O323" s="850"/>
      <c r="P323" s="850"/>
      <c r="Q323" s="850"/>
      <c r="R323" s="850"/>
      <c r="S323" s="850"/>
    </row>
    <row r="324" spans="1:19">
      <c r="A324" s="850" t="s">
        <v>2585</v>
      </c>
      <c r="B324" s="850" t="s">
        <v>675</v>
      </c>
      <c r="C324" s="576" t="s">
        <v>2586</v>
      </c>
      <c r="D324" s="859"/>
      <c r="E324" s="345" t="s">
        <v>2775</v>
      </c>
      <c r="F324" s="346">
        <v>61480303</v>
      </c>
      <c r="G324" s="347">
        <f t="shared" si="14"/>
        <v>39270084</v>
      </c>
      <c r="H324" s="347">
        <f>-K324</f>
        <v>-99631971</v>
      </c>
      <c r="I324" s="347">
        <f>I322-I323</f>
        <v>1118416</v>
      </c>
      <c r="J324" s="850"/>
      <c r="K324" s="848">
        <f>104131971-K323</f>
        <v>99631971</v>
      </c>
      <c r="L324" s="857"/>
      <c r="M324" s="850"/>
      <c r="N324" s="850"/>
      <c r="O324" s="850"/>
      <c r="P324" s="850"/>
      <c r="Q324" s="850"/>
      <c r="R324" s="850"/>
      <c r="S324" s="850"/>
    </row>
    <row r="325" spans="1:19" ht="13.5" thickBot="1">
      <c r="A325" s="850" t="s">
        <v>2585</v>
      </c>
      <c r="B325" s="850" t="s">
        <v>675</v>
      </c>
      <c r="C325" s="576" t="s">
        <v>2586</v>
      </c>
      <c r="D325" s="850"/>
      <c r="E325" s="850"/>
      <c r="F325" s="1563">
        <f>SUM(F317:F318,F322)</f>
        <v>2593026648</v>
      </c>
      <c r="G325" s="1562">
        <f t="shared" ref="G325:I325" si="15">SUM(G317:G318,G322)</f>
        <v>6957814516</v>
      </c>
      <c r="H325" s="1562">
        <f t="shared" si="15"/>
        <v>-9119650082</v>
      </c>
      <c r="I325" s="1562">
        <f t="shared" si="15"/>
        <v>431191082</v>
      </c>
      <c r="J325" s="850"/>
      <c r="K325" s="850"/>
      <c r="L325" s="850"/>
      <c r="M325" s="850"/>
      <c r="N325" s="850"/>
      <c r="O325" s="850"/>
      <c r="P325" s="850"/>
      <c r="Q325" s="850"/>
      <c r="R325" s="850"/>
      <c r="S325" s="850"/>
    </row>
    <row r="326" spans="1:19" ht="13.5" thickTop="1">
      <c r="A326" s="850" t="s">
        <v>2585</v>
      </c>
      <c r="B326" s="850" t="s">
        <v>675</v>
      </c>
      <c r="C326" s="576" t="s">
        <v>2586</v>
      </c>
      <c r="D326" s="850"/>
      <c r="E326" s="1" t="s">
        <v>685</v>
      </c>
      <c r="F326" s="850"/>
      <c r="G326" s="850"/>
      <c r="H326" s="850"/>
      <c r="I326" s="850"/>
      <c r="J326" s="850"/>
      <c r="K326" s="850" t="s">
        <v>3131</v>
      </c>
      <c r="L326" s="850"/>
      <c r="M326" s="850"/>
      <c r="N326" s="850"/>
      <c r="O326" s="850"/>
      <c r="P326" s="850"/>
      <c r="Q326" s="850"/>
      <c r="R326" s="850"/>
      <c r="S326" s="850"/>
    </row>
    <row r="327" spans="1:19">
      <c r="A327" s="850" t="s">
        <v>2585</v>
      </c>
      <c r="B327" s="850" t="s">
        <v>675</v>
      </c>
      <c r="C327" s="576" t="s">
        <v>2586</v>
      </c>
      <c r="D327" s="859" t="s">
        <v>2276</v>
      </c>
      <c r="E327" s="850" t="s">
        <v>2766</v>
      </c>
      <c r="F327" s="847">
        <f>ROUND(SUMIFS('A0.LS'!Q:Q,'A0.LS'!D:D,'A4.N2FS Singles'!D327),0)</f>
        <v>3882902519</v>
      </c>
      <c r="G327" s="990">
        <f>I327-SUM(F327,H327)</f>
        <v>536618723</v>
      </c>
      <c r="H327" s="990">
        <f>-K327</f>
        <v>-511565695</v>
      </c>
      <c r="I327" s="990">
        <f>ROUND(SUMIFS('A0.LS'!L:L,'A0.LS'!D:D,'A4.N2FS Singles'!D327),0)</f>
        <v>3907955547</v>
      </c>
      <c r="J327" s="850"/>
      <c r="K327" s="848">
        <v>511565695</v>
      </c>
      <c r="L327" s="850"/>
      <c r="M327" s="850"/>
      <c r="N327" s="850"/>
      <c r="O327" s="850"/>
      <c r="P327" s="850"/>
      <c r="Q327" s="850"/>
      <c r="R327" s="850"/>
      <c r="S327" s="850"/>
    </row>
    <row r="328" spans="1:19" ht="13.5" thickBot="1">
      <c r="A328" s="850" t="s">
        <v>2585</v>
      </c>
      <c r="B328" s="850" t="s">
        <v>675</v>
      </c>
      <c r="C328" s="576" t="s">
        <v>2586</v>
      </c>
      <c r="D328" s="850"/>
      <c r="E328" s="850"/>
      <c r="F328" s="1563">
        <f>F327</f>
        <v>3882902519</v>
      </c>
      <c r="G328" s="1562">
        <f>G327</f>
        <v>536618723</v>
      </c>
      <c r="H328" s="1562">
        <f>H327</f>
        <v>-511565695</v>
      </c>
      <c r="I328" s="1562">
        <f>I327</f>
        <v>3907955547</v>
      </c>
      <c r="J328" s="850"/>
      <c r="K328" s="850"/>
      <c r="L328" s="850"/>
      <c r="M328" s="850"/>
      <c r="N328" s="850"/>
      <c r="O328" s="850"/>
      <c r="P328" s="850"/>
      <c r="Q328" s="850"/>
      <c r="R328" s="850"/>
      <c r="S328" s="850"/>
    </row>
    <row r="329" spans="1:19" ht="13.5" thickTop="1">
      <c r="A329" s="850" t="s">
        <v>2585</v>
      </c>
      <c r="B329" s="850" t="s">
        <v>675</v>
      </c>
      <c r="C329" s="576" t="s">
        <v>2586</v>
      </c>
      <c r="D329" s="850"/>
      <c r="E329" s="850"/>
      <c r="F329" s="850"/>
      <c r="G329" s="850"/>
      <c r="H329" s="850"/>
      <c r="I329" s="850"/>
      <c r="J329" s="850"/>
      <c r="K329" s="850"/>
      <c r="L329" s="850"/>
      <c r="M329" s="850"/>
      <c r="N329" s="850"/>
      <c r="O329" s="850"/>
      <c r="P329" s="850"/>
      <c r="Q329" s="850"/>
      <c r="R329" s="850"/>
      <c r="S329" s="850"/>
    </row>
    <row r="330" spans="1:19">
      <c r="A330" s="850" t="s">
        <v>2585</v>
      </c>
      <c r="B330" s="850" t="s">
        <v>675</v>
      </c>
      <c r="C330" s="576" t="s">
        <v>2586</v>
      </c>
      <c r="D330" s="850"/>
      <c r="E330" s="1" t="s">
        <v>1970</v>
      </c>
      <c r="F330" s="848">
        <f>F325-'A1.BS'!L90</f>
        <v>0</v>
      </c>
      <c r="G330" s="848"/>
      <c r="H330" s="848"/>
      <c r="I330" s="848">
        <f>I325-'A1.BS'!G90</f>
        <v>0</v>
      </c>
      <c r="J330" s="850"/>
      <c r="K330" s="850"/>
      <c r="L330" s="850"/>
      <c r="M330" s="850"/>
      <c r="N330" s="850"/>
      <c r="O330" s="850"/>
      <c r="P330" s="850"/>
      <c r="Q330" s="850"/>
      <c r="R330" s="850"/>
      <c r="S330" s="850"/>
    </row>
    <row r="331" spans="1:19">
      <c r="A331" s="850" t="s">
        <v>2585</v>
      </c>
      <c r="B331" s="850" t="s">
        <v>675</v>
      </c>
      <c r="C331" s="576" t="s">
        <v>2586</v>
      </c>
      <c r="D331" s="850"/>
      <c r="E331" s="1" t="s">
        <v>1970</v>
      </c>
      <c r="F331" s="848">
        <f>F328-'A1.BS'!L34</f>
        <v>0</v>
      </c>
      <c r="G331" s="848"/>
      <c r="H331" s="848"/>
      <c r="I331" s="848">
        <f>I328-'A1.BS'!G34</f>
        <v>0</v>
      </c>
      <c r="J331" s="850"/>
      <c r="K331" s="850"/>
      <c r="L331" s="850"/>
      <c r="M331" s="850"/>
      <c r="N331" s="850"/>
      <c r="O331" s="850"/>
      <c r="P331" s="850"/>
      <c r="Q331" s="850"/>
      <c r="R331" s="850"/>
      <c r="S331" s="850"/>
    </row>
    <row r="332" spans="1:19">
      <c r="A332" s="850" t="s">
        <v>2585</v>
      </c>
      <c r="B332" s="850" t="s">
        <v>675</v>
      </c>
      <c r="C332" s="576" t="s">
        <v>2586</v>
      </c>
      <c r="D332" s="850"/>
      <c r="E332" s="1" t="s">
        <v>1970</v>
      </c>
      <c r="F332" s="848"/>
      <c r="G332" s="848"/>
      <c r="H332" s="848"/>
      <c r="I332" s="848"/>
      <c r="J332" s="850"/>
      <c r="K332" s="850"/>
      <c r="L332" s="850"/>
      <c r="M332" s="850"/>
      <c r="N332" s="850"/>
      <c r="O332" s="850"/>
      <c r="P332" s="850"/>
      <c r="Q332" s="850"/>
      <c r="R332" s="850"/>
      <c r="S332" s="850"/>
    </row>
    <row r="333" spans="1:19">
      <c r="A333" s="850" t="s">
        <v>2585</v>
      </c>
      <c r="B333" s="850" t="s">
        <v>675</v>
      </c>
      <c r="C333" s="576" t="s">
        <v>2586</v>
      </c>
      <c r="D333" s="850"/>
      <c r="E333" s="850"/>
      <c r="F333" s="850"/>
      <c r="G333" s="850"/>
      <c r="H333" s="850"/>
      <c r="I333" s="850"/>
      <c r="J333" s="850"/>
      <c r="K333" s="850"/>
      <c r="L333" s="850"/>
      <c r="M333" s="850"/>
      <c r="N333" s="850"/>
      <c r="O333" s="850"/>
      <c r="P333" s="850"/>
      <c r="Q333" s="850"/>
      <c r="R333" s="850"/>
      <c r="S333" s="850"/>
    </row>
    <row r="334" spans="1:19">
      <c r="A334" s="172"/>
      <c r="B334" s="172" t="s">
        <v>2265</v>
      </c>
      <c r="C334" s="172" t="s">
        <v>681</v>
      </c>
      <c r="D334" s="172"/>
      <c r="E334" s="172" t="s">
        <v>3132</v>
      </c>
      <c r="F334" s="172"/>
      <c r="G334" s="172"/>
      <c r="H334" s="172"/>
      <c r="I334" s="172"/>
      <c r="J334" s="172"/>
      <c r="K334" s="172"/>
      <c r="L334" s="172"/>
      <c r="M334" s="172"/>
      <c r="N334" s="172"/>
      <c r="O334" s="172"/>
      <c r="P334" s="172"/>
      <c r="Q334" s="172"/>
      <c r="R334" s="172"/>
      <c r="S334" s="172"/>
    </row>
    <row r="335" spans="1:19">
      <c r="A335" s="850" t="s">
        <v>2585</v>
      </c>
      <c r="B335" s="850" t="s">
        <v>2265</v>
      </c>
      <c r="C335" s="576" t="s">
        <v>2586</v>
      </c>
      <c r="D335" s="850"/>
      <c r="E335" s="850"/>
      <c r="F335" s="850"/>
      <c r="G335" s="850"/>
      <c r="H335" s="850"/>
      <c r="I335" s="850"/>
      <c r="J335" s="850"/>
      <c r="K335" s="850"/>
      <c r="L335" s="850"/>
      <c r="M335" s="850"/>
      <c r="N335" s="850"/>
      <c r="O335" s="850"/>
      <c r="P335" s="850"/>
      <c r="Q335" s="850"/>
      <c r="R335" s="850"/>
      <c r="S335" s="850"/>
    </row>
    <row r="336" spans="1:19" ht="25.5">
      <c r="A336" s="850" t="s">
        <v>2585</v>
      </c>
      <c r="B336" s="850" t="s">
        <v>2265</v>
      </c>
      <c r="C336" s="576" t="s">
        <v>2586</v>
      </c>
      <c r="D336" s="850"/>
      <c r="E336" s="850"/>
      <c r="F336" s="173" t="s">
        <v>2587</v>
      </c>
      <c r="G336" s="174" t="s">
        <v>2588</v>
      </c>
      <c r="H336" s="850"/>
      <c r="I336" s="850"/>
      <c r="J336" s="850"/>
      <c r="K336" s="850"/>
      <c r="L336" s="850"/>
      <c r="M336" s="850"/>
      <c r="N336" s="850"/>
      <c r="O336" s="850"/>
      <c r="P336" s="850"/>
      <c r="Q336" s="850"/>
      <c r="R336" s="850"/>
      <c r="S336" s="850"/>
    </row>
    <row r="337" spans="1:19">
      <c r="A337" s="850" t="s">
        <v>2585</v>
      </c>
      <c r="B337" s="850" t="s">
        <v>2265</v>
      </c>
      <c r="C337" s="576" t="s">
        <v>2586</v>
      </c>
      <c r="D337" s="850"/>
      <c r="E337" s="1" t="s">
        <v>2668</v>
      </c>
      <c r="F337" s="992"/>
      <c r="G337" s="993"/>
      <c r="H337" s="850"/>
      <c r="I337" s="850"/>
      <c r="J337" s="850"/>
      <c r="K337" s="850"/>
      <c r="L337" s="850"/>
      <c r="M337" s="850"/>
      <c r="N337" s="850"/>
      <c r="O337" s="850"/>
      <c r="P337" s="850"/>
      <c r="Q337" s="850"/>
      <c r="R337" s="850"/>
      <c r="S337" s="850"/>
    </row>
    <row r="338" spans="1:19" ht="25.5">
      <c r="A338" s="850" t="s">
        <v>2585</v>
      </c>
      <c r="B338" s="850" t="s">
        <v>2265</v>
      </c>
      <c r="C338" s="576" t="s">
        <v>2586</v>
      </c>
      <c r="D338" s="850"/>
      <c r="E338" s="1001" t="s">
        <v>2780</v>
      </c>
      <c r="F338" s="990">
        <v>772727268</v>
      </c>
      <c r="G338" s="847">
        <v>772727268</v>
      </c>
      <c r="H338" s="850"/>
      <c r="I338" s="850"/>
      <c r="J338" s="850"/>
      <c r="K338" s="850"/>
      <c r="L338" s="850"/>
      <c r="M338" s="850"/>
      <c r="N338" s="850"/>
      <c r="O338" s="850"/>
      <c r="P338" s="850"/>
      <c r="Q338" s="850"/>
      <c r="R338" s="850"/>
      <c r="S338" s="850"/>
    </row>
    <row r="339" spans="1:19">
      <c r="A339" s="850" t="s">
        <v>2585</v>
      </c>
      <c r="B339" s="850" t="s">
        <v>2265</v>
      </c>
      <c r="C339" s="576" t="s">
        <v>2586</v>
      </c>
      <c r="D339" s="850"/>
      <c r="E339" s="859" t="s">
        <v>2781</v>
      </c>
      <c r="F339" s="990">
        <v>206560932</v>
      </c>
      <c r="G339" s="847">
        <v>236025804</v>
      </c>
      <c r="H339" s="850"/>
      <c r="I339" s="850"/>
      <c r="J339" s="850"/>
      <c r="K339" s="850"/>
      <c r="L339" s="850"/>
      <c r="M339" s="850"/>
      <c r="N339" s="850"/>
      <c r="O339" s="850"/>
      <c r="P339" s="850"/>
      <c r="Q339" s="850"/>
      <c r="R339" s="850"/>
      <c r="S339" s="850"/>
    </row>
    <row r="340" spans="1:19">
      <c r="A340" s="850" t="s">
        <v>2585</v>
      </c>
      <c r="B340" s="850" t="s">
        <v>2265</v>
      </c>
      <c r="C340" s="576" t="s">
        <v>2586</v>
      </c>
      <c r="D340" s="850"/>
      <c r="E340" s="859" t="s">
        <v>2783</v>
      </c>
      <c r="F340" s="990">
        <v>0</v>
      </c>
      <c r="G340" s="847">
        <v>0</v>
      </c>
      <c r="H340" s="850"/>
      <c r="I340" s="850"/>
      <c r="J340" s="850"/>
      <c r="K340" s="850"/>
      <c r="L340" s="850"/>
      <c r="M340" s="850"/>
      <c r="N340" s="850"/>
      <c r="O340" s="850"/>
      <c r="P340" s="850"/>
      <c r="Q340" s="850"/>
      <c r="R340" s="850"/>
      <c r="S340" s="850"/>
    </row>
    <row r="341" spans="1:19">
      <c r="A341" s="850" t="s">
        <v>2585</v>
      </c>
      <c r="B341" s="850" t="s">
        <v>2265</v>
      </c>
      <c r="C341" s="576" t="s">
        <v>2586</v>
      </c>
      <c r="D341" s="850"/>
      <c r="E341" s="859" t="s">
        <v>2785</v>
      </c>
      <c r="F341" s="211">
        <f>73302000-2147000</f>
        <v>71155000</v>
      </c>
      <c r="G341" s="847">
        <v>123278297</v>
      </c>
      <c r="H341" s="850"/>
      <c r="I341" s="850"/>
      <c r="J341" s="850"/>
      <c r="K341" s="850"/>
      <c r="L341" s="850"/>
      <c r="M341" s="850"/>
      <c r="N341" s="850"/>
      <c r="O341" s="850"/>
      <c r="P341" s="850"/>
      <c r="Q341" s="850"/>
      <c r="R341" s="850"/>
      <c r="S341" s="850"/>
    </row>
    <row r="342" spans="1:19" ht="13.5" thickBot="1">
      <c r="A342" s="850" t="s">
        <v>2585</v>
      </c>
      <c r="B342" s="850" t="s">
        <v>2265</v>
      </c>
      <c r="C342" s="576" t="s">
        <v>2586</v>
      </c>
      <c r="D342" s="850"/>
      <c r="E342" s="850"/>
      <c r="F342" s="1562">
        <f>SUM(F338:F341)</f>
        <v>1050443200</v>
      </c>
      <c r="G342" s="1563">
        <f>SUM(G338:G341)</f>
        <v>1132031369</v>
      </c>
      <c r="H342" s="850"/>
      <c r="I342" s="850"/>
      <c r="J342" s="850"/>
      <c r="K342" s="850"/>
      <c r="L342" s="850"/>
      <c r="M342" s="850"/>
      <c r="N342" s="850"/>
      <c r="O342" s="850"/>
      <c r="P342" s="850"/>
      <c r="Q342" s="850"/>
      <c r="R342" s="850"/>
      <c r="S342" s="850"/>
    </row>
    <row r="343" spans="1:19" ht="13.5" thickTop="1">
      <c r="A343" s="850" t="s">
        <v>2585</v>
      </c>
      <c r="B343" s="850" t="s">
        <v>2265</v>
      </c>
      <c r="C343" s="576" t="s">
        <v>2586</v>
      </c>
      <c r="D343" s="850"/>
      <c r="E343" s="850"/>
      <c r="F343" s="857"/>
      <c r="G343" s="850"/>
      <c r="H343" s="850"/>
      <c r="I343" s="850"/>
      <c r="J343" s="850"/>
      <c r="K343" s="850"/>
      <c r="L343" s="850"/>
      <c r="M343" s="850"/>
      <c r="N343" s="850"/>
      <c r="O343" s="850"/>
      <c r="P343" s="850"/>
      <c r="Q343" s="850"/>
      <c r="R343" s="850"/>
      <c r="S343" s="850"/>
    </row>
    <row r="344" spans="1:19">
      <c r="A344" s="850" t="s">
        <v>2585</v>
      </c>
      <c r="B344" s="850" t="s">
        <v>2265</v>
      </c>
      <c r="C344" s="576" t="s">
        <v>2586</v>
      </c>
      <c r="D344" s="850"/>
      <c r="E344" s="850" t="s">
        <v>2787</v>
      </c>
      <c r="F344" s="850"/>
      <c r="G344" s="850"/>
      <c r="H344" s="850"/>
      <c r="I344" s="850"/>
      <c r="J344" s="850"/>
      <c r="K344" s="850"/>
      <c r="L344" s="850"/>
      <c r="M344" s="850"/>
      <c r="N344" s="850"/>
      <c r="O344" s="850"/>
      <c r="P344" s="850"/>
      <c r="Q344" s="850"/>
      <c r="R344" s="850"/>
      <c r="S344" s="850"/>
    </row>
    <row r="345" spans="1:19">
      <c r="A345" s="850" t="s">
        <v>2585</v>
      </c>
      <c r="B345" s="850" t="s">
        <v>2265</v>
      </c>
      <c r="C345" s="576" t="s">
        <v>2586</v>
      </c>
      <c r="D345" s="850"/>
      <c r="E345" s="859" t="s">
        <v>2788</v>
      </c>
      <c r="F345" s="990">
        <v>62240000</v>
      </c>
      <c r="G345" s="998">
        <v>62240000</v>
      </c>
      <c r="H345" s="1012" t="s">
        <v>3133</v>
      </c>
      <c r="I345" s="850"/>
      <c r="J345" s="850"/>
      <c r="K345" s="850"/>
      <c r="L345" s="850"/>
      <c r="M345" s="850"/>
      <c r="N345" s="850"/>
      <c r="O345" s="850"/>
      <c r="P345" s="850"/>
      <c r="Q345" s="850"/>
      <c r="R345" s="850"/>
      <c r="S345" s="850"/>
    </row>
    <row r="346" spans="1:19">
      <c r="A346" s="850" t="s">
        <v>2585</v>
      </c>
      <c r="B346" s="850" t="s">
        <v>2265</v>
      </c>
      <c r="C346" s="576" t="s">
        <v>2586</v>
      </c>
      <c r="D346" s="850"/>
      <c r="E346" s="859" t="s">
        <v>2789</v>
      </c>
      <c r="F346" s="990">
        <v>0</v>
      </c>
      <c r="G346" s="998">
        <f>G340</f>
        <v>0</v>
      </c>
      <c r="H346" s="850"/>
      <c r="I346" s="850"/>
      <c r="J346" s="850"/>
      <c r="K346" s="850"/>
      <c r="L346" s="850"/>
      <c r="M346" s="850"/>
      <c r="N346" s="850"/>
      <c r="O346" s="850"/>
      <c r="P346" s="850"/>
      <c r="Q346" s="850"/>
      <c r="R346" s="850"/>
      <c r="S346" s="850"/>
    </row>
    <row r="347" spans="1:19" ht="13.5" thickBot="1">
      <c r="A347" s="850" t="s">
        <v>2585</v>
      </c>
      <c r="B347" s="850" t="s">
        <v>2265</v>
      </c>
      <c r="C347" s="576" t="s">
        <v>2586</v>
      </c>
      <c r="D347" s="850"/>
      <c r="E347" s="850"/>
      <c r="F347" s="1562">
        <f>SUM(F346:F346)</f>
        <v>0</v>
      </c>
      <c r="G347" s="1563">
        <f>SUM(G346:G346)</f>
        <v>0</v>
      </c>
      <c r="H347" s="850"/>
      <c r="I347" s="850"/>
      <c r="J347" s="850"/>
      <c r="K347" s="850"/>
      <c r="L347" s="850"/>
      <c r="M347" s="850"/>
      <c r="N347" s="850"/>
      <c r="O347" s="850"/>
      <c r="P347" s="850"/>
      <c r="Q347" s="850"/>
      <c r="R347" s="850"/>
      <c r="S347" s="850"/>
    </row>
    <row r="348" spans="1:19" ht="13.5" thickTop="1">
      <c r="A348" s="850" t="s">
        <v>2585</v>
      </c>
      <c r="B348" s="850" t="s">
        <v>2265</v>
      </c>
      <c r="C348" s="576" t="s">
        <v>2586</v>
      </c>
      <c r="D348" s="850"/>
      <c r="E348" s="850"/>
      <c r="F348" s="850"/>
      <c r="G348" s="850"/>
      <c r="H348" s="850"/>
      <c r="I348" s="850"/>
      <c r="J348" s="850"/>
      <c r="K348" s="850"/>
      <c r="L348" s="850"/>
      <c r="M348" s="850"/>
      <c r="N348" s="850"/>
      <c r="O348" s="850"/>
      <c r="P348" s="850"/>
      <c r="Q348" s="850"/>
      <c r="R348" s="850"/>
      <c r="S348" s="850"/>
    </row>
    <row r="349" spans="1:19">
      <c r="A349" s="850" t="s">
        <v>2585</v>
      </c>
      <c r="B349" s="850" t="s">
        <v>2265</v>
      </c>
      <c r="C349" s="576" t="s">
        <v>2586</v>
      </c>
      <c r="D349" s="850"/>
      <c r="E349" s="1" t="s">
        <v>1970</v>
      </c>
      <c r="F349" s="857">
        <f>F347-F340</f>
        <v>0</v>
      </c>
      <c r="G349" s="857">
        <f>G347-G340</f>
        <v>0</v>
      </c>
      <c r="H349" s="850"/>
      <c r="I349" s="850"/>
      <c r="J349" s="850"/>
      <c r="K349" s="850"/>
      <c r="L349" s="850"/>
      <c r="M349" s="850"/>
      <c r="N349" s="850"/>
      <c r="O349" s="850"/>
      <c r="P349" s="850"/>
      <c r="Q349" s="850"/>
      <c r="R349" s="850"/>
      <c r="S349" s="850"/>
    </row>
    <row r="350" spans="1:19">
      <c r="A350" s="850" t="s">
        <v>2585</v>
      </c>
      <c r="B350" s="850" t="s">
        <v>2265</v>
      </c>
      <c r="C350" s="576" t="s">
        <v>2586</v>
      </c>
      <c r="D350" s="850"/>
      <c r="E350" s="1" t="s">
        <v>1970</v>
      </c>
      <c r="F350" s="857">
        <f>F342-'A1.BS'!G92</f>
        <v>0</v>
      </c>
      <c r="G350" s="857">
        <f>G342-'A1.BS'!L92</f>
        <v>0</v>
      </c>
      <c r="H350" s="850"/>
      <c r="I350" s="850"/>
      <c r="J350" s="850"/>
      <c r="K350" s="850"/>
      <c r="L350" s="850"/>
      <c r="M350" s="850"/>
      <c r="N350" s="850"/>
      <c r="O350" s="850"/>
      <c r="P350" s="850"/>
      <c r="Q350" s="850"/>
      <c r="R350" s="850"/>
      <c r="S350" s="850"/>
    </row>
    <row r="351" spans="1:19">
      <c r="A351" s="850" t="s">
        <v>2585</v>
      </c>
      <c r="B351" s="850" t="s">
        <v>2265</v>
      </c>
      <c r="C351" s="576" t="s">
        <v>2586</v>
      </c>
      <c r="D351" s="850"/>
      <c r="E351" s="850"/>
      <c r="F351" s="850"/>
      <c r="G351" s="850"/>
      <c r="H351" s="850"/>
      <c r="I351" s="850"/>
      <c r="J351" s="850"/>
      <c r="K351" s="850"/>
      <c r="L351" s="850"/>
      <c r="M351" s="850"/>
      <c r="N351" s="850"/>
      <c r="O351" s="850"/>
      <c r="P351" s="850"/>
      <c r="Q351" s="850"/>
      <c r="R351" s="850"/>
      <c r="S351" s="850"/>
    </row>
    <row r="352" spans="1:19">
      <c r="A352" s="172"/>
      <c r="B352" s="172" t="s">
        <v>3134</v>
      </c>
      <c r="C352" s="172" t="s">
        <v>681</v>
      </c>
      <c r="D352" s="172"/>
      <c r="E352" s="172" t="s">
        <v>3135</v>
      </c>
      <c r="F352" s="172"/>
      <c r="G352" s="172"/>
      <c r="H352" s="172"/>
      <c r="I352" s="172"/>
      <c r="J352" s="172"/>
      <c r="K352" s="172"/>
      <c r="L352" s="172"/>
      <c r="M352" s="172"/>
      <c r="N352" s="172"/>
      <c r="O352" s="172"/>
      <c r="P352" s="172"/>
      <c r="Q352" s="172"/>
      <c r="R352" s="172"/>
      <c r="S352" s="172"/>
    </row>
    <row r="353" spans="1:19">
      <c r="A353" s="850"/>
      <c r="B353" s="850" t="s">
        <v>2265</v>
      </c>
      <c r="C353" s="576" t="s">
        <v>3000</v>
      </c>
      <c r="D353" s="850"/>
      <c r="E353" s="850"/>
      <c r="F353" s="850"/>
      <c r="G353" s="850"/>
      <c r="H353" s="850"/>
      <c r="I353" s="850"/>
      <c r="J353" s="850"/>
      <c r="K353" s="850"/>
      <c r="L353" s="850"/>
      <c r="M353" s="850"/>
      <c r="N353" s="850"/>
      <c r="O353" s="850"/>
      <c r="P353" s="850"/>
      <c r="Q353" s="850"/>
      <c r="R353" s="850"/>
      <c r="S353" s="850"/>
    </row>
    <row r="354" spans="1:19" ht="25.5">
      <c r="A354" s="850" t="s">
        <v>2585</v>
      </c>
      <c r="B354" s="850" t="s">
        <v>2265</v>
      </c>
      <c r="C354" s="576" t="s">
        <v>3000</v>
      </c>
      <c r="D354" s="850"/>
      <c r="E354" s="299" t="s">
        <v>2791</v>
      </c>
      <c r="F354" s="173" t="s">
        <v>2587</v>
      </c>
      <c r="G354" s="174" t="s">
        <v>2588</v>
      </c>
      <c r="H354" s="850"/>
      <c r="I354" s="850"/>
      <c r="J354" s="850"/>
      <c r="K354" s="850"/>
      <c r="L354" s="850"/>
      <c r="M354" s="850"/>
      <c r="N354" s="850"/>
      <c r="O354" s="850"/>
      <c r="P354" s="850"/>
      <c r="Q354" s="850"/>
      <c r="R354" s="850"/>
      <c r="S354" s="850"/>
    </row>
    <row r="355" spans="1:19">
      <c r="A355" s="850" t="s">
        <v>2585</v>
      </c>
      <c r="B355" s="850" t="s">
        <v>2265</v>
      </c>
      <c r="C355" s="576" t="s">
        <v>3000</v>
      </c>
      <c r="D355" s="850"/>
      <c r="E355" s="1" t="s">
        <v>2668</v>
      </c>
      <c r="F355" s="850"/>
      <c r="G355" s="850"/>
      <c r="H355" s="850"/>
      <c r="I355" s="850"/>
      <c r="J355" s="850"/>
      <c r="K355" s="857">
        <f>F359+K356</f>
        <v>29308809</v>
      </c>
      <c r="L355" s="850"/>
      <c r="M355" s="850"/>
      <c r="N355" s="850"/>
      <c r="O355" s="850"/>
      <c r="P355" s="850"/>
      <c r="Q355" s="850"/>
      <c r="R355" s="850"/>
      <c r="S355" s="850"/>
    </row>
    <row r="356" spans="1:19" ht="25.5">
      <c r="A356" s="850" t="s">
        <v>2602</v>
      </c>
      <c r="B356" s="850"/>
      <c r="C356" s="576" t="s">
        <v>3000</v>
      </c>
      <c r="D356" s="850"/>
      <c r="E356" s="1003" t="s">
        <v>2792</v>
      </c>
      <c r="F356" s="990">
        <f>SUM(F357:F361)</f>
        <v>1392258730069</v>
      </c>
      <c r="G356" s="847">
        <f>SUM(G357:G361)</f>
        <v>1976532987045</v>
      </c>
      <c r="H356" s="850"/>
      <c r="I356" s="848">
        <v>1988754399249</v>
      </c>
      <c r="J356" s="850" t="s">
        <v>177</v>
      </c>
      <c r="K356" s="848">
        <f>'A0.LS'!L132</f>
        <v>-40864322043</v>
      </c>
      <c r="L356" s="850"/>
      <c r="M356" s="850"/>
      <c r="N356" s="850"/>
      <c r="O356" s="850"/>
      <c r="P356" s="850"/>
      <c r="Q356" s="850"/>
      <c r="R356" s="850"/>
      <c r="S356" s="850"/>
    </row>
    <row r="357" spans="1:19">
      <c r="A357" s="850" t="s">
        <v>2585</v>
      </c>
      <c r="B357" s="850" t="s">
        <v>2265</v>
      </c>
      <c r="C357" s="576" t="s">
        <v>2586</v>
      </c>
      <c r="D357" s="859" t="s">
        <v>2339</v>
      </c>
      <c r="E357" s="345" t="s">
        <v>2793</v>
      </c>
      <c r="F357" s="347">
        <f>-ROUND(SUMIFS('A0.LS'!L:L,'A0.LS'!D:D,'A4.N2FS Singles'!D357),0)</f>
        <v>1204113252589</v>
      </c>
      <c r="G357" s="346">
        <f>-ROUND(SUMIFS('A0.LS'!Q:Q,'A0.LS'!D:D,'A4.N2FS Singles'!D357),0)</f>
        <v>1651458298938</v>
      </c>
      <c r="H357" s="850"/>
      <c r="I357" s="850"/>
      <c r="J357" s="850" t="s">
        <v>173</v>
      </c>
      <c r="K357" s="848">
        <f>'A0.LS'!L131</f>
        <v>-137785027275</v>
      </c>
      <c r="L357" s="850"/>
      <c r="M357" s="850"/>
      <c r="N357" s="850"/>
      <c r="O357" s="850"/>
      <c r="P357" s="850"/>
      <c r="Q357" s="850"/>
      <c r="R357" s="850"/>
      <c r="S357" s="850"/>
    </row>
    <row r="358" spans="1:19">
      <c r="A358" s="850" t="s">
        <v>2585</v>
      </c>
      <c r="B358" s="850" t="s">
        <v>675</v>
      </c>
      <c r="C358" s="576" t="s">
        <v>3000</v>
      </c>
      <c r="D358" s="859" t="s">
        <v>2333</v>
      </c>
      <c r="E358" s="345" t="s">
        <v>2794</v>
      </c>
      <c r="F358" s="347">
        <f>-ROUND(SUMIFS('A0.LS'!L:L,'A0.LS'!D:D,'A4.N2FS Singles'!D358),0)</f>
        <v>137785027275</v>
      </c>
      <c r="G358" s="346">
        <f>-ROUND(SUMIFS('A0.LS'!Q:Q,'A0.LS'!D:D,'A4.N2FS Singles'!D358),0)</f>
        <v>236667220460</v>
      </c>
      <c r="H358" s="850"/>
      <c r="I358" s="850"/>
      <c r="J358" s="850" t="s">
        <v>179</v>
      </c>
      <c r="K358" s="848">
        <f>'A0.LS'!L133</f>
        <v>-29308809</v>
      </c>
      <c r="L358" s="850"/>
      <c r="M358" s="850"/>
      <c r="N358" s="850"/>
      <c r="O358" s="850"/>
      <c r="P358" s="850"/>
      <c r="Q358" s="850"/>
      <c r="R358" s="850"/>
      <c r="S358" s="850"/>
    </row>
    <row r="359" spans="1:19" ht="25.5">
      <c r="A359" s="850" t="s">
        <v>2585</v>
      </c>
      <c r="B359" s="850" t="s">
        <v>675</v>
      </c>
      <c r="C359" s="576" t="s">
        <v>3000</v>
      </c>
      <c r="D359" s="859" t="s">
        <v>2335</v>
      </c>
      <c r="E359" s="350" t="s">
        <v>2795</v>
      </c>
      <c r="F359" s="347">
        <f>-ROUND(SUMIFS('A0.LS'!L:L,'A0.LS'!D:D,'A4.N2FS Singles'!D359),0)</f>
        <v>40893630852</v>
      </c>
      <c r="G359" s="346">
        <f>-ROUND(SUMIFS('A0.LS'!Q:Q,'A0.LS'!D:D,'A4.N2FS Singles'!D359),0)-1</f>
        <v>71114107675</v>
      </c>
      <c r="H359" s="850"/>
      <c r="I359" s="850"/>
      <c r="J359" s="850"/>
      <c r="K359" s="850"/>
      <c r="L359" s="850"/>
      <c r="M359" s="850"/>
      <c r="N359" s="850"/>
      <c r="O359" s="850"/>
      <c r="P359" s="850"/>
      <c r="Q359" s="850"/>
      <c r="R359" s="850"/>
      <c r="S359" s="850"/>
    </row>
    <row r="360" spans="1:19" ht="38.25">
      <c r="A360" s="850" t="s">
        <v>2585</v>
      </c>
      <c r="B360" s="850" t="s">
        <v>2265</v>
      </c>
      <c r="C360" s="576" t="s">
        <v>2586</v>
      </c>
      <c r="D360" s="859" t="s">
        <v>2359</v>
      </c>
      <c r="E360" s="350" t="s">
        <v>2796</v>
      </c>
      <c r="F360" s="347">
        <f>-ROUND(SUMIFS('A0.LS'!L:L,'A0.LS'!D:D,'A4.N2FS Singles'!D360),0)</f>
        <v>0</v>
      </c>
      <c r="G360" s="346">
        <f>-ROUND(SUMIFS('A0.LS'!Q:Q,'A0.LS'!D:D,'A4.N2FS Singles'!D360),0)+1</f>
        <v>0</v>
      </c>
      <c r="H360" s="850"/>
      <c r="I360" s="850"/>
      <c r="J360" s="850"/>
      <c r="K360" s="850"/>
      <c r="L360" s="850"/>
      <c r="M360" s="850"/>
      <c r="N360" s="850"/>
      <c r="O360" s="850"/>
      <c r="P360" s="850"/>
      <c r="Q360" s="850"/>
      <c r="R360" s="850"/>
      <c r="S360" s="850"/>
    </row>
    <row r="361" spans="1:19" ht="25.5">
      <c r="A361" s="850" t="s">
        <v>2585</v>
      </c>
      <c r="B361" s="850" t="s">
        <v>2265</v>
      </c>
      <c r="C361" s="576" t="s">
        <v>2586</v>
      </c>
      <c r="D361" s="850">
        <v>17.5</v>
      </c>
      <c r="E361" s="350" t="s">
        <v>2797</v>
      </c>
      <c r="F361" s="347">
        <f>F370-SUM(F357:F360)</f>
        <v>9466819353</v>
      </c>
      <c r="G361" s="346">
        <v>17293359972</v>
      </c>
      <c r="H361" s="850"/>
      <c r="I361" s="850"/>
      <c r="J361" s="850"/>
      <c r="K361" s="850"/>
      <c r="L361" s="850"/>
      <c r="M361" s="850"/>
      <c r="N361" s="850"/>
      <c r="O361" s="850"/>
      <c r="P361" s="850"/>
      <c r="Q361" s="850"/>
      <c r="R361" s="850"/>
      <c r="S361" s="850"/>
    </row>
    <row r="362" spans="1:19">
      <c r="A362" s="850" t="s">
        <v>2585</v>
      </c>
      <c r="B362" s="850" t="s">
        <v>2265</v>
      </c>
      <c r="C362" s="576" t="s">
        <v>2586</v>
      </c>
      <c r="D362" s="850" t="s">
        <v>3136</v>
      </c>
      <c r="E362" s="850" t="s">
        <v>2798</v>
      </c>
      <c r="F362" s="990">
        <f>F376+F378</f>
        <v>374769482</v>
      </c>
      <c r="G362" s="847">
        <f>G378+G376</f>
        <v>229921492</v>
      </c>
      <c r="H362" s="850"/>
      <c r="I362" s="850"/>
      <c r="J362" s="850"/>
      <c r="K362" s="850"/>
      <c r="L362" s="850"/>
      <c r="M362" s="850"/>
      <c r="N362" s="850"/>
      <c r="O362" s="850"/>
      <c r="P362" s="850"/>
      <c r="Q362" s="850"/>
      <c r="R362" s="850"/>
      <c r="S362" s="850"/>
    </row>
    <row r="363" spans="1:19" ht="13.5" thickBot="1">
      <c r="A363" s="850"/>
      <c r="B363" s="850"/>
      <c r="C363" s="576" t="s">
        <v>2586</v>
      </c>
      <c r="D363" s="850"/>
      <c r="E363" s="850"/>
      <c r="F363" s="1562">
        <f>SUM(F357:F362)</f>
        <v>1392633499551</v>
      </c>
      <c r="G363" s="1563">
        <f>SUM(G357:G362)</f>
        <v>1976762908537</v>
      </c>
      <c r="H363" s="848">
        <f>'A1.BS'!L96</f>
        <v>1976762908538</v>
      </c>
      <c r="I363" s="850"/>
      <c r="J363" s="850"/>
      <c r="K363" s="850"/>
      <c r="L363" s="850"/>
      <c r="M363" s="850"/>
      <c r="N363" s="850"/>
      <c r="O363" s="850"/>
      <c r="P363" s="850"/>
      <c r="Q363" s="850"/>
      <c r="R363" s="850"/>
      <c r="S363" s="850"/>
    </row>
    <row r="364" spans="1:19" ht="13.5" thickTop="1">
      <c r="A364" s="850"/>
      <c r="B364" s="850"/>
      <c r="C364" s="576" t="s">
        <v>2586</v>
      </c>
      <c r="D364" s="850"/>
      <c r="E364" s="1" t="s">
        <v>2002</v>
      </c>
      <c r="F364" s="857">
        <f>F363-'A1.BS'!G96</f>
        <v>0</v>
      </c>
      <c r="G364" s="857">
        <f>G363-G379</f>
        <v>0</v>
      </c>
      <c r="H364" s="857">
        <f>G363-H363</f>
        <v>-1</v>
      </c>
      <c r="I364" s="850"/>
      <c r="J364" s="850"/>
      <c r="K364" s="850"/>
      <c r="L364" s="850"/>
      <c r="M364" s="850"/>
      <c r="N364" s="850"/>
      <c r="O364" s="850"/>
      <c r="P364" s="850"/>
      <c r="Q364" s="850"/>
      <c r="R364" s="850"/>
      <c r="S364" s="850"/>
    </row>
    <row r="365" spans="1:19">
      <c r="A365" s="850"/>
      <c r="B365" s="850"/>
      <c r="C365" s="576" t="s">
        <v>2586</v>
      </c>
      <c r="D365" s="850"/>
      <c r="E365" s="850"/>
      <c r="F365" s="850"/>
      <c r="G365" s="850"/>
      <c r="H365" s="850"/>
      <c r="I365" s="850"/>
      <c r="J365" s="850"/>
      <c r="K365" s="850"/>
      <c r="L365" s="850"/>
      <c r="M365" s="850"/>
      <c r="N365" s="850"/>
      <c r="O365" s="850"/>
      <c r="P365" s="850"/>
      <c r="Q365" s="850"/>
      <c r="R365" s="850"/>
      <c r="S365" s="850"/>
    </row>
    <row r="366" spans="1:19">
      <c r="A366" s="850"/>
      <c r="B366" s="850"/>
      <c r="C366" s="576" t="s">
        <v>2586</v>
      </c>
      <c r="D366" s="850"/>
      <c r="E366" s="850"/>
      <c r="F366" s="850"/>
      <c r="G366" s="850"/>
      <c r="H366" s="850"/>
      <c r="I366" s="850"/>
      <c r="J366" s="850"/>
      <c r="K366" s="850"/>
      <c r="L366" s="850"/>
      <c r="M366" s="850"/>
      <c r="N366" s="850"/>
      <c r="O366" s="850"/>
      <c r="P366" s="850"/>
      <c r="Q366" s="850"/>
      <c r="R366" s="850"/>
      <c r="S366" s="850"/>
    </row>
    <row r="367" spans="1:19">
      <c r="A367" s="850"/>
      <c r="B367" s="850"/>
      <c r="C367" s="576" t="s">
        <v>2586</v>
      </c>
      <c r="D367" s="850"/>
      <c r="E367" s="850"/>
      <c r="F367" s="850"/>
      <c r="G367" s="850"/>
      <c r="H367" s="850"/>
      <c r="I367" s="850"/>
      <c r="J367" s="850"/>
      <c r="K367" s="850"/>
      <c r="L367" s="850"/>
      <c r="M367" s="850"/>
      <c r="N367" s="850"/>
      <c r="O367" s="850"/>
      <c r="P367" s="850"/>
      <c r="Q367" s="850"/>
      <c r="R367" s="850"/>
      <c r="S367" s="850"/>
    </row>
    <row r="368" spans="1:19" ht="25.5">
      <c r="A368" s="850"/>
      <c r="B368" s="850"/>
      <c r="C368" s="576" t="s">
        <v>2586</v>
      </c>
      <c r="D368" s="850"/>
      <c r="E368" s="850"/>
      <c r="F368" s="173" t="s">
        <v>2638</v>
      </c>
      <c r="G368" s="174" t="s">
        <v>2588</v>
      </c>
      <c r="H368" s="850"/>
      <c r="I368" s="850"/>
      <c r="J368" s="850"/>
      <c r="K368" s="899" t="s">
        <v>2002</v>
      </c>
      <c r="L368" s="850"/>
      <c r="M368" s="850"/>
      <c r="N368" s="850"/>
      <c r="O368" s="850"/>
      <c r="P368" s="850"/>
      <c r="Q368" s="850"/>
      <c r="R368" s="850"/>
      <c r="S368" s="850"/>
    </row>
    <row r="369" spans="1:19">
      <c r="A369" s="850" t="s">
        <v>2602</v>
      </c>
      <c r="B369" s="850"/>
      <c r="C369" s="576" t="s">
        <v>2586</v>
      </c>
      <c r="D369" s="850"/>
      <c r="E369" s="1" t="s">
        <v>2668</v>
      </c>
      <c r="F369" s="992"/>
      <c r="G369" s="993"/>
      <c r="H369" s="850"/>
      <c r="I369" s="850"/>
      <c r="J369" s="850"/>
      <c r="K369" s="850"/>
      <c r="L369" s="850"/>
      <c r="M369" s="850"/>
      <c r="N369" s="850"/>
      <c r="O369" s="850"/>
      <c r="P369" s="850"/>
      <c r="Q369" s="850"/>
      <c r="R369" s="850"/>
      <c r="S369" s="850"/>
    </row>
    <row r="370" spans="1:19" ht="25.5">
      <c r="A370" s="850" t="s">
        <v>2585</v>
      </c>
      <c r="B370" s="850" t="s">
        <v>2265</v>
      </c>
      <c r="C370" s="576" t="s">
        <v>2586</v>
      </c>
      <c r="D370" s="850"/>
      <c r="E370" s="1003" t="s">
        <v>2792</v>
      </c>
      <c r="F370" s="990">
        <f>SUM(F371:F375)</f>
        <v>1392258730069</v>
      </c>
      <c r="G370" s="847">
        <f>SUM(G371:G375)</f>
        <v>1976532987045</v>
      </c>
      <c r="H370" s="850"/>
      <c r="I370" s="850"/>
      <c r="J370" s="850"/>
      <c r="K370" s="850"/>
      <c r="L370" s="850"/>
      <c r="M370" s="850"/>
      <c r="N370" s="850"/>
      <c r="O370" s="850"/>
      <c r="P370" s="850"/>
      <c r="Q370" s="850"/>
      <c r="R370" s="850"/>
      <c r="S370" s="850"/>
    </row>
    <row r="371" spans="1:19">
      <c r="A371" s="850" t="s">
        <v>2585</v>
      </c>
      <c r="B371" s="850" t="s">
        <v>2265</v>
      </c>
      <c r="C371" s="576" t="s">
        <v>2586</v>
      </c>
      <c r="D371" s="859" t="s">
        <v>2339</v>
      </c>
      <c r="E371" s="345" t="s">
        <v>2793</v>
      </c>
      <c r="F371" s="347">
        <f>-ROUND(SUMIFS('A0.LS'!L:L,'A0.LS'!D:D,'A4.N2FS Singles'!D371),0)</f>
        <v>1204113252589</v>
      </c>
      <c r="G371" s="346">
        <v>1651458298938</v>
      </c>
      <c r="H371" s="946">
        <f t="shared" ref="H371:H378" si="16">F371/$F$379</f>
        <v>0.86463039484345239</v>
      </c>
      <c r="I371" s="946">
        <f t="shared" ref="I371:I378" si="17">G371/$G$379</f>
        <v>0.83543569732408751</v>
      </c>
      <c r="J371" s="850"/>
      <c r="K371" s="850"/>
      <c r="L371" s="850"/>
      <c r="M371" s="850"/>
      <c r="N371" s="850"/>
      <c r="O371" s="850"/>
      <c r="P371" s="850"/>
      <c r="Q371" s="850"/>
      <c r="R371" s="850"/>
      <c r="S371" s="850"/>
    </row>
    <row r="372" spans="1:19">
      <c r="A372" s="850" t="s">
        <v>2585</v>
      </c>
      <c r="B372" s="850" t="s">
        <v>2265</v>
      </c>
      <c r="C372" s="576" t="s">
        <v>2586</v>
      </c>
      <c r="D372" s="859" t="s">
        <v>2333</v>
      </c>
      <c r="E372" s="345" t="s">
        <v>2794</v>
      </c>
      <c r="F372" s="347">
        <f>-ROUND(SUMIFS('A0.LS'!L:L,'A0.LS'!D:D,'A4.N2FS Singles'!D372),0)</f>
        <v>137785027275</v>
      </c>
      <c r="G372" s="346">
        <v>236667220460</v>
      </c>
      <c r="H372" s="946">
        <f t="shared" si="16"/>
        <v>9.8938469683102825E-2</v>
      </c>
      <c r="I372" s="946">
        <f t="shared" si="17"/>
        <v>0.11972463639312068</v>
      </c>
      <c r="J372" s="1019"/>
      <c r="K372" s="850"/>
      <c r="L372" s="850"/>
      <c r="M372" s="850"/>
      <c r="N372" s="850"/>
      <c r="O372" s="850"/>
      <c r="P372" s="850"/>
      <c r="Q372" s="850"/>
      <c r="R372" s="850"/>
      <c r="S372" s="850"/>
    </row>
    <row r="373" spans="1:19" ht="25.5">
      <c r="A373" s="850" t="s">
        <v>2585</v>
      </c>
      <c r="B373" s="850" t="s">
        <v>2265</v>
      </c>
      <c r="C373" s="576" t="s">
        <v>2586</v>
      </c>
      <c r="D373" s="859" t="s">
        <v>2335</v>
      </c>
      <c r="E373" s="350" t="s">
        <v>2795</v>
      </c>
      <c r="F373" s="347">
        <f>-ROUND(SUMIFS('A0.LS'!L:L,'A0.LS'!D:D,'A4.N2FS Singles'!D373),0)</f>
        <v>40893630852</v>
      </c>
      <c r="G373" s="346">
        <v>71114107676</v>
      </c>
      <c r="H373" s="946">
        <f t="shared" si="16"/>
        <v>2.9364244695524375E-2</v>
      </c>
      <c r="I373" s="946">
        <f t="shared" si="17"/>
        <v>3.5975031385342755E-2</v>
      </c>
      <c r="J373" s="1019"/>
      <c r="K373" s="850"/>
      <c r="L373" s="850"/>
      <c r="M373" s="850"/>
      <c r="N373" s="850"/>
      <c r="O373" s="850"/>
      <c r="P373" s="850"/>
      <c r="Q373" s="850"/>
      <c r="R373" s="850"/>
      <c r="S373" s="850"/>
    </row>
    <row r="374" spans="1:19" ht="38.25">
      <c r="A374" s="850" t="s">
        <v>2585</v>
      </c>
      <c r="B374" s="850" t="s">
        <v>2265</v>
      </c>
      <c r="C374" s="576" t="s">
        <v>2586</v>
      </c>
      <c r="D374" s="859" t="s">
        <v>2359</v>
      </c>
      <c r="E374" s="350" t="s">
        <v>2796</v>
      </c>
      <c r="F374" s="347">
        <f>-ROUND(SUMIFS('A0.LS'!L:L,'A0.LS'!D:D,'A4.N2FS Singles'!D374),0)</f>
        <v>0</v>
      </c>
      <c r="G374" s="346">
        <v>0</v>
      </c>
      <c r="H374" s="946">
        <f t="shared" si="16"/>
        <v>0</v>
      </c>
      <c r="I374" s="946">
        <f t="shared" si="17"/>
        <v>0</v>
      </c>
      <c r="J374" s="850"/>
      <c r="K374" s="857">
        <f>J51-I51+G374</f>
        <v>9074618885</v>
      </c>
      <c r="L374" s="850"/>
      <c r="M374" s="850"/>
      <c r="N374" s="850"/>
      <c r="O374" s="850"/>
      <c r="P374" s="850"/>
      <c r="Q374" s="850"/>
      <c r="R374" s="850"/>
      <c r="S374" s="850"/>
    </row>
    <row r="375" spans="1:19">
      <c r="A375" s="850" t="s">
        <v>2585</v>
      </c>
      <c r="B375" s="850" t="s">
        <v>2265</v>
      </c>
      <c r="C375" s="576" t="s">
        <v>2586</v>
      </c>
      <c r="D375" s="859" t="s">
        <v>2330</v>
      </c>
      <c r="E375" s="350" t="s">
        <v>2799</v>
      </c>
      <c r="F375" s="347">
        <f>-ROUND(SUMIFS('A0.LS'!L:L,'A0.LS'!D:D,'A4.N2FS Singles'!D375),0)</f>
        <v>9466819353</v>
      </c>
      <c r="G375" s="805">
        <f>17293359972-1</f>
        <v>17293359971</v>
      </c>
      <c r="H375" s="946">
        <f t="shared" si="16"/>
        <v>6.79778229954414E-3</v>
      </c>
      <c r="I375" s="946">
        <f t="shared" si="17"/>
        <v>8.7483227737203927E-3</v>
      </c>
      <c r="J375" s="850"/>
      <c r="K375" s="850"/>
      <c r="L375" s="850"/>
      <c r="M375" s="850"/>
      <c r="N375" s="850"/>
      <c r="O375" s="850"/>
      <c r="P375" s="850"/>
      <c r="Q375" s="850"/>
      <c r="R375" s="850"/>
      <c r="S375" s="850"/>
    </row>
    <row r="376" spans="1:19">
      <c r="A376" s="850" t="s">
        <v>2585</v>
      </c>
      <c r="B376" s="850" t="s">
        <v>2222</v>
      </c>
      <c r="C376" s="576" t="s">
        <v>3000</v>
      </c>
      <c r="D376" s="859" t="s">
        <v>2363</v>
      </c>
      <c r="E376" s="850" t="s">
        <v>2800</v>
      </c>
      <c r="F376" s="990">
        <f>-ROUND(SUMIFS('A0.LS'!L:L,'A0.LS'!D:D,'A4.N2FS Singles'!D376),0)</f>
        <v>4308000</v>
      </c>
      <c r="G376" s="847">
        <f>-ROUND(SUMIFS('A0.LS'!Q:Q,'A0.LS'!D:D,'A4.N2FS Singles'!D376),0)</f>
        <v>17532000</v>
      </c>
      <c r="H376" s="946">
        <f t="shared" si="16"/>
        <v>3.0934197700895071E-6</v>
      </c>
      <c r="I376" s="946">
        <f t="shared" si="17"/>
        <v>8.8690454096872012E-6</v>
      </c>
      <c r="J376" s="850"/>
      <c r="K376" s="850"/>
      <c r="L376" s="850"/>
      <c r="M376" s="850"/>
      <c r="N376" s="850"/>
      <c r="O376" s="850"/>
      <c r="P376" s="850"/>
      <c r="Q376" s="850"/>
      <c r="R376" s="850"/>
      <c r="S376" s="850"/>
    </row>
    <row r="377" spans="1:19">
      <c r="A377" s="850" t="s">
        <v>2585</v>
      </c>
      <c r="B377" s="850" t="s">
        <v>2265</v>
      </c>
      <c r="C377" s="576" t="s">
        <v>2586</v>
      </c>
      <c r="D377" s="850"/>
      <c r="E377" s="850" t="s">
        <v>2801</v>
      </c>
      <c r="F377" s="990">
        <v>0</v>
      </c>
      <c r="G377" s="847">
        <v>0</v>
      </c>
      <c r="H377" s="946">
        <f t="shared" si="16"/>
        <v>0</v>
      </c>
      <c r="I377" s="946">
        <f t="shared" si="17"/>
        <v>0</v>
      </c>
      <c r="J377" s="850"/>
      <c r="K377" s="850"/>
      <c r="L377" s="850"/>
      <c r="M377" s="850"/>
      <c r="N377" s="850"/>
      <c r="O377" s="850"/>
      <c r="P377" s="850"/>
      <c r="Q377" s="850"/>
      <c r="R377" s="850"/>
      <c r="S377" s="850"/>
    </row>
    <row r="378" spans="1:19">
      <c r="A378" s="850" t="s">
        <v>2585</v>
      </c>
      <c r="B378" s="850" t="s">
        <v>2265</v>
      </c>
      <c r="C378" s="576" t="s">
        <v>2586</v>
      </c>
      <c r="D378" s="859" t="s">
        <v>2336</v>
      </c>
      <c r="E378" s="850" t="s">
        <v>2798</v>
      </c>
      <c r="F378" s="990">
        <f>-ROUND(SUMIFS('A0.LS'!L:L,'A0.LS'!D:D,'A4.N2FS Singles'!D378),0)</f>
        <v>370461482</v>
      </c>
      <c r="G378" s="847">
        <v>212389492</v>
      </c>
      <c r="H378" s="946">
        <f t="shared" si="16"/>
        <v>2.6601505860618802E-4</v>
      </c>
      <c r="I378" s="946">
        <f t="shared" si="17"/>
        <v>1.0744307831898223E-4</v>
      </c>
      <c r="J378" s="850"/>
      <c r="K378" s="850"/>
      <c r="L378" s="850"/>
      <c r="M378" s="850"/>
      <c r="N378" s="850"/>
      <c r="O378" s="850"/>
      <c r="P378" s="850"/>
      <c r="Q378" s="850"/>
      <c r="R378" s="850"/>
      <c r="S378" s="850"/>
    </row>
    <row r="379" spans="1:19" ht="13.5" thickBot="1">
      <c r="A379" s="850" t="s">
        <v>2585</v>
      </c>
      <c r="B379" s="850" t="s">
        <v>2265</v>
      </c>
      <c r="C379" s="576" t="s">
        <v>2586</v>
      </c>
      <c r="D379" s="850"/>
      <c r="E379" s="850"/>
      <c r="F379" s="1562">
        <f>SUM(F370,F376:F378)</f>
        <v>1392633499551</v>
      </c>
      <c r="G379" s="1563">
        <f>SUM(G370,G376:G378)</f>
        <v>1976762908537</v>
      </c>
      <c r="H379" s="850"/>
      <c r="I379" s="850"/>
      <c r="J379" s="850"/>
      <c r="K379" s="850"/>
      <c r="L379" s="850"/>
      <c r="M379" s="850"/>
      <c r="N379" s="850"/>
      <c r="O379" s="850"/>
      <c r="P379" s="850"/>
      <c r="Q379" s="850"/>
      <c r="R379" s="850"/>
      <c r="S379" s="850"/>
    </row>
    <row r="380" spans="1:19" ht="13.5" thickTop="1">
      <c r="A380" s="850" t="s">
        <v>2585</v>
      </c>
      <c r="B380" s="850" t="s">
        <v>2265</v>
      </c>
      <c r="C380" s="576" t="s">
        <v>2586</v>
      </c>
      <c r="D380" s="850"/>
      <c r="E380" s="850"/>
      <c r="F380" s="850"/>
      <c r="G380" s="850"/>
      <c r="H380" s="850"/>
      <c r="I380" s="850"/>
      <c r="J380" s="850"/>
      <c r="K380" s="850"/>
      <c r="L380" s="850"/>
      <c r="M380" s="850"/>
      <c r="N380" s="850"/>
      <c r="O380" s="850"/>
      <c r="P380" s="850"/>
      <c r="Q380" s="850"/>
      <c r="R380" s="850"/>
      <c r="S380" s="850"/>
    </row>
    <row r="381" spans="1:19">
      <c r="A381" s="850" t="s">
        <v>2585</v>
      </c>
      <c r="B381" s="850" t="s">
        <v>2265</v>
      </c>
      <c r="C381" s="576" t="s">
        <v>2586</v>
      </c>
      <c r="D381" s="850"/>
      <c r="E381" s="1003" t="s">
        <v>2801</v>
      </c>
      <c r="F381" s="850"/>
      <c r="G381" s="850"/>
      <c r="H381" s="850"/>
      <c r="I381" s="850"/>
      <c r="J381" s="850"/>
      <c r="K381" s="850"/>
      <c r="L381" s="850"/>
      <c r="M381" s="850"/>
      <c r="N381" s="850"/>
      <c r="O381" s="850"/>
      <c r="P381" s="850"/>
      <c r="Q381" s="850"/>
      <c r="R381" s="850"/>
      <c r="S381" s="850"/>
    </row>
    <row r="382" spans="1:19">
      <c r="A382" s="850" t="s">
        <v>2585</v>
      </c>
      <c r="B382" s="850" t="s">
        <v>2265</v>
      </c>
      <c r="C382" s="576" t="s">
        <v>2586</v>
      </c>
      <c r="D382" s="850"/>
      <c r="E382" s="859" t="s">
        <v>2684</v>
      </c>
      <c r="F382" s="990">
        <v>0</v>
      </c>
      <c r="G382" s="847">
        <v>0</v>
      </c>
      <c r="H382" s="850"/>
      <c r="I382" s="850"/>
      <c r="J382" s="850"/>
      <c r="K382" s="850"/>
      <c r="L382" s="850"/>
      <c r="M382" s="850"/>
      <c r="N382" s="850"/>
      <c r="O382" s="850"/>
      <c r="P382" s="850"/>
      <c r="Q382" s="850"/>
      <c r="R382" s="850"/>
      <c r="S382" s="850"/>
    </row>
    <row r="383" spans="1:19">
      <c r="A383" s="850" t="s">
        <v>2585</v>
      </c>
      <c r="B383" s="850" t="s">
        <v>2265</v>
      </c>
      <c r="C383" s="576" t="s">
        <v>2586</v>
      </c>
      <c r="D383" s="850"/>
      <c r="E383" s="859" t="s">
        <v>2685</v>
      </c>
      <c r="F383" s="990">
        <v>0</v>
      </c>
      <c r="G383" s="847">
        <v>0</v>
      </c>
      <c r="H383" s="850"/>
      <c r="I383" s="850"/>
      <c r="J383" s="850"/>
      <c r="K383" s="850"/>
      <c r="L383" s="850"/>
      <c r="M383" s="850"/>
      <c r="N383" s="850"/>
      <c r="O383" s="850"/>
      <c r="P383" s="850"/>
      <c r="Q383" s="850"/>
      <c r="R383" s="850"/>
      <c r="S383" s="850"/>
    </row>
    <row r="384" spans="1:19" ht="13.5" thickBot="1">
      <c r="A384" s="850" t="s">
        <v>2585</v>
      </c>
      <c r="B384" s="850" t="s">
        <v>2265</v>
      </c>
      <c r="C384" s="576" t="s">
        <v>2586</v>
      </c>
      <c r="D384" s="850"/>
      <c r="E384" s="850"/>
      <c r="F384" s="1562">
        <f>SUM(F382:F383)</f>
        <v>0</v>
      </c>
      <c r="G384" s="1563">
        <f>SUM(G382:G383)</f>
        <v>0</v>
      </c>
      <c r="H384" s="850"/>
      <c r="I384" s="850"/>
      <c r="J384" s="850"/>
      <c r="K384" s="850"/>
      <c r="L384" s="850"/>
      <c r="M384" s="850"/>
      <c r="N384" s="850"/>
      <c r="O384" s="850"/>
      <c r="P384" s="850"/>
      <c r="Q384" s="850"/>
      <c r="R384" s="850"/>
      <c r="S384" s="850"/>
    </row>
    <row r="385" spans="1:19" ht="13.5" thickTop="1">
      <c r="A385" s="850" t="s">
        <v>2585</v>
      </c>
      <c r="B385" s="850" t="s">
        <v>2265</v>
      </c>
      <c r="C385" s="576" t="s">
        <v>2586</v>
      </c>
      <c r="D385" s="850"/>
      <c r="E385" s="850"/>
      <c r="F385" s="850"/>
      <c r="G385" s="850"/>
      <c r="H385" s="850"/>
      <c r="I385" s="850"/>
      <c r="J385" s="850"/>
      <c r="K385" s="850"/>
      <c r="L385" s="850"/>
      <c r="M385" s="850"/>
      <c r="N385" s="850"/>
      <c r="O385" s="850"/>
      <c r="P385" s="850"/>
      <c r="Q385" s="850"/>
      <c r="R385" s="850"/>
      <c r="S385" s="850"/>
    </row>
    <row r="386" spans="1:19">
      <c r="A386" s="850" t="s">
        <v>2585</v>
      </c>
      <c r="B386" s="850" t="s">
        <v>2265</v>
      </c>
      <c r="C386" s="576" t="s">
        <v>2586</v>
      </c>
      <c r="D386" s="850"/>
      <c r="E386" s="1" t="s">
        <v>1970</v>
      </c>
      <c r="F386" s="857">
        <f>F384-F377</f>
        <v>0</v>
      </c>
      <c r="G386" s="857">
        <f>G384-G377</f>
        <v>0</v>
      </c>
      <c r="H386" s="850"/>
      <c r="I386" s="850"/>
      <c r="J386" s="850"/>
      <c r="K386" s="850"/>
      <c r="L386" s="850"/>
      <c r="M386" s="850"/>
      <c r="N386" s="850"/>
      <c r="O386" s="850"/>
      <c r="P386" s="850"/>
      <c r="Q386" s="850"/>
      <c r="R386" s="850"/>
      <c r="S386" s="850"/>
    </row>
    <row r="387" spans="1:19">
      <c r="A387" s="850" t="s">
        <v>2585</v>
      </c>
      <c r="B387" s="850" t="s">
        <v>2265</v>
      </c>
      <c r="C387" s="576" t="s">
        <v>2586</v>
      </c>
      <c r="D387" s="850"/>
      <c r="E387" s="850"/>
      <c r="F387" s="857">
        <f>F379-'A1.BS'!G96</f>
        <v>0</v>
      </c>
      <c r="G387" s="848">
        <f>G379-'A1.BS'!L96</f>
        <v>-1</v>
      </c>
      <c r="H387" s="850"/>
      <c r="I387" s="850"/>
      <c r="J387" s="850"/>
      <c r="K387" s="850"/>
      <c r="L387" s="850"/>
      <c r="M387" s="850"/>
      <c r="N387" s="850"/>
      <c r="O387" s="850"/>
      <c r="P387" s="850"/>
      <c r="Q387" s="850"/>
      <c r="R387" s="850"/>
      <c r="S387" s="850"/>
    </row>
    <row r="388" spans="1:19">
      <c r="A388" s="850"/>
      <c r="B388" s="850" t="s">
        <v>2227</v>
      </c>
      <c r="C388" s="576" t="s">
        <v>2586</v>
      </c>
      <c r="D388" s="850"/>
      <c r="E388" s="1" t="s">
        <v>3137</v>
      </c>
      <c r="F388" s="857"/>
      <c r="G388" s="848"/>
      <c r="H388" s="850"/>
      <c r="I388" s="850" t="s">
        <v>3138</v>
      </c>
      <c r="J388" s="850"/>
      <c r="K388" s="850"/>
      <c r="L388" s="850"/>
      <c r="M388" s="850"/>
      <c r="N388" s="850"/>
      <c r="O388" s="850"/>
      <c r="P388" s="850"/>
      <c r="Q388" s="850"/>
      <c r="R388" s="850"/>
      <c r="S388" s="850"/>
    </row>
    <row r="389" spans="1:19">
      <c r="A389" s="850"/>
      <c r="B389" s="850" t="s">
        <v>2227</v>
      </c>
      <c r="C389" s="576" t="s">
        <v>2586</v>
      </c>
      <c r="D389" s="850"/>
      <c r="E389" s="850"/>
      <c r="F389" s="857"/>
      <c r="G389" s="848"/>
      <c r="H389" s="850"/>
      <c r="I389" s="37" t="s">
        <v>3139</v>
      </c>
      <c r="J389" s="850"/>
      <c r="K389" s="850"/>
      <c r="L389" s="850"/>
      <c r="M389" s="850"/>
      <c r="N389" s="850"/>
      <c r="O389" s="850"/>
      <c r="P389" s="850"/>
      <c r="Q389" s="850"/>
      <c r="R389" s="850"/>
      <c r="S389" s="850"/>
    </row>
    <row r="390" spans="1:19" ht="26.25">
      <c r="A390" s="850"/>
      <c r="B390" s="850" t="s">
        <v>2227</v>
      </c>
      <c r="C390" s="576" t="s">
        <v>2586</v>
      </c>
      <c r="D390" s="850"/>
      <c r="E390" s="850"/>
      <c r="F390" s="173" t="s">
        <v>3140</v>
      </c>
      <c r="G390" s="844" t="s">
        <v>3141</v>
      </c>
      <c r="H390" s="850"/>
      <c r="I390" s="1003"/>
      <c r="J390" s="849"/>
      <c r="K390" s="850"/>
      <c r="L390" s="850"/>
      <c r="M390" s="850"/>
      <c r="N390" s="850"/>
      <c r="O390" s="850"/>
      <c r="P390" s="850"/>
      <c r="Q390" s="850"/>
      <c r="R390" s="850"/>
      <c r="S390" s="850"/>
    </row>
    <row r="391" spans="1:19" ht="15">
      <c r="A391" s="850"/>
      <c r="B391" s="850" t="s">
        <v>2227</v>
      </c>
      <c r="C391" s="576" t="s">
        <v>2586</v>
      </c>
      <c r="D391" s="850"/>
      <c r="E391" s="1" t="s">
        <v>3142</v>
      </c>
      <c r="F391" s="992"/>
      <c r="G391" s="1020"/>
      <c r="H391" s="1" t="s">
        <v>3143</v>
      </c>
      <c r="I391" s="1003"/>
      <c r="J391" s="849"/>
      <c r="K391" s="849"/>
      <c r="L391" s="850"/>
      <c r="M391" s="850"/>
      <c r="N391" s="850"/>
      <c r="O391" s="850"/>
      <c r="P391" s="850"/>
      <c r="Q391" s="850"/>
      <c r="R391" s="850"/>
      <c r="S391" s="850"/>
    </row>
    <row r="392" spans="1:19" ht="15">
      <c r="A392" s="850"/>
      <c r="B392" s="850" t="s">
        <v>2227</v>
      </c>
      <c r="C392" s="576" t="s">
        <v>2586</v>
      </c>
      <c r="D392" s="859" t="s">
        <v>2339</v>
      </c>
      <c r="E392" s="345" t="s">
        <v>2793</v>
      </c>
      <c r="F392" s="347">
        <f>-ROUND(SUMIFS('A0.LS'!L:L,'A0.LS'!D:D,'A4.N2FS Singles'!D392),0)</f>
        <v>1204113252589</v>
      </c>
      <c r="G392" s="845">
        <f>'A1.BS'!G9</f>
        <v>71786977835</v>
      </c>
      <c r="H392" s="1003" t="s">
        <v>3144</v>
      </c>
      <c r="I392" s="1003"/>
      <c r="J392" s="849"/>
      <c r="K392" s="850"/>
      <c r="L392" s="850"/>
      <c r="M392" s="850"/>
      <c r="N392" s="850"/>
      <c r="O392" s="850"/>
      <c r="P392" s="850"/>
      <c r="Q392" s="850"/>
      <c r="R392" s="850"/>
      <c r="S392" s="850"/>
    </row>
    <row r="393" spans="1:19" ht="15">
      <c r="A393" s="850"/>
      <c r="B393" s="850" t="s">
        <v>2227</v>
      </c>
      <c r="C393" s="576" t="s">
        <v>2586</v>
      </c>
      <c r="D393" s="859" t="s">
        <v>2333</v>
      </c>
      <c r="E393" s="345" t="s">
        <v>2794</v>
      </c>
      <c r="F393" s="347">
        <f>-ROUND(SUMIFS('A0.LS'!L:L,'A0.LS'!D:D,'A4.N2FS Singles'!D393),0)</f>
        <v>137785027275</v>
      </c>
      <c r="G393" s="845">
        <f>'A1.BS'!G13</f>
        <v>1291829667998</v>
      </c>
      <c r="H393" s="1003" t="s">
        <v>3145</v>
      </c>
      <c r="I393" s="1003"/>
      <c r="J393" s="849"/>
      <c r="K393" s="850"/>
      <c r="L393" s="850"/>
      <c r="M393" s="850"/>
      <c r="N393" s="850"/>
      <c r="O393" s="850"/>
      <c r="P393" s="850"/>
      <c r="Q393" s="850"/>
      <c r="R393" s="850"/>
      <c r="S393" s="850"/>
    </row>
    <row r="394" spans="1:19" ht="26.25">
      <c r="A394" s="850"/>
      <c r="B394" s="850" t="s">
        <v>2227</v>
      </c>
      <c r="C394" s="576" t="s">
        <v>2586</v>
      </c>
      <c r="D394" s="859" t="s">
        <v>2335</v>
      </c>
      <c r="E394" s="350" t="s">
        <v>2795</v>
      </c>
      <c r="F394" s="347">
        <f>-ROUND(SUMIFS('A0.LS'!L:L,'A0.LS'!D:D,'A4.N2FS Singles'!D394),0)</f>
        <v>40893630852</v>
      </c>
      <c r="G394" s="845">
        <f>SUM('A0.LS'!L50:L55)</f>
        <v>7359879532</v>
      </c>
      <c r="H394" s="850" t="s">
        <v>3146</v>
      </c>
      <c r="I394" s="1003"/>
      <c r="J394" s="849"/>
      <c r="K394" s="850"/>
      <c r="L394" s="850"/>
      <c r="M394" s="850"/>
      <c r="N394" s="850"/>
      <c r="O394" s="850"/>
      <c r="P394" s="850"/>
      <c r="Q394" s="850"/>
      <c r="R394" s="850"/>
      <c r="S394" s="850"/>
    </row>
    <row r="395" spans="1:19">
      <c r="A395" s="850"/>
      <c r="B395" s="850" t="s">
        <v>2227</v>
      </c>
      <c r="C395" s="576" t="s">
        <v>2586</v>
      </c>
      <c r="D395" s="859" t="s">
        <v>2330</v>
      </c>
      <c r="E395" s="350" t="s">
        <v>2799</v>
      </c>
      <c r="F395" s="347">
        <f>-ROUND(SUMIFS('A0.LS'!L:L,'A0.LS'!D:D,'A4.N2FS Singles'!D395),0)</f>
        <v>9466819353</v>
      </c>
      <c r="G395" s="846">
        <f>'A0.LS'!L48</f>
        <v>25358520133</v>
      </c>
      <c r="H395" s="1003" t="s">
        <v>3147</v>
      </c>
      <c r="I395" s="1003"/>
      <c r="J395" s="850"/>
      <c r="K395" s="850"/>
      <c r="L395" s="850"/>
      <c r="M395" s="850"/>
      <c r="N395" s="850"/>
      <c r="O395" s="850"/>
      <c r="P395" s="850"/>
      <c r="Q395" s="850"/>
      <c r="R395" s="850"/>
      <c r="S395" s="850"/>
    </row>
    <row r="396" spans="1:19" ht="15.75" thickBot="1">
      <c r="A396" s="850"/>
      <c r="B396" s="850" t="s">
        <v>2227</v>
      </c>
      <c r="C396" s="576" t="s">
        <v>2586</v>
      </c>
      <c r="D396" s="850"/>
      <c r="E396" s="850"/>
      <c r="F396" s="1562">
        <f>SUM(F392:F395)</f>
        <v>1392258730069</v>
      </c>
      <c r="G396" s="1573">
        <f>SUM(G392:G395)</f>
        <v>1396335045498</v>
      </c>
      <c r="H396" s="857"/>
      <c r="I396" s="850"/>
      <c r="J396" s="849">
        <f>SUM(J390:J394)</f>
        <v>0</v>
      </c>
      <c r="K396" s="850"/>
      <c r="L396" s="849">
        <v>50192284929</v>
      </c>
      <c r="M396" s="850"/>
      <c r="N396" s="850"/>
      <c r="O396" s="850"/>
      <c r="P396" s="850"/>
      <c r="Q396" s="850"/>
      <c r="R396" s="850"/>
      <c r="S396" s="850"/>
    </row>
    <row r="397" spans="1:19" ht="26.25" thickTop="1">
      <c r="A397" s="850"/>
      <c r="B397" s="850" t="s">
        <v>2227</v>
      </c>
      <c r="C397" s="576" t="s">
        <v>2586</v>
      </c>
      <c r="D397" s="850"/>
      <c r="E397" s="857" t="s">
        <v>3148</v>
      </c>
      <c r="F397" s="1003" t="s">
        <v>3149</v>
      </c>
      <c r="G397" s="1506">
        <f>G396-F396</f>
        <v>4076315429</v>
      </c>
      <c r="H397" s="850"/>
      <c r="I397" s="850"/>
      <c r="J397" s="850"/>
      <c r="K397" s="850"/>
      <c r="L397" s="850"/>
      <c r="M397" s="850"/>
      <c r="N397" s="850"/>
      <c r="O397" s="850"/>
      <c r="P397" s="850"/>
      <c r="Q397" s="850"/>
      <c r="R397" s="850"/>
      <c r="S397" s="850"/>
    </row>
    <row r="398" spans="1:19">
      <c r="A398" s="172"/>
      <c r="B398" s="172" t="s">
        <v>2265</v>
      </c>
      <c r="C398" s="172" t="s">
        <v>681</v>
      </c>
      <c r="D398" s="172"/>
      <c r="E398" s="172" t="s">
        <v>3150</v>
      </c>
      <c r="F398" s="172"/>
      <c r="G398" s="172"/>
      <c r="H398" s="172"/>
      <c r="I398" s="172"/>
      <c r="J398" s="172"/>
      <c r="K398" s="172"/>
      <c r="L398" s="172"/>
      <c r="M398" s="172"/>
      <c r="N398" s="172"/>
      <c r="O398" s="172"/>
      <c r="P398" s="172"/>
      <c r="Q398" s="172"/>
      <c r="R398" s="172"/>
      <c r="S398" s="172"/>
    </row>
    <row r="399" spans="1:19">
      <c r="A399" s="850" t="s">
        <v>2585</v>
      </c>
      <c r="B399" s="850" t="s">
        <v>2265</v>
      </c>
      <c r="C399" s="576" t="s">
        <v>2586</v>
      </c>
      <c r="D399" s="850"/>
      <c r="E399" s="850"/>
      <c r="F399" s="857"/>
      <c r="G399" s="848"/>
      <c r="H399" s="850"/>
      <c r="I399" s="850"/>
      <c r="J399" s="850"/>
      <c r="K399" s="850"/>
      <c r="L399" s="850"/>
      <c r="M399" s="850"/>
      <c r="N399" s="850"/>
      <c r="O399" s="850"/>
      <c r="P399" s="850"/>
      <c r="Q399" s="850"/>
      <c r="R399" s="850"/>
      <c r="S399" s="850"/>
    </row>
    <row r="400" spans="1:19" ht="25.5">
      <c r="A400" s="850" t="s">
        <v>2585</v>
      </c>
      <c r="B400" s="850" t="s">
        <v>2265</v>
      </c>
      <c r="C400" s="576" t="s">
        <v>2586</v>
      </c>
      <c r="D400" s="850"/>
      <c r="E400" s="850"/>
      <c r="F400" s="173" t="s">
        <v>2587</v>
      </c>
      <c r="G400" s="174" t="s">
        <v>3151</v>
      </c>
      <c r="H400" s="850"/>
      <c r="I400" s="850"/>
      <c r="J400" s="850"/>
      <c r="K400" s="850"/>
      <c r="L400" s="850"/>
      <c r="M400" s="850"/>
      <c r="N400" s="850"/>
      <c r="O400" s="850"/>
      <c r="P400" s="850"/>
      <c r="Q400" s="850"/>
      <c r="R400" s="850"/>
      <c r="S400" s="850"/>
    </row>
    <row r="401" spans="1:19">
      <c r="A401" s="850" t="s">
        <v>2585</v>
      </c>
      <c r="B401" s="850" t="s">
        <v>2265</v>
      </c>
      <c r="C401" s="576" t="s">
        <v>2586</v>
      </c>
      <c r="D401" s="850"/>
      <c r="E401" s="1" t="s">
        <v>2739</v>
      </c>
      <c r="F401" s="994"/>
      <c r="G401" s="847"/>
      <c r="H401" s="850"/>
      <c r="I401" s="850"/>
      <c r="J401" s="850"/>
      <c r="K401" s="850"/>
      <c r="L401" s="850"/>
      <c r="M401" s="850"/>
      <c r="N401" s="850"/>
      <c r="O401" s="850"/>
      <c r="P401" s="850"/>
      <c r="Q401" s="850"/>
      <c r="R401" s="850"/>
      <c r="S401" s="850"/>
    </row>
    <row r="402" spans="1:19">
      <c r="A402" s="850" t="s">
        <v>2585</v>
      </c>
      <c r="B402" s="850" t="s">
        <v>2265</v>
      </c>
      <c r="C402" s="576" t="s">
        <v>2586</v>
      </c>
      <c r="D402" s="859" t="s">
        <v>2366</v>
      </c>
      <c r="E402" s="850" t="s">
        <v>3152</v>
      </c>
      <c r="F402" s="994">
        <f>-SUMIFS('A0.LS'!$L:$L,'A0.LS'!$D:$D,'A4.N2FS Singles'!D402)</f>
        <v>30336000000</v>
      </c>
      <c r="G402" s="998">
        <f>-ROUND(SUMIFS('A0.LS'!Q:Q,'A0.LS'!D:D,'A4.N2FS Singles'!D402),0)</f>
        <v>34128000000</v>
      </c>
      <c r="H402" s="850"/>
      <c r="I402" s="850"/>
      <c r="J402" s="850"/>
      <c r="K402" s="850"/>
      <c r="L402" s="850"/>
      <c r="M402" s="850"/>
      <c r="N402" s="850"/>
      <c r="O402" s="850"/>
      <c r="P402" s="850"/>
      <c r="Q402" s="850"/>
      <c r="R402" s="850"/>
      <c r="S402" s="850"/>
    </row>
    <row r="403" spans="1:19" ht="13.5" thickBot="1">
      <c r="A403" s="850" t="s">
        <v>2585</v>
      </c>
      <c r="B403" s="850" t="s">
        <v>2265</v>
      </c>
      <c r="C403" s="576" t="s">
        <v>2586</v>
      </c>
      <c r="D403" s="850"/>
      <c r="E403" s="850"/>
      <c r="F403" s="1562">
        <f>SUM(F401:F402)</f>
        <v>30336000000</v>
      </c>
      <c r="G403" s="1563">
        <f>SUM(G401:G402)</f>
        <v>34128000000</v>
      </c>
      <c r="H403" s="850"/>
      <c r="I403" s="850"/>
      <c r="J403" s="850"/>
      <c r="K403" s="850"/>
      <c r="L403" s="850"/>
      <c r="M403" s="850"/>
      <c r="N403" s="850"/>
      <c r="O403" s="850"/>
      <c r="P403" s="850"/>
      <c r="Q403" s="850"/>
      <c r="R403" s="850"/>
      <c r="S403" s="850"/>
    </row>
    <row r="404" spans="1:19" ht="13.5" thickTop="1">
      <c r="A404" s="850" t="s">
        <v>2585</v>
      </c>
      <c r="B404" s="850" t="s">
        <v>2265</v>
      </c>
      <c r="C404" s="576" t="s">
        <v>2586</v>
      </c>
      <c r="D404" s="850"/>
      <c r="E404" s="850"/>
      <c r="F404" s="857"/>
      <c r="G404" s="848"/>
      <c r="H404" s="850"/>
      <c r="I404" s="850"/>
      <c r="J404" s="850"/>
      <c r="K404" s="850"/>
      <c r="L404" s="850"/>
      <c r="M404" s="850"/>
      <c r="N404" s="850"/>
      <c r="O404" s="850"/>
      <c r="P404" s="850"/>
      <c r="Q404" s="850"/>
      <c r="R404" s="850"/>
      <c r="S404" s="850"/>
    </row>
    <row r="405" spans="1:19">
      <c r="A405" s="850" t="s">
        <v>2585</v>
      </c>
      <c r="B405" s="850" t="s">
        <v>2265</v>
      </c>
      <c r="C405" s="576" t="s">
        <v>2586</v>
      </c>
      <c r="D405" s="850"/>
      <c r="E405" s="850" t="s">
        <v>3152</v>
      </c>
      <c r="F405" s="994"/>
      <c r="G405" s="847"/>
      <c r="H405" s="850"/>
      <c r="I405" s="850"/>
      <c r="J405" s="850"/>
      <c r="K405" s="850"/>
      <c r="L405" s="850"/>
      <c r="M405" s="850"/>
      <c r="N405" s="850"/>
      <c r="O405" s="850"/>
      <c r="P405" s="850"/>
      <c r="Q405" s="850"/>
      <c r="R405" s="850"/>
      <c r="S405" s="850"/>
    </row>
    <row r="406" spans="1:19">
      <c r="A406" s="850" t="s">
        <v>2585</v>
      </c>
      <c r="B406" s="850" t="s">
        <v>2265</v>
      </c>
      <c r="C406" s="576" t="s">
        <v>2586</v>
      </c>
      <c r="D406" s="850"/>
      <c r="E406" s="850" t="s">
        <v>3153</v>
      </c>
      <c r="F406" s="994">
        <v>30336000000</v>
      </c>
      <c r="G406" s="847">
        <v>34128000000</v>
      </c>
      <c r="H406" s="850"/>
      <c r="I406" s="850" t="s">
        <v>3154</v>
      </c>
      <c r="J406" s="850"/>
      <c r="K406" s="850"/>
      <c r="L406" s="850"/>
      <c r="M406" s="850"/>
      <c r="N406" s="850"/>
      <c r="O406" s="850"/>
      <c r="P406" s="850"/>
      <c r="Q406" s="850"/>
      <c r="R406" s="850"/>
      <c r="S406" s="850"/>
    </row>
    <row r="407" spans="1:19" ht="13.5" thickBot="1">
      <c r="A407" s="850" t="s">
        <v>2585</v>
      </c>
      <c r="B407" s="850" t="s">
        <v>2265</v>
      </c>
      <c r="C407" s="576" t="s">
        <v>2586</v>
      </c>
      <c r="D407" s="850"/>
      <c r="E407" s="850"/>
      <c r="F407" s="1562">
        <f>SUM(F405:F406)</f>
        <v>30336000000</v>
      </c>
      <c r="G407" s="1561">
        <f>G406</f>
        <v>34128000000</v>
      </c>
      <c r="H407" s="850"/>
      <c r="I407" s="850"/>
      <c r="J407" s="850"/>
      <c r="K407" s="850"/>
      <c r="L407" s="850"/>
      <c r="M407" s="850"/>
      <c r="N407" s="850"/>
      <c r="O407" s="850"/>
      <c r="P407" s="850"/>
      <c r="Q407" s="850"/>
      <c r="R407" s="850"/>
      <c r="S407" s="850"/>
    </row>
    <row r="408" spans="1:19" ht="13.5" thickTop="1">
      <c r="A408" s="850" t="s">
        <v>2585</v>
      </c>
      <c r="B408" s="850" t="s">
        <v>2265</v>
      </c>
      <c r="C408" s="576" t="s">
        <v>2586</v>
      </c>
      <c r="D408" s="850"/>
      <c r="E408" s="850"/>
      <c r="F408" s="857"/>
      <c r="G408" s="848"/>
      <c r="H408" s="850"/>
      <c r="I408" s="850"/>
      <c r="J408" s="850"/>
      <c r="K408" s="850"/>
      <c r="L408" s="850"/>
      <c r="M408" s="850"/>
      <c r="N408" s="850"/>
      <c r="O408" s="850"/>
      <c r="P408" s="850"/>
      <c r="Q408" s="850"/>
      <c r="R408" s="850"/>
      <c r="S408" s="850"/>
    </row>
    <row r="409" spans="1:19">
      <c r="A409" s="850" t="s">
        <v>2585</v>
      </c>
      <c r="B409" s="850" t="s">
        <v>2265</v>
      </c>
      <c r="C409" s="576" t="s">
        <v>2586</v>
      </c>
      <c r="D409" s="850"/>
      <c r="E409" s="1" t="s">
        <v>1970</v>
      </c>
      <c r="F409" s="857">
        <f>F407-F402</f>
        <v>0</v>
      </c>
      <c r="G409" s="857">
        <f>G407-G402</f>
        <v>0</v>
      </c>
      <c r="H409" s="850"/>
      <c r="I409" s="850"/>
      <c r="J409" s="850"/>
      <c r="K409" s="850"/>
      <c r="L409" s="850"/>
      <c r="M409" s="850"/>
      <c r="N409" s="850"/>
      <c r="O409" s="850"/>
      <c r="P409" s="850"/>
      <c r="Q409" s="850"/>
      <c r="R409" s="850"/>
      <c r="S409" s="850"/>
    </row>
    <row r="410" spans="1:19">
      <c r="A410" s="850" t="s">
        <v>2585</v>
      </c>
      <c r="B410" s="850" t="s">
        <v>2265</v>
      </c>
      <c r="C410" s="576" t="s">
        <v>2586</v>
      </c>
      <c r="D410" s="850"/>
      <c r="E410" s="1" t="s">
        <v>1970</v>
      </c>
      <c r="F410" s="857">
        <f>F403-'A1.BS'!G109</f>
        <v>0</v>
      </c>
      <c r="G410" s="848">
        <f>G403-'A1.BS'!L109</f>
        <v>0</v>
      </c>
      <c r="H410" s="850"/>
      <c r="I410" s="850"/>
      <c r="J410" s="850"/>
      <c r="K410" s="850"/>
      <c r="L410" s="850"/>
      <c r="M410" s="850"/>
      <c r="N410" s="850"/>
      <c r="O410" s="850"/>
      <c r="P410" s="850"/>
      <c r="Q410" s="850"/>
      <c r="R410" s="850"/>
      <c r="S410" s="850"/>
    </row>
    <row r="411" spans="1:19">
      <c r="A411" s="850" t="s">
        <v>2585</v>
      </c>
      <c r="B411" s="850" t="s">
        <v>2265</v>
      </c>
      <c r="C411" s="576" t="s">
        <v>2586</v>
      </c>
      <c r="D411" s="850"/>
      <c r="E411" s="850"/>
      <c r="F411" s="857"/>
      <c r="G411" s="848"/>
      <c r="H411" s="850"/>
      <c r="I411" s="850"/>
      <c r="J411" s="850"/>
      <c r="K411" s="850"/>
      <c r="L411" s="850"/>
      <c r="M411" s="850"/>
      <c r="N411" s="850"/>
      <c r="O411" s="850"/>
      <c r="P411" s="850"/>
      <c r="Q411" s="850"/>
      <c r="R411" s="850"/>
      <c r="S411" s="850"/>
    </row>
    <row r="412" spans="1:19">
      <c r="A412" s="172"/>
      <c r="B412" s="172" t="s">
        <v>2265</v>
      </c>
      <c r="C412" s="172" t="s">
        <v>681</v>
      </c>
      <c r="D412" s="172"/>
      <c r="E412" s="172" t="s">
        <v>3155</v>
      </c>
      <c r="F412" s="172"/>
      <c r="G412" s="172"/>
      <c r="H412" s="172"/>
      <c r="I412" s="172"/>
      <c r="J412" s="172"/>
      <c r="K412" s="172"/>
      <c r="L412" s="172"/>
      <c r="M412" s="172"/>
      <c r="N412" s="172"/>
      <c r="O412" s="172"/>
      <c r="P412" s="172"/>
      <c r="Q412" s="172"/>
      <c r="R412" s="172"/>
      <c r="S412" s="172"/>
    </row>
    <row r="413" spans="1:19">
      <c r="A413" s="850" t="s">
        <v>2585</v>
      </c>
      <c r="B413" s="850" t="s">
        <v>2265</v>
      </c>
      <c r="C413" s="576" t="s">
        <v>2586</v>
      </c>
      <c r="D413" s="850"/>
      <c r="E413" s="850"/>
      <c r="F413" s="850"/>
      <c r="G413" s="850"/>
      <c r="H413" s="850"/>
      <c r="I413" s="850"/>
      <c r="J413" s="850"/>
      <c r="K413" s="850"/>
      <c r="L413" s="850"/>
      <c r="M413" s="850"/>
      <c r="N413" s="850"/>
      <c r="O413" s="850"/>
      <c r="P413" s="850"/>
      <c r="Q413" s="850"/>
      <c r="R413" s="850"/>
      <c r="S413" s="850"/>
    </row>
    <row r="414" spans="1:19">
      <c r="A414" s="850" t="s">
        <v>2585</v>
      </c>
      <c r="B414" s="850" t="s">
        <v>2265</v>
      </c>
      <c r="C414" s="576" t="s">
        <v>2586</v>
      </c>
      <c r="D414" s="850"/>
      <c r="E414" s="850"/>
      <c r="F414" s="744">
        <v>45291</v>
      </c>
      <c r="G414" s="745"/>
      <c r="H414" s="183" t="s">
        <v>2803</v>
      </c>
      <c r="I414" s="183"/>
      <c r="J414" s="182">
        <v>45657</v>
      </c>
      <c r="K414" s="183"/>
      <c r="L414" s="850"/>
      <c r="M414" s="850"/>
      <c r="N414" s="850"/>
      <c r="O414" s="850"/>
      <c r="P414" s="850"/>
      <c r="Q414" s="850"/>
      <c r="R414" s="850"/>
      <c r="S414" s="850"/>
    </row>
    <row r="415" spans="1:19" ht="25.5">
      <c r="A415" s="850" t="s">
        <v>2585</v>
      </c>
      <c r="B415" s="850" t="s">
        <v>2265</v>
      </c>
      <c r="C415" s="576" t="s">
        <v>2586</v>
      </c>
      <c r="D415" s="850"/>
      <c r="E415" s="850"/>
      <c r="F415" s="190" t="s">
        <v>2688</v>
      </c>
      <c r="G415" s="190" t="s">
        <v>2804</v>
      </c>
      <c r="H415" s="152" t="s">
        <v>2805</v>
      </c>
      <c r="I415" s="152" t="s">
        <v>2806</v>
      </c>
      <c r="J415" s="152" t="s">
        <v>2688</v>
      </c>
      <c r="K415" s="152" t="s">
        <v>2804</v>
      </c>
      <c r="L415" s="850"/>
      <c r="M415" s="850"/>
      <c r="N415" s="850"/>
      <c r="O415" s="850"/>
      <c r="P415" s="850"/>
      <c r="Q415" s="850"/>
      <c r="R415" s="850"/>
      <c r="S415" s="850"/>
    </row>
    <row r="416" spans="1:19">
      <c r="A416" s="850" t="s">
        <v>2585</v>
      </c>
      <c r="B416" s="850" t="s">
        <v>2265</v>
      </c>
      <c r="C416" s="576" t="s">
        <v>2586</v>
      </c>
      <c r="D416" s="850"/>
      <c r="E416" s="1" t="s">
        <v>2807</v>
      </c>
      <c r="F416" s="993"/>
      <c r="G416" s="993"/>
      <c r="H416" s="992"/>
      <c r="I416" s="992"/>
      <c r="J416" s="992"/>
      <c r="K416" s="992"/>
      <c r="L416" s="850"/>
      <c r="M416" s="850"/>
      <c r="N416" s="850"/>
      <c r="O416" s="850"/>
      <c r="P416" s="850"/>
      <c r="Q416" s="850"/>
      <c r="R416" s="850"/>
      <c r="S416" s="850"/>
    </row>
    <row r="417" spans="1:19">
      <c r="A417" s="850" t="s">
        <v>2585</v>
      </c>
      <c r="B417" s="850" t="s">
        <v>2265</v>
      </c>
      <c r="C417" s="576" t="s">
        <v>2586</v>
      </c>
      <c r="D417" s="850"/>
      <c r="E417" s="850" t="s">
        <v>3156</v>
      </c>
      <c r="F417" s="847">
        <v>0</v>
      </c>
      <c r="G417" s="847">
        <v>0</v>
      </c>
      <c r="H417" s="990">
        <v>13900000000</v>
      </c>
      <c r="I417" s="994">
        <f>-9400000000</f>
        <v>-9400000000</v>
      </c>
      <c r="J417" s="990">
        <f>H417+I417</f>
        <v>4500000000</v>
      </c>
      <c r="K417" s="990">
        <f>J417</f>
        <v>4500000000</v>
      </c>
      <c r="L417" s="850"/>
      <c r="M417" s="850"/>
      <c r="N417" s="850"/>
      <c r="O417" s="850"/>
      <c r="P417" s="850"/>
      <c r="Q417" s="850"/>
      <c r="R417" s="850"/>
      <c r="S417" s="850"/>
    </row>
    <row r="418" spans="1:19" ht="13.5" thickBot="1">
      <c r="A418" s="850" t="s">
        <v>2585</v>
      </c>
      <c r="B418" s="850" t="s">
        <v>2265</v>
      </c>
      <c r="C418" s="576" t="s">
        <v>2586</v>
      </c>
      <c r="D418" s="850"/>
      <c r="E418" s="850"/>
      <c r="F418" s="1563">
        <f t="shared" ref="F418:K418" si="18">F417</f>
        <v>0</v>
      </c>
      <c r="G418" s="1563">
        <f t="shared" si="18"/>
        <v>0</v>
      </c>
      <c r="H418" s="1562">
        <f t="shared" si="18"/>
        <v>13900000000</v>
      </c>
      <c r="I418" s="1562">
        <f t="shared" si="18"/>
        <v>-9400000000</v>
      </c>
      <c r="J418" s="1562">
        <f t="shared" si="18"/>
        <v>4500000000</v>
      </c>
      <c r="K418" s="1562">
        <f t="shared" si="18"/>
        <v>4500000000</v>
      </c>
      <c r="L418" s="850"/>
      <c r="M418" s="850"/>
      <c r="N418" s="850"/>
      <c r="O418" s="850"/>
      <c r="P418" s="850"/>
      <c r="Q418" s="850"/>
      <c r="R418" s="850"/>
      <c r="S418" s="850"/>
    </row>
    <row r="419" spans="1:19" ht="13.5" thickTop="1">
      <c r="A419" s="850" t="s">
        <v>2585</v>
      </c>
      <c r="B419" s="850" t="s">
        <v>2265</v>
      </c>
      <c r="C419" s="576" t="s">
        <v>2586</v>
      </c>
      <c r="D419" s="850"/>
      <c r="E419" s="850"/>
      <c r="F419" s="850"/>
      <c r="G419" s="850"/>
      <c r="H419" s="850"/>
      <c r="I419" s="850"/>
      <c r="J419" s="850"/>
      <c r="K419" s="857">
        <f>K418-'A1.BS'!G97</f>
        <v>0</v>
      </c>
      <c r="L419" s="850"/>
      <c r="M419" s="850"/>
      <c r="N419" s="850"/>
      <c r="O419" s="850"/>
      <c r="P419" s="850"/>
      <c r="Q419" s="850"/>
      <c r="R419" s="850"/>
      <c r="S419" s="850"/>
    </row>
    <row r="420" spans="1:19">
      <c r="A420" s="850" t="s">
        <v>2585</v>
      </c>
      <c r="B420" s="850" t="s">
        <v>2265</v>
      </c>
      <c r="C420" s="576" t="s">
        <v>2586</v>
      </c>
      <c r="D420" s="850"/>
      <c r="E420" s="850" t="s">
        <v>2811</v>
      </c>
      <c r="F420" s="850"/>
      <c r="G420" s="850"/>
      <c r="H420" s="850"/>
      <c r="I420" s="850"/>
      <c r="J420" s="850"/>
      <c r="K420" s="850"/>
      <c r="L420" s="850"/>
      <c r="M420" s="850"/>
      <c r="N420" s="850"/>
      <c r="O420" s="850"/>
      <c r="P420" s="850"/>
      <c r="Q420" s="850"/>
      <c r="R420" s="850"/>
      <c r="S420" s="850"/>
    </row>
    <row r="421" spans="1:19">
      <c r="A421" s="850" t="s">
        <v>2585</v>
      </c>
      <c r="B421" s="850" t="s">
        <v>2265</v>
      </c>
      <c r="C421" s="576" t="s">
        <v>2586</v>
      </c>
      <c r="D421" s="850"/>
      <c r="E421" s="850"/>
      <c r="F421" s="850"/>
      <c r="G421" s="850"/>
      <c r="H421" s="850"/>
      <c r="I421" s="850"/>
      <c r="J421" s="850"/>
      <c r="K421" s="850"/>
      <c r="L421" s="850"/>
      <c r="M421" s="850"/>
      <c r="N421" s="850"/>
      <c r="O421" s="850"/>
      <c r="P421" s="850"/>
      <c r="Q421" s="850"/>
      <c r="R421" s="850"/>
      <c r="S421" s="850"/>
    </row>
    <row r="422" spans="1:19" ht="25.5">
      <c r="A422" s="850" t="s">
        <v>2585</v>
      </c>
      <c r="B422" s="850" t="s">
        <v>2265</v>
      </c>
      <c r="C422" s="576" t="s">
        <v>2586</v>
      </c>
      <c r="D422" s="850"/>
      <c r="E422" s="196" t="s">
        <v>2812</v>
      </c>
      <c r="F422" s="197" t="s">
        <v>2688</v>
      </c>
      <c r="G422" s="198" t="s">
        <v>2813</v>
      </c>
      <c r="H422" s="199" t="s">
        <v>2814</v>
      </c>
      <c r="I422" s="198" t="s">
        <v>2815</v>
      </c>
      <c r="J422" s="198" t="s">
        <v>2816</v>
      </c>
      <c r="K422" s="850"/>
      <c r="L422" s="850"/>
      <c r="M422" s="850"/>
      <c r="N422" s="850"/>
      <c r="O422" s="850"/>
      <c r="P422" s="850"/>
      <c r="Q422" s="850"/>
      <c r="R422" s="850"/>
      <c r="S422" s="850"/>
    </row>
    <row r="423" spans="1:19">
      <c r="A423" s="850" t="s">
        <v>2585</v>
      </c>
      <c r="B423" s="850" t="s">
        <v>2265</v>
      </c>
      <c r="C423" s="576" t="s">
        <v>2586</v>
      </c>
      <c r="D423" s="850"/>
      <c r="E423" s="1021" t="s">
        <v>2596</v>
      </c>
      <c r="F423" s="990"/>
      <c r="G423" s="1000"/>
      <c r="H423" s="992"/>
      <c r="I423" s="996" t="s">
        <v>3157</v>
      </c>
      <c r="J423" s="992" t="s">
        <v>3158</v>
      </c>
      <c r="K423" s="850"/>
      <c r="L423" s="850"/>
      <c r="M423" s="850"/>
      <c r="N423" s="850"/>
      <c r="O423" s="850"/>
      <c r="P423" s="850"/>
      <c r="Q423" s="850"/>
      <c r="R423" s="850"/>
      <c r="S423" s="850"/>
    </row>
    <row r="424" spans="1:19">
      <c r="A424" s="850" t="s">
        <v>2585</v>
      </c>
      <c r="B424" s="850" t="s">
        <v>2265</v>
      </c>
      <c r="C424" s="576" t="s">
        <v>2586</v>
      </c>
      <c r="D424" s="850"/>
      <c r="E424" s="1022">
        <v>45469</v>
      </c>
      <c r="F424" s="990">
        <v>1000000000</v>
      </c>
      <c r="G424" s="992" t="s">
        <v>3159</v>
      </c>
      <c r="H424" s="1023">
        <v>0.06</v>
      </c>
      <c r="I424" s="996" t="s">
        <v>3157</v>
      </c>
      <c r="J424" s="992" t="s">
        <v>3158</v>
      </c>
      <c r="K424" s="850"/>
      <c r="L424" s="850"/>
      <c r="M424" s="850"/>
      <c r="N424" s="850"/>
      <c r="O424" s="850"/>
      <c r="P424" s="850"/>
      <c r="Q424" s="850"/>
      <c r="R424" s="850"/>
      <c r="S424" s="850"/>
    </row>
    <row r="425" spans="1:19">
      <c r="A425" s="850" t="s">
        <v>2585</v>
      </c>
      <c r="B425" s="850" t="s">
        <v>2265</v>
      </c>
      <c r="C425" s="576" t="s">
        <v>2586</v>
      </c>
      <c r="D425" s="850"/>
      <c r="E425" s="1022">
        <v>45468</v>
      </c>
      <c r="F425" s="990">
        <v>1000000000</v>
      </c>
      <c r="G425" s="992" t="s">
        <v>3160</v>
      </c>
      <c r="H425" s="1023">
        <v>0.06</v>
      </c>
      <c r="I425" s="996" t="s">
        <v>3157</v>
      </c>
      <c r="J425" s="992" t="s">
        <v>3158</v>
      </c>
      <c r="K425" s="850"/>
      <c r="L425" s="850"/>
      <c r="M425" s="850"/>
      <c r="N425" s="850"/>
      <c r="O425" s="850"/>
      <c r="P425" s="850"/>
      <c r="Q425" s="850"/>
      <c r="R425" s="850"/>
      <c r="S425" s="850"/>
    </row>
    <row r="426" spans="1:19">
      <c r="A426" s="850" t="s">
        <v>2585</v>
      </c>
      <c r="B426" s="850" t="s">
        <v>2265</v>
      </c>
      <c r="C426" s="576" t="s">
        <v>2586</v>
      </c>
      <c r="D426" s="850"/>
      <c r="E426" s="850"/>
      <c r="F426" s="850"/>
      <c r="G426" s="850"/>
      <c r="H426" s="850"/>
      <c r="I426" s="850"/>
      <c r="J426" s="850"/>
      <c r="K426" s="850"/>
      <c r="L426" s="850"/>
      <c r="M426" s="850"/>
      <c r="N426" s="850"/>
      <c r="O426" s="850"/>
      <c r="P426" s="850"/>
      <c r="Q426" s="850"/>
      <c r="R426" s="850"/>
      <c r="S426" s="850"/>
    </row>
    <row r="427" spans="1:19">
      <c r="A427" s="172"/>
      <c r="B427" s="172" t="s">
        <v>676</v>
      </c>
      <c r="C427" s="172" t="s">
        <v>681</v>
      </c>
      <c r="D427" s="172"/>
      <c r="E427" s="172" t="s">
        <v>3161</v>
      </c>
      <c r="F427" s="172"/>
      <c r="G427" s="172"/>
      <c r="H427" s="172"/>
      <c r="I427" s="172"/>
      <c r="J427" s="172"/>
      <c r="K427" s="172"/>
      <c r="L427" s="172"/>
      <c r="M427" s="172"/>
      <c r="N427" s="172"/>
      <c r="O427" s="172"/>
      <c r="P427" s="172"/>
      <c r="Q427" s="172"/>
      <c r="R427" s="172"/>
      <c r="S427" s="172"/>
    </row>
    <row r="428" spans="1:19">
      <c r="A428" s="850" t="s">
        <v>2585</v>
      </c>
      <c r="B428" s="850" t="s">
        <v>676</v>
      </c>
      <c r="C428" s="576" t="s">
        <v>2586</v>
      </c>
      <c r="D428" s="850"/>
      <c r="E428" s="850"/>
      <c r="F428" s="850"/>
      <c r="G428" s="850"/>
      <c r="H428" s="850"/>
      <c r="I428" s="850"/>
      <c r="J428" s="850"/>
      <c r="K428" s="850"/>
      <c r="L428" s="850"/>
      <c r="M428" s="850"/>
      <c r="N428" s="850"/>
      <c r="O428" s="850"/>
      <c r="P428" s="850"/>
      <c r="Q428" s="850"/>
      <c r="R428" s="850"/>
      <c r="S428" s="850"/>
    </row>
    <row r="429" spans="1:19" ht="38.25">
      <c r="A429" s="850" t="s">
        <v>2585</v>
      </c>
      <c r="B429" s="850" t="s">
        <v>676</v>
      </c>
      <c r="C429" s="576" t="s">
        <v>2586</v>
      </c>
      <c r="D429" s="850"/>
      <c r="E429" s="850"/>
      <c r="F429" s="152" t="s">
        <v>2819</v>
      </c>
      <c r="G429" s="152" t="s">
        <v>2820</v>
      </c>
      <c r="H429" s="152" t="s">
        <v>2821</v>
      </c>
      <c r="I429" s="152" t="s">
        <v>2711</v>
      </c>
      <c r="J429" s="850"/>
      <c r="K429" s="850"/>
      <c r="L429" s="850"/>
      <c r="M429" s="850"/>
      <c r="N429" s="850"/>
      <c r="O429" s="850"/>
      <c r="P429" s="850"/>
      <c r="Q429" s="850"/>
      <c r="R429" s="850"/>
      <c r="S429" s="850"/>
    </row>
    <row r="430" spans="1:19">
      <c r="A430" s="850" t="s">
        <v>2585</v>
      </c>
      <c r="B430" s="850" t="s">
        <v>676</v>
      </c>
      <c r="C430" s="576" t="s">
        <v>2586</v>
      </c>
      <c r="D430" s="850"/>
      <c r="E430" s="1" t="s">
        <v>3162</v>
      </c>
      <c r="F430" s="202">
        <v>133524690000</v>
      </c>
      <c r="G430" s="202">
        <v>515310808868</v>
      </c>
      <c r="H430" s="202">
        <f>-206961721096</f>
        <v>-206961721096</v>
      </c>
      <c r="I430" s="203">
        <f>SUM(F430:H430)</f>
        <v>441873777772</v>
      </c>
      <c r="J430" s="850"/>
      <c r="K430" s="850"/>
      <c r="L430" s="850"/>
      <c r="M430" s="850"/>
      <c r="N430" s="850"/>
      <c r="O430" s="850"/>
      <c r="P430" s="850"/>
      <c r="Q430" s="850"/>
      <c r="R430" s="850"/>
      <c r="S430" s="850"/>
    </row>
    <row r="431" spans="1:19">
      <c r="A431" s="850" t="s">
        <v>2585</v>
      </c>
      <c r="B431" s="850" t="s">
        <v>676</v>
      </c>
      <c r="C431" s="576" t="s">
        <v>2586</v>
      </c>
      <c r="D431" s="850"/>
      <c r="E431" s="859" t="s">
        <v>2824</v>
      </c>
      <c r="F431" s="847">
        <v>1116420000</v>
      </c>
      <c r="G431" s="847">
        <v>0</v>
      </c>
      <c r="H431" s="847">
        <v>0</v>
      </c>
      <c r="I431" s="847">
        <f>SUM(F431:H431)</f>
        <v>1116420000</v>
      </c>
      <c r="J431" s="850"/>
      <c r="K431" s="850"/>
      <c r="L431" s="850"/>
      <c r="M431" s="850"/>
      <c r="N431" s="850"/>
      <c r="O431" s="850"/>
      <c r="P431" s="850"/>
      <c r="Q431" s="850"/>
      <c r="R431" s="850"/>
      <c r="S431" s="850"/>
    </row>
    <row r="432" spans="1:19">
      <c r="A432" s="850" t="s">
        <v>2585</v>
      </c>
      <c r="B432" s="850" t="s">
        <v>676</v>
      </c>
      <c r="C432" s="576" t="s">
        <v>2586</v>
      </c>
      <c r="D432" s="850"/>
      <c r="E432" s="859" t="s">
        <v>2826</v>
      </c>
      <c r="F432" s="847">
        <v>0</v>
      </c>
      <c r="G432" s="847">
        <v>0</v>
      </c>
      <c r="H432" s="847">
        <f>-57126174103</f>
        <v>-57126174103</v>
      </c>
      <c r="I432" s="847">
        <f>SUM(F432:H432)</f>
        <v>-57126174103</v>
      </c>
      <c r="J432" s="850"/>
      <c r="K432" s="850"/>
      <c r="L432" s="850"/>
      <c r="M432" s="850"/>
      <c r="N432" s="850"/>
      <c r="O432" s="850"/>
      <c r="P432" s="850"/>
      <c r="Q432" s="850"/>
      <c r="R432" s="850"/>
      <c r="S432" s="850"/>
    </row>
    <row r="433" spans="1:19">
      <c r="A433" s="850" t="s">
        <v>2585</v>
      </c>
      <c r="B433" s="850" t="s">
        <v>676</v>
      </c>
      <c r="C433" s="576" t="s">
        <v>2586</v>
      </c>
      <c r="D433" s="850"/>
      <c r="E433" s="1" t="s">
        <v>3163</v>
      </c>
      <c r="F433" s="1605">
        <f>SUM(F430:F432)</f>
        <v>134641110000</v>
      </c>
      <c r="G433" s="1605">
        <f>SUM(G430:G432)</f>
        <v>515310808868</v>
      </c>
      <c r="H433" s="1605">
        <f>SUM(H430:H432)</f>
        <v>-264087895199</v>
      </c>
      <c r="I433" s="1605">
        <f>SUM(I430:I432)</f>
        <v>385864023669</v>
      </c>
      <c r="J433" s="850"/>
      <c r="K433" s="850"/>
      <c r="L433" s="850"/>
      <c r="M433" s="850"/>
      <c r="N433" s="850"/>
      <c r="O433" s="850"/>
      <c r="P433" s="850"/>
      <c r="Q433" s="850"/>
      <c r="R433" s="850"/>
      <c r="S433" s="850"/>
    </row>
    <row r="434" spans="1:19">
      <c r="A434" s="850" t="s">
        <v>2585</v>
      </c>
      <c r="B434" s="850" t="s">
        <v>676</v>
      </c>
      <c r="C434" s="576" t="s">
        <v>2586</v>
      </c>
      <c r="D434" s="850"/>
      <c r="E434" s="850"/>
      <c r="F434" s="850"/>
      <c r="G434" s="850"/>
      <c r="H434" s="848"/>
      <c r="I434" s="850"/>
      <c r="J434" s="850"/>
      <c r="K434" s="850"/>
      <c r="L434" s="850"/>
      <c r="M434" s="850"/>
      <c r="N434" s="850"/>
      <c r="O434" s="850"/>
      <c r="P434" s="850"/>
      <c r="Q434" s="850"/>
      <c r="R434" s="850"/>
      <c r="S434" s="850"/>
    </row>
    <row r="435" spans="1:19">
      <c r="A435" s="850" t="s">
        <v>2585</v>
      </c>
      <c r="B435" s="850" t="s">
        <v>676</v>
      </c>
      <c r="C435" s="576" t="s">
        <v>2586</v>
      </c>
      <c r="D435" s="850"/>
      <c r="E435" s="1" t="s">
        <v>3164</v>
      </c>
      <c r="F435" s="195">
        <v>134641110000</v>
      </c>
      <c r="G435" s="195">
        <v>515310808868</v>
      </c>
      <c r="H435" s="195">
        <v>-264087895199</v>
      </c>
      <c r="I435" s="195">
        <v>385864023669</v>
      </c>
      <c r="J435" s="850"/>
      <c r="K435" s="850"/>
      <c r="L435" s="850"/>
      <c r="M435" s="850"/>
      <c r="N435" s="850"/>
      <c r="O435" s="850"/>
      <c r="P435" s="850"/>
      <c r="Q435" s="850"/>
      <c r="R435" s="850"/>
      <c r="S435" s="850"/>
    </row>
    <row r="436" spans="1:19">
      <c r="A436" s="850" t="s">
        <v>2585</v>
      </c>
      <c r="B436" s="850" t="s">
        <v>676</v>
      </c>
      <c r="C436" s="576" t="s">
        <v>2586</v>
      </c>
      <c r="D436" s="850"/>
      <c r="E436" s="859" t="s">
        <v>2824</v>
      </c>
      <c r="F436" s="990">
        <v>0</v>
      </c>
      <c r="G436" s="990">
        <v>0</v>
      </c>
      <c r="H436" s="990">
        <v>0</v>
      </c>
      <c r="I436" s="990">
        <f>SUM(F436:H436)</f>
        <v>0</v>
      </c>
      <c r="J436" s="850"/>
      <c r="K436" s="850"/>
      <c r="L436" s="850"/>
      <c r="M436" s="850"/>
      <c r="N436" s="850"/>
      <c r="O436" s="850"/>
      <c r="P436" s="850"/>
      <c r="Q436" s="850"/>
      <c r="R436" s="850"/>
      <c r="S436" s="850"/>
    </row>
    <row r="437" spans="1:19">
      <c r="A437" s="850" t="s">
        <v>2585</v>
      </c>
      <c r="B437" s="850" t="s">
        <v>676</v>
      </c>
      <c r="C437" s="576" t="s">
        <v>2586</v>
      </c>
      <c r="D437" s="850"/>
      <c r="E437" s="859" t="s">
        <v>2826</v>
      </c>
      <c r="F437" s="990">
        <v>0</v>
      </c>
      <c r="G437" s="990">
        <v>0</v>
      </c>
      <c r="H437" s="990">
        <f>'A2.PL'!G28</f>
        <v>1806302117</v>
      </c>
      <c r="I437" s="990">
        <f>SUM(F437:H437)</f>
        <v>1806302117</v>
      </c>
      <c r="J437" s="850"/>
      <c r="K437" s="850"/>
      <c r="L437" s="850"/>
      <c r="M437" s="850"/>
      <c r="N437" s="850"/>
      <c r="O437" s="850"/>
      <c r="P437" s="850"/>
      <c r="Q437" s="850"/>
      <c r="R437" s="850"/>
      <c r="S437" s="850"/>
    </row>
    <row r="438" spans="1:19" ht="13.5" thickBot="1">
      <c r="A438" s="850" t="s">
        <v>2585</v>
      </c>
      <c r="B438" s="850" t="s">
        <v>676</v>
      </c>
      <c r="C438" s="576" t="s">
        <v>2586</v>
      </c>
      <c r="D438" s="850"/>
      <c r="E438" s="1" t="s">
        <v>2828</v>
      </c>
      <c r="F438" s="1562">
        <f>SUM(F435:F437)</f>
        <v>134641110000</v>
      </c>
      <c r="G438" s="1562">
        <f>SUM(G435:G437)</f>
        <v>515310808868</v>
      </c>
      <c r="H438" s="1562">
        <f>SUM(H435:H437)</f>
        <v>-262281593082</v>
      </c>
      <c r="I438" s="1562">
        <f>SUM(I435:I437)</f>
        <v>387670325786</v>
      </c>
      <c r="J438" s="850"/>
      <c r="K438" s="850"/>
      <c r="L438" s="850"/>
      <c r="M438" s="850"/>
      <c r="N438" s="850"/>
      <c r="O438" s="850"/>
      <c r="P438" s="850"/>
      <c r="Q438" s="850"/>
      <c r="R438" s="850"/>
      <c r="S438" s="850"/>
    </row>
    <row r="439" spans="1:19" ht="13.5" thickTop="1">
      <c r="A439" s="850" t="s">
        <v>2585</v>
      </c>
      <c r="B439" s="850" t="s">
        <v>676</v>
      </c>
      <c r="C439" s="576" t="s">
        <v>2586</v>
      </c>
      <c r="D439" s="850"/>
      <c r="E439" s="850"/>
      <c r="F439" s="850"/>
      <c r="G439" s="850"/>
      <c r="H439" s="850"/>
      <c r="I439" s="850"/>
      <c r="J439" s="850"/>
      <c r="K439" s="850"/>
      <c r="L439" s="850"/>
      <c r="M439" s="850"/>
      <c r="N439" s="850"/>
      <c r="O439" s="850"/>
      <c r="P439" s="850"/>
      <c r="Q439" s="850"/>
      <c r="R439" s="850"/>
      <c r="S439" s="850"/>
    </row>
    <row r="440" spans="1:19">
      <c r="A440" s="850" t="s">
        <v>2585</v>
      </c>
      <c r="B440" s="850" t="s">
        <v>676</v>
      </c>
      <c r="C440" s="576" t="s">
        <v>2586</v>
      </c>
      <c r="D440" s="850"/>
      <c r="E440" s="1" t="s">
        <v>1970</v>
      </c>
      <c r="F440" s="857">
        <f>F433-'A1.BS'!L122</f>
        <v>0</v>
      </c>
      <c r="G440" s="857">
        <f>G433-'A1.BS'!L124</f>
        <v>0</v>
      </c>
      <c r="H440" s="857"/>
      <c r="I440" s="857"/>
      <c r="J440" s="850"/>
      <c r="K440" s="850"/>
      <c r="L440" s="850"/>
      <c r="M440" s="850"/>
      <c r="N440" s="850"/>
      <c r="O440" s="850"/>
      <c r="P440" s="850"/>
      <c r="Q440" s="850"/>
      <c r="R440" s="850"/>
      <c r="S440" s="850"/>
    </row>
    <row r="441" spans="1:19">
      <c r="A441" s="850" t="s">
        <v>2585</v>
      </c>
      <c r="B441" s="850" t="s">
        <v>676</v>
      </c>
      <c r="C441" s="576" t="s">
        <v>2586</v>
      </c>
      <c r="D441" s="850"/>
      <c r="E441" s="1" t="s">
        <v>1970</v>
      </c>
      <c r="F441" s="857">
        <f>F438-'A1.BS'!G122</f>
        <v>0</v>
      </c>
      <c r="G441" s="857">
        <f>G438-'A1.BS'!G124</f>
        <v>0</v>
      </c>
      <c r="H441" s="857">
        <f>H438-'A1.BS'!G133</f>
        <v>0</v>
      </c>
      <c r="I441" s="857">
        <f>I438-'A1.BS'!G120</f>
        <v>0</v>
      </c>
      <c r="J441" s="850"/>
      <c r="K441" s="850"/>
      <c r="L441" s="850"/>
      <c r="M441" s="850"/>
      <c r="N441" s="850"/>
      <c r="O441" s="850"/>
      <c r="P441" s="850"/>
      <c r="Q441" s="850"/>
      <c r="R441" s="850"/>
      <c r="S441" s="850"/>
    </row>
    <row r="442" spans="1:19">
      <c r="A442" s="850" t="s">
        <v>2585</v>
      </c>
      <c r="B442" s="850" t="s">
        <v>676</v>
      </c>
      <c r="C442" s="576" t="s">
        <v>2586</v>
      </c>
      <c r="D442" s="850"/>
      <c r="E442" s="850"/>
      <c r="F442" s="850"/>
      <c r="G442" s="850"/>
      <c r="H442" s="850"/>
      <c r="I442" s="850"/>
      <c r="J442" s="850"/>
      <c r="K442" s="850"/>
      <c r="L442" s="850"/>
      <c r="M442" s="850"/>
      <c r="N442" s="850"/>
      <c r="O442" s="850"/>
      <c r="P442" s="850"/>
      <c r="Q442" s="850"/>
      <c r="R442" s="850"/>
      <c r="S442" s="850"/>
    </row>
    <row r="443" spans="1:19">
      <c r="A443" s="172"/>
      <c r="B443" s="172" t="s">
        <v>676</v>
      </c>
      <c r="C443" s="172" t="s">
        <v>681</v>
      </c>
      <c r="D443" s="172"/>
      <c r="E443" s="562" t="s">
        <v>3165</v>
      </c>
      <c r="F443" s="172"/>
      <c r="G443" s="172"/>
      <c r="H443" s="172"/>
      <c r="I443" s="172"/>
      <c r="J443" s="172"/>
      <c r="K443" s="172"/>
      <c r="L443" s="172"/>
      <c r="M443" s="172"/>
      <c r="N443" s="172"/>
      <c r="O443" s="172"/>
      <c r="P443" s="172"/>
      <c r="Q443" s="172"/>
      <c r="R443" s="172"/>
      <c r="S443" s="172"/>
    </row>
    <row r="444" spans="1:19">
      <c r="A444" s="850" t="s">
        <v>2585</v>
      </c>
      <c r="B444" s="850" t="s">
        <v>676</v>
      </c>
      <c r="C444" s="576" t="s">
        <v>2586</v>
      </c>
      <c r="D444" s="850"/>
      <c r="E444" s="850"/>
      <c r="F444" s="850"/>
      <c r="G444" s="850"/>
      <c r="H444" s="850"/>
      <c r="I444" s="850"/>
      <c r="J444" s="850"/>
      <c r="K444" s="850"/>
      <c r="L444" s="850"/>
      <c r="M444" s="850"/>
      <c r="N444" s="850"/>
      <c r="O444" s="850"/>
      <c r="P444" s="850"/>
      <c r="Q444" s="850"/>
      <c r="R444" s="850"/>
      <c r="S444" s="850"/>
    </row>
    <row r="445" spans="1:19">
      <c r="A445" s="850" t="s">
        <v>2585</v>
      </c>
      <c r="B445" s="850" t="s">
        <v>676</v>
      </c>
      <c r="C445" s="576" t="s">
        <v>2586</v>
      </c>
      <c r="D445" s="850"/>
      <c r="E445" s="850"/>
      <c r="F445" s="171" t="s">
        <v>2830</v>
      </c>
      <c r="G445" s="171"/>
      <c r="H445" s="182">
        <v>45657</v>
      </c>
      <c r="I445" s="183"/>
      <c r="J445" s="850"/>
      <c r="K445" s="850"/>
      <c r="L445" s="850"/>
      <c r="M445" s="850"/>
      <c r="N445" s="850"/>
      <c r="O445" s="850"/>
      <c r="P445" s="850"/>
      <c r="Q445" s="850"/>
      <c r="R445" s="850"/>
      <c r="S445" s="850"/>
    </row>
    <row r="446" spans="1:19" ht="25.5">
      <c r="A446" s="850" t="s">
        <v>2585</v>
      </c>
      <c r="B446" s="850" t="s">
        <v>676</v>
      </c>
      <c r="C446" s="576" t="s">
        <v>2586</v>
      </c>
      <c r="D446" s="850"/>
      <c r="E446" s="850"/>
      <c r="F446" s="152" t="s">
        <v>2819</v>
      </c>
      <c r="G446" s="192" t="s">
        <v>2831</v>
      </c>
      <c r="H446" s="152" t="s">
        <v>2832</v>
      </c>
      <c r="I446" s="152" t="s">
        <v>2833</v>
      </c>
      <c r="J446" s="850"/>
      <c r="K446" s="850"/>
      <c r="L446" s="850"/>
      <c r="M446" s="850"/>
      <c r="N446" s="850"/>
      <c r="O446" s="850"/>
      <c r="P446" s="850"/>
      <c r="Q446" s="850"/>
      <c r="R446" s="850"/>
      <c r="S446" s="850"/>
    </row>
    <row r="447" spans="1:19">
      <c r="A447" s="850" t="s">
        <v>2585</v>
      </c>
      <c r="B447" s="850" t="s">
        <v>676</v>
      </c>
      <c r="C447" s="576" t="s">
        <v>2586</v>
      </c>
      <c r="D447" s="850"/>
      <c r="E447" s="850" t="s">
        <v>2834</v>
      </c>
      <c r="F447" s="990">
        <f>SUMIFS($G$455:$G$477,$N$455:$N$477,E447)</f>
        <v>70246430000</v>
      </c>
      <c r="G447" s="988">
        <f>F447/$F$449</f>
        <v>0.52173091858794096</v>
      </c>
      <c r="H447" s="994">
        <f>F447</f>
        <v>70246430000</v>
      </c>
      <c r="I447" s="990">
        <v>0</v>
      </c>
      <c r="J447" s="850"/>
      <c r="K447" s="850"/>
      <c r="L447" s="850"/>
      <c r="M447" s="850"/>
      <c r="N447" s="850"/>
      <c r="O447" s="850"/>
      <c r="P447" s="850"/>
      <c r="Q447" s="850"/>
      <c r="R447" s="850"/>
      <c r="S447" s="850"/>
    </row>
    <row r="448" spans="1:19">
      <c r="A448" s="850" t="s">
        <v>2585</v>
      </c>
      <c r="B448" s="850" t="s">
        <v>676</v>
      </c>
      <c r="C448" s="576" t="s">
        <v>2586</v>
      </c>
      <c r="D448" s="850"/>
      <c r="E448" s="850" t="s">
        <v>2835</v>
      </c>
      <c r="F448" s="990">
        <f>SUMIFS($G$455:$G$477,$N$455:$N$477,E448)</f>
        <v>64394680000</v>
      </c>
      <c r="G448" s="988">
        <f>F448/$F$449</f>
        <v>0.47826908141205904</v>
      </c>
      <c r="H448" s="994">
        <f>F448</f>
        <v>64394680000</v>
      </c>
      <c r="I448" s="990">
        <v>0</v>
      </c>
      <c r="J448" s="850"/>
      <c r="K448" s="850"/>
      <c r="L448" s="850"/>
      <c r="M448" s="850"/>
      <c r="N448" s="850"/>
      <c r="O448" s="850"/>
      <c r="P448" s="850"/>
      <c r="Q448" s="850"/>
      <c r="R448" s="850"/>
      <c r="S448" s="850"/>
    </row>
    <row r="449" spans="1:21" ht="13.5" thickBot="1">
      <c r="A449" s="850" t="s">
        <v>2585</v>
      </c>
      <c r="B449" s="850" t="s">
        <v>676</v>
      </c>
      <c r="C449" s="576" t="s">
        <v>2586</v>
      </c>
      <c r="D449" s="850"/>
      <c r="E449" s="850"/>
      <c r="F449" s="1562">
        <f>SUM(F447:F448)</f>
        <v>134641110000</v>
      </c>
      <c r="G449" s="1574">
        <f>SUM(G447:G448)</f>
        <v>1</v>
      </c>
      <c r="H449" s="1562">
        <f>SUM(H447:H448)</f>
        <v>134641110000</v>
      </c>
      <c r="I449" s="1562">
        <f>SUM(I447:I448)</f>
        <v>0</v>
      </c>
      <c r="J449" s="850"/>
      <c r="K449" s="850"/>
      <c r="L449" s="850"/>
      <c r="M449" s="850"/>
      <c r="N449" s="850"/>
      <c r="O449" s="850"/>
      <c r="P449" s="850"/>
      <c r="Q449" s="850"/>
      <c r="R449" s="850"/>
      <c r="S449" s="850"/>
      <c r="T449" s="850"/>
      <c r="U449" s="850"/>
    </row>
    <row r="450" spans="1:21" ht="13.5" thickTop="1">
      <c r="A450" s="850" t="s">
        <v>2585</v>
      </c>
      <c r="B450" s="850" t="s">
        <v>676</v>
      </c>
      <c r="C450" s="576" t="s">
        <v>2586</v>
      </c>
      <c r="D450" s="850"/>
      <c r="E450" s="850"/>
      <c r="F450" s="850"/>
      <c r="G450" s="850"/>
      <c r="H450" s="850"/>
      <c r="I450" s="850"/>
      <c r="J450" s="850"/>
      <c r="K450" s="850"/>
      <c r="L450" s="850"/>
      <c r="M450" s="850"/>
      <c r="N450" s="850"/>
      <c r="O450" s="850"/>
      <c r="P450" s="850"/>
      <c r="Q450" s="850"/>
      <c r="R450" s="850"/>
      <c r="S450" s="850"/>
      <c r="T450" s="850"/>
      <c r="U450" s="850"/>
    </row>
    <row r="451" spans="1:21">
      <c r="A451" s="850" t="s">
        <v>2585</v>
      </c>
      <c r="B451" s="850" t="s">
        <v>676</v>
      </c>
      <c r="C451" s="576" t="s">
        <v>2586</v>
      </c>
      <c r="D451" s="850"/>
      <c r="E451" s="1" t="s">
        <v>1970</v>
      </c>
      <c r="F451" s="857">
        <f>F449-F438</f>
        <v>0</v>
      </c>
      <c r="G451" s="850"/>
      <c r="H451" s="850"/>
      <c r="I451" s="850"/>
      <c r="J451" s="850"/>
      <c r="K451" s="850"/>
      <c r="L451" s="850"/>
      <c r="M451" s="850"/>
      <c r="N451" s="850"/>
      <c r="O451" s="850"/>
      <c r="P451" s="850"/>
      <c r="Q451" s="850"/>
      <c r="R451" s="850"/>
      <c r="S451" s="850"/>
      <c r="T451" s="850"/>
      <c r="U451" s="850"/>
    </row>
    <row r="452" spans="1:21">
      <c r="A452" s="850" t="s">
        <v>2585</v>
      </c>
      <c r="B452" s="850" t="s">
        <v>676</v>
      </c>
      <c r="C452" s="576" t="s">
        <v>2586</v>
      </c>
      <c r="D452" s="850"/>
      <c r="E452" s="850"/>
      <c r="F452" s="850"/>
      <c r="G452" s="850"/>
      <c r="H452" s="850"/>
      <c r="I452" s="850"/>
      <c r="J452" s="850"/>
      <c r="K452" s="850"/>
      <c r="L452" s="850"/>
      <c r="M452" s="850"/>
      <c r="N452" s="850"/>
      <c r="O452" s="850"/>
      <c r="P452" s="850"/>
      <c r="Q452" s="850"/>
      <c r="R452" s="850"/>
      <c r="S452" s="850"/>
      <c r="T452" s="850"/>
      <c r="U452" s="850"/>
    </row>
    <row r="453" spans="1:21">
      <c r="A453" s="850" t="s">
        <v>2585</v>
      </c>
      <c r="B453" s="850" t="s">
        <v>676</v>
      </c>
      <c r="C453" s="576" t="s">
        <v>2586</v>
      </c>
      <c r="D453" s="850"/>
      <c r="E453" s="850" t="s">
        <v>2836</v>
      </c>
      <c r="F453" s="182">
        <v>45657</v>
      </c>
      <c r="G453" s="183"/>
      <c r="H453" s="183"/>
      <c r="I453" s="185">
        <v>45291</v>
      </c>
      <c r="J453" s="186"/>
      <c r="K453" s="186"/>
      <c r="L453" s="850"/>
      <c r="M453" s="850"/>
      <c r="N453" s="850"/>
      <c r="O453" s="850"/>
      <c r="P453" s="182">
        <v>44561</v>
      </c>
      <c r="Q453" s="183"/>
      <c r="R453" s="183"/>
      <c r="S453" s="850"/>
      <c r="T453" s="850"/>
      <c r="U453" s="850"/>
    </row>
    <row r="454" spans="1:21" ht="25.5">
      <c r="A454" s="850" t="s">
        <v>2585</v>
      </c>
      <c r="B454" s="850" t="s">
        <v>676</v>
      </c>
      <c r="C454" s="576" t="s">
        <v>2586</v>
      </c>
      <c r="D454" s="850"/>
      <c r="E454" s="171" t="s">
        <v>2837</v>
      </c>
      <c r="F454" s="152" t="s">
        <v>2838</v>
      </c>
      <c r="G454" s="152" t="s">
        <v>2839</v>
      </c>
      <c r="H454" s="152" t="s">
        <v>2840</v>
      </c>
      <c r="I454" s="190" t="s">
        <v>2838</v>
      </c>
      <c r="J454" s="190" t="s">
        <v>2839</v>
      </c>
      <c r="K454" s="190" t="s">
        <v>2840</v>
      </c>
      <c r="L454" s="193" t="s">
        <v>2841</v>
      </c>
      <c r="M454" s="193" t="s">
        <v>2842</v>
      </c>
      <c r="N454" s="193" t="s">
        <v>777</v>
      </c>
      <c r="O454" s="850"/>
      <c r="P454" s="152" t="s">
        <v>2838</v>
      </c>
      <c r="Q454" s="152" t="s">
        <v>2839</v>
      </c>
      <c r="R454" s="152" t="s">
        <v>2840</v>
      </c>
      <c r="S454" s="850"/>
      <c r="T454" s="850">
        <v>2023</v>
      </c>
      <c r="U454" s="850">
        <v>2022</v>
      </c>
    </row>
    <row r="455" spans="1:21">
      <c r="A455" s="850" t="s">
        <v>2585</v>
      </c>
      <c r="B455" s="850" t="s">
        <v>676</v>
      </c>
      <c r="C455" s="576" t="s">
        <v>2586</v>
      </c>
      <c r="D455" s="850" t="s">
        <v>622</v>
      </c>
      <c r="E455" s="850" t="s">
        <v>622</v>
      </c>
      <c r="F455" s="990">
        <v>1660895</v>
      </c>
      <c r="G455" s="994">
        <f t="shared" ref="G455:G477" si="19">F455*10000</f>
        <v>16608950000</v>
      </c>
      <c r="H455" s="988">
        <f t="shared" ref="H455:H477" si="20">G455/$G$478</f>
        <v>0.12335719751567704</v>
      </c>
      <c r="I455" s="847">
        <v>1660895</v>
      </c>
      <c r="J455" s="998">
        <v>16608950000</v>
      </c>
      <c r="K455" s="1024">
        <f t="shared" ref="K455:K477" si="21">J455/$J$478</f>
        <v>0.12335719751567704</v>
      </c>
      <c r="L455" s="857">
        <f t="shared" ref="L455:L477" si="22">F455-I455</f>
        <v>0</v>
      </c>
      <c r="M455" s="857">
        <f t="shared" ref="M455:M477" si="23">G455-J455</f>
        <v>0</v>
      </c>
      <c r="N455" s="850" t="s">
        <v>2834</v>
      </c>
      <c r="O455" s="850"/>
      <c r="P455" s="848">
        <v>1660895</v>
      </c>
      <c r="Q455" s="848">
        <v>16608950000</v>
      </c>
      <c r="R455" s="1004">
        <v>0.16444504950495051</v>
      </c>
      <c r="S455" s="850"/>
      <c r="T455" s="857">
        <f>M455</f>
        <v>0</v>
      </c>
      <c r="U455" s="857">
        <f t="shared" ref="U455:U477" si="24">J455-Q455</f>
        <v>0</v>
      </c>
    </row>
    <row r="456" spans="1:21">
      <c r="A456" s="850" t="s">
        <v>2585</v>
      </c>
      <c r="B456" s="850" t="s">
        <v>676</v>
      </c>
      <c r="C456" s="576" t="s">
        <v>2586</v>
      </c>
      <c r="D456" s="850" t="s">
        <v>2843</v>
      </c>
      <c r="E456" s="850" t="s">
        <v>2843</v>
      </c>
      <c r="F456" s="990">
        <v>1448451</v>
      </c>
      <c r="G456" s="994">
        <f t="shared" si="19"/>
        <v>14484510000</v>
      </c>
      <c r="H456" s="988">
        <f t="shared" si="20"/>
        <v>0.10757865855383991</v>
      </c>
      <c r="I456" s="847">
        <v>1448451</v>
      </c>
      <c r="J456" s="998">
        <v>14484510000</v>
      </c>
      <c r="K456" s="1024">
        <f t="shared" si="21"/>
        <v>0.10757865855383991</v>
      </c>
      <c r="L456" s="857">
        <f t="shared" si="22"/>
        <v>0</v>
      </c>
      <c r="M456" s="857">
        <f t="shared" si="23"/>
        <v>0</v>
      </c>
      <c r="N456" s="850" t="s">
        <v>2834</v>
      </c>
      <c r="O456" s="850"/>
      <c r="P456" s="848">
        <v>1448451</v>
      </c>
      <c r="Q456" s="848">
        <v>14484510000</v>
      </c>
      <c r="R456" s="1004">
        <v>0.1434109900990099</v>
      </c>
      <c r="S456" s="850"/>
      <c r="T456" s="857">
        <f t="shared" ref="T456:T477" si="25">M456</f>
        <v>0</v>
      </c>
      <c r="U456" s="857">
        <f t="shared" si="24"/>
        <v>0</v>
      </c>
    </row>
    <row r="457" spans="1:21">
      <c r="A457" s="850" t="s">
        <v>2585</v>
      </c>
      <c r="B457" s="850" t="s">
        <v>676</v>
      </c>
      <c r="C457" s="576" t="s">
        <v>2586</v>
      </c>
      <c r="D457" s="850" t="s">
        <v>2844</v>
      </c>
      <c r="E457" s="850" t="s">
        <v>2844</v>
      </c>
      <c r="F457" s="990">
        <v>23620</v>
      </c>
      <c r="G457" s="994">
        <f t="shared" si="19"/>
        <v>236200000</v>
      </c>
      <c r="H457" s="988">
        <f t="shared" si="20"/>
        <v>1.7542933209626689E-3</v>
      </c>
      <c r="I457" s="847">
        <v>23620</v>
      </c>
      <c r="J457" s="998">
        <v>236200000</v>
      </c>
      <c r="K457" s="1024">
        <f t="shared" si="21"/>
        <v>1.7542933209626689E-3</v>
      </c>
      <c r="L457" s="857">
        <f t="shared" si="22"/>
        <v>0</v>
      </c>
      <c r="M457" s="857">
        <f t="shared" si="23"/>
        <v>0</v>
      </c>
      <c r="N457" s="850" t="s">
        <v>2834</v>
      </c>
      <c r="O457" s="850"/>
      <c r="P457" s="848">
        <v>1494746</v>
      </c>
      <c r="Q457" s="848">
        <v>14947460000</v>
      </c>
      <c r="R457" s="1004">
        <v>0.14799465346534654</v>
      </c>
      <c r="S457" s="850"/>
      <c r="T457" s="857">
        <f t="shared" si="25"/>
        <v>0</v>
      </c>
      <c r="U457" s="857">
        <f t="shared" si="24"/>
        <v>-14711260000</v>
      </c>
    </row>
    <row r="458" spans="1:21">
      <c r="A458" s="850" t="s">
        <v>2585</v>
      </c>
      <c r="B458" s="850" t="s">
        <v>676</v>
      </c>
      <c r="C458" s="576" t="s">
        <v>2586</v>
      </c>
      <c r="D458" s="850" t="s">
        <v>2845</v>
      </c>
      <c r="E458" s="850" t="s">
        <v>2845</v>
      </c>
      <c r="F458" s="990">
        <v>5887766</v>
      </c>
      <c r="G458" s="994">
        <f t="shared" si="19"/>
        <v>58877660000</v>
      </c>
      <c r="H458" s="988">
        <f t="shared" si="20"/>
        <v>0.43729333485144323</v>
      </c>
      <c r="I458" s="847">
        <v>5887766</v>
      </c>
      <c r="J458" s="998">
        <v>58877660000</v>
      </c>
      <c r="K458" s="1024">
        <f t="shared" si="21"/>
        <v>0.43729333485144323</v>
      </c>
      <c r="L458" s="857">
        <f t="shared" si="22"/>
        <v>0</v>
      </c>
      <c r="M458" s="857">
        <f t="shared" si="23"/>
        <v>0</v>
      </c>
      <c r="N458" s="850" t="s">
        <v>2835</v>
      </c>
      <c r="O458" s="850"/>
      <c r="P458" s="848">
        <v>4192085</v>
      </c>
      <c r="Q458" s="848">
        <v>41920850000</v>
      </c>
      <c r="R458" s="1004">
        <v>0.4150579207920792</v>
      </c>
      <c r="S458" s="850"/>
      <c r="T458" s="857">
        <f t="shared" si="25"/>
        <v>0</v>
      </c>
      <c r="U458" s="857">
        <f t="shared" si="24"/>
        <v>16956810000</v>
      </c>
    </row>
    <row r="459" spans="1:21">
      <c r="A459" s="850" t="s">
        <v>2585</v>
      </c>
      <c r="B459" s="850" t="s">
        <v>676</v>
      </c>
      <c r="C459" s="576" t="s">
        <v>2586</v>
      </c>
      <c r="D459" s="850" t="s">
        <v>2846</v>
      </c>
      <c r="E459" s="850" t="s">
        <v>2846</v>
      </c>
      <c r="F459" s="990">
        <v>22843</v>
      </c>
      <c r="G459" s="994">
        <f t="shared" si="19"/>
        <v>228430000</v>
      </c>
      <c r="H459" s="988">
        <f t="shared" si="20"/>
        <v>1.6965843493120341E-3</v>
      </c>
      <c r="I459" s="847">
        <v>22843</v>
      </c>
      <c r="J459" s="998">
        <v>228430000</v>
      </c>
      <c r="K459" s="1024">
        <f t="shared" si="21"/>
        <v>1.6965843493120341E-3</v>
      </c>
      <c r="L459" s="857">
        <f t="shared" si="22"/>
        <v>0</v>
      </c>
      <c r="M459" s="857">
        <f t="shared" si="23"/>
        <v>0</v>
      </c>
      <c r="N459" s="850" t="s">
        <v>2834</v>
      </c>
      <c r="O459" s="850"/>
      <c r="P459" s="848">
        <v>22843</v>
      </c>
      <c r="Q459" s="848">
        <v>228430000</v>
      </c>
      <c r="R459" s="1004">
        <v>2.2616831683168318E-3</v>
      </c>
      <c r="S459" s="850"/>
      <c r="T459" s="857">
        <f t="shared" si="25"/>
        <v>0</v>
      </c>
      <c r="U459" s="857">
        <f t="shared" si="24"/>
        <v>0</v>
      </c>
    </row>
    <row r="460" spans="1:21">
      <c r="A460" s="850" t="s">
        <v>2585</v>
      </c>
      <c r="B460" s="850" t="s">
        <v>676</v>
      </c>
      <c r="C460" s="576" t="s">
        <v>2586</v>
      </c>
      <c r="D460" s="850" t="s">
        <v>2847</v>
      </c>
      <c r="E460" s="850" t="s">
        <v>2847</v>
      </c>
      <c r="F460" s="990">
        <v>22843</v>
      </c>
      <c r="G460" s="994">
        <f t="shared" si="19"/>
        <v>228430000</v>
      </c>
      <c r="H460" s="988">
        <f t="shared" si="20"/>
        <v>1.6965843493120341E-3</v>
      </c>
      <c r="I460" s="847">
        <v>22843</v>
      </c>
      <c r="J460" s="998">
        <v>228430000</v>
      </c>
      <c r="K460" s="1024">
        <f t="shared" si="21"/>
        <v>1.6965843493120341E-3</v>
      </c>
      <c r="L460" s="857">
        <f t="shared" si="22"/>
        <v>0</v>
      </c>
      <c r="M460" s="857">
        <f t="shared" si="23"/>
        <v>0</v>
      </c>
      <c r="N460" s="850" t="s">
        <v>2834</v>
      </c>
      <c r="O460" s="850"/>
      <c r="P460" s="848">
        <v>22843</v>
      </c>
      <c r="Q460" s="848">
        <v>228430000</v>
      </c>
      <c r="R460" s="1004">
        <v>2.2616831683168318E-3</v>
      </c>
      <c r="S460" s="850"/>
      <c r="T460" s="857">
        <f t="shared" si="25"/>
        <v>0</v>
      </c>
      <c r="U460" s="857">
        <f t="shared" si="24"/>
        <v>0</v>
      </c>
    </row>
    <row r="461" spans="1:21">
      <c r="A461" s="850" t="s">
        <v>2585</v>
      </c>
      <c r="B461" s="850" t="s">
        <v>676</v>
      </c>
      <c r="C461" s="576" t="s">
        <v>2586</v>
      </c>
      <c r="D461" s="850" t="s">
        <v>2848</v>
      </c>
      <c r="E461" s="850" t="s">
        <v>2848</v>
      </c>
      <c r="F461" s="990">
        <v>22843</v>
      </c>
      <c r="G461" s="994">
        <f t="shared" si="19"/>
        <v>228430000</v>
      </c>
      <c r="H461" s="988">
        <f t="shared" si="20"/>
        <v>1.6965843493120341E-3</v>
      </c>
      <c r="I461" s="847">
        <v>22843</v>
      </c>
      <c r="J461" s="998">
        <v>228430000</v>
      </c>
      <c r="K461" s="1024">
        <f t="shared" si="21"/>
        <v>1.6965843493120341E-3</v>
      </c>
      <c r="L461" s="857">
        <f t="shared" si="22"/>
        <v>0</v>
      </c>
      <c r="M461" s="857">
        <f t="shared" si="23"/>
        <v>0</v>
      </c>
      <c r="N461" s="850" t="s">
        <v>2834</v>
      </c>
      <c r="O461" s="850"/>
      <c r="P461" s="848">
        <v>22843</v>
      </c>
      <c r="Q461" s="848">
        <v>228430000</v>
      </c>
      <c r="R461" s="1004">
        <v>2.2616831683168318E-3</v>
      </c>
      <c r="S461" s="850"/>
      <c r="T461" s="857">
        <f t="shared" si="25"/>
        <v>0</v>
      </c>
      <c r="U461" s="857">
        <f t="shared" si="24"/>
        <v>0</v>
      </c>
    </row>
    <row r="462" spans="1:21">
      <c r="A462" s="850" t="s">
        <v>2585</v>
      </c>
      <c r="B462" s="850" t="s">
        <v>676</v>
      </c>
      <c r="C462" s="576" t="s">
        <v>2586</v>
      </c>
      <c r="D462" s="850" t="s">
        <v>2849</v>
      </c>
      <c r="E462" s="850" t="s">
        <v>2849</v>
      </c>
      <c r="F462" s="990">
        <v>22843</v>
      </c>
      <c r="G462" s="994">
        <f t="shared" si="19"/>
        <v>228430000</v>
      </c>
      <c r="H462" s="988">
        <f t="shared" si="20"/>
        <v>1.6965843493120341E-3</v>
      </c>
      <c r="I462" s="847">
        <v>22843</v>
      </c>
      <c r="J462" s="998">
        <v>228430000</v>
      </c>
      <c r="K462" s="1024">
        <f t="shared" si="21"/>
        <v>1.6965843493120341E-3</v>
      </c>
      <c r="L462" s="857">
        <f t="shared" si="22"/>
        <v>0</v>
      </c>
      <c r="M462" s="857">
        <f t="shared" si="23"/>
        <v>0</v>
      </c>
      <c r="N462" s="850" t="s">
        <v>2834</v>
      </c>
      <c r="O462" s="850"/>
      <c r="P462" s="848">
        <v>22843</v>
      </c>
      <c r="Q462" s="848">
        <v>228430000</v>
      </c>
      <c r="R462" s="1004">
        <v>2.2616831683168318E-3</v>
      </c>
      <c r="S462" s="850"/>
      <c r="T462" s="857">
        <f t="shared" si="25"/>
        <v>0</v>
      </c>
      <c r="U462" s="857">
        <f t="shared" si="24"/>
        <v>0</v>
      </c>
    </row>
    <row r="463" spans="1:21">
      <c r="A463" s="850" t="s">
        <v>2585</v>
      </c>
      <c r="B463" s="850" t="s">
        <v>676</v>
      </c>
      <c r="C463" s="576" t="s">
        <v>2586</v>
      </c>
      <c r="D463" s="850" t="s">
        <v>2850</v>
      </c>
      <c r="E463" s="850" t="s">
        <v>2850</v>
      </c>
      <c r="F463" s="990">
        <v>49478</v>
      </c>
      <c r="G463" s="994">
        <f t="shared" si="19"/>
        <v>494780000</v>
      </c>
      <c r="H463" s="988">
        <f t="shared" si="20"/>
        <v>3.6748063054441544E-3</v>
      </c>
      <c r="I463" s="847">
        <v>49478</v>
      </c>
      <c r="J463" s="998">
        <v>494780000</v>
      </c>
      <c r="K463" s="1024">
        <f t="shared" si="21"/>
        <v>3.6748063054441544E-3</v>
      </c>
      <c r="L463" s="857">
        <f t="shared" si="22"/>
        <v>0</v>
      </c>
      <c r="M463" s="857">
        <f t="shared" si="23"/>
        <v>0</v>
      </c>
      <c r="N463" s="850" t="s">
        <v>2834</v>
      </c>
      <c r="O463" s="850"/>
      <c r="P463" s="848">
        <v>49478</v>
      </c>
      <c r="Q463" s="848">
        <v>494780000</v>
      </c>
      <c r="R463" s="1004">
        <v>4.8988118811881184E-3</v>
      </c>
      <c r="S463" s="850"/>
      <c r="T463" s="857">
        <f t="shared" si="25"/>
        <v>0</v>
      </c>
      <c r="U463" s="857">
        <f t="shared" si="24"/>
        <v>0</v>
      </c>
    </row>
    <row r="464" spans="1:21">
      <c r="A464" s="850" t="s">
        <v>2585</v>
      </c>
      <c r="B464" s="850" t="s">
        <v>676</v>
      </c>
      <c r="C464" s="576" t="s">
        <v>2586</v>
      </c>
      <c r="D464" s="850" t="s">
        <v>2851</v>
      </c>
      <c r="E464" s="850" t="s">
        <v>2851</v>
      </c>
      <c r="F464" s="990">
        <v>231674</v>
      </c>
      <c r="G464" s="994">
        <f t="shared" si="19"/>
        <v>2316740000</v>
      </c>
      <c r="H464" s="988">
        <f t="shared" si="20"/>
        <v>1.7206780306549759E-2</v>
      </c>
      <c r="I464" s="847">
        <v>231674</v>
      </c>
      <c r="J464" s="998">
        <v>2316740000</v>
      </c>
      <c r="K464" s="1024">
        <f t="shared" si="21"/>
        <v>1.7206780306549759E-2</v>
      </c>
      <c r="L464" s="857">
        <f t="shared" si="22"/>
        <v>0</v>
      </c>
      <c r="M464" s="857">
        <f t="shared" si="23"/>
        <v>0</v>
      </c>
      <c r="N464" s="850" t="s">
        <v>2834</v>
      </c>
      <c r="O464" s="850"/>
      <c r="P464" s="848">
        <v>187518</v>
      </c>
      <c r="Q464" s="848">
        <v>1875180000</v>
      </c>
      <c r="R464" s="1004">
        <v>1.8566138613861385E-2</v>
      </c>
      <c r="S464" s="850"/>
      <c r="T464" s="857">
        <f t="shared" si="25"/>
        <v>0</v>
      </c>
      <c r="U464" s="857">
        <f t="shared" si="24"/>
        <v>441560000</v>
      </c>
    </row>
    <row r="465" spans="1:21">
      <c r="A465" s="850" t="s">
        <v>2585</v>
      </c>
      <c r="B465" s="850" t="s">
        <v>676</v>
      </c>
      <c r="C465" s="576" t="s">
        <v>2586</v>
      </c>
      <c r="D465" s="850" t="s">
        <v>626</v>
      </c>
      <c r="E465" s="850" t="s">
        <v>626</v>
      </c>
      <c r="F465" s="990">
        <v>89845</v>
      </c>
      <c r="G465" s="994">
        <f t="shared" si="19"/>
        <v>898450000</v>
      </c>
      <c r="H465" s="988">
        <f t="shared" si="20"/>
        <v>6.6729247850080857E-3</v>
      </c>
      <c r="I465" s="847">
        <v>89845</v>
      </c>
      <c r="J465" s="998">
        <v>898450000</v>
      </c>
      <c r="K465" s="1024">
        <f t="shared" si="21"/>
        <v>6.6729247850080857E-3</v>
      </c>
      <c r="L465" s="857">
        <f t="shared" si="22"/>
        <v>0</v>
      </c>
      <c r="M465" s="857">
        <f t="shared" si="23"/>
        <v>0</v>
      </c>
      <c r="N465" s="850" t="s">
        <v>2834</v>
      </c>
      <c r="O465" s="850"/>
      <c r="P465" s="848">
        <v>25862</v>
      </c>
      <c r="Q465" s="848">
        <v>258620000</v>
      </c>
      <c r="R465" s="1004">
        <v>2.5605940594059405E-3</v>
      </c>
      <c r="S465" s="850"/>
      <c r="T465" s="857">
        <f t="shared" si="25"/>
        <v>0</v>
      </c>
      <c r="U465" s="857">
        <f t="shared" si="24"/>
        <v>639830000</v>
      </c>
    </row>
    <row r="466" spans="1:21">
      <c r="A466" s="850" t="s">
        <v>2585</v>
      </c>
      <c r="B466" s="850" t="s">
        <v>676</v>
      </c>
      <c r="C466" s="576" t="s">
        <v>2586</v>
      </c>
      <c r="D466" s="850" t="s">
        <v>623</v>
      </c>
      <c r="E466" s="850" t="s">
        <v>623</v>
      </c>
      <c r="F466" s="990">
        <v>50662</v>
      </c>
      <c r="G466" s="994">
        <f t="shared" si="19"/>
        <v>506620000</v>
      </c>
      <c r="H466" s="988">
        <f t="shared" si="20"/>
        <v>3.7627437860546457E-3</v>
      </c>
      <c r="I466" s="847">
        <v>50662</v>
      </c>
      <c r="J466" s="998">
        <v>506620000</v>
      </c>
      <c r="K466" s="1024">
        <f t="shared" si="21"/>
        <v>3.7627437860546457E-3</v>
      </c>
      <c r="L466" s="857">
        <f t="shared" si="22"/>
        <v>0</v>
      </c>
      <c r="M466" s="857">
        <f t="shared" si="23"/>
        <v>0</v>
      </c>
      <c r="N466" s="850" t="s">
        <v>2834</v>
      </c>
      <c r="O466" s="850"/>
      <c r="P466" s="848">
        <v>8001</v>
      </c>
      <c r="Q466" s="848">
        <v>80010000</v>
      </c>
      <c r="R466" s="1004">
        <v>7.9217821782178214E-4</v>
      </c>
      <c r="S466" s="850"/>
      <c r="T466" s="857">
        <f t="shared" si="25"/>
        <v>0</v>
      </c>
      <c r="U466" s="857">
        <f t="shared" si="24"/>
        <v>426610000</v>
      </c>
    </row>
    <row r="467" spans="1:21">
      <c r="A467" s="850" t="s">
        <v>2585</v>
      </c>
      <c r="B467" s="850" t="s">
        <v>676</v>
      </c>
      <c r="C467" s="576" t="s">
        <v>2586</v>
      </c>
      <c r="D467" s="850" t="s">
        <v>2852</v>
      </c>
      <c r="E467" s="850" t="s">
        <v>2852</v>
      </c>
      <c r="F467" s="990">
        <v>39485</v>
      </c>
      <c r="G467" s="994">
        <f t="shared" si="19"/>
        <v>394850000</v>
      </c>
      <c r="H467" s="988">
        <f t="shared" si="20"/>
        <v>2.932610998230778E-3</v>
      </c>
      <c r="I467" s="847">
        <v>39485</v>
      </c>
      <c r="J467" s="998">
        <v>394850000</v>
      </c>
      <c r="K467" s="1024">
        <f t="shared" si="21"/>
        <v>2.932610998230778E-3</v>
      </c>
      <c r="L467" s="857">
        <f t="shared" si="22"/>
        <v>0</v>
      </c>
      <c r="M467" s="857">
        <f t="shared" si="23"/>
        <v>0</v>
      </c>
      <c r="N467" s="850" t="s">
        <v>2834</v>
      </c>
      <c r="O467" s="850"/>
      <c r="P467" s="848">
        <v>39485</v>
      </c>
      <c r="Q467" s="848">
        <v>394850000</v>
      </c>
      <c r="R467" s="1004">
        <v>3.9094059405940596E-3</v>
      </c>
      <c r="S467" s="850"/>
      <c r="T467" s="857">
        <f t="shared" si="25"/>
        <v>0</v>
      </c>
      <c r="U467" s="857">
        <f t="shared" si="24"/>
        <v>0</v>
      </c>
    </row>
    <row r="468" spans="1:21">
      <c r="A468" s="850" t="s">
        <v>2585</v>
      </c>
      <c r="B468" s="850" t="s">
        <v>676</v>
      </c>
      <c r="C468" s="576" t="s">
        <v>2586</v>
      </c>
      <c r="D468" s="850" t="s">
        <v>2853</v>
      </c>
      <c r="E468" s="850" t="s">
        <v>2853</v>
      </c>
      <c r="F468" s="990">
        <v>551702</v>
      </c>
      <c r="G468" s="994">
        <f t="shared" si="19"/>
        <v>5517020000</v>
      </c>
      <c r="H468" s="988">
        <f t="shared" si="20"/>
        <v>4.0975746560615846E-2</v>
      </c>
      <c r="I468" s="847">
        <v>551702</v>
      </c>
      <c r="J468" s="998">
        <v>5517020000</v>
      </c>
      <c r="K468" s="1024">
        <f t="shared" si="21"/>
        <v>4.0975746560615846E-2</v>
      </c>
      <c r="L468" s="857">
        <f t="shared" si="22"/>
        <v>0</v>
      </c>
      <c r="M468" s="857">
        <f t="shared" si="23"/>
        <v>0</v>
      </c>
      <c r="N468" s="850" t="s">
        <v>2835</v>
      </c>
      <c r="O468" s="850"/>
      <c r="P468" s="848">
        <v>446554</v>
      </c>
      <c r="Q468" s="848">
        <v>4465540000</v>
      </c>
      <c r="R468" s="1004">
        <v>4.4213267326732676E-2</v>
      </c>
      <c r="S468" s="850"/>
      <c r="T468" s="857">
        <f t="shared" si="25"/>
        <v>0</v>
      </c>
      <c r="U468" s="857">
        <f t="shared" si="24"/>
        <v>1051480000</v>
      </c>
    </row>
    <row r="469" spans="1:21">
      <c r="A469" s="850" t="s">
        <v>2585</v>
      </c>
      <c r="B469" s="850" t="s">
        <v>676</v>
      </c>
      <c r="C469" s="576" t="s">
        <v>2586</v>
      </c>
      <c r="D469" s="850" t="s">
        <v>2854</v>
      </c>
      <c r="E469" s="850" t="s">
        <v>2854</v>
      </c>
      <c r="F469" s="990">
        <v>27751</v>
      </c>
      <c r="G469" s="994">
        <f t="shared" si="19"/>
        <v>277510000</v>
      </c>
      <c r="H469" s="988">
        <f t="shared" si="20"/>
        <v>2.061108973329171E-3</v>
      </c>
      <c r="I469" s="847">
        <v>27751</v>
      </c>
      <c r="J469" s="998">
        <v>277510000</v>
      </c>
      <c r="K469" s="1024">
        <f t="shared" si="21"/>
        <v>2.061108973329171E-3</v>
      </c>
      <c r="L469" s="857">
        <f t="shared" si="22"/>
        <v>0</v>
      </c>
      <c r="M469" s="857">
        <f t="shared" si="23"/>
        <v>0</v>
      </c>
      <c r="N469" s="850" t="s">
        <v>2834</v>
      </c>
      <c r="O469" s="850"/>
      <c r="P469" s="848">
        <v>27751</v>
      </c>
      <c r="Q469" s="848">
        <v>277510000</v>
      </c>
      <c r="R469" s="1004">
        <v>2.7476237623762375E-3</v>
      </c>
      <c r="S469" s="850"/>
      <c r="T469" s="857">
        <f t="shared" si="25"/>
        <v>0</v>
      </c>
      <c r="U469" s="857">
        <f t="shared" si="24"/>
        <v>0</v>
      </c>
    </row>
    <row r="470" spans="1:21">
      <c r="A470" s="850" t="s">
        <v>2585</v>
      </c>
      <c r="B470" s="850" t="s">
        <v>676</v>
      </c>
      <c r="C470" s="576" t="s">
        <v>2586</v>
      </c>
      <c r="D470" s="850" t="s">
        <v>2855</v>
      </c>
      <c r="E470" s="850" t="s">
        <v>2855</v>
      </c>
      <c r="F470" s="990">
        <v>164136</v>
      </c>
      <c r="G470" s="994">
        <f t="shared" si="19"/>
        <v>1641360000</v>
      </c>
      <c r="H470" s="988">
        <f t="shared" si="20"/>
        <v>1.2190630335712473E-2</v>
      </c>
      <c r="I470" s="847">
        <v>569240</v>
      </c>
      <c r="J470" s="998">
        <v>5692400000</v>
      </c>
      <c r="K470" s="1024">
        <f t="shared" si="21"/>
        <v>4.2278320492158745E-2</v>
      </c>
      <c r="L470" s="857">
        <f t="shared" si="22"/>
        <v>-405104</v>
      </c>
      <c r="M470" s="857">
        <f t="shared" si="23"/>
        <v>-4051040000</v>
      </c>
      <c r="N470" s="850" t="s">
        <v>2834</v>
      </c>
      <c r="O470" s="850"/>
      <c r="P470" s="848">
        <v>427802</v>
      </c>
      <c r="Q470" s="848">
        <v>4278020000</v>
      </c>
      <c r="R470" s="1004">
        <v>4.2356633663366339E-2</v>
      </c>
      <c r="S470" s="850"/>
      <c r="T470" s="857">
        <f t="shared" si="25"/>
        <v>-4051040000</v>
      </c>
      <c r="U470" s="857">
        <f t="shared" si="24"/>
        <v>1414380000</v>
      </c>
    </row>
    <row r="471" spans="1:21">
      <c r="A471" s="850" t="s">
        <v>2585</v>
      </c>
      <c r="B471" s="850" t="s">
        <v>676</v>
      </c>
      <c r="C471" s="576" t="s">
        <v>2586</v>
      </c>
      <c r="D471" s="850" t="s">
        <v>2856</v>
      </c>
      <c r="E471" s="850" t="s">
        <v>2856</v>
      </c>
      <c r="F471" s="990">
        <v>564717</v>
      </c>
      <c r="G471" s="994">
        <f t="shared" si="19"/>
        <v>5647170000</v>
      </c>
      <c r="H471" s="988">
        <f t="shared" si="20"/>
        <v>4.1942390403644177E-2</v>
      </c>
      <c r="I471" s="847">
        <v>564717</v>
      </c>
      <c r="J471" s="998">
        <v>5647170000</v>
      </c>
      <c r="K471" s="1024">
        <f t="shared" si="21"/>
        <v>4.1942390403644177E-2</v>
      </c>
      <c r="L471" s="857">
        <f t="shared" si="22"/>
        <v>0</v>
      </c>
      <c r="M471" s="857">
        <f t="shared" si="23"/>
        <v>0</v>
      </c>
      <c r="N471" s="850" t="s">
        <v>2834</v>
      </c>
      <c r="O471" s="850"/>
      <c r="P471" s="850"/>
      <c r="Q471" s="850"/>
      <c r="R471" s="850"/>
      <c r="S471" s="850"/>
      <c r="T471" s="857">
        <f t="shared" si="25"/>
        <v>0</v>
      </c>
      <c r="U471" s="857">
        <f t="shared" si="24"/>
        <v>5647170000</v>
      </c>
    </row>
    <row r="472" spans="1:21">
      <c r="A472" s="850" t="s">
        <v>2585</v>
      </c>
      <c r="B472" s="850" t="s">
        <v>676</v>
      </c>
      <c r="C472" s="576" t="s">
        <v>2586</v>
      </c>
      <c r="D472" s="850" t="s">
        <v>3038</v>
      </c>
      <c r="E472" s="850" t="s">
        <v>2857</v>
      </c>
      <c r="F472" s="990">
        <v>0</v>
      </c>
      <c r="G472" s="994">
        <f t="shared" si="19"/>
        <v>0</v>
      </c>
      <c r="H472" s="988">
        <f t="shared" si="20"/>
        <v>0</v>
      </c>
      <c r="I472" s="847">
        <v>1823100</v>
      </c>
      <c r="J472" s="998">
        <v>18231000000</v>
      </c>
      <c r="K472" s="1024">
        <f t="shared" si="21"/>
        <v>0.13540440954475197</v>
      </c>
      <c r="L472" s="857">
        <f t="shared" si="22"/>
        <v>-1823100</v>
      </c>
      <c r="M472" s="857">
        <f t="shared" si="23"/>
        <v>-18231000000</v>
      </c>
      <c r="N472" s="850" t="s">
        <v>2834</v>
      </c>
      <c r="O472" s="850"/>
      <c r="P472" s="850"/>
      <c r="Q472" s="850"/>
      <c r="R472" s="850"/>
      <c r="S472" s="850"/>
      <c r="T472" s="857">
        <f t="shared" si="25"/>
        <v>-18231000000</v>
      </c>
      <c r="U472" s="857">
        <f t="shared" si="24"/>
        <v>18231000000</v>
      </c>
    </row>
    <row r="473" spans="1:21">
      <c r="A473" s="850" t="s">
        <v>2585</v>
      </c>
      <c r="B473" s="850" t="s">
        <v>676</v>
      </c>
      <c r="C473" s="576" t="s">
        <v>2586</v>
      </c>
      <c r="D473" s="850" t="s">
        <v>2859</v>
      </c>
      <c r="E473" s="850" t="s">
        <v>2859</v>
      </c>
      <c r="F473" s="990">
        <v>1999</v>
      </c>
      <c r="G473" s="994">
        <f t="shared" si="19"/>
        <v>19990000</v>
      </c>
      <c r="H473" s="988">
        <f t="shared" si="20"/>
        <v>1.4846877005098962E-4</v>
      </c>
      <c r="I473" s="847">
        <v>1999</v>
      </c>
      <c r="J473" s="998">
        <v>19990000</v>
      </c>
      <c r="K473" s="1024">
        <f t="shared" si="21"/>
        <v>1.4846877005098962E-4</v>
      </c>
      <c r="L473" s="857">
        <f t="shared" si="22"/>
        <v>0</v>
      </c>
      <c r="M473" s="857">
        <f t="shared" si="23"/>
        <v>0</v>
      </c>
      <c r="N473" s="850" t="s">
        <v>2834</v>
      </c>
      <c r="O473" s="850"/>
      <c r="P473" s="850"/>
      <c r="Q473" s="850"/>
      <c r="R473" s="850"/>
      <c r="S473" s="850"/>
      <c r="T473" s="857">
        <f t="shared" si="25"/>
        <v>0</v>
      </c>
      <c r="U473" s="857">
        <f t="shared" si="24"/>
        <v>19990000</v>
      </c>
    </row>
    <row r="474" spans="1:21">
      <c r="A474" s="850" t="s">
        <v>2585</v>
      </c>
      <c r="B474" s="850" t="s">
        <v>676</v>
      </c>
      <c r="C474" s="576" t="s">
        <v>2586</v>
      </c>
      <c r="D474" s="850" t="s">
        <v>2860</v>
      </c>
      <c r="E474" s="850" t="s">
        <v>2860</v>
      </c>
      <c r="F474" s="990">
        <v>2999</v>
      </c>
      <c r="G474" s="994">
        <f t="shared" si="19"/>
        <v>29990000</v>
      </c>
      <c r="H474" s="988">
        <f t="shared" si="20"/>
        <v>2.2274029083687739E-4</v>
      </c>
      <c r="I474" s="847">
        <v>2999</v>
      </c>
      <c r="J474" s="998">
        <v>29990000</v>
      </c>
      <c r="K474" s="1024">
        <f t="shared" si="21"/>
        <v>2.2274029083687739E-4</v>
      </c>
      <c r="L474" s="857">
        <f t="shared" si="22"/>
        <v>0</v>
      </c>
      <c r="M474" s="857">
        <f t="shared" si="23"/>
        <v>0</v>
      </c>
      <c r="N474" s="850" t="s">
        <v>2834</v>
      </c>
      <c r="O474" s="850"/>
      <c r="P474" s="850"/>
      <c r="Q474" s="850"/>
      <c r="R474" s="850"/>
      <c r="S474" s="850"/>
      <c r="T474" s="857">
        <f t="shared" si="25"/>
        <v>0</v>
      </c>
      <c r="U474" s="857">
        <f t="shared" si="24"/>
        <v>29990000</v>
      </c>
    </row>
    <row r="475" spans="1:21">
      <c r="A475" s="850" t="s">
        <v>2585</v>
      </c>
      <c r="B475" s="850" t="s">
        <v>676</v>
      </c>
      <c r="C475" s="576" t="s">
        <v>2586</v>
      </c>
      <c r="D475" s="850" t="s">
        <v>3166</v>
      </c>
      <c r="E475" s="850" t="s">
        <v>2861</v>
      </c>
      <c r="F475" s="990">
        <v>264749</v>
      </c>
      <c r="G475" s="994">
        <f t="shared" si="19"/>
        <v>2647490000</v>
      </c>
      <c r="H475" s="988">
        <f t="shared" si="20"/>
        <v>1.9663310856543E-2</v>
      </c>
      <c r="I475" s="847">
        <v>264749</v>
      </c>
      <c r="J475" s="998">
        <v>2647490000</v>
      </c>
      <c r="K475" s="1024">
        <f t="shared" si="21"/>
        <v>1.9663310856543E-2</v>
      </c>
      <c r="L475" s="857">
        <f t="shared" si="22"/>
        <v>0</v>
      </c>
      <c r="M475" s="857">
        <f t="shared" si="23"/>
        <v>0</v>
      </c>
      <c r="N475" s="850" t="s">
        <v>2834</v>
      </c>
      <c r="O475" s="850"/>
      <c r="P475" s="850"/>
      <c r="Q475" s="850"/>
      <c r="R475" s="850"/>
      <c r="S475" s="850"/>
      <c r="T475" s="857">
        <f t="shared" si="25"/>
        <v>0</v>
      </c>
      <c r="U475" s="857">
        <f t="shared" si="24"/>
        <v>2647490000</v>
      </c>
    </row>
    <row r="476" spans="1:21">
      <c r="A476" s="850" t="s">
        <v>2585</v>
      </c>
      <c r="B476" s="850" t="s">
        <v>676</v>
      </c>
      <c r="C476" s="576" t="s">
        <v>2586</v>
      </c>
      <c r="D476" s="850" t="s">
        <v>2862</v>
      </c>
      <c r="E476" s="850" t="s">
        <v>2862</v>
      </c>
      <c r="F476" s="990">
        <v>76312</v>
      </c>
      <c r="G476" s="994">
        <f t="shared" si="19"/>
        <v>763120000</v>
      </c>
      <c r="H476" s="988">
        <f t="shared" si="20"/>
        <v>5.6678082942126663E-3</v>
      </c>
      <c r="I476" s="847">
        <v>76312</v>
      </c>
      <c r="J476" s="998">
        <v>763120000</v>
      </c>
      <c r="K476" s="1024">
        <f t="shared" si="21"/>
        <v>5.6678082942126663E-3</v>
      </c>
      <c r="L476" s="857">
        <f t="shared" si="22"/>
        <v>0</v>
      </c>
      <c r="M476" s="857">
        <f t="shared" si="23"/>
        <v>0</v>
      </c>
      <c r="N476" s="850" t="s">
        <v>2834</v>
      </c>
      <c r="O476" s="850"/>
      <c r="P476" s="850"/>
      <c r="Q476" s="850"/>
      <c r="R476" s="850"/>
      <c r="S476" s="850"/>
      <c r="T476" s="857">
        <f t="shared" si="25"/>
        <v>0</v>
      </c>
      <c r="U476" s="857">
        <f t="shared" si="24"/>
        <v>763120000</v>
      </c>
    </row>
    <row r="477" spans="1:21">
      <c r="A477" s="850" t="s">
        <v>2585</v>
      </c>
      <c r="B477" s="850" t="s">
        <v>676</v>
      </c>
      <c r="C477" s="576" t="s">
        <v>2586</v>
      </c>
      <c r="D477" s="850" t="s">
        <v>3167</v>
      </c>
      <c r="E477" s="850" t="s">
        <v>2863</v>
      </c>
      <c r="F477" s="990">
        <v>2236498</v>
      </c>
      <c r="G477" s="994">
        <f t="shared" si="19"/>
        <v>22364980000</v>
      </c>
      <c r="H477" s="988">
        <f t="shared" si="20"/>
        <v>0.16610810769459639</v>
      </c>
      <c r="I477" s="847">
        <v>8294</v>
      </c>
      <c r="J477" s="998">
        <v>82940000</v>
      </c>
      <c r="K477" s="1024">
        <f t="shared" si="21"/>
        <v>6.1600799339815303E-4</v>
      </c>
      <c r="L477" s="857">
        <f t="shared" si="22"/>
        <v>2228204</v>
      </c>
      <c r="M477" s="857">
        <f t="shared" si="23"/>
        <v>22282040000</v>
      </c>
      <c r="N477" s="850" t="s">
        <v>2834</v>
      </c>
      <c r="O477" s="850"/>
      <c r="P477" s="850"/>
      <c r="Q477" s="850"/>
      <c r="R477" s="850"/>
      <c r="S477" s="850"/>
      <c r="T477" s="857">
        <f t="shared" si="25"/>
        <v>22282040000</v>
      </c>
      <c r="U477" s="857">
        <f t="shared" si="24"/>
        <v>82940000</v>
      </c>
    </row>
    <row r="478" spans="1:21" ht="13.5" thickBot="1">
      <c r="A478" s="850" t="s">
        <v>2585</v>
      </c>
      <c r="B478" s="850" t="s">
        <v>676</v>
      </c>
      <c r="C478" s="576" t="s">
        <v>2586</v>
      </c>
      <c r="D478" s="850"/>
      <c r="E478" s="850"/>
      <c r="F478" s="1559">
        <f t="shared" ref="F478:M478" si="26">SUM(F455:F477)</f>
        <v>13464111</v>
      </c>
      <c r="G478" s="1559">
        <f t="shared" si="26"/>
        <v>134641110000</v>
      </c>
      <c r="H478" s="1574">
        <f t="shared" si="26"/>
        <v>1.0000000000000004</v>
      </c>
      <c r="I478" s="1561">
        <f t="shared" si="26"/>
        <v>13464111</v>
      </c>
      <c r="J478" s="1561">
        <f t="shared" si="26"/>
        <v>134641110000</v>
      </c>
      <c r="K478" s="1575">
        <f t="shared" si="26"/>
        <v>1.0000000000000004</v>
      </c>
      <c r="L478" s="1528">
        <f t="shared" si="26"/>
        <v>0</v>
      </c>
      <c r="M478" s="1528">
        <f t="shared" si="26"/>
        <v>0</v>
      </c>
      <c r="N478" s="850"/>
      <c r="O478" s="850"/>
      <c r="P478" s="850"/>
      <c r="Q478" s="850"/>
      <c r="R478" s="850"/>
      <c r="S478" s="850"/>
      <c r="T478" s="850"/>
      <c r="U478" s="850"/>
    </row>
    <row r="479" spans="1:21" ht="13.5" thickTop="1">
      <c r="A479" s="850" t="s">
        <v>2585</v>
      </c>
      <c r="B479" s="850" t="s">
        <v>676</v>
      </c>
      <c r="C479" s="576" t="s">
        <v>2586</v>
      </c>
      <c r="D479" s="850"/>
      <c r="E479" s="850"/>
      <c r="F479" s="850"/>
      <c r="G479" s="850"/>
      <c r="H479" s="850"/>
      <c r="I479" s="850"/>
      <c r="J479" s="850"/>
      <c r="K479" s="850"/>
      <c r="L479" s="850"/>
      <c r="M479" s="850"/>
      <c r="N479" s="850"/>
      <c r="O479" s="850"/>
      <c r="P479" s="850"/>
      <c r="Q479" s="850"/>
      <c r="R479" s="850"/>
      <c r="S479" s="850"/>
      <c r="T479" s="850"/>
      <c r="U479" s="850"/>
    </row>
    <row r="480" spans="1:21">
      <c r="A480" s="172"/>
      <c r="B480" s="172" t="s">
        <v>3168</v>
      </c>
      <c r="C480" s="172" t="s">
        <v>681</v>
      </c>
      <c r="D480" s="172"/>
      <c r="E480" s="562" t="s">
        <v>3169</v>
      </c>
      <c r="F480" s="172"/>
      <c r="G480" s="172"/>
      <c r="H480" s="172"/>
      <c r="I480" s="172"/>
      <c r="J480" s="172"/>
      <c r="K480" s="172"/>
      <c r="L480" s="172"/>
      <c r="M480" s="172"/>
      <c r="N480" s="172"/>
      <c r="O480" s="172"/>
      <c r="P480" s="172"/>
      <c r="Q480" s="172"/>
      <c r="R480" s="172"/>
      <c r="S480" s="172"/>
      <c r="T480" s="850"/>
      <c r="U480" s="850"/>
    </row>
    <row r="481" spans="1:21">
      <c r="A481" s="850"/>
      <c r="B481" s="850"/>
      <c r="C481" s="850"/>
      <c r="D481" s="850"/>
      <c r="E481" s="850"/>
      <c r="F481" s="850"/>
      <c r="G481" s="850"/>
      <c r="H481" s="850"/>
      <c r="I481" s="850"/>
      <c r="J481" s="850"/>
      <c r="K481" s="850"/>
      <c r="L481" s="850"/>
      <c r="M481" s="850"/>
      <c r="N481" s="850"/>
      <c r="O481" s="850"/>
      <c r="P481" s="850"/>
      <c r="Q481" s="850"/>
      <c r="R481" s="850"/>
      <c r="S481" s="850"/>
      <c r="T481" s="850"/>
      <c r="U481" s="850"/>
    </row>
    <row r="482" spans="1:21">
      <c r="A482" s="172"/>
      <c r="B482" s="172" t="s">
        <v>2227</v>
      </c>
      <c r="C482" s="172" t="s">
        <v>681</v>
      </c>
      <c r="D482" s="172"/>
      <c r="E482" s="562" t="s">
        <v>3170</v>
      </c>
      <c r="F482" s="172"/>
      <c r="G482" s="172"/>
      <c r="H482" s="172"/>
      <c r="I482" s="172"/>
      <c r="J482" s="172"/>
      <c r="K482" s="172"/>
      <c r="L482" s="172"/>
      <c r="M482" s="172"/>
      <c r="N482" s="172"/>
      <c r="O482" s="172"/>
      <c r="P482" s="172"/>
      <c r="Q482" s="172"/>
      <c r="R482" s="172"/>
      <c r="S482" s="172"/>
      <c r="T482" s="850"/>
      <c r="U482" s="850"/>
    </row>
    <row r="483" spans="1:21">
      <c r="A483" s="850" t="s">
        <v>2602</v>
      </c>
      <c r="B483" s="850" t="s">
        <v>2227</v>
      </c>
      <c r="C483" s="576" t="s">
        <v>2586</v>
      </c>
      <c r="D483" s="850"/>
      <c r="E483" s="850"/>
      <c r="F483" s="850"/>
      <c r="G483" s="850"/>
      <c r="H483" s="850"/>
      <c r="I483" s="850"/>
      <c r="J483" s="850"/>
      <c r="K483" s="850"/>
      <c r="L483" s="850"/>
      <c r="M483" s="850"/>
      <c r="N483" s="850"/>
      <c r="O483" s="850"/>
      <c r="P483" s="850"/>
      <c r="Q483" s="850"/>
      <c r="R483" s="850"/>
      <c r="S483" s="850"/>
      <c r="T483" s="850"/>
      <c r="U483" s="850"/>
    </row>
    <row r="484" spans="1:21" ht="25.5">
      <c r="A484" s="850" t="s">
        <v>2602</v>
      </c>
      <c r="B484" s="850" t="s">
        <v>2227</v>
      </c>
      <c r="C484" s="576" t="s">
        <v>2586</v>
      </c>
      <c r="D484" s="850"/>
      <c r="E484" s="850"/>
      <c r="F484" s="173" t="s">
        <v>2867</v>
      </c>
      <c r="G484" s="174" t="s">
        <v>2868</v>
      </c>
      <c r="H484" s="850"/>
      <c r="I484" s="850"/>
      <c r="J484" s="850"/>
      <c r="K484" s="850"/>
      <c r="L484" s="850"/>
      <c r="M484" s="850"/>
      <c r="N484" s="850"/>
      <c r="O484" s="850"/>
      <c r="P484" s="850"/>
      <c r="Q484" s="850"/>
      <c r="R484" s="850"/>
      <c r="S484" s="850"/>
      <c r="T484" s="850"/>
      <c r="U484" s="850"/>
    </row>
    <row r="485" spans="1:21" ht="25.5">
      <c r="A485" s="850" t="s">
        <v>2602</v>
      </c>
      <c r="B485" s="850" t="s">
        <v>2227</v>
      </c>
      <c r="C485" s="576" t="s">
        <v>2586</v>
      </c>
      <c r="D485" s="850" t="s">
        <v>2389</v>
      </c>
      <c r="E485" s="1003" t="s">
        <v>2870</v>
      </c>
      <c r="F485" s="990">
        <f>-ROUND(SUMIFS('A0.LS'!L:L,'A0.LS'!D:D,'A4.N2FS Singles'!D485),0)</f>
        <v>1918631822</v>
      </c>
      <c r="G485" s="847">
        <f>-ROUND(SUMIFS('A0.LS'!Q:Q,'A0.LS'!D:D,'A4.N2FS Singles'!D485),0)</f>
        <v>4123700943</v>
      </c>
      <c r="H485" s="850"/>
      <c r="I485" s="1004">
        <f t="shared" ref="I485:I493" si="27">F485/$F$495</f>
        <v>0.2019156998906996</v>
      </c>
      <c r="J485" s="848">
        <f t="shared" ref="J485:J492" si="28">ROUND(I485*$F$525,0)</f>
        <v>1304763749</v>
      </c>
      <c r="K485" s="1004">
        <f t="shared" ref="K485:K493" si="29">G485/$G$495</f>
        <v>0.53725926493612575</v>
      </c>
      <c r="L485" s="848">
        <f t="shared" ref="L485:L493" si="30">ROUND(K485*$G$525,0)</f>
        <v>1387245454</v>
      </c>
      <c r="M485" s="857"/>
      <c r="N485" s="850"/>
      <c r="O485" s="850"/>
      <c r="P485" s="850"/>
      <c r="Q485" s="850"/>
      <c r="R485" s="850"/>
      <c r="S485" s="850"/>
      <c r="T485" s="850"/>
      <c r="U485" s="850"/>
    </row>
    <row r="486" spans="1:21" ht="25.5">
      <c r="A486" s="850" t="s">
        <v>2602</v>
      </c>
      <c r="B486" s="850" t="s">
        <v>2227</v>
      </c>
      <c r="C486" s="576" t="s">
        <v>2586</v>
      </c>
      <c r="D486" s="850" t="s">
        <v>2393</v>
      </c>
      <c r="E486" s="1003" t="s">
        <v>2871</v>
      </c>
      <c r="F486" s="990">
        <f>-ROUND(SUMIFS('A0.LS'!L:L,'A0.LS'!D:D,'A4.N2FS Singles'!D486),0)</f>
        <v>739523798</v>
      </c>
      <c r="G486" s="847">
        <f>-ROUND(SUMIFS('A0.LS'!Q:Q,'A0.LS'!D:D,'A4.N2FS Singles'!D486),0)</f>
        <v>1542894807</v>
      </c>
      <c r="H486" s="850"/>
      <c r="I486" s="1004">
        <f t="shared" si="27"/>
        <v>7.782705548130868E-2</v>
      </c>
      <c r="J486" s="848">
        <f t="shared" si="28"/>
        <v>502912457</v>
      </c>
      <c r="K486" s="1004">
        <f t="shared" si="29"/>
        <v>0.20101713032554056</v>
      </c>
      <c r="L486" s="848">
        <f t="shared" si="30"/>
        <v>519041957</v>
      </c>
      <c r="M486" s="857"/>
      <c r="N486" s="850"/>
      <c r="O486" s="850"/>
      <c r="P486" s="850"/>
      <c r="Q486" s="850"/>
      <c r="R486" s="850"/>
      <c r="S486" s="850"/>
      <c r="T486" s="850"/>
      <c r="U486" s="850"/>
    </row>
    <row r="487" spans="1:21" ht="25.5">
      <c r="A487" s="850" t="s">
        <v>2602</v>
      </c>
      <c r="B487" s="850" t="s">
        <v>2227</v>
      </c>
      <c r="C487" s="576" t="s">
        <v>2586</v>
      </c>
      <c r="D487" s="850" t="s">
        <v>2411</v>
      </c>
      <c r="E487" s="1003" t="s">
        <v>2872</v>
      </c>
      <c r="F487" s="990">
        <f>-ROUND(SUMIFS('A0.LS'!L:L,'A0.LS'!D:D,'A4.N2FS Singles'!D487),0)</f>
        <v>3792000000</v>
      </c>
      <c r="G487" s="847">
        <f>-ROUND(SUMIFS('A0.LS'!Q:Q,'A0.LS'!D:D,'A4.N2FS Singles'!D487),0)</f>
        <v>900000000</v>
      </c>
      <c r="H487" s="850"/>
      <c r="I487" s="1004">
        <f t="shared" si="27"/>
        <v>0.39906788014565353</v>
      </c>
      <c r="J487" s="848">
        <f t="shared" si="28"/>
        <v>2578746000</v>
      </c>
      <c r="K487" s="1004">
        <f t="shared" si="29"/>
        <v>0.11725713021535013</v>
      </c>
      <c r="L487" s="848">
        <f t="shared" si="30"/>
        <v>302767084</v>
      </c>
      <c r="M487" s="857"/>
      <c r="N487" s="850"/>
      <c r="O487" s="850"/>
      <c r="P487" s="850"/>
      <c r="Q487" s="850"/>
      <c r="R487" s="850"/>
      <c r="S487" s="850"/>
      <c r="T487" s="850"/>
      <c r="U487" s="850"/>
    </row>
    <row r="488" spans="1:21" ht="25.5">
      <c r="A488" s="850" t="s">
        <v>2602</v>
      </c>
      <c r="B488" s="850" t="s">
        <v>2227</v>
      </c>
      <c r="C488" s="576" t="s">
        <v>2586</v>
      </c>
      <c r="D488" s="850" t="s">
        <v>2385</v>
      </c>
      <c r="E488" s="1003" t="s">
        <v>2873</v>
      </c>
      <c r="F488" s="990">
        <f>-ROUND(SUMIFS('A0.LS'!L:L,'A0.LS'!D:D,'A4.N2FS Singles'!D488),0)</f>
        <v>32348219</v>
      </c>
      <c r="G488" s="847">
        <f>-ROUND(SUMIFS('A0.LS'!Q:Q,'A0.LS'!D:D,'A4.N2FS Singles'!D488),0)</f>
        <v>730219674</v>
      </c>
      <c r="H488" s="850"/>
      <c r="I488" s="1004">
        <f t="shared" si="27"/>
        <v>3.4043078013758841E-3</v>
      </c>
      <c r="J488" s="848">
        <f t="shared" si="28"/>
        <v>21998376</v>
      </c>
      <c r="K488" s="1004">
        <f t="shared" si="29"/>
        <v>9.5137181555587244E-2</v>
      </c>
      <c r="L488" s="848">
        <f t="shared" si="30"/>
        <v>245651646</v>
      </c>
      <c r="M488" s="857"/>
      <c r="N488" s="850"/>
      <c r="O488" s="850"/>
      <c r="P488" s="850"/>
      <c r="Q488" s="850"/>
      <c r="R488" s="850"/>
      <c r="S488" s="850"/>
      <c r="T488" s="850"/>
      <c r="U488" s="850"/>
    </row>
    <row r="489" spans="1:21" ht="25.5">
      <c r="A489" s="850" t="s">
        <v>2602</v>
      </c>
      <c r="B489" s="850" t="s">
        <v>2227</v>
      </c>
      <c r="C489" s="576" t="s">
        <v>2586</v>
      </c>
      <c r="D489" s="850" t="s">
        <v>2387</v>
      </c>
      <c r="E489" s="1003" t="s">
        <v>2874</v>
      </c>
      <c r="F489" s="990">
        <f>-ROUND(SUMIFS('A0.LS'!L:L,'A0.LS'!D:D,'A4.N2FS Singles'!D489),0)</f>
        <v>113859000</v>
      </c>
      <c r="G489" s="847">
        <f>-ROUND(SUMIFS('A0.LS'!Q:Q,'A0.LS'!D:D,'A4.N2FS Singles'!D489),0)</f>
        <v>363807000</v>
      </c>
      <c r="H489" s="850"/>
      <c r="I489" s="1004">
        <f t="shared" si="27"/>
        <v>1.19824551069367E-2</v>
      </c>
      <c r="J489" s="848">
        <f t="shared" si="28"/>
        <v>77429705</v>
      </c>
      <c r="K489" s="1004">
        <f t="shared" si="29"/>
        <v>4.739884974695098E-2</v>
      </c>
      <c r="L489" s="848">
        <f t="shared" si="30"/>
        <v>122387538</v>
      </c>
      <c r="M489" s="857"/>
      <c r="N489" s="850"/>
      <c r="O489" s="850"/>
      <c r="P489" s="850"/>
      <c r="Q489" s="850"/>
      <c r="R489" s="850"/>
      <c r="S489" s="850"/>
      <c r="T489" s="850"/>
      <c r="U489" s="850"/>
    </row>
    <row r="490" spans="1:21" ht="25.5">
      <c r="A490" s="850" t="s">
        <v>2602</v>
      </c>
      <c r="B490" s="850" t="s">
        <v>2227</v>
      </c>
      <c r="C490" s="576" t="s">
        <v>2586</v>
      </c>
      <c r="D490" s="850" t="s">
        <v>2405</v>
      </c>
      <c r="E490" s="1003" t="s">
        <v>2875</v>
      </c>
      <c r="F490" s="990">
        <f>-ROUND(SUMIFS('A0.LS'!L:L,'A0.LS'!D:D,'A4.N2FS Singles'!D490),0)</f>
        <v>12880000</v>
      </c>
      <c r="G490" s="847">
        <f>-ROUND(SUMIFS('A0.LS'!Q:Q,'A0.LS'!D:D,'A4.N2FS Singles'!D490),0)</f>
        <v>14017000</v>
      </c>
      <c r="H490" s="850"/>
      <c r="I490" s="1004">
        <f t="shared" si="27"/>
        <v>1.3554837279208907E-3</v>
      </c>
      <c r="J490" s="848">
        <f>ROUND(I490*$F$525,0)</f>
        <v>8759032</v>
      </c>
      <c r="K490" s="1004">
        <f t="shared" si="29"/>
        <v>1.8262146602539585E-3</v>
      </c>
      <c r="L490" s="848">
        <f t="shared" si="30"/>
        <v>4715429</v>
      </c>
      <c r="M490" s="857"/>
      <c r="N490" s="850"/>
      <c r="O490" s="850"/>
      <c r="P490" s="850"/>
      <c r="Q490" s="850"/>
      <c r="R490" s="850"/>
      <c r="S490" s="850"/>
      <c r="T490" s="850"/>
      <c r="U490" s="850"/>
    </row>
    <row r="491" spans="1:21" ht="25.5">
      <c r="A491" s="850" t="s">
        <v>2602</v>
      </c>
      <c r="B491" s="850" t="s">
        <v>2227</v>
      </c>
      <c r="C491" s="576" t="s">
        <v>2586</v>
      </c>
      <c r="D491" s="850" t="s">
        <v>2395</v>
      </c>
      <c r="E491" s="1003" t="s">
        <v>2877</v>
      </c>
      <c r="F491" s="990">
        <f>-ROUND(SUMIFS('A0.LS'!L:L,'A0.LS'!D:D,'A4.N2FS Singles'!D491),0)</f>
        <v>0</v>
      </c>
      <c r="G491" s="847">
        <f>-ROUND(SUMIFS('A0.LS'!Q:Q,'A0.LS'!D:D,'A4.N2FS Singles'!D491),0)</f>
        <v>0</v>
      </c>
      <c r="H491" s="850"/>
      <c r="I491" s="1004">
        <f t="shared" si="27"/>
        <v>0</v>
      </c>
      <c r="J491" s="848">
        <f t="shared" si="28"/>
        <v>0</v>
      </c>
      <c r="K491" s="1004">
        <f t="shared" si="29"/>
        <v>0</v>
      </c>
      <c r="L491" s="848">
        <f t="shared" si="30"/>
        <v>0</v>
      </c>
      <c r="M491" s="857"/>
      <c r="N491" s="850"/>
      <c r="O491" s="850"/>
      <c r="P491" s="850"/>
      <c r="Q491" s="850"/>
      <c r="R491" s="850"/>
      <c r="S491" s="850"/>
      <c r="T491" s="850"/>
      <c r="U491" s="850"/>
    </row>
    <row r="492" spans="1:21" ht="38.25">
      <c r="A492" s="850" t="s">
        <v>2602</v>
      </c>
      <c r="B492" s="850" t="s">
        <v>2227</v>
      </c>
      <c r="C492" s="576" t="s">
        <v>2586</v>
      </c>
      <c r="D492" s="850" t="s">
        <v>2399</v>
      </c>
      <c r="E492" s="1003" t="s">
        <v>2878</v>
      </c>
      <c r="F492" s="990">
        <f>-ROUND(SUMIFS('A0.LS'!L:L,'A0.LS'!D:D,'A4.N2FS Singles'!D492),0)</f>
        <v>0</v>
      </c>
      <c r="G492" s="847">
        <f>-ROUND(SUMIFS('A0.LS'!Q:Q,'A0.LS'!D:D,'A4.N2FS Singles'!D492),0)</f>
        <v>0</v>
      </c>
      <c r="H492" s="850"/>
      <c r="I492" s="1004">
        <f t="shared" si="27"/>
        <v>0</v>
      </c>
      <c r="J492" s="848">
        <f t="shared" si="28"/>
        <v>0</v>
      </c>
      <c r="K492" s="1004">
        <f t="shared" si="29"/>
        <v>0</v>
      </c>
      <c r="L492" s="848">
        <f t="shared" si="30"/>
        <v>0</v>
      </c>
      <c r="M492" s="857"/>
      <c r="N492" s="850"/>
      <c r="O492" s="850"/>
      <c r="P492" s="850"/>
      <c r="Q492" s="850"/>
      <c r="R492" s="850"/>
      <c r="S492" s="850"/>
      <c r="T492" s="850"/>
      <c r="U492" s="850"/>
    </row>
    <row r="493" spans="1:21">
      <c r="A493" s="850" t="s">
        <v>2602</v>
      </c>
      <c r="B493" s="850" t="s">
        <v>2227</v>
      </c>
      <c r="C493" s="576" t="s">
        <v>2586</v>
      </c>
      <c r="D493" s="850" t="s">
        <v>2380</v>
      </c>
      <c r="E493" s="1003" t="s">
        <v>246</v>
      </c>
      <c r="F493" s="990">
        <f>-ROUND(SUMIFS('A0.LS'!L:L,'A0.LS'!D:D,'A4.N2FS Singles'!D493),0)</f>
        <v>2892900001</v>
      </c>
      <c r="G493" s="847">
        <f>-ROUND(SUMIFS('A0.LS'!Q:Q,'A0.LS'!D:D,'A4.N2FS Singles'!D493),0)</f>
        <v>800000</v>
      </c>
      <c r="H493" s="850"/>
      <c r="I493" s="1004">
        <f t="shared" si="27"/>
        <v>0.30444711784610468</v>
      </c>
      <c r="J493" s="848">
        <f>ROUND(I493*$F$525,0)</f>
        <v>1967313899</v>
      </c>
      <c r="K493" s="1004">
        <f t="shared" si="29"/>
        <v>1.0422856019142234E-4</v>
      </c>
      <c r="L493" s="848">
        <f t="shared" si="30"/>
        <v>269126</v>
      </c>
      <c r="M493" s="857"/>
      <c r="N493" s="850"/>
      <c r="O493" s="850"/>
      <c r="P493" s="850"/>
      <c r="Q493" s="850"/>
      <c r="R493" s="850"/>
      <c r="S493" s="850"/>
      <c r="T493" s="850"/>
      <c r="U493" s="850"/>
    </row>
    <row r="494" spans="1:21" ht="25.5">
      <c r="A494" s="850" t="s">
        <v>2602</v>
      </c>
      <c r="B494" s="850" t="s">
        <v>2227</v>
      </c>
      <c r="C494" s="576" t="s">
        <v>2586</v>
      </c>
      <c r="D494" s="850"/>
      <c r="E494" s="1003" t="s">
        <v>3171</v>
      </c>
      <c r="F494" s="848"/>
      <c r="G494" s="850"/>
      <c r="H494" s="850"/>
      <c r="I494" s="850"/>
      <c r="J494" s="850"/>
      <c r="K494" s="850"/>
      <c r="L494" s="857"/>
      <c r="M494" s="857"/>
      <c r="N494" s="850"/>
      <c r="O494" s="850"/>
      <c r="P494" s="850"/>
      <c r="Q494" s="850"/>
      <c r="R494" s="850"/>
      <c r="S494" s="850"/>
      <c r="T494" s="850"/>
      <c r="U494" s="850"/>
    </row>
    <row r="495" spans="1:21" ht="13.5" thickBot="1">
      <c r="A495" s="850" t="s">
        <v>2602</v>
      </c>
      <c r="B495" s="850" t="s">
        <v>2227</v>
      </c>
      <c r="C495" s="576" t="s">
        <v>2586</v>
      </c>
      <c r="D495" s="850"/>
      <c r="E495" s="1003"/>
      <c r="F495" s="1559">
        <f>SUM(F485:F493)</f>
        <v>9502142840</v>
      </c>
      <c r="G495" s="1561">
        <f>SUM(G485:G493)</f>
        <v>7675439424</v>
      </c>
      <c r="H495" s="850"/>
      <c r="I495" s="850"/>
      <c r="J495" s="850"/>
      <c r="K495" s="850"/>
      <c r="L495" s="850"/>
      <c r="M495" s="850"/>
      <c r="N495" s="850"/>
      <c r="O495" s="850"/>
      <c r="P495" s="850"/>
      <c r="Q495" s="850"/>
      <c r="R495" s="850"/>
      <c r="S495" s="850"/>
      <c r="T495" s="850"/>
      <c r="U495" s="850"/>
    </row>
    <row r="496" spans="1:21" ht="13.5" thickTop="1">
      <c r="A496" s="850" t="s">
        <v>2602</v>
      </c>
      <c r="B496" s="850" t="s">
        <v>2227</v>
      </c>
      <c r="C496" s="576" t="s">
        <v>2586</v>
      </c>
      <c r="D496" s="850"/>
      <c r="E496" s="194" t="s">
        <v>1970</v>
      </c>
      <c r="F496" s="857">
        <f>F495-'A2.PL'!G6</f>
        <v>0</v>
      </c>
      <c r="G496" s="857">
        <f>G495-'A2.PL'!L6</f>
        <v>0</v>
      </c>
      <c r="H496" s="850"/>
      <c r="I496" s="850"/>
      <c r="J496" s="850"/>
      <c r="K496" s="850"/>
      <c r="L496" s="850"/>
      <c r="M496" s="850"/>
      <c r="N496" s="850"/>
      <c r="O496" s="850"/>
      <c r="P496" s="850"/>
      <c r="Q496" s="850"/>
      <c r="R496" s="850"/>
      <c r="S496" s="850"/>
      <c r="T496" s="850"/>
      <c r="U496" s="850"/>
    </row>
    <row r="497" spans="1:21">
      <c r="A497" s="850" t="s">
        <v>2602</v>
      </c>
      <c r="B497" s="850" t="s">
        <v>2227</v>
      </c>
      <c r="C497" s="576" t="s">
        <v>2586</v>
      </c>
      <c r="D497" s="850"/>
      <c r="E497" s="1003"/>
      <c r="F497" s="850"/>
      <c r="G497" s="850"/>
      <c r="H497" s="850"/>
      <c r="I497" s="850"/>
      <c r="J497" s="850"/>
      <c r="K497" s="850"/>
      <c r="L497" s="850"/>
      <c r="M497" s="850"/>
      <c r="N497" s="850"/>
      <c r="O497" s="850"/>
      <c r="P497" s="850"/>
      <c r="Q497" s="850"/>
      <c r="R497" s="850"/>
      <c r="S497" s="850"/>
      <c r="T497" s="850"/>
      <c r="U497" s="850"/>
    </row>
    <row r="498" spans="1:21">
      <c r="A498" s="172"/>
      <c r="B498" s="172" t="s">
        <v>676</v>
      </c>
      <c r="C498" s="172" t="s">
        <v>681</v>
      </c>
      <c r="D498" s="172"/>
      <c r="E498" s="562" t="s">
        <v>3172</v>
      </c>
      <c r="F498" s="172"/>
      <c r="G498" s="172"/>
      <c r="H498" s="172"/>
      <c r="I498" s="172"/>
      <c r="J498" s="172"/>
      <c r="K498" s="172"/>
      <c r="L498" s="172"/>
      <c r="M498" s="172"/>
      <c r="N498" s="172"/>
      <c r="O498" s="172"/>
      <c r="P498" s="172"/>
      <c r="Q498" s="172"/>
      <c r="R498" s="172"/>
      <c r="S498" s="172"/>
      <c r="T498" s="850"/>
      <c r="U498" s="850"/>
    </row>
    <row r="499" spans="1:21">
      <c r="A499" s="850" t="s">
        <v>2602</v>
      </c>
      <c r="B499" s="850" t="s">
        <v>676</v>
      </c>
      <c r="C499" s="576" t="s">
        <v>2586</v>
      </c>
      <c r="D499" s="850"/>
      <c r="E499" s="1003"/>
      <c r="F499" s="850"/>
      <c r="G499" s="850"/>
      <c r="H499" s="850"/>
      <c r="I499" s="850"/>
      <c r="J499" s="850"/>
      <c r="K499" s="850"/>
      <c r="L499" s="850"/>
      <c r="M499" s="850"/>
      <c r="N499" s="850"/>
      <c r="O499" s="850"/>
      <c r="P499" s="850"/>
      <c r="Q499" s="850"/>
      <c r="R499" s="850"/>
      <c r="S499" s="850"/>
      <c r="T499" s="850"/>
      <c r="U499" s="850"/>
    </row>
    <row r="500" spans="1:21" ht="25.5">
      <c r="A500" s="850" t="s">
        <v>2602</v>
      </c>
      <c r="B500" s="850" t="s">
        <v>676</v>
      </c>
      <c r="C500" s="576" t="s">
        <v>2586</v>
      </c>
      <c r="D500" s="850"/>
      <c r="E500" s="1003"/>
      <c r="F500" s="173" t="s">
        <v>2867</v>
      </c>
      <c r="G500" s="174" t="s">
        <v>2868</v>
      </c>
      <c r="H500" s="850"/>
      <c r="I500" s="850"/>
      <c r="J500" s="850"/>
      <c r="K500" s="850"/>
      <c r="L500" s="850"/>
      <c r="M500" s="850"/>
      <c r="N500" s="850"/>
      <c r="O500" s="850"/>
      <c r="P500" s="850"/>
      <c r="Q500" s="850"/>
      <c r="R500" s="850"/>
      <c r="S500" s="850"/>
      <c r="T500" s="850"/>
      <c r="U500" s="850"/>
    </row>
    <row r="501" spans="1:21">
      <c r="A501" s="850" t="s">
        <v>2602</v>
      </c>
      <c r="B501" s="850" t="s">
        <v>676</v>
      </c>
      <c r="C501" s="576" t="s">
        <v>2586</v>
      </c>
      <c r="D501" s="850" t="s">
        <v>2462</v>
      </c>
      <c r="E501" s="1003" t="s">
        <v>2884</v>
      </c>
      <c r="F501" s="990">
        <f>-ROUND(SUMIFS('A0.LS'!L:L,'A0.LS'!D:D,'A4.N2FS Singles'!D501),0)-F502</f>
        <v>62688258421</v>
      </c>
      <c r="G501" s="847">
        <f>-ROUND(SUMIFS('A0.LS'!Q:Q,'A0.LS'!D:D,'A4.N2FS Singles'!D501),0)</f>
        <v>95322002516</v>
      </c>
      <c r="H501" s="850"/>
      <c r="I501" s="850"/>
      <c r="J501" s="850"/>
      <c r="K501" s="850"/>
      <c r="L501" s="848"/>
      <c r="M501" s="857"/>
      <c r="N501" s="850"/>
      <c r="O501" s="850"/>
      <c r="P501" s="850"/>
      <c r="Q501" s="850"/>
      <c r="R501" s="850"/>
      <c r="S501" s="850"/>
      <c r="T501" s="850"/>
      <c r="U501" s="850"/>
    </row>
    <row r="502" spans="1:21">
      <c r="A502" s="850" t="s">
        <v>2602</v>
      </c>
      <c r="B502" s="850" t="s">
        <v>676</v>
      </c>
      <c r="C502" s="576" t="s">
        <v>2586</v>
      </c>
      <c r="D502" s="850" t="s">
        <v>2480</v>
      </c>
      <c r="E502" s="1003" t="s">
        <v>2885</v>
      </c>
      <c r="F502" s="990">
        <f>'5151 Cổ tức Cty con'!M2</f>
        <v>52156748</v>
      </c>
      <c r="G502" s="847">
        <f>-ROUND(SUMIFS('A0.LS'!Q:Q,'A0.LS'!D:D,'A4.N2FS Singles'!D502),0)</f>
        <v>105895134</v>
      </c>
      <c r="H502" s="850"/>
      <c r="I502" s="850" t="s">
        <v>2886</v>
      </c>
      <c r="J502" s="850"/>
      <c r="K502" s="850"/>
      <c r="L502" s="848"/>
      <c r="M502" s="857"/>
      <c r="N502" s="850"/>
      <c r="O502" s="850"/>
      <c r="P502" s="850"/>
      <c r="Q502" s="850"/>
      <c r="R502" s="850"/>
      <c r="S502" s="850"/>
      <c r="T502" s="850"/>
      <c r="U502" s="850"/>
    </row>
    <row r="503" spans="1:21">
      <c r="A503" s="850" t="s">
        <v>2602</v>
      </c>
      <c r="B503" s="850" t="s">
        <v>676</v>
      </c>
      <c r="C503" s="576" t="s">
        <v>2586</v>
      </c>
      <c r="D503" s="850" t="s">
        <v>2470</v>
      </c>
      <c r="E503" s="1003" t="s">
        <v>2887</v>
      </c>
      <c r="F503" s="990">
        <f>-ROUND(SUMIFS('A0.LS'!L:L,'A0.LS'!D:D,'A4.N2FS Singles'!D503),0)</f>
        <v>123389875953</v>
      </c>
      <c r="G503" s="847">
        <f>-ROUND(SUMIFS('A0.LS'!Q:Q,'A0.LS'!D:D,'A4.N2FS Singles'!D503),0)</f>
        <v>97515150775</v>
      </c>
      <c r="H503" s="850"/>
      <c r="I503" s="850"/>
      <c r="J503" s="850"/>
      <c r="K503" s="850"/>
      <c r="L503" s="848"/>
      <c r="M503" s="857"/>
      <c r="N503" s="850"/>
      <c r="O503" s="850"/>
      <c r="P503" s="850"/>
      <c r="Q503" s="850"/>
      <c r="R503" s="850"/>
      <c r="S503" s="850"/>
      <c r="T503" s="850"/>
      <c r="U503" s="850"/>
    </row>
    <row r="504" spans="1:21">
      <c r="A504" s="850" t="s">
        <v>2602</v>
      </c>
      <c r="B504" s="850" t="s">
        <v>676</v>
      </c>
      <c r="C504" s="576" t="s">
        <v>2586</v>
      </c>
      <c r="D504" s="850" t="s">
        <v>2888</v>
      </c>
      <c r="E504" s="1003" t="s">
        <v>2889</v>
      </c>
      <c r="F504" s="990">
        <f>-ROUND(SUMIFS('A0.LS'!L:L,'A0.LS'!D:D,'A4.N2FS Singles'!D504),0)</f>
        <v>0</v>
      </c>
      <c r="G504" s="847">
        <f>-ROUND(SUMIFS('A0.LS'!Q:Q,'A0.LS'!D:D,'A4.N2FS Singles'!D504),0)</f>
        <v>0</v>
      </c>
      <c r="H504" s="850"/>
      <c r="I504" s="850"/>
      <c r="J504" s="850"/>
      <c r="K504" s="850"/>
      <c r="L504" s="848"/>
      <c r="M504" s="857"/>
      <c r="N504" s="850"/>
      <c r="O504" s="850"/>
      <c r="P504" s="850"/>
      <c r="Q504" s="850"/>
      <c r="R504" s="850"/>
      <c r="S504" s="850"/>
      <c r="T504" s="850"/>
      <c r="U504" s="850"/>
    </row>
    <row r="505" spans="1:21">
      <c r="A505" s="850" t="s">
        <v>2602</v>
      </c>
      <c r="B505" s="850" t="s">
        <v>676</v>
      </c>
      <c r="C505" s="576" t="s">
        <v>2586</v>
      </c>
      <c r="D505" s="850" t="s">
        <v>2479</v>
      </c>
      <c r="E505" s="850" t="s">
        <v>262</v>
      </c>
      <c r="F505" s="990">
        <f>-ROUND(SUMIFS('A0.LS'!L:L,'A0.LS'!D:D,'A4.N2FS Singles'!D505),0)</f>
        <v>14695890</v>
      </c>
      <c r="G505" s="847">
        <f>-ROUND(SUMIFS('A0.LS'!Q:Q,'A0.LS'!D:D,'A4.N2FS Singles'!D505),0)</f>
        <v>131507</v>
      </c>
      <c r="H505" s="850"/>
      <c r="I505" s="850"/>
      <c r="J505" s="850"/>
      <c r="K505" s="850"/>
      <c r="L505" s="848"/>
      <c r="M505" s="857"/>
      <c r="N505" s="850"/>
      <c r="O505" s="850"/>
      <c r="P505" s="850"/>
      <c r="Q505" s="850"/>
      <c r="R505" s="850"/>
      <c r="S505" s="850"/>
      <c r="T505" s="850"/>
      <c r="U505" s="850"/>
    </row>
    <row r="506" spans="1:21">
      <c r="A506" s="850" t="s">
        <v>2602</v>
      </c>
      <c r="B506" s="850" t="s">
        <v>676</v>
      </c>
      <c r="C506" s="576" t="s">
        <v>2586</v>
      </c>
      <c r="D506" s="850" t="s">
        <v>2475</v>
      </c>
      <c r="E506" s="850" t="s">
        <v>2890</v>
      </c>
      <c r="F506" s="990">
        <f>-ROUND(SUMIFS('A0.LS'!L:L,'A0.LS'!D:D,'A4.N2FS Singles'!D506),0)</f>
        <v>0</v>
      </c>
      <c r="G506" s="847">
        <f>-ROUND(SUMIFS('A0.LS'!Q:Q,'A0.LS'!D:D,'A4.N2FS Singles'!D506),0)</f>
        <v>0</v>
      </c>
      <c r="H506" s="850"/>
      <c r="I506" s="850"/>
      <c r="J506" s="850"/>
      <c r="K506" s="850"/>
      <c r="L506" s="848"/>
      <c r="M506" s="857"/>
      <c r="N506" s="850"/>
      <c r="O506" s="850"/>
      <c r="P506" s="850"/>
      <c r="Q506" s="850"/>
      <c r="R506" s="850"/>
      <c r="S506" s="850"/>
      <c r="T506" s="850"/>
      <c r="U506" s="850"/>
    </row>
    <row r="507" spans="1:21">
      <c r="A507" s="850" t="s">
        <v>2602</v>
      </c>
      <c r="B507" s="850" t="s">
        <v>676</v>
      </c>
      <c r="C507" s="576" t="s">
        <v>2586</v>
      </c>
      <c r="D507" s="850" t="s">
        <v>2474</v>
      </c>
      <c r="E507" s="850" t="s">
        <v>2891</v>
      </c>
      <c r="F507" s="990">
        <f>-ROUND(SUMIFS('A0.LS'!L:L,'A0.LS'!D:D,'A4.N2FS Singles'!D507),0)</f>
        <v>6645171</v>
      </c>
      <c r="G507" s="847">
        <f>-ROUND(SUMIFS('A0.LS'!Q:Q,'A0.LS'!D:D,'A4.N2FS Singles'!D507),0)</f>
        <v>34692835</v>
      </c>
      <c r="H507" s="850"/>
      <c r="I507" s="850" t="s">
        <v>2892</v>
      </c>
      <c r="J507" s="850"/>
      <c r="K507" s="850"/>
      <c r="L507" s="848"/>
      <c r="M507" s="857"/>
      <c r="N507" s="850"/>
      <c r="O507" s="850"/>
      <c r="P507" s="850"/>
      <c r="Q507" s="850"/>
      <c r="R507" s="850"/>
      <c r="S507" s="850"/>
      <c r="T507" s="850"/>
      <c r="U507" s="850"/>
    </row>
    <row r="508" spans="1:21" ht="13.5" thickBot="1">
      <c r="A508" s="850" t="s">
        <v>2602</v>
      </c>
      <c r="B508" s="850" t="s">
        <v>676</v>
      </c>
      <c r="C508" s="576" t="s">
        <v>2586</v>
      </c>
      <c r="D508" s="850"/>
      <c r="E508" s="850"/>
      <c r="F508" s="1562">
        <f>SUM(F501:F507)</f>
        <v>186151632183</v>
      </c>
      <c r="G508" s="1563">
        <f>SUM(G501:G507)</f>
        <v>192977872767</v>
      </c>
      <c r="H508" s="850"/>
      <c r="I508" s="850"/>
      <c r="J508" s="850"/>
      <c r="K508" s="850"/>
      <c r="L508" s="234"/>
      <c r="M508" s="234"/>
      <c r="N508" s="850"/>
      <c r="O508" s="850"/>
      <c r="P508" s="850"/>
      <c r="Q508" s="850"/>
      <c r="R508" s="850"/>
      <c r="S508" s="850"/>
      <c r="T508" s="850"/>
      <c r="U508" s="850"/>
    </row>
    <row r="509" spans="1:21" ht="13.5" thickTop="1">
      <c r="A509" s="850" t="s">
        <v>2602</v>
      </c>
      <c r="B509" s="850" t="s">
        <v>676</v>
      </c>
      <c r="C509" s="576" t="s">
        <v>2586</v>
      </c>
      <c r="D509" s="850"/>
      <c r="E509" s="850"/>
      <c r="F509" s="850"/>
      <c r="G509" s="850"/>
      <c r="H509" s="850"/>
      <c r="I509" s="850"/>
      <c r="J509" s="850"/>
      <c r="K509" s="850"/>
      <c r="L509" s="850"/>
      <c r="M509" s="850"/>
      <c r="N509" s="850"/>
      <c r="O509" s="850"/>
      <c r="P509" s="850"/>
      <c r="Q509" s="850"/>
      <c r="R509" s="850"/>
      <c r="S509" s="850"/>
      <c r="T509" s="850"/>
      <c r="U509" s="850"/>
    </row>
    <row r="510" spans="1:21">
      <c r="A510" s="850" t="s">
        <v>2602</v>
      </c>
      <c r="B510" s="850" t="s">
        <v>676</v>
      </c>
      <c r="C510" s="576" t="s">
        <v>2586</v>
      </c>
      <c r="D510" s="850"/>
      <c r="E510" s="1" t="s">
        <v>1970</v>
      </c>
      <c r="F510" s="857">
        <f>F508-'A2.PL'!G12</f>
        <v>0</v>
      </c>
      <c r="G510" s="857">
        <f>G508-'A2.PL'!L12</f>
        <v>0</v>
      </c>
      <c r="H510" s="850"/>
      <c r="I510" s="850"/>
      <c r="J510" s="850"/>
      <c r="K510" s="850"/>
      <c r="L510" s="850"/>
      <c r="M510" s="850"/>
      <c r="N510" s="850"/>
      <c r="O510" s="850"/>
      <c r="P510" s="850"/>
      <c r="Q510" s="850"/>
      <c r="R510" s="850"/>
      <c r="S510" s="850"/>
      <c r="T510" s="850"/>
      <c r="U510" s="850"/>
    </row>
    <row r="511" spans="1:21">
      <c r="A511" s="850" t="s">
        <v>2602</v>
      </c>
      <c r="B511" s="850" t="s">
        <v>676</v>
      </c>
      <c r="C511" s="576" t="s">
        <v>2586</v>
      </c>
      <c r="D511" s="850"/>
      <c r="E511" s="850"/>
      <c r="F511" s="850"/>
      <c r="G511" s="850"/>
      <c r="H511" s="850"/>
      <c r="I511" s="850"/>
      <c r="J511" s="850"/>
      <c r="K511" s="850"/>
      <c r="L511" s="850"/>
      <c r="M511" s="850"/>
      <c r="N511" s="850"/>
      <c r="O511" s="850"/>
      <c r="P511" s="850"/>
      <c r="Q511" s="850"/>
      <c r="R511" s="850"/>
      <c r="S511" s="850"/>
      <c r="T511" s="850"/>
      <c r="U511" s="850"/>
    </row>
    <row r="512" spans="1:21">
      <c r="A512" s="172"/>
      <c r="B512" s="172" t="s">
        <v>2227</v>
      </c>
      <c r="C512" s="172" t="s">
        <v>681</v>
      </c>
      <c r="D512" s="172"/>
      <c r="E512" s="562" t="s">
        <v>3173</v>
      </c>
      <c r="F512" s="172"/>
      <c r="G512" s="172"/>
      <c r="H512" s="172"/>
      <c r="I512" s="172"/>
      <c r="J512" s="172"/>
      <c r="K512" s="172"/>
      <c r="L512" s="172"/>
      <c r="M512" s="172"/>
      <c r="N512" s="172"/>
      <c r="O512" s="172"/>
      <c r="P512" s="172"/>
      <c r="Q512" s="172"/>
      <c r="R512" s="172"/>
      <c r="S512" s="172"/>
      <c r="T512" s="850"/>
      <c r="U512" s="850"/>
    </row>
    <row r="513" spans="1:19">
      <c r="A513" s="850" t="s">
        <v>2602</v>
      </c>
      <c r="B513" s="850" t="s">
        <v>2227</v>
      </c>
      <c r="C513" s="576" t="s">
        <v>2586</v>
      </c>
      <c r="D513" s="850"/>
      <c r="E513" s="850"/>
      <c r="F513" s="850"/>
      <c r="G513" s="850"/>
      <c r="H513" s="850"/>
      <c r="I513" s="850"/>
      <c r="J513" s="850"/>
      <c r="K513" s="850"/>
      <c r="L513" s="850"/>
      <c r="M513" s="850"/>
      <c r="N513" s="850"/>
      <c r="O513" s="850"/>
      <c r="P513" s="850"/>
      <c r="Q513" s="850"/>
      <c r="R513" s="850"/>
      <c r="S513" s="850"/>
    </row>
    <row r="514" spans="1:19" ht="25.5">
      <c r="A514" s="850" t="s">
        <v>2602</v>
      </c>
      <c r="B514" s="850" t="s">
        <v>2227</v>
      </c>
      <c r="C514" s="576" t="s">
        <v>2586</v>
      </c>
      <c r="D514" s="850"/>
      <c r="E514" s="850"/>
      <c r="F514" s="173" t="s">
        <v>2867</v>
      </c>
      <c r="G514" s="174" t="s">
        <v>2868</v>
      </c>
      <c r="H514" s="850"/>
      <c r="I514" s="850"/>
      <c r="J514" s="850"/>
      <c r="K514" s="850"/>
      <c r="L514" s="850"/>
      <c r="M514" s="850"/>
      <c r="N514" s="850"/>
      <c r="O514" s="850"/>
      <c r="P514" s="850"/>
      <c r="Q514" s="850"/>
      <c r="R514" s="850"/>
      <c r="S514" s="850"/>
    </row>
    <row r="515" spans="1:19" ht="25.5">
      <c r="A515" s="850" t="s">
        <v>2602</v>
      </c>
      <c r="B515" s="850" t="s">
        <v>2227</v>
      </c>
      <c r="C515" s="576" t="s">
        <v>2586</v>
      </c>
      <c r="D515" s="993" t="s">
        <v>2446</v>
      </c>
      <c r="E515" s="1003" t="s">
        <v>2896</v>
      </c>
      <c r="F515" s="990">
        <f>ROUND(SUMIFS('A0.LS'!L:L,'A0.LS'!D:D,'A4.N2FS Singles'!D515),0)+ROUND((SUMIFS($F$485:$F$493,$D$485:$D$493,H515)/$F$495*$F$525),0)</f>
        <v>1307031938</v>
      </c>
      <c r="G515" s="847">
        <v>3220122433</v>
      </c>
      <c r="H515" s="857" t="s">
        <v>2389</v>
      </c>
      <c r="I515" s="848">
        <f>+ROUND((SUMIFS($F$485:$F$493,$D$485:$D$493,H515)/$F$495*$F$525),0)</f>
        <v>1304763749</v>
      </c>
      <c r="J515" s="848">
        <f t="shared" ref="J515:J522" si="31">ROUND((SUMIFS($G$485:$G$493,$D$485:$D$493,H515)/$G$495*$G$525),0)</f>
        <v>1387245454</v>
      </c>
      <c r="K515" s="850"/>
      <c r="L515" s="850"/>
      <c r="M515" s="850"/>
      <c r="N515" s="850"/>
      <c r="O515" s="850"/>
      <c r="P515" s="850"/>
      <c r="Q515" s="850"/>
      <c r="R515" s="850"/>
      <c r="S515" s="850"/>
    </row>
    <row r="516" spans="1:19" ht="25.5">
      <c r="A516" s="850" t="s">
        <v>2602</v>
      </c>
      <c r="B516" s="850" t="s">
        <v>2227</v>
      </c>
      <c r="C516" s="576" t="s">
        <v>2586</v>
      </c>
      <c r="D516" s="993" t="s">
        <v>2438</v>
      </c>
      <c r="E516" s="1003" t="s">
        <v>2897</v>
      </c>
      <c r="F516" s="990">
        <f>ROUND(SUMIFS('A0.LS'!L:L,'A0.LS'!D:D,'A4.N2FS Singles'!D516),0)+ROUND((SUMIFS($F$485:$F$493,$D$485:$D$493,H516)/$F$495*$F$525),0)</f>
        <v>5981271081</v>
      </c>
      <c r="G516" s="847">
        <v>8545553260</v>
      </c>
      <c r="H516" s="857" t="s">
        <v>2393</v>
      </c>
      <c r="I516" s="848">
        <f t="shared" ref="I516:I522" si="32">+ROUND((SUMIFS($F$485:$F$493,$D$485:$D$493,H516)/$F$495*$F$525),0)</f>
        <v>502912457</v>
      </c>
      <c r="J516" s="848">
        <f t="shared" si="31"/>
        <v>519041957</v>
      </c>
      <c r="K516" s="850"/>
      <c r="L516" s="850"/>
      <c r="M516" s="850"/>
      <c r="N516" s="850"/>
      <c r="O516" s="850"/>
      <c r="P516" s="850"/>
      <c r="Q516" s="850"/>
      <c r="R516" s="850"/>
      <c r="S516" s="850"/>
    </row>
    <row r="517" spans="1:19" ht="25.5">
      <c r="A517" s="850" t="s">
        <v>2602</v>
      </c>
      <c r="B517" s="850" t="s">
        <v>2227</v>
      </c>
      <c r="C517" s="576" t="s">
        <v>2586</v>
      </c>
      <c r="D517" s="850" t="s">
        <v>2457</v>
      </c>
      <c r="E517" s="1003" t="s">
        <v>2908</v>
      </c>
      <c r="F517" s="211">
        <f>ROUND(SUMIFS('A0.LS'!L:L,'A0.LS'!D:D,'A4.N2FS Singles'!D517),0)+ROUND((SUMIFS($F$485:$F$493,$D$485:$D$493,H517)/$F$495*$F$525),0)</f>
        <v>2578746000</v>
      </c>
      <c r="G517" s="847">
        <v>692481859</v>
      </c>
      <c r="H517" s="850" t="s">
        <v>2411</v>
      </c>
      <c r="I517" s="848">
        <f t="shared" si="32"/>
        <v>2578746000</v>
      </c>
      <c r="J517" s="848">
        <f t="shared" si="31"/>
        <v>302767084</v>
      </c>
      <c r="K517" s="850"/>
      <c r="L517" s="850"/>
      <c r="M517" s="850"/>
      <c r="N517" s="850"/>
      <c r="O517" s="850"/>
      <c r="P517" s="850"/>
      <c r="Q517" s="850"/>
      <c r="R517" s="850"/>
      <c r="S517" s="850"/>
    </row>
    <row r="518" spans="1:19" ht="25.5">
      <c r="A518" s="850" t="s">
        <v>2602</v>
      </c>
      <c r="B518" s="850" t="s">
        <v>2227</v>
      </c>
      <c r="C518" s="576" t="s">
        <v>2586</v>
      </c>
      <c r="D518" s="993" t="s">
        <v>2421</v>
      </c>
      <c r="E518" s="1003" t="s">
        <v>2898</v>
      </c>
      <c r="F518" s="990">
        <f>ROUND(SUMIFS('A0.LS'!L:L,'A0.LS'!D:D,'A4.N2FS Singles'!D518),0)+ROUND((SUMIFS($F$485:$F$493,$D$485:$D$493,H518)/$F$495*$F$525),0)</f>
        <v>1374221599</v>
      </c>
      <c r="G518" s="847">
        <v>2476784777</v>
      </c>
      <c r="H518" s="857" t="s">
        <v>2385</v>
      </c>
      <c r="I518" s="848">
        <f t="shared" si="32"/>
        <v>21998376</v>
      </c>
      <c r="J518" s="848">
        <f t="shared" si="31"/>
        <v>245651646</v>
      </c>
      <c r="K518" s="850"/>
      <c r="L518" s="850"/>
      <c r="M518" s="850"/>
      <c r="N518" s="850"/>
      <c r="O518" s="850"/>
      <c r="P518" s="850"/>
      <c r="Q518" s="850"/>
      <c r="R518" s="850"/>
      <c r="S518" s="850"/>
    </row>
    <row r="519" spans="1:19" ht="25.5">
      <c r="A519" s="850" t="s">
        <v>2602</v>
      </c>
      <c r="B519" s="850" t="s">
        <v>2227</v>
      </c>
      <c r="C519" s="576" t="s">
        <v>2586</v>
      </c>
      <c r="D519" s="850" t="s">
        <v>2444</v>
      </c>
      <c r="E519" s="1003" t="s">
        <v>2899</v>
      </c>
      <c r="F519" s="990">
        <f>ROUND(SUMIFS('A0.LS'!L:L,'A0.LS'!D:D,'A4.N2FS Singles'!D519),0)+ROUND((SUMIFS($F$485:$F$493,$D$485:$D$493,H519)/$F$495*$F$525),0)</f>
        <v>128964705</v>
      </c>
      <c r="G519" s="847">
        <v>351263343</v>
      </c>
      <c r="H519" s="857" t="s">
        <v>2387</v>
      </c>
      <c r="I519" s="848">
        <f t="shared" si="32"/>
        <v>77429705</v>
      </c>
      <c r="J519" s="848">
        <f t="shared" si="31"/>
        <v>122387538</v>
      </c>
      <c r="K519" s="850"/>
      <c r="L519" s="850"/>
      <c r="M519" s="850"/>
      <c r="N519" s="850"/>
      <c r="O519" s="850"/>
      <c r="P519" s="850"/>
      <c r="Q519" s="850"/>
      <c r="R519" s="850"/>
      <c r="S519" s="850"/>
    </row>
    <row r="520" spans="1:19" ht="25.5">
      <c r="A520" s="850" t="s">
        <v>2602</v>
      </c>
      <c r="B520" s="850" t="s">
        <v>2227</v>
      </c>
      <c r="C520" s="576" t="s">
        <v>2586</v>
      </c>
      <c r="D520" s="850" t="s">
        <v>2900</v>
      </c>
      <c r="E520" s="1003" t="s">
        <v>2901</v>
      </c>
      <c r="F520" s="990">
        <f>ROUND(SUMIFS('A0.LS'!L:L,'A0.LS'!D:D,'A4.N2FS Singles'!D520),0)+ROUND((SUMIFS($F$485:$F$493,$D$485:$D$493,H520)/$F$495*$F$525),0)</f>
        <v>8759032</v>
      </c>
      <c r="G520" s="847">
        <v>10775442</v>
      </c>
      <c r="H520" s="857" t="s">
        <v>2405</v>
      </c>
      <c r="I520" s="848">
        <f>+ROUND((SUMIFS($F$485:$F$493,$D$485:$D$493,H520)/$F$495*$F$525),0)</f>
        <v>8759032</v>
      </c>
      <c r="J520" s="848">
        <f t="shared" si="31"/>
        <v>4715429</v>
      </c>
      <c r="K520" s="850"/>
      <c r="L520" s="850"/>
      <c r="M520" s="850"/>
      <c r="N520" s="850"/>
      <c r="O520" s="850"/>
      <c r="P520" s="850"/>
      <c r="Q520" s="850"/>
      <c r="R520" s="850"/>
      <c r="S520" s="850"/>
    </row>
    <row r="521" spans="1:19" ht="25.5">
      <c r="A521" s="850" t="s">
        <v>2602</v>
      </c>
      <c r="B521" s="850" t="s">
        <v>2227</v>
      </c>
      <c r="C521" s="576" t="s">
        <v>2586</v>
      </c>
      <c r="D521" s="850" t="s">
        <v>2441</v>
      </c>
      <c r="E521" s="1003" t="s">
        <v>2902</v>
      </c>
      <c r="F521" s="782">
        <f>ROUND(SUMIFS('A0.LS'!L:L,'A0.LS'!D:D,'A4.N2FS Singles'!D521),0)+ROUND((SUMIFS($F$485:$F$493,$D$485:$D$493,H521)/$F$495*$F$525),0)+1</f>
        <v>34909089</v>
      </c>
      <c r="G521" s="847">
        <v>55001243</v>
      </c>
      <c r="H521" s="857" t="s">
        <v>2395</v>
      </c>
      <c r="I521" s="848">
        <f t="shared" si="32"/>
        <v>0</v>
      </c>
      <c r="J521" s="848">
        <f t="shared" si="31"/>
        <v>0</v>
      </c>
      <c r="K521" s="850"/>
      <c r="L521" s="850"/>
      <c r="M521" s="850"/>
      <c r="N521" s="850"/>
      <c r="O521" s="850"/>
      <c r="P521" s="850"/>
      <c r="Q521" s="850"/>
      <c r="R521" s="850"/>
      <c r="S521" s="850"/>
    </row>
    <row r="522" spans="1:19" ht="25.5">
      <c r="A522" s="850" t="s">
        <v>2602</v>
      </c>
      <c r="B522" s="850" t="s">
        <v>2227</v>
      </c>
      <c r="C522" s="576" t="s">
        <v>2586</v>
      </c>
      <c r="D522" s="850" t="s">
        <v>2425</v>
      </c>
      <c r="E522" s="1003" t="s">
        <v>3174</v>
      </c>
      <c r="F522" s="990">
        <f>ROUND(SUMIFS('A0.LS'!L:L,'A0.LS'!D:D,'A4.N2FS Singles'!D522),0)+ROUND((SUMIFS($F$485:$F$493,$D$485:$D$493,H522)/$F$495*$F$525),0)</f>
        <v>1967313899</v>
      </c>
      <c r="G522" s="847">
        <v>0</v>
      </c>
      <c r="H522" s="857" t="s">
        <v>2380</v>
      </c>
      <c r="I522" s="848">
        <f t="shared" si="32"/>
        <v>1967313899</v>
      </c>
      <c r="J522" s="848">
        <f t="shared" si="31"/>
        <v>269126</v>
      </c>
      <c r="K522" s="850"/>
      <c r="L522" s="850"/>
      <c r="M522" s="850"/>
      <c r="N522" s="850"/>
      <c r="O522" s="850"/>
      <c r="P522" s="850"/>
      <c r="Q522" s="850"/>
      <c r="R522" s="850"/>
      <c r="S522" s="850"/>
    </row>
    <row r="523" spans="1:19" ht="13.5" thickBot="1">
      <c r="A523" s="850" t="s">
        <v>2602</v>
      </c>
      <c r="B523" s="850" t="s">
        <v>2227</v>
      </c>
      <c r="C523" s="576" t="s">
        <v>2586</v>
      </c>
      <c r="D523" s="850"/>
      <c r="E523" s="850"/>
      <c r="F523" s="1559">
        <f>SUM(F515:F522)</f>
        <v>13381217343</v>
      </c>
      <c r="G523" s="1561">
        <f>SUM(G515:G522)</f>
        <v>15351982357</v>
      </c>
      <c r="H523" s="850"/>
      <c r="I523" s="850"/>
      <c r="J523" s="850"/>
      <c r="K523" s="850"/>
      <c r="L523" s="850"/>
      <c r="M523" s="850"/>
      <c r="N523" s="850"/>
      <c r="O523" s="850"/>
      <c r="P523" s="850"/>
      <c r="Q523" s="850"/>
      <c r="R523" s="850"/>
      <c r="S523" s="850"/>
    </row>
    <row r="524" spans="1:19" ht="13.5" thickTop="1">
      <c r="A524" s="850" t="s">
        <v>2602</v>
      </c>
      <c r="B524" s="850" t="s">
        <v>2227</v>
      </c>
      <c r="C524" s="576" t="s">
        <v>2586</v>
      </c>
      <c r="D524" s="850"/>
      <c r="E524" s="850"/>
      <c r="F524" s="850"/>
      <c r="G524" s="850"/>
      <c r="H524" s="850"/>
      <c r="I524" s="850"/>
      <c r="J524" s="850"/>
      <c r="K524" s="850"/>
      <c r="L524" s="850"/>
      <c r="M524" s="850"/>
      <c r="N524" s="850"/>
      <c r="O524" s="850"/>
      <c r="P524" s="850"/>
      <c r="Q524" s="850"/>
      <c r="R524" s="850"/>
      <c r="S524" s="850"/>
    </row>
    <row r="525" spans="1:19">
      <c r="A525" s="850" t="s">
        <v>2602</v>
      </c>
      <c r="B525" s="850" t="s">
        <v>2227</v>
      </c>
      <c r="C525" s="576" t="s">
        <v>2586</v>
      </c>
      <c r="D525" s="859" t="s">
        <v>2416</v>
      </c>
      <c r="E525" s="850" t="s">
        <v>2906</v>
      </c>
      <c r="F525" s="848">
        <f>ROUND(SUMIFS('A0.LS'!L:L,'A0.LS'!D:D,'A4.N2FS Singles'!D525),0)</f>
        <v>6461923217</v>
      </c>
      <c r="G525" s="848">
        <v>2582078234</v>
      </c>
      <c r="H525" s="850"/>
      <c r="I525" s="850"/>
      <c r="J525" s="850"/>
      <c r="K525" s="850"/>
      <c r="L525" s="850"/>
      <c r="M525" s="850"/>
      <c r="N525" s="850"/>
      <c r="O525" s="850"/>
      <c r="P525" s="850"/>
      <c r="Q525" s="850"/>
      <c r="R525" s="850"/>
      <c r="S525" s="850"/>
    </row>
    <row r="526" spans="1:19">
      <c r="A526" s="850" t="s">
        <v>2602</v>
      </c>
      <c r="B526" s="850" t="s">
        <v>2227</v>
      </c>
      <c r="C526" s="576" t="s">
        <v>2586</v>
      </c>
      <c r="D526" s="850"/>
      <c r="E526" s="850"/>
      <c r="F526" s="850"/>
      <c r="G526" s="850"/>
      <c r="H526" s="850"/>
      <c r="I526" s="850"/>
      <c r="J526" s="850"/>
      <c r="K526" s="850"/>
      <c r="L526" s="850"/>
      <c r="M526" s="850"/>
      <c r="N526" s="850"/>
      <c r="O526" s="850"/>
      <c r="P526" s="850"/>
      <c r="Q526" s="850"/>
      <c r="R526" s="850"/>
      <c r="S526" s="850"/>
    </row>
    <row r="527" spans="1:19">
      <c r="A527" s="850" t="s">
        <v>2602</v>
      </c>
      <c r="B527" s="850" t="s">
        <v>2227</v>
      </c>
      <c r="C527" s="576" t="s">
        <v>2586</v>
      </c>
      <c r="D527" s="850"/>
      <c r="E527" s="1" t="s">
        <v>1970</v>
      </c>
      <c r="F527" s="848">
        <f>F523+'A2.PL'!G9</f>
        <v>2</v>
      </c>
      <c r="G527" s="848">
        <f>G523+'A2.PL'!L9</f>
        <v>0</v>
      </c>
      <c r="H527" s="850"/>
      <c r="I527" s="850"/>
      <c r="J527" s="850"/>
      <c r="K527" s="850"/>
      <c r="L527" s="850"/>
      <c r="M527" s="850"/>
      <c r="N527" s="850"/>
      <c r="O527" s="850"/>
      <c r="P527" s="850"/>
      <c r="Q527" s="850"/>
      <c r="R527" s="850"/>
      <c r="S527" s="850"/>
    </row>
    <row r="528" spans="1:19">
      <c r="A528" s="850" t="s">
        <v>2602</v>
      </c>
      <c r="B528" s="850" t="s">
        <v>2227</v>
      </c>
      <c r="C528" s="576" t="s">
        <v>2586</v>
      </c>
      <c r="D528" s="850"/>
      <c r="E528" s="850"/>
      <c r="F528" s="850"/>
      <c r="G528" s="850"/>
      <c r="H528" s="850"/>
      <c r="I528" s="850"/>
      <c r="J528" s="850"/>
      <c r="K528" s="850"/>
      <c r="L528" s="850"/>
      <c r="M528" s="850"/>
      <c r="N528" s="850"/>
      <c r="O528" s="850"/>
      <c r="P528" s="850"/>
      <c r="Q528" s="850"/>
      <c r="R528" s="850"/>
      <c r="S528" s="850"/>
    </row>
    <row r="529" spans="1:19">
      <c r="A529" s="172"/>
      <c r="B529" s="172" t="s">
        <v>2188</v>
      </c>
      <c r="C529" s="172" t="s">
        <v>681</v>
      </c>
      <c r="D529" s="172"/>
      <c r="E529" s="562" t="s">
        <v>3175</v>
      </c>
      <c r="F529" s="172"/>
      <c r="G529" s="172"/>
      <c r="H529" s="172"/>
      <c r="I529" s="172"/>
      <c r="J529" s="172"/>
      <c r="K529" s="172"/>
      <c r="L529" s="172"/>
      <c r="M529" s="172"/>
      <c r="N529" s="172"/>
      <c r="O529" s="172"/>
      <c r="P529" s="172"/>
      <c r="Q529" s="172"/>
      <c r="R529" s="172"/>
      <c r="S529" s="172"/>
    </row>
    <row r="530" spans="1:19">
      <c r="A530" s="850" t="s">
        <v>2602</v>
      </c>
      <c r="B530" s="850" t="s">
        <v>2188</v>
      </c>
      <c r="C530" s="576" t="s">
        <v>2586</v>
      </c>
      <c r="D530" s="850"/>
      <c r="E530" s="850"/>
      <c r="F530" s="850"/>
      <c r="G530" s="850"/>
      <c r="H530" s="850"/>
      <c r="I530" s="850"/>
      <c r="J530" s="850"/>
      <c r="K530" s="850"/>
      <c r="L530" s="850"/>
      <c r="M530" s="850"/>
      <c r="N530" s="850"/>
      <c r="O530" s="850"/>
      <c r="P530" s="850"/>
      <c r="Q530" s="850"/>
      <c r="R530" s="850"/>
      <c r="S530" s="850"/>
    </row>
    <row r="531" spans="1:19" ht="25.5">
      <c r="A531" s="850" t="s">
        <v>2602</v>
      </c>
      <c r="B531" s="850" t="s">
        <v>2188</v>
      </c>
      <c r="C531" s="576" t="s">
        <v>2586</v>
      </c>
      <c r="D531" s="850"/>
      <c r="E531" s="850"/>
      <c r="F531" s="173" t="s">
        <v>2867</v>
      </c>
      <c r="G531" s="174" t="s">
        <v>2868</v>
      </c>
      <c r="H531" s="850"/>
      <c r="I531" s="850"/>
      <c r="J531" s="850"/>
      <c r="K531" s="850"/>
      <c r="L531" s="850"/>
      <c r="M531" s="850"/>
      <c r="N531" s="850"/>
      <c r="O531" s="850"/>
      <c r="P531" s="850"/>
      <c r="Q531" s="850"/>
      <c r="R531" s="850"/>
      <c r="S531" s="850"/>
    </row>
    <row r="532" spans="1:19">
      <c r="A532" s="850" t="s">
        <v>2602</v>
      </c>
      <c r="B532" s="850" t="s">
        <v>2188</v>
      </c>
      <c r="C532" s="576" t="s">
        <v>2586</v>
      </c>
      <c r="D532" s="850" t="s">
        <v>2514</v>
      </c>
      <c r="E532" s="850" t="s">
        <v>2910</v>
      </c>
      <c r="F532" s="990">
        <f>ROUND(SUMIFS('A0.LS'!L:L,'A0.LS'!D:D,'A4.N2FS Singles'!D532),0)</f>
        <v>153281825</v>
      </c>
      <c r="G532" s="847">
        <f>ROUND(SUMIFS('A0.LS'!Q:Q,'A0.LS'!D:D,'A4.N2FS Singles'!D532),0)</f>
        <v>5575037884</v>
      </c>
      <c r="H532" s="850"/>
      <c r="I532" s="850"/>
      <c r="J532" s="850"/>
      <c r="K532" s="850"/>
      <c r="L532" s="850"/>
      <c r="M532" s="850"/>
      <c r="N532" s="850"/>
      <c r="O532" s="850"/>
      <c r="P532" s="850"/>
      <c r="Q532" s="850"/>
      <c r="R532" s="850"/>
      <c r="S532" s="850"/>
    </row>
    <row r="533" spans="1:19">
      <c r="A533" s="850" t="s">
        <v>2602</v>
      </c>
      <c r="B533" s="850" t="s">
        <v>2188</v>
      </c>
      <c r="C533" s="576" t="s">
        <v>2586</v>
      </c>
      <c r="D533" s="850" t="s">
        <v>2911</v>
      </c>
      <c r="E533" s="850" t="s">
        <v>2912</v>
      </c>
      <c r="F533" s="990">
        <f>ROUND(SUMIFS('A0.LS'!L:L,'A0.LS'!D:D,'A4.N2FS Singles'!D533),0)</f>
        <v>0</v>
      </c>
      <c r="G533" s="847">
        <f>ROUND(SUMIFS('A0.LS'!Q:Q,'A0.LS'!D:D,'A4.N2FS Singles'!D533),0)</f>
        <v>0</v>
      </c>
      <c r="H533" s="850" t="s">
        <v>2913</v>
      </c>
      <c r="I533" s="850"/>
      <c r="J533" s="850"/>
      <c r="K533" s="850"/>
      <c r="L533" s="850"/>
      <c r="M533" s="850"/>
      <c r="N533" s="850"/>
      <c r="O533" s="850"/>
      <c r="P533" s="850"/>
      <c r="Q533" s="850"/>
      <c r="R533" s="850"/>
      <c r="S533" s="850"/>
    </row>
    <row r="534" spans="1:19">
      <c r="A534" s="850" t="s">
        <v>2602</v>
      </c>
      <c r="B534" s="850" t="s">
        <v>2188</v>
      </c>
      <c r="C534" s="576" t="s">
        <v>2586</v>
      </c>
      <c r="D534" s="850" t="s">
        <v>2526</v>
      </c>
      <c r="E534" s="850" t="s">
        <v>2914</v>
      </c>
      <c r="F534" s="990">
        <f>ROUND(SUMIFS('A0.LS'!L:L,'A0.LS'!D:D,'A4.N2FS Singles'!D534),0)</f>
        <v>10556222300</v>
      </c>
      <c r="G534" s="847">
        <f>ROUND(SUMIFS('A0.LS'!Q:Q,'A0.LS'!D:D,'A4.N2FS Singles'!D534),0)</f>
        <v>9871226067</v>
      </c>
      <c r="H534" s="857">
        <f>G534-F534</f>
        <v>-684996233</v>
      </c>
      <c r="I534" s="850"/>
      <c r="J534" s="850"/>
      <c r="K534" s="850"/>
      <c r="L534" s="850"/>
      <c r="M534" s="850"/>
      <c r="N534" s="850"/>
      <c r="O534" s="850"/>
      <c r="P534" s="850"/>
      <c r="Q534" s="850"/>
      <c r="R534" s="850"/>
      <c r="S534" s="850"/>
    </row>
    <row r="535" spans="1:19">
      <c r="A535" s="850" t="s">
        <v>2602</v>
      </c>
      <c r="B535" s="850" t="s">
        <v>2188</v>
      </c>
      <c r="C535" s="576" t="s">
        <v>2586</v>
      </c>
      <c r="D535" s="850" t="s">
        <v>2523</v>
      </c>
      <c r="E535" s="850" t="s">
        <v>2915</v>
      </c>
      <c r="F535" s="990">
        <f>ROUND(SUMIFS('A0.LS'!L:L,'A0.LS'!D:D,'A4.N2FS Singles'!D535),0)</f>
        <v>53048958</v>
      </c>
      <c r="G535" s="847">
        <f>ROUND(SUMIFS('A0.LS'!Q:Q,'A0.LS'!D:D,'A4.N2FS Singles'!D535),0)</f>
        <v>102278020</v>
      </c>
      <c r="H535" s="850"/>
      <c r="I535" s="850"/>
      <c r="J535" s="850"/>
      <c r="K535" s="850"/>
      <c r="L535" s="850"/>
      <c r="M535" s="850"/>
      <c r="N535" s="850"/>
      <c r="O535" s="850"/>
      <c r="P535" s="850"/>
      <c r="Q535" s="850"/>
      <c r="R535" s="850"/>
      <c r="S535" s="850"/>
    </row>
    <row r="536" spans="1:19">
      <c r="A536" s="850" t="s">
        <v>2602</v>
      </c>
      <c r="B536" s="850" t="s">
        <v>2188</v>
      </c>
      <c r="C536" s="576" t="s">
        <v>2586</v>
      </c>
      <c r="D536" s="850" t="s">
        <v>2525</v>
      </c>
      <c r="E536" s="850" t="s">
        <v>2916</v>
      </c>
      <c r="F536" s="990">
        <f>ROUND(SUMIFS('A0.LS'!L:L,'A0.LS'!D:D,'A4.N2FS Singles'!D536),0)</f>
        <v>0</v>
      </c>
      <c r="G536" s="847">
        <f>ROUND(SUMIFS('A0.LS'!Q:Q,'A0.LS'!D:D,'A4.N2FS Singles'!D536),0)</f>
        <v>1178771355</v>
      </c>
      <c r="H536" s="850"/>
      <c r="I536" s="850"/>
      <c r="J536" s="850"/>
      <c r="K536" s="850"/>
      <c r="L536" s="850"/>
      <c r="M536" s="850"/>
      <c r="N536" s="850"/>
      <c r="O536" s="850"/>
      <c r="P536" s="850"/>
      <c r="Q536" s="850"/>
      <c r="R536" s="850"/>
      <c r="S536" s="850"/>
    </row>
    <row r="537" spans="1:19">
      <c r="A537" s="850" t="s">
        <v>2602</v>
      </c>
      <c r="B537" s="850" t="s">
        <v>2188</v>
      </c>
      <c r="C537" s="576" t="s">
        <v>2586</v>
      </c>
      <c r="D537" s="850" t="s">
        <v>2524</v>
      </c>
      <c r="E537" s="850" t="s">
        <v>270</v>
      </c>
      <c r="F537" s="990">
        <f>ROUND(SUMIFS('A0.LS'!L:L,'A0.LS'!D:D,'A4.N2FS Singles'!D537),0)</f>
        <v>36956232</v>
      </c>
      <c r="G537" s="847">
        <f>ROUND(SUMIFS('A0.LS'!Q:Q,'A0.LS'!D:D,'A4.N2FS Singles'!D537),0)</f>
        <v>46445004</v>
      </c>
      <c r="H537" s="850"/>
      <c r="I537" s="850"/>
      <c r="J537" s="850"/>
      <c r="K537" s="850"/>
      <c r="L537" s="850"/>
      <c r="M537" s="850"/>
      <c r="N537" s="850"/>
      <c r="O537" s="850"/>
      <c r="P537" s="850"/>
      <c r="Q537" s="850"/>
      <c r="R537" s="850"/>
      <c r="S537" s="850"/>
    </row>
    <row r="538" spans="1:19">
      <c r="A538" s="850" t="s">
        <v>2602</v>
      </c>
      <c r="B538" s="850" t="s">
        <v>2188</v>
      </c>
      <c r="C538" s="576" t="s">
        <v>2586</v>
      </c>
      <c r="D538" s="850" t="s">
        <v>2528</v>
      </c>
      <c r="E538" s="850" t="s">
        <v>445</v>
      </c>
      <c r="F538" s="990">
        <f>ROUND(SUMIFS('A0.LS'!L:L,'A0.LS'!D:D,'A4.N2FS Singles'!D538),0)</f>
        <v>737441523</v>
      </c>
      <c r="G538" s="847">
        <f>ROUND(SUMIFS('A0.LS'!Q:Q,'A0.LS'!D:D,'A4.N2FS Singles'!D538),0)</f>
        <v>928553686</v>
      </c>
      <c r="H538" s="850"/>
      <c r="I538" s="850"/>
      <c r="J538" s="850"/>
      <c r="K538" s="850"/>
      <c r="L538" s="850"/>
      <c r="M538" s="850"/>
      <c r="N538" s="850"/>
      <c r="O538" s="850"/>
      <c r="P538" s="850"/>
      <c r="Q538" s="850"/>
      <c r="R538" s="850"/>
      <c r="S538" s="850"/>
    </row>
    <row r="539" spans="1:19" ht="13.5" thickBot="1">
      <c r="A539" s="850" t="s">
        <v>2602</v>
      </c>
      <c r="B539" s="850" t="s">
        <v>2188</v>
      </c>
      <c r="C539" s="576" t="s">
        <v>2586</v>
      </c>
      <c r="D539" s="850"/>
      <c r="E539" s="850"/>
      <c r="F539" s="1562">
        <f>SUM(F532:F538)</f>
        <v>11536950838</v>
      </c>
      <c r="G539" s="1563">
        <f>SUM(G532:G538)</f>
        <v>17702312016</v>
      </c>
      <c r="H539" s="850"/>
      <c r="I539" s="850"/>
      <c r="J539" s="850"/>
      <c r="K539" s="850"/>
      <c r="L539" s="850"/>
      <c r="M539" s="850"/>
      <c r="N539" s="850"/>
      <c r="O539" s="850"/>
      <c r="P539" s="850"/>
      <c r="Q539" s="850"/>
      <c r="R539" s="850"/>
      <c r="S539" s="850"/>
    </row>
    <row r="540" spans="1:19" ht="13.5" thickTop="1">
      <c r="A540" s="850" t="s">
        <v>2602</v>
      </c>
      <c r="B540" s="850" t="s">
        <v>2188</v>
      </c>
      <c r="C540" s="576" t="s">
        <v>2586</v>
      </c>
      <c r="D540" s="850"/>
      <c r="E540" s="850"/>
      <c r="F540" s="850"/>
      <c r="G540" s="850"/>
      <c r="H540" s="850"/>
      <c r="I540" s="850"/>
      <c r="J540" s="850"/>
      <c r="K540" s="850"/>
      <c r="L540" s="850"/>
      <c r="M540" s="850"/>
      <c r="N540" s="850"/>
      <c r="O540" s="850"/>
      <c r="P540" s="850"/>
      <c r="Q540" s="850"/>
      <c r="R540" s="850"/>
      <c r="S540" s="850"/>
    </row>
    <row r="541" spans="1:19">
      <c r="A541" s="850" t="s">
        <v>2602</v>
      </c>
      <c r="B541" s="850" t="s">
        <v>2188</v>
      </c>
      <c r="C541" s="576" t="s">
        <v>2586</v>
      </c>
      <c r="D541" s="850"/>
      <c r="E541" s="1" t="s">
        <v>1970</v>
      </c>
      <c r="F541" s="857">
        <f>F539+'A2.PL'!G15</f>
        <v>0</v>
      </c>
      <c r="G541" s="857">
        <f>G539+'A2.PL'!L15</f>
        <v>0</v>
      </c>
      <c r="H541" s="850"/>
      <c r="I541" s="850"/>
      <c r="J541" s="850"/>
      <c r="K541" s="850"/>
      <c r="L541" s="850"/>
      <c r="M541" s="850"/>
      <c r="N541" s="850"/>
      <c r="O541" s="850"/>
      <c r="P541" s="850"/>
      <c r="Q541" s="850"/>
      <c r="R541" s="850"/>
      <c r="S541" s="850"/>
    </row>
    <row r="542" spans="1:19">
      <c r="A542" s="850" t="s">
        <v>2602</v>
      </c>
      <c r="B542" s="850" t="s">
        <v>2188</v>
      </c>
      <c r="C542" s="576" t="s">
        <v>2586</v>
      </c>
      <c r="D542" s="850"/>
      <c r="E542" s="850"/>
      <c r="F542" s="850"/>
      <c r="G542" s="850"/>
      <c r="H542" s="850"/>
      <c r="I542" s="850"/>
      <c r="J542" s="850"/>
      <c r="K542" s="850"/>
      <c r="L542" s="850"/>
      <c r="M542" s="850"/>
      <c r="N542" s="850"/>
      <c r="O542" s="850"/>
      <c r="P542" s="850"/>
      <c r="Q542" s="850"/>
      <c r="R542" s="850"/>
      <c r="S542" s="850"/>
    </row>
    <row r="543" spans="1:19">
      <c r="A543" s="172"/>
      <c r="B543" s="172" t="s">
        <v>2190</v>
      </c>
      <c r="C543" s="172" t="s">
        <v>681</v>
      </c>
      <c r="D543" s="172"/>
      <c r="E543" s="562" t="s">
        <v>3176</v>
      </c>
      <c r="F543" s="172"/>
      <c r="G543" s="172"/>
      <c r="H543" s="172"/>
      <c r="I543" s="172"/>
      <c r="J543" s="172"/>
      <c r="K543" s="172"/>
      <c r="L543" s="172"/>
      <c r="M543" s="172"/>
      <c r="N543" s="172"/>
      <c r="O543" s="172"/>
      <c r="P543" s="172"/>
      <c r="Q543" s="172"/>
      <c r="R543" s="172"/>
      <c r="S543" s="172"/>
    </row>
    <row r="544" spans="1:19">
      <c r="A544" s="850" t="s">
        <v>2602</v>
      </c>
      <c r="B544" s="850" t="s">
        <v>2190</v>
      </c>
      <c r="C544" s="576" t="s">
        <v>2586</v>
      </c>
      <c r="D544" s="850"/>
      <c r="E544" s="850"/>
      <c r="F544" s="850"/>
      <c r="G544" s="850"/>
      <c r="H544" s="850"/>
      <c r="I544" s="850"/>
      <c r="J544" s="850"/>
      <c r="K544" s="850"/>
      <c r="L544" s="850"/>
      <c r="M544" s="850"/>
      <c r="N544" s="850"/>
      <c r="O544" s="850"/>
      <c r="P544" s="850"/>
      <c r="Q544" s="850"/>
      <c r="R544" s="850"/>
      <c r="S544" s="850"/>
    </row>
    <row r="545" spans="1:19" ht="25.5">
      <c r="A545" s="850" t="s">
        <v>2602</v>
      </c>
      <c r="B545" s="850" t="s">
        <v>2190</v>
      </c>
      <c r="C545" s="576" t="s">
        <v>2586</v>
      </c>
      <c r="D545" s="850"/>
      <c r="E545" s="850"/>
      <c r="F545" s="173" t="s">
        <v>2867</v>
      </c>
      <c r="G545" s="174" t="s">
        <v>2868</v>
      </c>
      <c r="H545" s="850"/>
      <c r="I545" s="850"/>
      <c r="J545" s="850"/>
      <c r="K545" s="850"/>
      <c r="L545" s="850"/>
      <c r="M545" s="850"/>
      <c r="N545" s="850"/>
      <c r="O545" s="850"/>
      <c r="P545" s="850"/>
      <c r="Q545" s="850"/>
      <c r="R545" s="850"/>
      <c r="S545" s="850"/>
    </row>
    <row r="546" spans="1:19">
      <c r="A546" s="850" t="s">
        <v>2602</v>
      </c>
      <c r="B546" s="850" t="s">
        <v>2190</v>
      </c>
      <c r="C546" s="576" t="s">
        <v>2586</v>
      </c>
      <c r="D546" s="1" t="s">
        <v>2548</v>
      </c>
      <c r="E546" s="1" t="s">
        <v>2918</v>
      </c>
      <c r="F546" s="195">
        <f>ROUND(SUMIFS('A0.LS'!L:L,'A0.LS'!D:D,'A4.N2FS Singles'!D546),0)</f>
        <v>4500000</v>
      </c>
      <c r="G546" s="202">
        <f>ROUND(SUMIFS('A0.LS'!Q:Q,'A0.LS'!D:D,'A4.N2FS Singles'!D546),0)</f>
        <v>5000000</v>
      </c>
      <c r="H546" s="850"/>
      <c r="I546" s="850"/>
      <c r="J546" s="850"/>
      <c r="K546" s="850"/>
      <c r="L546" s="850"/>
      <c r="M546" s="850"/>
      <c r="N546" s="850"/>
      <c r="O546" s="850"/>
      <c r="P546" s="850"/>
      <c r="Q546" s="850"/>
      <c r="R546" s="850"/>
      <c r="S546" s="850"/>
    </row>
    <row r="547" spans="1:19">
      <c r="A547" s="850" t="s">
        <v>2602</v>
      </c>
      <c r="B547" s="850" t="s">
        <v>2190</v>
      </c>
      <c r="C547" s="576" t="s">
        <v>2586</v>
      </c>
      <c r="D547" s="1"/>
      <c r="E547" s="1" t="s">
        <v>336</v>
      </c>
      <c r="F547" s="200">
        <f>SUM(F548:F550)</f>
        <v>3498084872</v>
      </c>
      <c r="G547" s="203">
        <f>SUM(G548:G550)</f>
        <v>14915710490</v>
      </c>
      <c r="H547" s="850"/>
      <c r="I547" s="850"/>
      <c r="J547" s="850"/>
      <c r="K547" s="850"/>
      <c r="L547" s="850"/>
      <c r="M547" s="850"/>
      <c r="N547" s="850"/>
      <c r="O547" s="850"/>
      <c r="P547" s="850"/>
      <c r="Q547" s="850"/>
      <c r="R547" s="850"/>
      <c r="S547" s="850"/>
    </row>
    <row r="548" spans="1:19">
      <c r="A548" s="850" t="s">
        <v>2602</v>
      </c>
      <c r="B548" s="850" t="s">
        <v>2190</v>
      </c>
      <c r="C548" s="576" t="s">
        <v>2586</v>
      </c>
      <c r="D548" s="850" t="s">
        <v>2539</v>
      </c>
      <c r="E548" s="850" t="s">
        <v>2919</v>
      </c>
      <c r="F548" s="990">
        <f>ROUND(SUMIFS('A0.LS'!L:L,'A0.LS'!D:D,'A4.N2FS Singles'!D548),0)</f>
        <v>3106748914</v>
      </c>
      <c r="G548" s="847">
        <f>ROUND(SUMIFS('A0.LS'!Q:Q,'A0.LS'!D:D,'A4.N2FS Singles'!D548),0)</f>
        <v>12290649561</v>
      </c>
      <c r="H548" s="850"/>
      <c r="I548" s="850"/>
      <c r="J548" s="850"/>
      <c r="K548" s="850"/>
      <c r="L548" s="850"/>
      <c r="M548" s="850"/>
      <c r="N548" s="850"/>
      <c r="O548" s="850"/>
      <c r="P548" s="850"/>
      <c r="Q548" s="850"/>
      <c r="R548" s="850"/>
      <c r="S548" s="850"/>
    </row>
    <row r="549" spans="1:19">
      <c r="A549" s="850" t="s">
        <v>2602</v>
      </c>
      <c r="B549" s="850" t="s">
        <v>2190</v>
      </c>
      <c r="C549" s="576" t="s">
        <v>2586</v>
      </c>
      <c r="D549" s="850" t="s">
        <v>2541</v>
      </c>
      <c r="E549" s="850" t="s">
        <v>2920</v>
      </c>
      <c r="F549" s="990">
        <f>ROUND(SUMIFS('A0.LS'!L:L,'A0.LS'!D:D,'A4.N2FS Singles'!D549),0)</f>
        <v>170602000</v>
      </c>
      <c r="G549" s="847">
        <f>ROUND(SUMIFS('A0.LS'!Q:Q,'A0.LS'!D:D,'A4.N2FS Singles'!D549),0)</f>
        <v>908169273</v>
      </c>
      <c r="H549" s="850"/>
      <c r="I549" s="850"/>
      <c r="J549" s="850"/>
      <c r="K549" s="850"/>
      <c r="L549" s="850"/>
      <c r="M549" s="850"/>
      <c r="N549" s="850"/>
      <c r="O549" s="850"/>
      <c r="P549" s="850"/>
      <c r="Q549" s="850"/>
      <c r="R549" s="850"/>
      <c r="S549" s="850"/>
    </row>
    <row r="550" spans="1:19">
      <c r="A550" s="850" t="s">
        <v>2602</v>
      </c>
      <c r="B550" s="850" t="s">
        <v>2190</v>
      </c>
      <c r="C550" s="576" t="s">
        <v>2586</v>
      </c>
      <c r="D550" s="850" t="s">
        <v>2543</v>
      </c>
      <c r="E550" s="850" t="s">
        <v>2921</v>
      </c>
      <c r="F550" s="990">
        <f>ROUND(SUMIFS('A0.LS'!L:L,'A0.LS'!D:D,'A4.N2FS Singles'!D550),0)</f>
        <v>220733958</v>
      </c>
      <c r="G550" s="847">
        <f>ROUND(SUMIFS('A0.LS'!Q:Q,'A0.LS'!D:D,'A4.N2FS Singles'!D550),0)</f>
        <v>1716891656</v>
      </c>
      <c r="H550" s="850"/>
      <c r="I550" s="850"/>
      <c r="J550" s="850"/>
      <c r="K550" s="850"/>
      <c r="L550" s="850"/>
      <c r="M550" s="850"/>
      <c r="N550" s="850"/>
      <c r="O550" s="850"/>
      <c r="P550" s="850"/>
      <c r="Q550" s="850"/>
      <c r="R550" s="850"/>
      <c r="S550" s="850"/>
    </row>
    <row r="551" spans="1:19">
      <c r="A551" s="850" t="s">
        <v>2602</v>
      </c>
      <c r="B551" s="850" t="s">
        <v>2190</v>
      </c>
      <c r="C551" s="576" t="s">
        <v>2586</v>
      </c>
      <c r="D551" s="1" t="s">
        <v>2544</v>
      </c>
      <c r="E551" s="1" t="s">
        <v>2922</v>
      </c>
      <c r="F551" s="195">
        <f>ROUND(SUMIFS('A0.LS'!L:L,'A0.LS'!D:D,'A4.N2FS Singles'!D551),0)</f>
        <v>360928815</v>
      </c>
      <c r="G551" s="202">
        <f>ROUND(SUMIFS('A0.LS'!Q:Q,'A0.LS'!D:D,'A4.N2FS Singles'!D551),0)</f>
        <v>1871367385</v>
      </c>
      <c r="H551" s="857">
        <f>G551-F551</f>
        <v>1510438570</v>
      </c>
      <c r="I551" s="850"/>
      <c r="J551" s="850"/>
      <c r="K551" s="850"/>
      <c r="L551" s="850"/>
      <c r="M551" s="850"/>
      <c r="N551" s="850"/>
      <c r="O551" s="850"/>
      <c r="P551" s="850"/>
      <c r="Q551" s="850"/>
      <c r="R551" s="850"/>
      <c r="S551" s="850"/>
    </row>
    <row r="552" spans="1:19">
      <c r="A552" s="850" t="s">
        <v>2602</v>
      </c>
      <c r="B552" s="850" t="s">
        <v>2190</v>
      </c>
      <c r="C552" s="576" t="s">
        <v>2586</v>
      </c>
      <c r="D552" s="1" t="s">
        <v>2546</v>
      </c>
      <c r="E552" s="1" t="s">
        <v>2923</v>
      </c>
      <c r="F552" s="195">
        <f>ROUND(SUMIFS('A0.LS'!L:L,'A0.LS'!D:D,'A4.N2FS Singles'!D552),0)</f>
        <v>467360389</v>
      </c>
      <c r="G552" s="202">
        <f>ROUND(SUMIFS('A0.LS'!Q:Q,'A0.LS'!D:D,'A4.N2FS Singles'!D552),0)</f>
        <v>443619362</v>
      </c>
      <c r="H552" s="850"/>
      <c r="I552" s="850"/>
      <c r="J552" s="850"/>
      <c r="K552" s="850"/>
      <c r="L552" s="850"/>
      <c r="M552" s="850"/>
      <c r="N552" s="850"/>
      <c r="O552" s="850"/>
      <c r="P552" s="850"/>
      <c r="Q552" s="850"/>
      <c r="R552" s="850"/>
      <c r="S552" s="850"/>
    </row>
    <row r="553" spans="1:19">
      <c r="A553" s="850" t="s">
        <v>2602</v>
      </c>
      <c r="B553" s="850" t="s">
        <v>2190</v>
      </c>
      <c r="C553" s="576" t="s">
        <v>2586</v>
      </c>
      <c r="D553" s="1"/>
      <c r="E553" s="1" t="s">
        <v>2924</v>
      </c>
      <c r="F553" s="200">
        <f>SUM(F554:F558)</f>
        <v>5854430876</v>
      </c>
      <c r="G553" s="203">
        <f>SUM(G554:G558)</f>
        <v>11699315860</v>
      </c>
      <c r="H553" s="850"/>
      <c r="I553" s="850"/>
      <c r="J553" s="850"/>
      <c r="K553" s="850"/>
      <c r="L553" s="850"/>
      <c r="M553" s="850"/>
      <c r="N553" s="850"/>
      <c r="O553" s="850"/>
      <c r="P553" s="850"/>
      <c r="Q553" s="850"/>
      <c r="R553" s="850"/>
      <c r="S553" s="850"/>
    </row>
    <row r="554" spans="1:19">
      <c r="A554" s="850" t="s">
        <v>2602</v>
      </c>
      <c r="B554" s="850" t="s">
        <v>2190</v>
      </c>
      <c r="C554" s="576" t="s">
        <v>2586</v>
      </c>
      <c r="D554" s="850" t="s">
        <v>2557</v>
      </c>
      <c r="E554" s="850" t="s">
        <v>288</v>
      </c>
      <c r="F554" s="990">
        <f>ROUND(SUMIFS('A0.LS'!L:L,'A0.LS'!D:D,'A4.N2FS Singles'!D554),0)</f>
        <v>223331985</v>
      </c>
      <c r="G554" s="847">
        <f>ROUND(SUMIFS('A0.LS'!Q:Q,'A0.LS'!D:D,'A4.N2FS Singles'!D554),0)</f>
        <v>1594658453</v>
      </c>
      <c r="H554" s="850"/>
      <c r="I554" s="850"/>
      <c r="J554" s="850"/>
      <c r="K554" s="850"/>
      <c r="L554" s="850"/>
      <c r="M554" s="850"/>
      <c r="N554" s="850"/>
      <c r="O554" s="850"/>
      <c r="P554" s="850"/>
      <c r="Q554" s="850"/>
      <c r="R554" s="850"/>
      <c r="S554" s="850"/>
    </row>
    <row r="555" spans="1:19">
      <c r="A555" s="850" t="s">
        <v>2602</v>
      </c>
      <c r="B555" s="850" t="s">
        <v>2190</v>
      </c>
      <c r="C555" s="576" t="s">
        <v>2586</v>
      </c>
      <c r="D555" s="850" t="s">
        <v>2552</v>
      </c>
      <c r="E555" s="850" t="s">
        <v>2925</v>
      </c>
      <c r="F555" s="990">
        <f>ROUND(SUMIFS('A0.LS'!L:L,'A0.LS'!D:D,'A4.N2FS Singles'!D555),0)</f>
        <v>2911120499</v>
      </c>
      <c r="G555" s="847">
        <f>ROUND(SUMIFS('A0.LS'!Q:Q,'A0.LS'!D:D,'A4.N2FS Singles'!D555),0)</f>
        <v>3240137666</v>
      </c>
      <c r="H555" s="850"/>
      <c r="I555" s="850"/>
      <c r="J555" s="850"/>
      <c r="K555" s="850"/>
      <c r="L555" s="850"/>
      <c r="M555" s="850"/>
      <c r="N555" s="850"/>
      <c r="O555" s="850"/>
      <c r="P555" s="850"/>
      <c r="Q555" s="850"/>
      <c r="R555" s="850"/>
      <c r="S555" s="850"/>
    </row>
    <row r="556" spans="1:19" hidden="1">
      <c r="A556" s="850" t="s">
        <v>2602</v>
      </c>
      <c r="B556" s="850" t="s">
        <v>2190</v>
      </c>
      <c r="C556" s="576" t="s">
        <v>2586</v>
      </c>
      <c r="D556" s="850" t="s">
        <v>2926</v>
      </c>
      <c r="E556" s="850" t="s">
        <v>2914</v>
      </c>
      <c r="F556" s="990">
        <f>ROUND(SUMIFS('A0.LS'!L:L,'A0.LS'!D:D,'A4.N2FS Singles'!D556),0)</f>
        <v>0</v>
      </c>
      <c r="G556" s="847">
        <f>ROUND(SUMIFS('A0.LS'!Q:Q,'A0.LS'!D:D,'A4.N2FS Singles'!D556),0)</f>
        <v>0</v>
      </c>
      <c r="H556" s="850"/>
      <c r="I556" s="850"/>
      <c r="J556" s="850"/>
      <c r="K556" s="850"/>
      <c r="L556" s="850"/>
      <c r="M556" s="850"/>
      <c r="N556" s="850"/>
      <c r="O556" s="850"/>
      <c r="P556" s="850"/>
      <c r="Q556" s="850"/>
      <c r="R556" s="850"/>
      <c r="S556" s="850"/>
    </row>
    <row r="557" spans="1:19">
      <c r="A557" s="850" t="s">
        <v>2602</v>
      </c>
      <c r="B557" s="850" t="s">
        <v>2190</v>
      </c>
      <c r="C557" s="576" t="s">
        <v>2586</v>
      </c>
      <c r="D557" s="850" t="s">
        <v>2553</v>
      </c>
      <c r="E557" s="850" t="s">
        <v>2927</v>
      </c>
      <c r="F557" s="990">
        <f>ROUND(SUMIFS('A0.LS'!L:L,'A0.LS'!D:D,'A4.N2FS Singles'!D557),0)</f>
        <v>732590556</v>
      </c>
      <c r="G557" s="847">
        <f>ROUND(SUMIFS('A0.LS'!Q:Q,'A0.LS'!D:D,'A4.N2FS Singles'!D557),0)</f>
        <v>1356339120</v>
      </c>
      <c r="H557" s="850"/>
      <c r="I557" s="850"/>
      <c r="J557" s="842">
        <v>1727854352004</v>
      </c>
      <c r="K557" s="857">
        <f>J557*5%</f>
        <v>86392717600.200012</v>
      </c>
      <c r="L557" s="850"/>
      <c r="M557" s="850"/>
      <c r="N557" s="850"/>
      <c r="O557" s="850"/>
      <c r="P557" s="850"/>
      <c r="Q557" s="850"/>
      <c r="R557" s="850"/>
      <c r="S557" s="850"/>
    </row>
    <row r="558" spans="1:19">
      <c r="A558" s="850" t="s">
        <v>2602</v>
      </c>
      <c r="B558" s="850" t="s">
        <v>2190</v>
      </c>
      <c r="C558" s="576" t="s">
        <v>2586</v>
      </c>
      <c r="D558" s="850" t="s">
        <v>2555</v>
      </c>
      <c r="E558" s="850" t="s">
        <v>445</v>
      </c>
      <c r="F558" s="990">
        <f>ROUND(SUMIFS('A0.LS'!L:L,'A0.LS'!D:D,'A4.N2FS Singles'!D558),0)</f>
        <v>1987387836</v>
      </c>
      <c r="G558" s="847">
        <f>ROUND(SUMIFS('A0.LS'!Q:Q,'A0.LS'!D:D,'A4.N2FS Singles'!D558),0)</f>
        <v>5508180621</v>
      </c>
      <c r="H558" s="850"/>
      <c r="I558" s="850"/>
      <c r="J558" s="850"/>
      <c r="K558" s="850"/>
      <c r="L558" s="850"/>
      <c r="M558" s="850"/>
      <c r="N558" s="850"/>
      <c r="O558" s="850"/>
      <c r="P558" s="850"/>
      <c r="Q558" s="850"/>
      <c r="R558" s="850"/>
      <c r="S558" s="850"/>
    </row>
    <row r="559" spans="1:19" hidden="1">
      <c r="A559" s="850" t="s">
        <v>2602</v>
      </c>
      <c r="B559" s="850" t="s">
        <v>2190</v>
      </c>
      <c r="C559" s="576" t="s">
        <v>2586</v>
      </c>
      <c r="D559" s="351" t="s">
        <v>2928</v>
      </c>
      <c r="E559" s="1" t="s">
        <v>2929</v>
      </c>
      <c r="F559" s="195">
        <v>0</v>
      </c>
      <c r="G559" s="847">
        <v>0</v>
      </c>
      <c r="H559" s="850"/>
      <c r="I559" s="850"/>
      <c r="J559" s="850"/>
      <c r="K559" s="850"/>
      <c r="L559" s="850"/>
      <c r="M559" s="850"/>
      <c r="N559" s="850"/>
      <c r="O559" s="850"/>
      <c r="P559" s="850"/>
      <c r="Q559" s="850"/>
      <c r="R559" s="850"/>
      <c r="S559" s="850"/>
    </row>
    <row r="560" spans="1:19" ht="13.5" thickBot="1">
      <c r="A560" s="850" t="s">
        <v>2602</v>
      </c>
      <c r="B560" s="850" t="s">
        <v>2190</v>
      </c>
      <c r="C560" s="576" t="s">
        <v>2586</v>
      </c>
      <c r="D560" s="850"/>
      <c r="E560" s="850"/>
      <c r="F560" s="1562">
        <f>F559+F553+F552+F551+F547+F546</f>
        <v>10185304952</v>
      </c>
      <c r="G560" s="1563">
        <f>G546+G547+G551+G552+G553</f>
        <v>28935013097</v>
      </c>
      <c r="H560" s="850"/>
      <c r="I560" s="850"/>
      <c r="J560" s="850"/>
      <c r="K560" s="850"/>
      <c r="L560" s="850"/>
      <c r="M560" s="850"/>
      <c r="N560" s="850"/>
      <c r="O560" s="850"/>
      <c r="P560" s="850"/>
      <c r="Q560" s="850"/>
      <c r="R560" s="850"/>
      <c r="S560" s="850"/>
    </row>
    <row r="561" spans="1:19" ht="13.5" thickTop="1">
      <c r="A561" s="850" t="s">
        <v>2602</v>
      </c>
      <c r="B561" s="850" t="s">
        <v>2190</v>
      </c>
      <c r="C561" s="576" t="s">
        <v>2586</v>
      </c>
      <c r="D561" s="850"/>
      <c r="E561" s="850"/>
      <c r="F561" s="850"/>
      <c r="G561" s="850"/>
      <c r="H561" s="850"/>
      <c r="I561" s="850"/>
      <c r="J561" s="850"/>
      <c r="K561" s="850"/>
      <c r="L561" s="850"/>
      <c r="M561" s="850"/>
      <c r="N561" s="850"/>
      <c r="O561" s="850"/>
      <c r="P561" s="850"/>
      <c r="Q561" s="850"/>
      <c r="R561" s="850"/>
      <c r="S561" s="850"/>
    </row>
    <row r="562" spans="1:19">
      <c r="A562" s="850" t="s">
        <v>2602</v>
      </c>
      <c r="B562" s="850" t="s">
        <v>2190</v>
      </c>
      <c r="C562" s="576" t="s">
        <v>2586</v>
      </c>
      <c r="D562" s="850"/>
      <c r="E562" s="1" t="s">
        <v>1970</v>
      </c>
      <c r="F562" s="857">
        <f>F560+'A2.PL'!G16</f>
        <v>0</v>
      </c>
      <c r="G562" s="857">
        <f>G560+'A2.PL'!L16</f>
        <v>0</v>
      </c>
      <c r="H562" s="850"/>
      <c r="I562" s="850"/>
      <c r="J562" s="850"/>
      <c r="K562" s="850"/>
      <c r="L562" s="850"/>
      <c r="M562" s="850"/>
      <c r="N562" s="850"/>
      <c r="O562" s="850"/>
      <c r="P562" s="850"/>
      <c r="Q562" s="850"/>
      <c r="R562" s="850"/>
      <c r="S562" s="850"/>
    </row>
    <row r="563" spans="1:19">
      <c r="A563" s="850" t="s">
        <v>2602</v>
      </c>
      <c r="B563" s="850" t="s">
        <v>2190</v>
      </c>
      <c r="C563" s="576" t="s">
        <v>2586</v>
      </c>
      <c r="D563" s="850"/>
      <c r="E563" s="850"/>
      <c r="F563" s="850"/>
      <c r="G563" s="850"/>
      <c r="H563" s="850"/>
      <c r="I563" s="850"/>
      <c r="J563" s="850"/>
      <c r="K563" s="850"/>
      <c r="L563" s="850"/>
      <c r="M563" s="850"/>
      <c r="N563" s="850"/>
      <c r="O563" s="850"/>
      <c r="P563" s="850"/>
      <c r="Q563" s="850"/>
      <c r="R563" s="850"/>
      <c r="S563" s="850"/>
    </row>
    <row r="564" spans="1:19">
      <c r="A564" s="172"/>
      <c r="B564" s="172" t="s">
        <v>2227</v>
      </c>
      <c r="C564" s="172" t="s">
        <v>681</v>
      </c>
      <c r="D564" s="172"/>
      <c r="E564" s="562" t="s">
        <v>3177</v>
      </c>
      <c r="F564" s="172"/>
      <c r="G564" s="172"/>
      <c r="H564" s="172"/>
      <c r="I564" s="172"/>
      <c r="J564" s="172"/>
      <c r="K564" s="172"/>
      <c r="L564" s="172"/>
      <c r="M564" s="172"/>
      <c r="N564" s="172"/>
      <c r="O564" s="172"/>
      <c r="P564" s="172"/>
      <c r="Q564" s="172"/>
      <c r="R564" s="172"/>
      <c r="S564" s="172"/>
    </row>
    <row r="565" spans="1:19">
      <c r="A565" s="850" t="s">
        <v>2931</v>
      </c>
      <c r="B565" s="850" t="s">
        <v>2227</v>
      </c>
      <c r="C565" s="576" t="s">
        <v>2586</v>
      </c>
      <c r="D565" s="850"/>
      <c r="E565" s="850"/>
      <c r="F565" s="850"/>
      <c r="G565" s="850"/>
      <c r="H565" s="850"/>
      <c r="I565" s="850"/>
      <c r="J565" s="850"/>
      <c r="K565" s="850"/>
      <c r="L565" s="850"/>
      <c r="M565" s="850"/>
      <c r="N565" s="850"/>
      <c r="O565" s="850"/>
      <c r="P565" s="850"/>
      <c r="Q565" s="850"/>
      <c r="R565" s="850"/>
      <c r="S565" s="850"/>
    </row>
    <row r="566" spans="1:19" ht="25.5">
      <c r="A566" s="850" t="s">
        <v>2931</v>
      </c>
      <c r="B566" s="850" t="s">
        <v>2227</v>
      </c>
      <c r="C566" s="576" t="s">
        <v>2586</v>
      </c>
      <c r="D566" s="850"/>
      <c r="E566" s="850"/>
      <c r="F566" s="173" t="s">
        <v>2867</v>
      </c>
      <c r="G566" s="174" t="s">
        <v>2868</v>
      </c>
      <c r="H566" s="850"/>
      <c r="I566" s="850"/>
      <c r="J566" s="850"/>
      <c r="K566" s="850"/>
      <c r="L566" s="850"/>
      <c r="M566" s="850"/>
      <c r="N566" s="850"/>
      <c r="O566" s="850"/>
      <c r="P566" s="850"/>
      <c r="Q566" s="850"/>
      <c r="R566" s="850"/>
      <c r="S566" s="850"/>
    </row>
    <row r="567" spans="1:19">
      <c r="A567" s="850" t="s">
        <v>2931</v>
      </c>
      <c r="B567" s="850" t="s">
        <v>2227</v>
      </c>
      <c r="C567" s="576" t="s">
        <v>2586</v>
      </c>
      <c r="D567" s="850" t="s">
        <v>2503</v>
      </c>
      <c r="E567" s="850" t="s">
        <v>2932</v>
      </c>
      <c r="F567" s="990">
        <f>ROUND(SUMIFS('A0.LS'!L:L,'A0.LS'!D:D,'A4.N2FS Singles'!D567),0)</f>
        <v>101149864</v>
      </c>
      <c r="G567" s="847">
        <f>ROUND(SUMIFS('A0.LS'!Q:Q,'A0.LS'!D:D,'A4.N2FS Singles'!D567),0)</f>
        <v>92794519</v>
      </c>
      <c r="H567" s="850"/>
      <c r="I567" s="850"/>
      <c r="J567" s="850"/>
      <c r="K567" s="850"/>
      <c r="L567" s="850"/>
      <c r="M567" s="850"/>
      <c r="N567" s="850"/>
      <c r="O567" s="850"/>
      <c r="P567" s="850"/>
      <c r="Q567" s="850"/>
      <c r="R567" s="850"/>
      <c r="S567" s="850"/>
    </row>
    <row r="568" spans="1:19">
      <c r="A568" s="850" t="s">
        <v>2931</v>
      </c>
      <c r="B568" s="850" t="s">
        <v>2227</v>
      </c>
      <c r="C568" s="576" t="s">
        <v>2586</v>
      </c>
      <c r="D568" s="850" t="s">
        <v>2490</v>
      </c>
      <c r="E568" s="850" t="s">
        <v>2933</v>
      </c>
      <c r="F568" s="990">
        <f>ROUND(SUMIFS('A0.LS'!L:L,'A0.LS'!D:D,'A4.N2FS Singles'!D568),0)</f>
        <v>8115223356</v>
      </c>
      <c r="G568" s="847">
        <f>ROUND(SUMIFS('A0.LS'!Q:Q,'A0.LS'!D:D,'A4.N2FS Singles'!D568),0)</f>
        <v>46685791688</v>
      </c>
      <c r="H568" s="850"/>
      <c r="I568" s="850"/>
      <c r="J568" s="850"/>
      <c r="K568" s="850"/>
      <c r="L568" s="850"/>
      <c r="M568" s="850"/>
      <c r="N568" s="850"/>
      <c r="O568" s="850"/>
      <c r="P568" s="850"/>
      <c r="Q568" s="850"/>
      <c r="R568" s="850"/>
      <c r="S568" s="850"/>
    </row>
    <row r="569" spans="1:19">
      <c r="A569" s="850" t="s">
        <v>2931</v>
      </c>
      <c r="B569" s="850" t="s">
        <v>2227</v>
      </c>
      <c r="C569" s="576" t="s">
        <v>2586</v>
      </c>
      <c r="D569" s="850" t="s">
        <v>2486</v>
      </c>
      <c r="E569" s="850" t="s">
        <v>2934</v>
      </c>
      <c r="F569" s="990">
        <f>ROUND(SUMIFS('A0.LS'!L:L,'A0.LS'!D:D,'A4.N2FS Singles'!D569),0)</f>
        <v>34958107612</v>
      </c>
      <c r="G569" s="847">
        <f>ROUND(SUMIFS('A0.LS'!Q:Q,'A0.LS'!D:D,'A4.N2FS Singles'!D569),0)</f>
        <v>29581879871</v>
      </c>
      <c r="H569" s="857"/>
      <c r="I569" s="850"/>
      <c r="J569" s="850"/>
      <c r="K569" s="850"/>
      <c r="L569" s="850"/>
      <c r="M569" s="850"/>
      <c r="N569" s="850"/>
      <c r="O569" s="850"/>
      <c r="P569" s="850"/>
      <c r="Q569" s="850"/>
      <c r="R569" s="850"/>
      <c r="S569" s="850"/>
    </row>
    <row r="570" spans="1:19" ht="25.5">
      <c r="A570" s="850" t="s">
        <v>2931</v>
      </c>
      <c r="B570" s="850" t="s">
        <v>2227</v>
      </c>
      <c r="C570" s="576" t="s">
        <v>2586</v>
      </c>
      <c r="D570" s="859" t="s">
        <v>2485</v>
      </c>
      <c r="E570" s="1003" t="s">
        <v>3178</v>
      </c>
      <c r="F570" s="990">
        <f>ROUND(SUMIFS('A0.LS'!L:L,'A0.LS'!D:D,'A4.N2FS Singles'!D570),0)</f>
        <v>-56888841</v>
      </c>
      <c r="G570" s="847">
        <v>150260161</v>
      </c>
      <c r="H570" s="850"/>
      <c r="I570" s="857"/>
      <c r="J570" s="850"/>
      <c r="K570" s="850"/>
      <c r="L570" s="850"/>
      <c r="M570" s="850"/>
      <c r="N570" s="850"/>
      <c r="O570" s="850"/>
      <c r="P570" s="850"/>
      <c r="Q570" s="850"/>
      <c r="R570" s="850"/>
      <c r="S570" s="850"/>
    </row>
    <row r="571" spans="1:19">
      <c r="A571" s="850" t="s">
        <v>2931</v>
      </c>
      <c r="B571" s="850" t="s">
        <v>2227</v>
      </c>
      <c r="C571" s="576" t="s">
        <v>2586</v>
      </c>
      <c r="D571" s="850" t="s">
        <v>2488</v>
      </c>
      <c r="E571" s="993" t="s">
        <v>2936</v>
      </c>
      <c r="F571" s="990">
        <f>ROUND(SUMIFS('A0.LS'!L:L,'A0.LS'!D:D,'A4.N2FS Singles'!D571),0)</f>
        <v>89342676081</v>
      </c>
      <c r="G571" s="847">
        <f>ROUND(SUMIFS('A0.LS'!Q:Q,'A0.LS'!D:D,'A4.N2FS Singles'!D571),0)</f>
        <v>117297355003</v>
      </c>
      <c r="H571" s="850"/>
      <c r="I571" s="850"/>
      <c r="J571" s="850"/>
      <c r="K571" s="850"/>
      <c r="L571" s="850"/>
      <c r="M571" s="850"/>
      <c r="N571" s="850"/>
      <c r="O571" s="850"/>
      <c r="P571" s="850"/>
      <c r="Q571" s="850"/>
      <c r="R571" s="850"/>
      <c r="S571" s="850"/>
    </row>
    <row r="572" spans="1:19" hidden="1">
      <c r="A572" s="850" t="s">
        <v>2931</v>
      </c>
      <c r="B572" s="850" t="s">
        <v>2227</v>
      </c>
      <c r="C572" s="576" t="s">
        <v>2586</v>
      </c>
      <c r="D572" s="850" t="s">
        <v>2498</v>
      </c>
      <c r="E572" s="850" t="s">
        <v>2937</v>
      </c>
      <c r="F572" s="990">
        <f>ROUND(SUMIFS('A0.LS'!L:L,'A0.LS'!D:D,'A4.N2FS Singles'!D572),0)</f>
        <v>0</v>
      </c>
      <c r="G572" s="847">
        <f>ROUND(SUMIFS('A0.LS'!Q:Q,'A0.LS'!D:D,'A4.N2FS Singles'!D572),0)</f>
        <v>0</v>
      </c>
      <c r="H572" s="850"/>
      <c r="I572" s="850"/>
      <c r="J572" s="850"/>
      <c r="K572" s="850"/>
      <c r="L572" s="850"/>
      <c r="M572" s="850"/>
      <c r="N572" s="850"/>
      <c r="O572" s="850"/>
      <c r="P572" s="850"/>
      <c r="Q572" s="850"/>
      <c r="R572" s="850"/>
      <c r="S572" s="850"/>
    </row>
    <row r="573" spans="1:19" hidden="1">
      <c r="A573" s="850" t="s">
        <v>2931</v>
      </c>
      <c r="B573" s="850" t="s">
        <v>2227</v>
      </c>
      <c r="C573" s="576" t="s">
        <v>2586</v>
      </c>
      <c r="D573" s="850" t="s">
        <v>2505</v>
      </c>
      <c r="E573" s="850" t="s">
        <v>2510</v>
      </c>
      <c r="F573" s="990">
        <f>ROUND(SUMIFS('A0.LS'!L:L,'A0.LS'!D:D,'A4.N2FS Singles'!D573),0)</f>
        <v>0</v>
      </c>
      <c r="G573" s="847">
        <f>ROUND(SUMIFS('A0.LS'!Q:Q,'A0.LS'!D:D,'A4.N2FS Singles'!D573),0)</f>
        <v>0</v>
      </c>
      <c r="H573" s="850"/>
      <c r="I573" s="850"/>
      <c r="J573" s="850"/>
      <c r="K573" s="850"/>
      <c r="L573" s="850"/>
      <c r="M573" s="850"/>
      <c r="N573" s="850"/>
      <c r="O573" s="850"/>
      <c r="P573" s="850"/>
      <c r="Q573" s="850"/>
      <c r="R573" s="850"/>
      <c r="S573" s="850"/>
    </row>
    <row r="574" spans="1:19">
      <c r="A574" s="850" t="s">
        <v>2931</v>
      </c>
      <c r="B574" s="850" t="s">
        <v>2227</v>
      </c>
      <c r="C574" s="576" t="s">
        <v>2586</v>
      </c>
      <c r="D574" s="850" t="s">
        <v>2508</v>
      </c>
      <c r="E574" s="850" t="s">
        <v>2938</v>
      </c>
      <c r="F574" s="990">
        <f>ROUND(SUMIFS('A0.LS'!L:L,'A0.LS'!D:D,'A4.N2FS Singles'!D574),0)</f>
        <v>15391572</v>
      </c>
      <c r="G574" s="847">
        <f>ROUND(SUMIFS('A0.LS'!Q:Q,'A0.LS'!D:D,'A4.N2FS Singles'!D574),0)</f>
        <v>3226703</v>
      </c>
      <c r="H574" s="850"/>
      <c r="I574" s="850"/>
      <c r="J574" s="850"/>
      <c r="K574" s="850"/>
      <c r="L574" s="850"/>
      <c r="M574" s="850"/>
      <c r="N574" s="850"/>
      <c r="O574" s="850"/>
      <c r="P574" s="850"/>
      <c r="Q574" s="850"/>
      <c r="R574" s="850"/>
      <c r="S574" s="850"/>
    </row>
    <row r="575" spans="1:19" ht="13.5" thickBot="1">
      <c r="A575" s="850" t="s">
        <v>2931</v>
      </c>
      <c r="B575" s="850" t="s">
        <v>2227</v>
      </c>
      <c r="C575" s="576" t="s">
        <v>2586</v>
      </c>
      <c r="D575" s="850"/>
      <c r="E575" s="850"/>
      <c r="F575" s="1559">
        <f>SUM(F567:F574)</f>
        <v>132475659644</v>
      </c>
      <c r="G575" s="1561">
        <f>SUM(G567:G574)</f>
        <v>193811307945</v>
      </c>
      <c r="H575" s="850"/>
      <c r="I575" s="850"/>
      <c r="J575" s="850"/>
      <c r="K575" s="850"/>
      <c r="L575" s="850"/>
      <c r="M575" s="850"/>
      <c r="N575" s="850"/>
      <c r="O575" s="850"/>
      <c r="P575" s="850"/>
      <c r="Q575" s="850"/>
      <c r="R575" s="850"/>
      <c r="S575" s="850"/>
    </row>
    <row r="576" spans="1:19" ht="13.5" thickTop="1">
      <c r="A576" s="850" t="s">
        <v>2931</v>
      </c>
      <c r="B576" s="850" t="s">
        <v>2227</v>
      </c>
      <c r="C576" s="576" t="s">
        <v>2586</v>
      </c>
      <c r="D576" s="850"/>
      <c r="E576" s="850"/>
      <c r="F576" s="850"/>
      <c r="G576" s="850"/>
      <c r="H576" s="850"/>
      <c r="I576" s="850"/>
      <c r="J576" s="850"/>
      <c r="K576" s="850"/>
      <c r="L576" s="850"/>
      <c r="M576" s="850"/>
      <c r="N576" s="850"/>
      <c r="O576" s="850"/>
      <c r="P576" s="850"/>
      <c r="Q576" s="850"/>
      <c r="R576" s="850"/>
      <c r="S576" s="850"/>
    </row>
    <row r="577" spans="1:19">
      <c r="A577" s="850" t="s">
        <v>2931</v>
      </c>
      <c r="B577" s="850" t="s">
        <v>2227</v>
      </c>
      <c r="C577" s="576" t="s">
        <v>2586</v>
      </c>
      <c r="D577" s="850"/>
      <c r="E577" s="1" t="s">
        <v>1970</v>
      </c>
      <c r="F577" s="857">
        <f>F575+'A2.PL'!G13</f>
        <v>0</v>
      </c>
      <c r="G577" s="857">
        <f>G575+'A2.PL'!L13</f>
        <v>0</v>
      </c>
      <c r="H577" s="850"/>
      <c r="I577" s="850"/>
      <c r="J577" s="850"/>
      <c r="K577" s="850"/>
      <c r="L577" s="850"/>
      <c r="M577" s="850"/>
      <c r="N577" s="850"/>
      <c r="O577" s="850"/>
      <c r="P577" s="850"/>
      <c r="Q577" s="850"/>
      <c r="R577" s="850"/>
      <c r="S577" s="850"/>
    </row>
    <row r="578" spans="1:19">
      <c r="A578" s="850" t="s">
        <v>2931</v>
      </c>
      <c r="B578" s="850" t="s">
        <v>2227</v>
      </c>
      <c r="C578" s="576" t="s">
        <v>2586</v>
      </c>
      <c r="D578" s="850"/>
      <c r="E578" s="850"/>
      <c r="F578" s="850"/>
      <c r="G578" s="850"/>
      <c r="H578" s="850"/>
      <c r="I578" s="850"/>
      <c r="J578" s="850"/>
      <c r="K578" s="850"/>
      <c r="L578" s="850"/>
      <c r="M578" s="850"/>
      <c r="N578" s="850"/>
      <c r="O578" s="850"/>
      <c r="P578" s="850"/>
      <c r="Q578" s="850"/>
      <c r="R578" s="850"/>
      <c r="S578" s="850"/>
    </row>
    <row r="579" spans="1:19">
      <c r="A579" s="172"/>
      <c r="B579" s="172" t="s">
        <v>2188</v>
      </c>
      <c r="C579" s="172" t="s">
        <v>681</v>
      </c>
      <c r="D579" s="172"/>
      <c r="E579" s="562" t="s">
        <v>3179</v>
      </c>
      <c r="F579" s="172"/>
      <c r="G579" s="172"/>
      <c r="H579" s="172"/>
      <c r="I579" s="172"/>
      <c r="J579" s="172"/>
      <c r="K579" s="172"/>
      <c r="L579" s="172"/>
      <c r="M579" s="172"/>
      <c r="N579" s="172"/>
      <c r="O579" s="172"/>
      <c r="P579" s="172"/>
      <c r="Q579" s="172"/>
      <c r="R579" s="172"/>
      <c r="S579" s="172"/>
    </row>
    <row r="580" spans="1:19">
      <c r="A580" s="850" t="s">
        <v>2585</v>
      </c>
      <c r="B580" s="850" t="s">
        <v>2188</v>
      </c>
      <c r="C580" s="576" t="s">
        <v>2586</v>
      </c>
      <c r="D580" s="850"/>
      <c r="E580" s="850"/>
      <c r="F580" s="850"/>
      <c r="G580" s="850"/>
      <c r="H580" s="850"/>
      <c r="I580" s="850"/>
      <c r="J580" s="850"/>
      <c r="K580" s="850"/>
      <c r="L580" s="850"/>
      <c r="M580" s="850"/>
      <c r="N580" s="850"/>
      <c r="O580" s="850"/>
      <c r="P580" s="850"/>
      <c r="Q580" s="850"/>
      <c r="R580" s="850"/>
      <c r="S580" s="850"/>
    </row>
    <row r="581" spans="1:19" ht="25.5">
      <c r="A581" s="850" t="s">
        <v>2585</v>
      </c>
      <c r="B581" s="850" t="s">
        <v>2188</v>
      </c>
      <c r="C581" s="576" t="s">
        <v>2586</v>
      </c>
      <c r="D581" s="850"/>
      <c r="E581" s="850"/>
      <c r="F581" s="173" t="s">
        <v>2867</v>
      </c>
      <c r="G581" s="174" t="s">
        <v>2868</v>
      </c>
      <c r="H581" s="850"/>
      <c r="I581" s="850"/>
      <c r="J581" s="850"/>
      <c r="K581" s="850"/>
      <c r="L581" s="850"/>
      <c r="M581" s="850"/>
      <c r="N581" s="850"/>
      <c r="O581" s="850"/>
      <c r="P581" s="850"/>
      <c r="Q581" s="850"/>
      <c r="R581" s="850"/>
      <c r="S581" s="850"/>
    </row>
    <row r="582" spans="1:19">
      <c r="A582" s="850" t="s">
        <v>2585</v>
      </c>
      <c r="B582" s="850" t="s">
        <v>2188</v>
      </c>
      <c r="C582" s="576" t="s">
        <v>2586</v>
      </c>
      <c r="D582" s="850"/>
      <c r="E582" s="1" t="s">
        <v>443</v>
      </c>
      <c r="F582" s="992"/>
      <c r="G582" s="993"/>
      <c r="H582" s="850"/>
      <c r="I582" s="850"/>
      <c r="J582" s="850"/>
      <c r="K582" s="850"/>
      <c r="L582" s="850"/>
      <c r="M582" s="850"/>
      <c r="N582" s="850"/>
      <c r="O582" s="850"/>
      <c r="P582" s="850"/>
      <c r="Q582" s="850"/>
      <c r="R582" s="850"/>
      <c r="S582" s="850"/>
    </row>
    <row r="583" spans="1:19">
      <c r="A583" s="850" t="s">
        <v>2585</v>
      </c>
      <c r="B583" s="850" t="s">
        <v>2188</v>
      </c>
      <c r="C583" s="576" t="s">
        <v>2586</v>
      </c>
      <c r="D583" s="850"/>
      <c r="E583" s="850" t="s">
        <v>2940</v>
      </c>
      <c r="F583" s="990">
        <v>0</v>
      </c>
      <c r="G583" s="847">
        <v>0</v>
      </c>
      <c r="H583" s="850"/>
      <c r="I583" s="848"/>
      <c r="J583" s="848"/>
      <c r="K583" s="850"/>
      <c r="L583" s="850"/>
      <c r="M583" s="850"/>
      <c r="N583" s="850"/>
      <c r="O583" s="850"/>
      <c r="P583" s="850"/>
      <c r="Q583" s="850"/>
      <c r="R583" s="850"/>
      <c r="S583" s="850"/>
    </row>
    <row r="584" spans="1:19">
      <c r="A584" s="850" t="s">
        <v>2585</v>
      </c>
      <c r="B584" s="850" t="s">
        <v>2188</v>
      </c>
      <c r="C584" s="576" t="s">
        <v>2586</v>
      </c>
      <c r="D584" s="850"/>
      <c r="E584" s="850" t="s">
        <v>2941</v>
      </c>
      <c r="F584" s="990">
        <f>-'A0.LS'!I351</f>
        <v>33867552</v>
      </c>
      <c r="G584" s="847">
        <v>14978720</v>
      </c>
      <c r="H584" s="850"/>
      <c r="I584" s="848"/>
      <c r="J584" s="857"/>
      <c r="K584" s="850"/>
      <c r="L584" s="850"/>
      <c r="M584" s="850"/>
      <c r="N584" s="850"/>
      <c r="O584" s="850"/>
      <c r="P584" s="850"/>
      <c r="Q584" s="850"/>
      <c r="R584" s="850"/>
      <c r="S584" s="850"/>
    </row>
    <row r="585" spans="1:19">
      <c r="A585" s="850" t="s">
        <v>2585</v>
      </c>
      <c r="B585" s="850" t="s">
        <v>2188</v>
      </c>
      <c r="C585" s="576" t="s">
        <v>2586</v>
      </c>
      <c r="D585" s="850"/>
      <c r="E585" s="850"/>
      <c r="F585" s="1606">
        <f>SUM(F583:F584)</f>
        <v>33867552</v>
      </c>
      <c r="G585" s="1605">
        <f>SUM(G583:G584)</f>
        <v>14978720</v>
      </c>
      <c r="H585" s="850"/>
      <c r="I585" s="850"/>
      <c r="J585" s="850"/>
      <c r="K585" s="850"/>
      <c r="L585" s="850"/>
      <c r="M585" s="850"/>
      <c r="N585" s="850"/>
      <c r="O585" s="850"/>
      <c r="P585" s="850"/>
      <c r="Q585" s="850"/>
      <c r="R585" s="850"/>
      <c r="S585" s="850"/>
    </row>
    <row r="586" spans="1:19">
      <c r="A586" s="850" t="s">
        <v>2585</v>
      </c>
      <c r="B586" s="850" t="s">
        <v>2188</v>
      </c>
      <c r="C586" s="576" t="s">
        <v>2586</v>
      </c>
      <c r="D586" s="850"/>
      <c r="E586" s="850"/>
      <c r="F586" s="850"/>
      <c r="G586" s="850"/>
      <c r="H586" s="850"/>
      <c r="I586" s="857"/>
      <c r="J586" s="857"/>
      <c r="K586" s="850"/>
      <c r="L586" s="850"/>
      <c r="M586" s="850"/>
      <c r="N586" s="850"/>
      <c r="O586" s="850"/>
      <c r="P586" s="850"/>
      <c r="Q586" s="850"/>
      <c r="R586" s="850"/>
      <c r="S586" s="850"/>
    </row>
    <row r="587" spans="1:19">
      <c r="A587" s="850" t="s">
        <v>2585</v>
      </c>
      <c r="B587" s="850" t="s">
        <v>2188</v>
      </c>
      <c r="C587" s="576" t="s">
        <v>2586</v>
      </c>
      <c r="D587" s="850"/>
      <c r="E587" s="1" t="s">
        <v>445</v>
      </c>
      <c r="F587" s="850"/>
      <c r="G587" s="850"/>
      <c r="H587" s="850"/>
      <c r="I587" s="857"/>
      <c r="J587" s="850"/>
      <c r="K587" s="850"/>
      <c r="L587" s="850"/>
      <c r="M587" s="850"/>
      <c r="N587" s="850"/>
      <c r="O587" s="850"/>
      <c r="P587" s="850"/>
      <c r="Q587" s="850"/>
      <c r="R587" s="850"/>
      <c r="S587" s="850"/>
    </row>
    <row r="588" spans="1:19">
      <c r="A588" s="850" t="s">
        <v>2585</v>
      </c>
      <c r="B588" s="850" t="s">
        <v>2188</v>
      </c>
      <c r="C588" s="576" t="s">
        <v>2586</v>
      </c>
      <c r="D588" s="850"/>
      <c r="E588" s="1006" t="s">
        <v>3180</v>
      </c>
      <c r="F588" s="1025">
        <f>-'A0.LS'!L352-'A4.N2FS Singles'!F589</f>
        <v>-26293277840</v>
      </c>
      <c r="G588" s="847">
        <f>-1984554790</f>
        <v>-1984554790</v>
      </c>
      <c r="H588" s="857">
        <f>F588+F583</f>
        <v>-26293277840</v>
      </c>
      <c r="I588" s="850"/>
      <c r="J588" s="850"/>
      <c r="K588" s="850"/>
      <c r="L588" s="850"/>
      <c r="M588" s="850"/>
      <c r="N588" s="850"/>
      <c r="O588" s="850"/>
      <c r="P588" s="850"/>
      <c r="Q588" s="850"/>
      <c r="R588" s="850"/>
      <c r="S588" s="850"/>
    </row>
    <row r="589" spans="1:19">
      <c r="A589" s="850" t="s">
        <v>2585</v>
      </c>
      <c r="B589" s="850" t="s">
        <v>2188</v>
      </c>
      <c r="C589" s="576" t="s">
        <v>2586</v>
      </c>
      <c r="D589" s="850"/>
      <c r="E589" s="850" t="s">
        <v>2941</v>
      </c>
      <c r="F589" s="1026">
        <f>-8929843</f>
        <v>-8929843</v>
      </c>
      <c r="G589" s="847">
        <f>-9294809</f>
        <v>-9294809</v>
      </c>
      <c r="H589" s="850"/>
      <c r="I589" s="850"/>
      <c r="J589" s="850"/>
      <c r="K589" s="850"/>
      <c r="L589" s="850"/>
      <c r="M589" s="850"/>
      <c r="N589" s="850"/>
      <c r="O589" s="850"/>
      <c r="P589" s="850"/>
      <c r="Q589" s="850"/>
      <c r="R589" s="850"/>
      <c r="S589" s="850"/>
    </row>
    <row r="590" spans="1:19">
      <c r="A590" s="850" t="s">
        <v>2585</v>
      </c>
      <c r="B590" s="850" t="s">
        <v>2188</v>
      </c>
      <c r="C590" s="576" t="s">
        <v>2586</v>
      </c>
      <c r="D590" s="850"/>
      <c r="E590" s="850"/>
      <c r="F590" s="1606">
        <f>SUM(F588:F589)</f>
        <v>-26302207683</v>
      </c>
      <c r="G590" s="1605">
        <f>SUM(G588:G589)</f>
        <v>-1993849599</v>
      </c>
      <c r="H590" s="850"/>
      <c r="I590" s="848"/>
      <c r="J590" s="850"/>
      <c r="K590" s="850"/>
      <c r="L590" s="850"/>
      <c r="M590" s="850"/>
      <c r="N590" s="850"/>
      <c r="O590" s="850"/>
      <c r="P590" s="850"/>
      <c r="Q590" s="850"/>
      <c r="R590" s="850"/>
      <c r="S590" s="850"/>
    </row>
    <row r="591" spans="1:19">
      <c r="A591" s="850" t="s">
        <v>2585</v>
      </c>
      <c r="B591" s="850" t="s">
        <v>2188</v>
      </c>
      <c r="C591" s="576" t="s">
        <v>2586</v>
      </c>
      <c r="D591" s="850"/>
      <c r="E591" s="850"/>
      <c r="F591" s="850"/>
      <c r="G591" s="850"/>
      <c r="H591" s="850"/>
      <c r="I591" s="850"/>
      <c r="J591" s="850"/>
      <c r="K591" s="850"/>
      <c r="L591" s="850"/>
      <c r="M591" s="850"/>
      <c r="N591" s="850"/>
      <c r="O591" s="850"/>
      <c r="P591" s="850"/>
      <c r="Q591" s="850"/>
      <c r="R591" s="850"/>
      <c r="S591" s="850"/>
    </row>
    <row r="592" spans="1:19">
      <c r="A592" s="850" t="s">
        <v>2585</v>
      </c>
      <c r="B592" s="850" t="s">
        <v>2188</v>
      </c>
      <c r="C592" s="576" t="s">
        <v>2586</v>
      </c>
      <c r="D592" s="850"/>
      <c r="E592" s="850" t="s">
        <v>2943</v>
      </c>
      <c r="F592" s="990">
        <f>SUM(F583,F588)</f>
        <v>-26293277840</v>
      </c>
      <c r="G592" s="847">
        <f>G583+G588</f>
        <v>-1984554790</v>
      </c>
      <c r="H592" s="850"/>
      <c r="I592" s="850"/>
      <c r="J592" s="850"/>
      <c r="K592" s="850"/>
      <c r="L592" s="850"/>
      <c r="M592" s="850"/>
      <c r="N592" s="850"/>
      <c r="O592" s="850"/>
      <c r="P592" s="850"/>
      <c r="Q592" s="850"/>
      <c r="R592" s="850"/>
      <c r="S592" s="850"/>
    </row>
    <row r="593" spans="1:19">
      <c r="A593" s="850" t="s">
        <v>2585</v>
      </c>
      <c r="B593" s="850" t="s">
        <v>2188</v>
      </c>
      <c r="C593" s="576" t="s">
        <v>2586</v>
      </c>
      <c r="D593" s="850"/>
      <c r="E593" s="850" t="s">
        <v>2944</v>
      </c>
      <c r="F593" s="990">
        <f>SUM(F584,F589)</f>
        <v>24937709</v>
      </c>
      <c r="G593" s="847">
        <f>G584+G589</f>
        <v>5683911</v>
      </c>
      <c r="H593" s="850"/>
      <c r="I593" s="848"/>
      <c r="J593" s="850"/>
      <c r="K593" s="850"/>
      <c r="L593" s="850"/>
      <c r="M593" s="850"/>
      <c r="N593" s="850"/>
      <c r="O593" s="850"/>
      <c r="P593" s="850"/>
      <c r="Q593" s="850"/>
      <c r="R593" s="850"/>
      <c r="S593" s="850"/>
    </row>
    <row r="594" spans="1:19" ht="13.5" thickBot="1">
      <c r="A594" s="850" t="s">
        <v>2585</v>
      </c>
      <c r="B594" s="850" t="s">
        <v>2188</v>
      </c>
      <c r="C594" s="576" t="s">
        <v>2586</v>
      </c>
      <c r="D594" s="850"/>
      <c r="E594" s="1" t="s">
        <v>2945</v>
      </c>
      <c r="F594" s="1562">
        <f>SUM(F592:F593)</f>
        <v>-26268340131</v>
      </c>
      <c r="G594" s="1563">
        <f>SUM(G592:G593)</f>
        <v>-1978870879</v>
      </c>
      <c r="H594" s="850"/>
      <c r="I594" s="850"/>
      <c r="J594" s="850"/>
      <c r="K594" s="850"/>
      <c r="L594" s="850"/>
      <c r="M594" s="850"/>
      <c r="N594" s="850"/>
      <c r="O594" s="850"/>
      <c r="P594" s="850"/>
      <c r="Q594" s="850"/>
      <c r="R594" s="850"/>
      <c r="S594" s="850"/>
    </row>
    <row r="595" spans="1:19" ht="13.5" thickTop="1">
      <c r="A595" s="850" t="s">
        <v>2585</v>
      </c>
      <c r="B595" s="850" t="s">
        <v>2188</v>
      </c>
      <c r="C595" s="576" t="s">
        <v>2586</v>
      </c>
      <c r="D595" s="850"/>
      <c r="E595" s="850"/>
      <c r="F595" s="850"/>
      <c r="G595" s="850"/>
      <c r="H595" s="850"/>
      <c r="I595" s="850"/>
      <c r="J595" s="850"/>
      <c r="K595" s="850"/>
      <c r="L595" s="850"/>
      <c r="M595" s="850"/>
      <c r="N595" s="850"/>
      <c r="O595" s="850"/>
      <c r="P595" s="850"/>
      <c r="Q595" s="850"/>
      <c r="R595" s="850"/>
      <c r="S595" s="850"/>
    </row>
    <row r="596" spans="1:19">
      <c r="A596" s="850" t="s">
        <v>2585</v>
      </c>
      <c r="B596" s="850" t="s">
        <v>2188</v>
      </c>
      <c r="C596" s="576" t="s">
        <v>2586</v>
      </c>
      <c r="D596" s="850"/>
      <c r="E596" s="1" t="s">
        <v>1970</v>
      </c>
      <c r="F596" s="857">
        <f>F585-'A2.PL'!G19</f>
        <v>0</v>
      </c>
      <c r="G596" s="857">
        <f>G585-'A2.PL'!L19</f>
        <v>0</v>
      </c>
      <c r="H596" s="850"/>
      <c r="I596" s="850"/>
      <c r="J596" s="850"/>
      <c r="K596" s="850"/>
      <c r="L596" s="850"/>
      <c r="M596" s="850"/>
      <c r="N596" s="850"/>
      <c r="O596" s="850"/>
      <c r="P596" s="850"/>
      <c r="Q596" s="850"/>
      <c r="R596" s="850"/>
      <c r="S596" s="850"/>
    </row>
    <row r="597" spans="1:19">
      <c r="A597" s="850" t="s">
        <v>2585</v>
      </c>
      <c r="B597" s="850" t="s">
        <v>2188</v>
      </c>
      <c r="C597" s="576" t="s">
        <v>2586</v>
      </c>
      <c r="D597" s="850"/>
      <c r="E597" s="1" t="s">
        <v>1970</v>
      </c>
      <c r="F597" s="857">
        <f>F590-'A2.PL'!G20</f>
        <v>0</v>
      </c>
      <c r="G597" s="857">
        <f>G590-'A2.PL'!L20</f>
        <v>0</v>
      </c>
      <c r="H597" s="850"/>
      <c r="I597" s="850"/>
      <c r="J597" s="850"/>
      <c r="K597" s="850"/>
      <c r="L597" s="850"/>
      <c r="M597" s="850"/>
      <c r="N597" s="850"/>
      <c r="O597" s="850"/>
      <c r="P597" s="850"/>
      <c r="Q597" s="850"/>
      <c r="R597" s="850"/>
      <c r="S597" s="850"/>
    </row>
    <row r="598" spans="1:19">
      <c r="A598" s="850" t="s">
        <v>2585</v>
      </c>
      <c r="B598" s="850" t="s">
        <v>2188</v>
      </c>
      <c r="C598" s="576" t="s">
        <v>2586</v>
      </c>
      <c r="D598" s="850"/>
      <c r="E598" s="1" t="s">
        <v>1970</v>
      </c>
      <c r="F598" s="857">
        <f>F594-'A2.PL'!G21</f>
        <v>0</v>
      </c>
      <c r="G598" s="857">
        <f>G594-'A2.PL'!L21</f>
        <v>0</v>
      </c>
      <c r="H598" s="850"/>
      <c r="I598" s="850"/>
      <c r="J598" s="850"/>
      <c r="K598" s="850"/>
      <c r="L598" s="850"/>
      <c r="M598" s="850"/>
      <c r="N598" s="850"/>
      <c r="O598" s="850"/>
      <c r="P598" s="850"/>
      <c r="Q598" s="850"/>
      <c r="R598" s="850"/>
      <c r="S598" s="850"/>
    </row>
    <row r="599" spans="1:19">
      <c r="A599" s="850" t="s">
        <v>2585</v>
      </c>
      <c r="B599" s="850" t="s">
        <v>2188</v>
      </c>
      <c r="C599" s="576" t="s">
        <v>2586</v>
      </c>
      <c r="D599" s="850"/>
      <c r="E599" s="1"/>
      <c r="F599" s="857">
        <f>F594+G52</f>
        <v>-909819998</v>
      </c>
      <c r="G599" s="850"/>
      <c r="H599" s="850"/>
      <c r="I599" s="850"/>
      <c r="J599" s="850"/>
      <c r="K599" s="850"/>
      <c r="L599" s="850"/>
      <c r="M599" s="850"/>
      <c r="N599" s="850"/>
      <c r="O599" s="850"/>
      <c r="P599" s="850"/>
      <c r="Q599" s="850"/>
      <c r="R599" s="850"/>
      <c r="S599" s="850"/>
    </row>
    <row r="600" spans="1:19">
      <c r="A600" s="172"/>
      <c r="B600" s="172" t="s">
        <v>2188</v>
      </c>
      <c r="C600" s="172" t="s">
        <v>681</v>
      </c>
      <c r="D600" s="172"/>
      <c r="E600" s="562" t="s">
        <v>3181</v>
      </c>
      <c r="F600" s="172"/>
      <c r="G600" s="172"/>
      <c r="H600" s="172"/>
      <c r="I600" s="172"/>
      <c r="J600" s="172"/>
      <c r="K600" s="172"/>
      <c r="L600" s="172"/>
      <c r="M600" s="172"/>
      <c r="N600" s="172"/>
      <c r="O600" s="172"/>
      <c r="P600" s="172"/>
      <c r="Q600" s="172"/>
      <c r="R600" s="172"/>
      <c r="S600" s="172"/>
    </row>
    <row r="601" spans="1:19">
      <c r="A601" s="850" t="s">
        <v>2602</v>
      </c>
      <c r="B601" s="850" t="s">
        <v>2188</v>
      </c>
      <c r="C601" s="576" t="s">
        <v>2586</v>
      </c>
      <c r="D601" s="850" t="s">
        <v>3182</v>
      </c>
      <c r="E601" s="850"/>
      <c r="F601" s="850"/>
      <c r="G601" s="850"/>
      <c r="H601" s="850"/>
      <c r="I601" s="850"/>
      <c r="J601" s="850"/>
      <c r="K601" s="850"/>
      <c r="L601" s="850"/>
      <c r="M601" s="850"/>
      <c r="N601" s="850"/>
      <c r="O601" s="850"/>
      <c r="P601" s="850"/>
      <c r="Q601" s="850"/>
      <c r="R601" s="850"/>
      <c r="S601" s="850"/>
    </row>
    <row r="602" spans="1:19" ht="25.5">
      <c r="A602" s="850" t="s">
        <v>2602</v>
      </c>
      <c r="B602" s="850" t="s">
        <v>2188</v>
      </c>
      <c r="C602" s="576" t="s">
        <v>2586</v>
      </c>
      <c r="D602" s="850"/>
      <c r="E602" s="850"/>
      <c r="F602" s="173" t="s">
        <v>2867</v>
      </c>
      <c r="G602" s="174" t="s">
        <v>2868</v>
      </c>
      <c r="H602" s="850"/>
      <c r="I602" s="899"/>
      <c r="J602" s="850"/>
      <c r="K602" s="850"/>
      <c r="L602" s="850"/>
      <c r="M602" s="850"/>
      <c r="N602" s="850"/>
      <c r="O602" s="850"/>
      <c r="P602" s="850"/>
      <c r="Q602" s="850"/>
      <c r="R602" s="850"/>
      <c r="S602" s="850"/>
    </row>
    <row r="603" spans="1:19">
      <c r="A603" s="850" t="s">
        <v>2602</v>
      </c>
      <c r="B603" s="850" t="s">
        <v>2188</v>
      </c>
      <c r="C603" s="576" t="s">
        <v>2586</v>
      </c>
      <c r="D603" s="850"/>
      <c r="E603" s="1003" t="s">
        <v>2948</v>
      </c>
      <c r="F603" s="994">
        <f>F532+F547</f>
        <v>3651366697</v>
      </c>
      <c r="G603" s="998">
        <f>G532+G547</f>
        <v>20490748374</v>
      </c>
      <c r="H603" s="850"/>
      <c r="I603" s="850"/>
      <c r="J603" s="850"/>
      <c r="K603" s="850"/>
      <c r="L603" s="850"/>
      <c r="M603" s="850"/>
      <c r="N603" s="850"/>
      <c r="O603" s="850"/>
      <c r="P603" s="850"/>
      <c r="Q603" s="850"/>
      <c r="R603" s="850"/>
      <c r="S603" s="850"/>
    </row>
    <row r="604" spans="1:19" ht="25.5">
      <c r="A604" s="850" t="s">
        <v>2602</v>
      </c>
      <c r="B604" s="850" t="s">
        <v>2188</v>
      </c>
      <c r="C604" s="576" t="s">
        <v>2586</v>
      </c>
      <c r="D604" s="850"/>
      <c r="E604" s="1003" t="s">
        <v>3183</v>
      </c>
      <c r="F604" s="994">
        <f>I204+F228</f>
        <v>3982574676</v>
      </c>
      <c r="G604" s="998">
        <f>G552+G537+'A0.LS'!Q211</f>
        <v>2748723953</v>
      </c>
      <c r="H604" s="850"/>
      <c r="I604" s="848"/>
      <c r="J604" s="850"/>
      <c r="K604" s="850"/>
      <c r="L604" s="850"/>
      <c r="M604" s="850"/>
      <c r="N604" s="850"/>
      <c r="O604" s="850"/>
      <c r="P604" s="850"/>
      <c r="Q604" s="850"/>
      <c r="R604" s="850"/>
      <c r="S604" s="850"/>
    </row>
    <row r="605" spans="1:19">
      <c r="A605" s="850" t="s">
        <v>2602</v>
      </c>
      <c r="B605" s="850" t="s">
        <v>2188</v>
      </c>
      <c r="C605" s="576" t="s">
        <v>2586</v>
      </c>
      <c r="D605" s="850"/>
      <c r="E605" s="1003" t="s">
        <v>272</v>
      </c>
      <c r="F605" s="994">
        <f>SUM(F515:F516,F518:F519,F521)+SUM(F534:F535)+F551</f>
        <v>19796598485</v>
      </c>
      <c r="G605" s="998">
        <v>26399329923</v>
      </c>
      <c r="H605" s="857"/>
      <c r="I605" s="857"/>
      <c r="J605" s="850"/>
      <c r="K605" s="850"/>
      <c r="L605" s="850"/>
      <c r="M605" s="850"/>
      <c r="N605" s="850"/>
      <c r="O605" s="850"/>
      <c r="P605" s="850"/>
      <c r="Q605" s="850"/>
      <c r="R605" s="850"/>
      <c r="S605" s="850"/>
    </row>
    <row r="606" spans="1:19">
      <c r="A606" s="850" t="s">
        <v>2602</v>
      </c>
      <c r="B606" s="850" t="s">
        <v>2188</v>
      </c>
      <c r="C606" s="576" t="s">
        <v>2586</v>
      </c>
      <c r="D606" s="850"/>
      <c r="E606" s="1003" t="s">
        <v>807</v>
      </c>
      <c r="F606" s="994">
        <f>F607-SUM(F603:F605)</f>
        <v>7672933275</v>
      </c>
      <c r="G606" s="998">
        <f>G607-SUM(G603:G605)</f>
        <v>12350505220</v>
      </c>
      <c r="H606" s="850"/>
      <c r="I606" s="850"/>
      <c r="J606" s="850"/>
      <c r="K606" s="850"/>
      <c r="L606" s="850"/>
      <c r="M606" s="850"/>
      <c r="N606" s="850"/>
      <c r="O606" s="850"/>
      <c r="P606" s="850"/>
      <c r="Q606" s="850"/>
      <c r="R606" s="850"/>
      <c r="S606" s="850"/>
    </row>
    <row r="607" spans="1:19" ht="13.5" thickBot="1">
      <c r="A607" s="850" t="s">
        <v>2602</v>
      </c>
      <c r="B607" s="850" t="s">
        <v>2188</v>
      </c>
      <c r="C607" s="576" t="s">
        <v>2586</v>
      </c>
      <c r="D607" s="850"/>
      <c r="E607" s="850"/>
      <c r="F607" s="1576">
        <f>SUM(F560,F539,F523)</f>
        <v>35103473133</v>
      </c>
      <c r="G607" s="1576">
        <v>61989307470</v>
      </c>
      <c r="H607" s="850"/>
      <c r="I607" s="857"/>
      <c r="J607" s="850"/>
      <c r="K607" s="850"/>
      <c r="L607" s="850"/>
      <c r="M607" s="850"/>
      <c r="N607" s="850"/>
      <c r="O607" s="850"/>
      <c r="P607" s="850"/>
      <c r="Q607" s="850"/>
      <c r="R607" s="850"/>
      <c r="S607" s="850"/>
    </row>
    <row r="608" spans="1:19" ht="13.5" thickTop="1">
      <c r="A608" s="850" t="s">
        <v>2602</v>
      </c>
      <c r="B608" s="850" t="s">
        <v>2188</v>
      </c>
      <c r="C608" s="576" t="s">
        <v>2586</v>
      </c>
      <c r="D608" s="850"/>
      <c r="E608" s="850"/>
      <c r="F608" s="850"/>
      <c r="G608" s="850"/>
      <c r="H608" s="850"/>
      <c r="I608" s="850"/>
      <c r="J608" s="850"/>
      <c r="K608" s="850"/>
      <c r="L608" s="850"/>
      <c r="M608" s="850"/>
      <c r="N608" s="850"/>
      <c r="O608" s="850"/>
      <c r="P608" s="850"/>
      <c r="Q608" s="850"/>
      <c r="R608" s="850"/>
      <c r="S608" s="850"/>
    </row>
    <row r="609" spans="1:19">
      <c r="A609" s="850" t="s">
        <v>2602</v>
      </c>
      <c r="B609" s="850" t="s">
        <v>2188</v>
      </c>
      <c r="C609" s="576" t="s">
        <v>2586</v>
      </c>
      <c r="D609" s="850"/>
      <c r="E609" s="1" t="s">
        <v>1970</v>
      </c>
      <c r="F609" s="857">
        <f>F604-(I204+F228)</f>
        <v>0</v>
      </c>
      <c r="G609" s="857"/>
      <c r="H609" s="850"/>
      <c r="I609" s="850"/>
      <c r="J609" s="850"/>
      <c r="K609" s="850"/>
      <c r="L609" s="850"/>
      <c r="M609" s="850"/>
      <c r="N609" s="850"/>
      <c r="O609" s="850"/>
      <c r="P609" s="850"/>
      <c r="Q609" s="850"/>
      <c r="R609" s="850"/>
      <c r="S609" s="850"/>
    </row>
    <row r="610" spans="1:19">
      <c r="A610" s="850" t="s">
        <v>2602</v>
      </c>
      <c r="B610" s="850" t="s">
        <v>2188</v>
      </c>
      <c r="C610" s="576" t="s">
        <v>2586</v>
      </c>
      <c r="D610" s="850"/>
      <c r="E610" s="1" t="s">
        <v>1970</v>
      </c>
      <c r="F610" s="857">
        <f>F607+SUM('A2.PL'!G9,'A2.PL'!G15:G16)</f>
        <v>2</v>
      </c>
      <c r="G610" s="857">
        <f>G607+SUM('A2.PL'!L9,'A2.PL'!L15:L16)</f>
        <v>0</v>
      </c>
      <c r="H610" s="850"/>
      <c r="I610" s="850"/>
      <c r="J610" s="850"/>
      <c r="K610" s="850"/>
      <c r="L610" s="850"/>
      <c r="M610" s="850"/>
      <c r="N610" s="850"/>
      <c r="O610" s="850"/>
      <c r="P610" s="850"/>
      <c r="Q610" s="850"/>
      <c r="R610" s="850"/>
      <c r="S610" s="850"/>
    </row>
    <row r="611" spans="1:19">
      <c r="A611" s="850" t="s">
        <v>2602</v>
      </c>
      <c r="B611" s="850" t="s">
        <v>2188</v>
      </c>
      <c r="C611" s="576" t="s">
        <v>2586</v>
      </c>
      <c r="D611" s="850"/>
      <c r="E611" s="850"/>
      <c r="F611" s="857"/>
      <c r="G611" s="850"/>
      <c r="H611" s="850"/>
      <c r="I611" s="850"/>
      <c r="J611" s="850"/>
      <c r="K611" s="850"/>
      <c r="L611" s="850"/>
      <c r="M611" s="850"/>
      <c r="N611" s="850"/>
      <c r="O611" s="850"/>
      <c r="P611" s="850"/>
      <c r="Q611" s="850"/>
      <c r="R611" s="850"/>
      <c r="S611" s="850"/>
    </row>
    <row r="612" spans="1:19">
      <c r="A612" s="172"/>
      <c r="B612" s="172" t="s">
        <v>675</v>
      </c>
      <c r="C612" s="172" t="s">
        <v>681</v>
      </c>
      <c r="D612" s="172"/>
      <c r="E612" s="562" t="s">
        <v>3184</v>
      </c>
      <c r="F612" s="172"/>
      <c r="G612" s="172"/>
      <c r="H612" s="172"/>
      <c r="I612" s="172"/>
      <c r="J612" s="172"/>
      <c r="K612" s="172"/>
      <c r="L612" s="172"/>
      <c r="M612" s="172"/>
      <c r="N612" s="172"/>
      <c r="O612" s="172"/>
      <c r="P612" s="172"/>
      <c r="Q612" s="172"/>
      <c r="R612" s="172"/>
      <c r="S612" s="172"/>
    </row>
    <row r="613" spans="1:19">
      <c r="A613" s="850"/>
      <c r="B613" s="850"/>
      <c r="C613" s="850"/>
      <c r="D613" s="850"/>
      <c r="E613" s="850"/>
      <c r="F613" s="850"/>
      <c r="G613" s="850"/>
      <c r="H613" s="850"/>
      <c r="I613" s="850"/>
      <c r="J613" s="850"/>
      <c r="K613" s="850"/>
      <c r="L613" s="850"/>
      <c r="M613" s="850"/>
      <c r="N613" s="850"/>
      <c r="O613" s="850"/>
      <c r="P613" s="850"/>
      <c r="Q613" s="850"/>
      <c r="R613" s="850"/>
      <c r="S613" s="850"/>
    </row>
    <row r="614" spans="1:19">
      <c r="A614" s="172"/>
      <c r="B614" s="172" t="s">
        <v>675</v>
      </c>
      <c r="C614" s="172" t="s">
        <v>681</v>
      </c>
      <c r="D614" s="172"/>
      <c r="E614" s="562" t="s">
        <v>3185</v>
      </c>
      <c r="F614" s="172"/>
      <c r="G614" s="172"/>
      <c r="H614" s="172"/>
      <c r="I614" s="172"/>
      <c r="J614" s="172"/>
      <c r="K614" s="172"/>
      <c r="L614" s="172"/>
      <c r="M614" s="172"/>
      <c r="N614" s="172"/>
      <c r="O614" s="172"/>
      <c r="P614" s="172"/>
      <c r="Q614" s="172"/>
      <c r="R614" s="172"/>
      <c r="S614" s="172"/>
    </row>
    <row r="615" spans="1:19">
      <c r="A615" s="850" t="s">
        <v>2585</v>
      </c>
      <c r="B615" s="850" t="s">
        <v>675</v>
      </c>
      <c r="C615" s="576" t="s">
        <v>2586</v>
      </c>
      <c r="D615" s="850"/>
      <c r="E615" s="850"/>
      <c r="F615" s="850"/>
      <c r="G615" s="850"/>
      <c r="H615" s="850"/>
      <c r="I615" s="850"/>
      <c r="J615" s="850"/>
      <c r="K615" s="850"/>
      <c r="L615" s="850"/>
      <c r="M615" s="850"/>
      <c r="N615" s="850"/>
      <c r="O615" s="850"/>
      <c r="P615" s="850"/>
      <c r="Q615" s="850"/>
      <c r="R615" s="850"/>
      <c r="S615" s="850"/>
    </row>
    <row r="616" spans="1:19" ht="25.5">
      <c r="A616" s="850" t="s">
        <v>2585</v>
      </c>
      <c r="B616" s="850" t="s">
        <v>675</v>
      </c>
      <c r="C616" s="576" t="s">
        <v>2586</v>
      </c>
      <c r="D616" s="850"/>
      <c r="E616" s="850"/>
      <c r="F616" s="173" t="s">
        <v>3186</v>
      </c>
      <c r="G616" s="174" t="s">
        <v>3187</v>
      </c>
      <c r="H616" s="850"/>
      <c r="I616" s="850"/>
      <c r="J616" s="850"/>
      <c r="K616" s="850"/>
      <c r="L616" s="850"/>
      <c r="M616" s="850"/>
      <c r="N616" s="850"/>
      <c r="O616" s="850"/>
      <c r="P616" s="850"/>
      <c r="Q616" s="850"/>
      <c r="R616" s="850"/>
      <c r="S616" s="850"/>
    </row>
    <row r="617" spans="1:19">
      <c r="A617" s="850" t="s">
        <v>2585</v>
      </c>
      <c r="B617" s="850" t="s">
        <v>675</v>
      </c>
      <c r="C617" s="576" t="s">
        <v>2586</v>
      </c>
      <c r="D617" s="850"/>
      <c r="E617" s="1" t="s">
        <v>2952</v>
      </c>
      <c r="F617" s="195">
        <f>'A2.PL'!G23</f>
        <v>1806302117</v>
      </c>
      <c r="G617" s="202">
        <f>-57126174103</f>
        <v>-57126174103</v>
      </c>
      <c r="H617" s="850"/>
      <c r="I617" s="850"/>
      <c r="J617" s="850"/>
      <c r="K617" s="850"/>
      <c r="L617" s="850"/>
      <c r="M617" s="850"/>
      <c r="N617" s="850"/>
      <c r="O617" s="850"/>
      <c r="P617" s="850"/>
      <c r="Q617" s="850"/>
      <c r="R617" s="850"/>
      <c r="S617" s="850"/>
    </row>
    <row r="618" spans="1:19">
      <c r="A618" s="850" t="s">
        <v>2585</v>
      </c>
      <c r="B618" s="850" t="s">
        <v>675</v>
      </c>
      <c r="C618" s="576" t="s">
        <v>2586</v>
      </c>
      <c r="D618" s="850"/>
      <c r="E618" s="850" t="s">
        <v>2981</v>
      </c>
      <c r="F618" s="994">
        <f>'Non deductible'!J2</f>
        <v>1409520398.3333333</v>
      </c>
      <c r="G618" s="847">
        <v>912312910</v>
      </c>
      <c r="H618" s="850"/>
      <c r="I618" s="850">
        <v>1</v>
      </c>
      <c r="J618" s="850"/>
      <c r="K618" s="848"/>
      <c r="L618" s="850"/>
      <c r="M618" s="850"/>
      <c r="N618" s="850"/>
      <c r="O618" s="850"/>
      <c r="P618" s="850"/>
      <c r="Q618" s="850"/>
      <c r="R618" s="850"/>
      <c r="S618" s="850"/>
    </row>
    <row r="619" spans="1:19">
      <c r="A619" s="850" t="s">
        <v>2585</v>
      </c>
      <c r="B619" s="850" t="s">
        <v>675</v>
      </c>
      <c r="C619" s="576" t="s">
        <v>2586</v>
      </c>
      <c r="D619" s="850"/>
      <c r="E619" s="850" t="s">
        <v>2983</v>
      </c>
      <c r="F619" s="994">
        <f>-F502</f>
        <v>-52156748</v>
      </c>
      <c r="G619" s="847">
        <f>-105895134</f>
        <v>-105895134</v>
      </c>
      <c r="H619" s="850"/>
      <c r="I619" s="850">
        <v>2</v>
      </c>
      <c r="J619" s="850"/>
      <c r="K619" s="848"/>
      <c r="L619" s="850"/>
      <c r="M619" s="850"/>
      <c r="N619" s="850"/>
      <c r="O619" s="850"/>
      <c r="P619" s="850"/>
      <c r="Q619" s="850"/>
      <c r="R619" s="850"/>
      <c r="S619" s="850"/>
    </row>
    <row r="620" spans="1:19">
      <c r="A620" s="850" t="s">
        <v>2585</v>
      </c>
      <c r="B620" s="850" t="s">
        <v>675</v>
      </c>
      <c r="C620" s="576" t="s">
        <v>2586</v>
      </c>
      <c r="D620" s="850"/>
      <c r="E620" s="850" t="s">
        <v>2963</v>
      </c>
      <c r="F620" s="994">
        <f>H642</f>
        <v>-29456943607.333332</v>
      </c>
      <c r="G620" s="847">
        <v>0</v>
      </c>
      <c r="H620" s="850"/>
      <c r="I620" s="850"/>
      <c r="J620" s="850"/>
      <c r="K620" s="848"/>
      <c r="L620" s="850"/>
      <c r="M620" s="850"/>
      <c r="N620" s="850"/>
      <c r="O620" s="850"/>
      <c r="P620" s="850"/>
      <c r="Q620" s="850"/>
      <c r="R620" s="850"/>
      <c r="S620" s="850"/>
    </row>
    <row r="621" spans="1:19">
      <c r="A621" s="850" t="s">
        <v>2585</v>
      </c>
      <c r="B621" s="850" t="s">
        <v>675</v>
      </c>
      <c r="C621" s="576" t="s">
        <v>2586</v>
      </c>
      <c r="D621" s="850"/>
      <c r="E621" s="850" t="s">
        <v>3188</v>
      </c>
      <c r="F621" s="1027">
        <f>-F592</f>
        <v>26293277840</v>
      </c>
      <c r="G621" s="1028">
        <f>-G592</f>
        <v>1984554790</v>
      </c>
      <c r="H621" s="850"/>
      <c r="I621" s="850">
        <v>3</v>
      </c>
      <c r="J621" s="850"/>
      <c r="K621" s="848"/>
      <c r="L621" s="850"/>
      <c r="M621" s="850"/>
      <c r="N621" s="850"/>
      <c r="O621" s="850"/>
      <c r="P621" s="850"/>
      <c r="Q621" s="850"/>
      <c r="R621" s="850"/>
      <c r="S621" s="850"/>
    </row>
    <row r="622" spans="1:19">
      <c r="A622" s="850" t="s">
        <v>2585</v>
      </c>
      <c r="B622" s="850" t="s">
        <v>675</v>
      </c>
      <c r="C622" s="576" t="s">
        <v>2586</v>
      </c>
      <c r="D622" s="850"/>
      <c r="E622" s="1" t="s">
        <v>3189</v>
      </c>
      <c r="F622" s="200">
        <f>SUM(F617:F621)</f>
        <v>0</v>
      </c>
      <c r="G622" s="203">
        <f>SUM(G617:G621)</f>
        <v>-54335201537</v>
      </c>
      <c r="H622" s="850"/>
      <c r="I622" s="850">
        <v>4</v>
      </c>
      <c r="J622" s="850"/>
      <c r="K622" s="848"/>
      <c r="L622" s="850"/>
      <c r="M622" s="850"/>
      <c r="N622" s="850"/>
      <c r="O622" s="850"/>
      <c r="P622" s="850"/>
      <c r="Q622" s="850"/>
      <c r="R622" s="850"/>
      <c r="S622" s="850"/>
    </row>
    <row r="623" spans="1:19">
      <c r="A623" s="850" t="s">
        <v>2585</v>
      </c>
      <c r="B623" s="850" t="s">
        <v>675</v>
      </c>
      <c r="C623" s="576" t="s">
        <v>2586</v>
      </c>
      <c r="D623" s="850"/>
      <c r="E623" s="850" t="s">
        <v>2966</v>
      </c>
      <c r="F623" s="1023">
        <v>0.2</v>
      </c>
      <c r="G623" s="1029">
        <v>0.2</v>
      </c>
      <c r="H623" s="850"/>
      <c r="I623" s="850"/>
      <c r="J623" s="850"/>
      <c r="K623" s="850"/>
      <c r="L623" s="850"/>
      <c r="M623" s="850"/>
      <c r="N623" s="850"/>
      <c r="O623" s="850"/>
      <c r="P623" s="850"/>
      <c r="Q623" s="850"/>
      <c r="R623" s="850"/>
      <c r="S623" s="850"/>
    </row>
    <row r="624" spans="1:19">
      <c r="A624" s="850" t="s">
        <v>2585</v>
      </c>
      <c r="B624" s="850" t="s">
        <v>675</v>
      </c>
      <c r="C624" s="576" t="s">
        <v>2586</v>
      </c>
      <c r="D624" s="850"/>
      <c r="E624" s="850" t="s">
        <v>2967</v>
      </c>
      <c r="F624" s="1030">
        <f>F622*F623</f>
        <v>0</v>
      </c>
      <c r="G624" s="1031">
        <v>0</v>
      </c>
      <c r="H624" s="850"/>
      <c r="I624" s="850"/>
      <c r="J624" s="850"/>
      <c r="K624" s="850"/>
      <c r="L624" s="850"/>
      <c r="M624" s="850"/>
      <c r="N624" s="850"/>
      <c r="O624" s="850"/>
      <c r="P624" s="850"/>
      <c r="Q624" s="850"/>
      <c r="R624" s="850"/>
      <c r="S624" s="850"/>
    </row>
    <row r="625" spans="1:19" ht="13.5" thickBot="1">
      <c r="A625" s="850" t="s">
        <v>2585</v>
      </c>
      <c r="B625" s="850" t="s">
        <v>675</v>
      </c>
      <c r="C625" s="576" t="s">
        <v>2586</v>
      </c>
      <c r="D625" s="850"/>
      <c r="E625" s="1" t="s">
        <v>2968</v>
      </c>
      <c r="F625" s="1562">
        <f>SUM(F624:F624)</f>
        <v>0</v>
      </c>
      <c r="G625" s="1563">
        <v>0</v>
      </c>
      <c r="H625" s="850"/>
      <c r="I625" s="850"/>
      <c r="J625" s="850"/>
      <c r="K625" s="850"/>
      <c r="L625" s="850"/>
      <c r="M625" s="850"/>
      <c r="N625" s="850"/>
      <c r="O625" s="850"/>
      <c r="P625" s="850"/>
      <c r="Q625" s="850"/>
      <c r="R625" s="850"/>
      <c r="S625" s="850"/>
    </row>
    <row r="626" spans="1:19" ht="13.5" thickTop="1">
      <c r="A626" s="850" t="s">
        <v>2585</v>
      </c>
      <c r="B626" s="850" t="s">
        <v>675</v>
      </c>
      <c r="C626" s="576" t="s">
        <v>2586</v>
      </c>
      <c r="D626" s="850"/>
      <c r="E626" s="850"/>
      <c r="F626" s="850"/>
      <c r="G626" s="850"/>
      <c r="H626" s="850"/>
      <c r="I626" s="850"/>
      <c r="J626" s="850"/>
      <c r="K626" s="850"/>
      <c r="L626" s="850"/>
      <c r="M626" s="850"/>
      <c r="N626" s="850"/>
      <c r="O626" s="850"/>
      <c r="P626" s="850"/>
      <c r="Q626" s="850"/>
      <c r="R626" s="850"/>
      <c r="S626" s="850"/>
    </row>
    <row r="627" spans="1:19">
      <c r="A627" s="850" t="s">
        <v>2585</v>
      </c>
      <c r="B627" s="850" t="s">
        <v>675</v>
      </c>
      <c r="C627" s="576" t="s">
        <v>2586</v>
      </c>
      <c r="D627" s="850"/>
      <c r="E627" s="1" t="s">
        <v>1970</v>
      </c>
      <c r="F627" s="857">
        <f>F625-'A2.PL'!G25</f>
        <v>0</v>
      </c>
      <c r="G627" s="857">
        <f>G625-'A2.PL'!H25</f>
        <v>0</v>
      </c>
      <c r="H627" s="850"/>
      <c r="I627" s="850"/>
      <c r="J627" s="850"/>
      <c r="K627" s="850"/>
      <c r="L627" s="850"/>
      <c r="M627" s="850"/>
      <c r="N627" s="850"/>
      <c r="O627" s="850"/>
      <c r="P627" s="850"/>
      <c r="Q627" s="850"/>
      <c r="R627" s="850"/>
      <c r="S627" s="850"/>
    </row>
    <row r="628" spans="1:19">
      <c r="A628" s="850" t="s">
        <v>2585</v>
      </c>
      <c r="B628" s="850" t="s">
        <v>675</v>
      </c>
      <c r="C628" s="576" t="s">
        <v>2586</v>
      </c>
      <c r="D628" s="850"/>
      <c r="E628" s="1"/>
      <c r="F628" s="857">
        <f>F617-'A2.PL'!G23</f>
        <v>0</v>
      </c>
      <c r="G628" s="857">
        <f>G617-'A2.PL'!L23</f>
        <v>0</v>
      </c>
      <c r="H628" s="850"/>
      <c r="I628" s="850"/>
      <c r="J628" s="850"/>
      <c r="K628" s="850"/>
      <c r="L628" s="850"/>
      <c r="M628" s="850"/>
      <c r="N628" s="850"/>
      <c r="O628" s="850"/>
      <c r="P628" s="850"/>
      <c r="Q628" s="850"/>
      <c r="R628" s="850"/>
      <c r="S628" s="850"/>
    </row>
    <row r="629" spans="1:19">
      <c r="A629" s="850" t="s">
        <v>2585</v>
      </c>
      <c r="B629" s="850" t="s">
        <v>675</v>
      </c>
      <c r="C629" s="576" t="s">
        <v>2586</v>
      </c>
      <c r="D629" s="850"/>
      <c r="E629" s="1"/>
      <c r="F629" s="857">
        <f>F621+F592</f>
        <v>0</v>
      </c>
      <c r="G629" s="857">
        <f>G621+G592</f>
        <v>0</v>
      </c>
      <c r="H629" s="850"/>
      <c r="I629" s="850"/>
      <c r="J629" s="850"/>
      <c r="K629" s="850"/>
      <c r="L629" s="850"/>
      <c r="M629" s="850"/>
      <c r="N629" s="850"/>
      <c r="O629" s="850"/>
      <c r="P629" s="850"/>
      <c r="Q629" s="850"/>
      <c r="R629" s="850"/>
      <c r="S629" s="850"/>
    </row>
    <row r="630" spans="1:19">
      <c r="A630" s="850" t="s">
        <v>2585</v>
      </c>
      <c r="B630" s="850" t="s">
        <v>675</v>
      </c>
      <c r="C630" s="576" t="s">
        <v>2586</v>
      </c>
      <c r="D630" s="850"/>
      <c r="E630" s="850"/>
      <c r="F630" s="850"/>
      <c r="G630" s="850"/>
      <c r="H630" s="850"/>
      <c r="I630" s="850"/>
      <c r="J630" s="850"/>
      <c r="K630" s="850"/>
      <c r="L630" s="850"/>
      <c r="M630" s="850"/>
      <c r="N630" s="850"/>
      <c r="O630" s="850"/>
      <c r="P630" s="850"/>
      <c r="Q630" s="850"/>
      <c r="R630" s="850"/>
      <c r="S630" s="850"/>
    </row>
    <row r="631" spans="1:19">
      <c r="A631" s="172"/>
      <c r="B631" s="172" t="s">
        <v>675</v>
      </c>
      <c r="C631" s="172" t="s">
        <v>681</v>
      </c>
      <c r="D631" s="172"/>
      <c r="E631" s="562" t="s">
        <v>3190</v>
      </c>
      <c r="F631" s="172"/>
      <c r="G631" s="172"/>
      <c r="H631" s="172"/>
      <c r="I631" s="172"/>
      <c r="J631" s="172"/>
      <c r="K631" s="172"/>
      <c r="L631" s="172"/>
      <c r="M631" s="172"/>
      <c r="N631" s="172"/>
      <c r="O631" s="172"/>
      <c r="P631" s="172"/>
      <c r="Q631" s="172"/>
      <c r="R631" s="172"/>
      <c r="S631" s="172"/>
    </row>
    <row r="632" spans="1:19">
      <c r="A632" s="850" t="s">
        <v>2585</v>
      </c>
      <c r="B632" s="850" t="s">
        <v>675</v>
      </c>
      <c r="C632" s="576" t="s">
        <v>2586</v>
      </c>
      <c r="D632" s="850"/>
      <c r="E632" s="850"/>
      <c r="F632" s="850"/>
      <c r="G632" s="850"/>
      <c r="H632" s="850"/>
      <c r="I632" s="850"/>
      <c r="J632" s="850"/>
      <c r="K632" s="850"/>
      <c r="L632" s="850"/>
      <c r="M632" s="850"/>
      <c r="N632" s="850"/>
      <c r="O632" s="850"/>
      <c r="P632" s="850"/>
      <c r="Q632" s="850"/>
      <c r="R632" s="850"/>
      <c r="S632" s="850"/>
    </row>
    <row r="633" spans="1:19" ht="25.5">
      <c r="A633" s="850" t="s">
        <v>2585</v>
      </c>
      <c r="B633" s="850" t="s">
        <v>675</v>
      </c>
      <c r="C633" s="576" t="s">
        <v>2586</v>
      </c>
      <c r="D633" s="850"/>
      <c r="E633" s="191" t="s">
        <v>2972</v>
      </c>
      <c r="F633" s="191" t="s">
        <v>2973</v>
      </c>
      <c r="G633" s="191" t="s">
        <v>2974</v>
      </c>
      <c r="H633" s="191" t="s">
        <v>2975</v>
      </c>
      <c r="I633" s="191" t="s">
        <v>2976</v>
      </c>
      <c r="J633" s="191" t="s">
        <v>2977</v>
      </c>
      <c r="K633" s="850"/>
      <c r="L633" s="848">
        <v>38888925</v>
      </c>
      <c r="M633" s="848">
        <v>0</v>
      </c>
      <c r="N633" s="848">
        <f>-L633</f>
        <v>-38888925</v>
      </c>
      <c r="O633" s="848">
        <v>0</v>
      </c>
      <c r="P633" s="850"/>
      <c r="Q633" s="850"/>
      <c r="R633" s="850"/>
      <c r="S633" s="850"/>
    </row>
    <row r="634" spans="1:19">
      <c r="A634" s="850" t="s">
        <v>2585</v>
      </c>
      <c r="B634" s="850" t="s">
        <v>675</v>
      </c>
      <c r="C634" s="576" t="s">
        <v>2586</v>
      </c>
      <c r="D634" s="850"/>
      <c r="E634" s="1032"/>
      <c r="F634" s="1032"/>
      <c r="G634" s="990"/>
      <c r="H634" s="990"/>
      <c r="I634" s="994"/>
      <c r="J634" s="994"/>
      <c r="K634" s="850"/>
      <c r="L634" s="848">
        <v>933248930</v>
      </c>
      <c r="M634" s="848">
        <v>0</v>
      </c>
      <c r="N634" s="848">
        <v>0</v>
      </c>
      <c r="O634" s="848">
        <f>O633+SUM(L634:N634)</f>
        <v>933248930</v>
      </c>
      <c r="P634" s="850"/>
      <c r="Q634" s="850"/>
      <c r="R634" s="850"/>
      <c r="S634" s="850"/>
    </row>
    <row r="635" spans="1:19" ht="25.5">
      <c r="A635" s="850" t="s">
        <v>2585</v>
      </c>
      <c r="B635" s="850" t="s">
        <v>675</v>
      </c>
      <c r="C635" s="576" t="s">
        <v>2586</v>
      </c>
      <c r="D635" s="850"/>
      <c r="E635" s="1021" t="s">
        <v>2979</v>
      </c>
      <c r="F635" s="1032">
        <v>2024</v>
      </c>
      <c r="G635" s="990">
        <v>3607297872</v>
      </c>
      <c r="H635" s="990">
        <f>-G635</f>
        <v>-3607297872</v>
      </c>
      <c r="I635" s="990">
        <v>0</v>
      </c>
      <c r="J635" s="994">
        <f t="shared" ref="J635:J641" si="33">SUM(G635:I635)+J634</f>
        <v>0</v>
      </c>
      <c r="K635" s="850"/>
      <c r="L635" s="848">
        <v>3607297872</v>
      </c>
      <c r="M635" s="848">
        <v>0</v>
      </c>
      <c r="N635" s="848">
        <v>0</v>
      </c>
      <c r="O635" s="848">
        <f>O634+SUM(L635:N635)</f>
        <v>4540546802</v>
      </c>
      <c r="P635" s="850"/>
      <c r="Q635" s="850"/>
      <c r="R635" s="850"/>
      <c r="S635" s="850"/>
    </row>
    <row r="636" spans="1:19" ht="25.5">
      <c r="A636" s="850" t="s">
        <v>2585</v>
      </c>
      <c r="B636" s="850" t="s">
        <v>675</v>
      </c>
      <c r="C636" s="576" t="s">
        <v>2586</v>
      </c>
      <c r="D636" s="850"/>
      <c r="E636" s="1021" t="s">
        <v>2980</v>
      </c>
      <c r="F636" s="1032">
        <v>2024</v>
      </c>
      <c r="G636" s="990">
        <v>286731443</v>
      </c>
      <c r="H636" s="990">
        <f>-G636</f>
        <v>-286731443</v>
      </c>
      <c r="I636" s="990">
        <v>0</v>
      </c>
      <c r="J636" s="994">
        <f t="shared" si="33"/>
        <v>0</v>
      </c>
      <c r="K636" s="850"/>
      <c r="L636" s="848">
        <v>286731443</v>
      </c>
      <c r="M636" s="848">
        <v>0</v>
      </c>
      <c r="N636" s="848">
        <v>0</v>
      </c>
      <c r="O636" s="848">
        <f t="shared" ref="O636:O639" si="34">O635+SUM(L636:N636)</f>
        <v>4827278245</v>
      </c>
      <c r="P636" s="850"/>
      <c r="Q636" s="850"/>
      <c r="R636" s="850"/>
      <c r="S636" s="850"/>
    </row>
    <row r="637" spans="1:19">
      <c r="A637" s="850" t="s">
        <v>2585</v>
      </c>
      <c r="B637" s="850" t="s">
        <v>675</v>
      </c>
      <c r="C637" s="576" t="s">
        <v>2586</v>
      </c>
      <c r="D637" s="850"/>
      <c r="E637" s="1032">
        <v>2020</v>
      </c>
      <c r="F637" s="1032">
        <f>E637+5</f>
        <v>2025</v>
      </c>
      <c r="G637" s="990">
        <v>20256507525</v>
      </c>
      <c r="H637" s="990">
        <f>-G637</f>
        <v>-20256507525</v>
      </c>
      <c r="I637" s="990">
        <v>0</v>
      </c>
      <c r="J637" s="994">
        <f t="shared" si="33"/>
        <v>0</v>
      </c>
      <c r="K637" s="850"/>
      <c r="L637" s="848">
        <v>20256507525</v>
      </c>
      <c r="M637" s="848">
        <v>0</v>
      </c>
      <c r="N637" s="848">
        <v>0</v>
      </c>
      <c r="O637" s="848">
        <f t="shared" si="34"/>
        <v>25083785770</v>
      </c>
      <c r="P637" s="850"/>
      <c r="Q637" s="850"/>
      <c r="R637" s="850"/>
      <c r="S637" s="850"/>
    </row>
    <row r="638" spans="1:19">
      <c r="A638" s="850" t="s">
        <v>2585</v>
      </c>
      <c r="B638" s="850" t="s">
        <v>675</v>
      </c>
      <c r="C638" s="576" t="s">
        <v>2586</v>
      </c>
      <c r="D638" s="850"/>
      <c r="E638" s="1032">
        <v>2021</v>
      </c>
      <c r="F638" s="1032">
        <f>E638+5</f>
        <v>2026</v>
      </c>
      <c r="G638" s="990">
        <v>62202745804</v>
      </c>
      <c r="H638" s="990">
        <f>-(SUM(F617:F619,F621)+SUM(H635:H637))</f>
        <v>-5306406767.3333321</v>
      </c>
      <c r="I638" s="990">
        <v>0</v>
      </c>
      <c r="J638" s="994">
        <f t="shared" si="33"/>
        <v>56896339036.666672</v>
      </c>
      <c r="K638" s="850"/>
      <c r="L638" s="848">
        <f>G638</f>
        <v>62202745804</v>
      </c>
      <c r="M638" s="848">
        <v>0</v>
      </c>
      <c r="N638" s="848">
        <v>0</v>
      </c>
      <c r="O638" s="848">
        <f t="shared" si="34"/>
        <v>87286531574</v>
      </c>
      <c r="P638" s="857"/>
      <c r="Q638" s="850"/>
      <c r="R638" s="850"/>
      <c r="S638" s="850"/>
    </row>
    <row r="639" spans="1:19">
      <c r="A639" s="850" t="s">
        <v>2585</v>
      </c>
      <c r="B639" s="850" t="s">
        <v>675</v>
      </c>
      <c r="C639" s="576" t="s">
        <v>2586</v>
      </c>
      <c r="D639" s="850"/>
      <c r="E639" s="1032">
        <v>2022</v>
      </c>
      <c r="F639" s="1032">
        <f>E639+5</f>
        <v>2027</v>
      </c>
      <c r="G639" s="994">
        <v>155690730363</v>
      </c>
      <c r="H639" s="990">
        <v>0</v>
      </c>
      <c r="I639" s="990">
        <v>0</v>
      </c>
      <c r="J639" s="994">
        <f t="shared" si="33"/>
        <v>212587069399.66669</v>
      </c>
      <c r="K639" s="850"/>
      <c r="L639" s="848">
        <v>155690730363</v>
      </c>
      <c r="M639" s="848">
        <v>0</v>
      </c>
      <c r="N639" s="848">
        <v>0</v>
      </c>
      <c r="O639" s="848">
        <f t="shared" si="34"/>
        <v>242977261937</v>
      </c>
      <c r="P639" s="850"/>
      <c r="Q639" s="850"/>
      <c r="R639" s="850"/>
      <c r="S639" s="850"/>
    </row>
    <row r="640" spans="1:19" ht="13.5" thickBot="1">
      <c r="A640" s="850" t="s">
        <v>2585</v>
      </c>
      <c r="B640" s="850" t="s">
        <v>675</v>
      </c>
      <c r="C640" s="576" t="s">
        <v>2586</v>
      </c>
      <c r="D640" s="850"/>
      <c r="E640" s="1032">
        <v>2023</v>
      </c>
      <c r="F640" s="1032">
        <f>E640+5</f>
        <v>2028</v>
      </c>
      <c r="G640" s="994">
        <v>54335201537</v>
      </c>
      <c r="H640" s="990">
        <v>0</v>
      </c>
      <c r="I640" s="990">
        <v>0</v>
      </c>
      <c r="J640" s="994">
        <f>SUM(G640:I640)+J639</f>
        <v>266922270936.66669</v>
      </c>
      <c r="K640" s="850"/>
      <c r="L640" s="1529">
        <f>SUM(L633:L639)</f>
        <v>243016150862</v>
      </c>
      <c r="M640" s="1529">
        <f t="shared" ref="M640:N640" si="35">SUM(M633:M639)</f>
        <v>0</v>
      </c>
      <c r="N640" s="1529">
        <f t="shared" si="35"/>
        <v>-38888925</v>
      </c>
      <c r="O640" s="1033"/>
      <c r="P640" s="850"/>
      <c r="Q640" s="850"/>
      <c r="R640" s="850"/>
      <c r="S640" s="850"/>
    </row>
    <row r="641" spans="1:19" ht="13.5" thickTop="1">
      <c r="A641" s="850" t="s">
        <v>2585</v>
      </c>
      <c r="B641" s="850" t="s">
        <v>675</v>
      </c>
      <c r="C641" s="576" t="s">
        <v>2586</v>
      </c>
      <c r="D641" s="850"/>
      <c r="E641" s="1032">
        <v>2024</v>
      </c>
      <c r="F641" s="1032">
        <f>2024+5</f>
        <v>2029</v>
      </c>
      <c r="G641" s="994">
        <v>0</v>
      </c>
      <c r="H641" s="990">
        <v>0</v>
      </c>
      <c r="I641" s="990">
        <v>0</v>
      </c>
      <c r="J641" s="994">
        <f t="shared" si="33"/>
        <v>266922270936.66669</v>
      </c>
      <c r="K641" s="850"/>
      <c r="L641" s="850"/>
      <c r="M641" s="850"/>
      <c r="N641" s="850"/>
      <c r="O641" s="850"/>
      <c r="P641" s="850"/>
      <c r="Q641" s="850"/>
      <c r="R641" s="850"/>
      <c r="S641" s="850"/>
    </row>
    <row r="642" spans="1:19" ht="13.5" thickBot="1">
      <c r="A642" s="850" t="s">
        <v>2585</v>
      </c>
      <c r="B642" s="850" t="s">
        <v>675</v>
      </c>
      <c r="C642" s="576" t="s">
        <v>2586</v>
      </c>
      <c r="D642" s="850"/>
      <c r="E642" s="201" t="s">
        <v>2985</v>
      </c>
      <c r="F642" s="992"/>
      <c r="G642" s="1559">
        <f>SUM(G634:G640)</f>
        <v>296379214544</v>
      </c>
      <c r="H642" s="1559">
        <f>SUM(H634:H640)</f>
        <v>-29456943607.333332</v>
      </c>
      <c r="I642" s="1559">
        <f>SUM(I634:I640)</f>
        <v>0</v>
      </c>
      <c r="J642" s="992"/>
      <c r="K642" s="850"/>
      <c r="L642" s="850"/>
      <c r="M642" s="850"/>
      <c r="N642" s="850"/>
      <c r="O642" s="850"/>
      <c r="P642" s="850"/>
      <c r="Q642" s="850"/>
      <c r="R642" s="850"/>
      <c r="S642" s="850"/>
    </row>
    <row r="643" spans="1:19" ht="13.5" thickTop="1">
      <c r="A643" s="850" t="s">
        <v>2585</v>
      </c>
      <c r="B643" s="850" t="s">
        <v>675</v>
      </c>
      <c r="C643" s="576" t="s">
        <v>2586</v>
      </c>
      <c r="D643" s="850"/>
      <c r="E643" s="850"/>
      <c r="F643" s="850"/>
      <c r="G643" s="850"/>
      <c r="H643" s="850"/>
      <c r="I643" s="850"/>
      <c r="J643" s="850"/>
      <c r="K643" s="850"/>
      <c r="L643" s="850"/>
      <c r="M643" s="850"/>
      <c r="N643" s="850"/>
      <c r="O643" s="850"/>
      <c r="P643" s="850"/>
      <c r="Q643" s="850"/>
      <c r="R643" s="850"/>
      <c r="S643" s="850"/>
    </row>
    <row r="644" spans="1:19">
      <c r="A644" s="850" t="s">
        <v>2585</v>
      </c>
      <c r="B644" s="850" t="s">
        <v>675</v>
      </c>
      <c r="C644" s="576" t="s">
        <v>2586</v>
      </c>
      <c r="D644" s="850"/>
      <c r="E644" s="1" t="s">
        <v>1970</v>
      </c>
      <c r="F644" s="850"/>
      <c r="G644" s="857">
        <f>G640+G622</f>
        <v>0</v>
      </c>
      <c r="H644" s="850"/>
      <c r="I644" s="850"/>
      <c r="J644" s="848">
        <f>ROUND(J641*20%,0)</f>
        <v>53384454187</v>
      </c>
      <c r="K644" s="857"/>
      <c r="L644" s="850"/>
      <c r="M644" s="850"/>
      <c r="N644" s="850"/>
      <c r="O644" s="850"/>
      <c r="P644" s="850"/>
      <c r="Q644" s="850"/>
      <c r="R644" s="850"/>
      <c r="S644" s="850"/>
    </row>
    <row r="645" spans="1:19">
      <c r="A645" s="850" t="s">
        <v>2585</v>
      </c>
      <c r="B645" s="850" t="s">
        <v>675</v>
      </c>
      <c r="C645" s="576" t="s">
        <v>2586</v>
      </c>
      <c r="D645" s="850"/>
      <c r="E645" s="1" t="s">
        <v>1970</v>
      </c>
      <c r="F645" s="850"/>
      <c r="G645" s="857">
        <f>G641+F622</f>
        <v>0</v>
      </c>
      <c r="H645" s="850"/>
      <c r="I645" s="850"/>
      <c r="J645" s="850"/>
      <c r="K645" s="850"/>
      <c r="L645" s="850"/>
      <c r="M645" s="850"/>
      <c r="N645" s="850"/>
      <c r="O645" s="850"/>
      <c r="P645" s="850"/>
      <c r="Q645" s="850"/>
      <c r="R645" s="850"/>
      <c r="S645" s="850"/>
    </row>
    <row r="646" spans="1:19">
      <c r="A646" s="850" t="s">
        <v>2585</v>
      </c>
      <c r="B646" s="850" t="s">
        <v>675</v>
      </c>
      <c r="C646" s="576" t="s">
        <v>2586</v>
      </c>
      <c r="D646" s="850"/>
      <c r="E646" s="850"/>
      <c r="F646" s="850"/>
      <c r="G646" s="850"/>
      <c r="H646" s="850"/>
      <c r="I646" s="850"/>
      <c r="J646" s="850"/>
      <c r="K646" s="850"/>
      <c r="L646" s="850"/>
      <c r="M646" s="850"/>
      <c r="N646" s="850"/>
      <c r="O646" s="850"/>
      <c r="P646" s="850"/>
      <c r="Q646" s="850"/>
      <c r="R646" s="850"/>
      <c r="S646" s="850"/>
    </row>
    <row r="647" spans="1:19">
      <c r="A647" s="172"/>
      <c r="B647" s="172" t="s">
        <v>676</v>
      </c>
      <c r="C647" s="172" t="s">
        <v>681</v>
      </c>
      <c r="D647" s="172"/>
      <c r="E647" s="562" t="s">
        <v>3191</v>
      </c>
      <c r="F647" s="172"/>
      <c r="G647" s="172"/>
      <c r="H647" s="172"/>
      <c r="I647" s="172"/>
      <c r="J647" s="172"/>
      <c r="K647" s="172"/>
      <c r="L647" s="172"/>
      <c r="M647" s="172"/>
      <c r="N647" s="172"/>
      <c r="O647" s="172"/>
      <c r="P647" s="172"/>
      <c r="Q647" s="172"/>
      <c r="R647" s="172"/>
      <c r="S647" s="172"/>
    </row>
    <row r="648" spans="1:19">
      <c r="A648" s="850" t="s">
        <v>2585</v>
      </c>
      <c r="B648" s="850" t="s">
        <v>676</v>
      </c>
      <c r="C648" s="576" t="s">
        <v>2586</v>
      </c>
      <c r="D648" s="850"/>
      <c r="E648" s="850"/>
      <c r="F648" s="850"/>
      <c r="G648" s="850"/>
      <c r="H648" s="850"/>
      <c r="I648" s="850"/>
      <c r="J648" s="850"/>
      <c r="K648" s="850"/>
      <c r="L648" s="850"/>
      <c r="M648" s="850"/>
      <c r="N648" s="850"/>
      <c r="O648" s="850"/>
      <c r="P648" s="850"/>
      <c r="Q648" s="850"/>
      <c r="R648" s="850"/>
      <c r="S648" s="850"/>
    </row>
    <row r="649" spans="1:19">
      <c r="A649" s="850" t="s">
        <v>2585</v>
      </c>
      <c r="B649" s="850" t="s">
        <v>676</v>
      </c>
      <c r="C649" s="576" t="s">
        <v>2586</v>
      </c>
      <c r="D649" s="850"/>
      <c r="E649" s="850" t="s">
        <v>3001</v>
      </c>
      <c r="F649" s="850" t="s">
        <v>3002</v>
      </c>
      <c r="G649" s="850"/>
      <c r="H649" s="850"/>
      <c r="I649" s="850"/>
      <c r="J649" s="850"/>
      <c r="K649" s="850"/>
      <c r="L649" s="850"/>
      <c r="M649" s="850"/>
      <c r="N649" s="850"/>
      <c r="O649" s="850"/>
      <c r="P649" s="850"/>
      <c r="Q649" s="850"/>
      <c r="R649" s="850"/>
      <c r="S649" s="850"/>
    </row>
    <row r="650" spans="1:19">
      <c r="A650" s="850" t="s">
        <v>2585</v>
      </c>
      <c r="B650" s="850" t="s">
        <v>676</v>
      </c>
      <c r="C650" s="576" t="s">
        <v>2586</v>
      </c>
      <c r="D650" s="850"/>
      <c r="E650" s="850" t="s">
        <v>3003</v>
      </c>
      <c r="F650" s="850" t="s">
        <v>3004</v>
      </c>
      <c r="G650" s="850"/>
      <c r="H650" s="850"/>
      <c r="I650" s="850"/>
      <c r="J650" s="850"/>
      <c r="K650" s="850"/>
      <c r="L650" s="850"/>
      <c r="M650" s="850"/>
      <c r="N650" s="850"/>
      <c r="O650" s="850"/>
      <c r="P650" s="850"/>
      <c r="Q650" s="850"/>
      <c r="R650" s="850"/>
      <c r="S650" s="850"/>
    </row>
    <row r="651" spans="1:19">
      <c r="A651" s="850" t="s">
        <v>2585</v>
      </c>
      <c r="B651" s="850" t="s">
        <v>676</v>
      </c>
      <c r="C651" s="576" t="s">
        <v>2586</v>
      </c>
      <c r="D651" s="850"/>
      <c r="E651" s="850"/>
      <c r="F651" s="850" t="s">
        <v>626</v>
      </c>
      <c r="G651" s="850"/>
      <c r="H651" s="850"/>
      <c r="I651" s="850"/>
      <c r="J651" s="850"/>
      <c r="K651" s="850"/>
      <c r="L651" s="850"/>
      <c r="M651" s="850"/>
      <c r="N651" s="850"/>
      <c r="O651" s="850"/>
      <c r="P651" s="850"/>
      <c r="Q651" s="850"/>
      <c r="R651" s="850"/>
      <c r="S651" s="850"/>
    </row>
    <row r="652" spans="1:19">
      <c r="A652" s="850" t="s">
        <v>2585</v>
      </c>
      <c r="B652" s="850" t="s">
        <v>676</v>
      </c>
      <c r="C652" s="576" t="s">
        <v>2586</v>
      </c>
      <c r="D652" s="850"/>
      <c r="E652" s="850"/>
      <c r="F652" s="850" t="s">
        <v>623</v>
      </c>
      <c r="G652" s="850"/>
      <c r="H652" s="850"/>
      <c r="I652" s="850"/>
      <c r="J652" s="850"/>
      <c r="K652" s="850"/>
      <c r="L652" s="850"/>
      <c r="M652" s="850"/>
      <c r="N652" s="850"/>
      <c r="O652" s="850"/>
      <c r="P652" s="850"/>
      <c r="Q652" s="850"/>
      <c r="R652" s="850"/>
      <c r="S652" s="850"/>
    </row>
    <row r="653" spans="1:19">
      <c r="A653" s="850" t="s">
        <v>2585</v>
      </c>
      <c r="B653" s="850" t="s">
        <v>676</v>
      </c>
      <c r="C653" s="576" t="s">
        <v>2586</v>
      </c>
      <c r="D653" s="850"/>
      <c r="E653" s="850"/>
      <c r="F653" s="850" t="s">
        <v>2859</v>
      </c>
      <c r="G653" s="850"/>
      <c r="H653" s="850"/>
      <c r="I653" s="850"/>
      <c r="J653" s="850"/>
      <c r="K653" s="850"/>
      <c r="L653" s="850"/>
      <c r="M653" s="850"/>
      <c r="N653" s="850"/>
      <c r="O653" s="850"/>
      <c r="P653" s="850"/>
      <c r="Q653" s="850"/>
      <c r="R653" s="850"/>
      <c r="S653" s="850"/>
    </row>
    <row r="654" spans="1:19">
      <c r="A654" s="850" t="s">
        <v>2585</v>
      </c>
      <c r="B654" s="850" t="s">
        <v>676</v>
      </c>
      <c r="C654" s="576" t="s">
        <v>2586</v>
      </c>
      <c r="D654" s="850"/>
      <c r="E654" s="850"/>
      <c r="F654" s="850" t="s">
        <v>2860</v>
      </c>
      <c r="G654" s="850"/>
      <c r="H654" s="850"/>
      <c r="I654" s="850"/>
      <c r="J654" s="850"/>
      <c r="K654" s="850"/>
      <c r="L654" s="850"/>
      <c r="M654" s="850"/>
      <c r="N654" s="850"/>
      <c r="O654" s="850"/>
      <c r="P654" s="850"/>
      <c r="Q654" s="850"/>
      <c r="R654" s="850"/>
      <c r="S654" s="850"/>
    </row>
    <row r="655" spans="1:19">
      <c r="A655" s="850" t="s">
        <v>2585</v>
      </c>
      <c r="B655" s="850" t="s">
        <v>676</v>
      </c>
      <c r="C655" s="576" t="s">
        <v>2586</v>
      </c>
      <c r="D655" s="850"/>
      <c r="E655" s="850" t="s">
        <v>3005</v>
      </c>
      <c r="F655" s="850" t="s">
        <v>3006</v>
      </c>
      <c r="G655" s="850"/>
      <c r="H655" s="850"/>
      <c r="I655" s="850"/>
      <c r="J655" s="850"/>
      <c r="K655" s="850"/>
      <c r="L655" s="850"/>
      <c r="M655" s="850"/>
      <c r="N655" s="850"/>
      <c r="O655" s="850"/>
      <c r="P655" s="850"/>
      <c r="Q655" s="850"/>
      <c r="R655" s="850"/>
      <c r="S655" s="850"/>
    </row>
    <row r="656" spans="1:19">
      <c r="A656" s="850" t="s">
        <v>2585</v>
      </c>
      <c r="B656" s="850" t="s">
        <v>676</v>
      </c>
      <c r="C656" s="576" t="s">
        <v>2586</v>
      </c>
      <c r="D656" s="850"/>
      <c r="E656" s="850"/>
      <c r="F656" s="850" t="s">
        <v>3007</v>
      </c>
      <c r="G656" s="850"/>
      <c r="H656" s="850"/>
      <c r="I656" s="850"/>
      <c r="J656" s="850"/>
      <c r="K656" s="850"/>
      <c r="L656" s="850"/>
      <c r="M656" s="850"/>
      <c r="N656" s="850"/>
      <c r="O656" s="850"/>
      <c r="P656" s="850"/>
      <c r="Q656" s="850"/>
      <c r="R656" s="850"/>
      <c r="S656" s="850"/>
    </row>
    <row r="657" spans="1:19">
      <c r="A657" s="850" t="s">
        <v>2585</v>
      </c>
      <c r="B657" s="850" t="s">
        <v>676</v>
      </c>
      <c r="C657" s="576" t="s">
        <v>2586</v>
      </c>
      <c r="D657" s="850"/>
      <c r="E657" s="850"/>
      <c r="F657" s="850"/>
      <c r="G657" s="850"/>
      <c r="H657" s="850"/>
      <c r="I657" s="850"/>
      <c r="J657" s="850"/>
      <c r="K657" s="850"/>
      <c r="L657" s="850"/>
      <c r="M657" s="850"/>
      <c r="N657" s="850"/>
      <c r="O657" s="850"/>
      <c r="P657" s="850"/>
      <c r="Q657" s="850"/>
      <c r="R657" s="850"/>
      <c r="S657" s="850"/>
    </row>
    <row r="658" spans="1:19">
      <c r="A658" s="850" t="s">
        <v>2585</v>
      </c>
      <c r="B658" s="850" t="s">
        <v>676</v>
      </c>
      <c r="C658" s="576" t="s">
        <v>2586</v>
      </c>
      <c r="D658" s="850"/>
      <c r="E658" s="732"/>
      <c r="F658" s="732"/>
      <c r="G658" s="732"/>
      <c r="H658" s="733" t="s">
        <v>3008</v>
      </c>
      <c r="I658" s="733"/>
      <c r="J658" s="734"/>
      <c r="K658" s="850"/>
      <c r="L658" s="850"/>
      <c r="M658" s="850"/>
      <c r="N658" s="850"/>
      <c r="O658" s="850"/>
      <c r="P658" s="850"/>
      <c r="Q658" s="850"/>
      <c r="R658" s="850"/>
      <c r="S658" s="850"/>
    </row>
    <row r="659" spans="1:19">
      <c r="A659" s="850" t="s">
        <v>2585</v>
      </c>
      <c r="B659" s="850" t="s">
        <v>676</v>
      </c>
      <c r="C659" s="576" t="s">
        <v>2586</v>
      </c>
      <c r="D659" s="850"/>
      <c r="E659" s="735" t="s">
        <v>3009</v>
      </c>
      <c r="F659" s="735" t="s">
        <v>3010</v>
      </c>
      <c r="G659" s="735" t="s">
        <v>3011</v>
      </c>
      <c r="H659" s="736">
        <v>45657</v>
      </c>
      <c r="I659" s="737">
        <v>45291</v>
      </c>
      <c r="J659" s="738" t="s">
        <v>3012</v>
      </c>
      <c r="K659" s="850"/>
      <c r="L659" s="850"/>
      <c r="M659" s="850"/>
      <c r="N659" s="850"/>
      <c r="O659" s="850"/>
      <c r="P659" s="850"/>
      <c r="Q659" s="850"/>
      <c r="R659" s="850"/>
      <c r="S659" s="850"/>
    </row>
    <row r="660" spans="1:19" hidden="1">
      <c r="A660" s="850" t="s">
        <v>2585</v>
      </c>
      <c r="B660" s="850" t="s">
        <v>676</v>
      </c>
      <c r="C660" s="576" t="s">
        <v>2586</v>
      </c>
      <c r="D660" s="850"/>
      <c r="E660" s="653" t="s">
        <v>3013</v>
      </c>
      <c r="F660" s="653" t="s">
        <v>3014</v>
      </c>
      <c r="G660" s="653" t="s">
        <v>3015</v>
      </c>
      <c r="H660" s="756">
        <v>0</v>
      </c>
      <c r="I660" s="757">
        <v>380000</v>
      </c>
      <c r="J660" s="758">
        <v>0</v>
      </c>
      <c r="K660" s="850"/>
      <c r="L660" s="850" t="s">
        <v>3016</v>
      </c>
      <c r="M660" s="850"/>
      <c r="N660" s="1006" t="s">
        <v>3017</v>
      </c>
      <c r="O660" s="850"/>
      <c r="P660" s="850"/>
      <c r="Q660" s="850"/>
      <c r="R660" s="850"/>
      <c r="S660" s="850"/>
    </row>
    <row r="661" spans="1:19" hidden="1">
      <c r="A661" s="850" t="s">
        <v>2585</v>
      </c>
      <c r="B661" s="850" t="s">
        <v>676</v>
      </c>
      <c r="C661" s="576" t="s">
        <v>2586</v>
      </c>
      <c r="D661" s="850"/>
      <c r="E661" s="653"/>
      <c r="F661" s="653"/>
      <c r="G661" s="759" t="s">
        <v>3018</v>
      </c>
      <c r="H661" s="760">
        <v>0</v>
      </c>
      <c r="I661" s="761">
        <v>2122875</v>
      </c>
      <c r="J661" s="758">
        <v>0</v>
      </c>
      <c r="K661" s="850"/>
      <c r="L661" s="850"/>
      <c r="M661" s="850"/>
      <c r="N661" s="1006" t="s">
        <v>3017</v>
      </c>
      <c r="O661" s="850"/>
      <c r="P661" s="850"/>
      <c r="Q661" s="850"/>
      <c r="R661" s="850"/>
      <c r="S661" s="850"/>
    </row>
    <row r="662" spans="1:19" hidden="1">
      <c r="A662" s="850" t="s">
        <v>2585</v>
      </c>
      <c r="B662" s="850" t="s">
        <v>676</v>
      </c>
      <c r="C662" s="576" t="s">
        <v>2586</v>
      </c>
      <c r="D662" s="850"/>
      <c r="E662" s="653"/>
      <c r="F662" s="653"/>
      <c r="G662" s="653"/>
      <c r="H662" s="760"/>
      <c r="I662" s="761"/>
      <c r="J662" s="758"/>
      <c r="K662" s="850"/>
      <c r="L662" s="850"/>
      <c r="M662" s="850"/>
      <c r="N662" s="1006" t="s">
        <v>3017</v>
      </c>
      <c r="O662" s="850"/>
      <c r="P662" s="850"/>
      <c r="Q662" s="850"/>
      <c r="R662" s="850"/>
      <c r="S662" s="850"/>
    </row>
    <row r="663" spans="1:19" hidden="1">
      <c r="A663" s="850" t="s">
        <v>2585</v>
      </c>
      <c r="B663" s="850" t="s">
        <v>676</v>
      </c>
      <c r="C663" s="576" t="s">
        <v>2586</v>
      </c>
      <c r="D663" s="850"/>
      <c r="E663" s="653" t="s">
        <v>3019</v>
      </c>
      <c r="F663" s="653" t="s">
        <v>3014</v>
      </c>
      <c r="G663" s="653" t="s">
        <v>3020</v>
      </c>
      <c r="H663" s="760"/>
      <c r="I663" s="761">
        <v>-9841690560</v>
      </c>
      <c r="J663" s="758">
        <v>0</v>
      </c>
      <c r="K663" s="850"/>
      <c r="L663" s="850"/>
      <c r="M663" s="850"/>
      <c r="N663" s="1006" t="s">
        <v>3017</v>
      </c>
      <c r="O663" s="850"/>
      <c r="P663" s="850"/>
      <c r="Q663" s="850"/>
      <c r="R663" s="850"/>
      <c r="S663" s="850"/>
    </row>
    <row r="664" spans="1:19">
      <c r="A664" s="850" t="s">
        <v>2585</v>
      </c>
      <c r="B664" s="850" t="s">
        <v>676</v>
      </c>
      <c r="C664" s="576" t="s">
        <v>2586</v>
      </c>
      <c r="D664" s="850"/>
      <c r="E664" s="653" t="s">
        <v>3019</v>
      </c>
      <c r="F664" s="653" t="s">
        <v>3014</v>
      </c>
      <c r="G664" s="1424" t="s">
        <v>3021</v>
      </c>
      <c r="H664" s="760">
        <v>0</v>
      </c>
      <c r="I664" s="761">
        <v>387740404</v>
      </c>
      <c r="J664" s="758">
        <v>0</v>
      </c>
      <c r="K664" s="850"/>
      <c r="L664" s="850"/>
      <c r="M664" s="850"/>
      <c r="N664" s="1006" t="s">
        <v>3022</v>
      </c>
      <c r="O664" s="850"/>
      <c r="P664" s="850"/>
      <c r="Q664" s="850"/>
      <c r="R664" s="850"/>
      <c r="S664" s="850"/>
    </row>
    <row r="665" spans="1:19">
      <c r="A665" s="850" t="s">
        <v>2585</v>
      </c>
      <c r="B665" s="850" t="s">
        <v>676</v>
      </c>
      <c r="C665" s="576" t="s">
        <v>2586</v>
      </c>
      <c r="D665" s="850"/>
      <c r="E665" s="653"/>
      <c r="F665" s="653" t="s">
        <v>3192</v>
      </c>
      <c r="G665" s="653" t="s">
        <v>292</v>
      </c>
      <c r="H665" s="760">
        <v>0</v>
      </c>
      <c r="I665" s="761">
        <v>0</v>
      </c>
      <c r="J665" s="758">
        <v>-5478358624</v>
      </c>
      <c r="K665" s="850">
        <v>6277.13</v>
      </c>
      <c r="L665" s="850">
        <v>331.01</v>
      </c>
      <c r="M665" s="850"/>
      <c r="N665" s="1006" t="s">
        <v>3022</v>
      </c>
      <c r="O665" s="850"/>
      <c r="P665" s="850"/>
      <c r="Q665" s="850"/>
      <c r="R665" s="850"/>
      <c r="S665" s="850"/>
    </row>
    <row r="666" spans="1:19">
      <c r="A666" s="850" t="s">
        <v>2585</v>
      </c>
      <c r="B666" s="850" t="s">
        <v>676</v>
      </c>
      <c r="C666" s="576" t="s">
        <v>2586</v>
      </c>
      <c r="D666" s="850"/>
      <c r="E666" s="653"/>
      <c r="F666" s="653" t="s">
        <v>3192</v>
      </c>
      <c r="G666" s="653" t="s">
        <v>3023</v>
      </c>
      <c r="H666" s="760">
        <v>0</v>
      </c>
      <c r="I666" s="761">
        <v>0</v>
      </c>
      <c r="J666" s="758">
        <v>-424467106</v>
      </c>
      <c r="K666" s="850">
        <v>6277.03</v>
      </c>
      <c r="L666" s="850">
        <v>331.01</v>
      </c>
      <c r="M666" s="850"/>
      <c r="N666" s="1006" t="s">
        <v>3022</v>
      </c>
      <c r="O666" s="850">
        <v>6277.03</v>
      </c>
      <c r="P666" s="850">
        <v>331.01</v>
      </c>
      <c r="Q666" s="850"/>
      <c r="R666" s="850"/>
      <c r="S666" s="850"/>
    </row>
    <row r="667" spans="1:19">
      <c r="A667" s="850" t="s">
        <v>2585</v>
      </c>
      <c r="B667" s="850" t="s">
        <v>676</v>
      </c>
      <c r="C667" s="576" t="s">
        <v>2586</v>
      </c>
      <c r="D667" s="850"/>
      <c r="E667" s="653"/>
      <c r="F667" s="653" t="s">
        <v>3192</v>
      </c>
      <c r="G667" s="653" t="s">
        <v>3025</v>
      </c>
      <c r="H667" s="760">
        <v>0</v>
      </c>
      <c r="I667" s="761">
        <v>0</v>
      </c>
      <c r="J667" s="758">
        <v>-22216330</v>
      </c>
      <c r="K667" s="850">
        <v>6278</v>
      </c>
      <c r="L667" s="850">
        <v>331.01</v>
      </c>
      <c r="M667" s="850"/>
      <c r="N667" s="1006" t="s">
        <v>3022</v>
      </c>
      <c r="O667" s="850"/>
      <c r="P667" s="850"/>
      <c r="Q667" s="850"/>
      <c r="R667" s="850"/>
      <c r="S667" s="850"/>
    </row>
    <row r="668" spans="1:19" hidden="1">
      <c r="A668" s="850"/>
      <c r="B668" s="850"/>
      <c r="C668" s="576" t="s">
        <v>2586</v>
      </c>
      <c r="D668" s="850"/>
      <c r="E668" s="653"/>
      <c r="F668" s="653"/>
      <c r="G668" s="653" t="s">
        <v>3026</v>
      </c>
      <c r="H668" s="760">
        <v>0</v>
      </c>
      <c r="I668" s="761">
        <v>0</v>
      </c>
      <c r="J668" s="758"/>
      <c r="K668" s="850"/>
      <c r="L668" s="850"/>
      <c r="M668" s="850"/>
      <c r="N668" s="1006"/>
      <c r="O668" s="850"/>
      <c r="P668" s="850"/>
      <c r="Q668" s="850"/>
      <c r="R668" s="850"/>
      <c r="S668" s="850"/>
    </row>
    <row r="669" spans="1:19">
      <c r="A669" s="850"/>
      <c r="B669" s="850"/>
      <c r="C669" s="576" t="s">
        <v>2586</v>
      </c>
      <c r="D669" s="850"/>
      <c r="E669" s="653"/>
      <c r="F669" s="653" t="s">
        <v>3192</v>
      </c>
      <c r="G669" s="739" t="s">
        <v>2458</v>
      </c>
      <c r="H669" s="760">
        <v>0</v>
      </c>
      <c r="I669" s="761">
        <v>0</v>
      </c>
      <c r="J669" s="758">
        <v>-293245222</v>
      </c>
      <c r="K669" s="850">
        <v>6277.01</v>
      </c>
      <c r="L669" s="850">
        <v>331.01</v>
      </c>
      <c r="M669" s="850"/>
      <c r="N669" s="1006"/>
      <c r="O669" s="850"/>
      <c r="P669" s="850"/>
      <c r="Q669" s="850"/>
      <c r="R669" s="850"/>
      <c r="S669" s="850"/>
    </row>
    <row r="670" spans="1:19">
      <c r="A670" s="850" t="s">
        <v>2585</v>
      </c>
      <c r="B670" s="850" t="s">
        <v>676</v>
      </c>
      <c r="C670" s="576" t="s">
        <v>2586</v>
      </c>
      <c r="D670" s="850"/>
      <c r="E670" s="653"/>
      <c r="F670" s="653"/>
      <c r="G670" s="653"/>
      <c r="H670" s="760"/>
      <c r="I670" s="761"/>
      <c r="J670" s="758"/>
      <c r="K670" s="850">
        <v>0</v>
      </c>
      <c r="L670" s="850"/>
      <c r="M670" s="850"/>
      <c r="N670" s="1006" t="s">
        <v>3022</v>
      </c>
      <c r="O670" s="850"/>
      <c r="P670" s="850"/>
      <c r="Q670" s="850"/>
      <c r="R670" s="850"/>
      <c r="S670" s="850"/>
    </row>
    <row r="671" spans="1:19" hidden="1">
      <c r="A671" s="850" t="s">
        <v>2585</v>
      </c>
      <c r="B671" s="850" t="s">
        <v>676</v>
      </c>
      <c r="C671" s="576" t="s">
        <v>2586</v>
      </c>
      <c r="D671" s="850"/>
      <c r="E671" s="653"/>
      <c r="F671" s="653"/>
      <c r="G671" s="653"/>
      <c r="H671" s="760"/>
      <c r="I671" s="761"/>
      <c r="J671" s="758"/>
      <c r="K671" s="850"/>
      <c r="L671" s="850"/>
      <c r="M671" s="850"/>
      <c r="N671" s="1006" t="s">
        <v>3017</v>
      </c>
      <c r="O671" s="850"/>
      <c r="P671" s="850"/>
      <c r="Q671" s="850"/>
      <c r="R671" s="850"/>
      <c r="S671" s="850"/>
    </row>
    <row r="672" spans="1:19">
      <c r="A672" s="850" t="s">
        <v>2585</v>
      </c>
      <c r="B672" s="850" t="s">
        <v>676</v>
      </c>
      <c r="C672" s="576" t="s">
        <v>2586</v>
      </c>
      <c r="D672" s="850"/>
      <c r="E672" s="653" t="s">
        <v>2120</v>
      </c>
      <c r="F672" s="653" t="s">
        <v>2595</v>
      </c>
      <c r="G672" s="739" t="s">
        <v>685</v>
      </c>
      <c r="H672" s="760">
        <v>0</v>
      </c>
      <c r="I672" s="761">
        <v>0</v>
      </c>
      <c r="J672" s="758"/>
      <c r="K672" s="857">
        <f>H672+F305</f>
        <v>4939157293</v>
      </c>
      <c r="L672" s="850"/>
      <c r="M672" s="850"/>
      <c r="N672" s="1006" t="s">
        <v>3022</v>
      </c>
      <c r="O672" s="850"/>
      <c r="P672" s="850"/>
      <c r="Q672" s="850"/>
      <c r="R672" s="850"/>
      <c r="S672" s="850"/>
    </row>
    <row r="673" spans="1:19">
      <c r="A673" s="850" t="s">
        <v>2585</v>
      </c>
      <c r="B673" s="850" t="s">
        <v>676</v>
      </c>
      <c r="C673" s="576" t="s">
        <v>2586</v>
      </c>
      <c r="D673" s="850"/>
      <c r="E673" s="653"/>
      <c r="F673" s="653" t="s">
        <v>3192</v>
      </c>
      <c r="G673" s="739" t="s">
        <v>3027</v>
      </c>
      <c r="H673" s="760">
        <v>0</v>
      </c>
      <c r="I673" s="761">
        <v>0</v>
      </c>
      <c r="J673" s="758"/>
      <c r="K673" s="850" t="s">
        <v>291</v>
      </c>
      <c r="L673" s="850" t="s">
        <v>3024</v>
      </c>
      <c r="M673" s="850"/>
      <c r="N673" s="1006" t="s">
        <v>3022</v>
      </c>
      <c r="O673" s="850"/>
      <c r="P673" s="850"/>
      <c r="Q673" s="850"/>
      <c r="R673" s="850"/>
      <c r="S673" s="850"/>
    </row>
    <row r="674" spans="1:19">
      <c r="A674" s="850" t="s">
        <v>2585</v>
      </c>
      <c r="B674" s="850" t="s">
        <v>676</v>
      </c>
      <c r="C674" s="576" t="s">
        <v>2586</v>
      </c>
      <c r="D674" s="850"/>
      <c r="E674" s="653"/>
      <c r="F674" s="653" t="s">
        <v>3192</v>
      </c>
      <c r="G674" s="739" t="s">
        <v>3028</v>
      </c>
      <c r="H674" s="760">
        <v>0</v>
      </c>
      <c r="I674" s="761">
        <v>2674885117</v>
      </c>
      <c r="J674" s="758"/>
      <c r="K674" s="859" t="s">
        <v>277</v>
      </c>
      <c r="L674" s="850" t="s">
        <v>3024</v>
      </c>
      <c r="M674" s="850"/>
      <c r="N674" s="1006" t="s">
        <v>3022</v>
      </c>
      <c r="O674" s="850"/>
      <c r="P674" s="850"/>
      <c r="Q674" s="850"/>
      <c r="R674" s="850"/>
      <c r="S674" s="850"/>
    </row>
    <row r="675" spans="1:19">
      <c r="A675" s="850" t="s">
        <v>2585</v>
      </c>
      <c r="B675" s="850" t="s">
        <v>676</v>
      </c>
      <c r="C675" s="576" t="s">
        <v>2586</v>
      </c>
      <c r="D675" s="850"/>
      <c r="E675" s="653"/>
      <c r="F675" s="653" t="s">
        <v>3192</v>
      </c>
      <c r="G675" s="1424" t="s">
        <v>3029</v>
      </c>
      <c r="H675" s="760">
        <v>-16160183</v>
      </c>
      <c r="I675" s="761">
        <v>0</v>
      </c>
      <c r="J675" s="758"/>
      <c r="K675" s="850" t="s">
        <v>3030</v>
      </c>
      <c r="L675" s="850" t="s">
        <v>3024</v>
      </c>
      <c r="M675" s="850"/>
      <c r="N675" s="1006" t="s">
        <v>3022</v>
      </c>
      <c r="O675" s="850"/>
      <c r="P675" s="850"/>
      <c r="Q675" s="850"/>
      <c r="R675" s="850"/>
      <c r="S675" s="850"/>
    </row>
    <row r="676" spans="1:19">
      <c r="A676" s="850" t="s">
        <v>2585</v>
      </c>
      <c r="B676" s="850" t="s">
        <v>676</v>
      </c>
      <c r="C676" s="576" t="s">
        <v>2586</v>
      </c>
      <c r="D676" s="850"/>
      <c r="E676" s="653"/>
      <c r="F676" s="653" t="s">
        <v>3192</v>
      </c>
      <c r="G676" s="739" t="s">
        <v>3031</v>
      </c>
      <c r="H676" s="760">
        <v>-14182192</v>
      </c>
      <c r="I676" s="761">
        <v>-8237970</v>
      </c>
      <c r="J676" s="758"/>
      <c r="K676" s="850" t="s">
        <v>2426</v>
      </c>
      <c r="L676" s="850" t="s">
        <v>3032</v>
      </c>
      <c r="M676" s="850"/>
      <c r="N676" s="1006" t="s">
        <v>3022</v>
      </c>
      <c r="O676" s="850">
        <v>6356.01</v>
      </c>
      <c r="P676" s="850">
        <v>3388</v>
      </c>
      <c r="Q676" s="850"/>
      <c r="R676" s="850"/>
      <c r="S676" s="850"/>
    </row>
    <row r="677" spans="1:19">
      <c r="A677" s="850"/>
      <c r="B677" s="850"/>
      <c r="C677" s="576" t="s">
        <v>2586</v>
      </c>
      <c r="D677" s="850"/>
      <c r="E677" s="653"/>
      <c r="F677" s="653" t="s">
        <v>3192</v>
      </c>
      <c r="G677" s="653" t="s">
        <v>234</v>
      </c>
      <c r="H677" s="760">
        <v>0</v>
      </c>
      <c r="I677" s="761">
        <v>0</v>
      </c>
      <c r="J677" s="758">
        <v>0</v>
      </c>
      <c r="K677" s="850"/>
      <c r="L677" s="850"/>
      <c r="M677" s="850"/>
      <c r="N677" s="1006"/>
      <c r="O677" s="850"/>
      <c r="P677" s="850"/>
      <c r="Q677" s="850"/>
      <c r="R677" s="850"/>
      <c r="S677" s="850"/>
    </row>
    <row r="678" spans="1:19">
      <c r="A678" s="850"/>
      <c r="B678" s="850"/>
      <c r="C678" s="576" t="s">
        <v>2586</v>
      </c>
      <c r="D678" s="850"/>
      <c r="E678" s="653"/>
      <c r="F678" s="653" t="s">
        <v>3192</v>
      </c>
      <c r="G678" s="653" t="s">
        <v>3033</v>
      </c>
      <c r="H678" s="760">
        <v>0</v>
      </c>
      <c r="I678" s="761">
        <v>0</v>
      </c>
      <c r="J678" s="758">
        <v>-37013699</v>
      </c>
      <c r="K678" s="850"/>
      <c r="L678" s="850"/>
      <c r="M678" s="850"/>
      <c r="N678" s="1006"/>
      <c r="O678" s="850"/>
      <c r="P678" s="850"/>
      <c r="Q678" s="850"/>
      <c r="R678" s="850"/>
      <c r="S678" s="850"/>
    </row>
    <row r="679" spans="1:19">
      <c r="A679" s="850" t="s">
        <v>2585</v>
      </c>
      <c r="B679" s="850" t="s">
        <v>676</v>
      </c>
      <c r="C679" s="576" t="s">
        <v>2586</v>
      </c>
      <c r="D679" s="850"/>
      <c r="E679" s="653"/>
      <c r="F679" s="653"/>
      <c r="G679" s="653"/>
      <c r="H679" s="760"/>
      <c r="I679" s="761"/>
      <c r="J679" s="758"/>
      <c r="K679" s="850"/>
      <c r="L679" s="850"/>
      <c r="M679" s="850"/>
      <c r="N679" s="1006" t="s">
        <v>3022</v>
      </c>
      <c r="O679" s="850"/>
      <c r="P679" s="850"/>
      <c r="Q679" s="850"/>
      <c r="R679" s="850"/>
      <c r="S679" s="850"/>
    </row>
    <row r="680" spans="1:19">
      <c r="A680" s="850" t="s">
        <v>2585</v>
      </c>
      <c r="B680" s="850" t="s">
        <v>676</v>
      </c>
      <c r="C680" s="576" t="s">
        <v>2586</v>
      </c>
      <c r="D680" s="850"/>
      <c r="E680" s="653" t="s">
        <v>2599</v>
      </c>
      <c r="F680" s="653" t="s">
        <v>2598</v>
      </c>
      <c r="G680" s="653" t="s">
        <v>3034</v>
      </c>
      <c r="H680" s="760">
        <v>0</v>
      </c>
      <c r="I680" s="761">
        <v>0</v>
      </c>
      <c r="J680" s="758">
        <v>0</v>
      </c>
      <c r="K680" s="850" t="s">
        <v>3192</v>
      </c>
      <c r="L680" s="850"/>
      <c r="M680" s="850"/>
      <c r="N680" s="1006" t="s">
        <v>3022</v>
      </c>
      <c r="O680" s="850"/>
      <c r="P680" s="850"/>
      <c r="Q680" s="850"/>
      <c r="R680" s="850"/>
      <c r="S680" s="850"/>
    </row>
    <row r="681" spans="1:19">
      <c r="A681" s="850" t="s">
        <v>2585</v>
      </c>
      <c r="B681" s="850" t="s">
        <v>676</v>
      </c>
      <c r="C681" s="576" t="s">
        <v>2586</v>
      </c>
      <c r="D681" s="850"/>
      <c r="E681" s="653"/>
      <c r="F681" s="653" t="s">
        <v>3192</v>
      </c>
      <c r="G681" s="653" t="s">
        <v>3035</v>
      </c>
      <c r="H681" s="760">
        <v>-1404853</v>
      </c>
      <c r="I681" s="761">
        <v>-2086442</v>
      </c>
      <c r="J681" s="758">
        <v>0</v>
      </c>
      <c r="K681" s="850">
        <v>6277.03</v>
      </c>
      <c r="L681" s="850">
        <v>331.01</v>
      </c>
      <c r="M681" s="857">
        <f>H681-I681</f>
        <v>681589</v>
      </c>
      <c r="N681" s="1006" t="s">
        <v>3022</v>
      </c>
      <c r="O681" s="850"/>
      <c r="P681" s="850"/>
      <c r="Q681" s="850"/>
      <c r="R681" s="850"/>
      <c r="S681" s="850"/>
    </row>
    <row r="682" spans="1:19">
      <c r="A682" s="850" t="s">
        <v>2585</v>
      </c>
      <c r="B682" s="850" t="s">
        <v>676</v>
      </c>
      <c r="C682" s="576" t="s">
        <v>2586</v>
      </c>
      <c r="D682" s="850"/>
      <c r="E682" s="653"/>
      <c r="F682" s="653" t="s">
        <v>3192</v>
      </c>
      <c r="G682" s="762" t="s">
        <v>3036</v>
      </c>
      <c r="H682" s="760">
        <v>0</v>
      </c>
      <c r="I682" s="761">
        <v>403483000</v>
      </c>
      <c r="J682" s="758">
        <v>0</v>
      </c>
      <c r="K682" s="850" t="s">
        <v>3192</v>
      </c>
      <c r="L682" s="850"/>
      <c r="M682" s="850"/>
      <c r="N682" s="1006" t="s">
        <v>3022</v>
      </c>
      <c r="O682" s="850"/>
      <c r="P682" s="850"/>
      <c r="Q682" s="850"/>
      <c r="R682" s="850"/>
      <c r="S682" s="850"/>
    </row>
    <row r="683" spans="1:19" hidden="1">
      <c r="A683" s="850" t="s">
        <v>2585</v>
      </c>
      <c r="B683" s="850" t="s">
        <v>676</v>
      </c>
      <c r="C683" s="576" t="s">
        <v>2586</v>
      </c>
      <c r="D683" s="850"/>
      <c r="E683" s="653"/>
      <c r="F683" s="653"/>
      <c r="G683" s="762" t="s">
        <v>61</v>
      </c>
      <c r="H683" s="760">
        <v>56549028</v>
      </c>
      <c r="I683" s="761">
        <v>69601100</v>
      </c>
      <c r="J683" s="758"/>
      <c r="K683" s="850"/>
      <c r="L683" s="850"/>
      <c r="M683" s="850"/>
      <c r="N683" s="1006" t="s">
        <v>3017</v>
      </c>
      <c r="O683" s="850"/>
      <c r="P683" s="850"/>
      <c r="Q683" s="850"/>
      <c r="R683" s="850"/>
      <c r="S683" s="850"/>
    </row>
    <row r="684" spans="1:19" hidden="1">
      <c r="A684" s="850" t="s">
        <v>2585</v>
      </c>
      <c r="B684" s="850" t="s">
        <v>676</v>
      </c>
      <c r="C684" s="576" t="s">
        <v>2586</v>
      </c>
      <c r="D684" s="850"/>
      <c r="E684" s="653"/>
      <c r="F684" s="653"/>
      <c r="G684" s="850"/>
      <c r="H684" s="850"/>
      <c r="I684" s="850"/>
      <c r="J684" s="850"/>
      <c r="K684" s="850"/>
      <c r="L684" s="850"/>
      <c r="M684" s="850"/>
      <c r="N684" s="1006" t="s">
        <v>3017</v>
      </c>
      <c r="O684" s="850"/>
      <c r="P684" s="850"/>
      <c r="Q684" s="850"/>
      <c r="R684" s="850"/>
      <c r="S684" s="850"/>
    </row>
    <row r="685" spans="1:19" hidden="1">
      <c r="A685" s="850" t="s">
        <v>2585</v>
      </c>
      <c r="B685" s="850" t="s">
        <v>676</v>
      </c>
      <c r="C685" s="576" t="s">
        <v>2586</v>
      </c>
      <c r="D685" s="850"/>
      <c r="E685" s="653"/>
      <c r="F685" s="653"/>
      <c r="G685" s="653" t="s">
        <v>3023</v>
      </c>
      <c r="H685" s="760"/>
      <c r="I685" s="761"/>
      <c r="J685" s="758">
        <v>-10949407</v>
      </c>
      <c r="K685" s="850"/>
      <c r="L685" s="850"/>
      <c r="M685" s="850"/>
      <c r="N685" s="1006" t="s">
        <v>3017</v>
      </c>
      <c r="O685" s="850"/>
      <c r="P685" s="850"/>
      <c r="Q685" s="850"/>
      <c r="R685" s="850"/>
      <c r="S685" s="850"/>
    </row>
    <row r="686" spans="1:19" hidden="1">
      <c r="A686" s="850" t="s">
        <v>2585</v>
      </c>
      <c r="B686" s="850" t="s">
        <v>676</v>
      </c>
      <c r="C686" s="576" t="s">
        <v>2586</v>
      </c>
      <c r="D686" s="850"/>
      <c r="E686" s="653"/>
      <c r="F686" s="653"/>
      <c r="G686" s="739" t="s">
        <v>2458</v>
      </c>
      <c r="H686" s="760"/>
      <c r="I686" s="761"/>
      <c r="J686" s="758">
        <v>-164566553</v>
      </c>
      <c r="K686" s="850"/>
      <c r="L686" s="850"/>
      <c r="M686" s="850"/>
      <c r="N686" s="1006" t="s">
        <v>3017</v>
      </c>
      <c r="O686" s="850"/>
      <c r="P686" s="850"/>
      <c r="Q686" s="850"/>
      <c r="R686" s="850"/>
      <c r="S686" s="850"/>
    </row>
    <row r="687" spans="1:19" hidden="1">
      <c r="A687" s="850" t="s">
        <v>2585</v>
      </c>
      <c r="B687" s="850" t="s">
        <v>676</v>
      </c>
      <c r="C687" s="576" t="s">
        <v>2586</v>
      </c>
      <c r="D687" s="850"/>
      <c r="E687" s="653"/>
      <c r="F687" s="653"/>
      <c r="G687" s="653" t="s">
        <v>3037</v>
      </c>
      <c r="H687" s="760">
        <v>-32232000000</v>
      </c>
      <c r="I687" s="761">
        <v>-34128000000</v>
      </c>
      <c r="J687" s="758">
        <v>1896000000</v>
      </c>
      <c r="K687" s="850"/>
      <c r="L687" s="850"/>
      <c r="M687" s="850"/>
      <c r="N687" s="1006" t="s">
        <v>3017</v>
      </c>
      <c r="O687" s="850"/>
      <c r="P687" s="850"/>
      <c r="Q687" s="850"/>
      <c r="R687" s="850"/>
      <c r="S687" s="850"/>
    </row>
    <row r="688" spans="1:19" hidden="1">
      <c r="A688" s="850" t="s">
        <v>2585</v>
      </c>
      <c r="B688" s="850" t="s">
        <v>676</v>
      </c>
      <c r="C688" s="576" t="s">
        <v>2586</v>
      </c>
      <c r="D688" s="850"/>
      <c r="E688" s="653"/>
      <c r="F688" s="653"/>
      <c r="G688" s="653"/>
      <c r="H688" s="760"/>
      <c r="I688" s="761"/>
      <c r="J688" s="758"/>
      <c r="K688" s="850"/>
      <c r="L688" s="850"/>
      <c r="M688" s="850"/>
      <c r="N688" s="1006" t="s">
        <v>3017</v>
      </c>
      <c r="O688" s="850"/>
      <c r="P688" s="850"/>
      <c r="Q688" s="850"/>
      <c r="R688" s="850"/>
      <c r="S688" s="850"/>
    </row>
    <row r="689" spans="1:14" hidden="1">
      <c r="A689" s="850" t="s">
        <v>2585</v>
      </c>
      <c r="B689" s="850" t="s">
        <v>676</v>
      </c>
      <c r="C689" s="576" t="s">
        <v>2586</v>
      </c>
      <c r="D689" s="850"/>
      <c r="E689" s="653"/>
      <c r="F689" s="653"/>
      <c r="G689" s="653"/>
      <c r="H689" s="760"/>
      <c r="I689" s="761"/>
      <c r="J689" s="758"/>
      <c r="K689" s="850"/>
      <c r="L689" s="850"/>
      <c r="M689" s="850"/>
      <c r="N689" s="1006" t="s">
        <v>3017</v>
      </c>
    </row>
    <row r="690" spans="1:14" hidden="1">
      <c r="A690" s="850" t="s">
        <v>2585</v>
      </c>
      <c r="B690" s="850" t="s">
        <v>676</v>
      </c>
      <c r="C690" s="576" t="s">
        <v>2586</v>
      </c>
      <c r="D690" s="850"/>
      <c r="E690" s="653" t="s">
        <v>3038</v>
      </c>
      <c r="F690" s="653" t="s">
        <v>3014</v>
      </c>
      <c r="G690" s="653" t="s">
        <v>3039</v>
      </c>
      <c r="H690" s="760"/>
      <c r="I690" s="761">
        <v>18231000000</v>
      </c>
      <c r="J690" s="758"/>
      <c r="K690" s="850"/>
      <c r="L690" s="850"/>
      <c r="M690" s="850"/>
      <c r="N690" s="1006" t="s">
        <v>3017</v>
      </c>
    </row>
    <row r="691" spans="1:14" hidden="1">
      <c r="A691" s="850" t="s">
        <v>2585</v>
      </c>
      <c r="B691" s="850" t="s">
        <v>676</v>
      </c>
      <c r="C691" s="576" t="s">
        <v>2586</v>
      </c>
      <c r="D691" s="850"/>
      <c r="E691" s="653" t="s">
        <v>3040</v>
      </c>
      <c r="F691" s="653" t="s">
        <v>3014</v>
      </c>
      <c r="G691" s="653" t="s">
        <v>3039</v>
      </c>
      <c r="H691" s="760"/>
      <c r="I691" s="761">
        <v>2316740000</v>
      </c>
      <c r="J691" s="758"/>
      <c r="K691" s="850"/>
      <c r="L691" s="850"/>
      <c r="M691" s="850"/>
      <c r="N691" s="1006" t="s">
        <v>3017</v>
      </c>
    </row>
    <row r="692" spans="1:14">
      <c r="A692" s="850" t="s">
        <v>2585</v>
      </c>
      <c r="B692" s="850" t="s">
        <v>676</v>
      </c>
      <c r="C692" s="576" t="s">
        <v>2586</v>
      </c>
      <c r="D692" s="850"/>
      <c r="E692" s="653" t="s">
        <v>3041</v>
      </c>
      <c r="F692" s="653" t="s">
        <v>3014</v>
      </c>
      <c r="G692" s="653" t="s">
        <v>3039</v>
      </c>
      <c r="H692" s="760">
        <v>0</v>
      </c>
      <c r="I692" s="761">
        <v>5647170000</v>
      </c>
      <c r="J692" s="758"/>
      <c r="K692" s="850" t="s">
        <v>62</v>
      </c>
      <c r="L692" s="850" t="s">
        <v>3192</v>
      </c>
      <c r="M692" s="850"/>
      <c r="N692" s="1006" t="s">
        <v>3022</v>
      </c>
    </row>
    <row r="693" spans="1:14">
      <c r="A693" s="850" t="s">
        <v>2585</v>
      </c>
      <c r="B693" s="850" t="s">
        <v>676</v>
      </c>
      <c r="C693" s="576" t="s">
        <v>2586</v>
      </c>
      <c r="D693" s="850"/>
      <c r="E693" s="653" t="s">
        <v>3042</v>
      </c>
      <c r="F693" s="653" t="s">
        <v>3014</v>
      </c>
      <c r="G693" s="653" t="s">
        <v>3039</v>
      </c>
      <c r="H693" s="760">
        <v>0</v>
      </c>
      <c r="I693" s="761">
        <v>2647490000</v>
      </c>
      <c r="J693" s="758"/>
      <c r="K693" s="850" t="s">
        <v>3192</v>
      </c>
      <c r="L693" s="850"/>
      <c r="M693" s="850"/>
      <c r="N693" s="1006" t="s">
        <v>3022</v>
      </c>
    </row>
    <row r="694" spans="1:14" hidden="1">
      <c r="A694" s="850" t="s">
        <v>2585</v>
      </c>
      <c r="B694" s="850" t="s">
        <v>676</v>
      </c>
      <c r="C694" s="576" t="s">
        <v>2586</v>
      </c>
      <c r="D694" s="850"/>
      <c r="E694" s="653" t="s">
        <v>3043</v>
      </c>
      <c r="F694" s="653" t="s">
        <v>3014</v>
      </c>
      <c r="G694" s="653" t="s">
        <v>3039</v>
      </c>
      <c r="H694" s="760"/>
      <c r="I694" s="761">
        <v>763120000</v>
      </c>
      <c r="J694" s="758"/>
      <c r="K694" s="850"/>
      <c r="L694" s="850"/>
      <c r="M694" s="850"/>
      <c r="N694" s="1006" t="s">
        <v>3017</v>
      </c>
    </row>
    <row r="695" spans="1:14" hidden="1">
      <c r="A695" s="850" t="s">
        <v>2585</v>
      </c>
      <c r="B695" s="850" t="s">
        <v>676</v>
      </c>
      <c r="C695" s="576" t="s">
        <v>2586</v>
      </c>
      <c r="D695" s="850"/>
      <c r="E695" s="653" t="s">
        <v>3044</v>
      </c>
      <c r="F695" s="653" t="s">
        <v>3014</v>
      </c>
      <c r="G695" s="653" t="s">
        <v>3039</v>
      </c>
      <c r="H695" s="760"/>
      <c r="I695" s="761">
        <v>16608950000</v>
      </c>
      <c r="J695" s="758"/>
      <c r="K695" s="850"/>
      <c r="L695" s="850"/>
      <c r="M695" s="850"/>
      <c r="N695" s="1006" t="s">
        <v>3017</v>
      </c>
    </row>
    <row r="696" spans="1:14">
      <c r="A696" s="850" t="s">
        <v>2585</v>
      </c>
      <c r="B696" s="850" t="s">
        <v>676</v>
      </c>
      <c r="C696" s="576" t="s">
        <v>2586</v>
      </c>
      <c r="D696" s="850"/>
      <c r="E696" s="653"/>
      <c r="F696" s="653"/>
      <c r="G696" s="653" t="s">
        <v>70</v>
      </c>
      <c r="H696" s="760">
        <v>0</v>
      </c>
      <c r="I696" s="761">
        <v>28437160</v>
      </c>
      <c r="J696" s="758"/>
      <c r="K696" s="850" t="s">
        <v>3192</v>
      </c>
      <c r="L696" s="850"/>
      <c r="M696" s="857">
        <f>H696-I696</f>
        <v>-28437160</v>
      </c>
      <c r="N696" s="1006" t="s">
        <v>3022</v>
      </c>
    </row>
    <row r="697" spans="1:14" hidden="1">
      <c r="A697" s="850" t="s">
        <v>2585</v>
      </c>
      <c r="B697" s="850" t="s">
        <v>676</v>
      </c>
      <c r="C697" s="576" t="s">
        <v>2586</v>
      </c>
      <c r="D697" s="850"/>
      <c r="E697" s="653" t="s">
        <v>3045</v>
      </c>
      <c r="F697" s="653" t="s">
        <v>3014</v>
      </c>
      <c r="G697" s="653" t="s">
        <v>3039</v>
      </c>
      <c r="H697" s="760"/>
      <c r="I697" s="761">
        <v>14484510000</v>
      </c>
      <c r="J697" s="758"/>
      <c r="K697" s="850"/>
      <c r="L697" s="850"/>
      <c r="M697" s="850"/>
      <c r="N697" s="1006" t="s">
        <v>3017</v>
      </c>
    </row>
    <row r="698" spans="1:14">
      <c r="A698" s="850" t="s">
        <v>2585</v>
      </c>
      <c r="B698" s="850" t="s">
        <v>676</v>
      </c>
      <c r="C698" s="576" t="s">
        <v>2586</v>
      </c>
      <c r="D698" s="850"/>
      <c r="E698" s="653" t="s">
        <v>3046</v>
      </c>
      <c r="F698" s="653" t="s">
        <v>3014</v>
      </c>
      <c r="G698" s="653" t="s">
        <v>3039</v>
      </c>
      <c r="H698" s="760">
        <v>0</v>
      </c>
      <c r="I698" s="761">
        <v>506620000</v>
      </c>
      <c r="J698" s="758"/>
      <c r="K698" s="850" t="s">
        <v>3192</v>
      </c>
      <c r="L698" s="850"/>
      <c r="M698" s="850"/>
      <c r="N698" s="1006" t="s">
        <v>3022</v>
      </c>
    </row>
    <row r="699" spans="1:14">
      <c r="A699" s="850" t="s">
        <v>2585</v>
      </c>
      <c r="B699" s="850" t="s">
        <v>676</v>
      </c>
      <c r="C699" s="576" t="s">
        <v>2586</v>
      </c>
      <c r="D699" s="850"/>
      <c r="E699" s="653" t="s">
        <v>3047</v>
      </c>
      <c r="F699" s="653" t="s">
        <v>3014</v>
      </c>
      <c r="G699" s="653" t="s">
        <v>3039</v>
      </c>
      <c r="H699" s="760">
        <v>0</v>
      </c>
      <c r="I699" s="761">
        <v>898450000</v>
      </c>
      <c r="J699" s="758"/>
      <c r="K699" s="850" t="s">
        <v>3192</v>
      </c>
      <c r="L699" s="850"/>
      <c r="M699" s="857">
        <f>H699-I699</f>
        <v>-898450000</v>
      </c>
      <c r="N699" s="1006" t="s">
        <v>3022</v>
      </c>
    </row>
    <row r="700" spans="1:14">
      <c r="A700" s="850" t="s">
        <v>2585</v>
      </c>
      <c r="B700" s="850" t="s">
        <v>676</v>
      </c>
      <c r="C700" s="576" t="s">
        <v>2586</v>
      </c>
      <c r="D700" s="850"/>
      <c r="E700" s="653" t="s">
        <v>2863</v>
      </c>
      <c r="F700" s="653" t="s">
        <v>3014</v>
      </c>
      <c r="G700" s="653" t="s">
        <v>3039</v>
      </c>
      <c r="H700" s="760">
        <v>0</v>
      </c>
      <c r="I700" s="761"/>
      <c r="J700" s="758"/>
      <c r="K700" s="850"/>
      <c r="L700" s="850"/>
      <c r="M700" s="850"/>
      <c r="N700" s="1006" t="s">
        <v>3022</v>
      </c>
    </row>
    <row r="701" spans="1:14">
      <c r="A701" s="850"/>
      <c r="B701" s="850"/>
      <c r="C701" s="576" t="s">
        <v>2586</v>
      </c>
      <c r="D701" s="850"/>
      <c r="E701" s="850"/>
      <c r="F701" s="850"/>
      <c r="G701" s="850"/>
      <c r="H701" s="850"/>
      <c r="I701" s="850"/>
      <c r="J701" s="850"/>
      <c r="K701" s="850"/>
      <c r="L701" s="850"/>
      <c r="M701" s="850"/>
      <c r="N701" s="850"/>
    </row>
    <row r="702" spans="1:14">
      <c r="A702" s="850" t="s">
        <v>2585</v>
      </c>
      <c r="B702" s="850" t="s">
        <v>675</v>
      </c>
      <c r="C702" s="576" t="s">
        <v>2586</v>
      </c>
      <c r="D702" s="850"/>
      <c r="E702" s="1" t="s">
        <v>3048</v>
      </c>
      <c r="F702" s="850"/>
      <c r="G702" s="850"/>
      <c r="H702" s="850"/>
      <c r="I702" s="850"/>
      <c r="J702" s="850"/>
      <c r="K702" s="850"/>
      <c r="L702" s="850"/>
      <c r="M702" s="850"/>
      <c r="N702" s="850"/>
    </row>
    <row r="703" spans="1:14" ht="15">
      <c r="A703" s="850" t="s">
        <v>2585</v>
      </c>
      <c r="B703" s="850" t="s">
        <v>675</v>
      </c>
      <c r="C703" s="576" t="s">
        <v>2586</v>
      </c>
      <c r="D703" s="850"/>
      <c r="E703" s="850"/>
      <c r="F703" s="850"/>
      <c r="G703" s="687" t="s">
        <v>3193</v>
      </c>
      <c r="H703" s="1034"/>
      <c r="I703" s="850"/>
      <c r="J703" s="850"/>
      <c r="K703" s="850"/>
      <c r="L703" s="850"/>
      <c r="M703" s="850"/>
      <c r="N703" s="850"/>
    </row>
    <row r="704" spans="1:14" ht="25.5">
      <c r="A704" s="850" t="s">
        <v>2585</v>
      </c>
      <c r="B704" s="850" t="s">
        <v>675</v>
      </c>
      <c r="C704" s="576" t="s">
        <v>2586</v>
      </c>
      <c r="D704" s="850"/>
      <c r="E704" s="172" t="s">
        <v>3050</v>
      </c>
      <c r="F704" s="172" t="s">
        <v>3051</v>
      </c>
      <c r="G704" s="173">
        <v>45657</v>
      </c>
      <c r="H704" s="174">
        <v>45107</v>
      </c>
      <c r="I704" s="173" t="s">
        <v>2588</v>
      </c>
      <c r="J704" s="174" t="s">
        <v>3194</v>
      </c>
      <c r="K704" s="850"/>
      <c r="L704" s="850"/>
      <c r="M704" s="850"/>
      <c r="N704" s="850"/>
    </row>
    <row r="705" spans="1:19" ht="25.5">
      <c r="A705" s="850" t="s">
        <v>2585</v>
      </c>
      <c r="B705" s="850" t="s">
        <v>675</v>
      </c>
      <c r="C705" s="576" t="s">
        <v>2586</v>
      </c>
      <c r="D705" s="850"/>
      <c r="E705" s="850" t="s">
        <v>3044</v>
      </c>
      <c r="F705" s="1003" t="s">
        <v>3052</v>
      </c>
      <c r="G705" s="990">
        <f>BOM!O49</f>
        <v>1292065881</v>
      </c>
      <c r="H705" s="847">
        <f>SUM(BOM!C15:H15)</f>
        <v>527271800</v>
      </c>
      <c r="I705" s="990">
        <f>BOM!O15</f>
        <v>1066078900</v>
      </c>
      <c r="J705" s="847">
        <v>1281540000</v>
      </c>
      <c r="K705" s="850"/>
      <c r="L705" s="850"/>
      <c r="M705" s="850"/>
      <c r="N705" s="850"/>
      <c r="O705" s="850"/>
      <c r="P705" s="850"/>
      <c r="Q705" s="850"/>
      <c r="R705" s="850"/>
      <c r="S705" s="850"/>
    </row>
    <row r="706" spans="1:19" ht="25.5">
      <c r="A706" s="850" t="s">
        <v>2585</v>
      </c>
      <c r="B706" s="850" t="s">
        <v>675</v>
      </c>
      <c r="C706" s="576" t="s">
        <v>2586</v>
      </c>
      <c r="D706" s="850"/>
      <c r="E706" s="850" t="s">
        <v>3046</v>
      </c>
      <c r="F706" s="1003" t="s">
        <v>3053</v>
      </c>
      <c r="G706" s="990">
        <f>BOM!O50</f>
        <v>50250000</v>
      </c>
      <c r="H706" s="847">
        <f>SUM(BOM!C14:H14)</f>
        <v>399217600</v>
      </c>
      <c r="I706" s="990">
        <f>BOM!O14</f>
        <v>810604800</v>
      </c>
      <c r="J706" s="847">
        <v>782600000</v>
      </c>
      <c r="K706" s="850" t="s">
        <v>1200</v>
      </c>
      <c r="L706" s="850"/>
      <c r="M706" s="850"/>
      <c r="N706" s="850"/>
      <c r="O706" s="850"/>
      <c r="P706" s="850"/>
      <c r="Q706" s="850"/>
      <c r="R706" s="850"/>
      <c r="S706" s="850"/>
    </row>
    <row r="707" spans="1:19" ht="38.25">
      <c r="A707" s="850" t="s">
        <v>2585</v>
      </c>
      <c r="B707" s="850" t="s">
        <v>675</v>
      </c>
      <c r="C707" s="576" t="s">
        <v>2586</v>
      </c>
      <c r="D707" s="850"/>
      <c r="E707" s="850" t="s">
        <v>3047</v>
      </c>
      <c r="F707" s="1003" t="s">
        <v>3054</v>
      </c>
      <c r="G707" s="990">
        <f>BOM!O53</f>
        <v>45225000</v>
      </c>
      <c r="H707" s="847">
        <f>SUM(BOM!C13:H13)</f>
        <v>399341400</v>
      </c>
      <c r="I707" s="990">
        <f>BOM!O13</f>
        <v>809114700</v>
      </c>
      <c r="J707" s="847">
        <v>733850000</v>
      </c>
      <c r="K707" s="850"/>
      <c r="L707" s="850"/>
      <c r="M707" s="850"/>
      <c r="N707" s="850"/>
      <c r="O707" s="850"/>
      <c r="P707" s="850"/>
      <c r="Q707" s="850"/>
      <c r="R707" s="850"/>
      <c r="S707" s="850"/>
    </row>
    <row r="708" spans="1:19" ht="25.5">
      <c r="A708" s="850" t="s">
        <v>2585</v>
      </c>
      <c r="B708" s="850" t="s">
        <v>675</v>
      </c>
      <c r="C708" s="576" t="s">
        <v>2586</v>
      </c>
      <c r="D708" s="850"/>
      <c r="E708" s="850" t="s">
        <v>3055</v>
      </c>
      <c r="F708" s="1003" t="s">
        <v>3056</v>
      </c>
      <c r="G708" s="990">
        <f>BOM!O52</f>
        <v>45225000</v>
      </c>
      <c r="H708" s="847">
        <f>SUM(BOM!C12:H12)</f>
        <v>391589041</v>
      </c>
      <c r="I708" s="990">
        <f>BOM!O12</f>
        <v>852889041</v>
      </c>
      <c r="J708" s="847">
        <v>429589041</v>
      </c>
      <c r="K708" s="850"/>
      <c r="L708" s="850"/>
      <c r="M708" s="850"/>
      <c r="N708" s="850"/>
      <c r="O708" s="850"/>
      <c r="P708" s="850"/>
      <c r="Q708" s="850"/>
      <c r="R708" s="850"/>
      <c r="S708" s="850"/>
    </row>
    <row r="709" spans="1:19">
      <c r="A709" s="850" t="s">
        <v>2585</v>
      </c>
      <c r="B709" s="850" t="s">
        <v>675</v>
      </c>
      <c r="C709" s="576" t="s">
        <v>2586</v>
      </c>
      <c r="D709" s="850"/>
      <c r="E709" s="850" t="s">
        <v>3060</v>
      </c>
      <c r="F709" s="1003" t="s">
        <v>1165</v>
      </c>
      <c r="G709" s="990">
        <f>BOM!O54</f>
        <v>60300000</v>
      </c>
      <c r="H709" s="847">
        <f>SUM(BOM!C11:H11)</f>
        <v>456976895</v>
      </c>
      <c r="I709" s="990"/>
      <c r="J709" s="847"/>
      <c r="K709" s="850" t="s">
        <v>1200</v>
      </c>
      <c r="L709" s="850"/>
      <c r="M709" s="850"/>
      <c r="N709" s="850"/>
      <c r="O709" s="850"/>
      <c r="P709" s="850"/>
      <c r="Q709" s="850"/>
      <c r="R709" s="850"/>
      <c r="S709" s="850"/>
    </row>
    <row r="710" spans="1:19" ht="25.5">
      <c r="A710" s="850"/>
      <c r="B710" s="850"/>
      <c r="C710" s="576"/>
      <c r="D710" s="850"/>
      <c r="E710" s="850" t="s">
        <v>3057</v>
      </c>
      <c r="F710" s="1003" t="s">
        <v>3195</v>
      </c>
      <c r="G710" s="990">
        <f>BOM!O51</f>
        <v>134539682.11000001</v>
      </c>
      <c r="H710" s="847"/>
      <c r="I710" s="990"/>
      <c r="J710" s="847"/>
      <c r="K710" s="850" t="s">
        <v>1200</v>
      </c>
      <c r="L710" s="850"/>
      <c r="M710" s="850"/>
      <c r="N710" s="850"/>
      <c r="O710" s="850"/>
      <c r="P710" s="850"/>
      <c r="Q710" s="850"/>
      <c r="R710" s="850"/>
      <c r="S710" s="850"/>
    </row>
    <row r="711" spans="1:19" ht="25.5">
      <c r="A711" s="850" t="s">
        <v>2585</v>
      </c>
      <c r="B711" s="850" t="s">
        <v>675</v>
      </c>
      <c r="C711" s="576" t="s">
        <v>2586</v>
      </c>
      <c r="D711" s="850"/>
      <c r="E711" s="850" t="s">
        <v>3061</v>
      </c>
      <c r="F711" s="1003" t="s">
        <v>3062</v>
      </c>
      <c r="G711" s="990">
        <v>0</v>
      </c>
      <c r="H711" s="847">
        <f>SUM(BOM!C10:H10)</f>
        <v>471300000</v>
      </c>
      <c r="I711" s="990">
        <f>BOM!O10</f>
        <v>1164266667</v>
      </c>
      <c r="J711" s="847">
        <v>0</v>
      </c>
      <c r="K711" s="850"/>
      <c r="L711" s="850"/>
      <c r="M711" s="850"/>
      <c r="N711" s="850"/>
      <c r="O711" s="850"/>
      <c r="P711" s="850"/>
      <c r="Q711" s="850"/>
      <c r="R711" s="850"/>
      <c r="S711" s="850"/>
    </row>
    <row r="712" spans="1:19">
      <c r="A712" s="850"/>
      <c r="B712" s="850"/>
      <c r="C712" s="576"/>
      <c r="D712" s="850"/>
      <c r="E712" s="850" t="s">
        <v>3196</v>
      </c>
      <c r="F712" s="1003" t="s">
        <v>3197</v>
      </c>
      <c r="G712" s="990">
        <f>BOM!O56</f>
        <v>10050000</v>
      </c>
      <c r="H712" s="847"/>
      <c r="I712" s="990"/>
      <c r="J712" s="847"/>
      <c r="K712" s="850"/>
      <c r="L712" s="850"/>
      <c r="M712" s="850"/>
      <c r="N712" s="850"/>
      <c r="O712" s="850"/>
      <c r="P712" s="850"/>
      <c r="Q712" s="850"/>
      <c r="R712" s="850"/>
      <c r="S712" s="850"/>
    </row>
    <row r="713" spans="1:19" ht="13.5" thickBot="1">
      <c r="A713" s="850" t="s">
        <v>2585</v>
      </c>
      <c r="B713" s="850" t="s">
        <v>675</v>
      </c>
      <c r="C713" s="576" t="s">
        <v>2586</v>
      </c>
      <c r="D713" s="850"/>
      <c r="E713" s="850"/>
      <c r="F713" s="850"/>
      <c r="G713" s="1559">
        <f>SUM(G705:G711)</f>
        <v>1627605563.1100001</v>
      </c>
      <c r="H713" s="1561">
        <f>SUM(H705:H711)-H709</f>
        <v>2188719841</v>
      </c>
      <c r="I713" s="1559">
        <f>SUM(I705:I711)</f>
        <v>4702954108</v>
      </c>
      <c r="J713" s="1561">
        <f>SUM(J705:J711)</f>
        <v>3227579041</v>
      </c>
      <c r="K713" s="850"/>
      <c r="L713" s="850"/>
      <c r="M713" s="850"/>
      <c r="N713" s="850"/>
      <c r="O713" s="850"/>
      <c r="P713" s="850"/>
      <c r="Q713" s="850"/>
      <c r="R713" s="850"/>
      <c r="S713" s="850"/>
    </row>
    <row r="714" spans="1:19" ht="13.5" thickTop="1">
      <c r="A714" s="850" t="s">
        <v>2585</v>
      </c>
      <c r="B714" s="850" t="s">
        <v>675</v>
      </c>
      <c r="C714" s="576" t="s">
        <v>2586</v>
      </c>
      <c r="D714" s="850"/>
      <c r="E714" s="850"/>
      <c r="F714" s="850"/>
      <c r="G714" s="850"/>
      <c r="H714" s="850"/>
      <c r="I714" s="850"/>
      <c r="J714" s="850"/>
      <c r="K714" s="850"/>
      <c r="L714" s="850"/>
      <c r="M714" s="850"/>
      <c r="N714" s="850"/>
      <c r="O714" s="850"/>
      <c r="P714" s="850"/>
      <c r="Q714" s="850"/>
      <c r="R714" s="850"/>
      <c r="S714" s="850"/>
    </row>
    <row r="715" spans="1:19">
      <c r="A715" s="172"/>
      <c r="B715" s="172" t="s">
        <v>676</v>
      </c>
      <c r="C715" s="172" t="s">
        <v>681</v>
      </c>
      <c r="D715" s="172"/>
      <c r="E715" s="562" t="s">
        <v>3078</v>
      </c>
      <c r="F715" s="172"/>
      <c r="G715" s="172"/>
      <c r="H715" s="172"/>
      <c r="I715" s="172"/>
      <c r="J715" s="172"/>
      <c r="K715" s="172"/>
      <c r="L715" s="172"/>
      <c r="M715" s="172"/>
      <c r="N715" s="172"/>
      <c r="O715" s="172"/>
      <c r="P715" s="172"/>
      <c r="Q715" s="172"/>
      <c r="R715" s="172"/>
      <c r="S715" s="172"/>
    </row>
    <row r="716" spans="1:19">
      <c r="A716" s="850" t="s">
        <v>2585</v>
      </c>
      <c r="B716" s="850" t="s">
        <v>676</v>
      </c>
      <c r="C716" s="576" t="s">
        <v>2586</v>
      </c>
      <c r="D716" s="850"/>
      <c r="E716" s="850" t="s">
        <v>3079</v>
      </c>
      <c r="F716" s="850"/>
      <c r="G716" s="850"/>
      <c r="H716" s="850"/>
      <c r="I716" s="850"/>
      <c r="J716" s="850"/>
      <c r="K716" s="850"/>
      <c r="L716" s="850"/>
      <c r="M716" s="850"/>
      <c r="N716" s="850"/>
      <c r="O716" s="850"/>
      <c r="P716" s="850"/>
      <c r="Q716" s="850"/>
      <c r="R716" s="850"/>
      <c r="S716" s="850"/>
    </row>
    <row r="717" spans="1:19" ht="25.5">
      <c r="A717" s="850" t="s">
        <v>2585</v>
      </c>
      <c r="B717" s="850" t="s">
        <v>676</v>
      </c>
      <c r="C717" s="576" t="s">
        <v>2586</v>
      </c>
      <c r="D717" s="850"/>
      <c r="E717" s="850"/>
      <c r="F717" s="173" t="s">
        <v>2638</v>
      </c>
      <c r="G717" s="174" t="s">
        <v>2588</v>
      </c>
      <c r="H717" s="850"/>
      <c r="I717" s="850"/>
      <c r="J717" s="850"/>
      <c r="K717" s="850"/>
      <c r="L717" s="850"/>
      <c r="M717" s="850"/>
      <c r="N717" s="850"/>
      <c r="O717" s="850"/>
      <c r="P717" s="850"/>
      <c r="Q717" s="850"/>
      <c r="R717" s="850"/>
      <c r="S717" s="850"/>
    </row>
    <row r="718" spans="1:19">
      <c r="A718" s="850" t="s">
        <v>2585</v>
      </c>
      <c r="B718" s="850" t="s">
        <v>676</v>
      </c>
      <c r="C718" s="576" t="s">
        <v>2586</v>
      </c>
      <c r="D718" s="850"/>
      <c r="E718" s="850" t="s">
        <v>3081</v>
      </c>
      <c r="F718" s="990">
        <v>2078075538</v>
      </c>
      <c r="G718" s="847">
        <v>400229440</v>
      </c>
      <c r="H718" s="850"/>
      <c r="I718" s="850"/>
      <c r="J718" s="850"/>
      <c r="K718" s="850"/>
      <c r="L718" s="850"/>
      <c r="M718" s="850"/>
      <c r="N718" s="850"/>
      <c r="O718" s="850"/>
      <c r="P718" s="850"/>
      <c r="Q718" s="850"/>
      <c r="R718" s="850"/>
      <c r="S718" s="850"/>
    </row>
    <row r="719" spans="1:19">
      <c r="A719" s="850" t="s">
        <v>2585</v>
      </c>
      <c r="B719" s="850" t="s">
        <v>676</v>
      </c>
      <c r="C719" s="576" t="s">
        <v>2586</v>
      </c>
      <c r="D719" s="850"/>
      <c r="E719" s="850" t="s">
        <v>3083</v>
      </c>
      <c r="F719" s="990">
        <v>0</v>
      </c>
      <c r="G719" s="847">
        <v>4139711552</v>
      </c>
      <c r="H719" s="850"/>
      <c r="I719" s="850"/>
      <c r="J719" s="850"/>
      <c r="K719" s="850"/>
      <c r="L719" s="850"/>
      <c r="M719" s="850"/>
      <c r="N719" s="850"/>
      <c r="O719" s="850"/>
      <c r="P719" s="850"/>
      <c r="Q719" s="850"/>
      <c r="R719" s="850"/>
      <c r="S719" s="850"/>
    </row>
    <row r="720" spans="1:19">
      <c r="A720" s="850" t="s">
        <v>2585</v>
      </c>
      <c r="B720" s="850" t="s">
        <v>676</v>
      </c>
      <c r="C720" s="576" t="s">
        <v>2586</v>
      </c>
      <c r="D720" s="850"/>
      <c r="E720" s="850" t="s">
        <v>3084</v>
      </c>
      <c r="F720" s="990">
        <v>0</v>
      </c>
      <c r="G720" s="847">
        <v>0</v>
      </c>
      <c r="H720" s="850"/>
      <c r="I720" s="850"/>
      <c r="J720" s="850"/>
      <c r="K720" s="850"/>
      <c r="L720" s="850"/>
      <c r="M720" s="850"/>
      <c r="N720" s="850"/>
      <c r="O720" s="850"/>
      <c r="P720" s="850"/>
      <c r="Q720" s="850"/>
      <c r="R720" s="850"/>
      <c r="S720" s="850"/>
    </row>
    <row r="721" spans="1:19" ht="13.5" thickBot="1">
      <c r="A721" s="850" t="s">
        <v>2585</v>
      </c>
      <c r="B721" s="850" t="s">
        <v>676</v>
      </c>
      <c r="C721" s="576" t="s">
        <v>2586</v>
      </c>
      <c r="D721" s="850"/>
      <c r="E721" s="850"/>
      <c r="F721" s="1562">
        <f>SUM(F718:F720)</f>
        <v>2078075538</v>
      </c>
      <c r="G721" s="1563">
        <f>SUM(G718:G720)</f>
        <v>4539940992</v>
      </c>
      <c r="H721" s="850"/>
      <c r="I721" s="850"/>
      <c r="J721" s="850"/>
      <c r="K721" s="850"/>
      <c r="L721" s="850"/>
      <c r="M721" s="850"/>
      <c r="N721" s="850"/>
      <c r="O721" s="850"/>
      <c r="P721" s="850"/>
      <c r="Q721" s="850"/>
      <c r="R721" s="850"/>
      <c r="S721" s="850"/>
    </row>
    <row r="722" spans="1:19" ht="13.5" thickTop="1">
      <c r="A722" s="850" t="s">
        <v>2585</v>
      </c>
      <c r="B722" s="850" t="s">
        <v>676</v>
      </c>
      <c r="C722" s="576" t="s">
        <v>2586</v>
      </c>
      <c r="D722" s="850"/>
      <c r="E722" s="850"/>
      <c r="F722" s="850"/>
      <c r="G722" s="850"/>
      <c r="H722" s="850"/>
      <c r="I722" s="850"/>
      <c r="J722" s="850"/>
      <c r="K722" s="850"/>
      <c r="L722" s="850"/>
      <c r="M722" s="850"/>
      <c r="N722" s="850"/>
      <c r="O722" s="850"/>
      <c r="P722" s="850"/>
      <c r="Q722" s="850"/>
      <c r="R722" s="850"/>
      <c r="S722" s="850"/>
    </row>
    <row r="724" spans="1:19">
      <c r="A724" s="850"/>
      <c r="B724" s="850"/>
      <c r="C724" s="850"/>
      <c r="D724" s="850"/>
      <c r="E724" s="850" t="s">
        <v>3198</v>
      </c>
      <c r="F724" s="624">
        <v>953283474</v>
      </c>
      <c r="G724" s="850"/>
      <c r="H724" s="850"/>
      <c r="I724" s="850"/>
      <c r="J724" s="850"/>
      <c r="K724" s="850"/>
      <c r="L724" s="850"/>
      <c r="M724" s="850"/>
      <c r="N724" s="850"/>
      <c r="O724" s="850"/>
      <c r="P724" s="850"/>
      <c r="Q724" s="850"/>
      <c r="R724" s="850"/>
      <c r="S724" s="850"/>
    </row>
    <row r="725" spans="1:19">
      <c r="A725" s="850"/>
      <c r="B725" s="850"/>
      <c r="C725" s="850"/>
      <c r="D725" s="850"/>
      <c r="E725" s="850" t="s">
        <v>3199</v>
      </c>
      <c r="F725" s="766">
        <v>463670064</v>
      </c>
      <c r="G725" s="850"/>
      <c r="H725" s="850"/>
      <c r="I725" s="850"/>
      <c r="J725" s="850"/>
      <c r="K725" s="850"/>
      <c r="L725" s="850"/>
      <c r="M725" s="850"/>
      <c r="N725" s="850"/>
      <c r="O725" s="850"/>
      <c r="P725" s="850"/>
      <c r="Q725" s="850"/>
      <c r="R725" s="850"/>
      <c r="S725" s="850"/>
    </row>
    <row r="726" spans="1:19">
      <c r="A726" s="850"/>
      <c r="B726" s="850"/>
      <c r="C726" s="850"/>
      <c r="D726" s="850"/>
      <c r="E726" s="850" t="s">
        <v>3200</v>
      </c>
      <c r="F726" s="766">
        <v>661122000</v>
      </c>
      <c r="G726" s="857"/>
      <c r="H726" s="850"/>
      <c r="I726" s="850"/>
      <c r="J726" s="850"/>
      <c r="K726" s="850"/>
      <c r="L726" s="850"/>
      <c r="M726" s="850"/>
      <c r="N726" s="850"/>
      <c r="O726" s="850"/>
      <c r="P726" s="850"/>
      <c r="Q726" s="850"/>
      <c r="R726" s="850"/>
      <c r="S726" s="850"/>
    </row>
    <row r="727" spans="1:19">
      <c r="A727" s="850"/>
      <c r="B727" s="850"/>
      <c r="C727" s="850"/>
      <c r="D727" s="850"/>
      <c r="E727" s="850"/>
      <c r="F727" s="778">
        <f>SUM(F724:F726)</f>
        <v>2078075538</v>
      </c>
      <c r="G727" s="850"/>
      <c r="H727" s="850"/>
      <c r="I727" s="850"/>
      <c r="J727" s="850"/>
      <c r="K727" s="850"/>
      <c r="L727" s="850"/>
      <c r="M727" s="850"/>
      <c r="N727" s="850"/>
      <c r="O727" s="850"/>
      <c r="P727" s="850"/>
      <c r="Q727" s="850"/>
      <c r="R727" s="850"/>
      <c r="S727" s="850"/>
    </row>
  </sheetData>
  <autoFilter ref="A5:U722" xr:uid="{0EE15845-FB4D-4523-914D-53B6217281EC}"/>
  <conditionalFormatting sqref="C4 C353:C397 C413:C426 C615:C630">
    <cfRule type="containsText" dxfId="88" priority="103" operator="containsText" text="Done">
      <formula>NOT(ISERROR(SEARCH("Done",C4)))</formula>
    </cfRule>
    <cfRule type="containsText" dxfId="87" priority="102" operator="containsText" text="Pending">
      <formula>NOT(ISERROR(SEARCH("Pending",C4)))</formula>
    </cfRule>
  </conditionalFormatting>
  <conditionalFormatting sqref="C7:C24">
    <cfRule type="containsText" dxfId="86" priority="84" operator="containsText" text="Pending">
      <formula>NOT(ISERROR(SEARCH("Pending",C7)))</formula>
    </cfRule>
    <cfRule type="containsText" dxfId="85" priority="85" operator="containsText" text="Done">
      <formula>NOT(ISERROR(SEARCH("Done",C7)))</formula>
    </cfRule>
  </conditionalFormatting>
  <conditionalFormatting sqref="C26:C40">
    <cfRule type="containsText" dxfId="84" priority="83" operator="containsText" text="Done">
      <formula>NOT(ISERROR(SEARCH("Done",C26)))</formula>
    </cfRule>
    <cfRule type="containsText" dxfId="83" priority="82" operator="containsText" text="Pending">
      <formula>NOT(ISERROR(SEARCH("Pending",C26)))</formula>
    </cfRule>
  </conditionalFormatting>
  <conditionalFormatting sqref="C44 C46:C63 C65:C66">
    <cfRule type="containsText" dxfId="82" priority="38" operator="containsText" text="Done">
      <formula>NOT(ISERROR(SEARCH("Done",C44)))</formula>
    </cfRule>
    <cfRule type="containsText" dxfId="81" priority="37" operator="containsText" text="Pending">
      <formula>NOT(ISERROR(SEARCH("Pending",C44)))</formula>
    </cfRule>
  </conditionalFormatting>
  <conditionalFormatting sqref="C68:C76">
    <cfRule type="containsText" dxfId="80" priority="33" operator="containsText" text="Pending">
      <formula>NOT(ISERROR(SEARCH("Pending",C68)))</formula>
    </cfRule>
    <cfRule type="containsText" dxfId="79" priority="34" operator="containsText" text="Done">
      <formula>NOT(ISERROR(SEARCH("Done",C68)))</formula>
    </cfRule>
  </conditionalFormatting>
  <conditionalFormatting sqref="C78:C88">
    <cfRule type="containsText" dxfId="78" priority="76" operator="containsText" text="Pending">
      <formula>NOT(ISERROR(SEARCH("Pending",C78)))</formula>
    </cfRule>
    <cfRule type="containsText" dxfId="77" priority="77" operator="containsText" text="Done">
      <formula>NOT(ISERROR(SEARCH("Done",C78)))</formula>
    </cfRule>
  </conditionalFormatting>
  <conditionalFormatting sqref="C92:C111">
    <cfRule type="containsText" dxfId="76" priority="31" operator="containsText" text="Pending">
      <formula>NOT(ISERROR(SEARCH("Pending",C92)))</formula>
    </cfRule>
    <cfRule type="containsText" dxfId="75" priority="32" operator="containsText" text="Done">
      <formula>NOT(ISERROR(SEARCH("Done",C92)))</formula>
    </cfRule>
  </conditionalFormatting>
  <conditionalFormatting sqref="C113:C133">
    <cfRule type="containsText" dxfId="74" priority="29" operator="containsText" text="Pending">
      <formula>NOT(ISERROR(SEARCH("Pending",C113)))</formula>
    </cfRule>
    <cfRule type="containsText" dxfId="73" priority="30" operator="containsText" text="Done">
      <formula>NOT(ISERROR(SEARCH("Done",C113)))</formula>
    </cfRule>
  </conditionalFormatting>
  <conditionalFormatting sqref="C135:C182">
    <cfRule type="containsText" dxfId="72" priority="27" operator="containsText" text="Pending">
      <formula>NOT(ISERROR(SEARCH("Pending",C135)))</formula>
    </cfRule>
    <cfRule type="containsText" dxfId="71" priority="28" operator="containsText" text="Done">
      <formula>NOT(ISERROR(SEARCH("Done",C135)))</formula>
    </cfRule>
  </conditionalFormatting>
  <conditionalFormatting sqref="C184:C190">
    <cfRule type="containsText" dxfId="70" priority="26" operator="containsText" text="Done">
      <formula>NOT(ISERROR(SEARCH("Done",C184)))</formula>
    </cfRule>
    <cfRule type="containsText" dxfId="69" priority="25" operator="containsText" text="Pending">
      <formula>NOT(ISERROR(SEARCH("Pending",C184)))</formula>
    </cfRule>
  </conditionalFormatting>
  <conditionalFormatting sqref="C192:C216">
    <cfRule type="containsText" dxfId="68" priority="67" operator="containsText" text="Done">
      <formula>NOT(ISERROR(SEARCH("Done",C192)))</formula>
    </cfRule>
    <cfRule type="containsText" dxfId="67" priority="66" operator="containsText" text="Pending">
      <formula>NOT(ISERROR(SEARCH("Pending",C192)))</formula>
    </cfRule>
  </conditionalFormatting>
  <conditionalFormatting sqref="C218:C237">
    <cfRule type="containsText" dxfId="66" priority="65" operator="containsText" text="Done">
      <formula>NOT(ISERROR(SEARCH("Done",C218)))</formula>
    </cfRule>
    <cfRule type="containsText" dxfId="65" priority="64" operator="containsText" text="Pending">
      <formula>NOT(ISERROR(SEARCH("Pending",C218)))</formula>
    </cfRule>
  </conditionalFormatting>
  <conditionalFormatting sqref="C239:C254">
    <cfRule type="containsText" dxfId="64" priority="63" operator="containsText" text="Done">
      <formula>NOT(ISERROR(SEARCH("Done",C239)))</formula>
    </cfRule>
    <cfRule type="containsText" dxfId="63" priority="62" operator="containsText" text="Pending">
      <formula>NOT(ISERROR(SEARCH("Pending",C239)))</formula>
    </cfRule>
  </conditionalFormatting>
  <conditionalFormatting sqref="C256:C273">
    <cfRule type="containsText" dxfId="62" priority="60" operator="containsText" text="Pending">
      <formula>NOT(ISERROR(SEARCH("Pending",C256)))</formula>
    </cfRule>
    <cfRule type="containsText" dxfId="61" priority="61" operator="containsText" text="Done">
      <formula>NOT(ISERROR(SEARCH("Done",C256)))</formula>
    </cfRule>
  </conditionalFormatting>
  <conditionalFormatting sqref="C275:C292">
    <cfRule type="containsText" dxfId="60" priority="59" operator="containsText" text="Done">
      <formula>NOT(ISERROR(SEARCH("Done",C275)))</formula>
    </cfRule>
    <cfRule type="containsText" dxfId="59" priority="58" operator="containsText" text="Pending">
      <formula>NOT(ISERROR(SEARCH("Pending",C275)))</formula>
    </cfRule>
  </conditionalFormatting>
  <conditionalFormatting sqref="C294:C311">
    <cfRule type="containsText" dxfId="58" priority="23" operator="containsText" text="Pending">
      <formula>NOT(ISERROR(SEARCH("Pending",C294)))</formula>
    </cfRule>
    <cfRule type="containsText" dxfId="57" priority="24" operator="containsText" text="Done">
      <formula>NOT(ISERROR(SEARCH("Done",C294)))</formula>
    </cfRule>
  </conditionalFormatting>
  <conditionalFormatting sqref="C313:C333">
    <cfRule type="containsText" dxfId="56" priority="22" operator="containsText" text="Done">
      <formula>NOT(ISERROR(SEARCH("Done",C313)))</formula>
    </cfRule>
    <cfRule type="containsText" dxfId="55" priority="21" operator="containsText" text="Pending">
      <formula>NOT(ISERROR(SEARCH("Pending",C313)))</formula>
    </cfRule>
  </conditionalFormatting>
  <conditionalFormatting sqref="C335:C351">
    <cfRule type="containsText" dxfId="54" priority="20" operator="containsText" text="Done">
      <formula>NOT(ISERROR(SEARCH("Done",C335)))</formula>
    </cfRule>
    <cfRule type="containsText" dxfId="53" priority="19" operator="containsText" text="Pending">
      <formula>NOT(ISERROR(SEARCH("Pending",C335)))</formula>
    </cfRule>
  </conditionalFormatting>
  <conditionalFormatting sqref="C399:C411">
    <cfRule type="containsText" dxfId="52" priority="16" operator="containsText" text="Done">
      <formula>NOT(ISERROR(SEARCH("Done",C399)))</formula>
    </cfRule>
    <cfRule type="containsText" dxfId="51" priority="15" operator="containsText" text="Pending">
      <formula>NOT(ISERROR(SEARCH("Pending",C399)))</formula>
    </cfRule>
  </conditionalFormatting>
  <conditionalFormatting sqref="C428:C442">
    <cfRule type="containsText" dxfId="50" priority="44" operator="containsText" text="Pending">
      <formula>NOT(ISERROR(SEARCH("Pending",C428)))</formula>
    </cfRule>
    <cfRule type="containsText" dxfId="49" priority="45" operator="containsText" text="Done">
      <formula>NOT(ISERROR(SEARCH("Done",C428)))</formula>
    </cfRule>
  </conditionalFormatting>
  <conditionalFormatting sqref="C444:C479">
    <cfRule type="containsText" dxfId="48" priority="43" operator="containsText" text="Done">
      <formula>NOT(ISERROR(SEARCH("Done",C444)))</formula>
    </cfRule>
    <cfRule type="containsText" dxfId="47" priority="42" operator="containsText" text="Pending">
      <formula>NOT(ISERROR(SEARCH("Pending",C444)))</formula>
    </cfRule>
  </conditionalFormatting>
  <conditionalFormatting sqref="C483:C497 C499:C511 C513:C528 C530:C542 C544:C563">
    <cfRule type="containsText" dxfId="46" priority="41" operator="containsText" text="Done">
      <formula>NOT(ISERROR(SEARCH("Done",C483)))</formula>
    </cfRule>
    <cfRule type="containsText" dxfId="45" priority="40" operator="containsText" text="Pending">
      <formula>NOT(ISERROR(SEARCH("Pending",C483)))</formula>
    </cfRule>
  </conditionalFormatting>
  <conditionalFormatting sqref="C565:C578">
    <cfRule type="containsText" dxfId="44" priority="12" operator="containsText" text="Done">
      <formula>NOT(ISERROR(SEARCH("Done",C565)))</formula>
    </cfRule>
    <cfRule type="containsText" dxfId="43" priority="11" operator="containsText" text="Pending">
      <formula>NOT(ISERROR(SEARCH("Pending",C565)))</formula>
    </cfRule>
  </conditionalFormatting>
  <conditionalFormatting sqref="C580:C599">
    <cfRule type="containsText" dxfId="42" priority="7" operator="containsText" text="Pending">
      <formula>NOT(ISERROR(SEARCH("Pending",C580)))</formula>
    </cfRule>
    <cfRule type="containsText" dxfId="41" priority="8" operator="containsText" text="Done">
      <formula>NOT(ISERROR(SEARCH("Done",C580)))</formula>
    </cfRule>
  </conditionalFormatting>
  <conditionalFormatting sqref="C601:C611">
    <cfRule type="containsText" dxfId="40" priority="91" operator="containsText" text="Done">
      <formula>NOT(ISERROR(SEARCH("Done",C601)))</formula>
    </cfRule>
    <cfRule type="containsText" dxfId="39" priority="90" operator="containsText" text="Pending">
      <formula>NOT(ISERROR(SEARCH("Pending",C601)))</formula>
    </cfRule>
  </conditionalFormatting>
  <conditionalFormatting sqref="C632:C646">
    <cfRule type="containsText" dxfId="38" priority="6" operator="containsText" text="Done">
      <formula>NOT(ISERROR(SEARCH("Done",C632)))</formula>
    </cfRule>
    <cfRule type="containsText" dxfId="37" priority="5" operator="containsText" text="Pending">
      <formula>NOT(ISERROR(SEARCH("Pending",C632)))</formula>
    </cfRule>
  </conditionalFormatting>
  <conditionalFormatting sqref="C648:C714">
    <cfRule type="containsText" dxfId="36" priority="3" operator="containsText" text="Pending">
      <formula>NOT(ISERROR(SEARCH("Pending",C648)))</formula>
    </cfRule>
    <cfRule type="containsText" dxfId="35" priority="4" operator="containsText" text="Done">
      <formula>NOT(ISERROR(SEARCH("Done",C648)))</formula>
    </cfRule>
  </conditionalFormatting>
  <conditionalFormatting sqref="C716:C722">
    <cfRule type="containsText" dxfId="34" priority="98" operator="containsText" text="Pending">
      <formula>NOT(ISERROR(SEARCH("Pending",C716)))</formula>
    </cfRule>
    <cfRule type="containsText" dxfId="33" priority="99" operator="containsText" text="Done">
      <formula>NOT(ISERROR(SEARCH("Done",C716)))</formula>
    </cfRule>
  </conditionalFormatting>
  <conditionalFormatting sqref="F596:G598">
    <cfRule type="cellIs" dxfId="32" priority="35" operator="notEqual">
      <formula>0</formula>
    </cfRule>
  </conditionalFormatting>
  <conditionalFormatting sqref="F609:G610">
    <cfRule type="cellIs" dxfId="31" priority="36" operator="notEqual">
      <formula>0</formula>
    </cfRule>
  </conditionalFormatting>
  <conditionalFormatting sqref="G577">
    <cfRule type="cellIs" dxfId="30" priority="1" operator="notEqual">
      <formula>0</formula>
    </cfRule>
  </conditionalFormatting>
  <conditionalFormatting sqref="K196:K211">
    <cfRule type="cellIs" dxfId="29" priority="39" operator="notEqual">
      <formula>0</formula>
    </cfRule>
  </conditionalFormatting>
  <dataValidations disablePrompts="1" count="1">
    <dataValidation type="list" allowBlank="1" showInputMessage="1" showErrorMessage="1" sqref="C4 C444:C479 C632:C646 C483:C497 C256:C273 C513:C528 C413:C426 C565:C578 C184:C190 C580:C599 C544:C563 C530:C542 C499:C511 C44 C615:C630 C648:C714 C65:C66 C68:C76 C92:C111 C113:C133 C135:C182 C26:C40 C46:C63 C192:C216 C239:C254 C7:C24 C275:C292 C218:C237 C313:C333 C335:C351 C399:C411 C78:C88 C428:C442 C601:C611 C716:C722 C294:C311 C353:C397" xr:uid="{2E4C215A-9CE7-4873-88A0-9D2D3DB2ED6E}">
      <formula1>"Done, Pending"</formula1>
    </dataValidation>
  </dataValidations>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C9446-B549-4984-847B-D565AD7B8023}">
  <sheetPr codeName="Sheet8">
    <tabColor rgb="FF002060"/>
  </sheetPr>
  <dimension ref="A1:N54"/>
  <sheetViews>
    <sheetView zoomScale="77" zoomScaleNormal="80" workbookViewId="0">
      <pane xSplit="4" ySplit="5" topLeftCell="G6" activePane="bottomRight" state="frozen"/>
      <selection pane="topRight" activeCell="E1" sqref="E1"/>
      <selection pane="bottomLeft" activeCell="A6" sqref="A6"/>
      <selection pane="bottomRight" activeCell="I16" sqref="I16"/>
    </sheetView>
  </sheetViews>
  <sheetFormatPr defaultColWidth="9.140625" defaultRowHeight="12.75"/>
  <cols>
    <col min="1" max="1" width="9.140625" style="2"/>
    <col min="2" max="2" width="12.140625" style="2" bestFit="1" customWidth="1"/>
    <col min="3" max="3" width="9.140625" style="2"/>
    <col min="4" max="4" width="46.140625" style="2" customWidth="1"/>
    <col min="5" max="5" width="21.140625" style="2" customWidth="1"/>
    <col min="6" max="6" width="21.42578125" style="2" customWidth="1"/>
    <col min="7" max="8" width="9.140625" style="2"/>
    <col min="9" max="9" width="21.5703125" style="2" customWidth="1"/>
    <col min="10" max="10" width="21.140625" style="2" customWidth="1"/>
    <col min="11" max="11" width="11.140625" style="2" customWidth="1"/>
    <col min="12" max="12" width="9.140625" style="2"/>
    <col min="13" max="13" width="18.140625" style="2" bestFit="1" customWidth="1"/>
    <col min="14" max="14" width="16.140625" style="2" bestFit="1" customWidth="1"/>
    <col min="15" max="16384" width="9.140625" style="2"/>
  </cols>
  <sheetData>
    <row r="1" spans="1:14">
      <c r="A1" s="1" t="s">
        <v>0</v>
      </c>
      <c r="B1" s="850" t="s">
        <v>1</v>
      </c>
      <c r="C1" s="850"/>
      <c r="D1" s="850"/>
      <c r="E1" s="850"/>
      <c r="F1" s="850"/>
      <c r="G1" s="850"/>
      <c r="H1" s="850"/>
      <c r="I1" s="850"/>
      <c r="J1" s="850"/>
      <c r="K1" s="850"/>
      <c r="L1" s="850"/>
      <c r="M1" s="850"/>
      <c r="N1" s="850"/>
    </row>
    <row r="2" spans="1:14">
      <c r="A2" s="1" t="s">
        <v>2</v>
      </c>
      <c r="B2" s="852">
        <v>45657</v>
      </c>
      <c r="C2" s="850"/>
      <c r="D2" s="850"/>
      <c r="E2" s="19" t="s">
        <v>1836</v>
      </c>
      <c r="F2" s="19" t="s">
        <v>1836</v>
      </c>
      <c r="G2" s="19" t="s">
        <v>3201</v>
      </c>
      <c r="H2" s="850"/>
      <c r="I2" s="19" t="s">
        <v>1837</v>
      </c>
      <c r="J2" s="19" t="s">
        <v>1837</v>
      </c>
      <c r="K2" s="19" t="s">
        <v>3201</v>
      </c>
      <c r="L2" s="850"/>
      <c r="M2" s="850"/>
      <c r="N2" s="850"/>
    </row>
    <row r="3" spans="1:14" ht="20.25">
      <c r="A3" s="3" t="s">
        <v>3202</v>
      </c>
      <c r="B3" s="850"/>
      <c r="C3" s="850"/>
      <c r="D3" s="850"/>
      <c r="E3" s="36" t="s">
        <v>1839</v>
      </c>
      <c r="F3" s="36" t="s">
        <v>1839</v>
      </c>
      <c r="G3" s="850"/>
      <c r="H3" s="850"/>
      <c r="I3" s="36" t="s">
        <v>1839</v>
      </c>
      <c r="J3" s="36" t="s">
        <v>1839</v>
      </c>
      <c r="K3" s="850"/>
      <c r="L3" s="850"/>
      <c r="M3" s="850"/>
      <c r="N3" s="850"/>
    </row>
    <row r="4" spans="1:14" ht="13.5" thickBot="1">
      <c r="A4" s="850"/>
      <c r="B4" s="850"/>
      <c r="C4" s="850"/>
      <c r="D4" s="850"/>
      <c r="E4" s="850"/>
      <c r="F4" s="850"/>
      <c r="G4" s="850"/>
      <c r="H4" s="850"/>
      <c r="I4" s="850"/>
      <c r="J4" s="850"/>
      <c r="K4" s="850"/>
      <c r="L4" s="850"/>
      <c r="M4" s="850"/>
      <c r="N4" s="850"/>
    </row>
    <row r="5" spans="1:14" ht="51.75" thickTop="1">
      <c r="A5" s="850"/>
      <c r="B5" s="141" t="s">
        <v>2003</v>
      </c>
      <c r="C5" s="142" t="s">
        <v>2004</v>
      </c>
      <c r="D5" s="148" t="s">
        <v>2005</v>
      </c>
      <c r="E5" s="146" t="s">
        <v>2006</v>
      </c>
      <c r="F5" s="147" t="s">
        <v>3203</v>
      </c>
      <c r="G5" s="640" t="s">
        <v>1850</v>
      </c>
      <c r="H5" s="850"/>
      <c r="I5" s="154" t="s">
        <v>2006</v>
      </c>
      <c r="J5" s="155" t="s">
        <v>3203</v>
      </c>
      <c r="K5" s="544" t="s">
        <v>1853</v>
      </c>
      <c r="L5" s="850"/>
      <c r="M5" s="900"/>
      <c r="N5" s="901"/>
    </row>
    <row r="6" spans="1:14">
      <c r="A6" s="850"/>
      <c r="B6" s="902"/>
      <c r="C6" s="903"/>
      <c r="D6" s="149" t="s">
        <v>2008</v>
      </c>
      <c r="E6" s="1513"/>
      <c r="F6" s="905"/>
      <c r="G6" s="906" t="s">
        <v>681</v>
      </c>
      <c r="H6" s="850"/>
      <c r="I6" s="907"/>
      <c r="J6" s="908"/>
      <c r="K6" s="906" t="s">
        <v>681</v>
      </c>
      <c r="L6" s="850"/>
      <c r="M6" s="909"/>
      <c r="N6" s="910"/>
    </row>
    <row r="7" spans="1:14" s="1" customFormat="1">
      <c r="B7" s="143" t="s">
        <v>2009</v>
      </c>
      <c r="C7" s="140" t="s">
        <v>2010</v>
      </c>
      <c r="D7" s="149" t="s">
        <v>2011</v>
      </c>
      <c r="E7" s="161">
        <f>ROUND(SUMIFS('CF.W.S'!E:E,'CF.W.S'!B:B,'A3.CF'!B7),0)</f>
        <v>1806302117</v>
      </c>
      <c r="F7" s="158">
        <f>'A2.PL'!L28</f>
        <v>-57126174103</v>
      </c>
      <c r="G7" s="167" t="str">
        <f>IF(OR(E7&lt;&gt;0,F7&lt;&gt;0),"x","")</f>
        <v>x</v>
      </c>
      <c r="I7" s="164">
        <f>SUMIFS('CF.W.C'!E:E,'CF.W.C'!B:B,'A3.CF'!B7)</f>
        <v>-147614524</v>
      </c>
      <c r="J7" s="156">
        <f>'A2.PL'!V23</f>
        <v>-42033188331</v>
      </c>
      <c r="K7" s="167" t="str">
        <f>IF(OR(I7&lt;&gt;0,J7&lt;&gt;0),"x","")</f>
        <v>x</v>
      </c>
    </row>
    <row r="8" spans="1:14">
      <c r="A8" s="850"/>
      <c r="B8" s="902"/>
      <c r="C8" s="903"/>
      <c r="D8" s="149" t="s">
        <v>3204</v>
      </c>
      <c r="E8" s="911"/>
      <c r="F8" s="912"/>
      <c r="G8" s="906" t="s">
        <v>681</v>
      </c>
      <c r="H8" s="850"/>
      <c r="I8" s="913"/>
      <c r="J8" s="914"/>
      <c r="K8" s="906" t="s">
        <v>681</v>
      </c>
      <c r="L8" s="850"/>
      <c r="M8" s="850"/>
      <c r="N8" s="850"/>
    </row>
    <row r="9" spans="1:14">
      <c r="A9" s="850"/>
      <c r="B9" s="902" t="s">
        <v>2013</v>
      </c>
      <c r="C9" s="915" t="s">
        <v>2014</v>
      </c>
      <c r="D9" s="916" t="s">
        <v>2015</v>
      </c>
      <c r="E9" s="911">
        <f>ROUND(SUMIFS('CF.W.S'!E:E,'CF.W.S'!B:B,'A3.CF'!B9),0)</f>
        <v>3982574676</v>
      </c>
      <c r="F9" s="912">
        <v>1103521971</v>
      </c>
      <c r="G9" s="906" t="str">
        <f>IF(OR(E9&lt;&gt;0,F9&lt;&gt;0),"x","")</f>
        <v>x</v>
      </c>
      <c r="H9" s="850"/>
      <c r="I9" s="913">
        <f>SUMIFS('CF.W.C'!E:E,'CF.W.C'!B:B,'A3.CF'!B9)</f>
        <v>18432689918</v>
      </c>
      <c r="J9" s="914">
        <v>13795486717</v>
      </c>
      <c r="K9" s="906" t="str">
        <f>IF(OR(I9&lt;&gt;0,J9&lt;&gt;0),"x","")</f>
        <v>x</v>
      </c>
      <c r="L9" s="850"/>
      <c r="M9" s="850"/>
      <c r="N9" s="850"/>
    </row>
    <row r="10" spans="1:14">
      <c r="A10" s="850"/>
      <c r="B10" s="902" t="s">
        <v>2016</v>
      </c>
      <c r="C10" s="915" t="s">
        <v>2017</v>
      </c>
      <c r="D10" s="916" t="s">
        <v>2018</v>
      </c>
      <c r="E10" s="807">
        <f>ROUND(SUMIFS('CF.W.S'!E:E,'CF.W.S'!B:B,'A3.CF'!B10),0)</f>
        <v>34901218771</v>
      </c>
      <c r="F10" s="912">
        <v>235854608728</v>
      </c>
      <c r="G10" s="906" t="str">
        <f t="shared" ref="G10:G14" si="0">IF(OR(E10&lt;&gt;0,F10&lt;&gt;0),"x","")</f>
        <v>x</v>
      </c>
      <c r="H10" s="850"/>
      <c r="I10" s="913">
        <f>SUMIFS('CF.W.C'!E:E,'CF.W.C'!B:B,'A3.CF'!B10)</f>
        <v>-56888841</v>
      </c>
      <c r="J10" s="914">
        <v>13583653</v>
      </c>
      <c r="K10" s="906" t="str">
        <f t="shared" ref="K10:K13" si="1">IF(OR(I10&lt;&gt;0,J10&lt;&gt;0),"x","")</f>
        <v>x</v>
      </c>
      <c r="L10" s="850"/>
      <c r="M10" s="850"/>
      <c r="N10" s="850"/>
    </row>
    <row r="11" spans="1:14" ht="25.5">
      <c r="A11" s="850"/>
      <c r="B11" s="902" t="s">
        <v>2019</v>
      </c>
      <c r="C11" s="915" t="s">
        <v>2020</v>
      </c>
      <c r="D11" s="917" t="s">
        <v>2021</v>
      </c>
      <c r="E11" s="911">
        <f>ROUND(SUMIFS('CF.W.S'!E:E,'CF.W.S'!B:B,'A3.CF'!B11),0)</f>
        <v>0</v>
      </c>
      <c r="F11" s="912">
        <v>0</v>
      </c>
      <c r="G11" s="906" t="str">
        <f t="shared" si="0"/>
        <v/>
      </c>
      <c r="H11" s="850"/>
      <c r="I11" s="913">
        <f>SUMIFS('CF.W.C'!E:E,'CF.W.C'!B:B,'A3.CF'!B11)</f>
        <v>0</v>
      </c>
      <c r="J11" s="914">
        <v>0</v>
      </c>
      <c r="K11" s="906" t="str">
        <f t="shared" si="1"/>
        <v/>
      </c>
      <c r="L11" s="850"/>
      <c r="M11" s="850"/>
      <c r="N11" s="850"/>
    </row>
    <row r="12" spans="1:14">
      <c r="A12" s="850"/>
      <c r="B12" s="902" t="s">
        <v>2022</v>
      </c>
      <c r="C12" s="915" t="s">
        <v>2023</v>
      </c>
      <c r="D12" s="916" t="s">
        <v>2024</v>
      </c>
      <c r="E12" s="911">
        <f>ROUND(SUMIFS('CF.W.S'!E:E,'CF.W.S'!B:B,'A3.CF'!B12),0)</f>
        <v>-62740415169</v>
      </c>
      <c r="F12" s="912">
        <f>-80970496801</f>
        <v>-80970496801</v>
      </c>
      <c r="G12" s="906" t="str">
        <f t="shared" si="0"/>
        <v>x</v>
      </c>
      <c r="H12" s="850"/>
      <c r="I12" s="913">
        <f>SUMIFS('CF.W.C'!E:E,'CF.W.C'!B:B,'A3.CF'!B12)</f>
        <v>-82938699656</v>
      </c>
      <c r="J12" s="914">
        <f>-74881096858+639028461</f>
        <v>-74242068397</v>
      </c>
      <c r="K12" s="906" t="str">
        <f t="shared" si="1"/>
        <v>x</v>
      </c>
      <c r="L12" s="850"/>
      <c r="M12" s="850"/>
      <c r="N12" s="850"/>
    </row>
    <row r="13" spans="1:14">
      <c r="A13" s="850"/>
      <c r="B13" s="902" t="s">
        <v>2025</v>
      </c>
      <c r="C13" s="915" t="s">
        <v>2026</v>
      </c>
      <c r="D13" s="916" t="s">
        <v>2027</v>
      </c>
      <c r="E13" s="911">
        <f>ROUND(SUMIFS('CF.W.S'!E:E,'CF.W.S'!B:B,'A3.CF'!B13),0)</f>
        <v>101149864</v>
      </c>
      <c r="F13" s="912">
        <v>7643835</v>
      </c>
      <c r="G13" s="906" t="str">
        <f t="shared" si="0"/>
        <v>x</v>
      </c>
      <c r="H13" s="850"/>
      <c r="I13" s="913">
        <f>SUMIFS('CF.W.C'!E:E,'CF.W.C'!B:B,'A3.CF'!B13)</f>
        <v>1718534241</v>
      </c>
      <c r="J13" s="914">
        <f>646672296-639028461</f>
        <v>7643835</v>
      </c>
      <c r="K13" s="906" t="str">
        <f t="shared" si="1"/>
        <v>x</v>
      </c>
      <c r="L13" s="850"/>
      <c r="M13" s="850"/>
      <c r="N13" s="850"/>
    </row>
    <row r="14" spans="1:14">
      <c r="A14" s="850"/>
      <c r="B14" s="902" t="s">
        <v>2028</v>
      </c>
      <c r="C14" s="915" t="s">
        <v>2029</v>
      </c>
      <c r="D14" s="916" t="s">
        <v>2030</v>
      </c>
      <c r="E14" s="911">
        <f>ROUND(SUMIFS('CF.W.S'!E:E,'CF.W.S'!B:B,'A3.CF'!B14),0)</f>
        <v>0</v>
      </c>
      <c r="F14" s="912">
        <v>0</v>
      </c>
      <c r="G14" s="906" t="str">
        <f t="shared" si="0"/>
        <v/>
      </c>
      <c r="H14" s="850"/>
      <c r="I14" s="913">
        <f>SUMIFS('CF.W.C'!E:E,'CF.W.C'!B:B,'A3.CF'!B14)</f>
        <v>-2001226010</v>
      </c>
      <c r="J14" s="914">
        <v>-9751528754</v>
      </c>
      <c r="K14" s="906" t="str">
        <f>IF(OR(I14&lt;&gt;0,J14&lt;&gt;0),"x","")</f>
        <v>x</v>
      </c>
      <c r="L14" s="850"/>
      <c r="M14" s="850"/>
      <c r="N14" s="850"/>
    </row>
    <row r="15" spans="1:14">
      <c r="A15" s="850"/>
      <c r="B15" s="902"/>
      <c r="C15" s="903"/>
      <c r="D15" s="918"/>
      <c r="E15" s="911"/>
      <c r="F15" s="905"/>
      <c r="G15" s="906" t="s">
        <v>681</v>
      </c>
      <c r="H15" s="850"/>
      <c r="I15" s="907"/>
      <c r="J15" s="908"/>
      <c r="K15" s="906" t="s">
        <v>681</v>
      </c>
      <c r="L15" s="850"/>
      <c r="M15" s="850"/>
      <c r="N15" s="850"/>
    </row>
    <row r="16" spans="1:14" s="1" customFormat="1" ht="25.5">
      <c r="B16" s="143"/>
      <c r="C16" s="140" t="s">
        <v>2031</v>
      </c>
      <c r="D16" s="150" t="s">
        <v>2032</v>
      </c>
      <c r="E16" s="161">
        <f>SUM(E7:E14)</f>
        <v>-21949169741</v>
      </c>
      <c r="F16" s="158">
        <f>SUM(F7:F14)</f>
        <v>98869103630</v>
      </c>
      <c r="G16" s="167" t="str">
        <f t="shared" ref="G16:G52" si="2">IF(OR(E16&lt;&gt;0,F16&lt;&gt;0),"x","")</f>
        <v>x</v>
      </c>
      <c r="I16" s="164">
        <f>SUM(I7:I14)</f>
        <v>-64993204872</v>
      </c>
      <c r="J16" s="156">
        <f>SUM(J7:J14)</f>
        <v>-112210071277</v>
      </c>
      <c r="K16" s="167" t="str">
        <f t="shared" ref="K16:K52" si="3">IF(OR(I16&lt;&gt;0,J16&lt;&gt;0),"x","")</f>
        <v>x</v>
      </c>
      <c r="M16" s="850"/>
      <c r="N16" s="850"/>
    </row>
    <row r="17" spans="2:14">
      <c r="B17" s="902" t="s">
        <v>2033</v>
      </c>
      <c r="C17" s="915" t="s">
        <v>2034</v>
      </c>
      <c r="D17" s="916" t="s">
        <v>2035</v>
      </c>
      <c r="E17" s="911">
        <f>ROUND(SUMIFS('CF.W.S'!E:E,'CF.W.S'!B:B,'A3.CF'!B17),0)</f>
        <v>23486270463</v>
      </c>
      <c r="F17" s="912">
        <v>9825696784</v>
      </c>
      <c r="G17" s="906" t="str">
        <f t="shared" si="2"/>
        <v>x</v>
      </c>
      <c r="H17" s="850"/>
      <c r="I17" s="913">
        <f>SUMIFS('CF.W.C'!E:E,'CF.W.C'!B:B,'A3.CF'!B17)</f>
        <v>19122558854</v>
      </c>
      <c r="J17" s="914">
        <f>101181730957-43159151264</f>
        <v>58022579693</v>
      </c>
      <c r="K17" s="906" t="str">
        <f t="shared" si="3"/>
        <v>x</v>
      </c>
      <c r="L17" s="850"/>
      <c r="M17" s="850"/>
      <c r="N17" s="850"/>
    </row>
    <row r="18" spans="2:14">
      <c r="B18" s="902" t="s">
        <v>2036</v>
      </c>
      <c r="C18" s="915" t="s">
        <v>2037</v>
      </c>
      <c r="D18" s="916" t="s">
        <v>2038</v>
      </c>
      <c r="E18" s="911">
        <f>ROUND(SUMIFS('CF.W.S'!E:E,'CF.W.S'!B:B,'A3.CF'!B18),0)</f>
        <v>3000000000</v>
      </c>
      <c r="F18" s="912">
        <v>0</v>
      </c>
      <c r="G18" s="906" t="str">
        <f t="shared" si="2"/>
        <v>x</v>
      </c>
      <c r="H18" s="850"/>
      <c r="I18" s="913">
        <f>SUMIFS('CF.W.C'!E:E,'CF.W.C'!B:B,'A3.CF'!B18)</f>
        <v>7790138369</v>
      </c>
      <c r="J18" s="914">
        <v>-1945695561</v>
      </c>
      <c r="K18" s="906" t="str">
        <f t="shared" si="3"/>
        <v>x</v>
      </c>
      <c r="L18" s="850"/>
      <c r="M18" s="850"/>
      <c r="N18" s="850"/>
    </row>
    <row r="19" spans="2:14" ht="25.5">
      <c r="B19" s="902" t="s">
        <v>2039</v>
      </c>
      <c r="C19" s="915" t="s">
        <v>2040</v>
      </c>
      <c r="D19" s="917" t="s">
        <v>2041</v>
      </c>
      <c r="E19" s="911">
        <f>ROUND(SUMIFS('CF.W.S'!E:E,'CF.W.S'!B:B,'A3.CF'!B19),0)</f>
        <v>-598122192369</v>
      </c>
      <c r="F19" s="912">
        <v>33028731145</v>
      </c>
      <c r="G19" s="906" t="str">
        <f t="shared" si="2"/>
        <v>x</v>
      </c>
      <c r="H19" s="850"/>
      <c r="I19" s="913">
        <f>SUMIFS('CF.W.C'!E:E,'CF.W.C'!B:B,'A3.CF'!B19)</f>
        <v>-584216603421</v>
      </c>
      <c r="J19" s="914">
        <v>-86763906239</v>
      </c>
      <c r="K19" s="906" t="str">
        <f t="shared" si="3"/>
        <v>x</v>
      </c>
      <c r="L19" s="850"/>
      <c r="M19" s="850"/>
      <c r="N19" s="850"/>
    </row>
    <row r="20" spans="2:14">
      <c r="B20" s="902" t="s">
        <v>2042</v>
      </c>
      <c r="C20" s="915" t="s">
        <v>2043</v>
      </c>
      <c r="D20" s="916" t="s">
        <v>2044</v>
      </c>
      <c r="E20" s="807">
        <f>ROUND(SUMIFS('CF.W.S'!E:E,'CF.W.S'!B:B,'A3.CF'!B20),0)</f>
        <v>1128955184</v>
      </c>
      <c r="F20" s="912">
        <v>1332091095</v>
      </c>
      <c r="G20" s="906" t="str">
        <f t="shared" si="2"/>
        <v>x</v>
      </c>
      <c r="H20" s="850"/>
      <c r="I20" s="913">
        <f>SUMIFS('CF.W.C'!E:E,'CF.W.C'!B:B,'A3.CF'!B20)</f>
        <v>-281401977</v>
      </c>
      <c r="J20" s="914">
        <v>1468672971</v>
      </c>
      <c r="K20" s="906" t="str">
        <f t="shared" si="3"/>
        <v>x</v>
      </c>
      <c r="L20" s="850"/>
      <c r="M20" s="850"/>
      <c r="N20" s="850"/>
    </row>
    <row r="21" spans="2:14">
      <c r="B21" s="902" t="s">
        <v>2045</v>
      </c>
      <c r="C21" s="915" t="s">
        <v>2046</v>
      </c>
      <c r="D21" s="916" t="s">
        <v>2047</v>
      </c>
      <c r="E21" s="911">
        <f>ROUND(SUMIFS('CF.W.S'!E:E,'CF.W.S'!B:B,'A3.CF'!B21),0)</f>
        <v>80792475521</v>
      </c>
      <c r="F21" s="912">
        <v>431020866671</v>
      </c>
      <c r="G21" s="906" t="str">
        <f t="shared" si="2"/>
        <v>x</v>
      </c>
      <c r="H21" s="850"/>
      <c r="I21" s="913">
        <f>SUMIFS('CF.W.C'!E:E,'CF.W.C'!B:B,'A3.CF'!B21)</f>
        <v>114218480839</v>
      </c>
      <c r="J21" s="914">
        <v>-23009757090</v>
      </c>
      <c r="K21" s="906" t="str">
        <f t="shared" si="3"/>
        <v>x</v>
      </c>
      <c r="L21" s="850"/>
      <c r="M21" s="850"/>
      <c r="N21" s="850"/>
    </row>
    <row r="22" spans="2:14">
      <c r="B22" s="902" t="s">
        <v>2048</v>
      </c>
      <c r="C22" s="915" t="s">
        <v>2049</v>
      </c>
      <c r="D22" s="916" t="s">
        <v>2050</v>
      </c>
      <c r="E22" s="911">
        <f>ROUND(SUMIFS('CF.W.S'!E:E,'CF.W.S'!B:B,'A3.CF'!B22),0)</f>
        <v>-101149864</v>
      </c>
      <c r="F22" s="912">
        <f>-7643835</f>
        <v>-7643835</v>
      </c>
      <c r="G22" s="906" t="str">
        <f t="shared" si="2"/>
        <v>x</v>
      </c>
      <c r="H22" s="850"/>
      <c r="I22" s="913">
        <f>SUMIFS('CF.W.C'!E:E,'CF.W.C'!B:B,'A3.CF'!B22)</f>
        <v>-1718534241</v>
      </c>
      <c r="J22" s="914">
        <v>-646672296</v>
      </c>
      <c r="K22" s="906" t="str">
        <f t="shared" si="3"/>
        <v>x</v>
      </c>
      <c r="L22" s="850"/>
      <c r="M22" s="850"/>
      <c r="N22" s="850"/>
    </row>
    <row r="23" spans="2:14">
      <c r="B23" s="902" t="s">
        <v>2051</v>
      </c>
      <c r="C23" s="915" t="s">
        <v>2052</v>
      </c>
      <c r="D23" s="916" t="s">
        <v>2053</v>
      </c>
      <c r="E23" s="911">
        <f>ROUND(SUMIFS('CF.W.S'!E:E,'CF.W.S'!B:B,'A3.CF'!B23),0)</f>
        <v>0</v>
      </c>
      <c r="F23" s="912">
        <v>0</v>
      </c>
      <c r="G23" s="906" t="str">
        <f t="shared" si="2"/>
        <v/>
      </c>
      <c r="H23" s="850"/>
      <c r="I23" s="913">
        <f>SUMIFS('CF.W.C'!E:E,'CF.W.C'!B:B,'A3.CF'!B23)</f>
        <v>0</v>
      </c>
      <c r="J23" s="914">
        <v>0</v>
      </c>
      <c r="K23" s="906" t="str">
        <f t="shared" si="3"/>
        <v/>
      </c>
      <c r="L23" s="850"/>
      <c r="M23" s="850"/>
      <c r="N23" s="850"/>
    </row>
    <row r="24" spans="2:14">
      <c r="B24" s="902" t="s">
        <v>2054</v>
      </c>
      <c r="C24" s="915" t="s">
        <v>2055</v>
      </c>
      <c r="D24" s="916" t="s">
        <v>2056</v>
      </c>
      <c r="E24" s="911">
        <f>ROUND(SUMIFS('CF.W.S'!E:E,'CF.W.S'!B:B,'A3.CF'!B24),0)</f>
        <v>0</v>
      </c>
      <c r="F24" s="912">
        <v>0</v>
      </c>
      <c r="G24" s="906" t="str">
        <f t="shared" si="2"/>
        <v/>
      </c>
      <c r="H24" s="850"/>
      <c r="I24" s="913">
        <f>SUMIFS('CF.W.C'!E:E,'CF.W.C'!B:B,'A3.CF'!B24)</f>
        <v>0</v>
      </c>
      <c r="J24" s="914">
        <v>0</v>
      </c>
      <c r="K24" s="906" t="str">
        <f t="shared" si="3"/>
        <v/>
      </c>
      <c r="L24" s="850"/>
      <c r="M24" s="850"/>
      <c r="N24" s="850"/>
    </row>
    <row r="25" spans="2:14">
      <c r="B25" s="902" t="s">
        <v>2057</v>
      </c>
      <c r="C25" s="915" t="s">
        <v>2058</v>
      </c>
      <c r="D25" s="916" t="s">
        <v>2059</v>
      </c>
      <c r="E25" s="911">
        <f>ROUND(SUMIFS('CF.W.S'!E:E,'CF.W.S'!B:B,'A3.CF'!B25),0)</f>
        <v>0</v>
      </c>
      <c r="F25" s="912">
        <v>0</v>
      </c>
      <c r="G25" s="906" t="str">
        <f t="shared" si="2"/>
        <v/>
      </c>
      <c r="H25" s="850"/>
      <c r="I25" s="913">
        <f>SUMIFS('CF.W.C'!E:E,'CF.W.C'!B:B,'A3.CF'!B25)</f>
        <v>0</v>
      </c>
      <c r="J25" s="914">
        <v>0</v>
      </c>
      <c r="K25" s="906" t="str">
        <f t="shared" si="3"/>
        <v/>
      </c>
      <c r="L25" s="850"/>
      <c r="M25" s="850"/>
      <c r="N25" s="850"/>
    </row>
    <row r="26" spans="2:14" s="1" customFormat="1">
      <c r="B26" s="143"/>
      <c r="C26" s="140" t="s">
        <v>2060</v>
      </c>
      <c r="D26" s="149" t="s">
        <v>2061</v>
      </c>
      <c r="E26" s="161">
        <f>SUM(E16:E25)</f>
        <v>-511764810806</v>
      </c>
      <c r="F26" s="158">
        <f>SUM(F16:F25)</f>
        <v>574068845490</v>
      </c>
      <c r="G26" s="167" t="str">
        <f t="shared" si="2"/>
        <v>x</v>
      </c>
      <c r="I26" s="164">
        <f t="shared" ref="I26" si="4">SUM(I16:I25)</f>
        <v>-510078566449</v>
      </c>
      <c r="J26" s="156">
        <f>SUM(J16:J25)</f>
        <v>-165084849799</v>
      </c>
      <c r="K26" s="167" t="str">
        <f t="shared" si="3"/>
        <v>x</v>
      </c>
      <c r="M26" s="850"/>
      <c r="N26" s="850"/>
    </row>
    <row r="27" spans="2:14">
      <c r="B27" s="902"/>
      <c r="C27" s="903"/>
      <c r="D27" s="918"/>
      <c r="E27" s="1513"/>
      <c r="F27" s="905"/>
      <c r="G27" s="906" t="s">
        <v>681</v>
      </c>
      <c r="H27" s="850"/>
      <c r="I27" s="907"/>
      <c r="J27" s="908"/>
      <c r="K27" s="906" t="s">
        <v>681</v>
      </c>
      <c r="L27" s="850"/>
      <c r="M27" s="850"/>
      <c r="N27" s="850"/>
    </row>
    <row r="28" spans="2:14">
      <c r="B28" s="902"/>
      <c r="C28" s="903"/>
      <c r="D28" s="149" t="s">
        <v>2062</v>
      </c>
      <c r="E28" s="1513"/>
      <c r="F28" s="905"/>
      <c r="G28" s="167" t="s">
        <v>681</v>
      </c>
      <c r="H28" s="850"/>
      <c r="I28" s="907"/>
      <c r="J28" s="908"/>
      <c r="K28" s="906" t="s">
        <v>681</v>
      </c>
      <c r="L28" s="850"/>
      <c r="M28" s="850"/>
      <c r="N28" s="850"/>
    </row>
    <row r="29" spans="2:14" ht="25.5">
      <c r="B29" s="902" t="s">
        <v>2063</v>
      </c>
      <c r="C29" s="915" t="s">
        <v>2064</v>
      </c>
      <c r="D29" s="919" t="s">
        <v>2065</v>
      </c>
      <c r="E29" s="911">
        <f>ROUND(SUMIFS('CF.W.S'!E:E,'CF.W.S'!B:B,'A3.CF'!B29),0)</f>
        <v>-10075774283</v>
      </c>
      <c r="F29" s="912">
        <v>-13355356367</v>
      </c>
      <c r="G29" s="906" t="str">
        <f t="shared" si="2"/>
        <v>x</v>
      </c>
      <c r="H29" s="850"/>
      <c r="I29" s="913">
        <f>SUMIFS('CF.W.C'!E:E,'CF.W.C'!B:B,'A3.CF'!B29)</f>
        <v>-10188662283</v>
      </c>
      <c r="J29" s="914">
        <v>-22569052653</v>
      </c>
      <c r="K29" s="906" t="str">
        <f t="shared" si="3"/>
        <v>x</v>
      </c>
      <c r="L29" s="850"/>
      <c r="M29" s="850"/>
      <c r="N29" s="850"/>
    </row>
    <row r="30" spans="2:14" ht="25.5">
      <c r="B30" s="902" t="s">
        <v>2066</v>
      </c>
      <c r="C30" s="915" t="s">
        <v>2067</v>
      </c>
      <c r="D30" s="919" t="s">
        <v>2068</v>
      </c>
      <c r="E30" s="911">
        <f>ROUND(SUMIFS('CF.W.S'!E:E,'CF.W.S'!B:B,'A3.CF'!B30),0)</f>
        <v>0</v>
      </c>
      <c r="F30" s="912">
        <v>0</v>
      </c>
      <c r="G30" s="906" t="str">
        <f t="shared" si="2"/>
        <v/>
      </c>
      <c r="H30" s="850"/>
      <c r="I30" s="913">
        <f>SUMIFS('CF.W.C'!E:E,'CF.W.C'!B:B,'A3.CF'!B30)</f>
        <v>0</v>
      </c>
      <c r="J30" s="914">
        <v>0</v>
      </c>
      <c r="K30" s="906" t="str">
        <f t="shared" si="3"/>
        <v/>
      </c>
      <c r="L30" s="850"/>
      <c r="M30" s="850"/>
      <c r="N30" s="850"/>
    </row>
    <row r="31" spans="2:14" ht="25.5">
      <c r="B31" s="902" t="s">
        <v>2069</v>
      </c>
      <c r="C31" s="915" t="s">
        <v>2070</v>
      </c>
      <c r="D31" s="919" t="s">
        <v>2071</v>
      </c>
      <c r="E31" s="911">
        <f>ROUND(SUMIFS('CF.W.S'!E:E,'CF.W.S'!B:B,'A3.CF'!B31),0)</f>
        <v>0</v>
      </c>
      <c r="F31" s="912">
        <v>-575200885222</v>
      </c>
      <c r="G31" s="906" t="str">
        <f t="shared" si="2"/>
        <v>x</v>
      </c>
      <c r="H31" s="850"/>
      <c r="I31" s="913">
        <f>SUMIFS('CF.W.C'!E:E,'CF.W.C'!B:B,'A3.CF'!B31)</f>
        <v>-42942002298</v>
      </c>
      <c r="J31" s="914">
        <f>-82000000000</f>
        <v>-82000000000</v>
      </c>
      <c r="K31" s="906" t="str">
        <f t="shared" si="3"/>
        <v>x</v>
      </c>
      <c r="L31" s="850"/>
      <c r="M31" s="850"/>
      <c r="N31" s="850"/>
    </row>
    <row r="32" spans="2:14" ht="25.5">
      <c r="B32" s="902" t="s">
        <v>2072</v>
      </c>
      <c r="C32" s="915" t="s">
        <v>2073</v>
      </c>
      <c r="D32" s="919" t="s">
        <v>2074</v>
      </c>
      <c r="E32" s="911">
        <f>ROUND(SUMIFS('CF.W.S'!E:E,'CF.W.S'!B:B,'A3.CF'!B32),0)</f>
        <v>459090150687</v>
      </c>
      <c r="F32" s="912">
        <v>0</v>
      </c>
      <c r="G32" s="906" t="str">
        <f t="shared" si="2"/>
        <v>x</v>
      </c>
      <c r="H32" s="850"/>
      <c r="I32" s="913">
        <f>SUMIFS('CF.W.C'!E:E,'CF.W.C'!B:B,'A3.CF'!B32)</f>
        <v>469368258711</v>
      </c>
      <c r="J32" s="914">
        <v>0</v>
      </c>
      <c r="K32" s="906" t="str">
        <f t="shared" si="3"/>
        <v>x</v>
      </c>
      <c r="L32" s="850"/>
      <c r="M32" s="850"/>
      <c r="N32" s="850"/>
    </row>
    <row r="33" spans="2:11">
      <c r="B33" s="902" t="s">
        <v>2075</v>
      </c>
      <c r="C33" s="915" t="s">
        <v>2076</v>
      </c>
      <c r="D33" s="918" t="s">
        <v>2077</v>
      </c>
      <c r="E33" s="911">
        <f>ROUND(SUMIFS('CF.W.S'!E:E,'CF.W.S'!B:B,'A3.CF'!B33),0)</f>
        <v>0</v>
      </c>
      <c r="F33" s="912">
        <v>0</v>
      </c>
      <c r="G33" s="906" t="str">
        <f t="shared" si="2"/>
        <v/>
      </c>
      <c r="H33" s="850"/>
      <c r="I33" s="913">
        <f>SUMIFS('CF.W.C'!E:E,'CF.W.C'!B:B,'A3.CF'!B33)</f>
        <v>0</v>
      </c>
      <c r="J33" s="914">
        <v>0</v>
      </c>
      <c r="K33" s="906" t="str">
        <f t="shared" si="3"/>
        <v/>
      </c>
    </row>
    <row r="34" spans="2:11">
      <c r="B34" s="902" t="s">
        <v>2078</v>
      </c>
      <c r="C34" s="915" t="s">
        <v>2079</v>
      </c>
      <c r="D34" s="918" t="s">
        <v>2080</v>
      </c>
      <c r="E34" s="911">
        <f>ROUND(SUMIFS('CF.W.S'!E:E,'CF.W.S'!B:B,'A3.CF'!B34),0)</f>
        <v>0</v>
      </c>
      <c r="F34" s="912">
        <v>0</v>
      </c>
      <c r="G34" s="906" t="str">
        <f t="shared" si="2"/>
        <v/>
      </c>
      <c r="H34" s="850"/>
      <c r="I34" s="913">
        <f>SUMIFS('CF.W.C'!E:E,'CF.W.C'!B:B,'A3.CF'!B34)</f>
        <v>0</v>
      </c>
      <c r="J34" s="914">
        <v>0</v>
      </c>
      <c r="K34" s="906" t="str">
        <f t="shared" si="3"/>
        <v/>
      </c>
    </row>
    <row r="35" spans="2:11">
      <c r="B35" s="902" t="s">
        <v>2081</v>
      </c>
      <c r="C35" s="915" t="s">
        <v>2082</v>
      </c>
      <c r="D35" s="918" t="s">
        <v>2083</v>
      </c>
      <c r="E35" s="781">
        <f>ROUND(SUMIFS('CF.W.S'!E:E,'CF.W.S'!B:B,'A3.CF'!B35),0)</f>
        <v>59080639923</v>
      </c>
      <c r="F35" s="912">
        <v>59393978019</v>
      </c>
      <c r="G35" s="906" t="str">
        <f t="shared" si="2"/>
        <v>x</v>
      </c>
      <c r="H35" s="850"/>
      <c r="I35" s="804">
        <f>SUMIFS('CF.W.C'!E:E,'CF.W.C'!B:B,'A3.CF'!B35)</f>
        <v>59185590916</v>
      </c>
      <c r="J35" s="914">
        <v>59393978019</v>
      </c>
      <c r="K35" s="906" t="str">
        <f t="shared" si="3"/>
        <v>x</v>
      </c>
    </row>
    <row r="36" spans="2:11" s="1" customFormat="1">
      <c r="B36" s="143"/>
      <c r="C36" s="140" t="s">
        <v>2084</v>
      </c>
      <c r="D36" s="149" t="s">
        <v>2085</v>
      </c>
      <c r="E36" s="161">
        <f>SUM(E29:E35)</f>
        <v>508095016327</v>
      </c>
      <c r="F36" s="158">
        <f>SUM(F29:F35)</f>
        <v>-529162263570</v>
      </c>
      <c r="G36" s="167" t="str">
        <f t="shared" si="2"/>
        <v>x</v>
      </c>
      <c r="I36" s="164">
        <f t="shared" ref="I36:J36" si="5">SUM(I29:I35)</f>
        <v>475423185046</v>
      </c>
      <c r="J36" s="156">
        <f t="shared" si="5"/>
        <v>-45175074634</v>
      </c>
      <c r="K36" s="167" t="str">
        <f t="shared" si="3"/>
        <v>x</v>
      </c>
    </row>
    <row r="37" spans="2:11">
      <c r="B37" s="902"/>
      <c r="C37" s="903"/>
      <c r="D37" s="918"/>
      <c r="E37" s="1513"/>
      <c r="F37" s="905"/>
      <c r="G37" s="906" t="s">
        <v>681</v>
      </c>
      <c r="H37" s="850"/>
      <c r="I37" s="907"/>
      <c r="J37" s="908"/>
      <c r="K37" s="906" t="s">
        <v>681</v>
      </c>
    </row>
    <row r="38" spans="2:11">
      <c r="B38" s="902"/>
      <c r="C38" s="903"/>
      <c r="D38" s="149" t="s">
        <v>2086</v>
      </c>
      <c r="E38" s="1513"/>
      <c r="F38" s="905"/>
      <c r="G38" s="167" t="s">
        <v>681</v>
      </c>
      <c r="H38" s="850"/>
      <c r="I38" s="907"/>
      <c r="J38" s="908"/>
      <c r="K38" s="906" t="s">
        <v>681</v>
      </c>
    </row>
    <row r="39" spans="2:11" ht="25.5">
      <c r="B39" s="902" t="s">
        <v>2087</v>
      </c>
      <c r="C39" s="915" t="s">
        <v>2088</v>
      </c>
      <c r="D39" s="919" t="s">
        <v>2089</v>
      </c>
      <c r="E39" s="911">
        <f>ROUND(SUMIFS('CF.W.S'!E:E,'CF.W.S'!B:B,'A3.CF'!B39),0)</f>
        <v>0</v>
      </c>
      <c r="F39" s="912">
        <v>1116420000</v>
      </c>
      <c r="G39" s="906" t="str">
        <f t="shared" si="2"/>
        <v>x</v>
      </c>
      <c r="H39" s="850"/>
      <c r="I39" s="913">
        <f>SUMIFS('CF.W.C'!E:E,'CF.W.C'!B:B,'A3.CF'!B39)</f>
        <v>0</v>
      </c>
      <c r="J39" s="914">
        <v>392369948417</v>
      </c>
      <c r="K39" s="906" t="str">
        <f t="shared" si="3"/>
        <v>x</v>
      </c>
    </row>
    <row r="40" spans="2:11" ht="25.5">
      <c r="B40" s="902" t="s">
        <v>2090</v>
      </c>
      <c r="C40" s="915" t="s">
        <v>2091</v>
      </c>
      <c r="D40" s="919" t="s">
        <v>2092</v>
      </c>
      <c r="E40" s="911">
        <f>ROUND(SUMIFS('CF.W.S'!E:E,'CF.W.S'!B:B,'A3.CF'!B40),0)</f>
        <v>0</v>
      </c>
      <c r="F40" s="912">
        <v>0</v>
      </c>
      <c r="G40" s="906" t="str">
        <f t="shared" si="2"/>
        <v/>
      </c>
      <c r="H40" s="850"/>
      <c r="I40" s="913">
        <f>SUMIFS('CF.W.C'!E:E,'CF.W.C'!B:B,'A3.CF'!B40)</f>
        <v>0</v>
      </c>
      <c r="J40" s="914">
        <v>0</v>
      </c>
      <c r="K40" s="906" t="str">
        <f t="shared" si="3"/>
        <v/>
      </c>
    </row>
    <row r="41" spans="2:11">
      <c r="B41" s="902" t="s">
        <v>2093</v>
      </c>
      <c r="C41" s="915" t="s">
        <v>2094</v>
      </c>
      <c r="D41" s="918" t="s">
        <v>2095</v>
      </c>
      <c r="E41" s="911">
        <f>ROUND(SUMIFS('CF.W.S'!E:E,'CF.W.S'!B:B,'A3.CF'!B41),0)</f>
        <v>4500000000</v>
      </c>
      <c r="F41" s="912">
        <v>0</v>
      </c>
      <c r="G41" s="906" t="str">
        <f t="shared" si="2"/>
        <v>x</v>
      </c>
      <c r="H41" s="850"/>
      <c r="I41" s="913">
        <f>SUMIFS('CF.W.C'!E:E,'CF.W.C'!B:B,'A3.CF'!B41)</f>
        <v>267594500000</v>
      </c>
      <c r="J41" s="914">
        <v>91774000000</v>
      </c>
      <c r="K41" s="906" t="str">
        <f t="shared" si="3"/>
        <v>x</v>
      </c>
    </row>
    <row r="42" spans="2:11">
      <c r="B42" s="902" t="s">
        <v>2096</v>
      </c>
      <c r="C42" s="915" t="s">
        <v>2097</v>
      </c>
      <c r="D42" s="918" t="s">
        <v>2098</v>
      </c>
      <c r="E42" s="911">
        <f>ROUND(SUMIFS('CF.W.S'!E:E,'CF.W.S'!B:B,'A3.CF'!B42),0)</f>
        <v>0</v>
      </c>
      <c r="F42" s="912">
        <v>0</v>
      </c>
      <c r="G42" s="906" t="str">
        <f t="shared" si="2"/>
        <v/>
      </c>
      <c r="H42" s="850"/>
      <c r="I42" s="913">
        <f>SUMIFS('CF.W.C'!E:E,'CF.W.C'!B:B,'A3.CF'!B42)</f>
        <v>-218594500000</v>
      </c>
      <c r="J42" s="914">
        <v>0</v>
      </c>
      <c r="K42" s="906" t="str">
        <f t="shared" si="3"/>
        <v>x</v>
      </c>
    </row>
    <row r="43" spans="2:11">
      <c r="B43" s="902" t="s">
        <v>2099</v>
      </c>
      <c r="C43" s="915" t="s">
        <v>2100</v>
      </c>
      <c r="D43" s="918" t="s">
        <v>2101</v>
      </c>
      <c r="E43" s="911">
        <f>ROUND(SUMIFS('CF.W.S'!E:E,'CF.W.S'!B:B,'A3.CF'!B43),0)</f>
        <v>0</v>
      </c>
      <c r="F43" s="912">
        <v>0</v>
      </c>
      <c r="G43" s="906" t="str">
        <f t="shared" si="2"/>
        <v/>
      </c>
      <c r="H43" s="850"/>
      <c r="I43" s="913">
        <f>SUMIFS('CF.W.C'!E:E,'CF.W.C'!B:B,'A3.CF'!B43)</f>
        <v>0</v>
      </c>
      <c r="J43" s="914">
        <v>0</v>
      </c>
      <c r="K43" s="906" t="str">
        <f t="shared" si="3"/>
        <v/>
      </c>
    </row>
    <row r="44" spans="2:11">
      <c r="B44" s="902" t="s">
        <v>2102</v>
      </c>
      <c r="C44" s="915" t="s">
        <v>2103</v>
      </c>
      <c r="D44" s="918" t="s">
        <v>2104</v>
      </c>
      <c r="E44" s="911">
        <f>ROUND(SUMIFS('CF.W.S'!E:E,'CF.W.S'!B:B,'A3.CF'!B44),0)</f>
        <v>0</v>
      </c>
      <c r="F44" s="912">
        <v>0</v>
      </c>
      <c r="G44" s="906" t="str">
        <f t="shared" si="2"/>
        <v/>
      </c>
      <c r="H44" s="850"/>
      <c r="I44" s="913">
        <f>SUMIFS('CF.W.C'!E:E,'CF.W.C'!B:B,'A3.CF'!B44)</f>
        <v>0</v>
      </c>
      <c r="J44" s="914">
        <v>0</v>
      </c>
      <c r="K44" s="906" t="str">
        <f t="shared" si="3"/>
        <v/>
      </c>
    </row>
    <row r="45" spans="2:11" s="1" customFormat="1">
      <c r="B45" s="143"/>
      <c r="C45" s="140" t="s">
        <v>2105</v>
      </c>
      <c r="D45" s="149" t="s">
        <v>2106</v>
      </c>
      <c r="E45" s="161">
        <f>SUM(E39:E44)</f>
        <v>4500000000</v>
      </c>
      <c r="F45" s="158">
        <f>SUM(F39:F44)</f>
        <v>1116420000</v>
      </c>
      <c r="G45" s="167" t="str">
        <f t="shared" si="2"/>
        <v>x</v>
      </c>
      <c r="I45" s="164">
        <f t="shared" ref="I45" si="6">SUM(I39:I44)</f>
        <v>49000000000</v>
      </c>
      <c r="J45" s="156">
        <f>SUM(J39:J44)</f>
        <v>484143948417</v>
      </c>
      <c r="K45" s="167" t="str">
        <f t="shared" si="3"/>
        <v>x</v>
      </c>
    </row>
    <row r="46" spans="2:11">
      <c r="B46" s="902"/>
      <c r="C46" s="903"/>
      <c r="D46" s="918"/>
      <c r="E46" s="904"/>
      <c r="F46" s="905"/>
      <c r="G46" s="906" t="str">
        <f t="shared" si="2"/>
        <v/>
      </c>
      <c r="H46" s="850"/>
      <c r="I46" s="907"/>
      <c r="J46" s="908"/>
      <c r="K46" s="906" t="str">
        <f t="shared" si="3"/>
        <v/>
      </c>
    </row>
    <row r="47" spans="2:11" s="1" customFormat="1">
      <c r="B47" s="143"/>
      <c r="C47" s="140" t="s">
        <v>2107</v>
      </c>
      <c r="D47" s="149" t="s">
        <v>2108</v>
      </c>
      <c r="E47" s="162">
        <f>SUM(E26,E36,E45)</f>
        <v>830205521</v>
      </c>
      <c r="F47" s="159">
        <f>SUM(F26,F36,F45)</f>
        <v>46023001920</v>
      </c>
      <c r="G47" s="167" t="str">
        <f t="shared" si="2"/>
        <v>x</v>
      </c>
      <c r="I47" s="165">
        <f t="shared" ref="I47" si="7">SUM(I26,I36,I45)</f>
        <v>14344618597</v>
      </c>
      <c r="J47" s="157">
        <f>SUM(J26,J36,J45)</f>
        <v>273884023984</v>
      </c>
      <c r="K47" s="167" t="str">
        <f t="shared" si="3"/>
        <v>x</v>
      </c>
    </row>
    <row r="48" spans="2:11">
      <c r="B48" s="902"/>
      <c r="C48" s="903"/>
      <c r="D48" s="918"/>
      <c r="E48" s="1513"/>
      <c r="F48" s="905"/>
      <c r="G48" s="906" t="s">
        <v>681</v>
      </c>
      <c r="H48" s="850"/>
      <c r="I48" s="907"/>
      <c r="J48" s="908"/>
      <c r="K48" s="906" t="s">
        <v>681</v>
      </c>
    </row>
    <row r="49" spans="2:11" s="1" customFormat="1">
      <c r="B49" s="143" t="s">
        <v>2109</v>
      </c>
      <c r="C49" s="140" t="s">
        <v>2110</v>
      </c>
      <c r="D49" s="149" t="s">
        <v>2111</v>
      </c>
      <c r="E49" s="161">
        <f>ROUND(SUMIFS('CF.W.S'!E:E,'CF.W.S'!B:B,'A3.CF'!B49),0)</f>
        <v>70956772314</v>
      </c>
      <c r="F49" s="158">
        <v>70814735988</v>
      </c>
      <c r="G49" s="167" t="str">
        <f t="shared" si="2"/>
        <v>x</v>
      </c>
      <c r="I49" s="164">
        <f>SUMIFS('CF.W.C'!E:E,'CF.W.C'!B:B,'A3.CF'!B49)</f>
        <v>86374145020</v>
      </c>
      <c r="J49" s="156">
        <v>103151558325</v>
      </c>
      <c r="K49" s="167" t="str">
        <f t="shared" si="3"/>
        <v>x</v>
      </c>
    </row>
    <row r="50" spans="2:11" ht="25.5">
      <c r="B50" s="902" t="s">
        <v>2112</v>
      </c>
      <c r="C50" s="915" t="s">
        <v>2113</v>
      </c>
      <c r="D50" s="919" t="s">
        <v>2114</v>
      </c>
      <c r="E50" s="911">
        <f>ROUND(SUMIFS('CF.W.S'!E:E,'CF.W.S'!B:B,'A3.CF'!B50),0)</f>
        <v>0</v>
      </c>
      <c r="F50" s="912">
        <v>0</v>
      </c>
      <c r="G50" s="906" t="s">
        <v>681</v>
      </c>
      <c r="H50" s="850"/>
      <c r="I50" s="913">
        <f>SUMIFS('CF.W.C'!E:E,'CF.W.C'!B:B,'A3.CF'!B50)</f>
        <v>0</v>
      </c>
      <c r="J50" s="908"/>
      <c r="K50" s="906" t="s">
        <v>681</v>
      </c>
    </row>
    <row r="51" spans="2:11">
      <c r="B51" s="902"/>
      <c r="C51" s="903"/>
      <c r="D51" s="918"/>
      <c r="E51" s="904"/>
      <c r="F51" s="905"/>
      <c r="G51" s="906" t="str">
        <f t="shared" si="2"/>
        <v/>
      </c>
      <c r="H51" s="850"/>
      <c r="I51" s="907"/>
      <c r="J51" s="908"/>
      <c r="K51" s="906" t="str">
        <f t="shared" si="3"/>
        <v/>
      </c>
    </row>
    <row r="52" spans="2:11" s="1" customFormat="1" ht="13.5" thickBot="1">
      <c r="B52" s="144" t="s">
        <v>2115</v>
      </c>
      <c r="C52" s="145" t="s">
        <v>2116</v>
      </c>
      <c r="D52" s="151" t="s">
        <v>2117</v>
      </c>
      <c r="E52" s="163">
        <f>ROUND(SUMIFS('CF.W.S'!E:E,'CF.W.S'!B:B,'A3.CF'!B52),0)</f>
        <v>71786977835</v>
      </c>
      <c r="F52" s="160">
        <v>83153463117</v>
      </c>
      <c r="G52" s="168" t="str">
        <f t="shared" si="2"/>
        <v>x</v>
      </c>
      <c r="I52" s="166">
        <f>SUMIFS('CF.W.C'!E:E,'CF.W.C'!B:B,'A3.CF'!B52)</f>
        <v>100718763617</v>
      </c>
      <c r="J52" s="169">
        <v>341563625826</v>
      </c>
      <c r="K52" s="168" t="str">
        <f t="shared" si="3"/>
        <v>x</v>
      </c>
    </row>
    <row r="54" spans="2:11">
      <c r="B54" s="850"/>
      <c r="C54" s="850"/>
      <c r="D54" s="1" t="s">
        <v>1970</v>
      </c>
      <c r="E54" s="857">
        <f>E52-E49-E47</f>
        <v>0</v>
      </c>
      <c r="F54" s="857">
        <f>F52-F49-F47</f>
        <v>-33684274791</v>
      </c>
      <c r="G54" s="850"/>
      <c r="H54" s="850"/>
      <c r="I54" s="857">
        <f>I52-I49-I47</f>
        <v>0</v>
      </c>
      <c r="J54" s="857">
        <f t="shared" ref="J54" si="8">J52-J49-J47</f>
        <v>-35471956483</v>
      </c>
      <c r="K54" s="850"/>
    </row>
  </sheetData>
  <autoFilter ref="B5:K52" xr:uid="{F33C9446-B549-4984-847B-D565AD7B8023}"/>
  <phoneticPr fontId="37"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B407-B430-4227-83A6-ECC940927D24}">
  <dimension ref="A1:L937"/>
  <sheetViews>
    <sheetView topLeftCell="A40" zoomScale="70" zoomScaleNormal="70" workbookViewId="0">
      <selection activeCell="A52" sqref="A52"/>
    </sheetView>
  </sheetViews>
  <sheetFormatPr defaultColWidth="12.5703125" defaultRowHeight="15" customHeight="1"/>
  <cols>
    <col min="1" max="1" width="21.140625" style="1403" customWidth="1"/>
    <col min="2" max="2" width="31.85546875" style="1403" customWidth="1"/>
    <col min="3" max="3" width="17.140625" style="1403" customWidth="1"/>
    <col min="4" max="4" width="16.140625" style="1403" customWidth="1"/>
    <col min="5" max="5" width="22.140625" style="1403" customWidth="1"/>
    <col min="6" max="6" width="20.5703125" style="1403" customWidth="1"/>
    <col min="7" max="7" width="19.42578125" style="1403" customWidth="1"/>
    <col min="8" max="8" width="17.42578125" style="1403" bestFit="1" customWidth="1"/>
    <col min="9" max="9" width="0.140625" style="1403" customWidth="1"/>
    <col min="10" max="10" width="20.5703125" style="1403" bestFit="1" customWidth="1"/>
    <col min="11" max="11" width="9.140625" style="1403" bestFit="1" customWidth="1"/>
    <col min="12" max="12" width="17.85546875" style="1403" bestFit="1" customWidth="1"/>
    <col min="13" max="19" width="8" style="1403" customWidth="1"/>
    <col min="20" max="16384" width="12.5703125" style="1403"/>
  </cols>
  <sheetData>
    <row r="1" spans="1:10" ht="12.75">
      <c r="A1" s="1430"/>
      <c r="B1" s="1430"/>
      <c r="C1" s="1430"/>
      <c r="D1" s="1430"/>
      <c r="E1" s="1430"/>
      <c r="F1" s="1430"/>
      <c r="G1" s="1430"/>
      <c r="H1" s="1430"/>
    </row>
    <row r="2" spans="1:10" ht="17.25" customHeight="1">
      <c r="A2" s="1431" t="s">
        <v>4</v>
      </c>
      <c r="B2" s="1431" t="s">
        <v>5</v>
      </c>
      <c r="C2" s="1665" t="s">
        <v>6</v>
      </c>
      <c r="D2" s="1666"/>
      <c r="E2" s="1665" t="s">
        <v>7</v>
      </c>
      <c r="F2" s="1667"/>
      <c r="G2" s="1665" t="s">
        <v>8</v>
      </c>
      <c r="H2" s="1666"/>
      <c r="I2" s="1433"/>
    </row>
    <row r="3" spans="1:10" ht="17.25" customHeight="1">
      <c r="A3" s="1431" t="s">
        <v>4</v>
      </c>
      <c r="B3" s="1431" t="s">
        <v>5</v>
      </c>
      <c r="C3" s="1432" t="s">
        <v>11</v>
      </c>
      <c r="D3" s="1434" t="s">
        <v>12</v>
      </c>
      <c r="E3" s="1434" t="s">
        <v>11</v>
      </c>
      <c r="F3" s="1432" t="s">
        <v>12</v>
      </c>
      <c r="G3" s="1432" t="s">
        <v>11</v>
      </c>
      <c r="H3" s="1434" t="s">
        <v>12</v>
      </c>
      <c r="I3" s="1433"/>
    </row>
    <row r="4" spans="1:10" ht="16.5" customHeight="1">
      <c r="A4" s="1435" t="s">
        <v>13</v>
      </c>
      <c r="B4" s="1436" t="s">
        <v>14</v>
      </c>
      <c r="C4" s="1437">
        <v>5000000</v>
      </c>
      <c r="D4" s="1438">
        <v>0</v>
      </c>
      <c r="E4" s="1438">
        <v>0</v>
      </c>
      <c r="F4" s="1437">
        <v>5000000</v>
      </c>
      <c r="G4" s="1437">
        <v>0</v>
      </c>
      <c r="H4" s="1438">
        <v>0</v>
      </c>
      <c r="I4" s="1433"/>
      <c r="J4" s="1439">
        <f>G4-H4</f>
        <v>0</v>
      </c>
    </row>
    <row r="5" spans="1:10" ht="17.25" customHeight="1">
      <c r="A5" s="1440" t="s">
        <v>15</v>
      </c>
      <c r="B5" s="1441" t="s">
        <v>16</v>
      </c>
      <c r="C5" s="1442">
        <v>5000000</v>
      </c>
      <c r="D5" s="1443">
        <v>0</v>
      </c>
      <c r="E5" s="1443">
        <v>0</v>
      </c>
      <c r="F5" s="1442">
        <v>5000000</v>
      </c>
      <c r="G5" s="1442">
        <v>0</v>
      </c>
      <c r="H5" s="1443">
        <v>0</v>
      </c>
      <c r="I5" s="1433"/>
      <c r="J5" s="1439">
        <f t="shared" ref="J5:J68" si="0">G5-H5</f>
        <v>0</v>
      </c>
    </row>
    <row r="6" spans="1:10" ht="16.5" customHeight="1">
      <c r="A6" s="1435" t="s">
        <v>17</v>
      </c>
      <c r="B6" s="1436" t="s">
        <v>18</v>
      </c>
      <c r="C6" s="1437">
        <v>55941772314</v>
      </c>
      <c r="D6" s="1438">
        <v>0</v>
      </c>
      <c r="E6" s="1438">
        <v>8906473742601</v>
      </c>
      <c r="F6" s="1437">
        <v>8915533271319</v>
      </c>
      <c r="G6" s="1437">
        <v>46882243596</v>
      </c>
      <c r="H6" s="1438">
        <v>0</v>
      </c>
      <c r="I6" s="1433"/>
      <c r="J6" s="1444">
        <f t="shared" si="0"/>
        <v>46882243596</v>
      </c>
    </row>
    <row r="7" spans="1:10" ht="17.25" customHeight="1">
      <c r="A7" s="1440" t="s">
        <v>19</v>
      </c>
      <c r="B7" s="1441" t="s">
        <v>16</v>
      </c>
      <c r="C7" s="1442">
        <v>55941772314</v>
      </c>
      <c r="D7" s="1443">
        <v>0</v>
      </c>
      <c r="E7" s="1443">
        <v>8906473742601</v>
      </c>
      <c r="F7" s="1442">
        <v>8915533271319</v>
      </c>
      <c r="G7" s="1442">
        <v>46882243596</v>
      </c>
      <c r="H7" s="1443">
        <v>0</v>
      </c>
      <c r="I7" s="1433"/>
      <c r="J7" s="1439">
        <f t="shared" si="0"/>
        <v>46882243596</v>
      </c>
    </row>
    <row r="8" spans="1:10" ht="17.25" customHeight="1">
      <c r="A8" s="1435" t="s">
        <v>20</v>
      </c>
      <c r="B8" s="1436" t="s">
        <v>21</v>
      </c>
      <c r="C8" s="1437">
        <v>3163952678</v>
      </c>
      <c r="D8" s="1438">
        <v>0</v>
      </c>
      <c r="E8" s="1438">
        <v>26730253916</v>
      </c>
      <c r="F8" s="1437">
        <v>24322959846</v>
      </c>
      <c r="G8" s="1437">
        <v>5571246748</v>
      </c>
      <c r="H8" s="1438">
        <v>0</v>
      </c>
      <c r="I8" s="1433"/>
      <c r="J8" s="1444">
        <f t="shared" si="0"/>
        <v>5571246748</v>
      </c>
    </row>
    <row r="9" spans="1:10" ht="16.5" customHeight="1">
      <c r="A9" s="1435" t="s">
        <v>22</v>
      </c>
      <c r="B9" s="1436" t="s">
        <v>16</v>
      </c>
      <c r="C9" s="1437">
        <v>3163952678</v>
      </c>
      <c r="D9" s="1438">
        <v>0</v>
      </c>
      <c r="E9" s="1438">
        <v>26730253916</v>
      </c>
      <c r="F9" s="1437">
        <v>24322959846</v>
      </c>
      <c r="G9" s="1437">
        <v>5571246748</v>
      </c>
      <c r="H9" s="1438">
        <v>0</v>
      </c>
      <c r="I9" s="1433"/>
      <c r="J9" s="1439">
        <f t="shared" si="0"/>
        <v>5571246748</v>
      </c>
    </row>
    <row r="10" spans="1:10" ht="36.75" customHeight="1">
      <c r="A10" s="1440" t="s">
        <v>23</v>
      </c>
      <c r="B10" s="1441" t="s">
        <v>24</v>
      </c>
      <c r="C10" s="1442">
        <v>3163952678</v>
      </c>
      <c r="D10" s="1443">
        <v>0</v>
      </c>
      <c r="E10" s="1443">
        <v>26730253916</v>
      </c>
      <c r="F10" s="1442">
        <v>24322959846</v>
      </c>
      <c r="G10" s="1442">
        <v>5571246748</v>
      </c>
      <c r="H10" s="1443">
        <v>0</v>
      </c>
      <c r="I10" s="1433"/>
      <c r="J10" s="1439">
        <f t="shared" si="0"/>
        <v>5571246748</v>
      </c>
    </row>
    <row r="11" spans="1:10" ht="16.5" customHeight="1">
      <c r="A11" s="1435" t="s">
        <v>25</v>
      </c>
      <c r="B11" s="1436" t="s">
        <v>26</v>
      </c>
      <c r="C11" s="1437">
        <v>1257776792208</v>
      </c>
      <c r="D11" s="1438">
        <v>0</v>
      </c>
      <c r="E11" s="1438">
        <v>1698144761746</v>
      </c>
      <c r="F11" s="1437">
        <v>1565411474411</v>
      </c>
      <c r="G11" s="1437">
        <v>1390510079543</v>
      </c>
      <c r="H11" s="1438">
        <v>0</v>
      </c>
      <c r="I11" s="1433"/>
      <c r="J11" s="1444">
        <f t="shared" si="0"/>
        <v>1390510079543</v>
      </c>
    </row>
    <row r="12" spans="1:10" ht="17.25" customHeight="1">
      <c r="A12" s="1440" t="s">
        <v>27</v>
      </c>
      <c r="B12" s="1441" t="s">
        <v>28</v>
      </c>
      <c r="C12" s="1442">
        <v>67464686475</v>
      </c>
      <c r="D12" s="1443">
        <v>0</v>
      </c>
      <c r="E12" s="1443">
        <v>7959957342</v>
      </c>
      <c r="F12" s="1442">
        <v>28016933659</v>
      </c>
      <c r="G12" s="1442">
        <v>47407710158</v>
      </c>
      <c r="H12" s="1443">
        <v>0</v>
      </c>
      <c r="I12" s="1433"/>
      <c r="J12" s="1439">
        <f t="shared" si="0"/>
        <v>47407710158</v>
      </c>
    </row>
    <row r="13" spans="1:10" ht="17.25" customHeight="1">
      <c r="A13" s="1440" t="s">
        <v>29</v>
      </c>
      <c r="B13" s="1441" t="s">
        <v>30</v>
      </c>
      <c r="C13" s="1437">
        <v>371239782862</v>
      </c>
      <c r="D13" s="1438">
        <v>0</v>
      </c>
      <c r="E13" s="1438">
        <v>731935351699</v>
      </c>
      <c r="F13" s="1437">
        <v>569524349402</v>
      </c>
      <c r="G13" s="1437">
        <v>533650785159</v>
      </c>
      <c r="H13" s="1438">
        <v>0</v>
      </c>
      <c r="I13" s="1433"/>
      <c r="J13" s="1439">
        <f t="shared" si="0"/>
        <v>533650785159</v>
      </c>
    </row>
    <row r="14" spans="1:10" ht="17.25" customHeight="1">
      <c r="A14" s="1440" t="s">
        <v>31</v>
      </c>
      <c r="B14" s="1441" t="s">
        <v>32</v>
      </c>
      <c r="C14" s="1442">
        <v>819072322871</v>
      </c>
      <c r="D14" s="1443">
        <v>0</v>
      </c>
      <c r="E14" s="1443">
        <v>958249452705</v>
      </c>
      <c r="F14" s="1442">
        <v>967870191350</v>
      </c>
      <c r="G14" s="1442">
        <v>809451584226</v>
      </c>
      <c r="H14" s="1443">
        <v>0</v>
      </c>
      <c r="I14" s="1433"/>
      <c r="J14" s="1439">
        <f t="shared" si="0"/>
        <v>809451584226</v>
      </c>
    </row>
    <row r="15" spans="1:10" ht="16.5" customHeight="1">
      <c r="A15" s="1435" t="s">
        <v>33</v>
      </c>
      <c r="B15" s="1436" t="s">
        <v>34</v>
      </c>
      <c r="C15" s="1437">
        <v>407087410960</v>
      </c>
      <c r="D15" s="1438">
        <v>0</v>
      </c>
      <c r="E15" s="1438">
        <v>452363158776</v>
      </c>
      <c r="F15" s="1437">
        <v>538270309462</v>
      </c>
      <c r="G15" s="1437">
        <v>321180260274</v>
      </c>
      <c r="H15" s="1438">
        <v>0</v>
      </c>
      <c r="I15" s="1433"/>
      <c r="J15" s="1444">
        <f t="shared" si="0"/>
        <v>321180260274</v>
      </c>
    </row>
    <row r="16" spans="1:10" ht="17.25" customHeight="1">
      <c r="A16" s="1435" t="s">
        <v>35</v>
      </c>
      <c r="B16" s="1436" t="s">
        <v>36</v>
      </c>
      <c r="C16" s="1437">
        <v>407087410960</v>
      </c>
      <c r="D16" s="1438">
        <v>0</v>
      </c>
      <c r="E16" s="1438">
        <v>452363158776</v>
      </c>
      <c r="F16" s="1437">
        <v>538270309462</v>
      </c>
      <c r="G16" s="1437">
        <v>321180260274</v>
      </c>
      <c r="H16" s="1438">
        <v>0</v>
      </c>
      <c r="I16" s="1433"/>
      <c r="J16" s="1439">
        <f t="shared" si="0"/>
        <v>321180260274</v>
      </c>
    </row>
    <row r="17" spans="1:10" ht="17.25" customHeight="1">
      <c r="A17" s="1440">
        <v>1281.01</v>
      </c>
      <c r="B17" s="1441" t="s">
        <v>38</v>
      </c>
      <c r="C17" s="1437"/>
      <c r="D17" s="1438"/>
      <c r="E17" s="1438"/>
      <c r="F17" s="1437"/>
      <c r="G17" s="1437"/>
      <c r="H17" s="1438"/>
      <c r="I17" s="1433"/>
      <c r="J17" s="1439">
        <f t="shared" si="0"/>
        <v>0</v>
      </c>
    </row>
    <row r="18" spans="1:10" ht="16.5" customHeight="1">
      <c r="A18" s="1440" t="s">
        <v>39</v>
      </c>
      <c r="B18" s="1441" t="s">
        <v>40</v>
      </c>
      <c r="C18" s="1442">
        <v>392077410960</v>
      </c>
      <c r="D18" s="1443">
        <v>0</v>
      </c>
      <c r="E18" s="1443">
        <v>187138227269</v>
      </c>
      <c r="F18" s="1442">
        <v>258045377955</v>
      </c>
      <c r="G18" s="1442">
        <v>321170260274</v>
      </c>
      <c r="H18" s="1443">
        <v>0</v>
      </c>
      <c r="I18" s="1433"/>
      <c r="J18" s="1439">
        <f t="shared" si="0"/>
        <v>321170260274</v>
      </c>
    </row>
    <row r="19" spans="1:10" ht="16.5" customHeight="1">
      <c r="A19" s="1440">
        <v>1281.03</v>
      </c>
      <c r="B19" s="1441" t="s">
        <v>42</v>
      </c>
      <c r="C19" s="1442"/>
      <c r="D19" s="1443"/>
      <c r="E19" s="1443"/>
      <c r="F19" s="1442"/>
      <c r="G19" s="1442"/>
      <c r="H19" s="1443"/>
      <c r="I19" s="1433"/>
      <c r="J19" s="1439">
        <f t="shared" si="0"/>
        <v>0</v>
      </c>
    </row>
    <row r="20" spans="1:10" ht="25.5" customHeight="1">
      <c r="A20" s="1440" t="s">
        <v>43</v>
      </c>
      <c r="B20" s="1441" t="s">
        <v>44</v>
      </c>
      <c r="C20" s="1442">
        <v>15010000000</v>
      </c>
      <c r="D20" s="1443">
        <v>0</v>
      </c>
      <c r="E20" s="1443">
        <v>265224931507</v>
      </c>
      <c r="F20" s="1442">
        <v>280224931507</v>
      </c>
      <c r="G20" s="1442">
        <v>10000000</v>
      </c>
      <c r="H20" s="1443">
        <v>0</v>
      </c>
      <c r="I20" s="1433"/>
      <c r="J20" s="1439">
        <f t="shared" si="0"/>
        <v>10000000</v>
      </c>
    </row>
    <row r="21" spans="1:10" ht="25.5" customHeight="1">
      <c r="A21" s="1435">
        <v>1283</v>
      </c>
      <c r="B21" s="1436" t="s">
        <v>46</v>
      </c>
      <c r="C21" s="1442"/>
      <c r="D21" s="1443"/>
      <c r="E21" s="1443"/>
      <c r="F21" s="1442"/>
      <c r="G21" s="1442"/>
      <c r="H21" s="1443"/>
      <c r="I21" s="1433"/>
      <c r="J21" s="1439">
        <f t="shared" si="0"/>
        <v>0</v>
      </c>
    </row>
    <row r="22" spans="1:10" ht="16.5" customHeight="1">
      <c r="A22" s="1435" t="s">
        <v>47</v>
      </c>
      <c r="B22" s="1436" t="s">
        <v>48</v>
      </c>
      <c r="C22" s="1437">
        <v>56978048</v>
      </c>
      <c r="D22" s="1438">
        <v>0</v>
      </c>
      <c r="E22" s="1438">
        <v>4644457951</v>
      </c>
      <c r="F22" s="1437">
        <v>4648325265</v>
      </c>
      <c r="G22" s="1437">
        <v>53110734</v>
      </c>
      <c r="H22" s="1438">
        <v>0</v>
      </c>
      <c r="I22" s="1433"/>
      <c r="J22" s="1444">
        <f t="shared" si="0"/>
        <v>53110734</v>
      </c>
    </row>
    <row r="23" spans="1:10" ht="17.25" customHeight="1">
      <c r="A23" s="1435" t="s">
        <v>49</v>
      </c>
      <c r="B23" s="1436" t="s">
        <v>50</v>
      </c>
      <c r="C23" s="1437">
        <v>3882902519</v>
      </c>
      <c r="D23" s="1438">
        <v>0</v>
      </c>
      <c r="E23" s="1438">
        <v>219398381</v>
      </c>
      <c r="F23" s="1437">
        <v>334228761</v>
      </c>
      <c r="G23" s="1437">
        <v>3768072139</v>
      </c>
      <c r="H23" s="1438">
        <v>0</v>
      </c>
      <c r="I23" s="1433"/>
      <c r="J23" s="1439">
        <f t="shared" si="0"/>
        <v>3768072139</v>
      </c>
    </row>
    <row r="24" spans="1:10" ht="24.75" customHeight="1">
      <c r="A24" s="1440" t="s">
        <v>51</v>
      </c>
      <c r="B24" s="1441" t="s">
        <v>52</v>
      </c>
      <c r="C24" s="1442">
        <v>3858008001</v>
      </c>
      <c r="D24" s="1443">
        <v>0</v>
      </c>
      <c r="E24" s="1443">
        <v>211307472</v>
      </c>
      <c r="F24" s="1442">
        <v>309334243</v>
      </c>
      <c r="G24" s="1442">
        <v>3759981230</v>
      </c>
      <c r="H24" s="1443">
        <v>0</v>
      </c>
      <c r="I24" s="1433"/>
      <c r="J24" s="1439">
        <f t="shared" si="0"/>
        <v>3759981230</v>
      </c>
    </row>
    <row r="25" spans="1:10" ht="17.25" customHeight="1">
      <c r="A25" s="1440" t="s">
        <v>53</v>
      </c>
      <c r="B25" s="1441" t="s">
        <v>54</v>
      </c>
      <c r="C25" s="1442">
        <v>24894518</v>
      </c>
      <c r="D25" s="1443">
        <v>0</v>
      </c>
      <c r="E25" s="1443">
        <v>8090909</v>
      </c>
      <c r="F25" s="1442">
        <v>24894518</v>
      </c>
      <c r="G25" s="1442">
        <v>8090909</v>
      </c>
      <c r="H25" s="1443">
        <v>0</v>
      </c>
      <c r="I25" s="1433"/>
      <c r="J25" s="1439">
        <f t="shared" si="0"/>
        <v>8090909</v>
      </c>
    </row>
    <row r="26" spans="1:10" ht="17.25" customHeight="1">
      <c r="A26" s="1435" t="s">
        <v>55</v>
      </c>
      <c r="B26" s="1436" t="s">
        <v>56</v>
      </c>
      <c r="C26" s="1437">
        <v>46187200216</v>
      </c>
      <c r="D26" s="1438">
        <v>0</v>
      </c>
      <c r="E26" s="1438">
        <v>599770156235</v>
      </c>
      <c r="F26" s="1437">
        <v>588975785952</v>
      </c>
      <c r="G26" s="1437">
        <v>56981570499</v>
      </c>
      <c r="H26" s="1438">
        <v>0</v>
      </c>
      <c r="I26" s="1433"/>
      <c r="J26" s="1444">
        <f t="shared" si="0"/>
        <v>56981570499</v>
      </c>
    </row>
    <row r="27" spans="1:10" ht="16.5" customHeight="1">
      <c r="A27" s="1435" t="s">
        <v>57</v>
      </c>
      <c r="B27" s="1436" t="s">
        <v>56</v>
      </c>
      <c r="C27" s="1437">
        <v>46187200216</v>
      </c>
      <c r="D27" s="1438">
        <v>0</v>
      </c>
      <c r="E27" s="1438">
        <v>599770156235</v>
      </c>
      <c r="F27" s="1437">
        <v>588975785952</v>
      </c>
      <c r="G27" s="1437">
        <v>56981570499</v>
      </c>
      <c r="H27" s="1438">
        <v>0</v>
      </c>
      <c r="I27" s="1433"/>
      <c r="J27" s="1439">
        <f t="shared" si="0"/>
        <v>56981570499</v>
      </c>
    </row>
    <row r="28" spans="1:10" ht="24.75" customHeight="1">
      <c r="A28" s="1440" t="s">
        <v>58</v>
      </c>
      <c r="B28" s="1441" t="s">
        <v>59</v>
      </c>
      <c r="C28" s="1442">
        <v>23257811780</v>
      </c>
      <c r="D28" s="1443">
        <v>0</v>
      </c>
      <c r="E28" s="1443">
        <v>192705701757</v>
      </c>
      <c r="F28" s="1442">
        <v>180052408961</v>
      </c>
      <c r="G28" s="1442">
        <v>35911104576</v>
      </c>
      <c r="H28" s="1443">
        <v>0</v>
      </c>
      <c r="I28" s="1433"/>
      <c r="J28" s="1439">
        <f t="shared" si="0"/>
        <v>35911104576</v>
      </c>
    </row>
    <row r="29" spans="1:10" ht="17.25" customHeight="1">
      <c r="A29" s="1440" t="s">
        <v>60</v>
      </c>
      <c r="B29" s="1441" t="s">
        <v>61</v>
      </c>
      <c r="C29" s="1442">
        <v>77981100</v>
      </c>
      <c r="D29" s="1443">
        <v>0</v>
      </c>
      <c r="E29" s="1443">
        <v>341719300</v>
      </c>
      <c r="F29" s="1442">
        <v>353662700</v>
      </c>
      <c r="G29" s="1442">
        <v>66037700</v>
      </c>
      <c r="H29" s="1443">
        <v>0</v>
      </c>
      <c r="I29" s="1433"/>
      <c r="J29" s="1439">
        <f t="shared" si="0"/>
        <v>66037700</v>
      </c>
    </row>
    <row r="30" spans="1:10" ht="17.25" customHeight="1">
      <c r="A30" s="1440" t="s">
        <v>62</v>
      </c>
      <c r="B30" s="1441" t="s">
        <v>63</v>
      </c>
      <c r="C30" s="1442">
        <v>395027809</v>
      </c>
      <c r="D30" s="1443">
        <v>0</v>
      </c>
      <c r="E30" s="1443">
        <v>15509298203</v>
      </c>
      <c r="F30" s="1442">
        <v>6018729685</v>
      </c>
      <c r="G30" s="1442">
        <v>9885596327</v>
      </c>
      <c r="H30" s="1443">
        <v>0</v>
      </c>
      <c r="I30" s="1433"/>
      <c r="J30" s="1439">
        <f t="shared" si="0"/>
        <v>9885596327</v>
      </c>
    </row>
    <row r="31" spans="1:10" ht="16.5" customHeight="1">
      <c r="A31" s="1440" t="s">
        <v>64</v>
      </c>
      <c r="B31" s="1441" t="s">
        <v>63</v>
      </c>
      <c r="C31" s="1442">
        <v>9074618884</v>
      </c>
      <c r="D31" s="1443">
        <v>0</v>
      </c>
      <c r="E31" s="1443">
        <v>0</v>
      </c>
      <c r="F31" s="1442">
        <v>0</v>
      </c>
      <c r="G31" s="1442">
        <v>9074618884</v>
      </c>
      <c r="H31" s="1443">
        <v>0</v>
      </c>
      <c r="I31" s="1433"/>
      <c r="J31" s="1439">
        <f t="shared" si="0"/>
        <v>9074618884</v>
      </c>
    </row>
    <row r="32" spans="1:10" ht="17.25" customHeight="1">
      <c r="A32" s="1440" t="s">
        <v>65</v>
      </c>
      <c r="B32" s="1441" t="s">
        <v>66</v>
      </c>
      <c r="C32" s="1442">
        <v>2919672</v>
      </c>
      <c r="D32" s="1443">
        <v>0</v>
      </c>
      <c r="E32" s="1443">
        <v>29504782049</v>
      </c>
      <c r="F32" s="1442">
        <v>29504782049</v>
      </c>
      <c r="G32" s="1442">
        <v>2919672</v>
      </c>
      <c r="H32" s="1443">
        <v>0</v>
      </c>
      <c r="I32" s="1433"/>
      <c r="J32" s="1439">
        <f t="shared" si="0"/>
        <v>2919672</v>
      </c>
    </row>
    <row r="33" spans="1:10" ht="24.75" customHeight="1">
      <c r="A33" s="1440" t="s">
        <v>67</v>
      </c>
      <c r="B33" s="1441" t="s">
        <v>68</v>
      </c>
      <c r="C33" s="1442">
        <v>13378840971</v>
      </c>
      <c r="D33" s="1443">
        <v>0</v>
      </c>
      <c r="E33" s="1443">
        <v>361708654926</v>
      </c>
      <c r="F33" s="1442">
        <v>373046202557</v>
      </c>
      <c r="G33" s="1442">
        <v>2041293340</v>
      </c>
      <c r="H33" s="1443">
        <v>0</v>
      </c>
      <c r="I33" s="1433"/>
      <c r="J33" s="1439">
        <f t="shared" si="0"/>
        <v>2041293340</v>
      </c>
    </row>
    <row r="34" spans="1:10" ht="17.25" customHeight="1">
      <c r="A34" s="1435" t="s">
        <v>69</v>
      </c>
      <c r="B34" s="1436" t="s">
        <v>70</v>
      </c>
      <c r="C34" s="1437">
        <v>143455207</v>
      </c>
      <c r="D34" s="1438">
        <v>0</v>
      </c>
      <c r="E34" s="1438">
        <v>2860723240</v>
      </c>
      <c r="F34" s="1437">
        <v>2965178449</v>
      </c>
      <c r="G34" s="1437">
        <v>38999998</v>
      </c>
      <c r="H34" s="1438">
        <v>0</v>
      </c>
      <c r="I34" s="1433"/>
      <c r="J34" s="1444">
        <f t="shared" si="0"/>
        <v>38999998</v>
      </c>
    </row>
    <row r="35" spans="1:10" ht="17.25" customHeight="1">
      <c r="A35" s="1435" t="s">
        <v>71</v>
      </c>
      <c r="B35" s="1436" t="s">
        <v>72</v>
      </c>
      <c r="C35" s="1437">
        <v>0</v>
      </c>
      <c r="D35" s="1438">
        <v>0</v>
      </c>
      <c r="E35" s="1438">
        <v>7326407766</v>
      </c>
      <c r="F35" s="1437">
        <v>7326407766</v>
      </c>
      <c r="G35" s="1437">
        <v>0</v>
      </c>
      <c r="H35" s="1438">
        <v>0</v>
      </c>
      <c r="I35" s="1433"/>
      <c r="J35" s="1439">
        <f t="shared" si="0"/>
        <v>0</v>
      </c>
    </row>
    <row r="36" spans="1:10" ht="16.5" customHeight="1">
      <c r="A36" s="1435" t="s">
        <v>73</v>
      </c>
      <c r="B36" s="1436" t="s">
        <v>74</v>
      </c>
      <c r="C36" s="1437">
        <v>3000000000</v>
      </c>
      <c r="D36" s="1438">
        <v>0</v>
      </c>
      <c r="E36" s="1438">
        <v>0</v>
      </c>
      <c r="F36" s="1437">
        <v>62900000</v>
      </c>
      <c r="G36" s="1437">
        <v>2937100000</v>
      </c>
      <c r="H36" s="1438">
        <v>0</v>
      </c>
      <c r="I36" s="1433"/>
      <c r="J36" s="1444">
        <f t="shared" si="0"/>
        <v>2937100000</v>
      </c>
    </row>
    <row r="37" spans="1:10" ht="17.25" customHeight="1">
      <c r="A37" s="1440" t="s">
        <v>75</v>
      </c>
      <c r="B37" s="1441" t="s">
        <v>76</v>
      </c>
      <c r="C37" s="1442">
        <v>3000000000</v>
      </c>
      <c r="D37" s="1443">
        <v>0</v>
      </c>
      <c r="E37" s="1443">
        <v>0</v>
      </c>
      <c r="F37" s="1442">
        <v>62900000</v>
      </c>
      <c r="G37" s="1442">
        <v>2937100000</v>
      </c>
      <c r="H37" s="1443">
        <v>0</v>
      </c>
      <c r="I37" s="1433"/>
      <c r="J37" s="1439">
        <f t="shared" si="0"/>
        <v>2937100000</v>
      </c>
    </row>
    <row r="38" spans="1:10" ht="16.5" customHeight="1">
      <c r="A38" s="1435" t="s">
        <v>77</v>
      </c>
      <c r="B38" s="1436" t="s">
        <v>78</v>
      </c>
      <c r="C38" s="1437">
        <v>2322101049</v>
      </c>
      <c r="D38" s="1438">
        <v>0</v>
      </c>
      <c r="E38" s="1438">
        <v>80909091</v>
      </c>
      <c r="F38" s="1437">
        <v>0</v>
      </c>
      <c r="G38" s="1437">
        <v>2403010140</v>
      </c>
      <c r="H38" s="1438">
        <v>0</v>
      </c>
      <c r="I38" s="1433"/>
      <c r="J38" s="1439">
        <f t="shared" si="0"/>
        <v>2403010140</v>
      </c>
    </row>
    <row r="39" spans="1:10" ht="17.25" customHeight="1">
      <c r="A39" s="1440" t="s">
        <v>79</v>
      </c>
      <c r="B39" s="1441" t="s">
        <v>80</v>
      </c>
      <c r="C39" s="1442">
        <v>1067397049</v>
      </c>
      <c r="D39" s="1443">
        <v>0</v>
      </c>
      <c r="E39" s="1443">
        <v>80909091</v>
      </c>
      <c r="F39" s="1442">
        <v>0</v>
      </c>
      <c r="G39" s="1442">
        <v>1148306140</v>
      </c>
      <c r="H39" s="1443">
        <v>0</v>
      </c>
      <c r="I39" s="1433"/>
      <c r="J39" s="1439">
        <f t="shared" si="0"/>
        <v>1148306140</v>
      </c>
    </row>
    <row r="40" spans="1:10" ht="17.25" customHeight="1">
      <c r="A40" s="1440" t="s">
        <v>81</v>
      </c>
      <c r="B40" s="1441" t="s">
        <v>82</v>
      </c>
      <c r="C40" s="1442">
        <v>1051112727</v>
      </c>
      <c r="D40" s="1443">
        <v>0</v>
      </c>
      <c r="E40" s="1443">
        <v>0</v>
      </c>
      <c r="F40" s="1442">
        <v>0</v>
      </c>
      <c r="G40" s="1442">
        <v>1051112727</v>
      </c>
      <c r="H40" s="1443">
        <v>0</v>
      </c>
      <c r="I40" s="1433"/>
      <c r="J40" s="1439">
        <f t="shared" si="0"/>
        <v>1051112727</v>
      </c>
    </row>
    <row r="41" spans="1:10" ht="16.5" customHeight="1">
      <c r="A41" s="1440" t="s">
        <v>83</v>
      </c>
      <c r="B41" s="1441" t="s">
        <v>84</v>
      </c>
      <c r="C41" s="1442">
        <v>203591273</v>
      </c>
      <c r="D41" s="1443">
        <v>0</v>
      </c>
      <c r="E41" s="1443">
        <v>0</v>
      </c>
      <c r="F41" s="1442">
        <v>0</v>
      </c>
      <c r="G41" s="1442">
        <v>203591273</v>
      </c>
      <c r="H41" s="1443">
        <v>0</v>
      </c>
      <c r="I41" s="1433"/>
      <c r="J41" s="1439">
        <f t="shared" si="0"/>
        <v>203591273</v>
      </c>
    </row>
    <row r="42" spans="1:10" ht="17.25" customHeight="1">
      <c r="A42" s="1435" t="s">
        <v>85</v>
      </c>
      <c r="B42" s="1436" t="s">
        <v>86</v>
      </c>
      <c r="C42" s="1437">
        <v>44677813903</v>
      </c>
      <c r="D42" s="1438">
        <v>0</v>
      </c>
      <c r="E42" s="1438">
        <v>0</v>
      </c>
      <c r="F42" s="1437">
        <v>0</v>
      </c>
      <c r="G42" s="1437">
        <v>44677813903</v>
      </c>
      <c r="H42" s="1438">
        <v>0</v>
      </c>
      <c r="I42" s="1433"/>
      <c r="J42" s="1439">
        <f t="shared" si="0"/>
        <v>44677813903</v>
      </c>
    </row>
    <row r="43" spans="1:10" ht="16.5" customHeight="1">
      <c r="A43" s="1440" t="s">
        <v>87</v>
      </c>
      <c r="B43" s="1441" t="s">
        <v>88</v>
      </c>
      <c r="C43" s="1442">
        <v>44677813903</v>
      </c>
      <c r="D43" s="1443">
        <v>0</v>
      </c>
      <c r="E43" s="1443">
        <v>0</v>
      </c>
      <c r="F43" s="1442">
        <v>0</v>
      </c>
      <c r="G43" s="1442">
        <v>44677813903</v>
      </c>
      <c r="H43" s="1443">
        <v>0</v>
      </c>
      <c r="I43" s="1433"/>
      <c r="J43" s="1439">
        <f t="shared" si="0"/>
        <v>44677813903</v>
      </c>
    </row>
    <row r="44" spans="1:10" ht="17.25" customHeight="1">
      <c r="A44" s="1435" t="s">
        <v>89</v>
      </c>
      <c r="B44" s="1436" t="s">
        <v>90</v>
      </c>
      <c r="C44" s="1437">
        <v>0</v>
      </c>
      <c r="D44" s="1438">
        <v>4765052412</v>
      </c>
      <c r="E44" s="1438">
        <v>0</v>
      </c>
      <c r="F44" s="1437">
        <v>1779558972</v>
      </c>
      <c r="G44" s="1437">
        <v>0</v>
      </c>
      <c r="H44" s="1438">
        <v>6544611384</v>
      </c>
      <c r="I44" s="1433"/>
      <c r="J44" s="1439">
        <f t="shared" si="0"/>
        <v>-6544611384</v>
      </c>
    </row>
    <row r="45" spans="1:10" ht="17.25" customHeight="1">
      <c r="A45" s="1440" t="s">
        <v>91</v>
      </c>
      <c r="B45" s="1441" t="s">
        <v>92</v>
      </c>
      <c r="C45" s="1442">
        <v>0</v>
      </c>
      <c r="D45" s="1443">
        <v>893707599</v>
      </c>
      <c r="E45" s="1443">
        <v>0</v>
      </c>
      <c r="F45" s="1442">
        <v>264324360</v>
      </c>
      <c r="G45" s="1442">
        <v>0</v>
      </c>
      <c r="H45" s="1443">
        <v>1158031959</v>
      </c>
      <c r="I45" s="1433"/>
      <c r="J45" s="1439">
        <f t="shared" si="0"/>
        <v>-1158031959</v>
      </c>
    </row>
    <row r="46" spans="1:10" ht="16.5" customHeight="1">
      <c r="A46" s="1440" t="s">
        <v>93</v>
      </c>
      <c r="B46" s="1441" t="s">
        <v>94</v>
      </c>
      <c r="C46" s="1442">
        <v>0</v>
      </c>
      <c r="D46" s="1443">
        <v>3871344813</v>
      </c>
      <c r="E46" s="1443">
        <v>0</v>
      </c>
      <c r="F46" s="1442">
        <v>1515234612</v>
      </c>
      <c r="G46" s="1442">
        <v>0</v>
      </c>
      <c r="H46" s="1443">
        <v>5386579425</v>
      </c>
      <c r="I46" s="1433"/>
      <c r="J46" s="1439">
        <f t="shared" si="0"/>
        <v>-5386579425</v>
      </c>
    </row>
    <row r="47" spans="1:10" ht="17.25" customHeight="1">
      <c r="A47" s="1435" t="s">
        <v>95</v>
      </c>
      <c r="B47" s="1436" t="s">
        <v>96</v>
      </c>
      <c r="C47" s="1437">
        <v>440010000000</v>
      </c>
      <c r="D47" s="1438">
        <v>0</v>
      </c>
      <c r="E47" s="1438">
        <v>0</v>
      </c>
      <c r="F47" s="1437">
        <v>0</v>
      </c>
      <c r="G47" s="1437">
        <v>440010000000</v>
      </c>
      <c r="H47" s="1438">
        <v>0</v>
      </c>
      <c r="I47" s="1433"/>
      <c r="J47" s="1439">
        <f t="shared" si="0"/>
        <v>440010000000</v>
      </c>
    </row>
    <row r="48" spans="1:10" ht="17.25" customHeight="1">
      <c r="A48" s="1435" t="s">
        <v>97</v>
      </c>
      <c r="B48" s="1436" t="s">
        <v>98</v>
      </c>
      <c r="C48" s="1437">
        <v>182395931507</v>
      </c>
      <c r="D48" s="1438">
        <v>0</v>
      </c>
      <c r="E48" s="1438">
        <v>0</v>
      </c>
      <c r="F48" s="1437">
        <v>40000000000</v>
      </c>
      <c r="G48" s="1437">
        <v>142395931507</v>
      </c>
      <c r="H48" s="1438">
        <v>0</v>
      </c>
      <c r="I48" s="1433"/>
      <c r="J48" s="1439">
        <f t="shared" si="0"/>
        <v>142395931507</v>
      </c>
    </row>
    <row r="49" spans="1:12" ht="16.5" customHeight="1">
      <c r="A49" s="1440" t="s">
        <v>99</v>
      </c>
      <c r="B49" s="1441" t="s">
        <v>98</v>
      </c>
      <c r="C49" s="1442">
        <v>182395931507</v>
      </c>
      <c r="D49" s="1443">
        <v>0</v>
      </c>
      <c r="E49" s="1443">
        <v>0</v>
      </c>
      <c r="F49" s="1442">
        <v>40000000000</v>
      </c>
      <c r="G49" s="1442">
        <v>142395931507</v>
      </c>
      <c r="H49" s="1443">
        <v>0</v>
      </c>
      <c r="I49" s="1433"/>
      <c r="J49" s="1439">
        <f t="shared" si="0"/>
        <v>142395931507</v>
      </c>
    </row>
    <row r="50" spans="1:12" ht="17.25" customHeight="1">
      <c r="A50" s="1435" t="s">
        <v>100</v>
      </c>
      <c r="B50" s="1436" t="s">
        <v>101</v>
      </c>
      <c r="C50" s="1437">
        <v>0</v>
      </c>
      <c r="D50" s="1438">
        <v>38614607046</v>
      </c>
      <c r="E50" s="1438">
        <v>0</v>
      </c>
      <c r="F50" s="1437">
        <v>0</v>
      </c>
      <c r="G50" s="1437">
        <v>0</v>
      </c>
      <c r="H50" s="1438">
        <v>38614607046</v>
      </c>
      <c r="I50" s="1433"/>
      <c r="J50" s="1439">
        <f t="shared" si="0"/>
        <v>-38614607046</v>
      </c>
    </row>
    <row r="51" spans="1:12" ht="24.75" customHeight="1">
      <c r="A51" s="1440" t="s">
        <v>102</v>
      </c>
      <c r="B51" s="1441" t="s">
        <v>103</v>
      </c>
      <c r="C51" s="1442">
        <v>0</v>
      </c>
      <c r="D51" s="1443">
        <v>184373354</v>
      </c>
      <c r="E51" s="1443">
        <v>0</v>
      </c>
      <c r="F51" s="1442">
        <v>0</v>
      </c>
      <c r="G51" s="1442">
        <v>0</v>
      </c>
      <c r="H51" s="1443">
        <v>184373354</v>
      </c>
      <c r="I51" s="1433"/>
      <c r="J51" s="1444">
        <f t="shared" si="0"/>
        <v>-184373354</v>
      </c>
    </row>
    <row r="52" spans="1:12" ht="17.25" customHeight="1">
      <c r="A52" s="1440" t="s">
        <v>104</v>
      </c>
      <c r="B52" s="1441" t="s">
        <v>105</v>
      </c>
      <c r="C52" s="1442">
        <v>0</v>
      </c>
      <c r="D52" s="1443">
        <v>38430233692</v>
      </c>
      <c r="E52" s="1443">
        <v>0</v>
      </c>
      <c r="F52" s="1442">
        <v>0</v>
      </c>
      <c r="G52" s="1442">
        <v>0</v>
      </c>
      <c r="H52" s="1443">
        <v>38430233692</v>
      </c>
      <c r="I52" s="1433"/>
      <c r="J52" s="1439">
        <f t="shared" si="0"/>
        <v>-38430233692</v>
      </c>
    </row>
    <row r="53" spans="1:12" ht="17.25" customHeight="1">
      <c r="A53" s="1435" t="s">
        <v>106</v>
      </c>
      <c r="B53" s="1436" t="s">
        <v>107</v>
      </c>
      <c r="C53" s="1437">
        <v>5350661938</v>
      </c>
      <c r="D53" s="1438">
        <v>0</v>
      </c>
      <c r="E53" s="1438">
        <v>5471944093</v>
      </c>
      <c r="F53" s="1437">
        <v>0</v>
      </c>
      <c r="G53" s="1437">
        <v>10822606031</v>
      </c>
      <c r="H53" s="1438">
        <v>0</v>
      </c>
      <c r="I53" s="1433"/>
      <c r="J53" s="1439">
        <f t="shared" si="0"/>
        <v>10822606031</v>
      </c>
    </row>
    <row r="54" spans="1:12" ht="17.25" customHeight="1">
      <c r="A54" s="1440" t="s">
        <v>108</v>
      </c>
      <c r="B54" s="1441" t="s">
        <v>109</v>
      </c>
      <c r="C54" s="1442">
        <v>5350661938</v>
      </c>
      <c r="D54" s="1443">
        <v>0</v>
      </c>
      <c r="E54" s="1443">
        <v>5471944093</v>
      </c>
      <c r="F54" s="1442">
        <v>0</v>
      </c>
      <c r="G54" s="1442">
        <v>10822606031</v>
      </c>
      <c r="H54" s="1443">
        <v>0</v>
      </c>
      <c r="I54" s="1433"/>
      <c r="J54" s="1439">
        <f t="shared" si="0"/>
        <v>10822606031</v>
      </c>
    </row>
    <row r="55" spans="1:12" ht="17.25" customHeight="1">
      <c r="A55" s="1440">
        <v>2413</v>
      </c>
      <c r="B55" s="1441" t="s">
        <v>111</v>
      </c>
      <c r="C55" s="1442"/>
      <c r="D55" s="1443"/>
      <c r="E55" s="1443"/>
      <c r="F55" s="1442"/>
      <c r="G55" s="1442"/>
      <c r="H55" s="1443"/>
      <c r="I55" s="1433"/>
      <c r="J55" s="1439">
        <f t="shared" si="0"/>
        <v>0</v>
      </c>
    </row>
    <row r="56" spans="1:12" ht="16.5" customHeight="1">
      <c r="A56" s="1435" t="s">
        <v>112</v>
      </c>
      <c r="B56" s="1436" t="s">
        <v>113</v>
      </c>
      <c r="C56" s="1437">
        <v>2164591495</v>
      </c>
      <c r="D56" s="1438">
        <v>0</v>
      </c>
      <c r="E56" s="1438">
        <v>640291439</v>
      </c>
      <c r="F56" s="1437">
        <v>1303331862</v>
      </c>
      <c r="G56" s="1437">
        <v>1501551072</v>
      </c>
      <c r="H56" s="1438">
        <v>0</v>
      </c>
      <c r="I56" s="1433"/>
      <c r="J56" s="1439">
        <f t="shared" si="0"/>
        <v>1501551072</v>
      </c>
    </row>
    <row r="57" spans="1:12" ht="25.5" customHeight="1">
      <c r="A57" s="1435" t="s">
        <v>523</v>
      </c>
      <c r="B57" s="1436" t="s">
        <v>115</v>
      </c>
      <c r="C57" s="1437">
        <v>436511983</v>
      </c>
      <c r="D57" s="1438">
        <v>0</v>
      </c>
      <c r="E57" s="1438">
        <v>0</v>
      </c>
      <c r="F57" s="1437">
        <v>297971335</v>
      </c>
      <c r="G57" s="1437">
        <v>138540648</v>
      </c>
      <c r="H57" s="1438">
        <v>0</v>
      </c>
      <c r="I57" s="1433"/>
      <c r="J57" s="1439">
        <f t="shared" si="0"/>
        <v>138540648</v>
      </c>
    </row>
    <row r="58" spans="1:12" ht="24.75" customHeight="1">
      <c r="A58" s="1440" t="s">
        <v>114</v>
      </c>
      <c r="B58" s="1441" t="s">
        <v>3205</v>
      </c>
      <c r="C58" s="1442">
        <v>37399020</v>
      </c>
      <c r="D58" s="1443">
        <v>0</v>
      </c>
      <c r="E58" s="1443">
        <v>0</v>
      </c>
      <c r="F58" s="1442">
        <v>31569153</v>
      </c>
      <c r="G58" s="1442">
        <v>5829867</v>
      </c>
      <c r="H58" s="1443">
        <v>0</v>
      </c>
      <c r="I58" s="1433"/>
      <c r="J58" s="1444">
        <f t="shared" si="0"/>
        <v>5829867</v>
      </c>
    </row>
    <row r="59" spans="1:12" ht="24.75" customHeight="1">
      <c r="A59" s="1440" t="s">
        <v>522</v>
      </c>
      <c r="B59" s="1441" t="s">
        <v>743</v>
      </c>
      <c r="C59" s="1442">
        <v>399112963</v>
      </c>
      <c r="D59" s="1443">
        <v>0</v>
      </c>
      <c r="E59" s="1443">
        <v>0</v>
      </c>
      <c r="F59" s="1442">
        <v>266402182</v>
      </c>
      <c r="G59" s="1442">
        <v>132710781</v>
      </c>
      <c r="H59" s="1443">
        <v>0</v>
      </c>
      <c r="I59" s="1433"/>
      <c r="J59" s="1439">
        <f t="shared" si="0"/>
        <v>132710781</v>
      </c>
    </row>
    <row r="60" spans="1:12" ht="24.75" customHeight="1">
      <c r="A60" s="1435" t="s">
        <v>116</v>
      </c>
      <c r="B60" s="1436" t="s">
        <v>113</v>
      </c>
      <c r="C60" s="1437">
        <v>1728079512</v>
      </c>
      <c r="D60" s="1438">
        <v>0</v>
      </c>
      <c r="E60" s="1438">
        <v>640291439</v>
      </c>
      <c r="F60" s="1437">
        <v>1005360527</v>
      </c>
      <c r="G60" s="1437">
        <v>1363010424</v>
      </c>
      <c r="H60" s="1438">
        <v>0</v>
      </c>
      <c r="I60" s="1433"/>
      <c r="J60" s="1439">
        <f t="shared" si="0"/>
        <v>1363010424</v>
      </c>
    </row>
    <row r="61" spans="1:12" ht="25.5" customHeight="1">
      <c r="A61" s="1440" t="s">
        <v>117</v>
      </c>
      <c r="B61" s="1441" t="s">
        <v>118</v>
      </c>
      <c r="C61" s="1442">
        <v>324890000</v>
      </c>
      <c r="D61" s="1443">
        <v>0</v>
      </c>
      <c r="E61" s="1443">
        <v>605239557</v>
      </c>
      <c r="F61" s="1442">
        <v>630724254</v>
      </c>
      <c r="G61" s="1442">
        <v>299405303</v>
      </c>
      <c r="H61" s="1443">
        <v>0</v>
      </c>
      <c r="I61" s="1433"/>
      <c r="J61" s="1444">
        <f t="shared" si="0"/>
        <v>299405303</v>
      </c>
    </row>
    <row r="62" spans="1:12" ht="24.75" customHeight="1">
      <c r="A62" s="1440" t="s">
        <v>119</v>
      </c>
      <c r="B62" s="1441" t="s">
        <v>120</v>
      </c>
      <c r="C62" s="1442">
        <v>1403189512</v>
      </c>
      <c r="D62" s="1443">
        <v>0</v>
      </c>
      <c r="E62" s="1443">
        <v>35051882</v>
      </c>
      <c r="F62" s="1442">
        <v>374636273</v>
      </c>
      <c r="G62" s="1442">
        <v>1063605121</v>
      </c>
      <c r="H62" s="1443">
        <v>0</v>
      </c>
      <c r="I62" s="1433"/>
      <c r="J62" s="1439">
        <f t="shared" si="0"/>
        <v>1063605121</v>
      </c>
    </row>
    <row r="63" spans="1:12" ht="17.25" customHeight="1">
      <c r="A63" s="1435" t="s">
        <v>121</v>
      </c>
      <c r="B63" s="1436" t="s">
        <v>122</v>
      </c>
      <c r="C63" s="1437">
        <v>1479284783</v>
      </c>
      <c r="D63" s="1438">
        <v>0</v>
      </c>
      <c r="E63" s="1438">
        <v>0</v>
      </c>
      <c r="F63" s="1437">
        <v>740724746</v>
      </c>
      <c r="G63" s="1437">
        <v>738560037</v>
      </c>
      <c r="H63" s="1438">
        <v>0</v>
      </c>
      <c r="I63" s="1433"/>
      <c r="J63" s="1444">
        <f t="shared" si="0"/>
        <v>738560037</v>
      </c>
    </row>
    <row r="64" spans="1:12" ht="16.5" customHeight="1">
      <c r="A64" s="1435" t="s">
        <v>123</v>
      </c>
      <c r="B64" s="1436" t="s">
        <v>124</v>
      </c>
      <c r="C64" s="1437">
        <v>0</v>
      </c>
      <c r="D64" s="1438">
        <v>10122452666</v>
      </c>
      <c r="E64" s="1438">
        <v>10119524231</v>
      </c>
      <c r="F64" s="1437">
        <v>9716048614</v>
      </c>
      <c r="G64" s="1437">
        <v>0</v>
      </c>
      <c r="H64" s="1438">
        <v>9718977049</v>
      </c>
      <c r="I64" s="1433"/>
      <c r="J64" s="1444">
        <f t="shared" si="0"/>
        <v>-9718977049</v>
      </c>
      <c r="L64" s="1439"/>
    </row>
    <row r="65" spans="1:12" ht="17.25" customHeight="1">
      <c r="A65" s="1440" t="s">
        <v>125</v>
      </c>
      <c r="B65" s="1441" t="s">
        <v>124</v>
      </c>
      <c r="C65" s="1442">
        <v>0</v>
      </c>
      <c r="D65" s="1443">
        <v>10149632431</v>
      </c>
      <c r="E65" s="1443">
        <v>10034422289</v>
      </c>
      <c r="F65" s="1442">
        <v>9626378533</v>
      </c>
      <c r="G65" s="1442">
        <v>0</v>
      </c>
      <c r="H65" s="1443">
        <v>9741588675</v>
      </c>
      <c r="I65" s="1433"/>
      <c r="J65" s="1439">
        <f t="shared" si="0"/>
        <v>-9741588675</v>
      </c>
      <c r="L65" s="1439"/>
    </row>
    <row r="66" spans="1:12" ht="16.5" customHeight="1">
      <c r="A66" s="1440" t="s">
        <v>126</v>
      </c>
      <c r="B66" s="1441" t="s">
        <v>127</v>
      </c>
      <c r="C66" s="1442">
        <v>27179765</v>
      </c>
      <c r="D66" s="1443">
        <v>0</v>
      </c>
      <c r="E66" s="1443">
        <v>85101942</v>
      </c>
      <c r="F66" s="1442">
        <v>89670081</v>
      </c>
      <c r="G66" s="1442">
        <v>22611626</v>
      </c>
      <c r="H66" s="1443">
        <v>0</v>
      </c>
      <c r="I66" s="1433"/>
      <c r="J66" s="1439">
        <f t="shared" si="0"/>
        <v>22611626</v>
      </c>
    </row>
    <row r="67" spans="1:12" ht="17.25" customHeight="1">
      <c r="A67" s="1435" t="s">
        <v>128</v>
      </c>
      <c r="B67" s="1436" t="s">
        <v>129</v>
      </c>
      <c r="C67" s="1437">
        <v>0</v>
      </c>
      <c r="D67" s="1438">
        <v>2593026648</v>
      </c>
      <c r="E67" s="1438">
        <v>5968297073</v>
      </c>
      <c r="F67" s="1437">
        <v>4112762492</v>
      </c>
      <c r="G67" s="1437">
        <v>0</v>
      </c>
      <c r="H67" s="1438">
        <v>737492067</v>
      </c>
      <c r="I67" s="1433"/>
      <c r="J67" s="1444">
        <f t="shared" si="0"/>
        <v>-737492067</v>
      </c>
    </row>
    <row r="68" spans="1:12" ht="17.25" customHeight="1">
      <c r="A68" s="1435" t="s">
        <v>130</v>
      </c>
      <c r="B68" s="1436" t="s">
        <v>131</v>
      </c>
      <c r="C68" s="1437">
        <v>0</v>
      </c>
      <c r="D68" s="1438">
        <v>0</v>
      </c>
      <c r="E68" s="1438">
        <v>334127729</v>
      </c>
      <c r="F68" s="1437">
        <v>372265110</v>
      </c>
      <c r="G68" s="1437">
        <v>0</v>
      </c>
      <c r="H68" s="1438">
        <v>38137381</v>
      </c>
      <c r="I68" s="1433"/>
      <c r="J68" s="1439">
        <f t="shared" si="0"/>
        <v>-38137381</v>
      </c>
    </row>
    <row r="69" spans="1:12" ht="16.5" customHeight="1">
      <c r="A69" s="1440" t="s">
        <v>132</v>
      </c>
      <c r="B69" s="1441" t="s">
        <v>133</v>
      </c>
      <c r="C69" s="1442">
        <v>0</v>
      </c>
      <c r="D69" s="1443">
        <v>0</v>
      </c>
      <c r="E69" s="1443">
        <v>334127729</v>
      </c>
      <c r="F69" s="1442">
        <v>372265110</v>
      </c>
      <c r="G69" s="1442">
        <v>0</v>
      </c>
      <c r="H69" s="1443">
        <v>38137381</v>
      </c>
      <c r="I69" s="1433"/>
      <c r="J69" s="1439">
        <f t="shared" ref="J69:J132" si="1">G69-H69</f>
        <v>-38137381</v>
      </c>
    </row>
    <row r="70" spans="1:12" ht="17.25" customHeight="1">
      <c r="A70" s="1435" t="s">
        <v>134</v>
      </c>
      <c r="B70" s="1436" t="s">
        <v>135</v>
      </c>
      <c r="C70" s="1437">
        <v>0</v>
      </c>
      <c r="D70" s="1438">
        <v>2531546345</v>
      </c>
      <c r="E70" s="1438">
        <v>5549662024</v>
      </c>
      <c r="F70" s="1437">
        <v>3716970365</v>
      </c>
      <c r="G70" s="1437">
        <v>0</v>
      </c>
      <c r="H70" s="1438">
        <v>698854686</v>
      </c>
      <c r="I70" s="1433"/>
      <c r="J70" s="1439">
        <f t="shared" si="1"/>
        <v>-698854686</v>
      </c>
    </row>
    <row r="71" spans="1:12" ht="17.25" customHeight="1">
      <c r="A71" s="1440" t="s">
        <v>136</v>
      </c>
      <c r="B71" s="1441" t="s">
        <v>137</v>
      </c>
      <c r="C71" s="1442">
        <v>0</v>
      </c>
      <c r="D71" s="1443">
        <v>1174009001</v>
      </c>
      <c r="E71" s="1443">
        <v>1465871672</v>
      </c>
      <c r="F71" s="1442">
        <v>438306759</v>
      </c>
      <c r="G71" s="1442">
        <v>0</v>
      </c>
      <c r="H71" s="1443">
        <v>146444088</v>
      </c>
      <c r="I71" s="1433"/>
      <c r="J71" s="1439">
        <f t="shared" si="1"/>
        <v>-146444088</v>
      </c>
    </row>
    <row r="72" spans="1:12" ht="16.5" customHeight="1">
      <c r="A72" s="1440" t="s">
        <v>138</v>
      </c>
      <c r="B72" s="1441" t="s">
        <v>139</v>
      </c>
      <c r="C72" s="1442">
        <v>0</v>
      </c>
      <c r="D72" s="1443">
        <v>66225151</v>
      </c>
      <c r="E72" s="1443">
        <v>68790704</v>
      </c>
      <c r="F72" s="1442">
        <v>21398886</v>
      </c>
      <c r="G72" s="1442">
        <v>0</v>
      </c>
      <c r="H72" s="1443">
        <v>18833333</v>
      </c>
      <c r="I72" s="1433"/>
      <c r="J72" s="1439">
        <f t="shared" si="1"/>
        <v>-18833333</v>
      </c>
    </row>
    <row r="73" spans="1:12" ht="17.25" customHeight="1">
      <c r="A73" s="1440" t="s">
        <v>140</v>
      </c>
      <c r="B73" s="1441" t="s">
        <v>141</v>
      </c>
      <c r="C73" s="1442">
        <v>0</v>
      </c>
      <c r="D73" s="1443">
        <v>1291312193</v>
      </c>
      <c r="E73" s="1443">
        <v>4014999648</v>
      </c>
      <c r="F73" s="1442">
        <v>3257264720</v>
      </c>
      <c r="G73" s="1442">
        <v>0</v>
      </c>
      <c r="H73" s="1443">
        <v>533577265</v>
      </c>
      <c r="I73" s="1433"/>
      <c r="J73" s="1439">
        <f t="shared" si="1"/>
        <v>-533577265</v>
      </c>
    </row>
    <row r="74" spans="1:12" ht="24.75" customHeight="1">
      <c r="A74" s="1435" t="s">
        <v>142</v>
      </c>
      <c r="B74" s="1436" t="s">
        <v>143</v>
      </c>
      <c r="C74" s="1437">
        <v>0</v>
      </c>
      <c r="D74" s="1438">
        <v>61480303</v>
      </c>
      <c r="E74" s="1438">
        <v>84507320</v>
      </c>
      <c r="F74" s="1437">
        <v>23527017</v>
      </c>
      <c r="G74" s="1437">
        <v>0</v>
      </c>
      <c r="H74" s="1438">
        <v>500000</v>
      </c>
      <c r="I74" s="1433"/>
      <c r="J74" s="1439">
        <f t="shared" si="1"/>
        <v>-500000</v>
      </c>
    </row>
    <row r="75" spans="1:12" ht="17.25" customHeight="1">
      <c r="A75" s="1440" t="s">
        <v>144</v>
      </c>
      <c r="B75" s="1441" t="s">
        <v>145</v>
      </c>
      <c r="C75" s="1442">
        <v>0</v>
      </c>
      <c r="D75" s="1443">
        <v>61480303</v>
      </c>
      <c r="E75" s="1443">
        <v>84507320</v>
      </c>
      <c r="F75" s="1442">
        <v>23527017</v>
      </c>
      <c r="G75" s="1442">
        <v>0</v>
      </c>
      <c r="H75" s="1443">
        <v>500000</v>
      </c>
      <c r="I75" s="1433"/>
      <c r="J75" s="1439">
        <f t="shared" si="1"/>
        <v>-500000</v>
      </c>
    </row>
    <row r="76" spans="1:12" ht="17.25" customHeight="1">
      <c r="A76" s="1440">
        <v>3339</v>
      </c>
      <c r="B76" s="1441" t="s">
        <v>147</v>
      </c>
      <c r="C76" s="1442"/>
      <c r="D76" s="1443"/>
      <c r="E76" s="1443"/>
      <c r="F76" s="1442"/>
      <c r="G76" s="1442"/>
      <c r="H76" s="1443"/>
      <c r="I76" s="1433"/>
      <c r="J76" s="1439">
        <f t="shared" si="1"/>
        <v>0</v>
      </c>
    </row>
    <row r="77" spans="1:12" ht="16.5" customHeight="1">
      <c r="A77" s="1435" t="s">
        <v>148</v>
      </c>
      <c r="B77" s="1436" t="s">
        <v>149</v>
      </c>
      <c r="C77" s="1437">
        <v>0</v>
      </c>
      <c r="D77" s="1438">
        <v>4338631595</v>
      </c>
      <c r="E77" s="1438">
        <v>10657936050</v>
      </c>
      <c r="F77" s="1437">
        <v>7157374203</v>
      </c>
      <c r="G77" s="1437">
        <v>0</v>
      </c>
      <c r="H77" s="1438">
        <v>838069748</v>
      </c>
      <c r="I77" s="1433"/>
      <c r="J77" s="1444">
        <f t="shared" si="1"/>
        <v>-838069748</v>
      </c>
    </row>
    <row r="78" spans="1:12" ht="17.25" customHeight="1">
      <c r="A78" s="1440" t="s">
        <v>150</v>
      </c>
      <c r="B78" s="1441" t="s">
        <v>151</v>
      </c>
      <c r="C78" s="1442">
        <v>0</v>
      </c>
      <c r="D78" s="1443">
        <v>4338631595</v>
      </c>
      <c r="E78" s="1443">
        <v>10423687164</v>
      </c>
      <c r="F78" s="1442">
        <v>6923125317</v>
      </c>
      <c r="G78" s="1442">
        <v>0</v>
      </c>
      <c r="H78" s="1443">
        <v>838069748</v>
      </c>
      <c r="I78" s="1433"/>
      <c r="J78" s="1439">
        <f t="shared" si="1"/>
        <v>-838069748</v>
      </c>
    </row>
    <row r="79" spans="1:12" ht="17.25" customHeight="1">
      <c r="A79" s="1440" t="s">
        <v>152</v>
      </c>
      <c r="B79" s="1441" t="s">
        <v>153</v>
      </c>
      <c r="C79" s="1442">
        <v>0</v>
      </c>
      <c r="D79" s="1443">
        <v>0</v>
      </c>
      <c r="E79" s="1443">
        <v>234248886</v>
      </c>
      <c r="F79" s="1442">
        <v>234248886</v>
      </c>
      <c r="G79" s="1442">
        <v>0</v>
      </c>
      <c r="H79" s="1443">
        <v>0</v>
      </c>
      <c r="I79" s="1433"/>
      <c r="J79" s="1439">
        <f t="shared" si="1"/>
        <v>0</v>
      </c>
    </row>
    <row r="80" spans="1:12" ht="16.5" customHeight="1">
      <c r="A80" s="1435" t="s">
        <v>154</v>
      </c>
      <c r="B80" s="1436" t="s">
        <v>155</v>
      </c>
      <c r="C80" s="1437">
        <v>0</v>
      </c>
      <c r="D80" s="1438">
        <v>1132031369</v>
      </c>
      <c r="E80" s="1438">
        <v>1642498770</v>
      </c>
      <c r="F80" s="1437">
        <v>2001247894</v>
      </c>
      <c r="G80" s="1437">
        <v>0</v>
      </c>
      <c r="H80" s="1438">
        <v>1490780493</v>
      </c>
      <c r="I80" s="1433"/>
      <c r="J80" s="1444">
        <f t="shared" si="1"/>
        <v>-1490780493</v>
      </c>
    </row>
    <row r="81" spans="1:11" ht="17.25" customHeight="1">
      <c r="A81" s="1435" t="s">
        <v>156</v>
      </c>
      <c r="B81" s="1436" t="s">
        <v>157</v>
      </c>
      <c r="C81" s="1437">
        <v>0</v>
      </c>
      <c r="D81" s="1438">
        <v>2008216023421</v>
      </c>
      <c r="E81" s="1438">
        <v>8375335771985</v>
      </c>
      <c r="F81" s="1437">
        <v>8343110874704</v>
      </c>
      <c r="G81" s="1437">
        <v>0</v>
      </c>
      <c r="H81" s="1438">
        <v>1975991126140</v>
      </c>
      <c r="I81" s="1433"/>
      <c r="J81" s="1444">
        <f t="shared" si="1"/>
        <v>-1975991126140</v>
      </c>
    </row>
    <row r="82" spans="1:11" ht="17.25" customHeight="1">
      <c r="A82" s="1440" t="s">
        <v>158</v>
      </c>
      <c r="B82" s="1441" t="s">
        <v>159</v>
      </c>
      <c r="C82" s="1442">
        <v>0</v>
      </c>
      <c r="D82" s="1443">
        <v>17532000</v>
      </c>
      <c r="E82" s="1443">
        <v>51252000</v>
      </c>
      <c r="F82" s="1442">
        <v>39048000</v>
      </c>
      <c r="G82" s="1442">
        <v>0</v>
      </c>
      <c r="H82" s="1443">
        <v>5328000</v>
      </c>
      <c r="I82" s="1433"/>
      <c r="J82" s="1439">
        <f t="shared" si="1"/>
        <v>-5328000</v>
      </c>
    </row>
    <row r="83" spans="1:11" ht="16.5" customHeight="1">
      <c r="A83" s="1440" t="s">
        <v>160</v>
      </c>
      <c r="B83" s="1441" t="s">
        <v>161</v>
      </c>
      <c r="C83" s="1442">
        <v>0</v>
      </c>
      <c r="D83" s="1443">
        <v>0</v>
      </c>
      <c r="E83" s="1443">
        <v>387078000</v>
      </c>
      <c r="F83" s="1442">
        <v>387078000</v>
      </c>
      <c r="G83" s="1442">
        <v>0</v>
      </c>
      <c r="H83" s="1443">
        <v>0</v>
      </c>
      <c r="I83" s="1433"/>
      <c r="J83" s="1439">
        <f t="shared" si="1"/>
        <v>0</v>
      </c>
    </row>
    <row r="84" spans="1:11" ht="17.25" customHeight="1">
      <c r="A84" s="1440" t="s">
        <v>162</v>
      </c>
      <c r="B84" s="1441" t="s">
        <v>163</v>
      </c>
      <c r="C84" s="1442">
        <v>0</v>
      </c>
      <c r="D84" s="1443">
        <v>0</v>
      </c>
      <c r="E84" s="1443">
        <v>68472000</v>
      </c>
      <c r="F84" s="1442">
        <v>68472000</v>
      </c>
      <c r="G84" s="1442">
        <v>0</v>
      </c>
      <c r="H84" s="1443">
        <v>0</v>
      </c>
      <c r="I84" s="1433"/>
      <c r="J84" s="1439">
        <f t="shared" si="1"/>
        <v>0</v>
      </c>
    </row>
    <row r="85" spans="1:11" ht="16.5" customHeight="1">
      <c r="A85" s="1440" t="s">
        <v>164</v>
      </c>
      <c r="B85" s="1441" t="s">
        <v>165</v>
      </c>
      <c r="C85" s="1442">
        <v>0</v>
      </c>
      <c r="D85" s="1443">
        <v>0</v>
      </c>
      <c r="E85" s="1443">
        <v>30312000</v>
      </c>
      <c r="F85" s="1442">
        <v>30312000</v>
      </c>
      <c r="G85" s="1442">
        <v>0</v>
      </c>
      <c r="H85" s="1443">
        <v>0</v>
      </c>
      <c r="I85" s="1433"/>
      <c r="J85" s="1439">
        <f t="shared" si="1"/>
        <v>0</v>
      </c>
    </row>
    <row r="86" spans="1:11" ht="17.25" customHeight="1">
      <c r="A86" s="1440" t="s">
        <v>166</v>
      </c>
      <c r="B86" s="1441" t="s">
        <v>167</v>
      </c>
      <c r="C86" s="1442">
        <v>0</v>
      </c>
      <c r="D86" s="1443">
        <v>34128000000</v>
      </c>
      <c r="E86" s="1443">
        <v>3374162164</v>
      </c>
      <c r="F86" s="1442">
        <v>1444000000</v>
      </c>
      <c r="G86" s="1442">
        <v>0</v>
      </c>
      <c r="H86" s="1443">
        <v>32197837836</v>
      </c>
      <c r="I86" s="1433"/>
      <c r="J86" s="1439">
        <f t="shared" si="1"/>
        <v>-32197837836</v>
      </c>
    </row>
    <row r="87" spans="1:11" ht="17.25" customHeight="1">
      <c r="A87" s="1435" t="s">
        <v>168</v>
      </c>
      <c r="B87" s="1436" t="s">
        <v>157</v>
      </c>
      <c r="C87" s="1437">
        <v>0</v>
      </c>
      <c r="D87" s="1438">
        <v>1974070491421</v>
      </c>
      <c r="E87" s="1438">
        <v>8371424495821</v>
      </c>
      <c r="F87" s="1437">
        <v>8341141964704</v>
      </c>
      <c r="G87" s="1437">
        <v>0</v>
      </c>
      <c r="H87" s="1438">
        <v>1943787960304</v>
      </c>
      <c r="I87" s="1433"/>
      <c r="J87" s="1439">
        <f t="shared" si="1"/>
        <v>-1943787960304</v>
      </c>
      <c r="K87" s="1439"/>
    </row>
    <row r="88" spans="1:11" ht="16.5" customHeight="1">
      <c r="A88" s="1440" t="s">
        <v>169</v>
      </c>
      <c r="B88" s="1441" t="s">
        <v>170</v>
      </c>
      <c r="C88" s="1442">
        <v>0</v>
      </c>
      <c r="D88" s="1443">
        <v>103596341</v>
      </c>
      <c r="E88" s="1443">
        <v>22932618034</v>
      </c>
      <c r="F88" s="1442">
        <v>23041951694</v>
      </c>
      <c r="G88" s="1442">
        <v>0</v>
      </c>
      <c r="H88" s="1443">
        <v>212930001</v>
      </c>
      <c r="I88" s="1433"/>
      <c r="J88" s="1439">
        <f t="shared" si="1"/>
        <v>-212930001</v>
      </c>
    </row>
    <row r="89" spans="1:11" ht="25.5" customHeight="1">
      <c r="A89" s="1440" t="s">
        <v>171</v>
      </c>
      <c r="B89" s="1441" t="s">
        <v>172</v>
      </c>
      <c r="C89" s="1442">
        <v>0</v>
      </c>
      <c r="D89" s="1443">
        <v>3324591585</v>
      </c>
      <c r="E89" s="1443">
        <v>34033009593</v>
      </c>
      <c r="F89" s="1442">
        <v>33665610631</v>
      </c>
      <c r="G89" s="1442">
        <v>0</v>
      </c>
      <c r="H89" s="1443">
        <v>2957192623</v>
      </c>
      <c r="I89" s="1433"/>
      <c r="J89" s="1439">
        <f t="shared" si="1"/>
        <v>-2957192623</v>
      </c>
    </row>
    <row r="90" spans="1:11" ht="16.5" customHeight="1">
      <c r="A90" s="1440" t="s">
        <v>173</v>
      </c>
      <c r="B90" s="1441" t="s">
        <v>174</v>
      </c>
      <c r="C90" s="1442">
        <v>0</v>
      </c>
      <c r="D90" s="1443">
        <v>236667220460</v>
      </c>
      <c r="E90" s="1443">
        <v>83972392388</v>
      </c>
      <c r="F90" s="1442">
        <v>96503628</v>
      </c>
      <c r="G90" s="1442">
        <v>0</v>
      </c>
      <c r="H90" s="1443">
        <v>152791331700</v>
      </c>
      <c r="I90" s="1433"/>
      <c r="J90" s="1439">
        <f t="shared" si="1"/>
        <v>-152791331700</v>
      </c>
    </row>
    <row r="91" spans="1:11" ht="25.5" customHeight="1">
      <c r="A91" s="1440" t="s">
        <v>175</v>
      </c>
      <c r="B91" s="1441" t="s">
        <v>176</v>
      </c>
      <c r="C91" s="1442">
        <v>0</v>
      </c>
      <c r="D91" s="1443">
        <v>25848880790</v>
      </c>
      <c r="E91" s="1443">
        <v>4677845615392</v>
      </c>
      <c r="F91" s="1442">
        <v>4680932943436</v>
      </c>
      <c r="G91" s="1442">
        <v>0</v>
      </c>
      <c r="H91" s="1443">
        <v>28936208834</v>
      </c>
      <c r="I91" s="1433"/>
      <c r="J91" s="1439">
        <f t="shared" si="1"/>
        <v>-28936208834</v>
      </c>
    </row>
    <row r="92" spans="1:11" ht="16.5" customHeight="1">
      <c r="A92" s="1440" t="s">
        <v>177</v>
      </c>
      <c r="B92" s="1441" t="s">
        <v>178</v>
      </c>
      <c r="C92" s="1442">
        <v>0</v>
      </c>
      <c r="D92" s="1443">
        <v>71058953895</v>
      </c>
      <c r="E92" s="1443">
        <v>28058192499</v>
      </c>
      <c r="F92" s="1442">
        <v>39660900</v>
      </c>
      <c r="G92" s="1442">
        <v>0</v>
      </c>
      <c r="H92" s="1443">
        <v>43040422296</v>
      </c>
      <c r="I92" s="1433"/>
      <c r="J92" s="1439">
        <f t="shared" si="1"/>
        <v>-43040422296</v>
      </c>
    </row>
    <row r="93" spans="1:11" ht="17.25" customHeight="1">
      <c r="A93" s="1440" t="s">
        <v>179</v>
      </c>
      <c r="B93" s="1441" t="s">
        <v>180</v>
      </c>
      <c r="C93" s="1442">
        <v>0</v>
      </c>
      <c r="D93" s="1443">
        <v>55153781</v>
      </c>
      <c r="E93" s="1443">
        <v>727138692</v>
      </c>
      <c r="F93" s="1442">
        <v>721365521</v>
      </c>
      <c r="G93" s="1442">
        <v>0</v>
      </c>
      <c r="H93" s="1443">
        <v>49380610</v>
      </c>
      <c r="I93" s="1433"/>
      <c r="J93" s="1439">
        <f t="shared" si="1"/>
        <v>-49380610</v>
      </c>
    </row>
    <row r="94" spans="1:11" ht="16.5" customHeight="1">
      <c r="A94" s="1440" t="s">
        <v>181</v>
      </c>
      <c r="B94" s="1441" t="s">
        <v>182</v>
      </c>
      <c r="C94" s="1442">
        <v>0</v>
      </c>
      <c r="D94" s="1443">
        <v>1239739</v>
      </c>
      <c r="E94" s="1443">
        <v>1239739</v>
      </c>
      <c r="F94" s="1442">
        <v>0</v>
      </c>
      <c r="G94" s="1442">
        <v>0</v>
      </c>
      <c r="H94" s="1443">
        <v>0</v>
      </c>
      <c r="I94" s="1433"/>
      <c r="J94" s="1439">
        <f t="shared" si="1"/>
        <v>0</v>
      </c>
    </row>
    <row r="95" spans="1:11" ht="17.25" customHeight="1">
      <c r="A95" s="1440" t="s">
        <v>183</v>
      </c>
      <c r="B95" s="1441" t="s">
        <v>184</v>
      </c>
      <c r="C95" s="1442">
        <v>2674885117</v>
      </c>
      <c r="D95" s="1443">
        <v>0</v>
      </c>
      <c r="E95" s="1443">
        <v>25101476525</v>
      </c>
      <c r="F95" s="1442">
        <v>28654409025</v>
      </c>
      <c r="G95" s="1442">
        <v>0</v>
      </c>
      <c r="H95" s="1443">
        <v>878047383</v>
      </c>
      <c r="I95" s="1433"/>
      <c r="J95" s="1439">
        <f t="shared" si="1"/>
        <v>-878047383</v>
      </c>
    </row>
    <row r="96" spans="1:11" ht="17.25" customHeight="1">
      <c r="A96" s="1440" t="s">
        <v>185</v>
      </c>
      <c r="B96" s="1441" t="s">
        <v>186</v>
      </c>
      <c r="C96" s="1442">
        <v>0</v>
      </c>
      <c r="D96" s="1443">
        <v>108793151</v>
      </c>
      <c r="E96" s="1443">
        <v>66527530</v>
      </c>
      <c r="F96" s="1442">
        <v>96370889</v>
      </c>
      <c r="G96" s="1442">
        <v>0</v>
      </c>
      <c r="H96" s="1443">
        <v>138636510</v>
      </c>
      <c r="I96" s="1433"/>
      <c r="J96" s="1439">
        <f t="shared" si="1"/>
        <v>-138636510</v>
      </c>
    </row>
    <row r="97" spans="1:10" ht="24.75" customHeight="1">
      <c r="A97" s="1440" t="s">
        <v>187</v>
      </c>
      <c r="B97" s="1441" t="s">
        <v>188</v>
      </c>
      <c r="C97" s="1442">
        <v>0</v>
      </c>
      <c r="D97" s="1443">
        <v>2121003</v>
      </c>
      <c r="E97" s="1443">
        <v>11688276</v>
      </c>
      <c r="F97" s="1442">
        <v>11852373</v>
      </c>
      <c r="G97" s="1442">
        <v>0</v>
      </c>
      <c r="H97" s="1443">
        <v>2285100</v>
      </c>
      <c r="I97" s="1433"/>
      <c r="J97" s="1439">
        <f t="shared" si="1"/>
        <v>-2285100</v>
      </c>
    </row>
    <row r="98" spans="1:10" ht="24.75" customHeight="1">
      <c r="A98" s="1440" t="s">
        <v>189</v>
      </c>
      <c r="B98" s="1441" t="s">
        <v>190</v>
      </c>
      <c r="C98" s="1442">
        <v>0</v>
      </c>
      <c r="D98" s="1443">
        <v>14511095984</v>
      </c>
      <c r="E98" s="1443">
        <v>327997063476</v>
      </c>
      <c r="F98" s="1442">
        <v>313463430996</v>
      </c>
      <c r="G98" s="1442">
        <v>22536496</v>
      </c>
      <c r="H98" s="1443">
        <v>0</v>
      </c>
      <c r="I98" s="1433"/>
      <c r="J98" s="1439">
        <f t="shared" si="1"/>
        <v>22536496</v>
      </c>
    </row>
    <row r="99" spans="1:10" ht="25.5" customHeight="1">
      <c r="A99" s="1440" t="s">
        <v>191</v>
      </c>
      <c r="B99" s="1441" t="s">
        <v>192</v>
      </c>
      <c r="C99" s="1442">
        <v>0</v>
      </c>
      <c r="D99" s="1443">
        <v>13967528648</v>
      </c>
      <c r="E99" s="1443">
        <v>74821873932</v>
      </c>
      <c r="F99" s="1442">
        <v>76742548957</v>
      </c>
      <c r="G99" s="1442">
        <v>0</v>
      </c>
      <c r="H99" s="1443">
        <v>15888203673</v>
      </c>
      <c r="I99" s="1433"/>
      <c r="J99" s="1439">
        <f t="shared" si="1"/>
        <v>-15888203673</v>
      </c>
    </row>
    <row r="100" spans="1:10" ht="24.75" customHeight="1">
      <c r="A100" s="1440" t="s">
        <v>193</v>
      </c>
      <c r="B100" s="1441" t="s">
        <v>194</v>
      </c>
      <c r="C100" s="1442">
        <v>0</v>
      </c>
      <c r="D100" s="1443">
        <v>64631660426</v>
      </c>
      <c r="E100" s="1443">
        <v>247027153743</v>
      </c>
      <c r="F100" s="1442">
        <v>340220091975</v>
      </c>
      <c r="G100" s="1442">
        <v>0</v>
      </c>
      <c r="H100" s="1443">
        <v>157824598658</v>
      </c>
      <c r="I100" s="1433"/>
      <c r="J100" s="1439">
        <f t="shared" si="1"/>
        <v>-157824598658</v>
      </c>
    </row>
    <row r="101" spans="1:10" ht="24.75" customHeight="1">
      <c r="A101" s="1440" t="s">
        <v>195</v>
      </c>
      <c r="B101" s="1441" t="s">
        <v>196</v>
      </c>
      <c r="C101" s="1442">
        <v>0</v>
      </c>
      <c r="D101" s="1443">
        <v>37695399</v>
      </c>
      <c r="E101" s="1443">
        <v>42687115</v>
      </c>
      <c r="F101" s="1442">
        <v>4991716</v>
      </c>
      <c r="G101" s="1442">
        <v>0</v>
      </c>
      <c r="H101" s="1443">
        <v>0</v>
      </c>
      <c r="I101" s="1433"/>
      <c r="J101" s="1439">
        <f t="shared" si="1"/>
        <v>0</v>
      </c>
    </row>
    <row r="102" spans="1:10" ht="24.75" customHeight="1">
      <c r="A102" s="1440" t="s">
        <v>197</v>
      </c>
      <c r="B102" s="1441" t="s">
        <v>198</v>
      </c>
      <c r="C102" s="1442">
        <v>0</v>
      </c>
      <c r="D102" s="1443">
        <v>1546426845336</v>
      </c>
      <c r="E102" s="1443">
        <v>2848785818887</v>
      </c>
      <c r="F102" s="1442">
        <v>2843450232963</v>
      </c>
      <c r="G102" s="1442">
        <v>0</v>
      </c>
      <c r="H102" s="1443">
        <v>1541091259412</v>
      </c>
      <c r="I102" s="1433"/>
      <c r="J102" s="1439">
        <f t="shared" si="1"/>
        <v>-1541091259412</v>
      </c>
    </row>
    <row r="103" spans="1:10" ht="17.25" customHeight="1">
      <c r="A103" s="1435" t="s">
        <v>199</v>
      </c>
      <c r="B103" s="1436" t="s">
        <v>200</v>
      </c>
      <c r="C103" s="1437">
        <v>0</v>
      </c>
      <c r="D103" s="1438">
        <v>0</v>
      </c>
      <c r="E103" s="1438">
        <v>9400000000</v>
      </c>
      <c r="F103" s="1437">
        <v>11400000000</v>
      </c>
      <c r="G103" s="1437">
        <v>0</v>
      </c>
      <c r="H103" s="1438">
        <v>2000000000</v>
      </c>
      <c r="I103" s="1433"/>
      <c r="J103" s="1444">
        <f t="shared" si="1"/>
        <v>-2000000000</v>
      </c>
    </row>
    <row r="104" spans="1:10" ht="17.25" customHeight="1">
      <c r="A104" s="1440" t="s">
        <v>201</v>
      </c>
      <c r="B104" s="1441" t="s">
        <v>202</v>
      </c>
      <c r="C104" s="1442">
        <v>0</v>
      </c>
      <c r="D104" s="1443">
        <v>0</v>
      </c>
      <c r="E104" s="1443">
        <v>9400000000</v>
      </c>
      <c r="F104" s="1442">
        <v>11400000000</v>
      </c>
      <c r="G104" s="1442">
        <v>0</v>
      </c>
      <c r="H104" s="1443">
        <v>2000000000</v>
      </c>
      <c r="I104" s="1433"/>
      <c r="J104" s="1439">
        <f t="shared" si="1"/>
        <v>-2000000000</v>
      </c>
    </row>
    <row r="105" spans="1:10" ht="16.5" customHeight="1">
      <c r="A105" s="1435" t="s">
        <v>203</v>
      </c>
      <c r="B105" s="1436" t="s">
        <v>204</v>
      </c>
      <c r="C105" s="1437">
        <v>0</v>
      </c>
      <c r="D105" s="1438">
        <v>649951918868</v>
      </c>
      <c r="E105" s="1438">
        <v>0</v>
      </c>
      <c r="F105" s="1437">
        <v>0</v>
      </c>
      <c r="G105" s="1437">
        <v>0</v>
      </c>
      <c r="H105" s="1438">
        <v>649951918868</v>
      </c>
      <c r="I105" s="1433"/>
      <c r="J105" s="1444">
        <f t="shared" si="1"/>
        <v>-649951918868</v>
      </c>
    </row>
    <row r="106" spans="1:10" ht="17.25" customHeight="1">
      <c r="A106" s="1435" t="s">
        <v>205</v>
      </c>
      <c r="B106" s="1436" t="s">
        <v>206</v>
      </c>
      <c r="C106" s="1437">
        <v>0</v>
      </c>
      <c r="D106" s="1438">
        <v>134641110000</v>
      </c>
      <c r="E106" s="1438">
        <v>0</v>
      </c>
      <c r="F106" s="1437">
        <v>0</v>
      </c>
      <c r="G106" s="1437">
        <v>0</v>
      </c>
      <c r="H106" s="1438">
        <v>134641110000</v>
      </c>
      <c r="I106" s="1433"/>
      <c r="J106" s="1439">
        <f t="shared" si="1"/>
        <v>-134641110000</v>
      </c>
    </row>
    <row r="107" spans="1:10" ht="17.25" customHeight="1">
      <c r="A107" s="1440" t="s">
        <v>207</v>
      </c>
      <c r="B107" s="1441" t="s">
        <v>208</v>
      </c>
      <c r="C107" s="1442">
        <v>0</v>
      </c>
      <c r="D107" s="1443">
        <v>102116430000</v>
      </c>
      <c r="E107" s="1443">
        <v>0</v>
      </c>
      <c r="F107" s="1442">
        <v>0</v>
      </c>
      <c r="G107" s="1442">
        <v>0</v>
      </c>
      <c r="H107" s="1443">
        <v>102116430000</v>
      </c>
      <c r="I107" s="1433"/>
      <c r="J107" s="1439">
        <f t="shared" si="1"/>
        <v>-102116430000</v>
      </c>
    </row>
    <row r="108" spans="1:10" ht="16.5" customHeight="1">
      <c r="A108" s="1440" t="s">
        <v>209</v>
      </c>
      <c r="B108" s="1441" t="s">
        <v>210</v>
      </c>
      <c r="C108" s="1442">
        <v>0</v>
      </c>
      <c r="D108" s="1443">
        <v>32524680000</v>
      </c>
      <c r="E108" s="1443">
        <v>0</v>
      </c>
      <c r="F108" s="1442">
        <v>0</v>
      </c>
      <c r="G108" s="1442">
        <v>0</v>
      </c>
      <c r="H108" s="1443">
        <v>32524680000</v>
      </c>
      <c r="I108" s="1433"/>
      <c r="J108" s="1439">
        <f t="shared" si="1"/>
        <v>-32524680000</v>
      </c>
    </row>
    <row r="109" spans="1:10" ht="17.25" customHeight="1">
      <c r="A109" s="1440" t="s">
        <v>211</v>
      </c>
      <c r="B109" s="1441" t="s">
        <v>212</v>
      </c>
      <c r="C109" s="1442">
        <v>0</v>
      </c>
      <c r="D109" s="1443">
        <v>515310808868</v>
      </c>
      <c r="E109" s="1443">
        <v>0</v>
      </c>
      <c r="F109" s="1442">
        <v>0</v>
      </c>
      <c r="G109" s="1442">
        <v>0</v>
      </c>
      <c r="H109" s="1443">
        <v>515310808868</v>
      </c>
      <c r="I109" s="1433"/>
      <c r="J109" s="1439">
        <f t="shared" si="1"/>
        <v>-515310808868</v>
      </c>
    </row>
    <row r="110" spans="1:10" ht="17.25" customHeight="1">
      <c r="A110" s="1435" t="s">
        <v>213</v>
      </c>
      <c r="B110" s="1436" t="s">
        <v>214</v>
      </c>
      <c r="C110" s="1437">
        <v>264087895199</v>
      </c>
      <c r="D110" s="1438">
        <v>0</v>
      </c>
      <c r="E110" s="1438">
        <v>58164312225</v>
      </c>
      <c r="F110" s="1437">
        <v>106836780851</v>
      </c>
      <c r="G110" s="1437">
        <v>215415426573</v>
      </c>
      <c r="H110" s="1438">
        <v>0</v>
      </c>
      <c r="I110" s="1433"/>
      <c r="J110" s="1444">
        <f t="shared" si="1"/>
        <v>215415426573</v>
      </c>
    </row>
    <row r="111" spans="1:10" ht="24.75" customHeight="1">
      <c r="A111" s="1440" t="s">
        <v>215</v>
      </c>
      <c r="B111" s="1441" t="s">
        <v>216</v>
      </c>
      <c r="C111" s="1442">
        <v>206961721096</v>
      </c>
      <c r="D111" s="1443">
        <v>0</v>
      </c>
      <c r="E111" s="1443">
        <v>57126174103</v>
      </c>
      <c r="F111" s="1442">
        <v>0</v>
      </c>
      <c r="G111" s="1442">
        <v>264087895199</v>
      </c>
      <c r="H111" s="1443">
        <v>0</v>
      </c>
      <c r="I111" s="1433"/>
      <c r="J111" s="1439">
        <f t="shared" si="1"/>
        <v>264087895199</v>
      </c>
    </row>
    <row r="112" spans="1:10" ht="16.5" customHeight="1">
      <c r="A112" s="1440" t="s">
        <v>217</v>
      </c>
      <c r="B112" s="1441" t="s">
        <v>218</v>
      </c>
      <c r="C112" s="1442">
        <v>57126174103</v>
      </c>
      <c r="D112" s="1443">
        <v>0</v>
      </c>
      <c r="E112" s="1443">
        <v>1038138122</v>
      </c>
      <c r="F112" s="1442">
        <v>106836780851</v>
      </c>
      <c r="G112" s="1442">
        <v>0</v>
      </c>
      <c r="H112" s="1443">
        <v>48672468626</v>
      </c>
      <c r="I112" s="1433"/>
      <c r="J112" s="1439">
        <f t="shared" si="1"/>
        <v>-48672468626</v>
      </c>
    </row>
    <row r="113" spans="1:10" ht="16.5" customHeight="1">
      <c r="A113" s="1445"/>
      <c r="B113" s="1446"/>
      <c r="C113" s="1447"/>
      <c r="D113" s="1447"/>
      <c r="E113" s="1447"/>
      <c r="F113" s="1447"/>
      <c r="G113" s="1447"/>
      <c r="H113" s="1447"/>
      <c r="I113" s="1448"/>
      <c r="J113" s="1439">
        <f t="shared" si="1"/>
        <v>0</v>
      </c>
    </row>
    <row r="114" spans="1:10" ht="17.25" customHeight="1">
      <c r="A114" s="1449" t="s">
        <v>219</v>
      </c>
      <c r="B114" s="1450" t="s">
        <v>220</v>
      </c>
      <c r="C114" s="1451">
        <v>0</v>
      </c>
      <c r="D114" s="1451">
        <v>0</v>
      </c>
      <c r="E114" s="1451">
        <v>6197616512</v>
      </c>
      <c r="F114" s="1451">
        <v>6197616512</v>
      </c>
      <c r="G114" s="1451">
        <v>0</v>
      </c>
      <c r="H114" s="1451">
        <v>0</v>
      </c>
      <c r="I114" s="1448"/>
      <c r="J114" s="1439">
        <f t="shared" si="1"/>
        <v>0</v>
      </c>
    </row>
    <row r="115" spans="1:10" ht="17.25" customHeight="1">
      <c r="A115" s="1440" t="s">
        <v>720</v>
      </c>
      <c r="B115" s="1441" t="s">
        <v>744</v>
      </c>
      <c r="C115" s="1442">
        <v>0</v>
      </c>
      <c r="D115" s="1443">
        <v>0</v>
      </c>
      <c r="E115" s="1443">
        <v>2888000000</v>
      </c>
      <c r="F115" s="1442">
        <v>2888000000</v>
      </c>
      <c r="G115" s="1442">
        <v>0</v>
      </c>
      <c r="H115" s="1443">
        <v>0</v>
      </c>
      <c r="I115" s="1433"/>
      <c r="J115" s="1439">
        <f t="shared" si="1"/>
        <v>0</v>
      </c>
    </row>
    <row r="116" spans="1:10" ht="16.5" customHeight="1">
      <c r="A116" s="1435" t="s">
        <v>221</v>
      </c>
      <c r="B116" s="1436" t="s">
        <v>222</v>
      </c>
      <c r="C116" s="1437">
        <v>0</v>
      </c>
      <c r="D116" s="1438">
        <v>0</v>
      </c>
      <c r="E116" s="1438">
        <v>3307216512</v>
      </c>
      <c r="F116" s="1437">
        <v>3307216512</v>
      </c>
      <c r="G116" s="1437">
        <v>0</v>
      </c>
      <c r="H116" s="1438">
        <v>0</v>
      </c>
      <c r="I116" s="1433"/>
      <c r="J116" s="1439">
        <f t="shared" si="1"/>
        <v>0</v>
      </c>
    </row>
    <row r="117" spans="1:10" ht="17.25" customHeight="1">
      <c r="A117" s="1440" t="s">
        <v>223</v>
      </c>
      <c r="B117" s="1441" t="s">
        <v>224</v>
      </c>
      <c r="C117" s="1442">
        <v>0</v>
      </c>
      <c r="D117" s="1443">
        <v>0</v>
      </c>
      <c r="E117" s="1443">
        <v>594120</v>
      </c>
      <c r="F117" s="1442">
        <v>594120</v>
      </c>
      <c r="G117" s="1442">
        <v>0</v>
      </c>
      <c r="H117" s="1443">
        <v>0</v>
      </c>
      <c r="I117" s="1433"/>
      <c r="J117" s="1439">
        <f t="shared" si="1"/>
        <v>0</v>
      </c>
    </row>
    <row r="118" spans="1:10" ht="24.75" customHeight="1">
      <c r="A118" s="1440" t="s">
        <v>225</v>
      </c>
      <c r="B118" s="1441" t="s">
        <v>226</v>
      </c>
      <c r="C118" s="1442">
        <v>0</v>
      </c>
      <c r="D118" s="1443">
        <v>0</v>
      </c>
      <c r="E118" s="1443">
        <v>16911000</v>
      </c>
      <c r="F118" s="1442">
        <v>16911000</v>
      </c>
      <c r="G118" s="1442">
        <v>0</v>
      </c>
      <c r="H118" s="1443">
        <v>0</v>
      </c>
      <c r="I118" s="1433"/>
      <c r="J118" s="1439">
        <f t="shared" si="1"/>
        <v>0</v>
      </c>
    </row>
    <row r="119" spans="1:10" ht="24.75" customHeight="1">
      <c r="A119" s="1440" t="s">
        <v>227</v>
      </c>
      <c r="B119" s="1441" t="s">
        <v>228</v>
      </c>
      <c r="C119" s="1442">
        <v>0</v>
      </c>
      <c r="D119" s="1443">
        <v>0</v>
      </c>
      <c r="E119" s="1443">
        <v>51732000</v>
      </c>
      <c r="F119" s="1442">
        <v>51732000</v>
      </c>
      <c r="G119" s="1442">
        <v>0</v>
      </c>
      <c r="H119" s="1443">
        <v>0</v>
      </c>
      <c r="I119" s="1433"/>
      <c r="J119" s="1439">
        <f t="shared" si="1"/>
        <v>0</v>
      </c>
    </row>
    <row r="120" spans="1:10" ht="17.25" customHeight="1">
      <c r="A120" s="1440" t="s">
        <v>229</v>
      </c>
      <c r="B120" s="1441" t="s">
        <v>230</v>
      </c>
      <c r="C120" s="1442">
        <v>0</v>
      </c>
      <c r="D120" s="1443">
        <v>0</v>
      </c>
      <c r="E120" s="1443">
        <v>406990448</v>
      </c>
      <c r="F120" s="1442">
        <v>406990448</v>
      </c>
      <c r="G120" s="1442">
        <v>0</v>
      </c>
      <c r="H120" s="1443">
        <v>0</v>
      </c>
      <c r="I120" s="1433"/>
      <c r="J120" s="1439">
        <f t="shared" si="1"/>
        <v>0</v>
      </c>
    </row>
    <row r="121" spans="1:10" ht="17.25" customHeight="1">
      <c r="A121" s="1440" t="s">
        <v>231</v>
      </c>
      <c r="B121" s="1441" t="s">
        <v>232</v>
      </c>
      <c r="C121" s="1442">
        <v>0</v>
      </c>
      <c r="D121" s="1443">
        <v>0</v>
      </c>
      <c r="E121" s="1443">
        <v>793338194</v>
      </c>
      <c r="F121" s="1442">
        <v>793338194</v>
      </c>
      <c r="G121" s="1442">
        <v>0</v>
      </c>
      <c r="H121" s="1443">
        <v>0</v>
      </c>
      <c r="I121" s="1433"/>
      <c r="J121" s="1439">
        <f t="shared" si="1"/>
        <v>0</v>
      </c>
    </row>
    <row r="122" spans="1:10" ht="16.5" customHeight="1">
      <c r="A122" s="1440" t="s">
        <v>233</v>
      </c>
      <c r="B122" s="1441" t="s">
        <v>234</v>
      </c>
      <c r="C122" s="1442">
        <v>0</v>
      </c>
      <c r="D122" s="1443">
        <v>0</v>
      </c>
      <c r="E122" s="1443">
        <v>8262000</v>
      </c>
      <c r="F122" s="1442">
        <v>8262000</v>
      </c>
      <c r="G122" s="1442">
        <v>0</v>
      </c>
      <c r="H122" s="1443">
        <v>0</v>
      </c>
      <c r="I122" s="1433"/>
      <c r="J122" s="1439">
        <f t="shared" si="1"/>
        <v>0</v>
      </c>
    </row>
    <row r="123" spans="1:10" ht="25.5" customHeight="1">
      <c r="A123" s="1440" t="s">
        <v>235</v>
      </c>
      <c r="B123" s="1441" t="s">
        <v>236</v>
      </c>
      <c r="C123" s="1442">
        <v>0</v>
      </c>
      <c r="D123" s="1443">
        <v>0</v>
      </c>
      <c r="E123" s="1443">
        <v>72409139</v>
      </c>
      <c r="F123" s="1442">
        <v>72409139</v>
      </c>
      <c r="G123" s="1442">
        <v>0</v>
      </c>
      <c r="H123" s="1443">
        <v>0</v>
      </c>
      <c r="I123" s="1433"/>
      <c r="J123" s="1439">
        <f t="shared" si="1"/>
        <v>0</v>
      </c>
    </row>
    <row r="124" spans="1:10" ht="24.75" customHeight="1">
      <c r="A124" s="1440" t="s">
        <v>237</v>
      </c>
      <c r="B124" s="1441" t="s">
        <v>238</v>
      </c>
      <c r="C124" s="1442">
        <v>0</v>
      </c>
      <c r="D124" s="1443">
        <v>0</v>
      </c>
      <c r="E124" s="1443">
        <v>1175438</v>
      </c>
      <c r="F124" s="1442">
        <v>1175438</v>
      </c>
      <c r="G124" s="1442">
        <v>0</v>
      </c>
      <c r="H124" s="1443">
        <v>0</v>
      </c>
      <c r="I124" s="1433"/>
      <c r="J124" s="1439">
        <f t="shared" si="1"/>
        <v>0</v>
      </c>
    </row>
    <row r="125" spans="1:10" ht="24.75" customHeight="1">
      <c r="A125" s="1440" t="s">
        <v>239</v>
      </c>
      <c r="B125" s="1441" t="s">
        <v>240</v>
      </c>
      <c r="C125" s="1442">
        <v>0</v>
      </c>
      <c r="D125" s="1443">
        <v>0</v>
      </c>
      <c r="E125" s="1443">
        <v>747919</v>
      </c>
      <c r="F125" s="1442">
        <v>747919</v>
      </c>
      <c r="G125" s="1442">
        <v>0</v>
      </c>
      <c r="H125" s="1443">
        <v>0</v>
      </c>
      <c r="I125" s="1433"/>
      <c r="J125" s="1439">
        <f t="shared" si="1"/>
        <v>0</v>
      </c>
    </row>
    <row r="126" spans="1:10" ht="25.5" customHeight="1">
      <c r="A126" s="1440" t="s">
        <v>241</v>
      </c>
      <c r="B126" s="1441" t="s">
        <v>242</v>
      </c>
      <c r="C126" s="1442">
        <v>0</v>
      </c>
      <c r="D126" s="1443">
        <v>0</v>
      </c>
      <c r="E126" s="1443">
        <v>24894090</v>
      </c>
      <c r="F126" s="1442">
        <v>24894090</v>
      </c>
      <c r="G126" s="1442">
        <v>0</v>
      </c>
      <c r="H126" s="1443">
        <v>0</v>
      </c>
      <c r="I126" s="1433"/>
      <c r="J126" s="1439">
        <f t="shared" si="1"/>
        <v>0</v>
      </c>
    </row>
    <row r="127" spans="1:10" ht="24.75" customHeight="1">
      <c r="A127" s="1440" t="s">
        <v>243</v>
      </c>
      <c r="B127" s="1441" t="s">
        <v>244</v>
      </c>
      <c r="C127" s="1442">
        <v>0</v>
      </c>
      <c r="D127" s="1443">
        <v>0</v>
      </c>
      <c r="E127" s="1443">
        <v>1930162164</v>
      </c>
      <c r="F127" s="1442">
        <v>1930162164</v>
      </c>
      <c r="G127" s="1442">
        <v>0</v>
      </c>
      <c r="H127" s="1443">
        <v>0</v>
      </c>
      <c r="I127" s="1433"/>
      <c r="J127" s="1439">
        <f t="shared" si="1"/>
        <v>0</v>
      </c>
    </row>
    <row r="128" spans="1:10" ht="16.5" customHeight="1">
      <c r="A128" s="1440" t="s">
        <v>245</v>
      </c>
      <c r="B128" s="1441" t="s">
        <v>246</v>
      </c>
      <c r="C128" s="1442">
        <v>0</v>
      </c>
      <c r="D128" s="1443">
        <v>0</v>
      </c>
      <c r="E128" s="1443">
        <v>2400000</v>
      </c>
      <c r="F128" s="1442">
        <v>2400000</v>
      </c>
      <c r="G128" s="1442">
        <v>0</v>
      </c>
      <c r="H128" s="1443">
        <v>0</v>
      </c>
      <c r="I128" s="1433"/>
      <c r="J128" s="1439">
        <f t="shared" si="1"/>
        <v>0</v>
      </c>
    </row>
    <row r="129" spans="1:10" ht="16.5" customHeight="1">
      <c r="A129" s="1435" t="s">
        <v>247</v>
      </c>
      <c r="B129" s="1436" t="s">
        <v>248</v>
      </c>
      <c r="C129" s="1437">
        <v>0</v>
      </c>
      <c r="D129" s="1438">
        <v>0</v>
      </c>
      <c r="E129" s="1438">
        <v>290477030030</v>
      </c>
      <c r="F129" s="1437">
        <v>290477030030</v>
      </c>
      <c r="G129" s="1437">
        <v>0</v>
      </c>
      <c r="H129" s="1438">
        <v>0</v>
      </c>
      <c r="I129" s="1433"/>
      <c r="J129" s="1439">
        <f t="shared" si="1"/>
        <v>0</v>
      </c>
    </row>
    <row r="130" spans="1:10" ht="17.25" customHeight="1">
      <c r="A130" s="1440" t="s">
        <v>249</v>
      </c>
      <c r="B130" s="1441" t="s">
        <v>250</v>
      </c>
      <c r="C130" s="1442">
        <v>0</v>
      </c>
      <c r="D130" s="1443">
        <v>0</v>
      </c>
      <c r="E130" s="1443">
        <v>44959276630</v>
      </c>
      <c r="F130" s="1442">
        <v>44959276630</v>
      </c>
      <c r="G130" s="1442">
        <v>0</v>
      </c>
      <c r="H130" s="1443">
        <v>0</v>
      </c>
      <c r="I130" s="1433"/>
      <c r="J130" s="1439">
        <f t="shared" si="1"/>
        <v>0</v>
      </c>
    </row>
    <row r="131" spans="1:10" ht="16.5" customHeight="1">
      <c r="A131" s="1440" t="s">
        <v>251</v>
      </c>
      <c r="B131" s="1441" t="s">
        <v>252</v>
      </c>
      <c r="C131" s="1442">
        <v>0</v>
      </c>
      <c r="D131" s="1443">
        <v>0</v>
      </c>
      <c r="E131" s="1443">
        <v>186401751029</v>
      </c>
      <c r="F131" s="1442">
        <v>186401751029</v>
      </c>
      <c r="G131" s="1442">
        <v>0</v>
      </c>
      <c r="H131" s="1443">
        <v>0</v>
      </c>
      <c r="I131" s="1433"/>
      <c r="J131" s="1439">
        <f t="shared" si="1"/>
        <v>0</v>
      </c>
    </row>
    <row r="132" spans="1:10" ht="17.25" customHeight="1">
      <c r="A132" s="1435" t="s">
        <v>253</v>
      </c>
      <c r="B132" s="1436" t="s">
        <v>254</v>
      </c>
      <c r="C132" s="1437">
        <v>0</v>
      </c>
      <c r="D132" s="1438">
        <v>0</v>
      </c>
      <c r="E132" s="1438">
        <v>59113552764</v>
      </c>
      <c r="F132" s="1437">
        <v>59113552764</v>
      </c>
      <c r="G132" s="1437">
        <v>0</v>
      </c>
      <c r="H132" s="1438">
        <v>0</v>
      </c>
      <c r="I132" s="1433"/>
      <c r="J132" s="1439">
        <f t="shared" si="1"/>
        <v>0</v>
      </c>
    </row>
    <row r="133" spans="1:10" ht="17.25" customHeight="1">
      <c r="A133" s="1440" t="s">
        <v>255</v>
      </c>
      <c r="B133" s="1441" t="s">
        <v>256</v>
      </c>
      <c r="C133" s="1442">
        <v>0</v>
      </c>
      <c r="D133" s="1443">
        <v>0</v>
      </c>
      <c r="E133" s="1443">
        <v>12827907682</v>
      </c>
      <c r="F133" s="1442">
        <v>12827907682</v>
      </c>
      <c r="G133" s="1442">
        <v>0</v>
      </c>
      <c r="H133" s="1443">
        <v>0</v>
      </c>
      <c r="I133" s="1433"/>
      <c r="J133" s="1439">
        <f t="shared" ref="J133:J196" si="2">G133-H133</f>
        <v>0</v>
      </c>
    </row>
    <row r="134" spans="1:10" ht="16.5" customHeight="1">
      <c r="A134" s="1440" t="s">
        <v>257</v>
      </c>
      <c r="B134" s="1441" t="s">
        <v>258</v>
      </c>
      <c r="C134" s="1442">
        <v>0</v>
      </c>
      <c r="D134" s="1443">
        <v>0</v>
      </c>
      <c r="E134" s="1443">
        <v>33338576357</v>
      </c>
      <c r="F134" s="1442">
        <v>33338576357</v>
      </c>
      <c r="G134" s="1442">
        <v>0</v>
      </c>
      <c r="H134" s="1443">
        <v>0</v>
      </c>
      <c r="I134" s="1433"/>
      <c r="J134" s="1439">
        <f t="shared" si="2"/>
        <v>0</v>
      </c>
    </row>
    <row r="135" spans="1:10" ht="17.25" customHeight="1">
      <c r="A135" s="1440" t="s">
        <v>259</v>
      </c>
      <c r="B135" s="1441" t="s">
        <v>260</v>
      </c>
      <c r="C135" s="1442">
        <v>0</v>
      </c>
      <c r="D135" s="1443">
        <v>0</v>
      </c>
      <c r="E135" s="1443">
        <v>9857858509</v>
      </c>
      <c r="F135" s="1442">
        <v>9857858509</v>
      </c>
      <c r="G135" s="1442">
        <v>0</v>
      </c>
      <c r="H135" s="1443">
        <v>0</v>
      </c>
      <c r="I135" s="1433"/>
      <c r="J135" s="1439">
        <f t="shared" si="2"/>
        <v>0</v>
      </c>
    </row>
    <row r="136" spans="1:10" ht="17.25" customHeight="1">
      <c r="A136" s="1440" t="s">
        <v>745</v>
      </c>
      <c r="B136" s="1441" t="s">
        <v>746</v>
      </c>
      <c r="C136" s="1442">
        <v>0</v>
      </c>
      <c r="D136" s="1443">
        <v>0</v>
      </c>
      <c r="E136" s="1443">
        <v>3089210216</v>
      </c>
      <c r="F136" s="1442">
        <v>3089210216</v>
      </c>
      <c r="G136" s="1442">
        <v>0</v>
      </c>
      <c r="H136" s="1443">
        <v>0</v>
      </c>
      <c r="I136" s="1433"/>
      <c r="J136" s="1439">
        <f t="shared" si="2"/>
        <v>0</v>
      </c>
    </row>
    <row r="137" spans="1:10" ht="24.75" customHeight="1">
      <c r="A137" s="1440" t="s">
        <v>263</v>
      </c>
      <c r="B137" s="1441" t="s">
        <v>264</v>
      </c>
      <c r="C137" s="1442">
        <v>0</v>
      </c>
      <c r="D137" s="1443">
        <v>0</v>
      </c>
      <c r="E137" s="1443">
        <v>2449607</v>
      </c>
      <c r="F137" s="1442">
        <v>2449607</v>
      </c>
      <c r="G137" s="1442">
        <v>0</v>
      </c>
      <c r="H137" s="1443">
        <v>0</v>
      </c>
      <c r="I137" s="1433"/>
      <c r="J137" s="1439">
        <f t="shared" si="2"/>
        <v>0</v>
      </c>
    </row>
    <row r="138" spans="1:10" ht="16.5" customHeight="1">
      <c r="A138" s="1435" t="s">
        <v>265</v>
      </c>
      <c r="B138" s="1436" t="s">
        <v>266</v>
      </c>
      <c r="C138" s="1437">
        <v>0</v>
      </c>
      <c r="D138" s="1438">
        <v>0</v>
      </c>
      <c r="E138" s="1438">
        <v>8100073405</v>
      </c>
      <c r="F138" s="1437">
        <v>8100073405</v>
      </c>
      <c r="G138" s="1437">
        <v>0</v>
      </c>
      <c r="H138" s="1438">
        <v>0</v>
      </c>
      <c r="I138" s="1433"/>
      <c r="J138" s="1439">
        <f t="shared" si="2"/>
        <v>0</v>
      </c>
    </row>
    <row r="139" spans="1:10" ht="17.25" customHeight="1">
      <c r="A139" s="1440" t="s">
        <v>267</v>
      </c>
      <c r="B139" s="1441" t="s">
        <v>268</v>
      </c>
      <c r="C139" s="1442">
        <v>0</v>
      </c>
      <c r="D139" s="1443">
        <v>0</v>
      </c>
      <c r="E139" s="1443">
        <v>4227259</v>
      </c>
      <c r="F139" s="1442">
        <v>4227259</v>
      </c>
      <c r="G139" s="1442">
        <v>0</v>
      </c>
      <c r="H139" s="1443">
        <v>0</v>
      </c>
      <c r="I139" s="1433"/>
      <c r="J139" s="1439">
        <f t="shared" si="2"/>
        <v>0</v>
      </c>
    </row>
    <row r="140" spans="1:10" ht="17.25" customHeight="1">
      <c r="A140" s="1440" t="s">
        <v>269</v>
      </c>
      <c r="B140" s="1441" t="s">
        <v>270</v>
      </c>
      <c r="C140" s="1442">
        <v>0</v>
      </c>
      <c r="D140" s="1443">
        <v>0</v>
      </c>
      <c r="E140" s="1443">
        <v>1515234612</v>
      </c>
      <c r="F140" s="1442">
        <v>1515234612</v>
      </c>
      <c r="G140" s="1442">
        <v>0</v>
      </c>
      <c r="H140" s="1443">
        <v>0</v>
      </c>
      <c r="I140" s="1433"/>
      <c r="J140" s="1439">
        <f t="shared" si="2"/>
        <v>0</v>
      </c>
    </row>
    <row r="141" spans="1:10" ht="16.5" customHeight="1">
      <c r="A141" s="1435" t="s">
        <v>271</v>
      </c>
      <c r="B141" s="1436" t="s">
        <v>272</v>
      </c>
      <c r="C141" s="1437">
        <v>0</v>
      </c>
      <c r="D141" s="1438">
        <v>0</v>
      </c>
      <c r="E141" s="1438">
        <v>6560649268</v>
      </c>
      <c r="F141" s="1437">
        <v>6560649268</v>
      </c>
      <c r="G141" s="1437">
        <v>0</v>
      </c>
      <c r="H141" s="1438">
        <v>0</v>
      </c>
      <c r="I141" s="1433"/>
      <c r="J141" s="1439">
        <f t="shared" si="2"/>
        <v>0</v>
      </c>
    </row>
    <row r="142" spans="1:10" ht="17.25" customHeight="1">
      <c r="A142" s="1440" t="s">
        <v>273</v>
      </c>
      <c r="B142" s="1441" t="s">
        <v>274</v>
      </c>
      <c r="C142" s="1442">
        <v>0</v>
      </c>
      <c r="D142" s="1443">
        <v>0</v>
      </c>
      <c r="E142" s="1443">
        <v>362918103</v>
      </c>
      <c r="F142" s="1442">
        <v>362918103</v>
      </c>
      <c r="G142" s="1442">
        <v>0</v>
      </c>
      <c r="H142" s="1443">
        <v>0</v>
      </c>
      <c r="I142" s="1433"/>
      <c r="J142" s="1439">
        <f t="shared" si="2"/>
        <v>0</v>
      </c>
    </row>
    <row r="143" spans="1:10" ht="17.25" customHeight="1">
      <c r="A143" s="1440" t="s">
        <v>275</v>
      </c>
      <c r="B143" s="1441" t="s">
        <v>276</v>
      </c>
      <c r="C143" s="1442">
        <v>0</v>
      </c>
      <c r="D143" s="1443">
        <v>0</v>
      </c>
      <c r="E143" s="1443">
        <v>8237414</v>
      </c>
      <c r="F143" s="1442">
        <v>8237414</v>
      </c>
      <c r="G143" s="1442">
        <v>0</v>
      </c>
      <c r="H143" s="1443">
        <v>0</v>
      </c>
      <c r="I143" s="1433"/>
      <c r="J143" s="1439">
        <f t="shared" si="2"/>
        <v>0</v>
      </c>
    </row>
    <row r="144" spans="1:10" ht="16.5" customHeight="1">
      <c r="A144" s="1440" t="s">
        <v>277</v>
      </c>
      <c r="B144" s="1441" t="s">
        <v>278</v>
      </c>
      <c r="C144" s="1442">
        <v>0</v>
      </c>
      <c r="D144" s="1443">
        <v>0</v>
      </c>
      <c r="E144" s="1443">
        <v>286821486</v>
      </c>
      <c r="F144" s="1442">
        <v>286821486</v>
      </c>
      <c r="G144" s="1442">
        <v>0</v>
      </c>
      <c r="H144" s="1443">
        <v>0</v>
      </c>
      <c r="I144" s="1433"/>
      <c r="J144" s="1439">
        <f t="shared" si="2"/>
        <v>0</v>
      </c>
    </row>
    <row r="145" spans="1:10" ht="17.25" customHeight="1">
      <c r="A145" s="1440" t="s">
        <v>281</v>
      </c>
      <c r="B145" s="1441" t="s">
        <v>282</v>
      </c>
      <c r="C145" s="1442">
        <v>0</v>
      </c>
      <c r="D145" s="1443">
        <v>0</v>
      </c>
      <c r="E145" s="1443">
        <v>15796466</v>
      </c>
      <c r="F145" s="1442">
        <v>15796466</v>
      </c>
      <c r="G145" s="1442">
        <v>0</v>
      </c>
      <c r="H145" s="1443">
        <v>0</v>
      </c>
      <c r="I145" s="1433"/>
      <c r="J145" s="1439">
        <f t="shared" si="2"/>
        <v>0</v>
      </c>
    </row>
    <row r="146" spans="1:10" ht="16.5" customHeight="1">
      <c r="A146" s="1440" t="s">
        <v>283</v>
      </c>
      <c r="B146" s="1441" t="s">
        <v>284</v>
      </c>
      <c r="C146" s="1442">
        <v>0</v>
      </c>
      <c r="D146" s="1443">
        <v>0</v>
      </c>
      <c r="E146" s="1443">
        <v>2045761907</v>
      </c>
      <c r="F146" s="1442">
        <v>2045761907</v>
      </c>
      <c r="G146" s="1442">
        <v>0</v>
      </c>
      <c r="H146" s="1443">
        <v>0</v>
      </c>
      <c r="I146" s="1433"/>
      <c r="J146" s="1439">
        <f t="shared" si="2"/>
        <v>0</v>
      </c>
    </row>
    <row r="147" spans="1:10" ht="17.25" customHeight="1">
      <c r="A147" s="1440" t="s">
        <v>285</v>
      </c>
      <c r="B147" s="1441" t="s">
        <v>286</v>
      </c>
      <c r="C147" s="1442">
        <v>0</v>
      </c>
      <c r="D147" s="1443">
        <v>0</v>
      </c>
      <c r="E147" s="1443">
        <v>3600000</v>
      </c>
      <c r="F147" s="1442">
        <v>3600000</v>
      </c>
      <c r="G147" s="1442">
        <v>0</v>
      </c>
      <c r="H147" s="1443">
        <v>0</v>
      </c>
      <c r="I147" s="1433"/>
      <c r="J147" s="1439">
        <f t="shared" si="2"/>
        <v>0</v>
      </c>
    </row>
    <row r="148" spans="1:10" ht="17.25" customHeight="1">
      <c r="A148" s="1440" t="s">
        <v>287</v>
      </c>
      <c r="B148" s="1441" t="s">
        <v>288</v>
      </c>
      <c r="C148" s="1442">
        <v>0</v>
      </c>
      <c r="D148" s="1443">
        <v>0</v>
      </c>
      <c r="E148" s="1443">
        <v>124742959</v>
      </c>
      <c r="F148" s="1442">
        <v>124742959</v>
      </c>
      <c r="G148" s="1442">
        <v>0</v>
      </c>
      <c r="H148" s="1443">
        <v>0</v>
      </c>
      <c r="I148" s="1433"/>
      <c r="J148" s="1439">
        <f t="shared" si="2"/>
        <v>0</v>
      </c>
    </row>
    <row r="149" spans="1:10" ht="16.5" customHeight="1">
      <c r="A149" s="1440" t="s">
        <v>289</v>
      </c>
      <c r="B149" s="1441" t="s">
        <v>290</v>
      </c>
      <c r="C149" s="1442">
        <v>0</v>
      </c>
      <c r="D149" s="1443">
        <v>0</v>
      </c>
      <c r="E149" s="1443">
        <v>87369738</v>
      </c>
      <c r="F149" s="1442">
        <v>87369738</v>
      </c>
      <c r="G149" s="1442">
        <v>0</v>
      </c>
      <c r="H149" s="1443">
        <v>0</v>
      </c>
      <c r="I149" s="1433"/>
      <c r="J149" s="1439">
        <f t="shared" si="2"/>
        <v>0</v>
      </c>
    </row>
    <row r="150" spans="1:10" ht="17.25" customHeight="1">
      <c r="A150" s="1440" t="s">
        <v>291</v>
      </c>
      <c r="B150" s="1441" t="s">
        <v>292</v>
      </c>
      <c r="C150" s="1442">
        <v>0</v>
      </c>
      <c r="D150" s="1443">
        <v>0</v>
      </c>
      <c r="E150" s="1443">
        <v>3535760917</v>
      </c>
      <c r="F150" s="1442">
        <v>3535760917</v>
      </c>
      <c r="G150" s="1442">
        <v>0</v>
      </c>
      <c r="H150" s="1443">
        <v>0</v>
      </c>
      <c r="I150" s="1433"/>
      <c r="J150" s="1439">
        <f t="shared" si="2"/>
        <v>0</v>
      </c>
    </row>
    <row r="151" spans="1:10" ht="24.75" customHeight="1">
      <c r="A151" s="1440" t="s">
        <v>293</v>
      </c>
      <c r="B151" s="1441" t="s">
        <v>294</v>
      </c>
      <c r="C151" s="1442">
        <v>0</v>
      </c>
      <c r="D151" s="1443">
        <v>0</v>
      </c>
      <c r="E151" s="1443">
        <v>21818180</v>
      </c>
      <c r="F151" s="1442">
        <v>21818180</v>
      </c>
      <c r="G151" s="1442">
        <v>0</v>
      </c>
      <c r="H151" s="1443">
        <v>0</v>
      </c>
      <c r="I151" s="1433"/>
      <c r="J151" s="1439">
        <f t="shared" si="2"/>
        <v>0</v>
      </c>
    </row>
    <row r="152" spans="1:10" ht="17.25" customHeight="1">
      <c r="A152" s="1440" t="s">
        <v>295</v>
      </c>
      <c r="B152" s="1441" t="s">
        <v>296</v>
      </c>
      <c r="C152" s="1442">
        <v>0</v>
      </c>
      <c r="D152" s="1443">
        <v>0</v>
      </c>
      <c r="E152" s="1443">
        <v>30000000</v>
      </c>
      <c r="F152" s="1442">
        <v>30000000</v>
      </c>
      <c r="G152" s="1442">
        <v>0</v>
      </c>
      <c r="H152" s="1443">
        <v>0</v>
      </c>
      <c r="I152" s="1433"/>
      <c r="J152" s="1439">
        <f t="shared" si="2"/>
        <v>0</v>
      </c>
    </row>
    <row r="153" spans="1:10" ht="16.5" customHeight="1">
      <c r="A153" s="1440" t="s">
        <v>297</v>
      </c>
      <c r="B153" s="1441" t="s">
        <v>298</v>
      </c>
      <c r="C153" s="1442">
        <v>0</v>
      </c>
      <c r="D153" s="1443">
        <v>0</v>
      </c>
      <c r="E153" s="1443">
        <v>6889084</v>
      </c>
      <c r="F153" s="1442">
        <v>6889084</v>
      </c>
      <c r="G153" s="1442">
        <v>0</v>
      </c>
      <c r="H153" s="1443">
        <v>0</v>
      </c>
      <c r="I153" s="1433"/>
      <c r="J153" s="1439">
        <f t="shared" si="2"/>
        <v>0</v>
      </c>
    </row>
    <row r="154" spans="1:10" ht="17.25" customHeight="1">
      <c r="A154" s="1440" t="s">
        <v>299</v>
      </c>
      <c r="B154" s="1441" t="s">
        <v>300</v>
      </c>
      <c r="C154" s="1442">
        <v>0</v>
      </c>
      <c r="D154" s="1443">
        <v>0</v>
      </c>
      <c r="E154" s="1443">
        <v>30933014</v>
      </c>
      <c r="F154" s="1442">
        <v>30933014</v>
      </c>
      <c r="G154" s="1442">
        <v>0</v>
      </c>
      <c r="H154" s="1443">
        <v>0</v>
      </c>
      <c r="I154" s="1433"/>
      <c r="J154" s="1439">
        <f t="shared" si="2"/>
        <v>0</v>
      </c>
    </row>
    <row r="155" spans="1:10" ht="17.25" customHeight="1">
      <c r="A155" s="1440" t="s">
        <v>301</v>
      </c>
      <c r="B155" s="1441" t="s">
        <v>302</v>
      </c>
      <c r="C155" s="1442">
        <v>0</v>
      </c>
      <c r="D155" s="1443">
        <v>0</v>
      </c>
      <c r="E155" s="1443">
        <v>19962266</v>
      </c>
      <c r="F155" s="1442">
        <v>19962266</v>
      </c>
      <c r="G155" s="1442">
        <v>0</v>
      </c>
      <c r="H155" s="1443">
        <v>0</v>
      </c>
      <c r="I155" s="1433"/>
      <c r="J155" s="1439">
        <f t="shared" si="2"/>
        <v>0</v>
      </c>
    </row>
    <row r="156" spans="1:10" ht="17.25" customHeight="1">
      <c r="A156" s="1435" t="s">
        <v>303</v>
      </c>
      <c r="B156" s="1436" t="s">
        <v>304</v>
      </c>
      <c r="C156" s="1437">
        <v>0</v>
      </c>
      <c r="D156" s="1438">
        <v>0</v>
      </c>
      <c r="E156" s="1438">
        <v>7323990500</v>
      </c>
      <c r="F156" s="1437">
        <v>7323990500</v>
      </c>
      <c r="G156" s="1437">
        <v>0</v>
      </c>
      <c r="H156" s="1438">
        <v>0</v>
      </c>
      <c r="I156" s="1433"/>
      <c r="J156" s="1439">
        <f t="shared" si="2"/>
        <v>0</v>
      </c>
    </row>
    <row r="157" spans="1:10" ht="16.5" customHeight="1">
      <c r="A157" s="1435" t="s">
        <v>305</v>
      </c>
      <c r="B157" s="1436" t="s">
        <v>306</v>
      </c>
      <c r="C157" s="1437">
        <v>0</v>
      </c>
      <c r="D157" s="1438">
        <v>0</v>
      </c>
      <c r="E157" s="1438">
        <v>258436050239</v>
      </c>
      <c r="F157" s="1437">
        <v>258436050239</v>
      </c>
      <c r="G157" s="1437">
        <v>0</v>
      </c>
      <c r="H157" s="1438">
        <v>0</v>
      </c>
      <c r="I157" s="1433"/>
      <c r="J157" s="1439">
        <f t="shared" si="2"/>
        <v>0</v>
      </c>
    </row>
    <row r="158" spans="1:10" ht="17.25" customHeight="1">
      <c r="A158" s="1440" t="s">
        <v>307</v>
      </c>
      <c r="B158" s="1441" t="s">
        <v>308</v>
      </c>
      <c r="C158" s="1442">
        <v>0</v>
      </c>
      <c r="D158" s="1443">
        <v>0</v>
      </c>
      <c r="E158" s="1443">
        <v>58810648534</v>
      </c>
      <c r="F158" s="1442">
        <v>58810648534</v>
      </c>
      <c r="G158" s="1442">
        <v>0</v>
      </c>
      <c r="H158" s="1443">
        <v>0</v>
      </c>
      <c r="I158" s="1433"/>
      <c r="J158" s="1439">
        <f t="shared" si="2"/>
        <v>0</v>
      </c>
    </row>
    <row r="159" spans="1:10" ht="16.5" customHeight="1">
      <c r="A159" s="1440" t="s">
        <v>309</v>
      </c>
      <c r="B159" s="1441" t="s">
        <v>310</v>
      </c>
      <c r="C159" s="1442">
        <v>0</v>
      </c>
      <c r="D159" s="1443">
        <v>0</v>
      </c>
      <c r="E159" s="1443">
        <v>182903401005</v>
      </c>
      <c r="F159" s="1442">
        <v>182903401005</v>
      </c>
      <c r="G159" s="1442">
        <v>0</v>
      </c>
      <c r="H159" s="1443">
        <v>0</v>
      </c>
      <c r="I159" s="1433"/>
      <c r="J159" s="1439">
        <f t="shared" si="2"/>
        <v>0</v>
      </c>
    </row>
    <row r="160" spans="1:10" ht="17.25" customHeight="1">
      <c r="A160" s="1435" t="s">
        <v>311</v>
      </c>
      <c r="B160" s="1436" t="s">
        <v>312</v>
      </c>
      <c r="C160" s="1437">
        <v>0</v>
      </c>
      <c r="D160" s="1438">
        <v>0</v>
      </c>
      <c r="E160" s="1438">
        <v>6171754215</v>
      </c>
      <c r="F160" s="1437">
        <v>6171754215</v>
      </c>
      <c r="G160" s="1437">
        <v>0</v>
      </c>
      <c r="H160" s="1438">
        <v>0</v>
      </c>
      <c r="I160" s="1433"/>
      <c r="J160" s="1439">
        <f t="shared" si="2"/>
        <v>0</v>
      </c>
    </row>
    <row r="161" spans="1:10" ht="17.25" customHeight="1">
      <c r="A161" s="1440" t="s">
        <v>313</v>
      </c>
      <c r="B161" s="1441" t="s">
        <v>314</v>
      </c>
      <c r="C161" s="1442">
        <v>0</v>
      </c>
      <c r="D161" s="1443">
        <v>0</v>
      </c>
      <c r="E161" s="1443">
        <v>3930683781</v>
      </c>
      <c r="F161" s="1442">
        <v>3930683781</v>
      </c>
      <c r="G161" s="1442">
        <v>0</v>
      </c>
      <c r="H161" s="1443">
        <v>0</v>
      </c>
      <c r="I161" s="1433"/>
      <c r="J161" s="1439">
        <f t="shared" si="2"/>
        <v>0</v>
      </c>
    </row>
    <row r="162" spans="1:10" ht="16.5" customHeight="1">
      <c r="A162" s="1440" t="s">
        <v>315</v>
      </c>
      <c r="B162" s="1441" t="s">
        <v>316</v>
      </c>
      <c r="C162" s="1442">
        <v>0</v>
      </c>
      <c r="D162" s="1443">
        <v>0</v>
      </c>
      <c r="E162" s="1443">
        <v>169175000</v>
      </c>
      <c r="F162" s="1442">
        <v>169175000</v>
      </c>
      <c r="G162" s="1442">
        <v>0</v>
      </c>
      <c r="H162" s="1443">
        <v>0</v>
      </c>
      <c r="I162" s="1433"/>
      <c r="J162" s="1439">
        <f t="shared" si="2"/>
        <v>0</v>
      </c>
    </row>
    <row r="163" spans="1:10" ht="17.25" customHeight="1">
      <c r="A163" s="1440" t="s">
        <v>317</v>
      </c>
      <c r="B163" s="1441" t="s">
        <v>318</v>
      </c>
      <c r="C163" s="1442">
        <v>0</v>
      </c>
      <c r="D163" s="1443">
        <v>0</v>
      </c>
      <c r="E163" s="1443">
        <v>2071895434</v>
      </c>
      <c r="F163" s="1442">
        <v>2071895434</v>
      </c>
      <c r="G163" s="1442">
        <v>0</v>
      </c>
      <c r="H163" s="1443">
        <v>0</v>
      </c>
      <c r="I163" s="1433"/>
      <c r="J163" s="1439">
        <f t="shared" si="2"/>
        <v>0</v>
      </c>
    </row>
    <row r="164" spans="1:10" ht="17.25" customHeight="1">
      <c r="A164" s="1435" t="s">
        <v>323</v>
      </c>
      <c r="B164" s="1436" t="s">
        <v>324</v>
      </c>
      <c r="C164" s="1437">
        <v>0</v>
      </c>
      <c r="D164" s="1438">
        <v>0</v>
      </c>
      <c r="E164" s="1438">
        <v>10549543048</v>
      </c>
      <c r="F164" s="1437">
        <v>10549543048</v>
      </c>
      <c r="G164" s="1437">
        <v>0</v>
      </c>
      <c r="H164" s="1438">
        <v>0</v>
      </c>
      <c r="I164" s="1433"/>
      <c r="J164" s="1439">
        <f t="shared" si="2"/>
        <v>0</v>
      </c>
    </row>
    <row r="165" spans="1:10" ht="16.5" customHeight="1">
      <c r="A165" s="1440" t="s">
        <v>325</v>
      </c>
      <c r="B165" s="1441" t="s">
        <v>326</v>
      </c>
      <c r="C165" s="1442">
        <v>0</v>
      </c>
      <c r="D165" s="1443">
        <v>0</v>
      </c>
      <c r="E165" s="1443">
        <v>108429041</v>
      </c>
      <c r="F165" s="1442">
        <v>108429041</v>
      </c>
      <c r="G165" s="1442">
        <v>0</v>
      </c>
      <c r="H165" s="1443">
        <v>0</v>
      </c>
      <c r="I165" s="1433"/>
      <c r="J165" s="1439">
        <f t="shared" si="2"/>
        <v>0</v>
      </c>
    </row>
    <row r="166" spans="1:10" ht="17.25" customHeight="1">
      <c r="A166" s="1440" t="s">
        <v>327</v>
      </c>
      <c r="B166" s="1441" t="s">
        <v>328</v>
      </c>
      <c r="C166" s="1442">
        <v>0</v>
      </c>
      <c r="D166" s="1443">
        <v>0</v>
      </c>
      <c r="E166" s="1443">
        <v>3166800014</v>
      </c>
      <c r="F166" s="1442">
        <v>3166800014</v>
      </c>
      <c r="G166" s="1442">
        <v>0</v>
      </c>
      <c r="H166" s="1443">
        <v>0</v>
      </c>
      <c r="I166" s="1433"/>
      <c r="J166" s="1439">
        <f t="shared" si="2"/>
        <v>0</v>
      </c>
    </row>
    <row r="167" spans="1:10" ht="16.5" customHeight="1">
      <c r="A167" s="1440" t="s">
        <v>329</v>
      </c>
      <c r="B167" s="1441" t="s">
        <v>330</v>
      </c>
      <c r="C167" s="1442">
        <v>0</v>
      </c>
      <c r="D167" s="1443">
        <v>0</v>
      </c>
      <c r="E167" s="1443">
        <v>7274313993</v>
      </c>
      <c r="F167" s="1442">
        <v>7274313993</v>
      </c>
      <c r="G167" s="1442">
        <v>0</v>
      </c>
      <c r="H167" s="1443">
        <v>0</v>
      </c>
      <c r="I167" s="1433"/>
      <c r="J167" s="1439">
        <f t="shared" si="2"/>
        <v>0</v>
      </c>
    </row>
    <row r="168" spans="1:10" ht="17.25" customHeight="1">
      <c r="A168" s="1440" t="s">
        <v>331</v>
      </c>
      <c r="B168" s="1441" t="s">
        <v>332</v>
      </c>
      <c r="C168" s="1442">
        <v>0</v>
      </c>
      <c r="D168" s="1443">
        <v>0</v>
      </c>
      <c r="E168" s="1443">
        <v>703437</v>
      </c>
      <c r="F168" s="1442">
        <v>703437</v>
      </c>
      <c r="G168" s="1442">
        <v>0</v>
      </c>
      <c r="H168" s="1443">
        <v>0</v>
      </c>
      <c r="I168" s="1433"/>
      <c r="J168" s="1439">
        <f t="shared" si="2"/>
        <v>0</v>
      </c>
    </row>
    <row r="169" spans="1:10" ht="17.25" customHeight="1">
      <c r="A169" s="1435" t="s">
        <v>333</v>
      </c>
      <c r="B169" s="1436" t="s">
        <v>334</v>
      </c>
      <c r="C169" s="1437">
        <v>0</v>
      </c>
      <c r="D169" s="1438">
        <v>0</v>
      </c>
      <c r="E169" s="1438">
        <v>3346668976</v>
      </c>
      <c r="F169" s="1437">
        <v>3346668976</v>
      </c>
      <c r="G169" s="1437">
        <v>0</v>
      </c>
      <c r="H169" s="1438">
        <v>0</v>
      </c>
      <c r="I169" s="1433"/>
      <c r="J169" s="1439">
        <f t="shared" si="2"/>
        <v>0</v>
      </c>
    </row>
    <row r="170" spans="1:10" ht="16.5" customHeight="1">
      <c r="A170" s="1435" t="s">
        <v>335</v>
      </c>
      <c r="B170" s="1436" t="s">
        <v>336</v>
      </c>
      <c r="C170" s="1437">
        <v>0</v>
      </c>
      <c r="D170" s="1438">
        <v>0</v>
      </c>
      <c r="E170" s="1438">
        <v>101969954</v>
      </c>
      <c r="F170" s="1437">
        <v>101969954</v>
      </c>
      <c r="G170" s="1437">
        <v>0</v>
      </c>
      <c r="H170" s="1438">
        <v>0</v>
      </c>
      <c r="I170" s="1433"/>
      <c r="J170" s="1439">
        <f t="shared" si="2"/>
        <v>0</v>
      </c>
    </row>
    <row r="171" spans="1:10" ht="17.25" customHeight="1">
      <c r="A171" s="1440" t="s">
        <v>337</v>
      </c>
      <c r="B171" s="1441" t="s">
        <v>338</v>
      </c>
      <c r="C171" s="1442">
        <v>0</v>
      </c>
      <c r="D171" s="1443">
        <v>0</v>
      </c>
      <c r="E171" s="1443">
        <v>80739954</v>
      </c>
      <c r="F171" s="1442">
        <v>80739954</v>
      </c>
      <c r="G171" s="1442">
        <v>0</v>
      </c>
      <c r="H171" s="1443">
        <v>0</v>
      </c>
      <c r="I171" s="1433"/>
      <c r="J171" s="1439">
        <f t="shared" si="2"/>
        <v>0</v>
      </c>
    </row>
    <row r="172" spans="1:10" ht="17.25" customHeight="1">
      <c r="A172" s="1440" t="s">
        <v>339</v>
      </c>
      <c r="B172" s="1441" t="s">
        <v>340</v>
      </c>
      <c r="C172" s="1442">
        <v>0</v>
      </c>
      <c r="D172" s="1443">
        <v>0</v>
      </c>
      <c r="E172" s="1443">
        <v>4230000</v>
      </c>
      <c r="F172" s="1442">
        <v>4230000</v>
      </c>
      <c r="G172" s="1442">
        <v>0</v>
      </c>
      <c r="H172" s="1443">
        <v>0</v>
      </c>
      <c r="I172" s="1433"/>
      <c r="J172" s="1439">
        <f t="shared" si="2"/>
        <v>0</v>
      </c>
    </row>
    <row r="173" spans="1:10" ht="16.5" customHeight="1">
      <c r="A173" s="1440" t="s">
        <v>341</v>
      </c>
      <c r="B173" s="1441" t="s">
        <v>342</v>
      </c>
      <c r="C173" s="1442">
        <v>0</v>
      </c>
      <c r="D173" s="1443">
        <v>0</v>
      </c>
      <c r="E173" s="1443">
        <v>17000000</v>
      </c>
      <c r="F173" s="1442">
        <v>17000000</v>
      </c>
      <c r="G173" s="1442">
        <v>0</v>
      </c>
      <c r="H173" s="1443">
        <v>0</v>
      </c>
      <c r="I173" s="1433"/>
      <c r="J173" s="1439">
        <f t="shared" si="2"/>
        <v>0</v>
      </c>
    </row>
    <row r="174" spans="1:10" ht="17.25" customHeight="1">
      <c r="A174" s="1440" t="s">
        <v>343</v>
      </c>
      <c r="B174" s="1441" t="s">
        <v>344</v>
      </c>
      <c r="C174" s="1442">
        <v>0</v>
      </c>
      <c r="D174" s="1443">
        <v>0</v>
      </c>
      <c r="E174" s="1443">
        <v>34886825</v>
      </c>
      <c r="F174" s="1442">
        <v>34886825</v>
      </c>
      <c r="G174" s="1442">
        <v>0</v>
      </c>
      <c r="H174" s="1443">
        <v>0</v>
      </c>
      <c r="I174" s="1433"/>
      <c r="J174" s="1439">
        <f t="shared" si="2"/>
        <v>0</v>
      </c>
    </row>
    <row r="175" spans="1:10" ht="16.5" customHeight="1">
      <c r="A175" s="1440" t="s">
        <v>345</v>
      </c>
      <c r="B175" s="1441" t="s">
        <v>270</v>
      </c>
      <c r="C175" s="1442">
        <v>0</v>
      </c>
      <c r="D175" s="1443">
        <v>0</v>
      </c>
      <c r="E175" s="1443">
        <v>23222502</v>
      </c>
      <c r="F175" s="1442">
        <v>23222502</v>
      </c>
      <c r="G175" s="1442">
        <v>0</v>
      </c>
      <c r="H175" s="1443">
        <v>0</v>
      </c>
      <c r="I175" s="1433"/>
      <c r="J175" s="1439">
        <f t="shared" si="2"/>
        <v>0</v>
      </c>
    </row>
    <row r="176" spans="1:10" ht="17.25" customHeight="1">
      <c r="A176" s="1435" t="s">
        <v>346</v>
      </c>
      <c r="B176" s="1436" t="s">
        <v>272</v>
      </c>
      <c r="C176" s="1437">
        <v>0</v>
      </c>
      <c r="D176" s="1438">
        <v>0</v>
      </c>
      <c r="E176" s="1438">
        <v>2667496160</v>
      </c>
      <c r="F176" s="1437">
        <v>2667496160</v>
      </c>
      <c r="G176" s="1437">
        <v>0</v>
      </c>
      <c r="H176" s="1438">
        <v>0</v>
      </c>
      <c r="I176" s="1433"/>
      <c r="J176" s="1439">
        <f t="shared" si="2"/>
        <v>0</v>
      </c>
    </row>
    <row r="177" spans="1:10" ht="17.25" customHeight="1">
      <c r="A177" s="1440" t="s">
        <v>348</v>
      </c>
      <c r="B177" s="1441" t="s">
        <v>349</v>
      </c>
      <c r="C177" s="1442">
        <v>0</v>
      </c>
      <c r="D177" s="1443">
        <v>0</v>
      </c>
      <c r="E177" s="1443">
        <v>2328767986</v>
      </c>
      <c r="F177" s="1442">
        <v>2328767986</v>
      </c>
      <c r="G177" s="1442">
        <v>0</v>
      </c>
      <c r="H177" s="1443">
        <v>0</v>
      </c>
      <c r="I177" s="1433"/>
      <c r="J177" s="1439">
        <f t="shared" si="2"/>
        <v>0</v>
      </c>
    </row>
    <row r="178" spans="1:10" ht="16.5" customHeight="1">
      <c r="A178" s="1440" t="s">
        <v>350</v>
      </c>
      <c r="B178" s="1441" t="s">
        <v>351</v>
      </c>
      <c r="C178" s="1442">
        <v>0</v>
      </c>
      <c r="D178" s="1443">
        <v>0</v>
      </c>
      <c r="E178" s="1443">
        <v>92599912</v>
      </c>
      <c r="F178" s="1442">
        <v>92599912</v>
      </c>
      <c r="G178" s="1442">
        <v>0</v>
      </c>
      <c r="H178" s="1443">
        <v>0</v>
      </c>
      <c r="I178" s="1433"/>
      <c r="J178" s="1439">
        <f t="shared" si="2"/>
        <v>0</v>
      </c>
    </row>
    <row r="179" spans="1:10" ht="17.25" customHeight="1">
      <c r="A179" s="1440" t="s">
        <v>352</v>
      </c>
      <c r="B179" s="1441" t="s">
        <v>353</v>
      </c>
      <c r="C179" s="1442">
        <v>0</v>
      </c>
      <c r="D179" s="1443">
        <v>0</v>
      </c>
      <c r="E179" s="1443">
        <v>7200000</v>
      </c>
      <c r="F179" s="1442">
        <v>7200000</v>
      </c>
      <c r="G179" s="1442">
        <v>0</v>
      </c>
      <c r="H179" s="1443">
        <v>0</v>
      </c>
      <c r="I179" s="1433"/>
      <c r="J179" s="1439">
        <f t="shared" si="2"/>
        <v>0</v>
      </c>
    </row>
    <row r="180" spans="1:10" ht="17.25" customHeight="1">
      <c r="A180" s="1440" t="s">
        <v>354</v>
      </c>
      <c r="B180" s="1441" t="s">
        <v>355</v>
      </c>
      <c r="C180" s="1442">
        <v>0</v>
      </c>
      <c r="D180" s="1443">
        <v>0</v>
      </c>
      <c r="E180" s="1443">
        <v>14557431</v>
      </c>
      <c r="F180" s="1442">
        <v>14557431</v>
      </c>
      <c r="G180" s="1442">
        <v>0</v>
      </c>
      <c r="H180" s="1443">
        <v>0</v>
      </c>
      <c r="I180" s="1433"/>
      <c r="J180" s="1439">
        <f t="shared" si="2"/>
        <v>0</v>
      </c>
    </row>
    <row r="181" spans="1:10" ht="16.5" customHeight="1">
      <c r="A181" s="1440" t="s">
        <v>356</v>
      </c>
      <c r="B181" s="1441" t="s">
        <v>280</v>
      </c>
      <c r="C181" s="1442">
        <v>0</v>
      </c>
      <c r="D181" s="1443">
        <v>0</v>
      </c>
      <c r="E181" s="1443">
        <v>292050</v>
      </c>
      <c r="F181" s="1442">
        <v>292050</v>
      </c>
      <c r="G181" s="1442">
        <v>0</v>
      </c>
      <c r="H181" s="1443">
        <v>0</v>
      </c>
      <c r="I181" s="1433"/>
      <c r="J181" s="1439">
        <f t="shared" si="2"/>
        <v>0</v>
      </c>
    </row>
    <row r="182" spans="1:10" ht="17.25" customHeight="1">
      <c r="A182" s="1440" t="s">
        <v>359</v>
      </c>
      <c r="B182" s="1441" t="s">
        <v>360</v>
      </c>
      <c r="C182" s="1442">
        <v>0</v>
      </c>
      <c r="D182" s="1443">
        <v>0</v>
      </c>
      <c r="E182" s="1443">
        <v>6117876</v>
      </c>
      <c r="F182" s="1442">
        <v>6117876</v>
      </c>
      <c r="G182" s="1442">
        <v>0</v>
      </c>
      <c r="H182" s="1443">
        <v>0</v>
      </c>
      <c r="I182" s="1433"/>
      <c r="J182" s="1439">
        <f t="shared" si="2"/>
        <v>0</v>
      </c>
    </row>
    <row r="183" spans="1:10" ht="16.5" customHeight="1">
      <c r="A183" s="1440" t="s">
        <v>361</v>
      </c>
      <c r="B183" s="1441" t="s">
        <v>362</v>
      </c>
      <c r="C183" s="1442">
        <v>0</v>
      </c>
      <c r="D183" s="1443">
        <v>0</v>
      </c>
      <c r="E183" s="1443">
        <v>124897291</v>
      </c>
      <c r="F183" s="1442">
        <v>124897291</v>
      </c>
      <c r="G183" s="1442">
        <v>0</v>
      </c>
      <c r="H183" s="1443">
        <v>0</v>
      </c>
      <c r="I183" s="1433"/>
      <c r="J183" s="1439">
        <f t="shared" si="2"/>
        <v>0</v>
      </c>
    </row>
    <row r="184" spans="1:10" ht="17.25" customHeight="1">
      <c r="A184" s="1440" t="s">
        <v>363</v>
      </c>
      <c r="B184" s="1441" t="s">
        <v>364</v>
      </c>
      <c r="C184" s="1442">
        <v>0</v>
      </c>
      <c r="D184" s="1443">
        <v>0</v>
      </c>
      <c r="E184" s="1443">
        <v>70766205</v>
      </c>
      <c r="F184" s="1442">
        <v>70766205</v>
      </c>
      <c r="G184" s="1442">
        <v>0</v>
      </c>
      <c r="H184" s="1443">
        <v>0</v>
      </c>
      <c r="I184" s="1433"/>
      <c r="J184" s="1439">
        <f t="shared" si="2"/>
        <v>0</v>
      </c>
    </row>
    <row r="185" spans="1:10" ht="17.25" customHeight="1">
      <c r="A185" s="1440" t="s">
        <v>367</v>
      </c>
      <c r="B185" s="1441" t="s">
        <v>368</v>
      </c>
      <c r="C185" s="1442">
        <v>0</v>
      </c>
      <c r="D185" s="1443">
        <v>0</v>
      </c>
      <c r="E185" s="1443">
        <v>22297409</v>
      </c>
      <c r="F185" s="1442">
        <v>22297409</v>
      </c>
      <c r="G185" s="1442">
        <v>0</v>
      </c>
      <c r="H185" s="1443">
        <v>0</v>
      </c>
      <c r="I185" s="1433"/>
      <c r="J185" s="1439">
        <f t="shared" si="2"/>
        <v>0</v>
      </c>
    </row>
    <row r="186" spans="1:10" ht="16.5" customHeight="1">
      <c r="A186" s="1435" t="s">
        <v>369</v>
      </c>
      <c r="B186" s="1436" t="s">
        <v>302</v>
      </c>
      <c r="C186" s="1437">
        <v>0</v>
      </c>
      <c r="D186" s="1438">
        <v>0</v>
      </c>
      <c r="E186" s="1438">
        <v>519093535</v>
      </c>
      <c r="F186" s="1437">
        <v>519093535</v>
      </c>
      <c r="G186" s="1437">
        <v>0</v>
      </c>
      <c r="H186" s="1438">
        <v>0</v>
      </c>
      <c r="I186" s="1433"/>
      <c r="J186" s="1439">
        <f t="shared" si="2"/>
        <v>0</v>
      </c>
    </row>
    <row r="187" spans="1:10" ht="17.25" customHeight="1">
      <c r="A187" s="1440" t="s">
        <v>370</v>
      </c>
      <c r="B187" s="1441" t="s">
        <v>371</v>
      </c>
      <c r="C187" s="1442">
        <v>0</v>
      </c>
      <c r="D187" s="1443">
        <v>0</v>
      </c>
      <c r="E187" s="1443">
        <v>513414984</v>
      </c>
      <c r="F187" s="1442">
        <v>513414984</v>
      </c>
      <c r="G187" s="1442">
        <v>0</v>
      </c>
      <c r="H187" s="1443">
        <v>0</v>
      </c>
      <c r="I187" s="1433"/>
      <c r="J187" s="1439">
        <f t="shared" si="2"/>
        <v>0</v>
      </c>
    </row>
    <row r="188" spans="1:10" ht="16.5" customHeight="1">
      <c r="A188" s="1440" t="s">
        <v>372</v>
      </c>
      <c r="B188" s="1441" t="s">
        <v>373</v>
      </c>
      <c r="C188" s="1442">
        <v>0</v>
      </c>
      <c r="D188" s="1443">
        <v>0</v>
      </c>
      <c r="E188" s="1443">
        <v>2611111</v>
      </c>
      <c r="F188" s="1442">
        <v>2611111</v>
      </c>
      <c r="G188" s="1442">
        <v>0</v>
      </c>
      <c r="H188" s="1443">
        <v>0</v>
      </c>
      <c r="I188" s="1433"/>
      <c r="J188" s="1439">
        <f t="shared" si="2"/>
        <v>0</v>
      </c>
    </row>
    <row r="189" spans="1:10" ht="17.25" customHeight="1">
      <c r="A189" s="1440" t="s">
        <v>723</v>
      </c>
      <c r="B189" s="1441" t="s">
        <v>302</v>
      </c>
      <c r="C189" s="1442">
        <v>0</v>
      </c>
      <c r="D189" s="1443">
        <v>0</v>
      </c>
      <c r="E189" s="1443">
        <v>3067440</v>
      </c>
      <c r="F189" s="1442">
        <v>3067440</v>
      </c>
      <c r="G189" s="1442">
        <v>0</v>
      </c>
      <c r="H189" s="1443">
        <v>0</v>
      </c>
      <c r="I189" s="1433"/>
      <c r="J189" s="1439">
        <f t="shared" si="2"/>
        <v>0</v>
      </c>
    </row>
    <row r="190" spans="1:10" ht="17.25" customHeight="1">
      <c r="A190" s="1435" t="s">
        <v>374</v>
      </c>
      <c r="B190" s="1436" t="s">
        <v>375</v>
      </c>
      <c r="C190" s="1437">
        <v>0</v>
      </c>
      <c r="D190" s="1438">
        <v>0</v>
      </c>
      <c r="E190" s="1438">
        <v>6481558609</v>
      </c>
      <c r="F190" s="1437">
        <v>6481558609</v>
      </c>
      <c r="G190" s="1437">
        <v>0</v>
      </c>
      <c r="H190" s="1438">
        <v>0</v>
      </c>
      <c r="I190" s="1433"/>
      <c r="J190" s="1439">
        <f t="shared" si="2"/>
        <v>0</v>
      </c>
    </row>
    <row r="191" spans="1:10" ht="16.5" customHeight="1">
      <c r="A191" s="1435" t="s">
        <v>376</v>
      </c>
      <c r="B191" s="1436" t="s">
        <v>377</v>
      </c>
      <c r="C191" s="1437">
        <v>0</v>
      </c>
      <c r="D191" s="1438">
        <v>0</v>
      </c>
      <c r="E191" s="1438">
        <v>1759690290</v>
      </c>
      <c r="F191" s="1437">
        <v>1759690290</v>
      </c>
      <c r="G191" s="1437">
        <v>0</v>
      </c>
      <c r="H191" s="1438">
        <v>0</v>
      </c>
      <c r="I191" s="1433"/>
      <c r="J191" s="1439">
        <f t="shared" si="2"/>
        <v>0</v>
      </c>
    </row>
    <row r="192" spans="1:10" ht="17.25" customHeight="1">
      <c r="A192" s="1440" t="s">
        <v>378</v>
      </c>
      <c r="B192" s="1441" t="s">
        <v>338</v>
      </c>
      <c r="C192" s="1442">
        <v>0</v>
      </c>
      <c r="D192" s="1443">
        <v>0</v>
      </c>
      <c r="E192" s="1443">
        <v>1528021404</v>
      </c>
      <c r="F192" s="1442">
        <v>1528021404</v>
      </c>
      <c r="G192" s="1442">
        <v>0</v>
      </c>
      <c r="H192" s="1443">
        <v>0</v>
      </c>
      <c r="I192" s="1433"/>
      <c r="J192" s="1439">
        <f t="shared" si="2"/>
        <v>0</v>
      </c>
    </row>
    <row r="193" spans="1:10" ht="17.25" customHeight="1">
      <c r="A193" s="1440" t="s">
        <v>379</v>
      </c>
      <c r="B193" s="1441" t="s">
        <v>340</v>
      </c>
      <c r="C193" s="1442">
        <v>0</v>
      </c>
      <c r="D193" s="1443">
        <v>0</v>
      </c>
      <c r="E193" s="1443">
        <v>93852000</v>
      </c>
      <c r="F193" s="1442">
        <v>93852000</v>
      </c>
      <c r="G193" s="1442">
        <v>0</v>
      </c>
      <c r="H193" s="1443">
        <v>0</v>
      </c>
      <c r="I193" s="1433"/>
      <c r="J193" s="1439">
        <f t="shared" si="2"/>
        <v>0</v>
      </c>
    </row>
    <row r="194" spans="1:10" ht="16.5" customHeight="1">
      <c r="A194" s="1440" t="s">
        <v>380</v>
      </c>
      <c r="B194" s="1441" t="s">
        <v>342</v>
      </c>
      <c r="C194" s="1442">
        <v>0</v>
      </c>
      <c r="D194" s="1443">
        <v>0</v>
      </c>
      <c r="E194" s="1443">
        <v>137816886</v>
      </c>
      <c r="F194" s="1442">
        <v>137816886</v>
      </c>
      <c r="G194" s="1442">
        <v>0</v>
      </c>
      <c r="H194" s="1443">
        <v>0</v>
      </c>
      <c r="I194" s="1433"/>
      <c r="J194" s="1439">
        <f t="shared" si="2"/>
        <v>0</v>
      </c>
    </row>
    <row r="195" spans="1:10" ht="17.25" customHeight="1">
      <c r="A195" s="1440" t="s">
        <v>381</v>
      </c>
      <c r="B195" s="1441" t="s">
        <v>382</v>
      </c>
      <c r="C195" s="1442">
        <v>0</v>
      </c>
      <c r="D195" s="1443">
        <v>0</v>
      </c>
      <c r="E195" s="1443">
        <v>263736720</v>
      </c>
      <c r="F195" s="1442">
        <v>263736720</v>
      </c>
      <c r="G195" s="1442">
        <v>0</v>
      </c>
      <c r="H195" s="1443">
        <v>0</v>
      </c>
      <c r="I195" s="1433"/>
      <c r="J195" s="1439">
        <f t="shared" si="2"/>
        <v>0</v>
      </c>
    </row>
    <row r="196" spans="1:10" ht="16.5" customHeight="1">
      <c r="A196" s="1440" t="s">
        <v>383</v>
      </c>
      <c r="B196" s="1441" t="s">
        <v>270</v>
      </c>
      <c r="C196" s="1442">
        <v>0</v>
      </c>
      <c r="D196" s="1443">
        <v>0</v>
      </c>
      <c r="E196" s="1443">
        <v>241101858</v>
      </c>
      <c r="F196" s="1442">
        <v>241101858</v>
      </c>
      <c r="G196" s="1442">
        <v>0</v>
      </c>
      <c r="H196" s="1443">
        <v>0</v>
      </c>
      <c r="I196" s="1433"/>
      <c r="J196" s="1439">
        <f t="shared" si="2"/>
        <v>0</v>
      </c>
    </row>
    <row r="197" spans="1:10" ht="17.25" customHeight="1">
      <c r="A197" s="1440" t="s">
        <v>384</v>
      </c>
      <c r="B197" s="1441" t="s">
        <v>385</v>
      </c>
      <c r="C197" s="1442">
        <v>0</v>
      </c>
      <c r="D197" s="1443">
        <v>0</v>
      </c>
      <c r="E197" s="1443">
        <v>4500000</v>
      </c>
      <c r="F197" s="1442">
        <v>4500000</v>
      </c>
      <c r="G197" s="1442">
        <v>0</v>
      </c>
      <c r="H197" s="1443">
        <v>0</v>
      </c>
      <c r="I197" s="1433"/>
      <c r="J197" s="1439">
        <f t="shared" ref="J197:J228" si="3">G197-H197</f>
        <v>0</v>
      </c>
    </row>
    <row r="198" spans="1:10" ht="17.25" customHeight="1">
      <c r="A198" s="1435" t="s">
        <v>386</v>
      </c>
      <c r="B198" s="1436" t="s">
        <v>272</v>
      </c>
      <c r="C198" s="1437">
        <v>0</v>
      </c>
      <c r="D198" s="1438">
        <v>0</v>
      </c>
      <c r="E198" s="1438">
        <v>3950708242</v>
      </c>
      <c r="F198" s="1437">
        <v>3950708242</v>
      </c>
      <c r="G198" s="1437">
        <v>0</v>
      </c>
      <c r="H198" s="1438">
        <v>0</v>
      </c>
      <c r="I198" s="1433"/>
      <c r="J198" s="1439">
        <f t="shared" si="3"/>
        <v>0</v>
      </c>
    </row>
    <row r="199" spans="1:10" ht="24.75" customHeight="1">
      <c r="A199" s="1440" t="s">
        <v>387</v>
      </c>
      <c r="B199" s="1441" t="s">
        <v>388</v>
      </c>
      <c r="C199" s="1442">
        <v>0</v>
      </c>
      <c r="D199" s="1443">
        <v>0</v>
      </c>
      <c r="E199" s="1443">
        <v>2038052130</v>
      </c>
      <c r="F199" s="1442">
        <v>2038052130</v>
      </c>
      <c r="G199" s="1442">
        <v>0</v>
      </c>
      <c r="H199" s="1443">
        <v>0</v>
      </c>
      <c r="I199" s="1433"/>
      <c r="J199" s="1439">
        <f t="shared" si="3"/>
        <v>0</v>
      </c>
    </row>
    <row r="200" spans="1:10" ht="17.25" customHeight="1">
      <c r="A200" s="1440" t="s">
        <v>389</v>
      </c>
      <c r="B200" s="1441" t="s">
        <v>390</v>
      </c>
      <c r="C200" s="1442">
        <v>0</v>
      </c>
      <c r="D200" s="1443">
        <v>0</v>
      </c>
      <c r="E200" s="1443">
        <v>47596587</v>
      </c>
      <c r="F200" s="1442">
        <v>47596587</v>
      </c>
      <c r="G200" s="1442">
        <v>0</v>
      </c>
      <c r="H200" s="1443">
        <v>0</v>
      </c>
      <c r="I200" s="1433"/>
      <c r="J200" s="1439">
        <f t="shared" si="3"/>
        <v>0</v>
      </c>
    </row>
    <row r="201" spans="1:10" ht="16.5" customHeight="1">
      <c r="A201" s="1440" t="s">
        <v>391</v>
      </c>
      <c r="B201" s="1441" t="s">
        <v>392</v>
      </c>
      <c r="C201" s="1442">
        <v>0</v>
      </c>
      <c r="D201" s="1443">
        <v>0</v>
      </c>
      <c r="E201" s="1443">
        <v>12764765</v>
      </c>
      <c r="F201" s="1442">
        <v>12764765</v>
      </c>
      <c r="G201" s="1442">
        <v>0</v>
      </c>
      <c r="H201" s="1443">
        <v>0</v>
      </c>
      <c r="I201" s="1433"/>
      <c r="J201" s="1439">
        <f t="shared" si="3"/>
        <v>0</v>
      </c>
    </row>
    <row r="202" spans="1:10" ht="17.25" customHeight="1">
      <c r="A202" s="1440" t="s">
        <v>393</v>
      </c>
      <c r="B202" s="1441" t="s">
        <v>394</v>
      </c>
      <c r="C202" s="1442">
        <v>0</v>
      </c>
      <c r="D202" s="1443">
        <v>0</v>
      </c>
      <c r="E202" s="1443">
        <v>55697661</v>
      </c>
      <c r="F202" s="1442">
        <v>55697661</v>
      </c>
      <c r="G202" s="1442">
        <v>0</v>
      </c>
      <c r="H202" s="1443">
        <v>0</v>
      </c>
      <c r="I202" s="1433"/>
      <c r="J202" s="1439">
        <f t="shared" si="3"/>
        <v>0</v>
      </c>
    </row>
    <row r="203" spans="1:10" ht="16.5" customHeight="1">
      <c r="A203" s="1440" t="s">
        <v>395</v>
      </c>
      <c r="B203" s="1441" t="s">
        <v>396</v>
      </c>
      <c r="C203" s="1442">
        <v>0</v>
      </c>
      <c r="D203" s="1443">
        <v>0</v>
      </c>
      <c r="E203" s="1443">
        <v>143002333</v>
      </c>
      <c r="F203" s="1442">
        <v>143002333</v>
      </c>
      <c r="G203" s="1442">
        <v>0</v>
      </c>
      <c r="H203" s="1443">
        <v>0</v>
      </c>
      <c r="I203" s="1433"/>
      <c r="J203" s="1439">
        <f t="shared" si="3"/>
        <v>0</v>
      </c>
    </row>
    <row r="204" spans="1:10" ht="17.25" customHeight="1">
      <c r="A204" s="1440" t="s">
        <v>397</v>
      </c>
      <c r="B204" s="1441" t="s">
        <v>366</v>
      </c>
      <c r="C204" s="1442">
        <v>0</v>
      </c>
      <c r="D204" s="1443">
        <v>0</v>
      </c>
      <c r="E204" s="1443">
        <v>143351615</v>
      </c>
      <c r="F204" s="1442">
        <v>143351615</v>
      </c>
      <c r="G204" s="1442">
        <v>0</v>
      </c>
      <c r="H204" s="1443">
        <v>0</v>
      </c>
      <c r="I204" s="1433"/>
      <c r="J204" s="1439">
        <f t="shared" si="3"/>
        <v>0</v>
      </c>
    </row>
    <row r="205" spans="1:10" ht="17.25" customHeight="1">
      <c r="A205" s="1440" t="s">
        <v>398</v>
      </c>
      <c r="B205" s="1441" t="s">
        <v>399</v>
      </c>
      <c r="C205" s="1442">
        <v>0</v>
      </c>
      <c r="D205" s="1443">
        <v>0</v>
      </c>
      <c r="E205" s="1443">
        <v>255159901</v>
      </c>
      <c r="F205" s="1442">
        <v>255159901</v>
      </c>
      <c r="G205" s="1442">
        <v>0</v>
      </c>
      <c r="H205" s="1443">
        <v>0</v>
      </c>
      <c r="I205" s="1433"/>
      <c r="J205" s="1439">
        <f t="shared" si="3"/>
        <v>0</v>
      </c>
    </row>
    <row r="206" spans="1:10" ht="16.5" customHeight="1">
      <c r="A206" s="1440" t="s">
        <v>401</v>
      </c>
      <c r="B206" s="1441" t="s">
        <v>402</v>
      </c>
      <c r="C206" s="1442">
        <v>0</v>
      </c>
      <c r="D206" s="1443">
        <v>0</v>
      </c>
      <c r="E206" s="1443">
        <v>20674543</v>
      </c>
      <c r="F206" s="1442">
        <v>20674543</v>
      </c>
      <c r="G206" s="1442">
        <v>0</v>
      </c>
      <c r="H206" s="1443">
        <v>0</v>
      </c>
      <c r="I206" s="1433"/>
      <c r="J206" s="1439">
        <f t="shared" si="3"/>
        <v>0</v>
      </c>
    </row>
    <row r="207" spans="1:10" ht="17.25" customHeight="1">
      <c r="A207" s="1440" t="s">
        <v>403</v>
      </c>
      <c r="B207" s="1441" t="s">
        <v>404</v>
      </c>
      <c r="C207" s="1442">
        <v>0</v>
      </c>
      <c r="D207" s="1443">
        <v>0</v>
      </c>
      <c r="E207" s="1443">
        <v>3000000</v>
      </c>
      <c r="F207" s="1442">
        <v>3000000</v>
      </c>
      <c r="G207" s="1442">
        <v>0</v>
      </c>
      <c r="H207" s="1443">
        <v>0</v>
      </c>
      <c r="I207" s="1433"/>
      <c r="J207" s="1439">
        <f t="shared" si="3"/>
        <v>0</v>
      </c>
    </row>
    <row r="208" spans="1:10" ht="17.25" customHeight="1">
      <c r="A208" s="1440" t="s">
        <v>405</v>
      </c>
      <c r="B208" s="1441" t="s">
        <v>406</v>
      </c>
      <c r="C208" s="1442">
        <v>0</v>
      </c>
      <c r="D208" s="1443">
        <v>0</v>
      </c>
      <c r="E208" s="1443">
        <v>156000000</v>
      </c>
      <c r="F208" s="1442">
        <v>156000000</v>
      </c>
      <c r="G208" s="1442">
        <v>0</v>
      </c>
      <c r="H208" s="1443">
        <v>0</v>
      </c>
      <c r="I208" s="1433"/>
      <c r="J208" s="1439">
        <f t="shared" si="3"/>
        <v>0</v>
      </c>
    </row>
    <row r="209" spans="1:10" ht="16.5" customHeight="1">
      <c r="A209" s="1440" t="s">
        <v>407</v>
      </c>
      <c r="B209" s="1441" t="s">
        <v>408</v>
      </c>
      <c r="C209" s="1442">
        <v>0</v>
      </c>
      <c r="D209" s="1443">
        <v>0</v>
      </c>
      <c r="E209" s="1443">
        <v>391863634</v>
      </c>
      <c r="F209" s="1442">
        <v>391863634</v>
      </c>
      <c r="G209" s="1442">
        <v>0</v>
      </c>
      <c r="H209" s="1443">
        <v>0</v>
      </c>
      <c r="I209" s="1433"/>
      <c r="J209" s="1439">
        <f t="shared" si="3"/>
        <v>0</v>
      </c>
    </row>
    <row r="210" spans="1:10" ht="17.25" customHeight="1">
      <c r="A210" s="1440" t="s">
        <v>413</v>
      </c>
      <c r="B210" s="1441" t="s">
        <v>414</v>
      </c>
      <c r="C210" s="1442">
        <v>0</v>
      </c>
      <c r="D210" s="1443">
        <v>0</v>
      </c>
      <c r="E210" s="1443">
        <v>61504806</v>
      </c>
      <c r="F210" s="1442">
        <v>61504806</v>
      </c>
      <c r="G210" s="1442">
        <v>0</v>
      </c>
      <c r="H210" s="1443">
        <v>0</v>
      </c>
      <c r="I210" s="1433"/>
      <c r="J210" s="1439">
        <f t="shared" si="3"/>
        <v>0</v>
      </c>
    </row>
    <row r="211" spans="1:10" ht="16.5" customHeight="1">
      <c r="A211" s="1440" t="s">
        <v>415</v>
      </c>
      <c r="B211" s="1441" t="s">
        <v>416</v>
      </c>
      <c r="C211" s="1442">
        <v>0</v>
      </c>
      <c r="D211" s="1443">
        <v>0</v>
      </c>
      <c r="E211" s="1443">
        <v>18409090</v>
      </c>
      <c r="F211" s="1442">
        <v>18409090</v>
      </c>
      <c r="G211" s="1442">
        <v>0</v>
      </c>
      <c r="H211" s="1443">
        <v>0</v>
      </c>
      <c r="I211" s="1433"/>
      <c r="J211" s="1439">
        <f t="shared" si="3"/>
        <v>0</v>
      </c>
    </row>
    <row r="212" spans="1:10" ht="16.5" customHeight="1">
      <c r="A212" s="1440" t="s">
        <v>417</v>
      </c>
      <c r="B212" s="1441" t="s">
        <v>418</v>
      </c>
      <c r="C212" s="1442">
        <v>0</v>
      </c>
      <c r="D212" s="1443">
        <v>0</v>
      </c>
      <c r="E212" s="1443">
        <v>8863000</v>
      </c>
      <c r="F212" s="1442">
        <v>8863000</v>
      </c>
      <c r="G212" s="1442">
        <v>0</v>
      </c>
      <c r="H212" s="1443">
        <v>0</v>
      </c>
      <c r="I212" s="1433"/>
      <c r="J212" s="1439">
        <f t="shared" si="3"/>
        <v>0</v>
      </c>
    </row>
    <row r="213" spans="1:10" ht="17.25" customHeight="1">
      <c r="A213" s="1440" t="s">
        <v>419</v>
      </c>
      <c r="B213" s="1441" t="s">
        <v>420</v>
      </c>
      <c r="C213" s="1442">
        <v>0</v>
      </c>
      <c r="D213" s="1443">
        <v>0</v>
      </c>
      <c r="E213" s="1443">
        <v>11700000</v>
      </c>
      <c r="F213" s="1442">
        <v>11700000</v>
      </c>
      <c r="G213" s="1442">
        <v>0</v>
      </c>
      <c r="H213" s="1443">
        <v>0</v>
      </c>
      <c r="I213" s="1433"/>
      <c r="J213" s="1439">
        <f t="shared" si="3"/>
        <v>0</v>
      </c>
    </row>
    <row r="214" spans="1:10" ht="17.25" customHeight="1">
      <c r="A214" s="1440" t="s">
        <v>421</v>
      </c>
      <c r="B214" s="1441" t="s">
        <v>364</v>
      </c>
      <c r="C214" s="1442">
        <v>0</v>
      </c>
      <c r="D214" s="1443">
        <v>0</v>
      </c>
      <c r="E214" s="1443">
        <v>298211753</v>
      </c>
      <c r="F214" s="1442">
        <v>298211753</v>
      </c>
      <c r="G214" s="1442">
        <v>0</v>
      </c>
      <c r="H214" s="1443">
        <v>0</v>
      </c>
      <c r="I214" s="1433"/>
      <c r="J214" s="1439">
        <f t="shared" si="3"/>
        <v>0</v>
      </c>
    </row>
    <row r="215" spans="1:10" ht="16.5" customHeight="1">
      <c r="A215" s="1440" t="s">
        <v>422</v>
      </c>
      <c r="B215" s="1441" t="s">
        <v>423</v>
      </c>
      <c r="C215" s="1442">
        <v>0</v>
      </c>
      <c r="D215" s="1443">
        <v>0</v>
      </c>
      <c r="E215" s="1443">
        <v>18648148</v>
      </c>
      <c r="F215" s="1442">
        <v>18648148</v>
      </c>
      <c r="G215" s="1442">
        <v>0</v>
      </c>
      <c r="H215" s="1443">
        <v>0</v>
      </c>
      <c r="I215" s="1433"/>
      <c r="J215" s="1439">
        <f t="shared" si="3"/>
        <v>0</v>
      </c>
    </row>
    <row r="216" spans="1:10" ht="17.25" customHeight="1">
      <c r="A216" s="1440" t="s">
        <v>424</v>
      </c>
      <c r="B216" s="1441" t="s">
        <v>288</v>
      </c>
      <c r="C216" s="1442">
        <v>0</v>
      </c>
      <c r="D216" s="1443">
        <v>0</v>
      </c>
      <c r="E216" s="1443">
        <v>118586863</v>
      </c>
      <c r="F216" s="1442">
        <v>118586863</v>
      </c>
      <c r="G216" s="1442">
        <v>0</v>
      </c>
      <c r="H216" s="1443">
        <v>0</v>
      </c>
      <c r="I216" s="1433"/>
      <c r="J216" s="1439">
        <f t="shared" si="3"/>
        <v>0</v>
      </c>
    </row>
    <row r="217" spans="1:10" ht="16.5" customHeight="1">
      <c r="A217" s="1440" t="s">
        <v>425</v>
      </c>
      <c r="B217" s="1441" t="s">
        <v>426</v>
      </c>
      <c r="C217" s="1442">
        <v>0</v>
      </c>
      <c r="D217" s="1443">
        <v>0</v>
      </c>
      <c r="E217" s="1443">
        <v>31371456</v>
      </c>
      <c r="F217" s="1442">
        <v>31371456</v>
      </c>
      <c r="G217" s="1442">
        <v>0</v>
      </c>
      <c r="H217" s="1443">
        <v>0</v>
      </c>
      <c r="I217" s="1433"/>
      <c r="J217" s="1439">
        <f t="shared" si="3"/>
        <v>0</v>
      </c>
    </row>
    <row r="218" spans="1:10" ht="17.25" customHeight="1">
      <c r="A218" s="1440" t="s">
        <v>427</v>
      </c>
      <c r="B218" s="1441" t="s">
        <v>428</v>
      </c>
      <c r="C218" s="1442">
        <v>0</v>
      </c>
      <c r="D218" s="1443">
        <v>0</v>
      </c>
      <c r="E218" s="1443">
        <v>108462787</v>
      </c>
      <c r="F218" s="1442">
        <v>108462787</v>
      </c>
      <c r="G218" s="1442">
        <v>0</v>
      </c>
      <c r="H218" s="1443">
        <v>0</v>
      </c>
      <c r="I218" s="1433"/>
      <c r="J218" s="1439">
        <f t="shared" si="3"/>
        <v>0</v>
      </c>
    </row>
    <row r="219" spans="1:10" ht="17.25" customHeight="1">
      <c r="A219" s="1440" t="s">
        <v>431</v>
      </c>
      <c r="B219" s="1441" t="s">
        <v>355</v>
      </c>
      <c r="C219" s="1442">
        <v>0</v>
      </c>
      <c r="D219" s="1443">
        <v>0</v>
      </c>
      <c r="E219" s="1443">
        <v>3715170</v>
      </c>
      <c r="F219" s="1442">
        <v>3715170</v>
      </c>
      <c r="G219" s="1442">
        <v>0</v>
      </c>
      <c r="H219" s="1443">
        <v>0</v>
      </c>
      <c r="I219" s="1433"/>
      <c r="J219" s="1439">
        <f t="shared" si="3"/>
        <v>0</v>
      </c>
    </row>
    <row r="220" spans="1:10" ht="24.75" customHeight="1">
      <c r="A220" s="1440" t="s">
        <v>432</v>
      </c>
      <c r="B220" s="1441" t="s">
        <v>433</v>
      </c>
      <c r="C220" s="1442">
        <v>0</v>
      </c>
      <c r="D220" s="1443">
        <v>0</v>
      </c>
      <c r="E220" s="1443">
        <v>4072000</v>
      </c>
      <c r="F220" s="1442">
        <v>4072000</v>
      </c>
      <c r="G220" s="1442">
        <v>0</v>
      </c>
      <c r="H220" s="1443">
        <v>0</v>
      </c>
      <c r="I220" s="1433"/>
      <c r="J220" s="1439">
        <f t="shared" si="3"/>
        <v>0</v>
      </c>
    </row>
    <row r="221" spans="1:10" ht="17.25" customHeight="1">
      <c r="A221" s="1435" t="s">
        <v>434</v>
      </c>
      <c r="B221" s="1436" t="s">
        <v>302</v>
      </c>
      <c r="C221" s="1437">
        <v>0</v>
      </c>
      <c r="D221" s="1438">
        <v>0</v>
      </c>
      <c r="E221" s="1438">
        <v>261821499</v>
      </c>
      <c r="F221" s="1437">
        <v>261821499</v>
      </c>
      <c r="G221" s="1437">
        <v>0</v>
      </c>
      <c r="H221" s="1438">
        <v>0</v>
      </c>
      <c r="I221" s="1433"/>
      <c r="J221" s="1439">
        <f t="shared" si="3"/>
        <v>0</v>
      </c>
    </row>
    <row r="222" spans="1:10" ht="16.5" customHeight="1">
      <c r="A222" s="1440" t="s">
        <v>435</v>
      </c>
      <c r="B222" s="1441" t="s">
        <v>436</v>
      </c>
      <c r="C222" s="1442">
        <v>0</v>
      </c>
      <c r="D222" s="1443">
        <v>0</v>
      </c>
      <c r="E222" s="1443">
        <v>237140640</v>
      </c>
      <c r="F222" s="1442">
        <v>237140640</v>
      </c>
      <c r="G222" s="1442">
        <v>0</v>
      </c>
      <c r="H222" s="1443">
        <v>0</v>
      </c>
      <c r="I222" s="1433"/>
      <c r="J222" s="1439">
        <f t="shared" si="3"/>
        <v>0</v>
      </c>
    </row>
    <row r="223" spans="1:10" ht="17.25" customHeight="1">
      <c r="A223" s="1440" t="s">
        <v>437</v>
      </c>
      <c r="B223" s="1441" t="s">
        <v>302</v>
      </c>
      <c r="C223" s="1442">
        <v>0</v>
      </c>
      <c r="D223" s="1443">
        <v>0</v>
      </c>
      <c r="E223" s="1443">
        <v>21815059</v>
      </c>
      <c r="F223" s="1442">
        <v>21815059</v>
      </c>
      <c r="G223" s="1442">
        <v>0</v>
      </c>
      <c r="H223" s="1443">
        <v>0</v>
      </c>
      <c r="I223" s="1433"/>
      <c r="J223" s="1439">
        <f t="shared" si="3"/>
        <v>0</v>
      </c>
    </row>
    <row r="224" spans="1:10" ht="17.25" customHeight="1">
      <c r="A224" s="1440" t="s">
        <v>438</v>
      </c>
      <c r="B224" s="1441" t="s">
        <v>439</v>
      </c>
      <c r="C224" s="1442">
        <v>0</v>
      </c>
      <c r="D224" s="1443">
        <v>0</v>
      </c>
      <c r="E224" s="1443">
        <v>2865800</v>
      </c>
      <c r="F224" s="1442">
        <v>2865800</v>
      </c>
      <c r="G224" s="1442">
        <v>0</v>
      </c>
      <c r="H224" s="1443">
        <v>0</v>
      </c>
      <c r="I224" s="1433"/>
      <c r="J224" s="1439">
        <f t="shared" si="3"/>
        <v>0</v>
      </c>
    </row>
    <row r="225" spans="1:10" ht="16.5" customHeight="1">
      <c r="A225" s="1435" t="s">
        <v>442</v>
      </c>
      <c r="B225" s="1436" t="s">
        <v>443</v>
      </c>
      <c r="C225" s="1437">
        <v>0</v>
      </c>
      <c r="D225" s="1438">
        <v>0</v>
      </c>
      <c r="E225" s="1438">
        <v>3639244</v>
      </c>
      <c r="F225" s="1437">
        <v>3639244</v>
      </c>
      <c r="G225" s="1437">
        <v>0</v>
      </c>
      <c r="H225" s="1438">
        <v>0</v>
      </c>
      <c r="I225" s="1433"/>
      <c r="J225" s="1439">
        <f t="shared" si="3"/>
        <v>0</v>
      </c>
    </row>
    <row r="226" spans="1:10" ht="17.25" customHeight="1">
      <c r="A226" s="1435" t="s">
        <v>444</v>
      </c>
      <c r="B226" s="1436" t="s">
        <v>445</v>
      </c>
      <c r="C226" s="1437">
        <v>0</v>
      </c>
      <c r="D226" s="1438">
        <v>0</v>
      </c>
      <c r="E226" s="1438">
        <v>3200143</v>
      </c>
      <c r="F226" s="1437">
        <v>3200143</v>
      </c>
      <c r="G226" s="1437">
        <v>0</v>
      </c>
      <c r="H226" s="1438">
        <v>0</v>
      </c>
      <c r="I226" s="1433"/>
      <c r="J226" s="1439">
        <f t="shared" si="3"/>
        <v>0</v>
      </c>
    </row>
    <row r="227" spans="1:10" ht="16.5" customHeight="1">
      <c r="A227" s="1435" t="s">
        <v>446</v>
      </c>
      <c r="B227" s="1436" t="s">
        <v>447</v>
      </c>
      <c r="C227" s="1437">
        <v>0</v>
      </c>
      <c r="D227" s="1438">
        <v>0</v>
      </c>
      <c r="E227" s="1438">
        <v>136443922646</v>
      </c>
      <c r="F227" s="1437">
        <v>136443922646</v>
      </c>
      <c r="G227" s="1437">
        <v>0</v>
      </c>
      <c r="H227" s="1438">
        <v>0</v>
      </c>
      <c r="I227" s="1433"/>
      <c r="J227" s="1439">
        <f t="shared" si="3"/>
        <v>0</v>
      </c>
    </row>
    <row r="228" spans="1:10" ht="17.25" customHeight="1">
      <c r="A228" s="1668" t="s">
        <v>448</v>
      </c>
      <c r="B228" s="1666"/>
      <c r="C228" s="1437">
        <v>2719733744024</v>
      </c>
      <c r="D228" s="1438">
        <v>2719733744025</v>
      </c>
      <c r="E228" s="1438">
        <v>20892828295873</v>
      </c>
      <c r="F228" s="1437">
        <v>20892828295873</v>
      </c>
      <c r="G228" s="1437">
        <v>2685887582794</v>
      </c>
      <c r="H228" s="1438">
        <v>2685887582795</v>
      </c>
      <c r="I228" s="1433"/>
      <c r="J228" s="1439">
        <f t="shared" si="3"/>
        <v>-1</v>
      </c>
    </row>
    <row r="229" spans="1:10" ht="73.5" customHeight="1">
      <c r="A229" s="1452"/>
      <c r="B229" s="1452"/>
      <c r="C229" s="1452"/>
      <c r="D229" s="1452"/>
      <c r="E229" s="1452"/>
      <c r="F229" s="1452"/>
      <c r="G229" s="1452"/>
      <c r="H229" s="1452"/>
    </row>
    <row r="230" spans="1:10" ht="59.25" customHeight="1"/>
    <row r="231" spans="1:10" ht="58.5" customHeight="1"/>
    <row r="232" spans="1:10" ht="17.25" customHeight="1">
      <c r="G232" s="1661"/>
      <c r="H232" s="1661"/>
    </row>
    <row r="233" spans="1:10" ht="13.5" customHeight="1">
      <c r="A233" s="1662" t="s">
        <v>3206</v>
      </c>
      <c r="B233" s="1661"/>
      <c r="C233" s="1661"/>
      <c r="D233" s="1661"/>
      <c r="E233" s="1661"/>
      <c r="F233" s="1661"/>
    </row>
    <row r="234" spans="1:10" ht="14.25" customHeight="1">
      <c r="A234" s="1662" t="s">
        <v>3207</v>
      </c>
      <c r="B234" s="1661"/>
      <c r="C234" s="1661"/>
      <c r="D234" s="1661"/>
      <c r="E234" s="1661"/>
      <c r="F234" s="1661"/>
    </row>
    <row r="235" spans="1:10" ht="11.25" customHeight="1"/>
    <row r="236" spans="1:10" ht="16.5" customHeight="1">
      <c r="G236" s="1661"/>
      <c r="H236" s="1661"/>
    </row>
    <row r="237" spans="1:10" ht="17.25" customHeight="1">
      <c r="A237" s="1663" t="s">
        <v>3208</v>
      </c>
      <c r="B237" s="1661"/>
      <c r="D237" s="1661"/>
      <c r="E237" s="1661"/>
      <c r="F237" s="1661"/>
      <c r="G237" s="1661"/>
      <c r="H237" s="1661"/>
    </row>
    <row r="238" spans="1:10" ht="17.25" customHeight="1">
      <c r="A238" s="1664" t="s">
        <v>3209</v>
      </c>
      <c r="B238" s="1661"/>
      <c r="D238" s="1661"/>
      <c r="E238" s="1661"/>
      <c r="F238" s="1661"/>
      <c r="G238" s="1661"/>
      <c r="H238" s="1661"/>
    </row>
    <row r="239" spans="1:10" ht="37.5" customHeight="1"/>
    <row r="240" spans="1:10" ht="37.5" customHeight="1"/>
    <row r="241" spans="7:8" ht="17.25" customHeight="1"/>
    <row r="242" spans="7:8" ht="39.75" customHeight="1"/>
    <row r="243" spans="7:8" ht="73.5" customHeight="1"/>
    <row r="244" spans="7:8" ht="73.5" customHeight="1"/>
    <row r="245" spans="7:8" ht="73.5" customHeight="1"/>
    <row r="246" spans="7:8" ht="57" customHeight="1"/>
    <row r="247" spans="7:8" ht="57" customHeight="1"/>
    <row r="248" spans="7:8" ht="17.25" customHeight="1">
      <c r="G248" s="1661"/>
      <c r="H248" s="1661"/>
    </row>
    <row r="249" spans="7:8" ht="12.75" customHeight="1"/>
    <row r="250" spans="7:8" ht="12.75" customHeight="1"/>
    <row r="251" spans="7:8" ht="12.75" customHeight="1"/>
    <row r="252" spans="7:8" ht="12.75" customHeight="1"/>
    <row r="253" spans="7:8" ht="12.75" customHeight="1"/>
    <row r="254" spans="7:8" ht="12.75" customHeight="1"/>
    <row r="255" spans="7:8" ht="12.75" customHeight="1"/>
    <row r="256" spans="7:8"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sheetData>
  <autoFilter ref="A3:H112" xr:uid="{B223A373-1FEC-481C-8636-271E49AD15F0}"/>
  <mergeCells count="15">
    <mergeCell ref="A233:F233"/>
    <mergeCell ref="C2:D2"/>
    <mergeCell ref="E2:F2"/>
    <mergeCell ref="G2:H2"/>
    <mergeCell ref="A228:B228"/>
    <mergeCell ref="G232:H232"/>
    <mergeCell ref="G248:H248"/>
    <mergeCell ref="A234:F234"/>
    <mergeCell ref="G236:H236"/>
    <mergeCell ref="A237:B237"/>
    <mergeCell ref="D237:F237"/>
    <mergeCell ref="G237:H237"/>
    <mergeCell ref="A238:B238"/>
    <mergeCell ref="D238:F238"/>
    <mergeCell ref="G238:H238"/>
  </mergeCells>
  <pageMargins left="0.7" right="0.7" top="0.75" bottom="0.75" header="0" footer="0"/>
  <pageSetup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7130C-F467-4609-A946-77DC78715895}">
  <dimension ref="A1:S15"/>
  <sheetViews>
    <sheetView workbookViewId="0">
      <selection activeCell="M2" sqref="M2"/>
    </sheetView>
  </sheetViews>
  <sheetFormatPr defaultRowHeight="15"/>
  <cols>
    <col min="13" max="13" width="10.42578125" bestFit="1" customWidth="1"/>
  </cols>
  <sheetData>
    <row r="1" spans="1:19">
      <c r="A1" t="s">
        <v>3210</v>
      </c>
    </row>
    <row r="2" spans="1:19">
      <c r="M2" s="101">
        <f>SUM(M4:M15)</f>
        <v>52156748</v>
      </c>
    </row>
    <row r="3" spans="1:19" ht="33.75">
      <c r="A3" s="93" t="s">
        <v>449</v>
      </c>
      <c r="B3" s="93" t="s">
        <v>450</v>
      </c>
      <c r="C3" s="94" t="s">
        <v>451</v>
      </c>
      <c r="D3" s="93" t="s">
        <v>452</v>
      </c>
      <c r="E3" s="94" t="s">
        <v>453</v>
      </c>
      <c r="F3" s="94" t="s">
        <v>454</v>
      </c>
      <c r="G3" s="94" t="s">
        <v>455</v>
      </c>
      <c r="H3" s="94" t="s">
        <v>456</v>
      </c>
      <c r="I3" s="94" t="s">
        <v>458</v>
      </c>
      <c r="J3" s="94" t="s">
        <v>457</v>
      </c>
      <c r="K3" s="94" t="s">
        <v>749</v>
      </c>
      <c r="L3" s="95" t="s">
        <v>459</v>
      </c>
      <c r="M3" s="95" t="s">
        <v>460</v>
      </c>
      <c r="N3" s="94" t="s">
        <v>461</v>
      </c>
      <c r="O3" s="94" t="s">
        <v>462</v>
      </c>
      <c r="P3" s="94" t="s">
        <v>464</v>
      </c>
      <c r="Q3" s="94" t="s">
        <v>465</v>
      </c>
      <c r="R3" s="94" t="s">
        <v>752</v>
      </c>
      <c r="S3" s="94" t="s">
        <v>466</v>
      </c>
    </row>
    <row r="4" spans="1:19">
      <c r="A4" s="96">
        <v>45322</v>
      </c>
      <c r="B4" s="96">
        <v>45322</v>
      </c>
      <c r="C4" s="97" t="s">
        <v>3211</v>
      </c>
      <c r="D4" s="96"/>
      <c r="E4" s="97"/>
      <c r="F4" s="97" t="s">
        <v>3212</v>
      </c>
      <c r="G4" s="97" t="s">
        <v>3212</v>
      </c>
      <c r="H4" s="97" t="s">
        <v>249</v>
      </c>
      <c r="I4" s="97" t="s">
        <v>247</v>
      </c>
      <c r="J4" s="97" t="s">
        <v>179</v>
      </c>
      <c r="K4" s="97" t="s">
        <v>156</v>
      </c>
      <c r="L4" s="98">
        <v>0</v>
      </c>
      <c r="M4" s="98">
        <v>2408926</v>
      </c>
      <c r="N4" s="97" t="s">
        <v>3213</v>
      </c>
      <c r="O4" s="97" t="s">
        <v>3206</v>
      </c>
      <c r="P4" s="97"/>
      <c r="Q4" s="97"/>
      <c r="R4" s="97"/>
      <c r="S4" s="97" t="s">
        <v>488</v>
      </c>
    </row>
    <row r="5" spans="1:19">
      <c r="A5" s="96">
        <v>45351</v>
      </c>
      <c r="B5" s="96">
        <v>45351</v>
      </c>
      <c r="C5" s="97" t="s">
        <v>3214</v>
      </c>
      <c r="D5" s="96"/>
      <c r="E5" s="97"/>
      <c r="F5" s="97" t="s">
        <v>3215</v>
      </c>
      <c r="G5" s="97" t="s">
        <v>3215</v>
      </c>
      <c r="H5" s="97" t="s">
        <v>249</v>
      </c>
      <c r="I5" s="97" t="s">
        <v>247</v>
      </c>
      <c r="J5" s="97" t="s">
        <v>179</v>
      </c>
      <c r="K5" s="97" t="s">
        <v>156</v>
      </c>
      <c r="L5" s="98">
        <v>0</v>
      </c>
      <c r="M5" s="98">
        <v>1974374</v>
      </c>
      <c r="N5" s="97" t="s">
        <v>3213</v>
      </c>
      <c r="O5" s="97" t="s">
        <v>3206</v>
      </c>
      <c r="P5" s="97"/>
      <c r="Q5" s="97"/>
      <c r="R5" s="97"/>
      <c r="S5" s="97" t="s">
        <v>488</v>
      </c>
    </row>
    <row r="6" spans="1:19">
      <c r="A6" s="96">
        <v>45382</v>
      </c>
      <c r="B6" s="96">
        <v>45382</v>
      </c>
      <c r="C6" s="97" t="s">
        <v>3216</v>
      </c>
      <c r="D6" s="96"/>
      <c r="E6" s="97"/>
      <c r="F6" s="97" t="s">
        <v>3217</v>
      </c>
      <c r="G6" s="97" t="s">
        <v>3217</v>
      </c>
      <c r="H6" s="97" t="s">
        <v>249</v>
      </c>
      <c r="I6" s="97" t="s">
        <v>247</v>
      </c>
      <c r="J6" s="97" t="s">
        <v>179</v>
      </c>
      <c r="K6" s="97" t="s">
        <v>156</v>
      </c>
      <c r="L6" s="98">
        <v>0</v>
      </c>
      <c r="M6" s="98">
        <v>13235952</v>
      </c>
      <c r="N6" s="97" t="s">
        <v>3213</v>
      </c>
      <c r="O6" s="97" t="s">
        <v>3206</v>
      </c>
      <c r="P6" s="97"/>
      <c r="Q6" s="97"/>
      <c r="R6" s="97"/>
      <c r="S6" s="97" t="s">
        <v>488</v>
      </c>
    </row>
    <row r="7" spans="1:19">
      <c r="A7" s="96">
        <v>45412</v>
      </c>
      <c r="B7" s="96">
        <v>45412</v>
      </c>
      <c r="C7" s="97" t="s">
        <v>3218</v>
      </c>
      <c r="D7" s="96"/>
      <c r="E7" s="97"/>
      <c r="F7" s="97" t="s">
        <v>3219</v>
      </c>
      <c r="G7" s="97" t="s">
        <v>3219</v>
      </c>
      <c r="H7" s="97" t="s">
        <v>249</v>
      </c>
      <c r="I7" s="97" t="s">
        <v>247</v>
      </c>
      <c r="J7" s="97" t="s">
        <v>179</v>
      </c>
      <c r="K7" s="97" t="s">
        <v>156</v>
      </c>
      <c r="L7" s="98">
        <v>0</v>
      </c>
      <c r="M7" s="98">
        <v>-9735683</v>
      </c>
      <c r="N7" s="97" t="s">
        <v>3213</v>
      </c>
      <c r="O7" s="97" t="s">
        <v>3206</v>
      </c>
      <c r="P7" s="97"/>
      <c r="Q7" s="97"/>
      <c r="R7" s="97"/>
      <c r="S7" s="97" t="s">
        <v>488</v>
      </c>
    </row>
    <row r="8" spans="1:19">
      <c r="A8" s="96">
        <v>45443</v>
      </c>
      <c r="B8" s="96">
        <v>45443</v>
      </c>
      <c r="C8" s="97" t="s">
        <v>3220</v>
      </c>
      <c r="D8" s="96"/>
      <c r="E8" s="97"/>
      <c r="F8" s="97" t="s">
        <v>3221</v>
      </c>
      <c r="G8" s="97" t="s">
        <v>3221</v>
      </c>
      <c r="H8" s="97" t="s">
        <v>249</v>
      </c>
      <c r="I8" s="97" t="s">
        <v>247</v>
      </c>
      <c r="J8" s="97" t="s">
        <v>179</v>
      </c>
      <c r="K8" s="97" t="s">
        <v>156</v>
      </c>
      <c r="L8" s="98">
        <v>0</v>
      </c>
      <c r="M8" s="98">
        <v>9803339</v>
      </c>
      <c r="N8" s="97" t="s">
        <v>3213</v>
      </c>
      <c r="O8" s="97" t="s">
        <v>3206</v>
      </c>
      <c r="P8" s="97"/>
      <c r="Q8" s="97"/>
      <c r="R8" s="97"/>
      <c r="S8" s="97" t="s">
        <v>488</v>
      </c>
    </row>
    <row r="9" spans="1:19">
      <c r="A9" s="96">
        <v>45473</v>
      </c>
      <c r="B9" s="96">
        <v>45473</v>
      </c>
      <c r="C9" s="97" t="s">
        <v>3222</v>
      </c>
      <c r="D9" s="96"/>
      <c r="E9" s="97"/>
      <c r="F9" s="97" t="s">
        <v>3223</v>
      </c>
      <c r="G9" s="97" t="s">
        <v>3223</v>
      </c>
      <c r="H9" s="97" t="s">
        <v>249</v>
      </c>
      <c r="I9" s="97" t="s">
        <v>247</v>
      </c>
      <c r="J9" s="97" t="s">
        <v>179</v>
      </c>
      <c r="K9" s="97" t="s">
        <v>156</v>
      </c>
      <c r="L9" s="98">
        <v>0</v>
      </c>
      <c r="M9" s="98">
        <v>4675024</v>
      </c>
      <c r="N9" s="97" t="s">
        <v>3213</v>
      </c>
      <c r="O9" s="97" t="s">
        <v>3206</v>
      </c>
      <c r="P9" s="97"/>
      <c r="Q9" s="97"/>
      <c r="R9" s="97"/>
      <c r="S9" s="97" t="s">
        <v>488</v>
      </c>
    </row>
    <row r="10" spans="1:19">
      <c r="A10" s="96">
        <v>45504</v>
      </c>
      <c r="B10" s="96">
        <v>45504</v>
      </c>
      <c r="C10" s="97" t="s">
        <v>3224</v>
      </c>
      <c r="D10" s="96"/>
      <c r="E10" s="97"/>
      <c r="F10" s="97" t="s">
        <v>3225</v>
      </c>
      <c r="G10" s="97" t="s">
        <v>3225</v>
      </c>
      <c r="H10" s="97" t="s">
        <v>249</v>
      </c>
      <c r="I10" s="97" t="s">
        <v>247</v>
      </c>
      <c r="J10" s="97" t="s">
        <v>179</v>
      </c>
      <c r="K10" s="97" t="s">
        <v>156</v>
      </c>
      <c r="L10" s="98">
        <v>0</v>
      </c>
      <c r="M10" s="98">
        <v>4611078</v>
      </c>
      <c r="N10" s="97" t="s">
        <v>3213</v>
      </c>
      <c r="O10" s="97" t="s">
        <v>3206</v>
      </c>
      <c r="P10" s="97"/>
      <c r="Q10" s="97"/>
      <c r="R10" s="97"/>
      <c r="S10" s="97" t="s">
        <v>488</v>
      </c>
    </row>
    <row r="11" spans="1:19">
      <c r="A11" s="96">
        <v>45535</v>
      </c>
      <c r="B11" s="96">
        <v>45535</v>
      </c>
      <c r="C11" s="97" t="s">
        <v>3226</v>
      </c>
      <c r="D11" s="96"/>
      <c r="E11" s="97"/>
      <c r="F11" s="97" t="s">
        <v>3227</v>
      </c>
      <c r="G11" s="97" t="s">
        <v>3227</v>
      </c>
      <c r="H11" s="97" t="s">
        <v>249</v>
      </c>
      <c r="I11" s="97" t="s">
        <v>247</v>
      </c>
      <c r="J11" s="97" t="s">
        <v>179</v>
      </c>
      <c r="K11" s="97" t="s">
        <v>156</v>
      </c>
      <c r="L11" s="98">
        <v>0</v>
      </c>
      <c r="M11" s="98">
        <v>1719315</v>
      </c>
      <c r="N11" s="97" t="s">
        <v>3213</v>
      </c>
      <c r="O11" s="97" t="s">
        <v>3206</v>
      </c>
      <c r="P11" s="97"/>
      <c r="Q11" s="97"/>
      <c r="R11" s="97"/>
      <c r="S11" s="97" t="s">
        <v>488</v>
      </c>
    </row>
    <row r="12" spans="1:19">
      <c r="A12" s="96">
        <v>45574</v>
      </c>
      <c r="B12" s="96">
        <v>45574</v>
      </c>
      <c r="C12" s="97" t="s">
        <v>3228</v>
      </c>
      <c r="D12" s="96"/>
      <c r="E12" s="97"/>
      <c r="F12" s="97" t="s">
        <v>3229</v>
      </c>
      <c r="G12" s="97" t="s">
        <v>3229</v>
      </c>
      <c r="H12" s="97" t="s">
        <v>249</v>
      </c>
      <c r="I12" s="97" t="s">
        <v>247</v>
      </c>
      <c r="J12" s="97" t="s">
        <v>179</v>
      </c>
      <c r="K12" s="97" t="s">
        <v>156</v>
      </c>
      <c r="L12" s="98">
        <v>0</v>
      </c>
      <c r="M12" s="98">
        <v>12194429</v>
      </c>
      <c r="N12" s="97" t="s">
        <v>3213</v>
      </c>
      <c r="O12" s="97" t="s">
        <v>3206</v>
      </c>
      <c r="P12" s="97"/>
      <c r="Q12" s="97"/>
      <c r="R12" s="97"/>
      <c r="S12" s="97" t="s">
        <v>488</v>
      </c>
    </row>
    <row r="13" spans="1:19">
      <c r="A13" s="96">
        <v>45596</v>
      </c>
      <c r="B13" s="96">
        <v>45596</v>
      </c>
      <c r="C13" s="97" t="s">
        <v>3230</v>
      </c>
      <c r="D13" s="96"/>
      <c r="E13" s="97"/>
      <c r="F13" s="97" t="s">
        <v>3231</v>
      </c>
      <c r="G13" s="97" t="s">
        <v>3231</v>
      </c>
      <c r="H13" s="97" t="s">
        <v>249</v>
      </c>
      <c r="I13" s="97" t="s">
        <v>247</v>
      </c>
      <c r="J13" s="97" t="s">
        <v>179</v>
      </c>
      <c r="K13" s="97" t="s">
        <v>156</v>
      </c>
      <c r="L13" s="98">
        <v>0</v>
      </c>
      <c r="M13" s="98">
        <v>5075096</v>
      </c>
      <c r="N13" s="97" t="s">
        <v>3213</v>
      </c>
      <c r="O13" s="97" t="s">
        <v>3206</v>
      </c>
      <c r="P13" s="97"/>
      <c r="Q13" s="97"/>
      <c r="R13" s="97"/>
      <c r="S13" s="97" t="s">
        <v>488</v>
      </c>
    </row>
    <row r="14" spans="1:19">
      <c r="A14" s="96">
        <v>45626</v>
      </c>
      <c r="B14" s="96">
        <v>45626</v>
      </c>
      <c r="C14" s="97" t="s">
        <v>3232</v>
      </c>
      <c r="D14" s="96"/>
      <c r="E14" s="97"/>
      <c r="F14" s="97" t="s">
        <v>3233</v>
      </c>
      <c r="G14" s="97" t="s">
        <v>3233</v>
      </c>
      <c r="H14" s="97" t="s">
        <v>249</v>
      </c>
      <c r="I14" s="97" t="s">
        <v>247</v>
      </c>
      <c r="J14" s="97" t="s">
        <v>179</v>
      </c>
      <c r="K14" s="97" t="s">
        <v>156</v>
      </c>
      <c r="L14" s="98">
        <v>0</v>
      </c>
      <c r="M14" s="98">
        <v>1642649</v>
      </c>
      <c r="N14" s="97" t="s">
        <v>3213</v>
      </c>
      <c r="O14" s="97" t="s">
        <v>3206</v>
      </c>
      <c r="P14" s="97"/>
      <c r="Q14" s="97"/>
      <c r="R14" s="97"/>
      <c r="S14" s="97" t="s">
        <v>488</v>
      </c>
    </row>
    <row r="15" spans="1:19">
      <c r="A15" s="96">
        <v>45657</v>
      </c>
      <c r="B15" s="96">
        <v>45657</v>
      </c>
      <c r="C15" s="97" t="s">
        <v>3234</v>
      </c>
      <c r="D15" s="96"/>
      <c r="E15" s="97"/>
      <c r="F15" s="97" t="s">
        <v>3235</v>
      </c>
      <c r="G15" s="97" t="s">
        <v>3235</v>
      </c>
      <c r="H15" s="97" t="s">
        <v>249</v>
      </c>
      <c r="I15" s="97" t="s">
        <v>247</v>
      </c>
      <c r="J15" s="97" t="s">
        <v>179</v>
      </c>
      <c r="K15" s="97" t="s">
        <v>156</v>
      </c>
      <c r="L15" s="98">
        <v>0</v>
      </c>
      <c r="M15" s="98">
        <v>4552249</v>
      </c>
      <c r="N15" s="97" t="s">
        <v>3213</v>
      </c>
      <c r="O15" s="97" t="s">
        <v>3206</v>
      </c>
      <c r="P15" s="97"/>
      <c r="Q15" s="97"/>
      <c r="R15" s="97"/>
      <c r="S15" s="97" t="s">
        <v>488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54558-57C0-4B5A-A618-0CC0ED538C44}">
  <sheetPr codeName="Sheet22">
    <tabColor rgb="FFFF0000"/>
    <outlinePr summaryBelow="0" summaryRight="0"/>
  </sheetPr>
  <dimension ref="B1:X306"/>
  <sheetViews>
    <sheetView topLeftCell="B1" zoomScale="70" zoomScaleNormal="70" workbookViewId="0">
      <pane ySplit="6" topLeftCell="A202" activePane="bottomLeft" state="frozen"/>
      <selection pane="bottomLeft" activeCell="G218" sqref="G218"/>
    </sheetView>
  </sheetViews>
  <sheetFormatPr defaultColWidth="9.140625" defaultRowHeight="12.75" outlineLevelRow="2"/>
  <cols>
    <col min="1" max="1" width="1.140625" style="2" customWidth="1"/>
    <col min="2" max="2" width="9.140625" style="2"/>
    <col min="3" max="3" width="11.42578125" style="2" bestFit="1" customWidth="1"/>
    <col min="4" max="4" width="9.140625" style="2"/>
    <col min="5" max="5" width="9.85546875" style="2" bestFit="1" customWidth="1"/>
    <col min="6" max="6" width="42.85546875" style="2" bestFit="1" customWidth="1"/>
    <col min="7" max="7" width="18.42578125" style="291" bestFit="1" customWidth="1"/>
    <col min="8" max="8" width="19.140625" style="291" bestFit="1" customWidth="1"/>
    <col min="9" max="9" width="16.42578125" style="291" bestFit="1" customWidth="1"/>
    <col min="10" max="10" width="17.140625" style="291" bestFit="1" customWidth="1"/>
    <col min="11" max="11" width="18.5703125" style="291" bestFit="1" customWidth="1"/>
    <col min="12" max="12" width="9.140625" style="2"/>
    <col min="13" max="13" width="14.42578125" style="2" customWidth="1"/>
    <col min="14" max="14" width="43.42578125" style="2" customWidth="1"/>
    <col min="15" max="15" width="22.85546875" style="2" bestFit="1" customWidth="1"/>
    <col min="16" max="16" width="15.42578125" style="2" bestFit="1" customWidth="1"/>
    <col min="17" max="17" width="16" style="2" bestFit="1" customWidth="1"/>
    <col min="18" max="18" width="15.42578125" style="2" bestFit="1" customWidth="1"/>
    <col min="19" max="19" width="15" style="2" bestFit="1" customWidth="1"/>
    <col min="20" max="21" width="9.140625" style="2"/>
    <col min="22" max="23" width="14.5703125" style="2" bestFit="1" customWidth="1"/>
    <col min="24" max="24" width="11.85546875" style="2" bestFit="1" customWidth="1"/>
    <col min="25" max="16384" width="9.140625" style="2"/>
  </cols>
  <sheetData>
    <row r="1" spans="2:24">
      <c r="B1" s="1" t="s">
        <v>0</v>
      </c>
      <c r="C1" s="850" t="s">
        <v>1</v>
      </c>
      <c r="D1" s="850"/>
      <c r="E1" s="850"/>
      <c r="F1" s="850"/>
      <c r="G1" s="848"/>
      <c r="H1" s="848"/>
      <c r="I1" s="848"/>
      <c r="J1" s="848"/>
      <c r="K1" s="848"/>
      <c r="L1" s="850"/>
      <c r="M1" s="850"/>
      <c r="N1" s="850" t="s">
        <v>3236</v>
      </c>
      <c r="O1" s="850"/>
      <c r="P1" s="850"/>
      <c r="Q1" s="850"/>
      <c r="R1" s="850"/>
      <c r="S1" s="850"/>
      <c r="T1" s="850"/>
      <c r="U1" s="850"/>
      <c r="V1" s="850"/>
      <c r="W1" s="850"/>
      <c r="X1" s="850"/>
    </row>
    <row r="2" spans="2:24">
      <c r="B2" s="1" t="s">
        <v>2</v>
      </c>
      <c r="C2" s="852">
        <v>45657</v>
      </c>
      <c r="D2" s="850"/>
      <c r="E2" s="850"/>
      <c r="F2" s="850"/>
      <c r="G2" s="848"/>
      <c r="H2" s="848"/>
      <c r="I2" s="848"/>
      <c r="J2" s="848"/>
      <c r="K2" s="848"/>
      <c r="L2" s="850"/>
      <c r="M2" s="850"/>
      <c r="N2" s="850"/>
      <c r="O2" s="850"/>
      <c r="P2" s="850"/>
      <c r="Q2" s="850"/>
      <c r="R2" s="850"/>
      <c r="S2" s="850"/>
      <c r="T2" s="850"/>
      <c r="U2" s="850"/>
      <c r="V2" s="850"/>
      <c r="W2" s="850"/>
      <c r="X2" s="850"/>
    </row>
    <row r="3" spans="2:24">
      <c r="B3" s="3" t="s">
        <v>3237</v>
      </c>
      <c r="C3" s="850"/>
      <c r="D3" s="850"/>
      <c r="E3" s="850"/>
      <c r="F3" s="850"/>
      <c r="G3" s="848"/>
      <c r="H3" s="848"/>
      <c r="I3" s="848"/>
      <c r="J3" s="848"/>
      <c r="K3" s="848"/>
      <c r="L3" s="850"/>
      <c r="M3" s="850"/>
      <c r="N3" s="850"/>
      <c r="O3" s="850"/>
      <c r="P3" s="850"/>
      <c r="Q3" s="850"/>
      <c r="R3" s="850"/>
      <c r="S3" s="850"/>
      <c r="T3" s="850"/>
      <c r="U3" s="850"/>
      <c r="V3" s="850"/>
      <c r="W3" s="850"/>
      <c r="X3" s="850"/>
    </row>
    <row r="4" spans="2:24" ht="13.5" thickBot="1">
      <c r="B4" s="850"/>
      <c r="C4" s="850"/>
      <c r="D4" s="850"/>
      <c r="E4" s="850"/>
      <c r="F4" s="850"/>
      <c r="G4" s="848"/>
      <c r="H4" s="848"/>
      <c r="I4" s="848"/>
      <c r="J4" s="848"/>
      <c r="K4" s="848"/>
      <c r="L4" s="850"/>
      <c r="M4" s="850"/>
      <c r="N4" s="850"/>
      <c r="O4" s="850"/>
      <c r="P4" s="850"/>
      <c r="Q4" s="850"/>
      <c r="R4" s="850"/>
      <c r="S4" s="850"/>
      <c r="T4" s="850"/>
      <c r="U4" s="850"/>
      <c r="V4" s="850"/>
      <c r="W4" s="850"/>
      <c r="X4" s="850"/>
    </row>
    <row r="5" spans="2:24" ht="13.5" thickBot="1">
      <c r="B5" s="850"/>
      <c r="C5" s="850"/>
      <c r="D5" s="850"/>
      <c r="E5" s="850"/>
      <c r="F5" s="850"/>
      <c r="G5" s="204" t="s">
        <v>1178</v>
      </c>
      <c r="H5" s="206"/>
      <c r="I5" s="204" t="s">
        <v>1179</v>
      </c>
      <c r="J5" s="206"/>
      <c r="K5" s="848">
        <f>SUBTOTAL(109,K7:K290)</f>
        <v>0</v>
      </c>
      <c r="L5" s="899"/>
      <c r="M5" s="899"/>
      <c r="N5" s="850"/>
      <c r="O5" s="850"/>
      <c r="P5" s="850"/>
      <c r="Q5" s="850"/>
      <c r="R5" s="850"/>
      <c r="S5" s="850"/>
      <c r="T5" s="850"/>
      <c r="U5" s="850"/>
      <c r="V5" s="850"/>
      <c r="W5" s="850"/>
      <c r="X5" s="850"/>
    </row>
    <row r="6" spans="2:24" ht="25.5">
      <c r="B6" s="808" t="s">
        <v>1181</v>
      </c>
      <c r="C6" s="809" t="s">
        <v>1182</v>
      </c>
      <c r="D6" s="809" t="s">
        <v>1183</v>
      </c>
      <c r="E6" s="810" t="s">
        <v>1184</v>
      </c>
      <c r="F6" s="811" t="s">
        <v>775</v>
      </c>
      <c r="G6" s="812" t="s">
        <v>1185</v>
      </c>
      <c r="H6" s="813" t="s">
        <v>1186</v>
      </c>
      <c r="I6" s="814" t="s">
        <v>1185</v>
      </c>
      <c r="J6" s="813" t="s">
        <v>1186</v>
      </c>
      <c r="K6" s="815" t="s">
        <v>1187</v>
      </c>
      <c r="L6" s="816" t="s">
        <v>1188</v>
      </c>
      <c r="M6" s="817" t="s">
        <v>1189</v>
      </c>
      <c r="N6" s="818" t="s">
        <v>777</v>
      </c>
      <c r="O6" s="819" t="s">
        <v>1191</v>
      </c>
      <c r="P6" s="850"/>
      <c r="Q6" s="850"/>
      <c r="R6" s="850"/>
      <c r="S6" s="850"/>
      <c r="T6" s="850" t="s">
        <v>1192</v>
      </c>
      <c r="U6" s="850"/>
      <c r="V6" s="850"/>
      <c r="W6" s="850"/>
      <c r="X6" s="850"/>
    </row>
    <row r="7" spans="2:24" collapsed="1">
      <c r="B7" s="820" t="s">
        <v>3238</v>
      </c>
      <c r="C7" s="1085"/>
      <c r="D7" s="1085"/>
      <c r="E7" s="1086"/>
      <c r="F7" s="1087"/>
      <c r="G7" s="1088"/>
      <c r="H7" s="1089"/>
      <c r="I7" s="1090"/>
      <c r="J7" s="1089"/>
      <c r="K7" s="1090"/>
      <c r="L7" s="1085"/>
      <c r="M7" s="1085"/>
      <c r="N7" s="1085"/>
      <c r="O7" s="1091"/>
      <c r="P7" s="850"/>
      <c r="Q7" s="850"/>
      <c r="R7" s="850"/>
      <c r="S7" s="850"/>
      <c r="T7" s="850"/>
      <c r="U7" s="850"/>
      <c r="V7" s="850"/>
      <c r="W7" s="850"/>
      <c r="X7" s="850"/>
    </row>
    <row r="8" spans="2:24" ht="15" hidden="1" outlineLevel="1">
      <c r="B8" s="821">
        <v>1</v>
      </c>
      <c r="C8" s="822" t="s">
        <v>3239</v>
      </c>
      <c r="D8" s="1092"/>
      <c r="E8" s="1093"/>
      <c r="F8" s="1094"/>
      <c r="G8" s="1095"/>
      <c r="H8" s="1096"/>
      <c r="I8" s="1097"/>
      <c r="J8" s="1096"/>
      <c r="K8" s="1097"/>
      <c r="L8" s="1092"/>
      <c r="M8" s="1092"/>
      <c r="N8" s="1092"/>
      <c r="O8" s="1098"/>
      <c r="P8" s="850"/>
      <c r="Q8" s="850"/>
      <c r="R8" s="850"/>
      <c r="S8" s="850"/>
      <c r="T8" s="850"/>
      <c r="U8" s="1099" t="s">
        <v>1200</v>
      </c>
      <c r="V8" s="767"/>
      <c r="W8" s="767"/>
      <c r="X8" s="768"/>
    </row>
    <row r="9" spans="2:24" ht="15" hidden="1" outlineLevel="1">
      <c r="B9" s="1100"/>
      <c r="C9" s="1092"/>
      <c r="D9" s="1092" t="s">
        <v>1185</v>
      </c>
      <c r="E9" s="1093" t="s">
        <v>249</v>
      </c>
      <c r="F9" s="1094" t="str">
        <f>_xlfn.XLOOKUP(E9,'A0.LS'!E:E,'A0.LS'!F:F)</f>
        <v>Doanh thu tài chính: Lãi đã nhận</v>
      </c>
      <c r="G9" s="1095"/>
      <c r="H9" s="1096"/>
      <c r="I9" s="1097"/>
      <c r="J9" s="1096"/>
      <c r="K9" s="1097">
        <f>ROUND(SUM(G9:J9),0)</f>
        <v>0</v>
      </c>
      <c r="L9" s="1092" t="s">
        <v>3240</v>
      </c>
      <c r="M9" s="1092" t="s">
        <v>1199</v>
      </c>
      <c r="N9" s="1092"/>
      <c r="O9" s="1098"/>
      <c r="P9" s="850"/>
      <c r="Q9" s="850"/>
      <c r="R9" s="850"/>
      <c r="S9" s="850"/>
      <c r="T9" s="850"/>
      <c r="U9" s="1101" t="s">
        <v>1200</v>
      </c>
      <c r="V9" s="769"/>
      <c r="W9" s="769"/>
      <c r="X9" s="770"/>
    </row>
    <row r="10" spans="2:24" ht="15" hidden="1" outlineLevel="1">
      <c r="B10" s="1100"/>
      <c r="C10" s="1092"/>
      <c r="D10" s="1092" t="s">
        <v>1186</v>
      </c>
      <c r="E10" s="1093" t="s">
        <v>19</v>
      </c>
      <c r="F10" s="1094" t="str">
        <f>_xlfn.XLOOKUP(E10,'A0.LS'!E:E,'A0.LS'!F:F)</f>
        <v>Tiền gửi tại ngân hàng</v>
      </c>
      <c r="G10" s="1095"/>
      <c r="H10" s="1096">
        <f>-I9</f>
        <v>0</v>
      </c>
      <c r="I10" s="1097"/>
      <c r="J10" s="1096"/>
      <c r="K10" s="1097">
        <f>ROUND(SUM(G10:J10),0)</f>
        <v>0</v>
      </c>
      <c r="L10" s="1092" t="s">
        <v>3240</v>
      </c>
      <c r="M10" s="1092" t="s">
        <v>1199</v>
      </c>
      <c r="N10" s="1092"/>
      <c r="O10" s="1098"/>
      <c r="P10" s="850"/>
      <c r="Q10" s="850"/>
      <c r="R10" s="850"/>
      <c r="S10" s="850"/>
      <c r="T10" s="850"/>
      <c r="U10" s="1101" t="s">
        <v>1200</v>
      </c>
      <c r="V10" s="769"/>
      <c r="W10" s="769"/>
      <c r="X10" s="770"/>
    </row>
    <row r="11" spans="2:24" ht="15" hidden="1" outlineLevel="1">
      <c r="B11" s="1100"/>
      <c r="C11" s="1092"/>
      <c r="D11" s="1092"/>
      <c r="E11" s="1093"/>
      <c r="F11" s="1094"/>
      <c r="G11" s="1095"/>
      <c r="H11" s="1096"/>
      <c r="I11" s="1097"/>
      <c r="J11" s="1096"/>
      <c r="K11" s="1097"/>
      <c r="L11" s="1092"/>
      <c r="M11" s="1092"/>
      <c r="N11" s="1092"/>
      <c r="O11" s="1098"/>
      <c r="P11" s="850"/>
      <c r="Q11" s="850"/>
      <c r="R11" s="850"/>
      <c r="S11" s="850"/>
      <c r="T11" s="850"/>
      <c r="U11" s="771"/>
      <c r="V11" s="769"/>
      <c r="W11" s="769"/>
      <c r="X11" s="770"/>
    </row>
    <row r="12" spans="2:24" ht="15" hidden="1" outlineLevel="1">
      <c r="B12" s="821">
        <v>2</v>
      </c>
      <c r="C12" s="822" t="s">
        <v>3241</v>
      </c>
      <c r="D12" s="1092"/>
      <c r="E12" s="1093"/>
      <c r="F12" s="1094"/>
      <c r="G12" s="1095"/>
      <c r="H12" s="1096"/>
      <c r="I12" s="1097"/>
      <c r="J12" s="1096"/>
      <c r="K12" s="1097"/>
      <c r="L12" s="1092"/>
      <c r="M12" s="1092"/>
      <c r="N12" s="1092"/>
      <c r="O12" s="1098"/>
      <c r="P12" s="850"/>
      <c r="Q12" s="850"/>
      <c r="R12" s="850"/>
      <c r="S12" s="850"/>
      <c r="T12" s="850"/>
      <c r="U12" s="1101" t="s">
        <v>1200</v>
      </c>
      <c r="V12" s="769"/>
      <c r="W12" s="769"/>
      <c r="X12" s="770"/>
    </row>
    <row r="13" spans="2:24" ht="15" hidden="1" outlineLevel="1">
      <c r="B13" s="1100"/>
      <c r="C13" s="1092"/>
      <c r="D13" s="1092" t="s">
        <v>1185</v>
      </c>
      <c r="E13" s="1093" t="s">
        <v>47</v>
      </c>
      <c r="F13" s="1094" t="str">
        <f>_xlfn.XLOOKUP(E13,'A0.LS'!E:E,'A0.LS'!F:F)</f>
        <v>Phải thu của khách hàng</v>
      </c>
      <c r="G13" s="1095">
        <v>51180627</v>
      </c>
      <c r="H13" s="1096"/>
      <c r="I13" s="1097"/>
      <c r="J13" s="1096"/>
      <c r="K13" s="1097">
        <f>ROUND(SUM(G13:J13),0)</f>
        <v>51180627</v>
      </c>
      <c r="L13" s="1092" t="s">
        <v>3240</v>
      </c>
      <c r="M13" s="1092" t="s">
        <v>1199</v>
      </c>
      <c r="N13" s="1092"/>
      <c r="O13" s="1098"/>
      <c r="P13" s="850"/>
      <c r="Q13" s="850"/>
      <c r="R13" s="850"/>
      <c r="S13" s="850"/>
      <c r="T13" s="850"/>
      <c r="U13" s="1101" t="s">
        <v>1200</v>
      </c>
      <c r="V13" s="769"/>
      <c r="W13" s="769"/>
      <c r="X13" s="770"/>
    </row>
    <row r="14" spans="2:24" ht="15" hidden="1" outlineLevel="1">
      <c r="B14" s="1100"/>
      <c r="C14" s="1092"/>
      <c r="D14" s="1092" t="s">
        <v>1186</v>
      </c>
      <c r="E14" s="1093" t="s">
        <v>229</v>
      </c>
      <c r="F14" s="1094" t="str">
        <f>_xlfn.XLOOKUP(E14,'A0.LS'!E:E,'A0.LS'!F:F)</f>
        <v>Doanh thu từ phí bảo trì tài khoản</v>
      </c>
      <c r="G14" s="1095"/>
      <c r="H14" s="1096"/>
      <c r="I14" s="1097"/>
      <c r="J14" s="1096">
        <f>-G13</f>
        <v>-51180627</v>
      </c>
      <c r="K14" s="1097">
        <f>ROUND(SUM(G14:J14),0)</f>
        <v>-51180627</v>
      </c>
      <c r="L14" s="1092" t="s">
        <v>3240</v>
      </c>
      <c r="M14" s="1092" t="s">
        <v>1199</v>
      </c>
      <c r="N14" s="1092"/>
      <c r="O14" s="1098"/>
      <c r="P14" s="850"/>
      <c r="Q14" s="850"/>
      <c r="R14" s="850"/>
      <c r="S14" s="850"/>
      <c r="T14" s="850"/>
      <c r="U14" s="1101" t="s">
        <v>1200</v>
      </c>
      <c r="V14" s="769"/>
      <c r="W14" s="769"/>
      <c r="X14" s="770"/>
    </row>
    <row r="15" spans="2:24" ht="15" hidden="1" outlineLevel="1">
      <c r="B15" s="1100"/>
      <c r="C15" s="1092"/>
      <c r="D15" s="1092"/>
      <c r="E15" s="1093"/>
      <c r="F15" s="1094"/>
      <c r="G15" s="1095"/>
      <c r="H15" s="1096"/>
      <c r="I15" s="1097"/>
      <c r="J15" s="1096"/>
      <c r="K15" s="1097"/>
      <c r="L15" s="1092"/>
      <c r="M15" s="1092"/>
      <c r="N15" s="1092"/>
      <c r="O15" s="1098"/>
      <c r="P15" s="850"/>
      <c r="Q15" s="850"/>
      <c r="R15" s="850"/>
      <c r="S15" s="850"/>
      <c r="T15" s="850"/>
      <c r="U15" s="771"/>
      <c r="V15" s="769"/>
      <c r="W15" s="769"/>
      <c r="X15" s="770"/>
    </row>
    <row r="16" spans="2:24" ht="15" hidden="1" outlineLevel="1">
      <c r="B16" s="821">
        <v>3</v>
      </c>
      <c r="C16" s="822" t="s">
        <v>3242</v>
      </c>
      <c r="D16" s="1092"/>
      <c r="E16" s="1093"/>
      <c r="F16" s="1094"/>
      <c r="G16" s="1095"/>
      <c r="H16" s="1096"/>
      <c r="I16" s="1097"/>
      <c r="J16" s="1096"/>
      <c r="K16" s="1097"/>
      <c r="L16" s="1092"/>
      <c r="M16" s="1092"/>
      <c r="N16" s="1092"/>
      <c r="O16" s="1098"/>
      <c r="P16" s="850"/>
      <c r="Q16" s="850"/>
      <c r="R16" s="850"/>
      <c r="S16" s="850"/>
      <c r="T16" s="850"/>
      <c r="U16" s="1101" t="s">
        <v>1200</v>
      </c>
      <c r="V16" s="769"/>
      <c r="W16" s="769"/>
      <c r="X16" s="770"/>
    </row>
    <row r="17" spans="2:24" ht="15" hidden="1" outlineLevel="1">
      <c r="B17" s="1100"/>
      <c r="C17" s="1092"/>
      <c r="D17" s="1092" t="s">
        <v>1185</v>
      </c>
      <c r="E17" s="1093" t="s">
        <v>47</v>
      </c>
      <c r="F17" s="1094" t="str">
        <f>_xlfn.XLOOKUP(E17,'A0.LS'!E:E,'A0.LS'!F:F)</f>
        <v>Phải thu của khách hàng</v>
      </c>
      <c r="G17" s="1095">
        <v>5118063</v>
      </c>
      <c r="H17" s="1096"/>
      <c r="I17" s="1097"/>
      <c r="J17" s="1096"/>
      <c r="K17" s="1097">
        <f>ROUND(SUM(G17:J17),0)</f>
        <v>5118063</v>
      </c>
      <c r="L17" s="1092" t="s">
        <v>3240</v>
      </c>
      <c r="M17" s="1092" t="s">
        <v>1199</v>
      </c>
      <c r="N17" s="1092"/>
      <c r="O17" s="1098"/>
      <c r="P17" s="850"/>
      <c r="Q17" s="850"/>
      <c r="R17" s="850"/>
      <c r="S17" s="850"/>
      <c r="T17" s="850"/>
      <c r="U17" s="1101" t="s">
        <v>1200</v>
      </c>
      <c r="V17" s="769"/>
      <c r="W17" s="769"/>
      <c r="X17" s="770"/>
    </row>
    <row r="18" spans="2:24" ht="15" hidden="1" outlineLevel="1">
      <c r="B18" s="1100"/>
      <c r="C18" s="1092"/>
      <c r="D18" s="1092" t="s">
        <v>1186</v>
      </c>
      <c r="E18" s="1093" t="s">
        <v>132</v>
      </c>
      <c r="F18" s="1094" t="str">
        <f>_xlfn.XLOOKUP(E18,'A0.LS'!E:E,'A0.LS'!F:F)</f>
        <v>Thuế GTGT đầu ra</v>
      </c>
      <c r="G18" s="1095"/>
      <c r="H18" s="1096">
        <f>-G17</f>
        <v>-5118063</v>
      </c>
      <c r="I18" s="1097"/>
      <c r="J18" s="1096"/>
      <c r="K18" s="1097">
        <f t="shared" ref="K18" si="0">ROUND(SUM(G18:J18),0)</f>
        <v>-5118063</v>
      </c>
      <c r="L18" s="1092" t="s">
        <v>3240</v>
      </c>
      <c r="M18" s="1092" t="s">
        <v>1199</v>
      </c>
      <c r="N18" s="1092"/>
      <c r="O18" s="1098"/>
      <c r="P18" s="850"/>
      <c r="Q18" s="850"/>
      <c r="R18" s="850"/>
      <c r="S18" s="850"/>
      <c r="T18" s="850"/>
      <c r="U18" s="1101" t="s">
        <v>1200</v>
      </c>
      <c r="V18" s="769"/>
      <c r="W18" s="769"/>
      <c r="X18" s="770"/>
    </row>
    <row r="19" spans="2:24" ht="15" hidden="1" outlineLevel="1">
      <c r="B19" s="1100"/>
      <c r="C19" s="1092"/>
      <c r="D19" s="1092"/>
      <c r="E19" s="1093"/>
      <c r="F19" s="1094"/>
      <c r="G19" s="1095"/>
      <c r="H19" s="1096"/>
      <c r="I19" s="1097"/>
      <c r="J19" s="1096"/>
      <c r="K19" s="1097"/>
      <c r="L19" s="1092"/>
      <c r="M19" s="1092"/>
      <c r="N19" s="1092"/>
      <c r="O19" s="1098"/>
      <c r="P19" s="850"/>
      <c r="Q19" s="850"/>
      <c r="R19" s="850"/>
      <c r="S19" s="850"/>
      <c r="T19" s="850"/>
      <c r="U19" s="771"/>
      <c r="V19" s="769"/>
      <c r="W19" s="769"/>
      <c r="X19" s="770"/>
    </row>
    <row r="20" spans="2:24" ht="15" hidden="1" outlineLevel="1">
      <c r="B20" s="821">
        <v>4</v>
      </c>
      <c r="C20" s="822" t="s">
        <v>3243</v>
      </c>
      <c r="D20" s="1092"/>
      <c r="E20" s="1092"/>
      <c r="F20" s="1094"/>
      <c r="G20" s="1095"/>
      <c r="H20" s="1096"/>
      <c r="I20" s="1097"/>
      <c r="J20" s="1096"/>
      <c r="K20" s="1097"/>
      <c r="L20" s="1092"/>
      <c r="M20" s="1092"/>
      <c r="N20" s="1092"/>
      <c r="O20" s="1098"/>
      <c r="P20" s="850"/>
      <c r="Q20" s="850"/>
      <c r="R20" s="850"/>
      <c r="S20" s="850"/>
      <c r="T20" s="850"/>
      <c r="U20" s="771"/>
      <c r="V20" s="769"/>
      <c r="W20" s="769"/>
      <c r="X20" s="770"/>
    </row>
    <row r="21" spans="2:24" ht="15" hidden="1" outlineLevel="1">
      <c r="B21" s="1100"/>
      <c r="C21" s="1092"/>
      <c r="D21" s="1092" t="s">
        <v>1185</v>
      </c>
      <c r="E21" s="1093" t="s">
        <v>197</v>
      </c>
      <c r="F21" s="1094" t="str">
        <f>_xlfn.XLOOKUP(E21,'A0.LS'!E:E,'A0.LS'!F:F)</f>
        <v>Phải trả người dùng: Sản phẩm tích lũy có kỳ hạn mới</v>
      </c>
      <c r="G21" s="1095">
        <v>54885</v>
      </c>
      <c r="H21" s="1096"/>
      <c r="I21" s="1095"/>
      <c r="J21" s="1096"/>
      <c r="K21" s="1097">
        <f>ROUND(SUM(G21:J21),0)</f>
        <v>54885</v>
      </c>
      <c r="L21" s="1092" t="s">
        <v>1198</v>
      </c>
      <c r="M21" s="1092" t="s">
        <v>1199</v>
      </c>
      <c r="N21" s="1103"/>
      <c r="O21" s="1098"/>
      <c r="P21" s="850"/>
      <c r="Q21" s="850"/>
      <c r="R21" s="850"/>
      <c r="S21" s="850"/>
      <c r="T21" s="850"/>
      <c r="U21" s="1101" t="s">
        <v>3244</v>
      </c>
      <c r="V21" s="769"/>
      <c r="W21" s="769"/>
      <c r="X21" s="770"/>
    </row>
    <row r="22" spans="2:24" ht="15" hidden="1" outlineLevel="1">
      <c r="B22" s="1100"/>
      <c r="C22" s="1092"/>
      <c r="D22" s="1092" t="s">
        <v>1186</v>
      </c>
      <c r="E22" s="1093" t="s">
        <v>307</v>
      </c>
      <c r="F22" s="1094" t="str">
        <f>_xlfn.XLOOKUP(E22,'A0.LS'!E:E,'A0.LS'!F:F)</f>
        <v>Chi phí tài chính: trả lãi cho người dùng</v>
      </c>
      <c r="G22" s="1095"/>
      <c r="H22" s="1096"/>
      <c r="I22" s="1097"/>
      <c r="J22" s="1096">
        <f>-G21</f>
        <v>-54885</v>
      </c>
      <c r="K22" s="1097">
        <f>ROUND(SUM(G22:J22),0)</f>
        <v>-54885</v>
      </c>
      <c r="L22" s="1092" t="s">
        <v>1198</v>
      </c>
      <c r="M22" s="1092" t="s">
        <v>1199</v>
      </c>
      <c r="N22" s="1092"/>
      <c r="O22" s="1098"/>
      <c r="P22" s="850"/>
      <c r="Q22" s="850"/>
      <c r="R22" s="850"/>
      <c r="S22" s="850"/>
      <c r="T22" s="850"/>
      <c r="U22" s="1101" t="s">
        <v>3244</v>
      </c>
      <c r="V22" s="769"/>
      <c r="W22" s="769"/>
      <c r="X22" s="770"/>
    </row>
    <row r="23" spans="2:24" ht="15" hidden="1" outlineLevel="1">
      <c r="B23" s="1100"/>
      <c r="C23" s="1092"/>
      <c r="D23" s="1092"/>
      <c r="E23" s="1093"/>
      <c r="F23" s="1094"/>
      <c r="G23" s="1095"/>
      <c r="H23" s="1096"/>
      <c r="I23" s="1097"/>
      <c r="J23" s="1096"/>
      <c r="K23" s="1097"/>
      <c r="L23" s="1092"/>
      <c r="M23" s="1092"/>
      <c r="N23" s="1092"/>
      <c r="O23" s="1098"/>
      <c r="P23" s="850"/>
      <c r="Q23" s="850"/>
      <c r="R23" s="850"/>
      <c r="S23" s="850"/>
      <c r="T23" s="850"/>
      <c r="U23" s="1101" t="s">
        <v>3244</v>
      </c>
      <c r="V23" s="769"/>
      <c r="W23" s="769"/>
      <c r="X23" s="770"/>
    </row>
    <row r="24" spans="2:24" ht="15" hidden="1" outlineLevel="1">
      <c r="B24" s="821">
        <v>5</v>
      </c>
      <c r="C24" s="822" t="s">
        <v>3245</v>
      </c>
      <c r="D24" s="1092"/>
      <c r="E24" s="1093"/>
      <c r="F24" s="1094"/>
      <c r="G24" s="1095"/>
      <c r="H24" s="1096"/>
      <c r="I24" s="1097"/>
      <c r="J24" s="1096"/>
      <c r="K24" s="1097"/>
      <c r="L24" s="1092"/>
      <c r="M24" s="1092"/>
      <c r="N24" s="1092"/>
      <c r="O24" s="1098"/>
      <c r="P24" s="850"/>
      <c r="Q24" s="850"/>
      <c r="R24" s="850"/>
      <c r="S24" s="850"/>
      <c r="T24" s="850"/>
      <c r="U24" s="771"/>
      <c r="V24" s="769"/>
      <c r="W24" s="769"/>
      <c r="X24" s="770"/>
    </row>
    <row r="25" spans="2:24" ht="15" hidden="1" outlineLevel="1">
      <c r="B25" s="1100"/>
      <c r="C25" s="1092"/>
      <c r="D25" s="1092" t="s">
        <v>1185</v>
      </c>
      <c r="E25" s="1093" t="s">
        <v>175</v>
      </c>
      <c r="F25" s="1094" t="str">
        <f>_xlfn.XLOOKUP(E25,'A0.LS'!E:E,'A0.LS'!F:F)</f>
        <v>Phải trả người dùng-Chứng chỉ tiền gửi</v>
      </c>
      <c r="G25" s="1095">
        <v>54885</v>
      </c>
      <c r="H25" s="1096"/>
      <c r="I25" s="1097"/>
      <c r="J25" s="1096"/>
      <c r="K25" s="1097">
        <f>ROUND(SUM(G25:J25),0)</f>
        <v>54885</v>
      </c>
      <c r="L25" s="1092" t="s">
        <v>3240</v>
      </c>
      <c r="M25" s="1092" t="s">
        <v>1199</v>
      </c>
      <c r="N25" s="1092"/>
      <c r="O25" s="1098"/>
      <c r="P25" s="850"/>
      <c r="Q25" s="850"/>
      <c r="R25" s="850"/>
      <c r="S25" s="850"/>
      <c r="T25" s="850"/>
      <c r="U25" s="1101" t="s">
        <v>3244</v>
      </c>
      <c r="V25" s="769"/>
      <c r="W25" s="769"/>
      <c r="X25" s="770"/>
    </row>
    <row r="26" spans="2:24" ht="15" hidden="1" outlineLevel="1">
      <c r="B26" s="1100"/>
      <c r="C26" s="1092"/>
      <c r="D26" s="1092" t="s">
        <v>1186</v>
      </c>
      <c r="E26" s="1093" t="s">
        <v>197</v>
      </c>
      <c r="F26" s="1094" t="str">
        <f>_xlfn.XLOOKUP(E26,'A0.LS'!E:E,'A0.LS'!F:F)</f>
        <v>Phải trả người dùng: Sản phẩm tích lũy có kỳ hạn mới</v>
      </c>
      <c r="G26" s="1095"/>
      <c r="H26" s="1096">
        <f>-G25</f>
        <v>-54885</v>
      </c>
      <c r="I26" s="1097"/>
      <c r="J26" s="1096"/>
      <c r="K26" s="1097">
        <f>ROUND(SUM(G26:J26),0)</f>
        <v>-54885</v>
      </c>
      <c r="L26" s="1092" t="s">
        <v>3240</v>
      </c>
      <c r="M26" s="1092" t="s">
        <v>1199</v>
      </c>
      <c r="N26" s="1092"/>
      <c r="O26" s="1098"/>
      <c r="P26" s="850"/>
      <c r="Q26" s="850"/>
      <c r="R26" s="850"/>
      <c r="S26" s="850"/>
      <c r="T26" s="850"/>
      <c r="U26" s="1101" t="s">
        <v>3244</v>
      </c>
      <c r="V26" s="769"/>
      <c r="W26" s="769"/>
      <c r="X26" s="770"/>
    </row>
    <row r="27" spans="2:24" ht="15" hidden="1" outlineLevel="1">
      <c r="B27" s="1100"/>
      <c r="C27" s="1092"/>
      <c r="D27" s="1092"/>
      <c r="E27" s="1093"/>
      <c r="F27" s="1094"/>
      <c r="G27" s="1095"/>
      <c r="H27" s="1096"/>
      <c r="I27" s="1097"/>
      <c r="J27" s="1096"/>
      <c r="K27" s="1097"/>
      <c r="L27" s="1092"/>
      <c r="M27" s="1092"/>
      <c r="N27" s="1092"/>
      <c r="O27" s="1098"/>
      <c r="P27" s="850"/>
      <c r="Q27" s="850"/>
      <c r="R27" s="850"/>
      <c r="S27" s="850"/>
      <c r="T27" s="850"/>
      <c r="U27" s="1101" t="s">
        <v>3244</v>
      </c>
      <c r="V27" s="769"/>
      <c r="W27" s="769"/>
      <c r="X27" s="770"/>
    </row>
    <row r="28" spans="2:24" ht="15" hidden="1" outlineLevel="1">
      <c r="B28" s="821">
        <v>6</v>
      </c>
      <c r="C28" s="822" t="s">
        <v>3246</v>
      </c>
      <c r="D28" s="1092"/>
      <c r="E28" s="1093"/>
      <c r="F28" s="1094"/>
      <c r="G28" s="1095"/>
      <c r="H28" s="1096"/>
      <c r="I28" s="1097"/>
      <c r="J28" s="1096"/>
      <c r="K28" s="1097"/>
      <c r="L28" s="1092"/>
      <c r="M28" s="1092"/>
      <c r="N28" s="1092"/>
      <c r="O28" s="1098"/>
      <c r="P28" s="850"/>
      <c r="Q28" s="850"/>
      <c r="R28" s="850"/>
      <c r="S28" s="850"/>
      <c r="T28" s="850"/>
      <c r="U28" s="771"/>
      <c r="V28" s="769"/>
      <c r="W28" s="769"/>
      <c r="X28" s="770"/>
    </row>
    <row r="29" spans="2:24" ht="15" hidden="1" outlineLevel="1">
      <c r="B29" s="1100"/>
      <c r="C29" s="1092"/>
      <c r="D29" s="1092" t="s">
        <v>1185</v>
      </c>
      <c r="E29" s="1093" t="s">
        <v>125</v>
      </c>
      <c r="F29" s="1094" t="str">
        <f>_xlfn.XLOOKUP(E29,'A0.LS'!E:E,'A0.LS'!F:F)</f>
        <v>Phải trả cho người bán</v>
      </c>
      <c r="G29" s="1095">
        <v>300000</v>
      </c>
      <c r="H29" s="1096"/>
      <c r="I29" s="1097"/>
      <c r="J29" s="1096"/>
      <c r="K29" s="1097">
        <f>ROUND(SUM(G29:J29),0)</f>
        <v>300000</v>
      </c>
      <c r="L29" s="1092" t="s">
        <v>3240</v>
      </c>
      <c r="M29" s="1092" t="s">
        <v>1199</v>
      </c>
      <c r="N29" s="1092"/>
      <c r="O29" s="1098"/>
      <c r="P29" s="850"/>
      <c r="Q29" s="850"/>
      <c r="R29" s="850"/>
      <c r="S29" s="850"/>
      <c r="T29" s="850"/>
      <c r="U29" s="1101" t="s">
        <v>3244</v>
      </c>
      <c r="V29" s="769"/>
      <c r="W29" s="769"/>
      <c r="X29" s="770"/>
    </row>
    <row r="30" spans="2:24" ht="15" hidden="1" outlineLevel="1">
      <c r="B30" s="1100"/>
      <c r="C30" s="1092"/>
      <c r="D30" s="1092" t="s">
        <v>1186</v>
      </c>
      <c r="E30" s="1093" t="s">
        <v>47</v>
      </c>
      <c r="F30" s="1094" t="str">
        <f>_xlfn.XLOOKUP(E30,'A0.LS'!E:E,'A0.LS'!F:F)</f>
        <v>Phải thu của khách hàng</v>
      </c>
      <c r="G30" s="1095"/>
      <c r="H30" s="1096">
        <f>-G29</f>
        <v>-300000</v>
      </c>
      <c r="I30" s="1097"/>
      <c r="J30" s="1096"/>
      <c r="K30" s="1097">
        <f>ROUND(SUM(G30:J30),0)</f>
        <v>-300000</v>
      </c>
      <c r="L30" s="1092" t="s">
        <v>3240</v>
      </c>
      <c r="M30" s="1092" t="s">
        <v>1199</v>
      </c>
      <c r="N30" s="1092"/>
      <c r="O30" s="1098"/>
      <c r="P30" s="850"/>
      <c r="Q30" s="850"/>
      <c r="R30" s="850"/>
      <c r="S30" s="850"/>
      <c r="T30" s="850"/>
      <c r="U30" s="1101" t="s">
        <v>3244</v>
      </c>
      <c r="V30" s="769"/>
      <c r="W30" s="769"/>
      <c r="X30" s="770"/>
    </row>
    <row r="31" spans="2:24" ht="15" hidden="1" outlineLevel="1">
      <c r="B31" s="1100"/>
      <c r="C31" s="1092"/>
      <c r="D31" s="1092"/>
      <c r="E31" s="1093"/>
      <c r="F31" s="1094"/>
      <c r="G31" s="1095"/>
      <c r="H31" s="1096"/>
      <c r="I31" s="1097"/>
      <c r="J31" s="1096"/>
      <c r="K31" s="1097"/>
      <c r="L31" s="1092"/>
      <c r="M31" s="1092"/>
      <c r="N31" s="1092"/>
      <c r="O31" s="1098"/>
      <c r="P31" s="850"/>
      <c r="Q31" s="850"/>
      <c r="R31" s="850"/>
      <c r="S31" s="850"/>
      <c r="T31" s="850"/>
      <c r="U31" s="1101" t="s">
        <v>3244</v>
      </c>
      <c r="V31" s="769"/>
      <c r="W31" s="769"/>
      <c r="X31" s="770"/>
    </row>
    <row r="32" spans="2:24" ht="15" hidden="1" outlineLevel="1">
      <c r="B32" s="821">
        <v>7</v>
      </c>
      <c r="C32" s="822" t="s">
        <v>3247</v>
      </c>
      <c r="D32" s="1092"/>
      <c r="E32" s="1092"/>
      <c r="F32" s="1094"/>
      <c r="G32" s="1095"/>
      <c r="H32" s="1096"/>
      <c r="I32" s="1097"/>
      <c r="J32" s="1096"/>
      <c r="K32" s="1097"/>
      <c r="L32" s="1092"/>
      <c r="M32" s="1092"/>
      <c r="N32" s="1092"/>
      <c r="O32" s="1098"/>
      <c r="P32" s="850"/>
      <c r="Q32" s="850"/>
      <c r="R32" s="850"/>
      <c r="S32" s="850"/>
      <c r="T32" s="850"/>
      <c r="U32" s="771"/>
      <c r="V32" s="769"/>
      <c r="W32" s="769"/>
      <c r="X32" s="770"/>
    </row>
    <row r="33" spans="2:24" ht="15" hidden="1" outlineLevel="1">
      <c r="B33" s="1100"/>
      <c r="C33" s="1092"/>
      <c r="D33" s="1092" t="s">
        <v>1185</v>
      </c>
      <c r="E33" s="1093" t="s">
        <v>435</v>
      </c>
      <c r="F33" s="1094" t="str">
        <f>_xlfn.XLOOKUP(E33,'A0.LS'!E:E,'A0.LS'!F:F)</f>
        <v>Ăn uống, tiếp khách</v>
      </c>
      <c r="G33" s="1095"/>
      <c r="H33" s="1096"/>
      <c r="I33" s="1097">
        <v>15000000</v>
      </c>
      <c r="J33" s="1096"/>
      <c r="K33" s="1097">
        <f>ROUND(SUM(G33:J33),0)</f>
        <v>15000000</v>
      </c>
      <c r="L33" s="1092" t="s">
        <v>3240</v>
      </c>
      <c r="M33" s="1092" t="s">
        <v>1199</v>
      </c>
      <c r="N33" s="1092"/>
      <c r="O33" s="1098"/>
      <c r="P33" s="850"/>
      <c r="Q33" s="850"/>
      <c r="R33" s="850"/>
      <c r="S33" s="850"/>
      <c r="T33" s="850"/>
      <c r="U33" s="1102" t="s">
        <v>3248</v>
      </c>
      <c r="V33" s="850"/>
      <c r="W33" s="769" t="s">
        <v>2586</v>
      </c>
      <c r="X33" s="770"/>
    </row>
    <row r="34" spans="2:24" ht="15" hidden="1" outlineLevel="1">
      <c r="B34" s="1100"/>
      <c r="C34" s="1092"/>
      <c r="D34" s="1092" t="s">
        <v>1186</v>
      </c>
      <c r="E34" s="1093" t="s">
        <v>125</v>
      </c>
      <c r="F34" s="1094" t="str">
        <f>_xlfn.XLOOKUP(E34,'A0.LS'!E:E,'A0.LS'!F:F)</f>
        <v>Phải trả cho người bán</v>
      </c>
      <c r="G34" s="1095"/>
      <c r="H34" s="1096">
        <f>-I33</f>
        <v>-15000000</v>
      </c>
      <c r="I34" s="1097"/>
      <c r="J34" s="1096"/>
      <c r="K34" s="1097">
        <f>ROUND(SUM(G34:J34),0)</f>
        <v>-15000000</v>
      </c>
      <c r="L34" s="1092" t="s">
        <v>3240</v>
      </c>
      <c r="M34" s="1092" t="s">
        <v>1199</v>
      </c>
      <c r="N34" s="1092"/>
      <c r="O34" s="1098"/>
      <c r="P34" s="850"/>
      <c r="Q34" s="850"/>
      <c r="R34" s="850"/>
      <c r="S34" s="850"/>
      <c r="T34" s="850"/>
      <c r="U34" s="1102" t="s">
        <v>3248</v>
      </c>
      <c r="V34" s="769"/>
      <c r="W34" s="769"/>
      <c r="X34" s="770"/>
    </row>
    <row r="35" spans="2:24" ht="15" hidden="1" outlineLevel="1">
      <c r="B35" s="821">
        <v>8</v>
      </c>
      <c r="C35" s="822" t="s">
        <v>3249</v>
      </c>
      <c r="D35" s="1092"/>
      <c r="E35" s="1092"/>
      <c r="F35" s="1094"/>
      <c r="G35" s="1095"/>
      <c r="H35" s="1096"/>
      <c r="I35" s="1097"/>
      <c r="J35" s="1096"/>
      <c r="K35" s="1097"/>
      <c r="L35" s="1092"/>
      <c r="M35" s="1092"/>
      <c r="N35" s="1092"/>
      <c r="O35" s="1098"/>
      <c r="P35" s="850"/>
      <c r="Q35" s="850"/>
      <c r="R35" s="850"/>
      <c r="S35" s="850"/>
      <c r="T35" s="850"/>
      <c r="U35" s="771"/>
      <c r="V35" s="769"/>
      <c r="W35" s="769"/>
      <c r="X35" s="770"/>
    </row>
    <row r="36" spans="2:24" ht="15" hidden="1" outlineLevel="1">
      <c r="B36" s="1100"/>
      <c r="C36" s="1092"/>
      <c r="D36" s="1092" t="s">
        <v>1185</v>
      </c>
      <c r="E36" s="1093" t="s">
        <v>378</v>
      </c>
      <c r="F36" s="1094" t="str">
        <f>_xlfn.XLOOKUP(E36,'A0.LS'!E:E,'A0.LS'!F:F)</f>
        <v>Chi phí lương thưởng</v>
      </c>
      <c r="G36" s="1095"/>
      <c r="H36" s="1096"/>
      <c r="I36" s="1097">
        <v>3300000</v>
      </c>
      <c r="J36" s="1096"/>
      <c r="K36" s="1097">
        <f>ROUND(SUM(G36:J36),0)</f>
        <v>3300000</v>
      </c>
      <c r="L36" s="1092" t="s">
        <v>3240</v>
      </c>
      <c r="M36" s="1092" t="s">
        <v>1199</v>
      </c>
      <c r="N36" s="1092"/>
      <c r="O36" s="1098"/>
      <c r="P36" s="850"/>
      <c r="Q36" s="850"/>
      <c r="R36" s="850"/>
      <c r="S36" s="850"/>
      <c r="T36" s="850"/>
      <c r="U36" s="1101" t="s">
        <v>3244</v>
      </c>
      <c r="V36" s="769"/>
      <c r="W36" s="769"/>
      <c r="X36" s="770"/>
    </row>
    <row r="37" spans="2:24" ht="15" hidden="1" outlineLevel="1">
      <c r="B37" s="1100"/>
      <c r="C37" s="1092"/>
      <c r="D37" s="1092" t="s">
        <v>1186</v>
      </c>
      <c r="E37" s="1093" t="s">
        <v>150</v>
      </c>
      <c r="F37" s="1094" t="str">
        <f>_xlfn.XLOOKUP(E37,'A0.LS'!E:E,'A0.LS'!F:F)</f>
        <v>Phải trả công nhân viên</v>
      </c>
      <c r="G37" s="1095"/>
      <c r="H37" s="1096">
        <f>-I36</f>
        <v>-3300000</v>
      </c>
      <c r="I37" s="1097"/>
      <c r="J37" s="1096"/>
      <c r="K37" s="1097">
        <f>ROUND(SUM(G37:J37),0)</f>
        <v>-3300000</v>
      </c>
      <c r="L37" s="1092" t="s">
        <v>3240</v>
      </c>
      <c r="M37" s="1092" t="s">
        <v>1199</v>
      </c>
      <c r="N37" s="1092"/>
      <c r="O37" s="1098"/>
      <c r="P37" s="850"/>
      <c r="Q37" s="850"/>
      <c r="R37" s="850"/>
      <c r="S37" s="850"/>
      <c r="T37" s="850"/>
      <c r="U37" s="1101" t="s">
        <v>3244</v>
      </c>
      <c r="V37" s="769"/>
      <c r="W37" s="769"/>
      <c r="X37" s="770"/>
    </row>
    <row r="38" spans="2:24" ht="15" hidden="1" outlineLevel="1">
      <c r="B38" s="1100"/>
      <c r="C38" s="1092"/>
      <c r="D38" s="1092"/>
      <c r="E38" s="1093"/>
      <c r="F38" s="1094"/>
      <c r="G38" s="1095"/>
      <c r="H38" s="1096"/>
      <c r="I38" s="1097"/>
      <c r="J38" s="1096"/>
      <c r="K38" s="1097"/>
      <c r="L38" s="1092"/>
      <c r="M38" s="1092"/>
      <c r="N38" s="1092"/>
      <c r="O38" s="1098"/>
      <c r="P38" s="850"/>
      <c r="Q38" s="850"/>
      <c r="R38" s="850"/>
      <c r="S38" s="850"/>
      <c r="T38" s="850"/>
      <c r="U38" s="771"/>
      <c r="V38" s="769"/>
      <c r="W38" s="769"/>
      <c r="X38" s="770"/>
    </row>
    <row r="39" spans="2:24" ht="15" hidden="1" outlineLevel="1">
      <c r="B39" s="821">
        <v>9</v>
      </c>
      <c r="C39" s="822" t="s">
        <v>3249</v>
      </c>
      <c r="D39" s="1092"/>
      <c r="E39" s="1092"/>
      <c r="F39" s="1094"/>
      <c r="G39" s="1095"/>
      <c r="H39" s="1096"/>
      <c r="I39" s="1097"/>
      <c r="J39" s="1096"/>
      <c r="K39" s="1097"/>
      <c r="L39" s="1092"/>
      <c r="M39" s="1092"/>
      <c r="N39" s="1092"/>
      <c r="O39" s="1098"/>
      <c r="P39" s="850"/>
      <c r="Q39" s="850"/>
      <c r="R39" s="850"/>
      <c r="S39" s="850"/>
      <c r="T39" s="850"/>
      <c r="U39" s="1101" t="s">
        <v>1200</v>
      </c>
      <c r="V39" s="769"/>
      <c r="W39" s="769"/>
      <c r="X39" s="770"/>
    </row>
    <row r="40" spans="2:24" ht="15" hidden="1" outlineLevel="1">
      <c r="B40" s="1100"/>
      <c r="C40" s="1092"/>
      <c r="D40" s="1092" t="s">
        <v>1185</v>
      </c>
      <c r="E40" s="1093" t="s">
        <v>108</v>
      </c>
      <c r="F40" s="1094" t="str">
        <f>_xlfn.XLOOKUP(E40,'A0.LS'!E:E,'A0.LS'!F:F)</f>
        <v>Xây dựng cơ bản</v>
      </c>
      <c r="G40" s="1095">
        <v>11000000</v>
      </c>
      <c r="H40" s="1096"/>
      <c r="I40" s="1097"/>
      <c r="J40" s="1096"/>
      <c r="K40" s="1097">
        <f>ROUND(SUM(G40:J40),0)</f>
        <v>11000000</v>
      </c>
      <c r="L40" s="1092" t="s">
        <v>3240</v>
      </c>
      <c r="M40" s="1092" t="s">
        <v>1199</v>
      </c>
      <c r="N40" s="1092"/>
      <c r="O40" s="1098"/>
      <c r="P40" s="850"/>
      <c r="Q40" s="850"/>
      <c r="R40" s="850"/>
      <c r="S40" s="850"/>
      <c r="T40" s="850"/>
      <c r="U40" s="1101" t="s">
        <v>1200</v>
      </c>
      <c r="V40" s="769"/>
      <c r="W40" s="769"/>
      <c r="X40" s="770"/>
    </row>
    <row r="41" spans="2:24" ht="15" hidden="1" outlineLevel="1">
      <c r="B41" s="1100"/>
      <c r="C41" s="1092"/>
      <c r="D41" s="1092" t="s">
        <v>1186</v>
      </c>
      <c r="E41" s="1093" t="s">
        <v>150</v>
      </c>
      <c r="F41" s="1094" t="str">
        <f>_xlfn.XLOOKUP(E41,'A0.LS'!E:E,'A0.LS'!F:F)</f>
        <v>Phải trả công nhân viên</v>
      </c>
      <c r="G41" s="1095"/>
      <c r="H41" s="1096">
        <f>-G40</f>
        <v>-11000000</v>
      </c>
      <c r="I41" s="1097"/>
      <c r="J41" s="1096"/>
      <c r="K41" s="1097">
        <f>ROUND(SUM(G41:J41),0)</f>
        <v>-11000000</v>
      </c>
      <c r="L41" s="1092" t="s">
        <v>3240</v>
      </c>
      <c r="M41" s="1092" t="s">
        <v>1199</v>
      </c>
      <c r="N41" s="1092"/>
      <c r="O41" s="1098"/>
      <c r="P41" s="850"/>
      <c r="Q41" s="850"/>
      <c r="R41" s="850"/>
      <c r="S41" s="850"/>
      <c r="T41" s="850"/>
      <c r="U41" s="1101" t="s">
        <v>1200</v>
      </c>
      <c r="V41" s="769"/>
      <c r="W41" s="769"/>
      <c r="X41" s="770"/>
    </row>
    <row r="42" spans="2:24" ht="15" hidden="1" outlineLevel="1">
      <c r="B42" s="1100"/>
      <c r="C42" s="1092"/>
      <c r="D42" s="1092"/>
      <c r="E42" s="1093"/>
      <c r="F42" s="1094"/>
      <c r="G42" s="1095"/>
      <c r="H42" s="1096"/>
      <c r="I42" s="1097"/>
      <c r="J42" s="1096"/>
      <c r="K42" s="1097"/>
      <c r="L42" s="1092"/>
      <c r="M42" s="1092"/>
      <c r="N42" s="1092"/>
      <c r="O42" s="1098"/>
      <c r="P42" s="850"/>
      <c r="Q42" s="850"/>
      <c r="R42" s="850"/>
      <c r="S42" s="850"/>
      <c r="T42" s="850"/>
      <c r="U42" s="771"/>
      <c r="V42" s="769"/>
      <c r="W42" s="769"/>
      <c r="X42" s="770"/>
    </row>
    <row r="43" spans="2:24" ht="15" hidden="1" outlineLevel="1">
      <c r="B43" s="821">
        <v>10</v>
      </c>
      <c r="C43" s="822" t="s">
        <v>3250</v>
      </c>
      <c r="D43" s="1092"/>
      <c r="E43" s="1093"/>
      <c r="F43" s="1094"/>
      <c r="G43" s="1095"/>
      <c r="H43" s="1096"/>
      <c r="I43" s="1097"/>
      <c r="J43" s="1096"/>
      <c r="K43" s="1097"/>
      <c r="L43" s="1092"/>
      <c r="M43" s="1092"/>
      <c r="N43" s="1092"/>
      <c r="O43" s="1098"/>
      <c r="P43" s="850"/>
      <c r="Q43" s="850"/>
      <c r="R43" s="850"/>
      <c r="S43" s="850"/>
      <c r="T43" s="850"/>
      <c r="U43" s="1101" t="s">
        <v>1200</v>
      </c>
      <c r="V43" s="769"/>
      <c r="W43" s="769"/>
      <c r="X43" s="770"/>
    </row>
    <row r="44" spans="2:24" ht="15" hidden="1" outlineLevel="1">
      <c r="B44" s="1100"/>
      <c r="C44" s="1092"/>
      <c r="D44" s="1092" t="s">
        <v>1185</v>
      </c>
      <c r="E44" s="1093" t="s">
        <v>132</v>
      </c>
      <c r="F44" s="1094" t="str">
        <f>_xlfn.XLOOKUP(E44,'A0.LS'!E:E,'A0.LS'!F:F)</f>
        <v>Thuế GTGT đầu ra</v>
      </c>
      <c r="G44" s="1095">
        <v>1</v>
      </c>
      <c r="H44" s="1096"/>
      <c r="I44" s="1097"/>
      <c r="J44" s="1096"/>
      <c r="K44" s="1097">
        <f>ROUND(SUM(G44:J44),0)</f>
        <v>1</v>
      </c>
      <c r="L44" s="1092" t="s">
        <v>3240</v>
      </c>
      <c r="M44" s="1092" t="s">
        <v>1199</v>
      </c>
      <c r="N44" s="1092"/>
      <c r="O44" s="1098"/>
      <c r="P44" s="850"/>
      <c r="Q44" s="850"/>
      <c r="R44" s="850"/>
      <c r="S44" s="850"/>
      <c r="T44" s="850"/>
      <c r="U44" s="1101" t="s">
        <v>1200</v>
      </c>
      <c r="V44" s="769"/>
      <c r="W44" s="769"/>
      <c r="X44" s="770"/>
    </row>
    <row r="45" spans="2:24" ht="15" hidden="1" outlineLevel="1">
      <c r="B45" s="1100"/>
      <c r="C45" s="1092"/>
      <c r="D45" s="1092" t="s">
        <v>1186</v>
      </c>
      <c r="E45" s="1093" t="s">
        <v>47</v>
      </c>
      <c r="F45" s="1094" t="str">
        <f>_xlfn.XLOOKUP(E45,'A0.LS'!E:E,'A0.LS'!F:F)</f>
        <v>Phải thu của khách hàng</v>
      </c>
      <c r="G45" s="1095"/>
      <c r="H45" s="1096">
        <f>-G44</f>
        <v>-1</v>
      </c>
      <c r="I45" s="1097"/>
      <c r="J45" s="1096"/>
      <c r="K45" s="1097">
        <f>ROUND(SUM(G45:J45),0)</f>
        <v>-1</v>
      </c>
      <c r="L45" s="1092" t="s">
        <v>3240</v>
      </c>
      <c r="M45" s="1092" t="s">
        <v>1199</v>
      </c>
      <c r="N45" s="1092"/>
      <c r="O45" s="1098"/>
      <c r="P45" s="850"/>
      <c r="Q45" s="850"/>
      <c r="R45" s="850"/>
      <c r="S45" s="850"/>
      <c r="T45" s="850"/>
      <c r="U45" s="1101" t="s">
        <v>1200</v>
      </c>
      <c r="V45" s="769"/>
      <c r="W45" s="769"/>
      <c r="X45" s="770"/>
    </row>
    <row r="46" spans="2:24" ht="15" hidden="1" outlineLevel="1">
      <c r="B46" s="1100"/>
      <c r="C46" s="1092"/>
      <c r="D46" s="1092"/>
      <c r="E46" s="1093"/>
      <c r="F46" s="1094"/>
      <c r="G46" s="1095"/>
      <c r="H46" s="1096"/>
      <c r="I46" s="1097"/>
      <c r="J46" s="1096"/>
      <c r="K46" s="1097"/>
      <c r="L46" s="1092"/>
      <c r="M46" s="1092"/>
      <c r="N46" s="1092"/>
      <c r="O46" s="1098"/>
      <c r="P46" s="850"/>
      <c r="Q46" s="850"/>
      <c r="R46" s="850"/>
      <c r="S46" s="850"/>
      <c r="T46" s="850"/>
      <c r="U46" s="771"/>
      <c r="V46" s="769"/>
      <c r="W46" s="769"/>
      <c r="X46" s="770"/>
    </row>
    <row r="47" spans="2:24" ht="15" hidden="1" outlineLevel="1">
      <c r="B47" s="821">
        <v>11</v>
      </c>
      <c r="C47" s="822" t="s">
        <v>3251</v>
      </c>
      <c r="D47" s="1092"/>
      <c r="E47" s="1093"/>
      <c r="F47" s="1094"/>
      <c r="G47" s="1095"/>
      <c r="H47" s="1096"/>
      <c r="I47" s="1097"/>
      <c r="J47" s="1096"/>
      <c r="K47" s="1097"/>
      <c r="L47" s="1092"/>
      <c r="M47" s="1092"/>
      <c r="N47" s="1092"/>
      <c r="O47" s="1098"/>
      <c r="P47" s="850"/>
      <c r="Q47" s="850"/>
      <c r="R47" s="850"/>
      <c r="S47" s="850"/>
      <c r="T47" s="850"/>
      <c r="U47" s="1101" t="s">
        <v>1200</v>
      </c>
      <c r="V47" s="769"/>
      <c r="W47" s="769"/>
      <c r="X47" s="770"/>
    </row>
    <row r="48" spans="2:24" ht="15" hidden="1" outlineLevel="1">
      <c r="B48" s="1100"/>
      <c r="C48" s="1092"/>
      <c r="D48" s="1092" t="s">
        <v>1185</v>
      </c>
      <c r="E48" s="1093" t="s">
        <v>47</v>
      </c>
      <c r="F48" s="1094" t="str">
        <f>_xlfn.XLOOKUP(E48,'A0.LS'!E:E,'A0.LS'!F:F)</f>
        <v>Phải thu của khách hàng</v>
      </c>
      <c r="G48" s="1095"/>
      <c r="H48" s="1096"/>
      <c r="I48" s="1097"/>
      <c r="J48" s="1096"/>
      <c r="K48" s="1097">
        <f>ROUND(SUM(G48:J48),0)</f>
        <v>0</v>
      </c>
      <c r="L48" s="1092" t="s">
        <v>3240</v>
      </c>
      <c r="M48" s="1092" t="s">
        <v>1199</v>
      </c>
      <c r="N48" s="1092"/>
      <c r="O48" s="1098"/>
      <c r="P48" s="850"/>
      <c r="Q48" s="850"/>
      <c r="R48" s="850"/>
      <c r="S48" s="850"/>
      <c r="T48" s="850"/>
      <c r="U48" s="1101" t="s">
        <v>1200</v>
      </c>
      <c r="V48" s="769"/>
      <c r="W48" s="769"/>
      <c r="X48" s="770"/>
    </row>
    <row r="49" spans="2:24" ht="15" hidden="1" outlineLevel="1">
      <c r="B49" s="1100"/>
      <c r="C49" s="1092"/>
      <c r="D49" s="1092" t="s">
        <v>1186</v>
      </c>
      <c r="E49" s="1093" t="s">
        <v>125</v>
      </c>
      <c r="F49" s="1094" t="str">
        <f>_xlfn.XLOOKUP(E49,'A0.LS'!E:E,'A0.LS'!F:F)</f>
        <v>Phải trả cho người bán</v>
      </c>
      <c r="G49" s="1095"/>
      <c r="H49" s="1096">
        <f>-G48</f>
        <v>0</v>
      </c>
      <c r="I49" s="1097"/>
      <c r="J49" s="1096"/>
      <c r="K49" s="1097">
        <f>ROUND(SUM(G49:J49),0)</f>
        <v>0</v>
      </c>
      <c r="L49" s="1092" t="s">
        <v>3240</v>
      </c>
      <c r="M49" s="1092" t="s">
        <v>1199</v>
      </c>
      <c r="N49" s="1092"/>
      <c r="O49" s="1098"/>
      <c r="P49" s="850"/>
      <c r="Q49" s="850"/>
      <c r="R49" s="850"/>
      <c r="S49" s="850"/>
      <c r="T49" s="850"/>
      <c r="U49" s="1101" t="s">
        <v>1200</v>
      </c>
      <c r="V49" s="769"/>
      <c r="W49" s="769"/>
      <c r="X49" s="770"/>
    </row>
    <row r="50" spans="2:24" ht="15" hidden="1" outlineLevel="1">
      <c r="B50" s="1100"/>
      <c r="C50" s="1092"/>
      <c r="D50" s="1092"/>
      <c r="E50" s="1093"/>
      <c r="F50" s="1094"/>
      <c r="G50" s="1095"/>
      <c r="H50" s="1096"/>
      <c r="I50" s="1097"/>
      <c r="J50" s="1096"/>
      <c r="K50" s="1097"/>
      <c r="L50" s="1092"/>
      <c r="M50" s="1092"/>
      <c r="N50" s="1092"/>
      <c r="O50" s="1098"/>
      <c r="P50" s="850"/>
      <c r="Q50" s="850"/>
      <c r="R50" s="850"/>
      <c r="S50" s="850"/>
      <c r="T50" s="850"/>
      <c r="U50" s="771"/>
      <c r="V50" s="769"/>
      <c r="W50" s="769"/>
      <c r="X50" s="770"/>
    </row>
    <row r="51" spans="2:24" ht="15" hidden="1" outlineLevel="1">
      <c r="B51" s="821">
        <v>12</v>
      </c>
      <c r="C51" s="822" t="s">
        <v>3252</v>
      </c>
      <c r="D51" s="1092"/>
      <c r="E51" s="1092"/>
      <c r="F51" s="1094"/>
      <c r="G51" s="1095"/>
      <c r="H51" s="1096"/>
      <c r="I51" s="1097"/>
      <c r="J51" s="1096"/>
      <c r="K51" s="1097"/>
      <c r="L51" s="1092"/>
      <c r="M51" s="1092"/>
      <c r="N51" s="1092"/>
      <c r="O51" s="1098"/>
      <c r="P51" s="850"/>
      <c r="Q51" s="850"/>
      <c r="R51" s="850"/>
      <c r="S51" s="850"/>
      <c r="T51" s="850"/>
      <c r="U51" s="771"/>
      <c r="V51" s="769"/>
      <c r="W51" s="769"/>
      <c r="X51" s="770"/>
    </row>
    <row r="52" spans="2:24" ht="15" hidden="1" outlineLevel="1">
      <c r="B52" s="1100"/>
      <c r="C52" s="1092"/>
      <c r="D52" s="1092" t="s">
        <v>1185</v>
      </c>
      <c r="E52" s="1093" t="s">
        <v>62</v>
      </c>
      <c r="F52" s="1094" t="str">
        <f>_xlfn.XLOOKUP(E52,'A0.LS'!E:E,'A0.LS'!F:F)</f>
        <v>Phải thu khác</v>
      </c>
      <c r="G52" s="1095">
        <f>'1218 1388.Khac'!L116</f>
        <v>18691677</v>
      </c>
      <c r="H52" s="1096"/>
      <c r="I52" s="1097"/>
      <c r="J52" s="1096"/>
      <c r="K52" s="1097">
        <f>ROUND(SUM(G52:J52),0)</f>
        <v>18691677</v>
      </c>
      <c r="L52" s="1092" t="s">
        <v>3240</v>
      </c>
      <c r="M52" s="1092" t="s">
        <v>1199</v>
      </c>
      <c r="N52" s="1092"/>
      <c r="O52" s="1098"/>
      <c r="P52" s="850"/>
      <c r="Q52" s="850"/>
      <c r="R52" s="850"/>
      <c r="S52" s="850"/>
      <c r="T52" s="850"/>
      <c r="U52" s="1101" t="s">
        <v>3244</v>
      </c>
      <c r="V52" s="769"/>
      <c r="W52" s="769"/>
      <c r="X52" s="770"/>
    </row>
    <row r="53" spans="2:24" ht="15" hidden="1" outlineLevel="1">
      <c r="B53" s="1100"/>
      <c r="C53" s="1092"/>
      <c r="D53" s="1092" t="s">
        <v>1186</v>
      </c>
      <c r="E53" s="1093" t="s">
        <v>185</v>
      </c>
      <c r="F53" s="850" t="str">
        <f>_xlfn.XLOOKUP(E53,'A0.LS'!E:E,'A0.LS'!F:F)</f>
        <v>Phải trả, phải nộp khác: Khác</v>
      </c>
      <c r="G53" s="1095"/>
      <c r="H53" s="1096">
        <f>-G52</f>
        <v>-18691677</v>
      </c>
      <c r="I53" s="1097"/>
      <c r="J53" s="1096"/>
      <c r="K53" s="1097">
        <f>ROUND(SUM(G53:J53),0)</f>
        <v>-18691677</v>
      </c>
      <c r="L53" s="1092" t="s">
        <v>3240</v>
      </c>
      <c r="M53" s="1092" t="s">
        <v>1199</v>
      </c>
      <c r="N53" s="1092"/>
      <c r="O53" s="1098"/>
      <c r="P53" s="850"/>
      <c r="Q53" s="850"/>
      <c r="R53" s="850"/>
      <c r="S53" s="850"/>
      <c r="T53" s="850"/>
      <c r="U53" s="1101" t="s">
        <v>3244</v>
      </c>
      <c r="V53" s="769"/>
      <c r="W53" s="769"/>
      <c r="X53" s="770"/>
    </row>
    <row r="54" spans="2:24" ht="15" hidden="1" outlineLevel="1">
      <c r="B54" s="1100"/>
      <c r="C54" s="1092"/>
      <c r="D54" s="1092"/>
      <c r="E54" s="1093"/>
      <c r="F54" s="850"/>
      <c r="G54" s="1095"/>
      <c r="H54" s="1096"/>
      <c r="I54" s="1097"/>
      <c r="J54" s="1096"/>
      <c r="K54" s="1097"/>
      <c r="L54" s="1092"/>
      <c r="M54" s="1092"/>
      <c r="N54" s="1092"/>
      <c r="O54" s="1098"/>
      <c r="P54" s="850"/>
      <c r="Q54" s="850"/>
      <c r="R54" s="850"/>
      <c r="S54" s="850"/>
      <c r="T54" s="850"/>
      <c r="U54" s="1101"/>
      <c r="V54" s="769"/>
      <c r="W54" s="769"/>
      <c r="X54" s="770"/>
    </row>
    <row r="55" spans="2:24" ht="15" hidden="1" outlineLevel="1">
      <c r="B55" s="821">
        <v>13</v>
      </c>
      <c r="C55" s="822" t="s">
        <v>3253</v>
      </c>
      <c r="D55" s="1092"/>
      <c r="E55" s="1092"/>
      <c r="F55" s="1094"/>
      <c r="G55" s="1095"/>
      <c r="H55" s="1096"/>
      <c r="I55" s="1097"/>
      <c r="J55" s="1096"/>
      <c r="K55" s="1097"/>
      <c r="L55" s="1092"/>
      <c r="M55" s="1092"/>
      <c r="N55" s="1092"/>
      <c r="O55" s="1098"/>
      <c r="P55" s="850"/>
      <c r="Q55" s="850"/>
      <c r="R55" s="850"/>
      <c r="S55" s="850"/>
      <c r="T55" s="850"/>
      <c r="U55" s="771"/>
      <c r="V55" s="769"/>
      <c r="W55" s="769"/>
      <c r="X55" s="770"/>
    </row>
    <row r="56" spans="2:24" ht="15" hidden="1" outlineLevel="1">
      <c r="B56" s="1100"/>
      <c r="C56" s="1092"/>
      <c r="D56" s="1092" t="s">
        <v>1185</v>
      </c>
      <c r="E56" s="1093" t="s">
        <v>283</v>
      </c>
      <c r="F56" s="1094" t="str">
        <f>_xlfn.XLOOKUP(E56,'A0.LS'!E:E,'A0.LS'!F:F)</f>
        <v>Phí dữ liệu</v>
      </c>
      <c r="G56" s="1095"/>
      <c r="H56" s="1096"/>
      <c r="I56" s="1097">
        <f>'PhươngNH_Bút toán điều chỉnh EY'!P7</f>
        <v>376749</v>
      </c>
      <c r="J56" s="1096"/>
      <c r="K56" s="1097">
        <f t="shared" ref="K56:K77" si="1">ROUND(SUM(G56:J56),0)</f>
        <v>376749</v>
      </c>
      <c r="L56" s="1092" t="s">
        <v>3240</v>
      </c>
      <c r="M56" s="1092" t="s">
        <v>1199</v>
      </c>
      <c r="N56" s="1092"/>
      <c r="O56" s="1098"/>
      <c r="P56" s="850"/>
      <c r="Q56" s="850"/>
      <c r="R56" s="850"/>
      <c r="S56" s="850"/>
      <c r="T56" s="850"/>
      <c r="U56" s="1101" t="s">
        <v>3244</v>
      </c>
      <c r="V56" s="769"/>
      <c r="W56" s="769"/>
      <c r="X56" s="770"/>
    </row>
    <row r="57" spans="2:24" ht="15" hidden="1" outlineLevel="1">
      <c r="B57" s="1100"/>
      <c r="C57" s="1092"/>
      <c r="D57" s="1092"/>
      <c r="E57" s="1093" t="s">
        <v>285</v>
      </c>
      <c r="F57" s="1094" t="str">
        <f>_xlfn.XLOOKUP(E57,'A0.LS'!E:E,'A0.LS'!F:F)</f>
        <v>Chi phí internet</v>
      </c>
      <c r="G57" s="1095"/>
      <c r="H57" s="1096"/>
      <c r="I57" s="1097">
        <f>'PhươngNH_Bút toán điều chỉnh EY'!P8</f>
        <v>10356</v>
      </c>
      <c r="J57" s="1096"/>
      <c r="K57" s="1097">
        <f t="shared" si="1"/>
        <v>10356</v>
      </c>
      <c r="L57" s="1092" t="s">
        <v>3240</v>
      </c>
      <c r="M57" s="1092" t="s">
        <v>1199</v>
      </c>
      <c r="N57" s="1092"/>
      <c r="O57" s="1098"/>
      <c r="P57" s="850"/>
      <c r="Q57" s="850"/>
      <c r="R57" s="850"/>
      <c r="S57" s="850"/>
      <c r="T57" s="850"/>
      <c r="U57" s="1101"/>
      <c r="V57" s="769"/>
      <c r="W57" s="769"/>
      <c r="X57" s="770"/>
    </row>
    <row r="58" spans="2:24" ht="15" hidden="1" outlineLevel="1">
      <c r="B58" s="1100"/>
      <c r="C58" s="1092"/>
      <c r="D58" s="1092"/>
      <c r="E58" s="1093" t="s">
        <v>348</v>
      </c>
      <c r="F58" s="1094" t="str">
        <f>_xlfn.XLOOKUP(E58,'A0.LS'!E:E,'A0.LS'!F:F)</f>
        <v>Phí quảng cáo</v>
      </c>
      <c r="G58" s="1095"/>
      <c r="H58" s="1096"/>
      <c r="I58" s="1097">
        <f>'PhươngNH_Bút toán điều chỉnh EY'!P9</f>
        <v>2965</v>
      </c>
      <c r="J58" s="1096"/>
      <c r="K58" s="1097">
        <f t="shared" si="1"/>
        <v>2965</v>
      </c>
      <c r="L58" s="1092" t="s">
        <v>3240</v>
      </c>
      <c r="M58" s="1092" t="s">
        <v>1199</v>
      </c>
      <c r="N58" s="1092"/>
      <c r="O58" s="1098"/>
      <c r="P58" s="850"/>
      <c r="Q58" s="850"/>
      <c r="R58" s="850"/>
      <c r="S58" s="850"/>
      <c r="T58" s="850"/>
      <c r="U58" s="1101"/>
      <c r="V58" s="769"/>
      <c r="W58" s="769"/>
      <c r="X58" s="770"/>
    </row>
    <row r="59" spans="2:24" ht="15" hidden="1" outlineLevel="1">
      <c r="B59" s="1100"/>
      <c r="C59" s="1092"/>
      <c r="D59" s="1092"/>
      <c r="E59" s="1093" t="s">
        <v>354</v>
      </c>
      <c r="F59" s="1094" t="str">
        <f>_xlfn.XLOOKUP(E59,'A0.LS'!E:E,'A0.LS'!F:F)</f>
        <v>Điện thoại &amp; Fax</v>
      </c>
      <c r="G59" s="1095"/>
      <c r="H59" s="1096"/>
      <c r="I59" s="1097">
        <f>'PhươngNH_Bút toán điều chỉnh EY'!P10</f>
        <v>627</v>
      </c>
      <c r="J59" s="1096"/>
      <c r="K59" s="1097">
        <f t="shared" si="1"/>
        <v>627</v>
      </c>
      <c r="L59" s="1092" t="s">
        <v>3240</v>
      </c>
      <c r="M59" s="1092" t="s">
        <v>1199</v>
      </c>
      <c r="N59" s="1092"/>
      <c r="O59" s="1098"/>
      <c r="P59" s="850"/>
      <c r="Q59" s="850"/>
      <c r="R59" s="850"/>
      <c r="S59" s="850"/>
      <c r="T59" s="850"/>
      <c r="U59" s="1101"/>
      <c r="V59" s="769"/>
      <c r="W59" s="769"/>
      <c r="X59" s="770"/>
    </row>
    <row r="60" spans="2:24" ht="15" hidden="1" outlineLevel="1">
      <c r="B60" s="1100"/>
      <c r="C60" s="1092"/>
      <c r="D60" s="1092"/>
      <c r="E60" s="1093" t="s">
        <v>381</v>
      </c>
      <c r="F60" s="1094" t="str">
        <f>_xlfn.XLOOKUP(E60,'A0.LS'!E:E,'A0.LS'!F:F)</f>
        <v>Chi phí đồ dùng văn phòng</v>
      </c>
      <c r="G60" s="1095"/>
      <c r="H60" s="1096"/>
      <c r="I60" s="1097">
        <f>'PhươngNH_Bút toán điều chỉnh EY'!P11</f>
        <v>7411</v>
      </c>
      <c r="J60" s="1096"/>
      <c r="K60" s="1097">
        <f t="shared" si="1"/>
        <v>7411</v>
      </c>
      <c r="L60" s="1092" t="s">
        <v>3240</v>
      </c>
      <c r="M60" s="1092" t="s">
        <v>1199</v>
      </c>
      <c r="N60" s="1092"/>
      <c r="O60" s="1098"/>
      <c r="P60" s="850"/>
      <c r="Q60" s="850"/>
      <c r="R60" s="850"/>
      <c r="S60" s="850"/>
      <c r="T60" s="850"/>
      <c r="U60" s="1101"/>
      <c r="V60" s="769"/>
      <c r="W60" s="769"/>
      <c r="X60" s="770"/>
    </row>
    <row r="61" spans="2:24" ht="15" hidden="1" outlineLevel="1">
      <c r="B61" s="1100"/>
      <c r="C61" s="1092"/>
      <c r="D61" s="1092"/>
      <c r="E61" s="1093" t="s">
        <v>389</v>
      </c>
      <c r="F61" s="1094" t="str">
        <f>_xlfn.XLOOKUP(E61,'A0.LS'!E:E,'A0.LS'!F:F)</f>
        <v>Phí đi lại</v>
      </c>
      <c r="G61" s="1095"/>
      <c r="H61" s="1096"/>
      <c r="I61" s="1097">
        <f>'PhươngNH_Bút toán điều chỉnh EY'!P12</f>
        <v>479832</v>
      </c>
      <c r="J61" s="1096"/>
      <c r="K61" s="1097">
        <f t="shared" si="1"/>
        <v>479832</v>
      </c>
      <c r="L61" s="1092" t="s">
        <v>3240</v>
      </c>
      <c r="M61" s="1092" t="s">
        <v>1199</v>
      </c>
      <c r="N61" s="1092"/>
      <c r="O61" s="1098"/>
      <c r="P61" s="850"/>
      <c r="Q61" s="850"/>
      <c r="R61" s="850"/>
      <c r="S61" s="850"/>
      <c r="T61" s="850"/>
      <c r="U61" s="1101"/>
      <c r="V61" s="769"/>
      <c r="W61" s="769"/>
      <c r="X61" s="770"/>
    </row>
    <row r="62" spans="2:24" ht="15" hidden="1" outlineLevel="1">
      <c r="B62" s="1100"/>
      <c r="C62" s="1092"/>
      <c r="D62" s="1092"/>
      <c r="E62" s="1093" t="s">
        <v>393</v>
      </c>
      <c r="F62" s="1094" t="str">
        <f>_xlfn.XLOOKUP(E62,'A0.LS'!E:E,'A0.LS'!F:F)</f>
        <v>Phí ngân hàng</v>
      </c>
      <c r="G62" s="1095"/>
      <c r="H62" s="1096"/>
      <c r="I62" s="1097">
        <f>'PhươngNH_Bút toán điều chỉnh EY'!P13</f>
        <v>26945</v>
      </c>
      <c r="J62" s="1096"/>
      <c r="K62" s="1097">
        <f t="shared" si="1"/>
        <v>26945</v>
      </c>
      <c r="L62" s="1092" t="s">
        <v>3240</v>
      </c>
      <c r="M62" s="1092" t="s">
        <v>1199</v>
      </c>
      <c r="N62" s="1092"/>
      <c r="O62" s="1098"/>
      <c r="P62" s="850"/>
      <c r="Q62" s="850"/>
      <c r="R62" s="850"/>
      <c r="S62" s="850"/>
      <c r="T62" s="850"/>
      <c r="U62" s="1101"/>
      <c r="V62" s="769"/>
      <c r="W62" s="769"/>
      <c r="X62" s="770"/>
    </row>
    <row r="63" spans="2:24" ht="15" hidden="1" outlineLevel="1">
      <c r="B63" s="1100"/>
      <c r="C63" s="1092"/>
      <c r="D63" s="1092"/>
      <c r="E63" s="1093" t="s">
        <v>395</v>
      </c>
      <c r="F63" s="1094" t="str">
        <f>_xlfn.XLOOKUP(E63,'A0.LS'!E:E,'A0.LS'!F:F)</f>
        <v>Công tác_Tiền vé máy bay</v>
      </c>
      <c r="G63" s="1095"/>
      <c r="H63" s="1096"/>
      <c r="I63" s="1097">
        <f>'PhươngNH_Bút toán điều chỉnh EY'!P14</f>
        <v>28052</v>
      </c>
      <c r="J63" s="1096"/>
      <c r="K63" s="1097">
        <f t="shared" si="1"/>
        <v>28052</v>
      </c>
      <c r="L63" s="1092" t="s">
        <v>3240</v>
      </c>
      <c r="M63" s="1092" t="s">
        <v>1199</v>
      </c>
      <c r="N63" s="1092"/>
      <c r="O63" s="1098"/>
      <c r="P63" s="850"/>
      <c r="Q63" s="850"/>
      <c r="R63" s="850"/>
      <c r="S63" s="850"/>
      <c r="T63" s="850"/>
      <c r="U63" s="1101"/>
      <c r="V63" s="769"/>
      <c r="W63" s="769"/>
      <c r="X63" s="770"/>
    </row>
    <row r="64" spans="2:24" ht="15" hidden="1" outlineLevel="1">
      <c r="B64" s="1100"/>
      <c r="C64" s="1092"/>
      <c r="D64" s="1092"/>
      <c r="E64" s="1093" t="s">
        <v>397</v>
      </c>
      <c r="F64" s="1094" t="str">
        <f>_xlfn.XLOOKUP(E64,'A0.LS'!E:E,'A0.LS'!F:F)</f>
        <v>Công tác_Tiền lưu trú</v>
      </c>
      <c r="G64" s="1095"/>
      <c r="H64" s="1096"/>
      <c r="I64" s="1097">
        <f>'PhươngNH_Bút toán điều chỉnh EY'!P15</f>
        <v>22698</v>
      </c>
      <c r="J64" s="1096"/>
      <c r="K64" s="1097">
        <f t="shared" si="1"/>
        <v>22698</v>
      </c>
      <c r="L64" s="1092" t="s">
        <v>3240</v>
      </c>
      <c r="M64" s="1092" t="s">
        <v>1199</v>
      </c>
      <c r="N64" s="1092"/>
      <c r="O64" s="1098"/>
      <c r="P64" s="850"/>
      <c r="Q64" s="850"/>
      <c r="R64" s="850"/>
      <c r="S64" s="850"/>
      <c r="T64" s="850"/>
      <c r="U64" s="1101"/>
      <c r="V64" s="769"/>
      <c r="W64" s="769"/>
      <c r="X64" s="770"/>
    </row>
    <row r="65" spans="2:24" ht="15" hidden="1" outlineLevel="1">
      <c r="B65" s="1100"/>
      <c r="C65" s="1092"/>
      <c r="D65" s="1092"/>
      <c r="E65" s="1093" t="s">
        <v>398</v>
      </c>
      <c r="F65" s="1094" t="str">
        <f>_xlfn.XLOOKUP(E65,'A0.LS'!E:E,'A0.LS'!F:F)</f>
        <v>Công tác_Ăn uống</v>
      </c>
      <c r="G65" s="1095"/>
      <c r="H65" s="1096"/>
      <c r="I65" s="1097">
        <f>'PhươngNH_Bút toán điều chỉnh EY'!P16</f>
        <v>24904</v>
      </c>
      <c r="J65" s="1096"/>
      <c r="K65" s="1097">
        <f t="shared" si="1"/>
        <v>24904</v>
      </c>
      <c r="L65" s="1092" t="s">
        <v>3240</v>
      </c>
      <c r="M65" s="1092" t="s">
        <v>1199</v>
      </c>
      <c r="N65" s="1092"/>
      <c r="O65" s="1098"/>
      <c r="P65" s="850"/>
      <c r="Q65" s="850"/>
      <c r="R65" s="850"/>
      <c r="S65" s="850"/>
      <c r="T65" s="850"/>
      <c r="U65" s="1101"/>
      <c r="V65" s="769"/>
      <c r="W65" s="769"/>
      <c r="X65" s="770"/>
    </row>
    <row r="66" spans="2:24" ht="15" hidden="1" outlineLevel="1">
      <c r="B66" s="1100"/>
      <c r="C66" s="1092"/>
      <c r="D66" s="1092"/>
      <c r="E66" s="1093" t="s">
        <v>405</v>
      </c>
      <c r="F66" s="1094" t="str">
        <f>_xlfn.XLOOKUP(E66,'A0.LS'!E:E,'A0.LS'!F:F)</f>
        <v>Phí hỗ trợ kiểm soát gd bank</v>
      </c>
      <c r="G66" s="1095"/>
      <c r="H66" s="1096"/>
      <c r="I66" s="1097">
        <f>'PhươngNH_Bút toán điều chỉnh EY'!P17</f>
        <v>123772</v>
      </c>
      <c r="J66" s="1096"/>
      <c r="K66" s="1097">
        <f t="shared" si="1"/>
        <v>123772</v>
      </c>
      <c r="L66" s="1092" t="s">
        <v>3240</v>
      </c>
      <c r="M66" s="1092" t="s">
        <v>1199</v>
      </c>
      <c r="N66" s="1092"/>
      <c r="O66" s="1098"/>
      <c r="P66" s="850"/>
      <c r="Q66" s="850"/>
      <c r="R66" s="850"/>
      <c r="S66" s="850"/>
      <c r="T66" s="850"/>
      <c r="U66" s="1101"/>
      <c r="V66" s="769"/>
      <c r="W66" s="769"/>
      <c r="X66" s="770"/>
    </row>
    <row r="67" spans="2:24" ht="15" hidden="1" outlineLevel="1">
      <c r="B67" s="1100"/>
      <c r="C67" s="1092"/>
      <c r="D67" s="1092"/>
      <c r="E67" s="1093" t="s">
        <v>407</v>
      </c>
      <c r="F67" s="1094" t="str">
        <f>_xlfn.XLOOKUP(E67,'A0.LS'!E:E,'A0.LS'!F:F)</f>
        <v>Phí kiểm toán</v>
      </c>
      <c r="G67" s="1095"/>
      <c r="H67" s="1096"/>
      <c r="I67" s="1097">
        <f>'PhươngNH_Bút toán điều chỉnh EY'!P18</f>
        <v>464280</v>
      </c>
      <c r="J67" s="1096"/>
      <c r="K67" s="1097">
        <f t="shared" si="1"/>
        <v>464280</v>
      </c>
      <c r="L67" s="1092" t="s">
        <v>3240</v>
      </c>
      <c r="M67" s="1092" t="s">
        <v>1199</v>
      </c>
      <c r="N67" s="1092"/>
      <c r="O67" s="1098"/>
      <c r="P67" s="850"/>
      <c r="Q67" s="850"/>
      <c r="R67" s="850"/>
      <c r="S67" s="850"/>
      <c r="T67" s="850"/>
      <c r="U67" s="1101"/>
      <c r="V67" s="769"/>
      <c r="W67" s="769"/>
      <c r="X67" s="770"/>
    </row>
    <row r="68" spans="2:24" ht="15" hidden="1" outlineLevel="1">
      <c r="B68" s="1100"/>
      <c r="C68" s="1092"/>
      <c r="D68" s="1092"/>
      <c r="E68" s="1093" t="s">
        <v>413</v>
      </c>
      <c r="F68" s="1094" t="str">
        <f>_xlfn.XLOOKUP(E68,'A0.LS'!E:E,'A0.LS'!F:F)</f>
        <v>Chi phí điện nước</v>
      </c>
      <c r="G68" s="1095"/>
      <c r="H68" s="1096"/>
      <c r="I68" s="1097">
        <f>'PhươngNH_Bút toán điều chỉnh EY'!P19</f>
        <v>99752</v>
      </c>
      <c r="J68" s="1096"/>
      <c r="K68" s="1097">
        <f t="shared" si="1"/>
        <v>99752</v>
      </c>
      <c r="L68" s="1092" t="s">
        <v>3240</v>
      </c>
      <c r="M68" s="1092" t="s">
        <v>1199</v>
      </c>
      <c r="N68" s="1092"/>
      <c r="O68" s="1098"/>
      <c r="P68" s="850"/>
      <c r="Q68" s="850"/>
      <c r="R68" s="850"/>
      <c r="S68" s="850"/>
      <c r="T68" s="850"/>
      <c r="U68" s="1101"/>
      <c r="V68" s="769"/>
      <c r="W68" s="769"/>
      <c r="X68" s="770"/>
    </row>
    <row r="69" spans="2:24" ht="15" hidden="1" outlineLevel="1">
      <c r="B69" s="1100"/>
      <c r="C69" s="1092"/>
      <c r="D69" s="1092"/>
      <c r="E69" s="1093" t="s">
        <v>415</v>
      </c>
      <c r="F69" s="1094" t="str">
        <f>_xlfn.XLOOKUP(E69,'A0.LS'!E:E,'A0.LS'!F:F)</f>
        <v>Chi phí gửi xe</v>
      </c>
      <c r="G69" s="1095"/>
      <c r="H69" s="1096"/>
      <c r="I69" s="1097">
        <f>'PhươngNH_Bút toán điều chỉnh EY'!P20</f>
        <v>12670</v>
      </c>
      <c r="J69" s="1096"/>
      <c r="K69" s="1097">
        <f t="shared" si="1"/>
        <v>12670</v>
      </c>
      <c r="L69" s="1092" t="s">
        <v>3240</v>
      </c>
      <c r="M69" s="1092" t="s">
        <v>1199</v>
      </c>
      <c r="N69" s="1092"/>
      <c r="O69" s="1098"/>
      <c r="P69" s="850"/>
      <c r="Q69" s="850"/>
      <c r="R69" s="850"/>
      <c r="S69" s="850"/>
      <c r="T69" s="850"/>
      <c r="U69" s="1101"/>
      <c r="V69" s="769"/>
      <c r="W69" s="769"/>
      <c r="X69" s="770"/>
    </row>
    <row r="70" spans="2:24" ht="15" hidden="1" outlineLevel="1">
      <c r="B70" s="1100"/>
      <c r="C70" s="1092"/>
      <c r="D70" s="1092"/>
      <c r="E70" s="1093" t="s">
        <v>421</v>
      </c>
      <c r="F70" s="1094" t="str">
        <f>_xlfn.XLOOKUP(E70,'A0.LS'!E:E,'A0.LS'!F:F)</f>
        <v>Chi phí dịch vụ mua ngoài khác</v>
      </c>
      <c r="G70" s="1095"/>
      <c r="H70" s="1096"/>
      <c r="I70" s="1097">
        <f>'PhươngNH_Bút toán điều chỉnh EY'!P21</f>
        <v>259887</v>
      </c>
      <c r="J70" s="1096"/>
      <c r="K70" s="1097">
        <f t="shared" si="1"/>
        <v>259887</v>
      </c>
      <c r="L70" s="1092" t="s">
        <v>3240</v>
      </c>
      <c r="M70" s="1092" t="s">
        <v>1199</v>
      </c>
      <c r="N70" s="1092"/>
      <c r="O70" s="1098"/>
      <c r="P70" s="850"/>
      <c r="Q70" s="850"/>
      <c r="R70" s="850"/>
      <c r="S70" s="850"/>
      <c r="T70" s="850"/>
      <c r="U70" s="1101"/>
      <c r="V70" s="769"/>
      <c r="W70" s="769"/>
      <c r="X70" s="770"/>
    </row>
    <row r="71" spans="2:24" ht="15" hidden="1" outlineLevel="1">
      <c r="B71" s="1100"/>
      <c r="C71" s="1092"/>
      <c r="D71" s="1092"/>
      <c r="E71" s="1093" t="s">
        <v>424</v>
      </c>
      <c r="F71" s="1094" t="str">
        <f>_xlfn.XLOOKUP(E71,'A0.LS'!E:E,'A0.LS'!F:F)</f>
        <v>Chi phí thuê văn phòng</v>
      </c>
      <c r="G71" s="1095"/>
      <c r="H71" s="1096"/>
      <c r="I71" s="1097">
        <f>'PhươngNH_Bút toán điều chỉnh EY'!P22</f>
        <v>30122</v>
      </c>
      <c r="J71" s="1096"/>
      <c r="K71" s="1097">
        <f t="shared" si="1"/>
        <v>30122</v>
      </c>
      <c r="L71" s="1092" t="s">
        <v>3240</v>
      </c>
      <c r="M71" s="1092" t="s">
        <v>1199</v>
      </c>
      <c r="N71" s="1092"/>
      <c r="O71" s="1098"/>
      <c r="P71" s="850"/>
      <c r="Q71" s="850"/>
      <c r="R71" s="850"/>
      <c r="S71" s="850"/>
      <c r="T71" s="850"/>
      <c r="U71" s="1101"/>
      <c r="V71" s="769"/>
      <c r="W71" s="769"/>
      <c r="X71" s="770"/>
    </row>
    <row r="72" spans="2:24" ht="15" hidden="1" outlineLevel="1">
      <c r="B72" s="1100"/>
      <c r="C72" s="1092"/>
      <c r="D72" s="1092"/>
      <c r="E72" s="1093" t="s">
        <v>431</v>
      </c>
      <c r="F72" s="1094" t="str">
        <f>_xlfn.XLOOKUP(E72,'A0.LS'!E:E,'A0.LS'!F:F)</f>
        <v>Điện thoại &amp; Fax</v>
      </c>
      <c r="G72" s="1095"/>
      <c r="H72" s="1096"/>
      <c r="I72" s="1097">
        <f>'PhươngNH_Bút toán điều chỉnh EY'!P23</f>
        <v>1739</v>
      </c>
      <c r="J72" s="1096"/>
      <c r="K72" s="1097">
        <f t="shared" si="1"/>
        <v>1739</v>
      </c>
      <c r="L72" s="1092" t="s">
        <v>3240</v>
      </c>
      <c r="M72" s="1092" t="s">
        <v>1199</v>
      </c>
      <c r="N72" s="1092"/>
      <c r="O72" s="1098"/>
      <c r="P72" s="850"/>
      <c r="Q72" s="850"/>
      <c r="R72" s="850"/>
      <c r="S72" s="850"/>
      <c r="T72" s="850"/>
      <c r="U72" s="1101"/>
      <c r="V72" s="769"/>
      <c r="W72" s="769"/>
      <c r="X72" s="770"/>
    </row>
    <row r="73" spans="2:24" ht="15" hidden="1" outlineLevel="1">
      <c r="B73" s="1100"/>
      <c r="C73" s="1092"/>
      <c r="D73" s="1092"/>
      <c r="E73" s="1093" t="s">
        <v>435</v>
      </c>
      <c r="F73" s="1094" t="str">
        <f>_xlfn.XLOOKUP(E73,'A0.LS'!E:E,'A0.LS'!F:F)</f>
        <v>Ăn uống, tiếp khách</v>
      </c>
      <c r="G73" s="1095"/>
      <c r="H73" s="1096"/>
      <c r="I73" s="1097">
        <f>'PhươngNH_Bút toán điều chỉnh EY'!P24</f>
        <v>87387</v>
      </c>
      <c r="J73" s="1096"/>
      <c r="K73" s="1097">
        <f t="shared" si="1"/>
        <v>87387</v>
      </c>
      <c r="L73" s="1092" t="s">
        <v>3240</v>
      </c>
      <c r="M73" s="1092" t="s">
        <v>1199</v>
      </c>
      <c r="N73" s="1092"/>
      <c r="O73" s="1098"/>
      <c r="P73" s="850"/>
      <c r="Q73" s="850"/>
      <c r="R73" s="850"/>
      <c r="S73" s="850"/>
      <c r="T73" s="850"/>
      <c r="U73" s="1101"/>
      <c r="V73" s="769"/>
      <c r="W73" s="769"/>
      <c r="X73" s="770"/>
    </row>
    <row r="74" spans="2:24" ht="15" hidden="1" outlineLevel="1">
      <c r="B74" s="1100"/>
      <c r="C74" s="1092"/>
      <c r="D74" s="1092"/>
      <c r="E74" s="1093" t="s">
        <v>437</v>
      </c>
      <c r="F74" s="1094" t="str">
        <f>_xlfn.XLOOKUP(E74,'A0.LS'!E:E,'A0.LS'!F:F)</f>
        <v>Chi phí bằng tiền khác</v>
      </c>
      <c r="G74" s="1095"/>
      <c r="H74" s="1096"/>
      <c r="I74" s="1097">
        <f>'PhươngNH_Bút toán điều chỉnh EY'!P25</f>
        <v>44391</v>
      </c>
      <c r="J74" s="1096"/>
      <c r="K74" s="1097">
        <f t="shared" si="1"/>
        <v>44391</v>
      </c>
      <c r="L74" s="1092" t="s">
        <v>3240</v>
      </c>
      <c r="M74" s="1092" t="s">
        <v>1199</v>
      </c>
      <c r="N74" s="1092"/>
      <c r="O74" s="1098"/>
      <c r="P74" s="850"/>
      <c r="Q74" s="850"/>
      <c r="R74" s="850"/>
      <c r="S74" s="850"/>
      <c r="T74" s="850"/>
      <c r="U74" s="1101"/>
      <c r="V74" s="769"/>
      <c r="W74" s="769"/>
      <c r="X74" s="770"/>
    </row>
    <row r="75" spans="2:24" ht="15" hidden="1" outlineLevel="1">
      <c r="B75" s="1100"/>
      <c r="C75" s="1092"/>
      <c r="D75" s="1092"/>
      <c r="E75" s="1093" t="s">
        <v>380</v>
      </c>
      <c r="F75" s="1094" t="str">
        <f>_xlfn.XLOOKUP(E75,'A0.LS'!E:E,'A0.LS'!F:F)</f>
        <v>Phúc lợi khác</v>
      </c>
      <c r="G75" s="1095"/>
      <c r="H75" s="1096"/>
      <c r="I75" s="1097">
        <f>'PhươngNH_Bút toán điều chỉnh EY'!P26</f>
        <v>9709</v>
      </c>
      <c r="J75" s="1096"/>
      <c r="K75" s="1097">
        <f t="shared" si="1"/>
        <v>9709</v>
      </c>
      <c r="L75" s="1092" t="s">
        <v>3240</v>
      </c>
      <c r="M75" s="1092" t="s">
        <v>1199</v>
      </c>
      <c r="N75" s="1092"/>
      <c r="O75" s="1098"/>
      <c r="P75" s="850"/>
      <c r="Q75" s="850"/>
      <c r="R75" s="850"/>
      <c r="S75" s="850"/>
      <c r="T75" s="850"/>
      <c r="U75" s="1101"/>
      <c r="V75" s="769"/>
      <c r="W75" s="769"/>
      <c r="X75" s="770"/>
    </row>
    <row r="76" spans="2:24" ht="15" hidden="1" outlineLevel="1">
      <c r="B76" s="1100"/>
      <c r="C76" s="1092"/>
      <c r="D76" s="1092"/>
      <c r="E76" s="1093" t="s">
        <v>273</v>
      </c>
      <c r="F76" s="1094" t="str">
        <f>_xlfn.XLOOKUP(E76,'A0.LS'!E:E,'A0.LS'!F:F)</f>
        <v>Phí mua bán CCQ</v>
      </c>
      <c r="G76" s="1095"/>
      <c r="H76" s="1096"/>
      <c r="I76" s="1097">
        <f>'PhươngNH_Bút toán điều chỉnh EY'!P27</f>
        <v>30122</v>
      </c>
      <c r="J76" s="1096"/>
      <c r="K76" s="1097">
        <f t="shared" si="1"/>
        <v>30122</v>
      </c>
      <c r="L76" s="1092" t="s">
        <v>3240</v>
      </c>
      <c r="M76" s="1092" t="s">
        <v>1199</v>
      </c>
      <c r="N76" s="1092"/>
      <c r="O76" s="1098"/>
      <c r="P76" s="850"/>
      <c r="Q76" s="850"/>
      <c r="R76" s="850"/>
      <c r="S76" s="850"/>
      <c r="T76" s="850"/>
      <c r="U76" s="1101"/>
      <c r="V76" s="769"/>
      <c r="W76" s="769"/>
      <c r="X76" s="770"/>
    </row>
    <row r="77" spans="2:24" ht="15" hidden="1" outlineLevel="1">
      <c r="B77" s="1100"/>
      <c r="C77" s="1092"/>
      <c r="D77" s="1092" t="s">
        <v>1186</v>
      </c>
      <c r="E77" s="1093" t="s">
        <v>51</v>
      </c>
      <c r="F77" s="850" t="str">
        <f>_xlfn.XLOOKUP(E77,'A0.LS'!E:E,'A0.LS'!F:F)</f>
        <v>Thuế GTGT được khấu trừ của hàng hóa, dịch vụ</v>
      </c>
      <c r="G77" s="1095"/>
      <c r="H77" s="1096">
        <f>-SUM(I56:I76)</f>
        <v>-2144370</v>
      </c>
      <c r="I77" s="1097"/>
      <c r="J77" s="1096"/>
      <c r="K77" s="1097">
        <f t="shared" si="1"/>
        <v>-2144370</v>
      </c>
      <c r="L77" s="1092" t="s">
        <v>3240</v>
      </c>
      <c r="M77" s="1092" t="s">
        <v>1199</v>
      </c>
      <c r="N77" s="1092"/>
      <c r="O77" s="1098"/>
      <c r="P77" s="850"/>
      <c r="Q77" s="850"/>
      <c r="R77" s="850"/>
      <c r="S77" s="850"/>
      <c r="T77" s="850"/>
      <c r="U77" s="1101" t="s">
        <v>3244</v>
      </c>
      <c r="V77" s="769"/>
      <c r="W77" s="769"/>
      <c r="X77" s="770"/>
    </row>
    <row r="78" spans="2:24" ht="15" hidden="1" outlineLevel="1">
      <c r="B78" s="1100"/>
      <c r="C78" s="1092"/>
      <c r="D78" s="1092"/>
      <c r="E78" s="1093"/>
      <c r="F78" s="850"/>
      <c r="G78" s="1095"/>
      <c r="H78" s="1096"/>
      <c r="I78" s="1097"/>
      <c r="J78" s="1096"/>
      <c r="K78" s="1097"/>
      <c r="L78" s="1092"/>
      <c r="M78" s="1092"/>
      <c r="N78" s="1092"/>
      <c r="O78" s="1098"/>
      <c r="P78" s="850"/>
      <c r="Q78" s="850"/>
      <c r="R78" s="850"/>
      <c r="S78" s="850"/>
      <c r="T78" s="850"/>
      <c r="U78" s="1101"/>
      <c r="V78" s="769"/>
      <c r="W78" s="769"/>
      <c r="X78" s="770"/>
    </row>
    <row r="79" spans="2:24" ht="15" hidden="1" outlineLevel="1">
      <c r="B79" s="821">
        <v>14</v>
      </c>
      <c r="C79" s="822" t="s">
        <v>3254</v>
      </c>
      <c r="D79" s="1092"/>
      <c r="E79" s="1092"/>
      <c r="F79" s="1094"/>
      <c r="G79" s="1095"/>
      <c r="H79" s="1096"/>
      <c r="I79" s="1097"/>
      <c r="J79" s="1096"/>
      <c r="K79" s="1097"/>
      <c r="L79" s="1092"/>
      <c r="M79" s="1092"/>
      <c r="N79" s="1092"/>
      <c r="O79" s="1098"/>
      <c r="P79" s="850"/>
      <c r="Q79" s="850"/>
      <c r="R79" s="850"/>
      <c r="S79" s="850"/>
      <c r="T79" s="850"/>
      <c r="U79" s="771"/>
      <c r="V79" s="769"/>
      <c r="W79" s="769"/>
      <c r="X79" s="770"/>
    </row>
    <row r="80" spans="2:24" ht="15" hidden="1" outlineLevel="1">
      <c r="B80" s="1100"/>
      <c r="C80" s="1092"/>
      <c r="D80" s="1092" t="s">
        <v>1185</v>
      </c>
      <c r="E80" s="1093" t="s">
        <v>363</v>
      </c>
      <c r="F80" s="1094" t="str">
        <f>_xlfn.XLOOKUP(E80,'A0.LS'!E:E,'A0.LS'!F:F)</f>
        <v>Chi phí dịch vụ mua ngoài khác</v>
      </c>
      <c r="G80" s="1095"/>
      <c r="H80" s="1096"/>
      <c r="I80" s="1097">
        <f>'PhươngNH_Bút toán điều chỉnh EY'!P5</f>
        <v>300000</v>
      </c>
      <c r="J80" s="1096"/>
      <c r="K80" s="1097">
        <f>ROUND(SUM(G80:J80),0)</f>
        <v>300000</v>
      </c>
      <c r="L80" s="1092" t="s">
        <v>3240</v>
      </c>
      <c r="M80" s="1092" t="s">
        <v>1199</v>
      </c>
      <c r="N80" s="1092"/>
      <c r="O80" s="1098"/>
      <c r="P80" s="850"/>
      <c r="Q80" s="850"/>
      <c r="R80" s="850"/>
      <c r="S80" s="850"/>
      <c r="T80" s="850"/>
      <c r="U80" s="1101" t="s">
        <v>3244</v>
      </c>
      <c r="V80" s="769"/>
      <c r="W80" s="769"/>
      <c r="X80" s="770"/>
    </row>
    <row r="81" spans="2:24" ht="15" hidden="1" outlineLevel="1">
      <c r="B81" s="1100"/>
      <c r="C81" s="1092"/>
      <c r="D81" s="1092" t="s">
        <v>1186</v>
      </c>
      <c r="E81" s="1093" t="s">
        <v>125</v>
      </c>
      <c r="F81" s="1094" t="str">
        <f>_xlfn.XLOOKUP(E81,'A0.LS'!E:E,'A0.LS'!F:F)</f>
        <v>Phải trả cho người bán</v>
      </c>
      <c r="G81" s="1095"/>
      <c r="H81" s="1096">
        <f>-I80</f>
        <v>-300000</v>
      </c>
      <c r="I81" s="1097"/>
      <c r="J81" s="1096"/>
      <c r="K81" s="1097">
        <f>ROUND(SUM(G81:J81),0)</f>
        <v>-300000</v>
      </c>
      <c r="L81" s="1092" t="s">
        <v>3240</v>
      </c>
      <c r="M81" s="1092" t="s">
        <v>1199</v>
      </c>
      <c r="N81" s="1092"/>
      <c r="O81" s="1098"/>
      <c r="P81" s="850"/>
      <c r="Q81" s="850"/>
      <c r="R81" s="850"/>
      <c r="S81" s="850"/>
      <c r="T81" s="850"/>
      <c r="U81" s="1101" t="s">
        <v>3244</v>
      </c>
      <c r="V81" s="769"/>
      <c r="W81" s="769"/>
      <c r="X81" s="770"/>
    </row>
    <row r="82" spans="2:24" ht="15" hidden="1" outlineLevel="1">
      <c r="B82" s="1100"/>
      <c r="C82" s="1092"/>
      <c r="D82" s="1092"/>
      <c r="E82" s="859"/>
      <c r="F82" s="1094"/>
      <c r="G82" s="1095"/>
      <c r="H82" s="1096"/>
      <c r="I82" s="1097"/>
      <c r="J82" s="1096"/>
      <c r="K82" s="1097"/>
      <c r="L82" s="1092"/>
      <c r="M82" s="1092"/>
      <c r="N82" s="1092"/>
      <c r="O82" s="1098"/>
      <c r="P82" s="850"/>
      <c r="Q82" s="850"/>
      <c r="R82" s="850"/>
      <c r="S82" s="850"/>
      <c r="T82" s="850"/>
      <c r="U82" s="1101"/>
      <c r="V82" s="769"/>
      <c r="W82" s="769"/>
      <c r="X82" s="770"/>
    </row>
    <row r="83" spans="2:24" ht="15" hidden="1" outlineLevel="1">
      <c r="B83" s="821">
        <v>15</v>
      </c>
      <c r="C83" s="822" t="s">
        <v>3255</v>
      </c>
      <c r="D83" s="1092"/>
      <c r="E83" s="1092"/>
      <c r="F83" s="1094"/>
      <c r="G83" s="1095"/>
      <c r="H83" s="1096"/>
      <c r="I83" s="1097"/>
      <c r="J83" s="1096"/>
      <c r="K83" s="1097"/>
      <c r="L83" s="1092"/>
      <c r="M83" s="1092"/>
      <c r="N83" s="1092"/>
      <c r="O83" s="1098"/>
      <c r="P83" s="850"/>
      <c r="Q83" s="850"/>
      <c r="R83" s="850"/>
      <c r="S83" s="850"/>
      <c r="T83" s="850"/>
      <c r="U83" s="771"/>
      <c r="V83" s="769"/>
      <c r="W83" s="769"/>
      <c r="X83" s="770"/>
    </row>
    <row r="84" spans="2:24" ht="15" hidden="1" outlineLevel="1">
      <c r="B84" s="1100"/>
      <c r="C84" s="1092"/>
      <c r="D84" s="1092" t="s">
        <v>1185</v>
      </c>
      <c r="E84" s="928" t="s">
        <v>522</v>
      </c>
      <c r="F84" s="1094" t="str">
        <f>_xlfn.XLOOKUP(E84,'A0.LS'!E:E,'A0.LS'!F:F)</f>
        <v>Công cụ dụng cụ dài hạn</v>
      </c>
      <c r="G84" s="1095">
        <v>36000000</v>
      </c>
      <c r="H84" s="1096"/>
      <c r="I84" s="1097"/>
      <c r="J84" s="1096"/>
      <c r="K84" s="1097">
        <f>ROUND(SUM(G84:J84),0)</f>
        <v>36000000</v>
      </c>
      <c r="L84" s="1092" t="s">
        <v>3240</v>
      </c>
      <c r="M84" s="1092" t="s">
        <v>1199</v>
      </c>
      <c r="N84" s="1092"/>
      <c r="O84" s="1098"/>
      <c r="P84" s="850"/>
      <c r="Q84" s="850"/>
      <c r="R84" s="850"/>
      <c r="S84" s="850"/>
      <c r="T84" s="850"/>
      <c r="U84" s="1101" t="s">
        <v>3244</v>
      </c>
      <c r="V84" s="769"/>
      <c r="W84" s="769"/>
      <c r="X84" s="770"/>
    </row>
    <row r="85" spans="2:24" ht="15" hidden="1" outlineLevel="1">
      <c r="B85" s="1100"/>
      <c r="C85" s="1092"/>
      <c r="D85" s="1092" t="s">
        <v>1186</v>
      </c>
      <c r="E85" s="954" t="s">
        <v>117</v>
      </c>
      <c r="F85" s="1094" t="str">
        <f>_xlfn.XLOOKUP(E85,'A0.LS'!E:E,'A0.LS'!F:F)</f>
        <v>Chi phí trả trước - ngắn hạn</v>
      </c>
      <c r="G85" s="1095"/>
      <c r="H85" s="1096">
        <f>-G84</f>
        <v>-36000000</v>
      </c>
      <c r="I85" s="1097"/>
      <c r="J85" s="1096"/>
      <c r="K85" s="1097">
        <f>ROUND(SUM(G85:J85),0)</f>
        <v>-36000000</v>
      </c>
      <c r="L85" s="1092" t="s">
        <v>3240</v>
      </c>
      <c r="M85" s="1092" t="s">
        <v>1199</v>
      </c>
      <c r="N85" s="1092"/>
      <c r="O85" s="1098"/>
      <c r="P85" s="850"/>
      <c r="Q85" s="850"/>
      <c r="R85" s="850"/>
      <c r="S85" s="850"/>
      <c r="T85" s="850"/>
      <c r="U85" s="1101" t="s">
        <v>3244</v>
      </c>
      <c r="V85" s="769"/>
      <c r="W85" s="769"/>
      <c r="X85" s="770"/>
    </row>
    <row r="86" spans="2:24" ht="15" hidden="1" outlineLevel="1">
      <c r="B86" s="1100"/>
      <c r="C86" s="1092"/>
      <c r="D86" s="1092"/>
      <c r="E86" s="859"/>
      <c r="F86" s="1094"/>
      <c r="G86" s="1095"/>
      <c r="H86" s="1096"/>
      <c r="I86" s="1097"/>
      <c r="J86" s="1096"/>
      <c r="K86" s="1097"/>
      <c r="L86" s="1092"/>
      <c r="M86" s="1092"/>
      <c r="N86" s="1092"/>
      <c r="O86" s="1098"/>
      <c r="P86" s="850"/>
      <c r="Q86" s="850"/>
      <c r="R86" s="850"/>
      <c r="S86" s="850"/>
      <c r="T86" s="850"/>
      <c r="U86" s="1101"/>
      <c r="V86" s="769"/>
      <c r="W86" s="769"/>
      <c r="X86" s="770"/>
    </row>
    <row r="87" spans="2:24" ht="15" hidden="1" outlineLevel="1">
      <c r="B87" s="1100"/>
      <c r="C87" s="1092"/>
      <c r="D87" s="1092"/>
      <c r="E87" s="850"/>
      <c r="F87" s="1094"/>
      <c r="G87" s="1095"/>
      <c r="H87" s="1096"/>
      <c r="I87" s="1097"/>
      <c r="J87" s="1096"/>
      <c r="K87" s="1097"/>
      <c r="L87" s="1092"/>
      <c r="M87" s="1092"/>
      <c r="N87" s="1092"/>
      <c r="O87" s="1098"/>
      <c r="P87" s="850"/>
      <c r="Q87" s="850"/>
      <c r="R87" s="850"/>
      <c r="S87" s="850"/>
      <c r="T87" s="850"/>
      <c r="U87" s="1101" t="s">
        <v>3244</v>
      </c>
      <c r="V87" s="769"/>
      <c r="W87" s="769"/>
      <c r="X87" s="770"/>
    </row>
    <row r="88" spans="2:24" ht="15">
      <c r="B88" s="820" t="s">
        <v>3256</v>
      </c>
      <c r="C88" s="1085"/>
      <c r="D88" s="1085"/>
      <c r="E88" s="1086"/>
      <c r="F88" s="1087"/>
      <c r="G88" s="1088"/>
      <c r="H88" s="1089"/>
      <c r="I88" s="1090"/>
      <c r="J88" s="1089"/>
      <c r="K88" s="1090"/>
      <c r="L88" s="1085"/>
      <c r="M88" s="1085"/>
      <c r="N88" s="1085"/>
      <c r="O88" s="1091"/>
      <c r="P88" s="850"/>
      <c r="Q88" s="850"/>
      <c r="R88" s="850"/>
      <c r="S88" s="850"/>
      <c r="T88" s="850"/>
      <c r="U88" s="771"/>
      <c r="V88" s="769"/>
      <c r="W88" s="769"/>
      <c r="X88" s="770"/>
    </row>
    <row r="89" spans="2:24" ht="15" outlineLevel="1">
      <c r="B89" s="1100"/>
      <c r="C89" s="1092"/>
      <c r="D89" s="1092"/>
      <c r="E89" s="1092"/>
      <c r="F89" s="1094"/>
      <c r="G89" s="1095"/>
      <c r="H89" s="1096"/>
      <c r="I89" s="1097"/>
      <c r="J89" s="1096"/>
      <c r="K89" s="1097"/>
      <c r="L89" s="1092"/>
      <c r="M89" s="1092"/>
      <c r="N89" s="1092"/>
      <c r="O89" s="1098"/>
      <c r="P89" s="850"/>
      <c r="Q89" s="850"/>
      <c r="R89" s="850"/>
      <c r="S89" s="850"/>
      <c r="T89" s="850"/>
      <c r="U89" s="771"/>
      <c r="V89" s="769"/>
      <c r="W89" s="769"/>
      <c r="X89" s="770"/>
    </row>
    <row r="90" spans="2:24" ht="15" outlineLevel="1">
      <c r="B90" s="1100"/>
      <c r="C90" s="823" t="s">
        <v>3257</v>
      </c>
      <c r="D90" s="823"/>
      <c r="E90" s="823"/>
      <c r="F90" s="824"/>
      <c r="G90" s="825"/>
      <c r="H90" s="826"/>
      <c r="I90" s="827"/>
      <c r="J90" s="826"/>
      <c r="K90" s="827"/>
      <c r="L90" s="823"/>
      <c r="M90" s="823"/>
      <c r="N90" s="823"/>
      <c r="O90" s="828"/>
      <c r="P90" s="850"/>
      <c r="Q90" s="850"/>
      <c r="R90" s="850"/>
      <c r="S90" s="850"/>
      <c r="T90" s="850"/>
      <c r="U90" s="771"/>
      <c r="V90" s="769"/>
      <c r="W90" s="769"/>
      <c r="X90" s="770"/>
    </row>
    <row r="91" spans="2:24" ht="15" outlineLevel="2">
      <c r="B91" s="821">
        <v>13</v>
      </c>
      <c r="C91" s="822" t="s">
        <v>3258</v>
      </c>
      <c r="D91" s="1092"/>
      <c r="E91" s="1092"/>
      <c r="F91" s="1094"/>
      <c r="G91" s="1095"/>
      <c r="H91" s="1096"/>
      <c r="I91" s="1097"/>
      <c r="J91" s="1096"/>
      <c r="K91" s="1097"/>
      <c r="L91" s="1092"/>
      <c r="M91" s="1092"/>
      <c r="N91" s="1092" t="s">
        <v>3259</v>
      </c>
      <c r="O91" s="1098"/>
      <c r="P91" s="850"/>
      <c r="Q91" s="850"/>
      <c r="R91" s="850"/>
      <c r="S91" s="850"/>
      <c r="T91" s="850"/>
      <c r="U91" s="771"/>
      <c r="V91" s="769"/>
      <c r="W91" s="769"/>
      <c r="X91" s="770"/>
    </row>
    <row r="92" spans="2:24" ht="15" outlineLevel="2">
      <c r="B92" s="1100"/>
      <c r="C92" s="1092"/>
      <c r="D92" s="1092" t="s">
        <v>1185</v>
      </c>
      <c r="E92" s="1092" t="s">
        <v>62</v>
      </c>
      <c r="F92" s="1094" t="str">
        <f>_xlfn.XLOOKUP(E92,'A0.LS'!E:E,'A0.LS'!F:F)</f>
        <v>Phải thu khác</v>
      </c>
      <c r="G92" s="1095">
        <f>'A0.LS'!I15</f>
        <v>2329343846</v>
      </c>
      <c r="H92" s="1096"/>
      <c r="I92" s="1097"/>
      <c r="J92" s="1096"/>
      <c r="K92" s="1097">
        <f t="shared" ref="K92:K93" si="2">ROUND(SUM(G92:J92),0)</f>
        <v>2329343846</v>
      </c>
      <c r="L92" s="1092" t="s">
        <v>1198</v>
      </c>
      <c r="M92" s="1092" t="s">
        <v>1199</v>
      </c>
      <c r="N92" s="1104"/>
      <c r="O92" s="1098"/>
      <c r="P92" s="850"/>
      <c r="Q92" s="850"/>
      <c r="R92" s="850"/>
      <c r="S92" s="850"/>
      <c r="T92" s="850"/>
      <c r="U92" s="1101" t="s">
        <v>3244</v>
      </c>
      <c r="V92" s="769"/>
      <c r="W92" s="769"/>
      <c r="X92" s="770"/>
    </row>
    <row r="93" spans="2:24" ht="15" outlineLevel="2">
      <c r="B93" s="1100"/>
      <c r="C93" s="1092"/>
      <c r="D93" s="1092" t="s">
        <v>1186</v>
      </c>
      <c r="E93" s="1092" t="s">
        <v>23</v>
      </c>
      <c r="F93" s="1094" t="str">
        <f>_xlfn.XLOOKUP(E93,'A0.LS'!E:E,'A0.LS'!F:F)</f>
        <v>Tiền đang chuyển: Người dùng nạp tiền đã khớp nhưng ngân hàng chưa ghi có tài khoản</v>
      </c>
      <c r="G93" s="1095"/>
      <c r="H93" s="1096">
        <f>-G92</f>
        <v>-2329343846</v>
      </c>
      <c r="I93" s="1097"/>
      <c r="J93" s="1096"/>
      <c r="K93" s="1097">
        <f t="shared" si="2"/>
        <v>-2329343846</v>
      </c>
      <c r="L93" s="1092" t="s">
        <v>1198</v>
      </c>
      <c r="M93" s="1092" t="s">
        <v>1199</v>
      </c>
      <c r="N93" s="1103"/>
      <c r="O93" s="1098"/>
      <c r="P93" s="850"/>
      <c r="Q93" s="850"/>
      <c r="R93" s="850"/>
      <c r="S93" s="850"/>
      <c r="T93" s="850"/>
      <c r="U93" s="1101" t="s">
        <v>3244</v>
      </c>
      <c r="V93" s="769"/>
      <c r="W93" s="769"/>
      <c r="X93" s="770"/>
    </row>
    <row r="94" spans="2:24" ht="15" outlineLevel="2">
      <c r="B94" s="1100"/>
      <c r="C94" s="1092"/>
      <c r="D94" s="1092"/>
      <c r="E94" s="1092"/>
      <c r="F94" s="1094"/>
      <c r="G94" s="1095"/>
      <c r="H94" s="1096"/>
      <c r="I94" s="1097"/>
      <c r="J94" s="1096"/>
      <c r="K94" s="1097"/>
      <c r="L94" s="1092"/>
      <c r="M94" s="1092"/>
      <c r="N94" s="1092"/>
      <c r="O94" s="1098"/>
      <c r="P94" s="850"/>
      <c r="Q94" s="850"/>
      <c r="R94" s="850"/>
      <c r="S94" s="850"/>
      <c r="T94" s="850"/>
      <c r="U94" s="771"/>
      <c r="V94" s="769"/>
      <c r="W94" s="769"/>
      <c r="X94" s="770"/>
    </row>
    <row r="95" spans="2:24" ht="15" outlineLevel="2">
      <c r="B95" s="821">
        <v>14</v>
      </c>
      <c r="C95" s="822" t="s">
        <v>3260</v>
      </c>
      <c r="D95" s="1092"/>
      <c r="E95" s="1092"/>
      <c r="F95" s="1094"/>
      <c r="G95" s="1095"/>
      <c r="H95" s="1096"/>
      <c r="I95" s="1097"/>
      <c r="J95" s="1096"/>
      <c r="K95" s="1097"/>
      <c r="L95" s="1092"/>
      <c r="M95" s="1092"/>
      <c r="N95" s="1092" t="s">
        <v>3261</v>
      </c>
      <c r="O95" s="1098"/>
      <c r="P95" s="850"/>
      <c r="Q95" s="850"/>
      <c r="R95" s="850"/>
      <c r="S95" s="850"/>
      <c r="T95" s="850"/>
      <c r="U95" s="771"/>
      <c r="V95" s="769"/>
      <c r="W95" s="769"/>
      <c r="X95" s="770"/>
    </row>
    <row r="96" spans="2:24" ht="15" outlineLevel="2">
      <c r="B96" s="1100"/>
      <c r="C96" s="1092"/>
      <c r="D96" s="1092"/>
      <c r="E96" s="1092"/>
      <c r="F96" s="1094"/>
      <c r="G96" s="1095"/>
      <c r="H96" s="1096"/>
      <c r="I96" s="1097"/>
      <c r="J96" s="1096"/>
      <c r="K96" s="1097"/>
      <c r="L96" s="1092"/>
      <c r="M96" s="1092"/>
      <c r="N96" s="1092"/>
      <c r="O96" s="1098"/>
      <c r="P96" s="850"/>
      <c r="Q96" s="850"/>
      <c r="R96" s="850"/>
      <c r="S96" s="850"/>
      <c r="T96" s="850"/>
      <c r="U96" s="771"/>
      <c r="V96" s="769"/>
      <c r="W96" s="769"/>
      <c r="X96" s="770"/>
    </row>
    <row r="97" spans="2:24" ht="15" outlineLevel="2">
      <c r="B97" s="1100"/>
      <c r="C97" s="1092"/>
      <c r="D97" s="1092" t="s">
        <v>1185</v>
      </c>
      <c r="E97" s="1092" t="s">
        <v>2248</v>
      </c>
      <c r="F97" s="1094" t="str">
        <f>_xlfn.XLOOKUP(E97,'A0.LS'!E:E,'A0.LS'!F:F)</f>
        <v>Phải thu khác</v>
      </c>
      <c r="G97" s="1107">
        <f>-SUM(H98:H100)</f>
        <v>2872759147</v>
      </c>
      <c r="H97" s="1108"/>
      <c r="I97" s="1097"/>
      <c r="J97" s="1096"/>
      <c r="K97" s="1097">
        <f>ROUND(SUM(G97:J97),0)</f>
        <v>2872759147</v>
      </c>
      <c r="L97" s="1092" t="s">
        <v>1198</v>
      </c>
      <c r="M97" s="1092" t="s">
        <v>1199</v>
      </c>
      <c r="N97" s="1092"/>
      <c r="O97" s="1098"/>
      <c r="P97" s="850"/>
      <c r="Q97" s="850"/>
      <c r="R97" s="850"/>
      <c r="S97" s="850"/>
      <c r="T97" s="850"/>
      <c r="U97" s="1101" t="s">
        <v>3244</v>
      </c>
      <c r="V97" s="769"/>
      <c r="W97" s="769"/>
      <c r="X97" s="770"/>
    </row>
    <row r="98" spans="2:24" ht="15" outlineLevel="2">
      <c r="B98" s="1100"/>
      <c r="C98" s="1092"/>
      <c r="D98" s="1092" t="s">
        <v>1186</v>
      </c>
      <c r="E98" s="1092" t="s">
        <v>62</v>
      </c>
      <c r="F98" s="1094" t="str">
        <f>_xlfn.XLOOKUP(E98,'A0.LS'!E:E,'A0.LS'!F:F)</f>
        <v>Phải thu khác</v>
      </c>
      <c r="G98" s="1107"/>
      <c r="H98" s="1108">
        <f>-'1218 1388.Khac'!K103</f>
        <v>-98587323</v>
      </c>
      <c r="I98" s="1097"/>
      <c r="J98" s="1096"/>
      <c r="K98" s="1097">
        <f>ROUND(SUM(G98:J98),0)</f>
        <v>-98587323</v>
      </c>
      <c r="L98" s="1092" t="s">
        <v>1198</v>
      </c>
      <c r="M98" s="1092" t="s">
        <v>1199</v>
      </c>
      <c r="N98" s="1092" t="s">
        <v>3262</v>
      </c>
      <c r="O98" s="1098"/>
      <c r="P98" s="850"/>
      <c r="Q98" s="850"/>
      <c r="R98" s="1033"/>
      <c r="S98" s="850"/>
      <c r="T98" s="850"/>
      <c r="U98" s="1101" t="s">
        <v>3244</v>
      </c>
      <c r="V98" s="769"/>
      <c r="W98" s="769"/>
      <c r="X98" s="770"/>
    </row>
    <row r="99" spans="2:24" ht="15" outlineLevel="2">
      <c r="B99" s="1100"/>
      <c r="C99" s="1092"/>
      <c r="D99" s="1092" t="s">
        <v>1186</v>
      </c>
      <c r="E99" s="1092" t="s">
        <v>62</v>
      </c>
      <c r="F99" s="1094" t="str">
        <f>_xlfn.XLOOKUP(E99,'A0.LS'!E:E,'A0.LS'!F:F)</f>
        <v>Phải thu khác</v>
      </c>
      <c r="G99" s="1107"/>
      <c r="H99" s="1108">
        <f>-'1218 1388.Khac'!K113</f>
        <v>-1457546362</v>
      </c>
      <c r="I99" s="1097"/>
      <c r="J99" s="1096"/>
      <c r="K99" s="1097">
        <f>ROUND(SUM(G99:J99),0)</f>
        <v>-1457546362</v>
      </c>
      <c r="L99" s="1092" t="s">
        <v>1198</v>
      </c>
      <c r="M99" s="1092" t="s">
        <v>1199</v>
      </c>
      <c r="N99" s="1092" t="s">
        <v>3263</v>
      </c>
      <c r="O99" s="1098"/>
      <c r="P99" s="850"/>
      <c r="Q99" s="850"/>
      <c r="R99" s="1033"/>
      <c r="S99" s="850"/>
      <c r="T99" s="850"/>
      <c r="U99" s="1101" t="s">
        <v>3244</v>
      </c>
      <c r="V99" s="769"/>
      <c r="W99" s="769"/>
      <c r="X99" s="770"/>
    </row>
    <row r="100" spans="2:24" ht="15" outlineLevel="2">
      <c r="B100" s="1100"/>
      <c r="C100" s="1092"/>
      <c r="D100" s="1092" t="s">
        <v>1186</v>
      </c>
      <c r="E100" s="1092" t="s">
        <v>31</v>
      </c>
      <c r="F100" s="1094" t="str">
        <f>_xlfn.XLOOKUP(E100,'A0.LS'!E:E,'A0.LS'!F:F)</f>
        <v>Chứng chỉ quỹ + Chứng khoán kinh doanh khác</v>
      </c>
      <c r="G100" s="1107"/>
      <c r="H100" s="1108">
        <f>-'1218 1388.Khac'!K10</f>
        <v>-1316625462</v>
      </c>
      <c r="I100" s="1097"/>
      <c r="J100" s="1096"/>
      <c r="K100" s="1097">
        <f>ROUND(SUM(G100:J100),0)</f>
        <v>-1316625462</v>
      </c>
      <c r="L100" s="1092" t="s">
        <v>1198</v>
      </c>
      <c r="M100" s="1092" t="s">
        <v>1199</v>
      </c>
      <c r="N100" s="1092" t="s">
        <v>3264</v>
      </c>
      <c r="O100" s="1098"/>
      <c r="P100" s="850"/>
      <c r="Q100" s="850"/>
      <c r="R100" s="1033"/>
      <c r="S100" s="850"/>
      <c r="T100" s="850"/>
      <c r="U100" s="1101" t="s">
        <v>3244</v>
      </c>
      <c r="V100" s="769"/>
      <c r="W100" s="769"/>
      <c r="X100" s="770"/>
    </row>
    <row r="101" spans="2:24" ht="15" outlineLevel="2">
      <c r="B101" s="1100"/>
      <c r="C101" s="1092"/>
      <c r="D101" s="1092"/>
      <c r="E101" s="1092"/>
      <c r="F101" s="1094"/>
      <c r="G101" s="1095"/>
      <c r="H101" s="1096"/>
      <c r="I101" s="1097"/>
      <c r="J101" s="1096"/>
      <c r="K101" s="1097"/>
      <c r="L101" s="1092"/>
      <c r="M101" s="1092"/>
      <c r="N101" s="1092"/>
      <c r="O101" s="1098"/>
      <c r="P101" s="850"/>
      <c r="Q101" s="850"/>
      <c r="R101" s="850"/>
      <c r="S101" s="850"/>
      <c r="T101" s="850"/>
      <c r="U101" s="771"/>
      <c r="V101" s="769"/>
      <c r="W101" s="769"/>
      <c r="X101" s="770"/>
    </row>
    <row r="102" spans="2:24" ht="15" outlineLevel="2">
      <c r="B102" s="821">
        <v>15</v>
      </c>
      <c r="C102" s="822" t="s">
        <v>3265</v>
      </c>
      <c r="D102" s="1092"/>
      <c r="E102" s="1092"/>
      <c r="F102" s="1094"/>
      <c r="G102" s="1095"/>
      <c r="H102" s="1096"/>
      <c r="I102" s="1097"/>
      <c r="J102" s="1096"/>
      <c r="K102" s="1097"/>
      <c r="L102" s="1092"/>
      <c r="M102" s="1092"/>
      <c r="N102" s="1092" t="s">
        <v>3266</v>
      </c>
      <c r="O102" s="1098"/>
      <c r="P102" s="850"/>
      <c r="Q102" s="850"/>
      <c r="R102" s="850"/>
      <c r="S102" s="850"/>
      <c r="T102" s="850"/>
      <c r="U102" s="771"/>
      <c r="V102" s="769"/>
      <c r="W102" s="769"/>
      <c r="X102" s="770"/>
    </row>
    <row r="103" spans="2:24" ht="15" outlineLevel="2">
      <c r="B103" s="1100"/>
      <c r="C103" s="1092"/>
      <c r="D103" s="1092"/>
      <c r="E103" s="1092"/>
      <c r="F103" s="1094"/>
      <c r="G103" s="1095"/>
      <c r="H103" s="1096"/>
      <c r="I103" s="1097"/>
      <c r="J103" s="1096"/>
      <c r="K103" s="1097"/>
      <c r="L103" s="1092"/>
      <c r="M103" s="1092"/>
      <c r="N103" s="1092"/>
      <c r="O103" s="1098"/>
      <c r="P103" s="850"/>
      <c r="Q103" s="850"/>
      <c r="R103" s="850"/>
      <c r="S103" s="850"/>
      <c r="T103" s="850"/>
      <c r="U103" s="771"/>
      <c r="V103" s="769"/>
      <c r="W103" s="769"/>
      <c r="X103" s="770"/>
    </row>
    <row r="104" spans="2:24" ht="15" outlineLevel="2">
      <c r="B104" s="1100"/>
      <c r="C104" s="1092"/>
      <c r="D104" s="1092" t="s">
        <v>1185</v>
      </c>
      <c r="E104" s="1092" t="s">
        <v>62</v>
      </c>
      <c r="F104" s="1094" t="str">
        <f>_xlfn.XLOOKUP(E104,'A0.LS'!E:E,'A0.LS'!F:F)</f>
        <v>Phải thu khác</v>
      </c>
      <c r="G104" s="1095">
        <f>'A0.LS'!I146</f>
        <v>64779</v>
      </c>
      <c r="H104" s="1096"/>
      <c r="I104" s="1097"/>
      <c r="J104" s="1096"/>
      <c r="K104" s="1097">
        <f>ROUND(SUM(G104:J104),0)</f>
        <v>64779</v>
      </c>
      <c r="L104" s="1092" t="s">
        <v>1198</v>
      </c>
      <c r="M104" s="1092" t="s">
        <v>1199</v>
      </c>
      <c r="N104" s="1092"/>
      <c r="O104" s="1098"/>
      <c r="P104" s="850"/>
      <c r="Q104" s="850"/>
      <c r="R104" s="850"/>
      <c r="S104" s="850"/>
      <c r="T104" s="850"/>
      <c r="U104" s="1101" t="s">
        <v>3244</v>
      </c>
      <c r="V104" s="769"/>
      <c r="W104" s="769"/>
      <c r="X104" s="770"/>
    </row>
    <row r="105" spans="2:24" ht="15" outlineLevel="2">
      <c r="B105" s="1100"/>
      <c r="C105" s="1092"/>
      <c r="D105" s="1092" t="s">
        <v>1186</v>
      </c>
      <c r="E105" s="1092" t="s">
        <v>2354</v>
      </c>
      <c r="F105" s="1094" t="str">
        <f>_xlfn.XLOOKUP(E105,'A0.LS'!E:E,'A0.LS'!F:F)</f>
        <v>Phải trả người dùng: New Saving (Non-term)</v>
      </c>
      <c r="G105" s="1095"/>
      <c r="H105" s="1096">
        <f>-G104</f>
        <v>-64779</v>
      </c>
      <c r="I105" s="1097"/>
      <c r="J105" s="1096"/>
      <c r="K105" s="1097">
        <f>ROUND(SUM(G105:J105),0)</f>
        <v>-64779</v>
      </c>
      <c r="L105" s="1092" t="s">
        <v>1198</v>
      </c>
      <c r="M105" s="1092" t="s">
        <v>1199</v>
      </c>
      <c r="N105" s="1092"/>
      <c r="O105" s="1098"/>
      <c r="P105" s="850"/>
      <c r="Q105" s="850"/>
      <c r="R105" s="850"/>
      <c r="S105" s="850"/>
      <c r="T105" s="850"/>
      <c r="U105" s="1101" t="s">
        <v>3244</v>
      </c>
      <c r="V105" s="769"/>
      <c r="W105" s="769"/>
      <c r="X105" s="770"/>
    </row>
    <row r="106" spans="2:24" ht="15" outlineLevel="2">
      <c r="B106" s="1100"/>
      <c r="C106" s="1092"/>
      <c r="D106" s="1092"/>
      <c r="E106" s="1092"/>
      <c r="F106" s="1094"/>
      <c r="G106" s="1095"/>
      <c r="H106" s="1096"/>
      <c r="I106" s="1097"/>
      <c r="J106" s="1096"/>
      <c r="K106" s="1097"/>
      <c r="L106" s="1092"/>
      <c r="M106" s="1092"/>
      <c r="N106" s="1092"/>
      <c r="O106" s="1098"/>
      <c r="P106" s="850"/>
      <c r="Q106" s="850"/>
      <c r="R106" s="850"/>
      <c r="S106" s="850"/>
      <c r="T106" s="850"/>
      <c r="U106" s="771"/>
      <c r="V106" s="769"/>
      <c r="W106" s="769"/>
      <c r="X106" s="770"/>
    </row>
    <row r="107" spans="2:24" ht="15" outlineLevel="1" collapsed="1">
      <c r="B107" s="1100"/>
      <c r="C107" s="823" t="s">
        <v>3267</v>
      </c>
      <c r="D107" s="823"/>
      <c r="E107" s="823"/>
      <c r="F107" s="824"/>
      <c r="G107" s="825"/>
      <c r="H107" s="826"/>
      <c r="I107" s="827"/>
      <c r="J107" s="826"/>
      <c r="K107" s="827"/>
      <c r="L107" s="823"/>
      <c r="M107" s="823"/>
      <c r="N107" s="823"/>
      <c r="O107" s="828"/>
      <c r="P107" s="850"/>
      <c r="Q107" s="850"/>
      <c r="R107" s="850"/>
      <c r="S107" s="850"/>
      <c r="T107" s="850"/>
      <c r="U107" s="771"/>
      <c r="V107" s="769"/>
      <c r="W107" s="769"/>
      <c r="X107" s="770"/>
    </row>
    <row r="108" spans="2:24" ht="15" hidden="1" outlineLevel="2">
      <c r="B108" s="821">
        <v>16</v>
      </c>
      <c r="C108" s="822" t="s">
        <v>3268</v>
      </c>
      <c r="D108" s="1092"/>
      <c r="E108" s="1092"/>
      <c r="F108" s="1094"/>
      <c r="G108" s="1095"/>
      <c r="H108" s="1096"/>
      <c r="I108" s="1097"/>
      <c r="J108" s="1096"/>
      <c r="K108" s="1097"/>
      <c r="L108" s="1092"/>
      <c r="M108" s="1092"/>
      <c r="N108" s="1092" t="s">
        <v>3269</v>
      </c>
      <c r="O108" s="1098" t="s">
        <v>3270</v>
      </c>
      <c r="P108" s="850"/>
      <c r="Q108" s="850"/>
      <c r="R108" s="850"/>
      <c r="S108" s="850"/>
      <c r="T108" s="850"/>
      <c r="U108" s="1101" t="s">
        <v>1200</v>
      </c>
      <c r="V108" s="769"/>
      <c r="W108" s="769"/>
      <c r="X108" s="770"/>
    </row>
    <row r="109" spans="2:24" ht="15" hidden="1" outlineLevel="2">
      <c r="B109" s="821"/>
      <c r="C109" s="822"/>
      <c r="D109" s="1092"/>
      <c r="E109" s="1092"/>
      <c r="F109" s="1094"/>
      <c r="G109" s="1095"/>
      <c r="H109" s="1096"/>
      <c r="I109" s="1097"/>
      <c r="J109" s="1096"/>
      <c r="K109" s="1097"/>
      <c r="L109" s="1092"/>
      <c r="M109" s="1092"/>
      <c r="N109" s="1092"/>
      <c r="O109" s="1098"/>
      <c r="P109" s="850"/>
      <c r="Q109" s="850"/>
      <c r="R109" s="850"/>
      <c r="S109" s="850"/>
      <c r="T109" s="850"/>
      <c r="U109" s="1101" t="s">
        <v>1200</v>
      </c>
      <c r="V109" s="769"/>
      <c r="W109" s="769"/>
      <c r="X109" s="770"/>
    </row>
    <row r="110" spans="2:24" ht="15" hidden="1" outlineLevel="2">
      <c r="B110" s="1100"/>
      <c r="C110" s="822"/>
      <c r="D110" s="1092" t="s">
        <v>1185</v>
      </c>
      <c r="E110" s="1093" t="s">
        <v>444</v>
      </c>
      <c r="F110" s="1094" t="str">
        <f>_xlfn.XLOOKUP(E110,'A0.LS'!E:E,'A0.LS'!F:F)</f>
        <v>Chi phí khác</v>
      </c>
      <c r="G110" s="1095"/>
      <c r="H110" s="1096"/>
      <c r="I110" s="1097">
        <v>10945521977</v>
      </c>
      <c r="J110" s="1096"/>
      <c r="K110" s="1097">
        <f t="shared" ref="K110:K178" si="3">ROUND(SUM(G110:J110),0)</f>
        <v>10945521977</v>
      </c>
      <c r="L110" s="1092" t="s">
        <v>1198</v>
      </c>
      <c r="M110" s="1092" t="s">
        <v>1199</v>
      </c>
      <c r="N110" s="1092"/>
      <c r="O110" s="1098"/>
      <c r="P110" s="850"/>
      <c r="Q110" s="850"/>
      <c r="R110" s="850"/>
      <c r="S110" s="850"/>
      <c r="T110" s="850"/>
      <c r="U110" s="1101" t="s">
        <v>1200</v>
      </c>
      <c r="V110" s="769"/>
      <c r="W110" s="769"/>
      <c r="X110" s="770"/>
    </row>
    <row r="111" spans="2:24" ht="15" hidden="1" outlineLevel="2">
      <c r="B111" s="1100"/>
      <c r="C111" s="1092"/>
      <c r="D111" s="1092" t="s">
        <v>1186</v>
      </c>
      <c r="E111" s="1105" t="s">
        <v>64</v>
      </c>
      <c r="F111" s="1094" t="str">
        <f>_xlfn.XLOOKUP(E111,'A0.LS'!E:E,'A0.LS'!F:F)</f>
        <v>Chênh lệch NAV CCQ</v>
      </c>
      <c r="G111" s="1095"/>
      <c r="H111" s="1096">
        <f>-I110</f>
        <v>-10945521977</v>
      </c>
      <c r="I111" s="1097"/>
      <c r="J111" s="1096"/>
      <c r="K111" s="1493">
        <f t="shared" si="3"/>
        <v>-10945521977</v>
      </c>
      <c r="L111" s="1092" t="s">
        <v>1198</v>
      </c>
      <c r="M111" s="1092" t="s">
        <v>1199</v>
      </c>
      <c r="N111" s="1103"/>
      <c r="O111" s="1098"/>
      <c r="P111" s="850"/>
      <c r="Q111" s="850"/>
      <c r="R111" s="850"/>
      <c r="S111" s="850"/>
      <c r="T111" s="850"/>
      <c r="U111" s="1101" t="s">
        <v>1200</v>
      </c>
      <c r="V111" s="769"/>
      <c r="W111" s="769"/>
      <c r="X111" s="770"/>
    </row>
    <row r="112" spans="2:24" ht="15" hidden="1" outlineLevel="2">
      <c r="B112" s="1100"/>
      <c r="C112" s="1092"/>
      <c r="D112" s="1092"/>
      <c r="E112" s="1092"/>
      <c r="F112" s="1094"/>
      <c r="G112" s="1095"/>
      <c r="H112" s="1096"/>
      <c r="I112" s="1097"/>
      <c r="J112" s="1096"/>
      <c r="K112" s="1097"/>
      <c r="L112" s="1092"/>
      <c r="M112" s="1092"/>
      <c r="N112" s="1092"/>
      <c r="O112" s="1098"/>
      <c r="P112" s="850"/>
      <c r="Q112" s="850"/>
      <c r="R112" s="850"/>
      <c r="S112" s="850"/>
      <c r="T112" s="850"/>
      <c r="U112" s="771"/>
      <c r="V112" s="769"/>
      <c r="W112" s="769"/>
      <c r="X112" s="770"/>
    </row>
    <row r="113" spans="2:24" ht="15" hidden="1" outlineLevel="2">
      <c r="B113" s="821">
        <v>17</v>
      </c>
      <c r="C113" s="822" t="s">
        <v>3271</v>
      </c>
      <c r="D113" s="1092"/>
      <c r="E113" s="1092"/>
      <c r="F113" s="1094"/>
      <c r="G113" s="1095"/>
      <c r="H113" s="1096"/>
      <c r="I113" s="1097"/>
      <c r="J113" s="1096"/>
      <c r="K113" s="1097"/>
      <c r="L113" s="1092"/>
      <c r="M113" s="1092"/>
      <c r="N113" s="1092" t="s">
        <v>3272</v>
      </c>
      <c r="O113" s="1098" t="s">
        <v>3270</v>
      </c>
      <c r="P113" s="850"/>
      <c r="Q113" s="850"/>
      <c r="R113" s="850"/>
      <c r="S113" s="850"/>
      <c r="T113" s="850"/>
      <c r="U113" s="1101" t="s">
        <v>1200</v>
      </c>
      <c r="V113" s="769"/>
      <c r="W113" s="769"/>
      <c r="X113" s="770"/>
    </row>
    <row r="114" spans="2:24" ht="15" hidden="1" outlineLevel="2">
      <c r="B114" s="1100"/>
      <c r="C114" s="1092"/>
      <c r="D114" s="1092"/>
      <c r="E114" s="1092"/>
      <c r="F114" s="1094"/>
      <c r="G114" s="1095"/>
      <c r="H114" s="1096"/>
      <c r="I114" s="1097"/>
      <c r="J114" s="1096"/>
      <c r="K114" s="1097"/>
      <c r="L114" s="1092"/>
      <c r="M114" s="1092"/>
      <c r="N114" s="1092"/>
      <c r="O114" s="1098"/>
      <c r="P114" s="850"/>
      <c r="Q114" s="850"/>
      <c r="R114" s="850"/>
      <c r="S114" s="850"/>
      <c r="T114" s="850"/>
      <c r="U114" s="1101" t="s">
        <v>1200</v>
      </c>
      <c r="V114" s="769"/>
      <c r="W114" s="769"/>
      <c r="X114" s="770"/>
    </row>
    <row r="115" spans="2:24" ht="15" hidden="1" outlineLevel="2">
      <c r="B115" s="1100"/>
      <c r="C115" s="1092"/>
      <c r="D115" s="1092" t="s">
        <v>1185</v>
      </c>
      <c r="E115" s="1092" t="s">
        <v>64</v>
      </c>
      <c r="F115" s="1094" t="str">
        <f>_xlfn.XLOOKUP(E115,'A0.LS'!E:E,'A0.LS'!F:F)</f>
        <v>Chênh lệch NAV CCQ</v>
      </c>
      <c r="G115" s="1095">
        <v>6185887584</v>
      </c>
      <c r="H115" s="1096"/>
      <c r="I115" s="1097"/>
      <c r="J115" s="1096"/>
      <c r="K115" s="1493">
        <f t="shared" si="3"/>
        <v>6185887584</v>
      </c>
      <c r="L115" s="1092" t="s">
        <v>1198</v>
      </c>
      <c r="M115" s="1092" t="s">
        <v>1199</v>
      </c>
      <c r="N115" s="1092" t="s">
        <v>3272</v>
      </c>
      <c r="O115" s="1098"/>
      <c r="P115" s="850"/>
      <c r="Q115" s="850"/>
      <c r="R115" s="850"/>
      <c r="S115" s="850"/>
      <c r="T115" s="850"/>
      <c r="U115" s="1101" t="s">
        <v>1200</v>
      </c>
      <c r="V115" s="769"/>
      <c r="W115" s="769"/>
      <c r="X115" s="770"/>
    </row>
    <row r="116" spans="2:24" ht="15" hidden="1" outlineLevel="2">
      <c r="B116" s="1100"/>
      <c r="C116" s="1092"/>
      <c r="D116" s="1092" t="s">
        <v>1186</v>
      </c>
      <c r="E116" s="1093" t="s">
        <v>442</v>
      </c>
      <c r="F116" s="1094" t="str">
        <f>_xlfn.XLOOKUP(E116,'A0.LS'!E:E,'A0.LS'!F:F)</f>
        <v>Doanh thu khác</v>
      </c>
      <c r="G116" s="1095"/>
      <c r="H116" s="1096"/>
      <c r="I116" s="1097"/>
      <c r="J116" s="1096">
        <f>-G115</f>
        <v>-6185887584</v>
      </c>
      <c r="K116" s="1097">
        <f t="shared" si="3"/>
        <v>-6185887584</v>
      </c>
      <c r="L116" s="1092" t="s">
        <v>1198</v>
      </c>
      <c r="M116" s="1092" t="s">
        <v>1199</v>
      </c>
      <c r="N116" s="1092" t="s">
        <v>3272</v>
      </c>
      <c r="O116" s="1098"/>
      <c r="P116" s="850"/>
      <c r="Q116" s="850"/>
      <c r="R116" s="850"/>
      <c r="S116" s="850"/>
      <c r="T116" s="850"/>
      <c r="U116" s="1101" t="s">
        <v>1200</v>
      </c>
      <c r="V116" s="769"/>
      <c r="W116" s="769"/>
      <c r="X116" s="770"/>
    </row>
    <row r="117" spans="2:24" ht="15" hidden="1" outlineLevel="2">
      <c r="B117" s="1100"/>
      <c r="C117" s="1092"/>
      <c r="D117" s="1092"/>
      <c r="E117" s="1092"/>
      <c r="F117" s="1094"/>
      <c r="G117" s="1095"/>
      <c r="H117" s="1096"/>
      <c r="I117" s="1097"/>
      <c r="J117" s="1096"/>
      <c r="K117" s="1097"/>
      <c r="L117" s="1092"/>
      <c r="M117" s="1092"/>
      <c r="N117" s="1092"/>
      <c r="O117" s="1098"/>
      <c r="P117" s="850"/>
      <c r="Q117" s="850"/>
      <c r="R117" s="850"/>
      <c r="S117" s="850"/>
      <c r="T117" s="850"/>
      <c r="U117" s="771"/>
      <c r="V117" s="769"/>
      <c r="W117" s="769"/>
      <c r="X117" s="770"/>
    </row>
    <row r="118" spans="2:24" ht="15" hidden="1" outlineLevel="2">
      <c r="B118" s="821">
        <v>18</v>
      </c>
      <c r="C118" s="822" t="s">
        <v>3273</v>
      </c>
      <c r="D118" s="1092"/>
      <c r="E118" s="1092"/>
      <c r="F118" s="1094"/>
      <c r="G118" s="1107"/>
      <c r="H118" s="1108"/>
      <c r="I118" s="1109"/>
      <c r="J118" s="1108"/>
      <c r="K118" s="1109"/>
      <c r="L118" s="1092"/>
      <c r="M118" s="1092"/>
      <c r="N118" s="1092" t="s">
        <v>3274</v>
      </c>
      <c r="O118" s="1098"/>
      <c r="P118" s="850"/>
      <c r="Q118" s="850"/>
      <c r="R118" s="850"/>
      <c r="S118" s="850"/>
      <c r="T118" s="850"/>
      <c r="U118" s="771"/>
      <c r="V118" s="769"/>
      <c r="W118" s="769"/>
      <c r="X118" s="770"/>
    </row>
    <row r="119" spans="2:24" ht="15" hidden="1" outlineLevel="2">
      <c r="B119" s="1100"/>
      <c r="C119" s="1092"/>
      <c r="D119" s="1092"/>
      <c r="E119" s="1092"/>
      <c r="F119" s="1094"/>
      <c r="G119" s="1107"/>
      <c r="H119" s="1108"/>
      <c r="I119" s="1109"/>
      <c r="J119" s="1108"/>
      <c r="K119" s="1109"/>
      <c r="L119" s="1092"/>
      <c r="M119" s="1092"/>
      <c r="N119" s="1092"/>
      <c r="O119" s="1098"/>
      <c r="P119" s="850"/>
      <c r="Q119" s="850"/>
      <c r="R119" s="850"/>
      <c r="S119" s="850"/>
      <c r="T119" s="850"/>
      <c r="U119" s="771"/>
      <c r="V119" s="769"/>
      <c r="W119" s="769"/>
      <c r="X119" s="770"/>
    </row>
    <row r="120" spans="2:24" ht="15" hidden="1" outlineLevel="2">
      <c r="B120" s="1100"/>
      <c r="C120" s="1092"/>
      <c r="D120" s="1092" t="s">
        <v>1185</v>
      </c>
      <c r="E120" s="1092" t="s">
        <v>64</v>
      </c>
      <c r="F120" s="1094" t="str">
        <f>_xlfn.XLOOKUP(E120,'A0.LS'!E:E,'A0.LS'!F:F)</f>
        <v>Chênh lệch NAV CCQ</v>
      </c>
      <c r="G120" s="1107">
        <v>7972195877.8355503</v>
      </c>
      <c r="H120" s="1108"/>
      <c r="I120" s="1109"/>
      <c r="J120" s="1108"/>
      <c r="K120" s="1494">
        <f t="shared" si="3"/>
        <v>7972195878</v>
      </c>
      <c r="L120" s="1092" t="s">
        <v>1198</v>
      </c>
      <c r="M120" s="1092" t="s">
        <v>1199</v>
      </c>
      <c r="N120" s="1092"/>
      <c r="O120" s="1098"/>
      <c r="P120" s="850"/>
      <c r="Q120" s="850"/>
      <c r="R120" s="850"/>
      <c r="S120" s="850"/>
      <c r="T120" s="850"/>
      <c r="U120" s="1101" t="s">
        <v>1200</v>
      </c>
      <c r="V120" s="769"/>
      <c r="W120" s="769"/>
      <c r="X120" s="770"/>
    </row>
    <row r="121" spans="2:24" ht="15" hidden="1" outlineLevel="2">
      <c r="B121" s="1100"/>
      <c r="C121" s="1092"/>
      <c r="D121" s="1092" t="s">
        <v>1186</v>
      </c>
      <c r="E121" s="1093" t="s">
        <v>442</v>
      </c>
      <c r="F121" s="1094" t="str">
        <f>_xlfn.XLOOKUP(E121,'A0.LS'!E:E,'A0.LS'!F:F)</f>
        <v>Doanh thu khác</v>
      </c>
      <c r="G121" s="1107"/>
      <c r="H121" s="1108"/>
      <c r="I121" s="1109"/>
      <c r="J121" s="1108">
        <f>-G120</f>
        <v>-7972195877.8355503</v>
      </c>
      <c r="K121" s="1109">
        <f t="shared" si="3"/>
        <v>-7972195878</v>
      </c>
      <c r="L121" s="1092" t="s">
        <v>1198</v>
      </c>
      <c r="M121" s="1092" t="s">
        <v>1199</v>
      </c>
      <c r="N121" s="1092" t="s">
        <v>3274</v>
      </c>
      <c r="O121" s="1098"/>
      <c r="P121" s="850"/>
      <c r="Q121" s="850"/>
      <c r="R121" s="850"/>
      <c r="S121" s="850"/>
      <c r="T121" s="850"/>
      <c r="U121" s="1101" t="s">
        <v>1200</v>
      </c>
      <c r="V121" s="769"/>
      <c r="W121" s="769"/>
      <c r="X121" s="770"/>
    </row>
    <row r="122" spans="2:24" ht="15" hidden="1" outlineLevel="2">
      <c r="B122" s="1100"/>
      <c r="C122" s="1092"/>
      <c r="D122" s="1092"/>
      <c r="E122" s="1092"/>
      <c r="F122" s="1094"/>
      <c r="G122" s="1107"/>
      <c r="H122" s="1108"/>
      <c r="I122" s="1109"/>
      <c r="J122" s="1108"/>
      <c r="K122" s="1109"/>
      <c r="L122" s="1092"/>
      <c r="M122" s="1092"/>
      <c r="N122" s="1092"/>
      <c r="O122" s="1098"/>
      <c r="P122" s="850"/>
      <c r="Q122" s="850"/>
      <c r="R122" s="850"/>
      <c r="S122" s="850"/>
      <c r="T122" s="850"/>
      <c r="U122" s="771"/>
      <c r="V122" s="769"/>
      <c r="W122" s="769"/>
      <c r="X122" s="770"/>
    </row>
    <row r="123" spans="2:24" ht="15" hidden="1" outlineLevel="2">
      <c r="B123" s="821">
        <v>19</v>
      </c>
      <c r="C123" s="822" t="s">
        <v>3275</v>
      </c>
      <c r="D123" s="1092"/>
      <c r="E123" s="1092"/>
      <c r="F123" s="1094"/>
      <c r="G123" s="1107"/>
      <c r="H123" s="1108"/>
      <c r="I123" s="1109"/>
      <c r="J123" s="1108"/>
      <c r="K123" s="1109"/>
      <c r="L123" s="1092"/>
      <c r="M123" s="1092"/>
      <c r="N123" s="1092" t="s">
        <v>3276</v>
      </c>
      <c r="O123" s="1098"/>
      <c r="P123" s="850"/>
      <c r="Q123" s="850"/>
      <c r="R123" s="850"/>
      <c r="S123" s="850"/>
      <c r="T123" s="850"/>
      <c r="U123" s="771"/>
      <c r="V123" s="769"/>
      <c r="W123" s="769"/>
      <c r="X123" s="770"/>
    </row>
    <row r="124" spans="2:24" ht="15" hidden="1" outlineLevel="2">
      <c r="B124" s="1100"/>
      <c r="C124" s="1092"/>
      <c r="D124" s="1092"/>
      <c r="E124" s="1092"/>
      <c r="F124" s="1094"/>
      <c r="G124" s="1107"/>
      <c r="H124" s="1108"/>
      <c r="I124" s="1109"/>
      <c r="J124" s="1108"/>
      <c r="K124" s="1109"/>
      <c r="L124" s="1092"/>
      <c r="M124" s="1092"/>
      <c r="N124" s="1092"/>
      <c r="O124" s="1098"/>
      <c r="P124" s="850"/>
      <c r="Q124" s="850"/>
      <c r="R124" s="850"/>
      <c r="S124" s="850"/>
      <c r="T124" s="850"/>
      <c r="U124" s="771"/>
      <c r="V124" s="769"/>
      <c r="W124" s="769"/>
      <c r="X124" s="770"/>
    </row>
    <row r="125" spans="2:24" ht="15" hidden="1" outlineLevel="2">
      <c r="B125" s="1100"/>
      <c r="C125" s="1092"/>
      <c r="D125" s="1092" t="s">
        <v>1185</v>
      </c>
      <c r="E125" s="1093" t="s">
        <v>444</v>
      </c>
      <c r="F125" s="1094" t="str">
        <f>_xlfn.XLOOKUP(E125,'A0.LS'!E:E,'A0.LS'!F:F)</f>
        <v>Chi phí khác</v>
      </c>
      <c r="G125" s="1107"/>
      <c r="H125" s="1108"/>
      <c r="I125" s="1109">
        <f>-H126</f>
        <v>8557257605.2060966</v>
      </c>
      <c r="J125" s="1108"/>
      <c r="K125" s="1109">
        <f t="shared" si="3"/>
        <v>8557257605</v>
      </c>
      <c r="L125" s="1092" t="s">
        <v>1198</v>
      </c>
      <c r="M125" s="1092" t="s">
        <v>1199</v>
      </c>
      <c r="N125" s="1092"/>
      <c r="O125" s="1098"/>
      <c r="P125" s="850"/>
      <c r="Q125" s="850"/>
      <c r="R125" s="850"/>
      <c r="S125" s="850"/>
      <c r="T125" s="850"/>
      <c r="U125" s="1101" t="s">
        <v>1200</v>
      </c>
      <c r="V125" s="769"/>
      <c r="W125" s="769"/>
      <c r="X125" s="770"/>
    </row>
    <row r="126" spans="2:24" ht="15" hidden="1" outlineLevel="2">
      <c r="B126" s="1100"/>
      <c r="C126" s="1092"/>
      <c r="D126" s="1092" t="s">
        <v>1186</v>
      </c>
      <c r="E126" s="1092" t="s">
        <v>64</v>
      </c>
      <c r="F126" s="1094" t="str">
        <f>_xlfn.XLOOKUP(E126,'A0.LS'!E:E,'A0.LS'!F:F)</f>
        <v>Chênh lệch NAV CCQ</v>
      </c>
      <c r="G126" s="1107"/>
      <c r="H126" s="1108">
        <v>-8557257605.2060966</v>
      </c>
      <c r="I126" s="1109"/>
      <c r="J126" s="1108"/>
      <c r="K126" s="1494">
        <f t="shared" si="3"/>
        <v>-8557257605</v>
      </c>
      <c r="L126" s="1092" t="s">
        <v>1198</v>
      </c>
      <c r="M126" s="1092" t="s">
        <v>1199</v>
      </c>
      <c r="N126" s="1092"/>
      <c r="O126" s="1098"/>
      <c r="P126" s="850"/>
      <c r="Q126" s="850"/>
      <c r="R126" s="850"/>
      <c r="S126" s="850"/>
      <c r="T126" s="850"/>
      <c r="U126" s="1101" t="s">
        <v>1200</v>
      </c>
      <c r="V126" s="769"/>
      <c r="W126" s="769"/>
      <c r="X126" s="770"/>
    </row>
    <row r="127" spans="2:24" ht="15" hidden="1" outlineLevel="2">
      <c r="B127" s="1100"/>
      <c r="C127" s="1092"/>
      <c r="D127" s="1092"/>
      <c r="E127" s="1092"/>
      <c r="F127" s="1094"/>
      <c r="G127" s="1107"/>
      <c r="H127" s="1108"/>
      <c r="I127" s="1109"/>
      <c r="J127" s="1108"/>
      <c r="K127" s="1109"/>
      <c r="L127" s="1092"/>
      <c r="M127" s="1092"/>
      <c r="N127" s="1092"/>
      <c r="O127" s="1098"/>
      <c r="P127" s="850"/>
      <c r="Q127" s="850"/>
      <c r="R127" s="850"/>
      <c r="S127" s="850"/>
      <c r="T127" s="850"/>
      <c r="U127" s="771"/>
      <c r="V127" s="769"/>
      <c r="W127" s="769"/>
      <c r="X127" s="770"/>
    </row>
    <row r="128" spans="2:24" ht="15" hidden="1" outlineLevel="2">
      <c r="B128" s="821">
        <v>20</v>
      </c>
      <c r="C128" s="822" t="s">
        <v>3277</v>
      </c>
      <c r="D128" s="1092"/>
      <c r="E128" s="1092"/>
      <c r="F128" s="1094"/>
      <c r="G128" s="1107"/>
      <c r="H128" s="1108"/>
      <c r="I128" s="1109"/>
      <c r="J128" s="1108"/>
      <c r="K128" s="1109"/>
      <c r="L128" s="1092"/>
      <c r="M128" s="1092"/>
      <c r="N128" s="1301" t="s">
        <v>3278</v>
      </c>
      <c r="O128" s="1098" t="s">
        <v>3270</v>
      </c>
      <c r="P128" s="850"/>
      <c r="Q128" s="850"/>
      <c r="R128" s="850"/>
      <c r="S128" s="850"/>
      <c r="T128" s="850"/>
      <c r="U128" s="1101" t="s">
        <v>1200</v>
      </c>
      <c r="V128" s="769"/>
      <c r="W128" s="769"/>
      <c r="X128" s="770"/>
    </row>
    <row r="129" spans="2:24" ht="15" hidden="1" outlineLevel="2">
      <c r="B129" s="1100"/>
      <c r="C129" s="1092"/>
      <c r="D129" s="1092"/>
      <c r="E129" s="1092"/>
      <c r="F129" s="1094"/>
      <c r="G129" s="1107"/>
      <c r="H129" s="1108"/>
      <c r="I129" s="1109"/>
      <c r="J129" s="1108"/>
      <c r="K129" s="1109"/>
      <c r="L129" s="1092"/>
      <c r="M129" s="1092"/>
      <c r="N129" s="1092"/>
      <c r="O129" s="1098"/>
      <c r="P129" s="850"/>
      <c r="Q129" s="850"/>
      <c r="R129" s="850"/>
      <c r="S129" s="850"/>
      <c r="T129" s="850"/>
      <c r="U129" s="1101" t="s">
        <v>1200</v>
      </c>
      <c r="V129" s="769"/>
      <c r="W129" s="769"/>
      <c r="X129" s="770"/>
    </row>
    <row r="130" spans="2:24" s="349" customFormat="1" ht="15" hidden="1" outlineLevel="2">
      <c r="B130" s="1302"/>
      <c r="C130" s="1301"/>
      <c r="D130" s="1301" t="s">
        <v>1185</v>
      </c>
      <c r="E130" s="1303" t="s">
        <v>444</v>
      </c>
      <c r="F130" s="1094" t="str">
        <f>_xlfn.XLOOKUP(E130,'A0.LS'!E:E,'A0.LS'!F:F)</f>
        <v>Chi phí khác</v>
      </c>
      <c r="G130" s="1304"/>
      <c r="H130" s="1305"/>
      <c r="I130" s="1109">
        <f>22527197189</f>
        <v>22527197189</v>
      </c>
      <c r="J130" s="1305"/>
      <c r="K130" s="1306">
        <f t="shared" si="3"/>
        <v>22527197189</v>
      </c>
      <c r="L130" s="1301" t="s">
        <v>1198</v>
      </c>
      <c r="M130" s="1301" t="s">
        <v>1199</v>
      </c>
      <c r="N130" s="1301" t="s">
        <v>681</v>
      </c>
      <c r="O130" s="1098"/>
      <c r="U130" s="1101" t="s">
        <v>1200</v>
      </c>
      <c r="V130" s="769"/>
      <c r="W130" s="769"/>
      <c r="X130" s="770"/>
    </row>
    <row r="131" spans="2:24" s="349" customFormat="1" ht="15" hidden="1" outlineLevel="2">
      <c r="B131" s="1302"/>
      <c r="C131" s="1301"/>
      <c r="D131" s="1301" t="s">
        <v>1186</v>
      </c>
      <c r="E131" s="1301" t="s">
        <v>177</v>
      </c>
      <c r="F131" s="1094" t="str">
        <f>_xlfn.XLOOKUP(E131,'A0.LS'!E:E,'A0.LS'!F:F)</f>
        <v>Phải trả người dùng: Chứng khoán</v>
      </c>
      <c r="G131" s="1304"/>
      <c r="H131" s="1305">
        <f>-I130</f>
        <v>-22527197189</v>
      </c>
      <c r="I131" s="1307"/>
      <c r="J131" s="1305"/>
      <c r="K131" s="1306">
        <f t="shared" si="3"/>
        <v>-22527197189</v>
      </c>
      <c r="L131" s="1301" t="s">
        <v>1198</v>
      </c>
      <c r="M131" s="1301" t="s">
        <v>1199</v>
      </c>
      <c r="N131" s="1301"/>
      <c r="O131" s="1308"/>
      <c r="U131" s="1101" t="s">
        <v>1200</v>
      </c>
      <c r="V131" s="769"/>
      <c r="W131" s="769"/>
      <c r="X131" s="770"/>
    </row>
    <row r="132" spans="2:24" s="349" customFormat="1" ht="15" hidden="1" outlineLevel="2">
      <c r="B132" s="1302"/>
      <c r="C132" s="1301"/>
      <c r="D132" s="1301"/>
      <c r="E132" s="1301"/>
      <c r="F132" s="1309"/>
      <c r="G132" s="1304"/>
      <c r="H132" s="1305"/>
      <c r="I132" s="1306"/>
      <c r="J132" s="1305"/>
      <c r="K132" s="1306"/>
      <c r="L132" s="1301"/>
      <c r="M132" s="1301"/>
      <c r="N132" s="1301"/>
      <c r="O132" s="1308"/>
      <c r="U132" s="771"/>
      <c r="V132" s="769"/>
      <c r="W132" s="769"/>
      <c r="X132" s="770"/>
    </row>
    <row r="133" spans="2:24" s="349" customFormat="1" ht="15" hidden="1" outlineLevel="2">
      <c r="B133" s="821">
        <v>21</v>
      </c>
      <c r="C133" s="1310" t="s">
        <v>3277</v>
      </c>
      <c r="D133" s="1301"/>
      <c r="E133" s="1301"/>
      <c r="F133" s="1309"/>
      <c r="G133" s="1304"/>
      <c r="H133" s="1305"/>
      <c r="I133" s="1306"/>
      <c r="J133" s="1305"/>
      <c r="K133" s="1306"/>
      <c r="L133" s="1301"/>
      <c r="M133" s="1301"/>
      <c r="N133" s="1301" t="s">
        <v>3279</v>
      </c>
      <c r="O133" s="1098" t="s">
        <v>3270</v>
      </c>
      <c r="U133" s="1101" t="s">
        <v>1200</v>
      </c>
      <c r="V133" s="769"/>
      <c r="W133" s="769"/>
      <c r="X133" s="770"/>
    </row>
    <row r="134" spans="2:24" s="349" customFormat="1" ht="15" hidden="1" outlineLevel="2">
      <c r="B134" s="1302"/>
      <c r="C134" s="1301"/>
      <c r="D134" s="1301"/>
      <c r="E134" s="1301"/>
      <c r="F134" s="1309"/>
      <c r="G134" s="1304"/>
      <c r="H134" s="1305"/>
      <c r="I134" s="1306"/>
      <c r="J134" s="1305"/>
      <c r="K134" s="1306"/>
      <c r="L134" s="1301"/>
      <c r="M134" s="1301"/>
      <c r="N134" s="1301"/>
      <c r="O134" s="1308"/>
      <c r="U134" s="1101" t="s">
        <v>1200</v>
      </c>
      <c r="V134" s="769"/>
      <c r="W134" s="769"/>
      <c r="X134" s="770"/>
    </row>
    <row r="135" spans="2:24" s="349" customFormat="1" ht="15" hidden="1" outlineLevel="2">
      <c r="B135" s="1302"/>
      <c r="C135" s="1301"/>
      <c r="D135" s="1301" t="s">
        <v>1185</v>
      </c>
      <c r="E135" s="1311" t="s">
        <v>177</v>
      </c>
      <c r="F135" s="1094" t="str">
        <f>_xlfn.XLOOKUP(E135,'A0.LS'!E:E,'A0.LS'!F:F)</f>
        <v>Phải trả người dùng: Chứng khoán</v>
      </c>
      <c r="G135" s="1109">
        <v>4867015571</v>
      </c>
      <c r="H135" s="1305"/>
      <c r="I135" s="1306"/>
      <c r="J135" s="1305"/>
      <c r="K135" s="1306">
        <f t="shared" si="3"/>
        <v>4867015571</v>
      </c>
      <c r="L135" s="1301" t="s">
        <v>1198</v>
      </c>
      <c r="M135" s="1301" t="s">
        <v>1199</v>
      </c>
      <c r="N135" s="1301"/>
      <c r="O135" s="1308"/>
      <c r="U135" s="1101" t="s">
        <v>1200</v>
      </c>
      <c r="V135" s="769"/>
      <c r="W135" s="769"/>
      <c r="X135" s="770"/>
    </row>
    <row r="136" spans="2:24" s="349" customFormat="1" ht="15" hidden="1" outlineLevel="2">
      <c r="B136" s="1302"/>
      <c r="C136" s="1301"/>
      <c r="D136" s="1301" t="s">
        <v>1186</v>
      </c>
      <c r="E136" s="1303" t="s">
        <v>442</v>
      </c>
      <c r="F136" s="1094" t="str">
        <f>_xlfn.XLOOKUP(E136,'A0.LS'!E:E,'A0.LS'!F:F)</f>
        <v>Doanh thu khác</v>
      </c>
      <c r="G136" s="1312"/>
      <c r="H136" s="1305"/>
      <c r="I136" s="1306"/>
      <c r="J136" s="1305">
        <f>-G135</f>
        <v>-4867015571</v>
      </c>
      <c r="K136" s="1306">
        <f t="shared" si="3"/>
        <v>-4867015571</v>
      </c>
      <c r="L136" s="1301" t="s">
        <v>1198</v>
      </c>
      <c r="M136" s="1301" t="s">
        <v>1199</v>
      </c>
      <c r="N136" s="1301" t="s">
        <v>3279</v>
      </c>
      <c r="O136" s="1308"/>
      <c r="U136" s="1101" t="s">
        <v>1200</v>
      </c>
      <c r="V136" s="769"/>
      <c r="W136" s="769"/>
      <c r="X136" s="770"/>
    </row>
    <row r="137" spans="2:24" ht="15" hidden="1" outlineLevel="2">
      <c r="B137" s="1100"/>
      <c r="C137" s="1092"/>
      <c r="D137" s="1092"/>
      <c r="E137" s="1092"/>
      <c r="F137" s="1094"/>
      <c r="G137" s="1107"/>
      <c r="H137" s="1108"/>
      <c r="I137" s="1109"/>
      <c r="J137" s="1108"/>
      <c r="K137" s="1109"/>
      <c r="L137" s="1092"/>
      <c r="M137" s="1092"/>
      <c r="N137" s="1092"/>
      <c r="O137" s="1098"/>
      <c r="P137" s="850"/>
      <c r="Q137" s="850"/>
      <c r="R137" s="850"/>
      <c r="S137" s="850"/>
      <c r="T137" s="850"/>
      <c r="U137" s="771"/>
      <c r="V137" s="769"/>
      <c r="W137" s="769"/>
      <c r="X137" s="770"/>
    </row>
    <row r="138" spans="2:24" ht="15" hidden="1" outlineLevel="2">
      <c r="B138" s="821">
        <v>22</v>
      </c>
      <c r="C138" s="822" t="s">
        <v>3280</v>
      </c>
      <c r="D138" s="1092"/>
      <c r="E138" s="1092"/>
      <c r="F138" s="1094"/>
      <c r="G138" s="1107"/>
      <c r="H138" s="1108"/>
      <c r="I138" s="1109"/>
      <c r="J138" s="1108"/>
      <c r="K138" s="1109"/>
      <c r="L138" s="1092"/>
      <c r="M138" s="1092"/>
      <c r="N138" s="1092" t="s">
        <v>3281</v>
      </c>
      <c r="O138" s="1098"/>
      <c r="P138" s="850"/>
      <c r="Q138" s="850"/>
      <c r="R138" s="850"/>
      <c r="S138" s="850"/>
      <c r="T138" s="850"/>
      <c r="U138" s="771"/>
      <c r="V138" s="769"/>
      <c r="W138" s="1313" t="s">
        <v>2586</v>
      </c>
      <c r="X138" s="770"/>
    </row>
    <row r="139" spans="2:24" ht="15" hidden="1" outlineLevel="2">
      <c r="B139" s="1100"/>
      <c r="C139" s="1092"/>
      <c r="D139" s="1092"/>
      <c r="E139" s="1093"/>
      <c r="F139" s="1094"/>
      <c r="G139" s="1107"/>
      <c r="H139" s="1108"/>
      <c r="I139" s="1109"/>
      <c r="J139" s="1108"/>
      <c r="K139" s="1109"/>
      <c r="L139" s="1092"/>
      <c r="M139" s="1092"/>
      <c r="N139" s="1092"/>
      <c r="O139" s="1098"/>
      <c r="P139" s="1010">
        <v>271916286.29402161</v>
      </c>
      <c r="Q139" s="850"/>
      <c r="R139" s="850"/>
      <c r="S139" s="850"/>
      <c r="T139" s="850"/>
      <c r="U139" s="771"/>
      <c r="V139" s="1313" t="s">
        <v>3282</v>
      </c>
      <c r="W139" s="1313" t="s">
        <v>3283</v>
      </c>
      <c r="X139" s="1314" t="s">
        <v>3284</v>
      </c>
    </row>
    <row r="140" spans="2:24" hidden="1" outlineLevel="2">
      <c r="B140" s="1100"/>
      <c r="C140" s="1092"/>
      <c r="D140" s="1092" t="s">
        <v>1185</v>
      </c>
      <c r="E140" s="1092" t="s">
        <v>177</v>
      </c>
      <c r="F140" s="1094" t="str">
        <f>_xlfn.XLOOKUP(E140,'A0.LS'!E:E,'A0.LS'!F:F)</f>
        <v>Phải trả người dùng: Chứng khoán</v>
      </c>
      <c r="G140" s="1107">
        <f>22877963379+506576672</f>
        <v>23384540051</v>
      </c>
      <c r="H140" s="1108"/>
      <c r="I140" s="1109"/>
      <c r="J140" s="1108"/>
      <c r="K140" s="1109">
        <f t="shared" si="3"/>
        <v>23384540051</v>
      </c>
      <c r="L140" s="1092" t="s">
        <v>1198</v>
      </c>
      <c r="M140" s="1092" t="s">
        <v>1199</v>
      </c>
      <c r="N140" s="1092"/>
      <c r="O140" s="1098"/>
      <c r="P140" s="1010"/>
      <c r="Q140" s="850"/>
      <c r="R140" s="850"/>
      <c r="S140" s="850"/>
      <c r="T140" s="850"/>
      <c r="U140" s="1101" t="s">
        <v>3285</v>
      </c>
      <c r="V140" s="1106">
        <v>-50841978921</v>
      </c>
      <c r="W140" s="1106">
        <v>-50349990475</v>
      </c>
      <c r="X140" s="1315">
        <v>-491988446</v>
      </c>
    </row>
    <row r="141" spans="2:24" ht="15" hidden="1" outlineLevel="2">
      <c r="B141" s="1100"/>
      <c r="C141" s="1092"/>
      <c r="D141" s="1092" t="s">
        <v>1186</v>
      </c>
      <c r="E141" s="1093" t="s">
        <v>442</v>
      </c>
      <c r="F141" s="1094" t="str">
        <f>_xlfn.XLOOKUP(E141,'A0.LS'!E:E,'A0.LS'!F:F)</f>
        <v>Doanh thu khác</v>
      </c>
      <c r="G141" s="1107"/>
      <c r="H141" s="1108"/>
      <c r="I141" s="1109"/>
      <c r="J141" s="1108">
        <f>-G140</f>
        <v>-23384540051</v>
      </c>
      <c r="K141" s="1109">
        <f t="shared" si="3"/>
        <v>-23384540051</v>
      </c>
      <c r="L141" s="1092" t="s">
        <v>1198</v>
      </c>
      <c r="M141" s="1092" t="s">
        <v>1199</v>
      </c>
      <c r="N141" s="1092" t="s">
        <v>3281</v>
      </c>
      <c r="O141" s="1098"/>
      <c r="P141" s="850"/>
      <c r="Q141" s="850"/>
      <c r="R141" s="850"/>
      <c r="S141" s="850"/>
      <c r="T141" s="850"/>
      <c r="U141" s="1101" t="s">
        <v>3285</v>
      </c>
      <c r="V141" s="1106"/>
      <c r="W141" s="769"/>
      <c r="X141" s="770"/>
    </row>
    <row r="142" spans="2:24" ht="15" hidden="1" outlineLevel="2">
      <c r="B142" s="1100"/>
      <c r="C142" s="1092"/>
      <c r="D142" s="1092"/>
      <c r="E142" s="1092"/>
      <c r="F142" s="1094"/>
      <c r="G142" s="1107"/>
      <c r="H142" s="1108"/>
      <c r="I142" s="1109"/>
      <c r="J142" s="1108"/>
      <c r="K142" s="1109"/>
      <c r="L142" s="1092"/>
      <c r="M142" s="1092"/>
      <c r="N142" s="1092"/>
      <c r="O142" s="1098"/>
      <c r="P142" s="850"/>
      <c r="Q142" s="850"/>
      <c r="R142" s="850"/>
      <c r="S142" s="850"/>
      <c r="T142" s="850"/>
      <c r="U142" s="771"/>
      <c r="V142" s="769"/>
      <c r="W142" s="769"/>
      <c r="X142" s="770"/>
    </row>
    <row r="143" spans="2:24" ht="15" hidden="1" outlineLevel="2">
      <c r="B143" s="821">
        <v>23</v>
      </c>
      <c r="C143" s="822" t="s">
        <v>3286</v>
      </c>
      <c r="D143" s="1092"/>
      <c r="E143" s="1092"/>
      <c r="F143" s="1094"/>
      <c r="G143" s="1107"/>
      <c r="H143" s="1108"/>
      <c r="I143" s="1109"/>
      <c r="J143" s="1108"/>
      <c r="K143" s="1109"/>
      <c r="L143" s="1092"/>
      <c r="M143" s="1092"/>
      <c r="N143" s="1092" t="s">
        <v>3287</v>
      </c>
      <c r="O143" s="1098"/>
      <c r="P143" s="850"/>
      <c r="Q143" s="850"/>
      <c r="R143" s="850"/>
      <c r="S143" s="850"/>
      <c r="T143" s="850"/>
      <c r="U143" s="771"/>
      <c r="V143" s="769"/>
      <c r="W143" s="769"/>
      <c r="X143" s="770"/>
    </row>
    <row r="144" spans="2:24" ht="15" hidden="1" outlineLevel="2">
      <c r="B144" s="1100"/>
      <c r="C144" s="1092"/>
      <c r="D144" s="1092"/>
      <c r="E144" s="1092"/>
      <c r="F144" s="1094"/>
      <c r="G144" s="1107"/>
      <c r="H144" s="1108"/>
      <c r="I144" s="1109"/>
      <c r="J144" s="1108"/>
      <c r="K144" s="1109"/>
      <c r="L144" s="1092"/>
      <c r="M144" s="1092"/>
      <c r="N144" s="1092"/>
      <c r="O144" s="1098"/>
      <c r="P144" s="850"/>
      <c r="Q144" s="850"/>
      <c r="R144" s="850"/>
      <c r="S144" s="850"/>
      <c r="T144" s="850"/>
      <c r="U144" s="771"/>
      <c r="V144" s="1313" t="s">
        <v>3282</v>
      </c>
      <c r="W144" s="1313" t="s">
        <v>3283</v>
      </c>
      <c r="X144" s="1314" t="s">
        <v>3284</v>
      </c>
    </row>
    <row r="145" spans="2:24" hidden="1" outlineLevel="2">
      <c r="B145" s="1100"/>
      <c r="C145" s="1092"/>
      <c r="D145" s="1092" t="s">
        <v>1185</v>
      </c>
      <c r="E145" s="1093" t="s">
        <v>444</v>
      </c>
      <c r="F145" s="1094" t="str">
        <f>_xlfn.XLOOKUP(E145,'A0.LS'!E:E,'A0.LS'!F:F)</f>
        <v>Chi phí khác</v>
      </c>
      <c r="G145" s="1107"/>
      <c r="H145" s="1108"/>
      <c r="I145" s="1109">
        <v>3905509087</v>
      </c>
      <c r="J145" s="1108"/>
      <c r="K145" s="1109">
        <f t="shared" si="3"/>
        <v>3905509087</v>
      </c>
      <c r="L145" s="1092" t="s">
        <v>1198</v>
      </c>
      <c r="M145" s="1092" t="s">
        <v>1199</v>
      </c>
      <c r="N145" s="1092"/>
      <c r="O145" s="1098"/>
      <c r="P145" s="850"/>
      <c r="Q145" s="850"/>
      <c r="R145" s="850"/>
      <c r="S145" s="850"/>
      <c r="T145" s="850"/>
      <c r="U145" s="1101" t="s">
        <v>3285</v>
      </c>
      <c r="V145" s="1106">
        <v>-50841978921</v>
      </c>
      <c r="W145" s="1106">
        <v>-50349990475</v>
      </c>
      <c r="X145" s="1315">
        <v>-491988446</v>
      </c>
    </row>
    <row r="146" spans="2:24" ht="15" hidden="1" outlineLevel="2">
      <c r="B146" s="1100"/>
      <c r="C146" s="1092"/>
      <c r="D146" s="1092" t="s">
        <v>1186</v>
      </c>
      <c r="E146" s="1092" t="s">
        <v>177</v>
      </c>
      <c r="F146" s="1094" t="str">
        <f>_xlfn.XLOOKUP(E146,'A0.LS'!E:E,'A0.LS'!F:F)</f>
        <v>Phải trả người dùng: Chứng khoán</v>
      </c>
      <c r="G146" s="1107"/>
      <c r="H146" s="1108">
        <f>-I145</f>
        <v>-3905509087</v>
      </c>
      <c r="I146" s="1109"/>
      <c r="J146" s="1108"/>
      <c r="K146" s="1109">
        <f t="shared" si="3"/>
        <v>-3905509087</v>
      </c>
      <c r="L146" s="1092" t="s">
        <v>1198</v>
      </c>
      <c r="M146" s="1092" t="s">
        <v>1199</v>
      </c>
      <c r="N146" s="1092"/>
      <c r="O146" s="1098"/>
      <c r="P146" s="850"/>
      <c r="Q146" s="850"/>
      <c r="R146" s="850"/>
      <c r="S146" s="850"/>
      <c r="T146" s="850"/>
      <c r="U146" s="1101" t="s">
        <v>3285</v>
      </c>
      <c r="V146" s="769"/>
      <c r="W146" s="769"/>
      <c r="X146" s="770"/>
    </row>
    <row r="147" spans="2:24" ht="15" hidden="1" outlineLevel="2">
      <c r="B147" s="1100"/>
      <c r="C147" s="1092"/>
      <c r="D147" s="1092"/>
      <c r="E147" s="1092"/>
      <c r="F147" s="1094"/>
      <c r="G147" s="1095"/>
      <c r="H147" s="1096"/>
      <c r="I147" s="1097"/>
      <c r="J147" s="1096"/>
      <c r="K147" s="1097"/>
      <c r="L147" s="1092"/>
      <c r="M147" s="1092"/>
      <c r="N147" s="1092"/>
      <c r="O147" s="1098"/>
      <c r="P147" s="850"/>
      <c r="Q147" s="850"/>
      <c r="R147" s="850"/>
      <c r="S147" s="850"/>
      <c r="T147" s="850"/>
      <c r="U147" s="771"/>
      <c r="V147" s="769"/>
      <c r="W147" s="769"/>
      <c r="X147" s="770"/>
    </row>
    <row r="148" spans="2:24" ht="15" outlineLevel="1" collapsed="1">
      <c r="B148" s="1100"/>
      <c r="C148" s="823" t="s">
        <v>3288</v>
      </c>
      <c r="D148" s="823"/>
      <c r="E148" s="823"/>
      <c r="F148" s="824"/>
      <c r="G148" s="825"/>
      <c r="H148" s="826"/>
      <c r="I148" s="827"/>
      <c r="J148" s="826"/>
      <c r="K148" s="827"/>
      <c r="L148" s="823"/>
      <c r="M148" s="823"/>
      <c r="N148" s="823"/>
      <c r="O148" s="828"/>
      <c r="P148" s="850"/>
      <c r="Q148" s="850"/>
      <c r="R148" s="850"/>
      <c r="S148" s="850"/>
      <c r="T148" s="850"/>
      <c r="U148" s="771"/>
      <c r="V148" s="769"/>
      <c r="W148" s="769"/>
      <c r="X148" s="770"/>
    </row>
    <row r="149" spans="2:24" ht="15" hidden="1" outlineLevel="2">
      <c r="B149" s="821">
        <v>24</v>
      </c>
      <c r="C149" s="822" t="s">
        <v>3289</v>
      </c>
      <c r="D149" s="1092"/>
      <c r="E149" s="1092"/>
      <c r="F149" s="1094"/>
      <c r="G149" s="1095"/>
      <c r="H149" s="1096"/>
      <c r="I149" s="1097"/>
      <c r="J149" s="1096"/>
      <c r="K149" s="1097"/>
      <c r="L149" s="1092"/>
      <c r="M149" s="1092"/>
      <c r="N149" s="1092"/>
      <c r="O149" s="1098"/>
      <c r="P149" s="850"/>
      <c r="Q149" s="850"/>
      <c r="R149" s="850"/>
      <c r="S149" s="850"/>
      <c r="T149" s="850"/>
      <c r="U149" s="771"/>
      <c r="V149" s="769"/>
      <c r="W149" s="769"/>
      <c r="X149" s="770"/>
    </row>
    <row r="150" spans="2:24" ht="15" hidden="1" outlineLevel="2">
      <c r="B150" s="1100"/>
      <c r="C150" s="1092"/>
      <c r="D150" s="1092"/>
      <c r="E150" s="1092"/>
      <c r="F150" s="1094"/>
      <c r="G150" s="1095"/>
      <c r="H150" s="1096"/>
      <c r="I150" s="1097"/>
      <c r="J150" s="1096"/>
      <c r="K150" s="1097"/>
      <c r="L150" s="1092"/>
      <c r="M150" s="1092"/>
      <c r="N150" s="1092"/>
      <c r="O150" s="1098"/>
      <c r="P150" s="850"/>
      <c r="Q150" s="850"/>
      <c r="R150" s="850"/>
      <c r="S150" s="850"/>
      <c r="T150" s="850"/>
      <c r="U150" s="771"/>
      <c r="V150" s="769"/>
      <c r="W150" s="769"/>
      <c r="X150" s="770"/>
    </row>
    <row r="151" spans="2:24" ht="15" hidden="1" outlineLevel="2">
      <c r="B151" s="1100"/>
      <c r="C151" s="1092"/>
      <c r="D151" s="1092" t="s">
        <v>1185</v>
      </c>
      <c r="E151" s="1092" t="s">
        <v>64</v>
      </c>
      <c r="F151" s="1094" t="str">
        <f>_xlfn.XLOOKUP(E151,'A0.LS'!E:E,'A0.LS'!F:F)</f>
        <v>Chênh lệch NAV CCQ</v>
      </c>
      <c r="G151" s="1095"/>
      <c r="H151" s="1096"/>
      <c r="I151" s="1097"/>
      <c r="J151" s="1096"/>
      <c r="K151" s="1493">
        <f>ROUND(SUM(G151:J151),0)</f>
        <v>0</v>
      </c>
      <c r="L151" s="1092" t="s">
        <v>1198</v>
      </c>
      <c r="M151" s="1092" t="s">
        <v>1199</v>
      </c>
      <c r="N151" s="1092" t="s">
        <v>3290</v>
      </c>
      <c r="O151" s="1098"/>
      <c r="P151" s="850"/>
      <c r="Q151" s="850"/>
      <c r="R151" s="850"/>
      <c r="S151" s="850"/>
      <c r="T151" s="850"/>
      <c r="U151" s="1101" t="s">
        <v>1200</v>
      </c>
      <c r="V151" s="769"/>
      <c r="W151" s="769"/>
      <c r="X151" s="770"/>
    </row>
    <row r="152" spans="2:24" ht="15" hidden="1" outlineLevel="2">
      <c r="B152" s="1100"/>
      <c r="C152" s="1092"/>
      <c r="D152" s="1092" t="s">
        <v>1186</v>
      </c>
      <c r="E152" s="1093" t="s">
        <v>442</v>
      </c>
      <c r="F152" s="1094" t="str">
        <f>_xlfn.XLOOKUP(E152,'A0.LS'!E:E,'A0.LS'!F:F)</f>
        <v>Doanh thu khác</v>
      </c>
      <c r="G152" s="1095"/>
      <c r="H152" s="1096"/>
      <c r="I152" s="1097"/>
      <c r="J152" s="1096"/>
      <c r="K152" s="1097">
        <f t="shared" ref="K152:K153" si="4">ROUND(SUM(G152:J152),0)</f>
        <v>0</v>
      </c>
      <c r="L152" s="1092" t="s">
        <v>1198</v>
      </c>
      <c r="M152" s="1092" t="s">
        <v>1199</v>
      </c>
      <c r="N152" s="1092" t="s">
        <v>3290</v>
      </c>
      <c r="O152" s="1098"/>
      <c r="P152" s="850"/>
      <c r="Q152" s="850"/>
      <c r="R152" s="850"/>
      <c r="S152" s="850"/>
      <c r="T152" s="850"/>
      <c r="U152" s="1101" t="s">
        <v>1200</v>
      </c>
      <c r="V152" s="769"/>
      <c r="W152" s="769"/>
      <c r="X152" s="770"/>
    </row>
    <row r="153" spans="2:24" ht="15" hidden="1" outlineLevel="2">
      <c r="B153" s="1100"/>
      <c r="C153" s="1092"/>
      <c r="D153" s="1092" t="s">
        <v>1186</v>
      </c>
      <c r="E153" s="1093" t="s">
        <v>444</v>
      </c>
      <c r="F153" s="1094" t="str">
        <f>_xlfn.XLOOKUP(E153,'A0.LS'!E:E,'A0.LS'!F:F)</f>
        <v>Chi phí khác</v>
      </c>
      <c r="G153" s="1095"/>
      <c r="H153" s="1096"/>
      <c r="I153" s="1097"/>
      <c r="J153" s="1096"/>
      <c r="K153" s="1097">
        <f t="shared" si="4"/>
        <v>0</v>
      </c>
      <c r="L153" s="1092" t="s">
        <v>1198</v>
      </c>
      <c r="M153" s="1092" t="s">
        <v>1199</v>
      </c>
      <c r="N153" s="1092"/>
      <c r="O153" s="1098"/>
      <c r="P153" s="850"/>
      <c r="Q153" s="850"/>
      <c r="R153" s="850"/>
      <c r="S153" s="850"/>
      <c r="T153" s="850"/>
      <c r="U153" s="1101" t="s">
        <v>1200</v>
      </c>
      <c r="V153" s="769"/>
      <c r="W153" s="769"/>
      <c r="X153" s="770"/>
    </row>
    <row r="154" spans="2:24" ht="15" hidden="1" outlineLevel="2">
      <c r="B154" s="1100"/>
      <c r="C154" s="1092"/>
      <c r="D154" s="1092"/>
      <c r="E154" s="1092"/>
      <c r="F154" s="1094"/>
      <c r="G154" s="1095"/>
      <c r="H154" s="1096"/>
      <c r="I154" s="1097"/>
      <c r="J154" s="1096"/>
      <c r="K154" s="1097"/>
      <c r="L154" s="1092"/>
      <c r="M154" s="1092"/>
      <c r="N154" s="1092"/>
      <c r="O154" s="1098"/>
      <c r="P154" s="850"/>
      <c r="Q154" s="850"/>
      <c r="R154" s="850"/>
      <c r="S154" s="850"/>
      <c r="T154" s="850"/>
      <c r="U154" s="771"/>
      <c r="V154" s="769"/>
      <c r="W154" s="769"/>
      <c r="X154" s="770"/>
    </row>
    <row r="155" spans="2:24" ht="15" hidden="1" outlineLevel="2">
      <c r="B155" s="821">
        <v>25</v>
      </c>
      <c r="C155" s="822" t="s">
        <v>3291</v>
      </c>
      <c r="D155" s="1092"/>
      <c r="E155" s="1092"/>
      <c r="F155" s="1094"/>
      <c r="G155" s="1095"/>
      <c r="H155" s="1096"/>
      <c r="I155" s="1097"/>
      <c r="J155" s="1096"/>
      <c r="K155" s="1097"/>
      <c r="L155" s="1092"/>
      <c r="M155" s="1092"/>
      <c r="N155" s="1092"/>
      <c r="O155" s="1098"/>
      <c r="P155" s="850"/>
      <c r="Q155" s="850"/>
      <c r="R155" s="850"/>
      <c r="S155" s="850"/>
      <c r="T155" s="850"/>
      <c r="U155" s="771"/>
      <c r="V155" s="769"/>
      <c r="W155" s="769"/>
      <c r="X155" s="770"/>
    </row>
    <row r="156" spans="2:24" ht="15" hidden="1" outlineLevel="2">
      <c r="B156" s="1100"/>
      <c r="C156" s="1092"/>
      <c r="D156" s="1092"/>
      <c r="E156" s="1092"/>
      <c r="F156" s="1094"/>
      <c r="G156" s="1095"/>
      <c r="H156" s="1096"/>
      <c r="I156" s="1097"/>
      <c r="J156" s="1096"/>
      <c r="K156" s="1097"/>
      <c r="L156" s="1092"/>
      <c r="M156" s="1092"/>
      <c r="N156" s="1092"/>
      <c r="O156" s="1098"/>
      <c r="P156" s="850"/>
      <c r="Q156" s="850"/>
      <c r="R156" s="850"/>
      <c r="S156" s="850"/>
      <c r="T156" s="850"/>
      <c r="U156" s="771"/>
      <c r="V156" s="769"/>
      <c r="W156" s="769"/>
      <c r="X156" s="770"/>
    </row>
    <row r="157" spans="2:24" ht="15" hidden="1" outlineLevel="2">
      <c r="B157" s="1100"/>
      <c r="C157" s="1092"/>
      <c r="D157" s="1092" t="s">
        <v>1185</v>
      </c>
      <c r="E157" s="1092" t="s">
        <v>64</v>
      </c>
      <c r="F157" s="1094" t="str">
        <f>_xlfn.XLOOKUP(E157,'A0.LS'!E:E,'A0.LS'!F:F)</f>
        <v>Chênh lệch NAV CCQ</v>
      </c>
      <c r="G157" s="1095"/>
      <c r="H157" s="1096"/>
      <c r="I157" s="1097"/>
      <c r="J157" s="1096"/>
      <c r="K157" s="1493">
        <f>ROUND(SUM(G157:J157),0)</f>
        <v>0</v>
      </c>
      <c r="L157" s="1092" t="s">
        <v>1198</v>
      </c>
      <c r="M157" s="1092" t="s">
        <v>1199</v>
      </c>
      <c r="N157" s="1092"/>
      <c r="O157" s="1098"/>
      <c r="P157" s="850"/>
      <c r="Q157" s="850"/>
      <c r="R157" s="850"/>
      <c r="S157" s="850"/>
      <c r="T157" s="850"/>
      <c r="U157" s="1101" t="s">
        <v>1200</v>
      </c>
      <c r="V157" s="769"/>
      <c r="W157" s="769"/>
      <c r="X157" s="770"/>
    </row>
    <row r="158" spans="2:24" ht="15" hidden="1" outlineLevel="2">
      <c r="B158" s="1100"/>
      <c r="C158" s="1092"/>
      <c r="D158" s="1092" t="s">
        <v>1186</v>
      </c>
      <c r="E158" s="1093" t="s">
        <v>442</v>
      </c>
      <c r="F158" s="1094" t="str">
        <f>_xlfn.XLOOKUP(E158,'A0.LS'!E:E,'A0.LS'!F:F)</f>
        <v>Doanh thu khác</v>
      </c>
      <c r="G158" s="1095"/>
      <c r="H158" s="1096"/>
      <c r="I158" s="1097"/>
      <c r="J158" s="1096">
        <f>-G157</f>
        <v>0</v>
      </c>
      <c r="K158" s="1097">
        <f t="shared" ref="K158" si="5">ROUND(SUM(G158:J158),0)</f>
        <v>0</v>
      </c>
      <c r="L158" s="1092" t="s">
        <v>1198</v>
      </c>
      <c r="M158" s="1092" t="s">
        <v>1199</v>
      </c>
      <c r="N158" s="1092" t="s">
        <v>3290</v>
      </c>
      <c r="O158" s="1098"/>
      <c r="P158" s="850"/>
      <c r="Q158" s="850"/>
      <c r="R158" s="850"/>
      <c r="S158" s="850"/>
      <c r="T158" s="850"/>
      <c r="U158" s="1101" t="s">
        <v>1200</v>
      </c>
      <c r="V158" s="769"/>
      <c r="W158" s="769"/>
      <c r="X158" s="770"/>
    </row>
    <row r="159" spans="2:24" ht="15" hidden="1" outlineLevel="2">
      <c r="B159" s="1100"/>
      <c r="C159" s="1092"/>
      <c r="D159" s="1092"/>
      <c r="E159" s="1092"/>
      <c r="F159" s="1094"/>
      <c r="G159" s="1095"/>
      <c r="H159" s="1096"/>
      <c r="I159" s="1097"/>
      <c r="J159" s="1096"/>
      <c r="K159" s="1097"/>
      <c r="L159" s="1092"/>
      <c r="M159" s="1092"/>
      <c r="N159" s="1092"/>
      <c r="O159" s="1098"/>
      <c r="P159" s="850"/>
      <c r="Q159" s="850"/>
      <c r="R159" s="850"/>
      <c r="S159" s="850"/>
      <c r="T159" s="850"/>
      <c r="U159" s="771"/>
      <c r="V159" s="769"/>
      <c r="W159" s="769"/>
      <c r="X159" s="770"/>
    </row>
    <row r="160" spans="2:24" ht="15" hidden="1" outlineLevel="2">
      <c r="B160" s="821">
        <v>26</v>
      </c>
      <c r="C160" s="822" t="s">
        <v>3292</v>
      </c>
      <c r="D160" s="1092"/>
      <c r="E160" s="1092"/>
      <c r="F160" s="1094"/>
      <c r="G160" s="1095"/>
      <c r="H160" s="1096"/>
      <c r="I160" s="1097"/>
      <c r="J160" s="1096"/>
      <c r="K160" s="1097"/>
      <c r="L160" s="1092"/>
      <c r="M160" s="1092"/>
      <c r="N160" s="1092"/>
      <c r="O160" s="1098"/>
      <c r="P160" s="850"/>
      <c r="Q160" s="850"/>
      <c r="R160" s="850"/>
      <c r="S160" s="850"/>
      <c r="T160" s="850"/>
      <c r="U160" s="771"/>
      <c r="V160" s="769"/>
      <c r="W160" s="769"/>
      <c r="X160" s="770"/>
    </row>
    <row r="161" spans="2:24" ht="15" hidden="1" outlineLevel="2">
      <c r="B161" s="1100"/>
      <c r="C161" s="1092"/>
      <c r="D161" s="1092"/>
      <c r="E161" s="1092"/>
      <c r="F161" s="1094"/>
      <c r="G161" s="1095"/>
      <c r="H161" s="1096"/>
      <c r="I161" s="1097"/>
      <c r="J161" s="1096"/>
      <c r="K161" s="1097"/>
      <c r="L161" s="1092"/>
      <c r="M161" s="1092"/>
      <c r="N161" s="1092"/>
      <c r="O161" s="1098"/>
      <c r="P161" s="850"/>
      <c r="Q161" s="850"/>
      <c r="R161" s="850"/>
      <c r="S161" s="850"/>
      <c r="T161" s="850"/>
      <c r="U161" s="771"/>
      <c r="V161" s="769"/>
      <c r="W161" s="769"/>
      <c r="X161" s="770"/>
    </row>
    <row r="162" spans="2:24" ht="15" hidden="1" outlineLevel="2">
      <c r="B162" s="1100"/>
      <c r="C162" s="1092"/>
      <c r="D162" s="1092" t="s">
        <v>1185</v>
      </c>
      <c r="E162" s="1093" t="s">
        <v>444</v>
      </c>
      <c r="F162" s="1094" t="str">
        <f>_xlfn.XLOOKUP(E162,'A0.LS'!E:E,'A0.LS'!F:F)</f>
        <v>Chi phí khác</v>
      </c>
      <c r="G162" s="1095"/>
      <c r="H162" s="1096"/>
      <c r="I162" s="1097">
        <v>31523116550</v>
      </c>
      <c r="J162" s="1096"/>
      <c r="K162" s="1097">
        <f>ROUND(SUM(G162:J162),0)</f>
        <v>31523116550</v>
      </c>
      <c r="L162" s="1092" t="s">
        <v>1198</v>
      </c>
      <c r="M162" s="1092" t="s">
        <v>1199</v>
      </c>
      <c r="N162" s="1092" t="s">
        <v>3293</v>
      </c>
      <c r="O162" s="1098"/>
      <c r="P162" s="850"/>
      <c r="Q162" s="850"/>
      <c r="R162" s="850"/>
      <c r="S162" s="850"/>
      <c r="T162" s="850"/>
      <c r="U162" s="1101" t="s">
        <v>1200</v>
      </c>
      <c r="V162" s="769"/>
      <c r="W162" s="769"/>
      <c r="X162" s="770"/>
    </row>
    <row r="163" spans="2:24" ht="15" hidden="1" outlineLevel="2">
      <c r="B163" s="1100"/>
      <c r="C163" s="1092"/>
      <c r="D163" s="1092" t="s">
        <v>1186</v>
      </c>
      <c r="E163" s="1092" t="s">
        <v>64</v>
      </c>
      <c r="F163" s="1094" t="str">
        <f>_xlfn.XLOOKUP(E163,'A0.LS'!E:E,'A0.LS'!F:F)</f>
        <v>Chênh lệch NAV CCQ</v>
      </c>
      <c r="G163" s="1095"/>
      <c r="H163" s="1096">
        <f>-I162</f>
        <v>-31523116550</v>
      </c>
      <c r="I163" s="1097"/>
      <c r="J163" s="1096"/>
      <c r="K163" s="1493">
        <f>ROUND(SUM(G163:J163),0)</f>
        <v>-31523116550</v>
      </c>
      <c r="L163" s="1092" t="s">
        <v>1198</v>
      </c>
      <c r="M163" s="1092" t="s">
        <v>1199</v>
      </c>
      <c r="N163" s="1092" t="s">
        <v>3293</v>
      </c>
      <c r="O163" s="1098"/>
      <c r="P163" s="850"/>
      <c r="Q163" s="850"/>
      <c r="R163" s="850"/>
      <c r="S163" s="850"/>
      <c r="T163" s="850"/>
      <c r="U163" s="1101" t="s">
        <v>1200</v>
      </c>
      <c r="V163" s="769"/>
      <c r="W163" s="769"/>
      <c r="X163" s="770"/>
    </row>
    <row r="164" spans="2:24" ht="15" hidden="1" outlineLevel="2">
      <c r="B164" s="1100"/>
      <c r="C164" s="1092"/>
      <c r="D164" s="1092"/>
      <c r="E164" s="1092"/>
      <c r="F164" s="1094"/>
      <c r="G164" s="1095"/>
      <c r="H164" s="1096"/>
      <c r="I164" s="1097"/>
      <c r="J164" s="1096"/>
      <c r="K164" s="1097"/>
      <c r="L164" s="1092"/>
      <c r="M164" s="1092"/>
      <c r="N164" s="1092"/>
      <c r="O164" s="1098"/>
      <c r="P164" s="850"/>
      <c r="Q164" s="850"/>
      <c r="R164" s="850"/>
      <c r="S164" s="850"/>
      <c r="T164" s="850"/>
      <c r="U164" s="771"/>
      <c r="V164" s="769"/>
      <c r="W164" s="769"/>
      <c r="X164" s="770"/>
    </row>
    <row r="165" spans="2:24" ht="15" hidden="1" outlineLevel="2">
      <c r="B165" s="821">
        <v>27</v>
      </c>
      <c r="C165" s="822" t="s">
        <v>3292</v>
      </c>
      <c r="D165" s="1092"/>
      <c r="E165" s="1092"/>
      <c r="F165" s="1094"/>
      <c r="G165" s="1095"/>
      <c r="H165" s="1096"/>
      <c r="I165" s="1097"/>
      <c r="J165" s="1096"/>
      <c r="K165" s="1097"/>
      <c r="L165" s="1092"/>
      <c r="M165" s="1092"/>
      <c r="N165" s="1092"/>
      <c r="O165" s="1098"/>
      <c r="P165" s="850"/>
      <c r="Q165" s="850"/>
      <c r="R165" s="850"/>
      <c r="S165" s="850"/>
      <c r="T165" s="850"/>
      <c r="U165" s="1101" t="s">
        <v>1200</v>
      </c>
      <c r="V165" s="769"/>
      <c r="W165" s="769"/>
      <c r="X165" s="770"/>
    </row>
    <row r="166" spans="2:24" ht="15" hidden="1" outlineLevel="2">
      <c r="B166" s="1100"/>
      <c r="C166" s="1092"/>
      <c r="D166" s="1092"/>
      <c r="E166" s="1092"/>
      <c r="F166" s="1094"/>
      <c r="G166" s="1095"/>
      <c r="H166" s="1096"/>
      <c r="I166" s="1097"/>
      <c r="J166" s="1096"/>
      <c r="K166" s="1097"/>
      <c r="L166" s="1092"/>
      <c r="M166" s="1092"/>
      <c r="N166" s="1092"/>
      <c r="O166" s="1098"/>
      <c r="P166" s="850"/>
      <c r="Q166" s="850"/>
      <c r="R166" s="850"/>
      <c r="S166" s="850"/>
      <c r="T166" s="850"/>
      <c r="U166" s="1101" t="s">
        <v>1200</v>
      </c>
      <c r="V166" s="769"/>
      <c r="W166" s="769"/>
      <c r="X166" s="770"/>
    </row>
    <row r="167" spans="2:24" ht="15" hidden="1" outlineLevel="2">
      <c r="B167" s="1100"/>
      <c r="C167" s="1092"/>
      <c r="D167" s="1092" t="s">
        <v>1185</v>
      </c>
      <c r="E167" s="1092" t="s">
        <v>64</v>
      </c>
      <c r="F167" s="1094" t="str">
        <f>_xlfn.XLOOKUP(E167,'A0.LS'!E:E,'A0.LS'!F:F)</f>
        <v>Chênh lệch NAV CCQ</v>
      </c>
      <c r="G167" s="1095">
        <v>4756427981</v>
      </c>
      <c r="H167" s="1096"/>
      <c r="I167" s="1097"/>
      <c r="J167" s="1096"/>
      <c r="K167" s="1493">
        <f>ROUND(SUM(G167:J167),0)</f>
        <v>4756427981</v>
      </c>
      <c r="L167" s="1092" t="s">
        <v>1198</v>
      </c>
      <c r="M167" s="1092" t="s">
        <v>1199</v>
      </c>
      <c r="N167" s="1092" t="s">
        <v>3294</v>
      </c>
      <c r="O167" s="1098"/>
      <c r="P167" s="850"/>
      <c r="Q167" s="850"/>
      <c r="R167" s="850"/>
      <c r="S167" s="850"/>
      <c r="T167" s="850"/>
      <c r="U167" s="1101" t="s">
        <v>1200</v>
      </c>
      <c r="V167" s="769"/>
      <c r="W167" s="769"/>
      <c r="X167" s="770"/>
    </row>
    <row r="168" spans="2:24" ht="15" hidden="1" outlineLevel="2">
      <c r="B168" s="1100"/>
      <c r="C168" s="1092"/>
      <c r="D168" s="1092" t="s">
        <v>1186</v>
      </c>
      <c r="E168" s="1093" t="s">
        <v>442</v>
      </c>
      <c r="F168" s="1094" t="str">
        <f>_xlfn.XLOOKUP(E168,'A0.LS'!E:E,'A0.LS'!F:F)</f>
        <v>Doanh thu khác</v>
      </c>
      <c r="G168" s="1095"/>
      <c r="H168" s="1096"/>
      <c r="I168" s="1097"/>
      <c r="J168" s="1096">
        <f>-G167</f>
        <v>-4756427981</v>
      </c>
      <c r="K168" s="1097">
        <f>ROUND(SUM(G168:J168),0)</f>
        <v>-4756427981</v>
      </c>
      <c r="L168" s="1092" t="s">
        <v>1198</v>
      </c>
      <c r="M168" s="1092" t="s">
        <v>1199</v>
      </c>
      <c r="N168" s="1092" t="s">
        <v>3294</v>
      </c>
      <c r="O168" s="1098"/>
      <c r="P168" s="850"/>
      <c r="Q168" s="850"/>
      <c r="R168" s="850"/>
      <c r="S168" s="850"/>
      <c r="T168" s="850"/>
      <c r="U168" s="1101" t="s">
        <v>1200</v>
      </c>
      <c r="V168" s="769"/>
      <c r="W168" s="769"/>
      <c r="X168" s="770"/>
    </row>
    <row r="169" spans="2:24" ht="15" hidden="1" outlineLevel="2">
      <c r="B169" s="1100"/>
      <c r="C169" s="1092"/>
      <c r="D169" s="1092"/>
      <c r="E169" s="1092"/>
      <c r="F169" s="1094"/>
      <c r="G169" s="1107"/>
      <c r="H169" s="1108"/>
      <c r="I169" s="1109"/>
      <c r="J169" s="1108"/>
      <c r="K169" s="1109"/>
      <c r="L169" s="1092"/>
      <c r="M169" s="1092"/>
      <c r="N169" s="1092"/>
      <c r="O169" s="1098"/>
      <c r="P169" s="850"/>
      <c r="Q169" s="850"/>
      <c r="R169" s="850"/>
      <c r="S169" s="850"/>
      <c r="T169" s="850"/>
      <c r="U169" s="771"/>
      <c r="V169" s="769"/>
      <c r="W169" s="769"/>
      <c r="X169" s="770"/>
    </row>
    <row r="170" spans="2:24" ht="15" hidden="1" outlineLevel="2">
      <c r="B170" s="821">
        <v>28</v>
      </c>
      <c r="C170" s="822" t="s">
        <v>3295</v>
      </c>
      <c r="D170" s="1092"/>
      <c r="E170" s="1092"/>
      <c r="F170" s="1094"/>
      <c r="G170" s="1107"/>
      <c r="H170" s="1108"/>
      <c r="I170" s="1109"/>
      <c r="J170" s="1108"/>
      <c r="K170" s="1109"/>
      <c r="L170" s="1092"/>
      <c r="M170" s="1092"/>
      <c r="N170" s="1092"/>
      <c r="O170" s="1098"/>
      <c r="P170" s="850"/>
      <c r="Q170" s="850"/>
      <c r="R170" s="850"/>
      <c r="S170" s="850"/>
      <c r="T170" s="850"/>
      <c r="U170" s="1101" t="s">
        <v>1200</v>
      </c>
      <c r="V170" s="769"/>
      <c r="W170" s="769"/>
      <c r="X170" s="770"/>
    </row>
    <row r="171" spans="2:24" ht="15" hidden="1" outlineLevel="2">
      <c r="B171" s="1100"/>
      <c r="C171" s="1092"/>
      <c r="D171" s="1092"/>
      <c r="E171" s="1092"/>
      <c r="F171" s="1094"/>
      <c r="G171" s="1107"/>
      <c r="H171" s="1108"/>
      <c r="I171" s="1109"/>
      <c r="J171" s="1108"/>
      <c r="K171" s="1109"/>
      <c r="L171" s="1092"/>
      <c r="M171" s="1092"/>
      <c r="N171" s="1092"/>
      <c r="O171" s="1098"/>
      <c r="P171" s="850"/>
      <c r="Q171" s="850"/>
      <c r="R171" s="850"/>
      <c r="S171" s="850"/>
      <c r="T171" s="850"/>
      <c r="U171" s="1101" t="s">
        <v>1200</v>
      </c>
      <c r="V171" s="769"/>
      <c r="W171" s="769"/>
      <c r="X171" s="770"/>
    </row>
    <row r="172" spans="2:24" s="349" customFormat="1" ht="15" hidden="1" outlineLevel="2">
      <c r="B172" s="1302"/>
      <c r="C172" s="1301"/>
      <c r="D172" s="1301" t="s">
        <v>1185</v>
      </c>
      <c r="E172" s="1301" t="s">
        <v>64</v>
      </c>
      <c r="F172" s="1094" t="str">
        <f>_xlfn.XLOOKUP(E172,'A0.LS'!E:E,'A0.LS'!F:F)</f>
        <v>Chênh lệch NAV CCQ</v>
      </c>
      <c r="G172" s="1107">
        <f>'[18]D501 CCQ'!$H$51</f>
        <v>27744357426.013294</v>
      </c>
      <c r="H172" s="1305"/>
      <c r="I172" s="1306"/>
      <c r="J172" s="1305"/>
      <c r="K172" s="1495">
        <f t="shared" si="3"/>
        <v>27744357426</v>
      </c>
      <c r="L172" s="1301" t="s">
        <v>1198</v>
      </c>
      <c r="M172" s="1301" t="s">
        <v>1199</v>
      </c>
      <c r="N172" s="1301" t="s">
        <v>3296</v>
      </c>
      <c r="O172" s="1308"/>
      <c r="U172" s="1101" t="s">
        <v>1200</v>
      </c>
      <c r="V172" s="769"/>
      <c r="W172" s="769"/>
      <c r="X172" s="770"/>
    </row>
    <row r="173" spans="2:24" s="349" customFormat="1" ht="15" hidden="1" outlineLevel="2">
      <c r="B173" s="1302"/>
      <c r="C173" s="1301"/>
      <c r="D173" s="1301" t="s">
        <v>1186</v>
      </c>
      <c r="E173" s="1303" t="s">
        <v>442</v>
      </c>
      <c r="F173" s="1094" t="str">
        <f>_xlfn.XLOOKUP(E173,'A0.LS'!E:E,'A0.LS'!F:F)</f>
        <v>Doanh thu khác</v>
      </c>
      <c r="G173" s="1312"/>
      <c r="H173" s="1305"/>
      <c r="I173" s="1306"/>
      <c r="J173" s="1305">
        <f>-G172</f>
        <v>-27744357426.013294</v>
      </c>
      <c r="K173" s="1306">
        <f t="shared" si="3"/>
        <v>-27744357426</v>
      </c>
      <c r="L173" s="1301" t="s">
        <v>1198</v>
      </c>
      <c r="M173" s="1301" t="s">
        <v>1199</v>
      </c>
      <c r="N173" s="1301" t="s">
        <v>3296</v>
      </c>
      <c r="O173" s="1308"/>
      <c r="U173" s="1101" t="s">
        <v>1200</v>
      </c>
      <c r="V173" s="769"/>
      <c r="W173" s="769"/>
      <c r="X173" s="770"/>
    </row>
    <row r="174" spans="2:24" s="349" customFormat="1" ht="15" hidden="1" outlineLevel="2">
      <c r="B174" s="1302"/>
      <c r="C174" s="1301"/>
      <c r="D174" s="1301"/>
      <c r="E174" s="1301"/>
      <c r="F174" s="1309"/>
      <c r="G174" s="1304"/>
      <c r="H174" s="1305"/>
      <c r="I174" s="1306"/>
      <c r="J174" s="1305"/>
      <c r="K174" s="1306"/>
      <c r="L174" s="1301"/>
      <c r="M174" s="1301"/>
      <c r="N174" s="1301"/>
      <c r="O174" s="1308"/>
      <c r="U174" s="771"/>
      <c r="V174" s="769"/>
      <c r="W174" s="769"/>
      <c r="X174" s="770"/>
    </row>
    <row r="175" spans="2:24" s="349" customFormat="1" ht="15" hidden="1" outlineLevel="2">
      <c r="B175" s="821">
        <v>29</v>
      </c>
      <c r="C175" s="1310" t="s">
        <v>3297</v>
      </c>
      <c r="D175" s="1301"/>
      <c r="E175" s="1301"/>
      <c r="F175" s="1309"/>
      <c r="G175" s="1304"/>
      <c r="H175" s="1305"/>
      <c r="I175" s="1306"/>
      <c r="J175" s="1305"/>
      <c r="K175" s="1306"/>
      <c r="L175" s="1301"/>
      <c r="M175" s="1301"/>
      <c r="N175" s="1301" t="s">
        <v>3298</v>
      </c>
      <c r="O175" s="1308"/>
      <c r="U175" s="1101" t="s">
        <v>1200</v>
      </c>
      <c r="V175" s="769"/>
      <c r="W175" s="769"/>
      <c r="X175" s="770"/>
    </row>
    <row r="176" spans="2:24" s="349" customFormat="1" ht="15" hidden="1" outlineLevel="2">
      <c r="B176" s="1302"/>
      <c r="C176" s="1301"/>
      <c r="D176" s="1301"/>
      <c r="E176" s="1301"/>
      <c r="F176" s="1309"/>
      <c r="G176" s="1304"/>
      <c r="H176" s="1305"/>
      <c r="I176" s="1306"/>
      <c r="J176" s="1305"/>
      <c r="K176" s="1306"/>
      <c r="L176" s="1301"/>
      <c r="M176" s="1301"/>
      <c r="N176" s="1301"/>
      <c r="O176" s="1308"/>
      <c r="U176" s="1101" t="s">
        <v>1200</v>
      </c>
      <c r="V176" s="769"/>
      <c r="W176" s="769"/>
      <c r="X176" s="770"/>
    </row>
    <row r="177" spans="2:24" s="349" customFormat="1" ht="15" hidden="1" outlineLevel="2">
      <c r="B177" s="1302"/>
      <c r="C177" s="1301"/>
      <c r="D177" s="1301" t="s">
        <v>1185</v>
      </c>
      <c r="E177" s="1303" t="s">
        <v>444</v>
      </c>
      <c r="F177" s="1094" t="str">
        <f>_xlfn.XLOOKUP(E177,'A0.LS'!E:E,'A0.LS'!F:F)</f>
        <v>Chi phí khác</v>
      </c>
      <c r="G177" s="1304"/>
      <c r="H177" s="1305"/>
      <c r="I177" s="1316">
        <f>'[18]D501 CCQ'!$H$55</f>
        <v>1800775565.6951113</v>
      </c>
      <c r="J177" s="1305"/>
      <c r="K177" s="1306">
        <f t="shared" si="3"/>
        <v>1800775566</v>
      </c>
      <c r="L177" s="1301" t="s">
        <v>1198</v>
      </c>
      <c r="M177" s="1301" t="s">
        <v>1199</v>
      </c>
      <c r="N177" s="1301"/>
      <c r="O177" s="1308"/>
      <c r="U177" s="1101" t="s">
        <v>1200</v>
      </c>
      <c r="V177" s="769"/>
      <c r="W177" s="769"/>
      <c r="X177" s="770"/>
    </row>
    <row r="178" spans="2:24" s="349" customFormat="1" ht="15" hidden="1" outlineLevel="2">
      <c r="B178" s="1302"/>
      <c r="C178" s="1301"/>
      <c r="D178" s="1301" t="s">
        <v>1186</v>
      </c>
      <c r="E178" s="1301" t="s">
        <v>64</v>
      </c>
      <c r="F178" s="1094" t="str">
        <f>_xlfn.XLOOKUP(E178,'A0.LS'!E:E,'A0.LS'!F:F)</f>
        <v>Chênh lệch NAV CCQ</v>
      </c>
      <c r="G178" s="1304"/>
      <c r="H178" s="1305">
        <f>-I177</f>
        <v>-1800775565.6951113</v>
      </c>
      <c r="I178" s="1316"/>
      <c r="J178" s="1305"/>
      <c r="K178" s="1495">
        <f t="shared" si="3"/>
        <v>-1800775566</v>
      </c>
      <c r="L178" s="1301" t="s">
        <v>1198</v>
      </c>
      <c r="M178" s="1301" t="s">
        <v>1199</v>
      </c>
      <c r="N178" s="1317"/>
      <c r="O178" s="1308"/>
      <c r="U178" s="1101" t="s">
        <v>1200</v>
      </c>
      <c r="V178" s="769"/>
      <c r="W178" s="769"/>
      <c r="X178" s="770"/>
    </row>
    <row r="179" spans="2:24" ht="15" hidden="1" outlineLevel="2">
      <c r="B179" s="1100"/>
      <c r="C179" s="1092"/>
      <c r="D179" s="1092"/>
      <c r="E179" s="1092"/>
      <c r="F179" s="1094"/>
      <c r="G179" s="1107"/>
      <c r="H179" s="1108"/>
      <c r="I179" s="1109"/>
      <c r="J179" s="1108"/>
      <c r="K179" s="1109"/>
      <c r="L179" s="1092"/>
      <c r="M179" s="1092"/>
      <c r="N179" s="1092"/>
      <c r="O179" s="1098"/>
      <c r="P179" s="850"/>
      <c r="Q179" s="850"/>
      <c r="R179" s="850"/>
      <c r="S179" s="850"/>
      <c r="T179" s="850"/>
      <c r="U179" s="771"/>
      <c r="V179" s="769"/>
      <c r="W179" s="769"/>
      <c r="X179" s="770"/>
    </row>
    <row r="180" spans="2:24" ht="15" hidden="1" outlineLevel="2">
      <c r="B180" s="821">
        <v>30</v>
      </c>
      <c r="C180" s="822" t="s">
        <v>3299</v>
      </c>
      <c r="D180" s="1092"/>
      <c r="E180" s="1092"/>
      <c r="F180" s="1094"/>
      <c r="G180" s="1107"/>
      <c r="H180" s="1108"/>
      <c r="I180" s="1109"/>
      <c r="J180" s="1108"/>
      <c r="K180" s="1109"/>
      <c r="L180" s="1092"/>
      <c r="M180" s="1092"/>
      <c r="N180" s="1092" t="s">
        <v>3300</v>
      </c>
      <c r="O180" s="1098"/>
      <c r="P180" s="850"/>
      <c r="Q180" s="850"/>
      <c r="R180" s="850"/>
      <c r="S180" s="850"/>
      <c r="T180" s="850"/>
      <c r="U180" s="1101" t="s">
        <v>1200</v>
      </c>
      <c r="V180" s="769"/>
      <c r="W180" s="769"/>
      <c r="X180" s="770"/>
    </row>
    <row r="181" spans="2:24" ht="15" hidden="1" outlineLevel="2">
      <c r="B181" s="1100"/>
      <c r="C181" s="1092"/>
      <c r="D181" s="1092"/>
      <c r="E181" s="1092"/>
      <c r="F181" s="1094"/>
      <c r="G181" s="1107"/>
      <c r="H181" s="1108"/>
      <c r="I181" s="1109"/>
      <c r="J181" s="1108"/>
      <c r="K181" s="1109"/>
      <c r="L181" s="1092"/>
      <c r="M181" s="1092"/>
      <c r="N181" s="1092"/>
      <c r="O181" s="1098"/>
      <c r="P181" s="850"/>
      <c r="Q181" s="850"/>
      <c r="R181" s="850"/>
      <c r="S181" s="850"/>
      <c r="T181" s="850"/>
      <c r="U181" s="1101" t="s">
        <v>1200</v>
      </c>
      <c r="V181" s="769"/>
      <c r="W181" s="769"/>
      <c r="X181" s="770"/>
    </row>
    <row r="182" spans="2:24" ht="15" hidden="1" outlineLevel="2">
      <c r="B182" s="1100"/>
      <c r="C182" s="1092"/>
      <c r="D182" s="1092" t="s">
        <v>1185</v>
      </c>
      <c r="E182" s="1092" t="s">
        <v>173</v>
      </c>
      <c r="F182" s="1094" t="str">
        <f>_xlfn.XLOOKUP(E182,'A0.LS'!E:E,'A0.LS'!F:F)</f>
        <v>Phải trả người dùng: Chứng chỉ quỹ</v>
      </c>
      <c r="G182" s="1107">
        <v>46775854041</v>
      </c>
      <c r="H182" s="1108"/>
      <c r="I182" s="1109"/>
      <c r="J182" s="1108"/>
      <c r="K182" s="1090">
        <f t="shared" ref="K182:K224" si="6">ROUND(SUM(G182:J182),0)</f>
        <v>46775854041</v>
      </c>
      <c r="L182" s="1092" t="s">
        <v>1198</v>
      </c>
      <c r="M182" s="1092" t="s">
        <v>1199</v>
      </c>
      <c r="N182" s="1103"/>
      <c r="O182" s="1098"/>
      <c r="P182" s="850"/>
      <c r="Q182" s="850"/>
      <c r="R182" s="850"/>
      <c r="S182" s="850"/>
      <c r="T182" s="850"/>
      <c r="U182" s="1101" t="s">
        <v>1200</v>
      </c>
      <c r="V182" s="769"/>
      <c r="W182" s="769"/>
      <c r="X182" s="770"/>
    </row>
    <row r="183" spans="2:24" ht="15" hidden="1" outlineLevel="2">
      <c r="B183" s="1100"/>
      <c r="C183" s="1092"/>
      <c r="D183" s="1092" t="s">
        <v>1186</v>
      </c>
      <c r="E183" s="1093" t="s">
        <v>442</v>
      </c>
      <c r="F183" s="1094" t="str">
        <f>_xlfn.XLOOKUP(E183,'A0.LS'!E:E,'A0.LS'!F:F)</f>
        <v>Doanh thu khác</v>
      </c>
      <c r="G183" s="1107"/>
      <c r="H183" s="1108"/>
      <c r="I183" s="1109"/>
      <c r="J183" s="1108">
        <f>-G182</f>
        <v>-46775854041</v>
      </c>
      <c r="K183" s="1109">
        <f t="shared" si="6"/>
        <v>-46775854041</v>
      </c>
      <c r="L183" s="1092" t="s">
        <v>1198</v>
      </c>
      <c r="M183" s="1092" t="s">
        <v>1199</v>
      </c>
      <c r="N183" s="1092" t="s">
        <v>3300</v>
      </c>
      <c r="O183" s="1098"/>
      <c r="P183" s="850"/>
      <c r="Q183" s="850"/>
      <c r="R183" s="850"/>
      <c r="S183" s="850"/>
      <c r="T183" s="850"/>
      <c r="U183" s="1101" t="s">
        <v>1200</v>
      </c>
      <c r="V183" s="769"/>
      <c r="W183" s="769"/>
      <c r="X183" s="770"/>
    </row>
    <row r="184" spans="2:24" ht="15" hidden="1" outlineLevel="2">
      <c r="B184" s="1100"/>
      <c r="C184" s="1092"/>
      <c r="D184" s="1092"/>
      <c r="E184" s="1092"/>
      <c r="F184" s="1094"/>
      <c r="G184" s="1107"/>
      <c r="H184" s="1108"/>
      <c r="I184" s="1109"/>
      <c r="J184" s="1108"/>
      <c r="K184" s="1109"/>
      <c r="L184" s="1092"/>
      <c r="M184" s="1092"/>
      <c r="N184" s="1092"/>
      <c r="O184" s="1098"/>
      <c r="P184" s="850"/>
      <c r="Q184" s="850"/>
      <c r="R184" s="850"/>
      <c r="S184" s="850"/>
      <c r="T184" s="850"/>
      <c r="U184" s="771"/>
      <c r="V184" s="769"/>
      <c r="W184" s="769"/>
      <c r="X184" s="770"/>
    </row>
    <row r="185" spans="2:24" ht="15" hidden="1" outlineLevel="2">
      <c r="B185" s="821">
        <v>31</v>
      </c>
      <c r="C185" s="822" t="s">
        <v>3301</v>
      </c>
      <c r="D185" s="1092"/>
      <c r="E185" s="1092"/>
      <c r="F185" s="1094"/>
      <c r="G185" s="1107"/>
      <c r="H185" s="1108"/>
      <c r="I185" s="1109"/>
      <c r="J185" s="1108"/>
      <c r="K185" s="1109"/>
      <c r="L185" s="1092"/>
      <c r="M185" s="1092"/>
      <c r="N185" s="1301" t="s">
        <v>3302</v>
      </c>
      <c r="O185" s="1098"/>
      <c r="P185" s="850"/>
      <c r="Q185" s="850"/>
      <c r="R185" s="850"/>
      <c r="S185" s="850"/>
      <c r="T185" s="850"/>
      <c r="U185" s="1101" t="s">
        <v>1200</v>
      </c>
      <c r="V185" s="769"/>
      <c r="W185" s="769"/>
      <c r="X185" s="770"/>
    </row>
    <row r="186" spans="2:24" ht="15" hidden="1" outlineLevel="2">
      <c r="B186" s="1100"/>
      <c r="C186" s="1092"/>
      <c r="D186" s="1092"/>
      <c r="E186" s="1092"/>
      <c r="F186" s="1094"/>
      <c r="G186" s="1107"/>
      <c r="H186" s="1108"/>
      <c r="I186" s="1109"/>
      <c r="J186" s="1108"/>
      <c r="K186" s="1109"/>
      <c r="L186" s="1092"/>
      <c r="M186" s="1092"/>
      <c r="N186" s="1092"/>
      <c r="O186" s="1098"/>
      <c r="P186" s="850"/>
      <c r="Q186" s="850"/>
      <c r="R186" s="850"/>
      <c r="S186" s="850"/>
      <c r="T186" s="850"/>
      <c r="U186" s="1101" t="s">
        <v>1200</v>
      </c>
      <c r="V186" s="769"/>
      <c r="W186" s="769"/>
      <c r="X186" s="770"/>
    </row>
    <row r="187" spans="2:24" ht="15" hidden="1" outlineLevel="2">
      <c r="B187" s="1100"/>
      <c r="C187" s="1092"/>
      <c r="D187" s="1092" t="s">
        <v>1185</v>
      </c>
      <c r="E187" s="1303" t="s">
        <v>444</v>
      </c>
      <c r="F187" s="1094" t="str">
        <f>_xlfn.XLOOKUP(E187,'A0.LS'!E:E,'A0.LS'!F:F)</f>
        <v>Chi phí khác</v>
      </c>
      <c r="G187" s="1107"/>
      <c r="H187" s="1108"/>
      <c r="I187" s="1109">
        <f>-H188</f>
        <v>44233346256.066086</v>
      </c>
      <c r="J187" s="1108"/>
      <c r="K187" s="1109">
        <f t="shared" si="6"/>
        <v>44233346256</v>
      </c>
      <c r="L187" s="1092" t="s">
        <v>1198</v>
      </c>
      <c r="M187" s="1092" t="s">
        <v>1199</v>
      </c>
      <c r="N187" s="1301" t="s">
        <v>3302</v>
      </c>
      <c r="O187" s="1098"/>
      <c r="P187" s="850"/>
      <c r="Q187" s="850"/>
      <c r="R187" s="850"/>
      <c r="S187" s="850"/>
      <c r="T187" s="850"/>
      <c r="U187" s="1101" t="s">
        <v>1200</v>
      </c>
      <c r="V187" s="769"/>
      <c r="W187" s="769"/>
      <c r="X187" s="770"/>
    </row>
    <row r="188" spans="2:24" ht="15" hidden="1" outlineLevel="2">
      <c r="B188" s="1100"/>
      <c r="C188" s="1092"/>
      <c r="D188" s="1092" t="s">
        <v>1186</v>
      </c>
      <c r="E188" s="1092" t="s">
        <v>173</v>
      </c>
      <c r="F188" s="1094" t="str">
        <f>_xlfn.XLOOKUP(E188,'A0.LS'!E:E,'A0.LS'!F:F)</f>
        <v>Phải trả người dùng: Chứng chỉ quỹ</v>
      </c>
      <c r="G188" s="1107"/>
      <c r="H188" s="1108">
        <f>'[18]D501 CCQ'!$G$36</f>
        <v>-44233346256.066086</v>
      </c>
      <c r="I188" s="1109"/>
      <c r="J188" s="1108"/>
      <c r="K188" s="1090">
        <f t="shared" si="6"/>
        <v>-44233346256</v>
      </c>
      <c r="L188" s="1092" t="s">
        <v>1198</v>
      </c>
      <c r="M188" s="1092" t="s">
        <v>1199</v>
      </c>
      <c r="N188" s="1301" t="s">
        <v>3302</v>
      </c>
      <c r="O188" s="1098"/>
      <c r="P188" s="850"/>
      <c r="Q188" s="850"/>
      <c r="R188" s="850"/>
      <c r="S188" s="850"/>
      <c r="T188" s="850"/>
      <c r="U188" s="1101" t="s">
        <v>1200</v>
      </c>
      <c r="V188" s="769"/>
      <c r="W188" s="769"/>
      <c r="X188" s="770"/>
    </row>
    <row r="189" spans="2:24" ht="15" hidden="1" outlineLevel="2">
      <c r="B189" s="1100"/>
      <c r="C189" s="1092"/>
      <c r="D189" s="1092"/>
      <c r="E189" s="1103"/>
      <c r="F189" s="1103"/>
      <c r="G189" s="1107"/>
      <c r="H189" s="1108"/>
      <c r="I189" s="1109"/>
      <c r="J189" s="1108"/>
      <c r="K189" s="1109"/>
      <c r="L189" s="1092"/>
      <c r="M189" s="1092"/>
      <c r="N189" s="1092"/>
      <c r="O189" s="1098"/>
      <c r="P189" s="850"/>
      <c r="Q189" s="850"/>
      <c r="R189" s="850"/>
      <c r="S189" s="850"/>
      <c r="T189" s="850"/>
      <c r="U189" s="771"/>
      <c r="V189" s="769"/>
      <c r="W189" s="769"/>
      <c r="X189" s="770"/>
    </row>
    <row r="190" spans="2:24" ht="15" hidden="1" outlineLevel="2">
      <c r="B190" s="821">
        <v>32</v>
      </c>
      <c r="C190" s="822" t="s">
        <v>3303</v>
      </c>
      <c r="D190" s="1092"/>
      <c r="E190" s="1092"/>
      <c r="F190" s="1094"/>
      <c r="G190" s="1107"/>
      <c r="H190" s="1108"/>
      <c r="I190" s="1109"/>
      <c r="J190" s="1108"/>
      <c r="K190" s="1109"/>
      <c r="L190" s="1092"/>
      <c r="M190" s="1092"/>
      <c r="N190" s="1301" t="s">
        <v>3302</v>
      </c>
      <c r="O190" s="1098"/>
      <c r="P190" s="850"/>
      <c r="Q190" s="850"/>
      <c r="R190" s="850"/>
      <c r="S190" s="850"/>
      <c r="T190" s="850"/>
      <c r="U190" s="1101" t="s">
        <v>1200</v>
      </c>
      <c r="V190" s="769"/>
      <c r="W190" s="769"/>
      <c r="X190" s="770"/>
    </row>
    <row r="191" spans="2:24" ht="15" hidden="1" outlineLevel="2">
      <c r="B191" s="1100"/>
      <c r="C191" s="1092"/>
      <c r="D191" s="1092"/>
      <c r="E191" s="1092"/>
      <c r="F191" s="1094"/>
      <c r="G191" s="1107"/>
      <c r="H191" s="1108"/>
      <c r="I191" s="1109"/>
      <c r="J191" s="1108"/>
      <c r="K191" s="1109"/>
      <c r="L191" s="1092"/>
      <c r="M191" s="1092"/>
      <c r="N191" s="1092"/>
      <c r="O191" s="1098"/>
      <c r="P191" s="850"/>
      <c r="Q191" s="850"/>
      <c r="R191" s="850"/>
      <c r="S191" s="850"/>
      <c r="T191" s="850"/>
      <c r="U191" s="1101" t="s">
        <v>1200</v>
      </c>
      <c r="V191" s="769"/>
      <c r="W191" s="769"/>
      <c r="X191" s="770"/>
    </row>
    <row r="192" spans="2:24" ht="15" hidden="1" outlineLevel="2">
      <c r="B192" s="1100"/>
      <c r="C192" s="1092"/>
      <c r="D192" s="1092" t="s">
        <v>1185</v>
      </c>
      <c r="E192" s="1303" t="s">
        <v>191</v>
      </c>
      <c r="F192" s="1094" t="str">
        <f>_xlfn.XLOOKUP(E192,'A0.LS'!E:E,'A0.LS'!F:F)</f>
        <v>Phải trả người dùng-Tiền nạp chưa khớp</v>
      </c>
      <c r="G192" s="1107">
        <v>8083940747</v>
      </c>
      <c r="H192" s="1108"/>
      <c r="I192" s="1109"/>
      <c r="J192" s="1108"/>
      <c r="K192" s="1109">
        <f t="shared" ref="K192:K193" si="7">ROUND(SUM(G192:J192),0)</f>
        <v>8083940747</v>
      </c>
      <c r="L192" s="1092" t="s">
        <v>1198</v>
      </c>
      <c r="M192" s="1092" t="s">
        <v>1199</v>
      </c>
      <c r="N192" s="1092"/>
      <c r="O192" s="1098"/>
      <c r="P192" s="850"/>
      <c r="Q192" s="850"/>
      <c r="R192" s="850"/>
      <c r="S192" s="850"/>
      <c r="T192" s="850"/>
      <c r="U192" s="1101" t="s">
        <v>1200</v>
      </c>
      <c r="V192" s="769"/>
      <c r="W192" s="769"/>
      <c r="X192" s="770"/>
    </row>
    <row r="193" spans="2:24" ht="15" hidden="1" outlineLevel="2">
      <c r="B193" s="1100"/>
      <c r="C193" s="1092"/>
      <c r="D193" s="1092" t="s">
        <v>1186</v>
      </c>
      <c r="E193" s="1092" t="s">
        <v>173</v>
      </c>
      <c r="F193" s="1094" t="str">
        <f>_xlfn.XLOOKUP(E193,'A0.LS'!E:E,'A0.LS'!F:F)</f>
        <v>Phải trả người dùng: Chứng chỉ quỹ</v>
      </c>
      <c r="G193" s="1107"/>
      <c r="H193" s="1108">
        <f>-G192</f>
        <v>-8083940747</v>
      </c>
      <c r="I193" s="1109"/>
      <c r="J193" s="1108"/>
      <c r="K193" s="1090">
        <f t="shared" si="7"/>
        <v>-8083940747</v>
      </c>
      <c r="L193" s="1092" t="s">
        <v>1198</v>
      </c>
      <c r="M193" s="1092" t="s">
        <v>1199</v>
      </c>
      <c r="N193" s="1092"/>
      <c r="O193" s="1098"/>
      <c r="P193" s="850"/>
      <c r="Q193" s="850"/>
      <c r="R193" s="850"/>
      <c r="S193" s="850"/>
      <c r="T193" s="850"/>
      <c r="U193" s="1101" t="s">
        <v>1200</v>
      </c>
      <c r="V193" s="769"/>
      <c r="W193" s="769"/>
      <c r="X193" s="770"/>
    </row>
    <row r="194" spans="2:24" ht="15" hidden="1" outlineLevel="2">
      <c r="B194" s="1100"/>
      <c r="C194" s="1092"/>
      <c r="D194" s="1092"/>
      <c r="E194" s="1103"/>
      <c r="F194" s="1103"/>
      <c r="G194" s="1107"/>
      <c r="H194" s="1108"/>
      <c r="I194" s="1109"/>
      <c r="J194" s="1108"/>
      <c r="K194" s="1109"/>
      <c r="L194" s="1092"/>
      <c r="M194" s="1092"/>
      <c r="N194" s="1092"/>
      <c r="O194" s="1098"/>
      <c r="P194" s="850"/>
      <c r="Q194" s="850"/>
      <c r="R194" s="850"/>
      <c r="S194" s="850"/>
      <c r="T194" s="850"/>
      <c r="U194" s="771"/>
      <c r="V194" s="769"/>
      <c r="W194" s="769"/>
      <c r="X194" s="770"/>
    </row>
    <row r="195" spans="2:24" ht="15" hidden="1" outlineLevel="2">
      <c r="B195" s="821">
        <v>33</v>
      </c>
      <c r="C195" s="829" t="s">
        <v>3304</v>
      </c>
      <c r="D195" s="1318"/>
      <c r="E195" s="1319"/>
      <c r="F195" s="1320"/>
      <c r="G195" s="1107"/>
      <c r="H195" s="1108"/>
      <c r="I195" s="1109"/>
      <c r="J195" s="1108"/>
      <c r="K195" s="1109"/>
      <c r="L195" s="1092"/>
      <c r="M195" s="1092"/>
      <c r="N195" s="1092"/>
      <c r="O195" s="1098"/>
      <c r="P195" s="850"/>
      <c r="Q195" s="850"/>
      <c r="R195" s="850"/>
      <c r="S195" s="850"/>
      <c r="T195" s="850"/>
      <c r="U195" s="1101" t="s">
        <v>1200</v>
      </c>
      <c r="V195" s="769"/>
      <c r="W195" s="769"/>
      <c r="X195" s="770"/>
    </row>
    <row r="196" spans="2:24" ht="15" hidden="1" outlineLevel="2">
      <c r="B196" s="1321"/>
      <c r="C196" s="1322"/>
      <c r="D196" s="1322" t="s">
        <v>1185</v>
      </c>
      <c r="E196" s="1319" t="s">
        <v>173</v>
      </c>
      <c r="F196" s="1094" t="str">
        <f>_xlfn.XLOOKUP(E196,'A0.LS'!E:E,'A0.LS'!F:F)</f>
        <v>Phải trả người dùng: Chứng chỉ quỹ</v>
      </c>
      <c r="G196" s="1107">
        <v>867113170.79999995</v>
      </c>
      <c r="H196" s="1108"/>
      <c r="I196" s="1109"/>
      <c r="J196" s="1108"/>
      <c r="K196" s="1090">
        <f t="shared" ref="K196:K197" si="8">ROUND(SUM(G196:J196),0)</f>
        <v>867113171</v>
      </c>
      <c r="L196" s="1092" t="s">
        <v>1198</v>
      </c>
      <c r="M196" s="1092" t="s">
        <v>1199</v>
      </c>
      <c r="N196" s="1092"/>
      <c r="O196" s="1098"/>
      <c r="P196" s="850"/>
      <c r="Q196" s="850"/>
      <c r="R196" s="850"/>
      <c r="S196" s="850"/>
      <c r="T196" s="850"/>
      <c r="U196" s="1101" t="s">
        <v>1200</v>
      </c>
      <c r="V196" s="769"/>
      <c r="W196" s="769"/>
      <c r="X196" s="770"/>
    </row>
    <row r="197" spans="2:24" ht="15" hidden="1" outlineLevel="2">
      <c r="B197" s="1323"/>
      <c r="C197" s="1324"/>
      <c r="D197" s="1324" t="s">
        <v>1186</v>
      </c>
      <c r="E197" s="1319" t="s">
        <v>191</v>
      </c>
      <c r="F197" s="1094" t="str">
        <f>_xlfn.XLOOKUP(E197,'A0.LS'!E:E,'A0.LS'!F:F)</f>
        <v>Phải trả người dùng-Tiền nạp chưa khớp</v>
      </c>
      <c r="G197" s="1107"/>
      <c r="H197" s="1108">
        <f>-G196</f>
        <v>-867113170.79999995</v>
      </c>
      <c r="I197" s="1109"/>
      <c r="J197" s="1108"/>
      <c r="K197" s="1109">
        <f t="shared" si="8"/>
        <v>-867113171</v>
      </c>
      <c r="L197" s="1092" t="s">
        <v>1198</v>
      </c>
      <c r="M197" s="1092" t="s">
        <v>1199</v>
      </c>
      <c r="N197" s="1092"/>
      <c r="O197" s="1098"/>
      <c r="P197" s="850"/>
      <c r="Q197" s="850"/>
      <c r="R197" s="850"/>
      <c r="S197" s="850"/>
      <c r="T197" s="850"/>
      <c r="U197" s="1101" t="s">
        <v>1200</v>
      </c>
      <c r="V197" s="769"/>
      <c r="W197" s="769"/>
      <c r="X197" s="770"/>
    </row>
    <row r="198" spans="2:24" ht="15" hidden="1" outlineLevel="2">
      <c r="B198" s="1100"/>
      <c r="C198" s="1092"/>
      <c r="D198" s="1092"/>
      <c r="E198" s="1103"/>
      <c r="F198" s="1103"/>
      <c r="G198" s="1095"/>
      <c r="H198" s="1096"/>
      <c r="I198" s="1097"/>
      <c r="J198" s="1096"/>
      <c r="K198" s="1097"/>
      <c r="L198" s="1092"/>
      <c r="M198" s="1092"/>
      <c r="N198" s="1092"/>
      <c r="O198" s="1098"/>
      <c r="P198" s="850"/>
      <c r="Q198" s="850"/>
      <c r="R198" s="850"/>
      <c r="S198" s="850"/>
      <c r="T198" s="850"/>
      <c r="U198" s="771"/>
      <c r="V198" s="769"/>
      <c r="W198" s="769"/>
      <c r="X198" s="770"/>
    </row>
    <row r="199" spans="2:24" ht="15" outlineLevel="1">
      <c r="B199" s="1100"/>
      <c r="C199" s="823" t="s">
        <v>3305</v>
      </c>
      <c r="D199" s="823"/>
      <c r="E199" s="823"/>
      <c r="F199" s="824"/>
      <c r="G199" s="825"/>
      <c r="H199" s="826"/>
      <c r="I199" s="827"/>
      <c r="J199" s="826"/>
      <c r="K199" s="827"/>
      <c r="L199" s="823"/>
      <c r="M199" s="823"/>
      <c r="N199" s="823"/>
      <c r="O199" s="828"/>
      <c r="P199" s="850"/>
      <c r="Q199" s="850"/>
      <c r="R199" s="850"/>
      <c r="S199" s="850"/>
      <c r="T199" s="850"/>
      <c r="U199" s="771"/>
      <c r="V199" s="769"/>
      <c r="W199" s="769"/>
      <c r="X199" s="770"/>
    </row>
    <row r="200" spans="2:24" ht="15" outlineLevel="2">
      <c r="B200" s="821">
        <v>34</v>
      </c>
      <c r="C200" s="822" t="s">
        <v>3306</v>
      </c>
      <c r="D200" s="1092"/>
      <c r="E200" s="1092"/>
      <c r="F200" s="1094"/>
      <c r="G200" s="1095"/>
      <c r="H200" s="1096"/>
      <c r="I200" s="1097"/>
      <c r="J200" s="1096"/>
      <c r="K200" s="1097"/>
      <c r="L200" s="1092"/>
      <c r="M200" s="1092"/>
      <c r="N200" s="1092"/>
      <c r="O200" s="1098" t="s">
        <v>682</v>
      </c>
      <c r="P200" s="850"/>
      <c r="Q200" s="850"/>
      <c r="R200" s="850"/>
      <c r="S200" s="850"/>
      <c r="T200" s="850"/>
      <c r="U200" s="771"/>
      <c r="V200" s="769"/>
      <c r="W200" s="769"/>
      <c r="X200" s="770"/>
    </row>
    <row r="201" spans="2:24" ht="15" outlineLevel="2">
      <c r="B201" s="1100"/>
      <c r="C201" s="1092"/>
      <c r="D201" s="1092"/>
      <c r="E201" s="1103"/>
      <c r="F201" s="1103"/>
      <c r="G201" s="1107"/>
      <c r="H201" s="1108"/>
      <c r="I201" s="1109"/>
      <c r="J201" s="1108"/>
      <c r="K201" s="1109"/>
      <c r="L201" s="1092"/>
      <c r="M201" s="1092"/>
      <c r="N201" s="1092"/>
      <c r="O201" s="1098"/>
      <c r="P201" s="850"/>
      <c r="Q201" s="850"/>
      <c r="R201" s="850"/>
      <c r="S201" s="850"/>
      <c r="T201" s="850"/>
      <c r="U201" s="771"/>
      <c r="V201" s="769"/>
      <c r="W201" s="803" t="s">
        <v>2586</v>
      </c>
      <c r="X201" s="770"/>
    </row>
    <row r="202" spans="2:24" ht="15" outlineLevel="2">
      <c r="B202" s="1100"/>
      <c r="C202" s="1092"/>
      <c r="D202" s="1092" t="s">
        <v>1185</v>
      </c>
      <c r="E202" s="1093" t="s">
        <v>319</v>
      </c>
      <c r="F202" s="1094" t="str">
        <f>_xlfn.XLOOKUP(E202,'A0.LS'!E:E,'A0.LS'!F:F)</f>
        <v>Chi phí dự phòng tổn thất chứng khoán kinh doanh</v>
      </c>
      <c r="G202" s="1107"/>
      <c r="H202" s="1108"/>
      <c r="I202" s="1109"/>
      <c r="J202" s="1108"/>
      <c r="K202" s="1109">
        <f t="shared" ref="K202:K203" si="9">ROUND(SUM(G202:J202),0)</f>
        <v>0</v>
      </c>
      <c r="L202" s="1092" t="s">
        <v>1198</v>
      </c>
      <c r="M202" s="1092" t="s">
        <v>1199</v>
      </c>
      <c r="N202" s="1092"/>
      <c r="O202" s="1098"/>
      <c r="P202" s="1577" t="s">
        <v>3307</v>
      </c>
      <c r="Q202" s="848">
        <f>Q204-Q203</f>
        <v>-0.48593400418758392</v>
      </c>
      <c r="R202" s="850"/>
      <c r="S202" s="850"/>
      <c r="T202" s="850"/>
      <c r="U202" s="1102"/>
      <c r="V202" s="769"/>
      <c r="W202" s="769" t="s">
        <v>3308</v>
      </c>
      <c r="X202" s="770"/>
    </row>
    <row r="203" spans="2:24" ht="15" outlineLevel="2">
      <c r="B203" s="1100"/>
      <c r="C203" s="1092"/>
      <c r="D203" s="1092" t="s">
        <v>1186</v>
      </c>
      <c r="E203" s="1093" t="s">
        <v>102</v>
      </c>
      <c r="F203" s="1094" t="str">
        <f>_xlfn.XLOOKUP(E203,'A0.LS'!E:E,'A0.LS'!F:F)</f>
        <v>Dự phòng tổn thất chứng khoán kinh doanh</v>
      </c>
      <c r="G203" s="1107"/>
      <c r="H203" s="1108">
        <f>-I202</f>
        <v>0</v>
      </c>
      <c r="I203" s="1109"/>
      <c r="J203" s="1108"/>
      <c r="K203" s="1109">
        <f t="shared" si="9"/>
        <v>0</v>
      </c>
      <c r="L203" s="1092" t="s">
        <v>1198</v>
      </c>
      <c r="M203" s="1092" t="s">
        <v>1199</v>
      </c>
      <c r="N203" s="1092"/>
      <c r="O203" s="1098"/>
      <c r="P203" s="850" t="s">
        <v>3309</v>
      </c>
      <c r="Q203" s="1033">
        <f>'A0.LS'!I25</f>
        <v>-127484513</v>
      </c>
      <c r="R203" s="850"/>
      <c r="S203" s="850"/>
      <c r="T203" s="850"/>
      <c r="U203" s="1102" t="s">
        <v>3310</v>
      </c>
      <c r="V203" s="769"/>
      <c r="W203" s="769"/>
      <c r="X203" s="770"/>
    </row>
    <row r="204" spans="2:24" ht="15" outlineLevel="2">
      <c r="B204" s="1100"/>
      <c r="C204" s="1092"/>
      <c r="D204" s="1092"/>
      <c r="E204" s="1092"/>
      <c r="F204" s="1094"/>
      <c r="G204" s="1095"/>
      <c r="H204" s="1096"/>
      <c r="I204" s="1097"/>
      <c r="J204" s="1096"/>
      <c r="K204" s="1097"/>
      <c r="L204" s="1092"/>
      <c r="M204" s="1092"/>
      <c r="N204" s="1092"/>
      <c r="O204" s="1098"/>
      <c r="P204" s="1577" t="s">
        <v>3311</v>
      </c>
      <c r="Q204" s="848">
        <v>-127484513.485934</v>
      </c>
      <c r="R204" s="1033"/>
      <c r="S204" s="850"/>
      <c r="T204" s="850"/>
      <c r="U204" s="771"/>
      <c r="V204" s="769"/>
      <c r="W204" s="769"/>
      <c r="X204" s="770"/>
    </row>
    <row r="205" spans="2:24" ht="15" outlineLevel="2">
      <c r="B205" s="1100"/>
      <c r="C205" s="1092"/>
      <c r="D205" s="1092"/>
      <c r="E205" s="1092"/>
      <c r="F205" s="1094"/>
      <c r="G205" s="1107"/>
      <c r="H205" s="1108"/>
      <c r="I205" s="1109"/>
      <c r="J205" s="1108"/>
      <c r="K205" s="1109"/>
      <c r="L205" s="1092"/>
      <c r="M205" s="1092"/>
      <c r="N205" s="1092"/>
      <c r="O205" s="1098"/>
      <c r="P205" s="850"/>
      <c r="Q205" s="857"/>
      <c r="R205" s="1033"/>
      <c r="S205" s="850"/>
      <c r="T205" s="850"/>
      <c r="U205" s="771"/>
      <c r="V205" s="769"/>
      <c r="W205" s="769"/>
      <c r="X205" s="770"/>
    </row>
    <row r="206" spans="2:24" ht="15" outlineLevel="2">
      <c r="B206" s="821">
        <v>35</v>
      </c>
      <c r="C206" s="822" t="s">
        <v>3312</v>
      </c>
      <c r="D206" s="1092"/>
      <c r="E206" s="830"/>
      <c r="F206" s="1094"/>
      <c r="G206" s="1107"/>
      <c r="H206" s="1108"/>
      <c r="I206" s="1109"/>
      <c r="J206" s="1108"/>
      <c r="K206" s="1109"/>
      <c r="L206" s="1092"/>
      <c r="M206" s="1092"/>
      <c r="N206" s="1092"/>
      <c r="O206" s="1098"/>
      <c r="P206" s="850"/>
      <c r="Q206" s="850"/>
      <c r="R206" s="850"/>
      <c r="S206" s="850"/>
      <c r="T206" s="850"/>
      <c r="U206" s="771"/>
      <c r="V206" s="769"/>
      <c r="W206" s="769"/>
      <c r="X206" s="770"/>
    </row>
    <row r="207" spans="2:24" ht="15" outlineLevel="2">
      <c r="B207" s="1100"/>
      <c r="C207" s="1092"/>
      <c r="D207" s="1092" t="s">
        <v>1185</v>
      </c>
      <c r="E207" s="831" t="s">
        <v>321</v>
      </c>
      <c r="F207" s="1094" t="str">
        <f>_xlfn.XLOOKUP(E207,'A0.LS'!E:E,'A0.LS'!F:F)</f>
        <v>Lỗ từ dự phòng giảm giá các khoản đầu tư vào công ty con/công ty liên doanh</v>
      </c>
      <c r="G207" s="1107"/>
      <c r="H207" s="1108"/>
      <c r="I207" s="1109">
        <f>'Dự phòng Finhay JSC'!F21</f>
        <v>18429782258.5168</v>
      </c>
      <c r="J207" s="1108"/>
      <c r="K207" s="1109">
        <f t="shared" ref="K207:K208" si="10">ROUND(SUM(G207:J207),0)</f>
        <v>18429782259</v>
      </c>
      <c r="L207" s="1092" t="s">
        <v>1198</v>
      </c>
      <c r="M207" s="1092" t="s">
        <v>1199</v>
      </c>
      <c r="N207" s="822" t="s">
        <v>3313</v>
      </c>
      <c r="O207" s="1098"/>
      <c r="P207" s="850"/>
      <c r="Q207" s="850"/>
      <c r="R207" s="850"/>
      <c r="S207" s="850"/>
      <c r="T207" s="850"/>
      <c r="U207" s="771"/>
      <c r="V207" s="769"/>
      <c r="W207" s="769"/>
      <c r="X207" s="770"/>
    </row>
    <row r="208" spans="2:24" ht="15" outlineLevel="2">
      <c r="B208" s="1100"/>
      <c r="C208" s="1103"/>
      <c r="D208" s="1092" t="s">
        <v>1186</v>
      </c>
      <c r="E208" s="1093" t="s">
        <v>104</v>
      </c>
      <c r="F208" s="1094" t="str">
        <f>_xlfn.XLOOKUP(E208,'A0.LS'!E:E,'A0.LS'!F:F)</f>
        <v>Dự phòng tổn thất đầu tư vào đơn vị khác</v>
      </c>
      <c r="G208" s="1107"/>
      <c r="H208" s="1108">
        <f>-I207</f>
        <v>-18429782258.5168</v>
      </c>
      <c r="I208" s="1109"/>
      <c r="J208" s="1108"/>
      <c r="K208" s="1109">
        <f t="shared" si="10"/>
        <v>-18429782259</v>
      </c>
      <c r="L208" s="1092" t="s">
        <v>1198</v>
      </c>
      <c r="M208" s="1092" t="s">
        <v>1199</v>
      </c>
      <c r="N208" s="1092"/>
      <c r="O208" s="1098"/>
      <c r="P208" s="850"/>
      <c r="Q208" s="850"/>
      <c r="R208" s="850"/>
      <c r="S208" s="850"/>
      <c r="T208" s="850"/>
      <c r="U208" s="771"/>
      <c r="V208" s="769"/>
      <c r="W208" s="769"/>
      <c r="X208" s="770"/>
    </row>
    <row r="209" spans="2:24" ht="15" outlineLevel="2">
      <c r="B209" s="1100"/>
      <c r="C209" s="1092"/>
      <c r="D209" s="1092"/>
      <c r="E209" s="1092"/>
      <c r="F209" s="1094"/>
      <c r="G209" s="1095"/>
      <c r="H209" s="1096"/>
      <c r="I209" s="1097"/>
      <c r="J209" s="1096"/>
      <c r="K209" s="1097"/>
      <c r="L209" s="1092"/>
      <c r="M209" s="1092"/>
      <c r="N209" s="1092"/>
      <c r="O209" s="1098"/>
      <c r="P209" s="850"/>
      <c r="Q209" s="857"/>
      <c r="R209" s="1033"/>
      <c r="S209" s="850"/>
      <c r="T209" s="850"/>
      <c r="U209" s="771"/>
      <c r="V209" s="769"/>
      <c r="W209" s="769"/>
      <c r="X209" s="770"/>
    </row>
    <row r="210" spans="2:24" ht="15" outlineLevel="1">
      <c r="B210" s="1100"/>
      <c r="C210" s="823" t="s">
        <v>3314</v>
      </c>
      <c r="D210" s="823"/>
      <c r="E210" s="823"/>
      <c r="F210" s="824"/>
      <c r="G210" s="825"/>
      <c r="H210" s="826"/>
      <c r="I210" s="827"/>
      <c r="J210" s="826"/>
      <c r="K210" s="827"/>
      <c r="L210" s="823"/>
      <c r="M210" s="823"/>
      <c r="N210" s="823"/>
      <c r="O210" s="828"/>
      <c r="P210" s="850"/>
      <c r="Q210" s="850"/>
      <c r="R210" s="850"/>
      <c r="S210" s="850"/>
      <c r="T210" s="850"/>
      <c r="U210" s="771"/>
      <c r="V210" s="769"/>
      <c r="W210" s="769"/>
      <c r="X210" s="770"/>
    </row>
    <row r="211" spans="2:24" ht="15" outlineLevel="2">
      <c r="B211" s="821">
        <v>36</v>
      </c>
      <c r="C211" s="822" t="s">
        <v>3315</v>
      </c>
      <c r="D211" s="1092"/>
      <c r="E211" s="1092"/>
      <c r="F211" s="1094"/>
      <c r="G211" s="1095"/>
      <c r="H211" s="1096"/>
      <c r="I211" s="1097"/>
      <c r="J211" s="1096"/>
      <c r="K211" s="1097"/>
      <c r="L211" s="1092"/>
      <c r="M211" s="1092"/>
      <c r="N211" s="1092" t="s">
        <v>3316</v>
      </c>
      <c r="O211" s="1098"/>
      <c r="P211" s="850"/>
      <c r="Q211" s="850"/>
      <c r="R211" s="850"/>
      <c r="S211" s="850"/>
      <c r="T211" s="850"/>
      <c r="U211" s="771"/>
      <c r="V211" s="769"/>
      <c r="W211" s="769"/>
      <c r="X211" s="770"/>
    </row>
    <row r="212" spans="2:24" ht="15" outlineLevel="2">
      <c r="B212" s="1100"/>
      <c r="C212" s="1092"/>
      <c r="D212" s="1092"/>
      <c r="E212" s="1092"/>
      <c r="F212" s="1094"/>
      <c r="G212" s="1095"/>
      <c r="H212" s="1096"/>
      <c r="I212" s="1097"/>
      <c r="J212" s="1096"/>
      <c r="K212" s="1097"/>
      <c r="L212" s="1092"/>
      <c r="M212" s="1092"/>
      <c r="N212" s="1092"/>
      <c r="O212" s="1098"/>
      <c r="P212" s="850"/>
      <c r="Q212" s="850"/>
      <c r="R212" s="850"/>
      <c r="S212" s="850"/>
      <c r="T212" s="850"/>
      <c r="U212" s="771"/>
      <c r="V212" s="769"/>
      <c r="W212" s="769"/>
      <c r="X212" s="770"/>
    </row>
    <row r="213" spans="2:24" ht="15" outlineLevel="2">
      <c r="B213" s="1100"/>
      <c r="C213" s="1092"/>
      <c r="D213" s="1092" t="s">
        <v>1185</v>
      </c>
      <c r="E213" s="1092" t="s">
        <v>58</v>
      </c>
      <c r="F213" s="1094" t="str">
        <f>_xlfn.XLOOKUP(E213,'A0.LS'!E:E,'A0.LS'!F:F)</f>
        <v>Phải thu lãi từ HD tiền gửi</v>
      </c>
      <c r="G213" s="1095"/>
      <c r="H213" s="1096"/>
      <c r="I213" s="1097"/>
      <c r="J213" s="1096"/>
      <c r="K213" s="1097">
        <f t="shared" si="6"/>
        <v>0</v>
      </c>
      <c r="L213" s="1092" t="s">
        <v>1198</v>
      </c>
      <c r="M213" s="1092" t="s">
        <v>1199</v>
      </c>
      <c r="N213" s="1092"/>
      <c r="O213" s="1098"/>
      <c r="P213" s="850"/>
      <c r="Q213" s="850"/>
      <c r="R213" s="850"/>
      <c r="S213" s="850"/>
      <c r="T213" s="850"/>
      <c r="U213" s="1101" t="s">
        <v>3244</v>
      </c>
      <c r="V213" s="769"/>
      <c r="W213" s="769"/>
      <c r="X213" s="770"/>
    </row>
    <row r="214" spans="2:24" ht="15" outlineLevel="2">
      <c r="B214" s="1100"/>
      <c r="C214" s="1092"/>
      <c r="D214" s="1092" t="s">
        <v>1186</v>
      </c>
      <c r="E214" s="1110" t="s">
        <v>251</v>
      </c>
      <c r="F214" s="1094" t="str">
        <f>_xlfn.XLOOKUP(E214,'A0.LS'!E:E,'A0.LS'!F:F)</f>
        <v>Doanh thu tài chính: Lãi dự thu</v>
      </c>
      <c r="G214" s="1095"/>
      <c r="H214" s="1096"/>
      <c r="I214" s="1097"/>
      <c r="J214" s="1096">
        <f>-G213</f>
        <v>0</v>
      </c>
      <c r="K214" s="1097">
        <f t="shared" si="6"/>
        <v>0</v>
      </c>
      <c r="L214" s="1092" t="s">
        <v>1198</v>
      </c>
      <c r="M214" s="1092" t="s">
        <v>1199</v>
      </c>
      <c r="N214" s="1092"/>
      <c r="O214" s="1098"/>
      <c r="P214" s="850"/>
      <c r="Q214" s="850"/>
      <c r="R214" s="850"/>
      <c r="S214" s="850"/>
      <c r="T214" s="850"/>
      <c r="U214" s="1101" t="s">
        <v>3244</v>
      </c>
      <c r="V214" s="769"/>
      <c r="W214" s="769"/>
      <c r="X214" s="770"/>
    </row>
    <row r="215" spans="2:24" ht="15" outlineLevel="2">
      <c r="B215" s="1100"/>
      <c r="C215" s="1092"/>
      <c r="D215" s="1092"/>
      <c r="E215" s="1092"/>
      <c r="F215" s="1094"/>
      <c r="G215" s="1095"/>
      <c r="H215" s="1096"/>
      <c r="I215" s="1097"/>
      <c r="J215" s="1096"/>
      <c r="K215" s="1097"/>
      <c r="L215" s="1092"/>
      <c r="M215" s="1092"/>
      <c r="N215" s="1092"/>
      <c r="O215" s="1098"/>
      <c r="P215" s="850"/>
      <c r="Q215" s="850"/>
      <c r="R215" s="850"/>
      <c r="S215" s="850"/>
      <c r="T215" s="850"/>
      <c r="U215" s="771"/>
      <c r="V215" s="769"/>
      <c r="W215" s="769"/>
      <c r="X215" s="770"/>
    </row>
    <row r="216" spans="2:24" ht="15" outlineLevel="2">
      <c r="B216" s="821">
        <v>37</v>
      </c>
      <c r="C216" s="822" t="s">
        <v>3317</v>
      </c>
      <c r="D216" s="1092"/>
      <c r="E216" s="1092"/>
      <c r="F216" s="1094"/>
      <c r="G216" s="1095"/>
      <c r="H216" s="1096"/>
      <c r="I216" s="1097"/>
      <c r="J216" s="1096"/>
      <c r="K216" s="1097"/>
      <c r="L216" s="1092"/>
      <c r="M216" s="1092"/>
      <c r="N216" s="1092" t="s">
        <v>3318</v>
      </c>
      <c r="O216" s="1098"/>
      <c r="P216" s="850"/>
      <c r="Q216" s="850"/>
      <c r="R216" s="850"/>
      <c r="S216" s="850"/>
      <c r="T216" s="850"/>
      <c r="U216" s="771"/>
      <c r="V216" s="769"/>
      <c r="W216" s="769"/>
      <c r="X216" s="770"/>
    </row>
    <row r="217" spans="2:24" ht="15" outlineLevel="2">
      <c r="B217" s="1100"/>
      <c r="C217" s="1092"/>
      <c r="D217" s="1092"/>
      <c r="E217" s="1092"/>
      <c r="F217" s="1094"/>
      <c r="G217" s="1095"/>
      <c r="H217" s="1096"/>
      <c r="I217" s="1097"/>
      <c r="J217" s="1096"/>
      <c r="K217" s="1097"/>
      <c r="L217" s="1092"/>
      <c r="M217" s="1092"/>
      <c r="N217" s="1092"/>
      <c r="O217" s="1098"/>
      <c r="P217" s="850"/>
      <c r="Q217" s="850"/>
      <c r="R217" s="850"/>
      <c r="S217" s="850"/>
      <c r="T217" s="850"/>
      <c r="U217" s="771"/>
      <c r="V217" s="769"/>
      <c r="W217" s="769"/>
      <c r="X217" s="770"/>
    </row>
    <row r="218" spans="2:24" ht="15" outlineLevel="2">
      <c r="B218" s="1100"/>
      <c r="C218" s="1092"/>
      <c r="D218" s="1092" t="s">
        <v>1185</v>
      </c>
      <c r="E218" s="1092" t="s">
        <v>521</v>
      </c>
      <c r="F218" s="1094" t="str">
        <f>_xlfn.XLOOKUP(E218,'A0.LS'!E:E,'A0.LS'!F:F)</f>
        <v>Các khoản tương đương tiền</v>
      </c>
      <c r="G218" s="1095">
        <f>'Dự thu mới'!I128</f>
        <v>30000000000</v>
      </c>
      <c r="H218" s="1096"/>
      <c r="I218" s="1097"/>
      <c r="J218" s="1096"/>
      <c r="K218" s="1097">
        <f t="shared" si="6"/>
        <v>30000000000</v>
      </c>
      <c r="L218" s="1092" t="s">
        <v>1198</v>
      </c>
      <c r="M218" s="1092" t="s">
        <v>1199</v>
      </c>
      <c r="N218" s="1092"/>
      <c r="O218" s="1098"/>
      <c r="P218" s="850"/>
      <c r="Q218" s="850"/>
      <c r="R218" s="850"/>
      <c r="S218" s="850"/>
      <c r="T218" s="850"/>
      <c r="U218" s="1101" t="s">
        <v>3244</v>
      </c>
      <c r="V218" s="769"/>
      <c r="W218" s="769"/>
      <c r="X218" s="770"/>
    </row>
    <row r="219" spans="2:24" ht="15" outlineLevel="2">
      <c r="B219" s="1100"/>
      <c r="C219" s="1092"/>
      <c r="D219" s="1092" t="s">
        <v>1186</v>
      </c>
      <c r="E219" s="1092" t="s">
        <v>43</v>
      </c>
      <c r="F219" s="1094" t="str">
        <f>_xlfn.XLOOKUP(E219,'A0.LS'!E:E,'A0.LS'!F:F)</f>
        <v>Tiền gửi có kỳ hạn &lt; 3 tháng (Users)</v>
      </c>
      <c r="G219" s="1095"/>
      <c r="H219" s="1096">
        <f>-G218</f>
        <v>-30000000000</v>
      </c>
      <c r="I219" s="1097"/>
      <c r="J219" s="1096"/>
      <c r="K219" s="1097">
        <f t="shared" si="6"/>
        <v>-30000000000</v>
      </c>
      <c r="L219" s="1092" t="s">
        <v>1198</v>
      </c>
      <c r="M219" s="1092" t="s">
        <v>1199</v>
      </c>
      <c r="N219" s="1092"/>
      <c r="O219" s="1098"/>
      <c r="P219" s="850"/>
      <c r="Q219" s="850"/>
      <c r="R219" s="850"/>
      <c r="S219" s="850"/>
      <c r="T219" s="850"/>
      <c r="U219" s="1101" t="s">
        <v>3244</v>
      </c>
      <c r="V219" s="769"/>
      <c r="W219" s="769"/>
      <c r="X219" s="770"/>
    </row>
    <row r="220" spans="2:24" ht="15" outlineLevel="2">
      <c r="B220" s="1100"/>
      <c r="C220" s="1092"/>
      <c r="D220" s="1092"/>
      <c r="E220" s="1092"/>
      <c r="F220" s="1094"/>
      <c r="G220" s="1095"/>
      <c r="H220" s="1096"/>
      <c r="I220" s="1097"/>
      <c r="J220" s="1096"/>
      <c r="K220" s="1097"/>
      <c r="L220" s="1092"/>
      <c r="M220" s="1092"/>
      <c r="N220" s="1092"/>
      <c r="O220" s="1098"/>
      <c r="P220" s="850"/>
      <c r="Q220" s="850"/>
      <c r="R220" s="850"/>
      <c r="S220" s="850"/>
      <c r="T220" s="850"/>
      <c r="U220" s="771"/>
      <c r="V220" s="769"/>
      <c r="W220" s="769"/>
      <c r="X220" s="770"/>
    </row>
    <row r="221" spans="2:24" ht="15" outlineLevel="2">
      <c r="B221" s="821">
        <v>38</v>
      </c>
      <c r="C221" s="822" t="s">
        <v>3319</v>
      </c>
      <c r="D221" s="1092"/>
      <c r="E221" s="1092"/>
      <c r="F221" s="1094"/>
      <c r="G221" s="1095"/>
      <c r="H221" s="1096"/>
      <c r="I221" s="1097"/>
      <c r="J221" s="1096"/>
      <c r="K221" s="1097"/>
      <c r="L221" s="1092"/>
      <c r="M221" s="1092"/>
      <c r="N221" s="1092" t="s">
        <v>3320</v>
      </c>
      <c r="O221" s="1098"/>
      <c r="P221" s="850"/>
      <c r="Q221" s="850"/>
      <c r="R221" s="850"/>
      <c r="S221" s="850"/>
      <c r="T221" s="850"/>
      <c r="U221" s="771"/>
      <c r="V221" s="769"/>
      <c r="W221" s="769"/>
      <c r="X221" s="770"/>
    </row>
    <row r="222" spans="2:24" ht="15" outlineLevel="2">
      <c r="B222" s="1100"/>
      <c r="C222" s="1092"/>
      <c r="D222" s="1092"/>
      <c r="E222" s="1092"/>
      <c r="F222" s="1094"/>
      <c r="G222" s="1095"/>
      <c r="H222" s="1096"/>
      <c r="I222" s="1097"/>
      <c r="J222" s="1096"/>
      <c r="K222" s="1097"/>
      <c r="L222" s="1092"/>
      <c r="M222" s="1092"/>
      <c r="N222" s="1092"/>
      <c r="O222" s="1098"/>
      <c r="P222" s="850"/>
      <c r="Q222" s="850"/>
      <c r="R222" s="850"/>
      <c r="S222" s="850"/>
      <c r="T222" s="850"/>
      <c r="U222" s="771"/>
      <c r="V222" s="769"/>
      <c r="W222" s="769"/>
      <c r="X222" s="770"/>
    </row>
    <row r="223" spans="2:24" ht="15" outlineLevel="2">
      <c r="B223" s="1100"/>
      <c r="C223" s="1092"/>
      <c r="D223" s="1092" t="s">
        <v>1185</v>
      </c>
      <c r="E223" s="1092" t="s">
        <v>39</v>
      </c>
      <c r="F223" s="1094" t="str">
        <f>_xlfn.XLOOKUP(E223,'A0.LS'!E:E,'A0.LS'!F:F)</f>
        <v>Tiền gửi có kỳ hạn &gt; 3 tháng (Users)</v>
      </c>
      <c r="G223" s="1111">
        <f>'Dự thu mới'!I151</f>
        <v>65000000000</v>
      </c>
      <c r="H223" s="1112"/>
      <c r="I223" s="1097"/>
      <c r="J223" s="1096"/>
      <c r="K223" s="1097">
        <f t="shared" si="6"/>
        <v>65000000000</v>
      </c>
      <c r="L223" s="1092" t="s">
        <v>1198</v>
      </c>
      <c r="M223" s="1092" t="s">
        <v>1199</v>
      </c>
      <c r="N223" s="1103"/>
      <c r="O223" s="1098"/>
      <c r="P223" s="850"/>
      <c r="Q223" s="850"/>
      <c r="R223" s="850"/>
      <c r="S223" s="850"/>
      <c r="T223" s="850"/>
      <c r="U223" s="1101" t="s">
        <v>3244</v>
      </c>
      <c r="V223" s="769"/>
      <c r="W223" s="769"/>
      <c r="X223" s="770"/>
    </row>
    <row r="224" spans="2:24" ht="15" outlineLevel="2">
      <c r="B224" s="1100"/>
      <c r="C224" s="1092"/>
      <c r="D224" s="1092" t="s">
        <v>1186</v>
      </c>
      <c r="E224" s="1092" t="s">
        <v>99</v>
      </c>
      <c r="F224" s="1094" t="str">
        <f>_xlfn.XLOOKUP(E224,'A0.LS'!E:E,'A0.LS'!F:F)</f>
        <v>Đầu tư khác</v>
      </c>
      <c r="G224" s="1111"/>
      <c r="H224" s="1112">
        <f>-G223</f>
        <v>-65000000000</v>
      </c>
      <c r="I224" s="1097"/>
      <c r="J224" s="1096"/>
      <c r="K224" s="1097">
        <f t="shared" si="6"/>
        <v>-65000000000</v>
      </c>
      <c r="L224" s="1092" t="s">
        <v>1198</v>
      </c>
      <c r="M224" s="1092" t="s">
        <v>1199</v>
      </c>
      <c r="N224" s="1092"/>
      <c r="O224" s="1098"/>
      <c r="P224" s="850"/>
      <c r="Q224" s="850"/>
      <c r="R224" s="850"/>
      <c r="S224" s="850"/>
      <c r="T224" s="850"/>
      <c r="U224" s="1101" t="s">
        <v>3244</v>
      </c>
      <c r="V224" s="769"/>
      <c r="W224" s="769"/>
      <c r="X224" s="770"/>
    </row>
    <row r="225" spans="2:24" ht="15" outlineLevel="2">
      <c r="B225" s="1100"/>
      <c r="C225" s="1092"/>
      <c r="D225" s="1092"/>
      <c r="E225" s="1092"/>
      <c r="F225" s="1094"/>
      <c r="G225" s="1095"/>
      <c r="H225" s="1096"/>
      <c r="I225" s="1097"/>
      <c r="J225" s="1096"/>
      <c r="K225" s="1097"/>
      <c r="L225" s="1092"/>
      <c r="M225" s="1092"/>
      <c r="N225" s="1092"/>
      <c r="O225" s="1098"/>
      <c r="P225" s="850"/>
      <c r="Q225" s="850"/>
      <c r="R225" s="850"/>
      <c r="S225" s="850"/>
      <c r="T225" s="850"/>
      <c r="U225" s="771"/>
      <c r="V225" s="769"/>
      <c r="W225" s="769"/>
      <c r="X225" s="770"/>
    </row>
    <row r="226" spans="2:24" ht="15" outlineLevel="2">
      <c r="B226" s="832">
        <v>39</v>
      </c>
      <c r="C226" s="829" t="s">
        <v>3321</v>
      </c>
      <c r="D226" s="829"/>
      <c r="E226" s="829"/>
      <c r="F226" s="1094"/>
      <c r="G226" s="1095"/>
      <c r="H226" s="1096"/>
      <c r="I226" s="833"/>
      <c r="J226" s="1096"/>
      <c r="K226" s="829"/>
      <c r="L226" s="1092"/>
      <c r="M226" s="1092"/>
      <c r="N226" s="1092"/>
      <c r="O226" s="1098"/>
      <c r="P226" s="850"/>
      <c r="Q226" s="850"/>
      <c r="R226" s="850"/>
      <c r="S226" s="850"/>
      <c r="T226" s="850"/>
      <c r="U226" s="771"/>
      <c r="V226" s="769"/>
      <c r="W226" s="769"/>
      <c r="X226" s="770"/>
    </row>
    <row r="227" spans="2:24" ht="15" outlineLevel="2">
      <c r="B227" s="832"/>
      <c r="C227" s="834"/>
      <c r="D227" s="834" t="s">
        <v>1185</v>
      </c>
      <c r="E227" s="1092" t="s">
        <v>243</v>
      </c>
      <c r="F227" s="1094" t="str">
        <f>_xlfn.XLOOKUP(E227,'A0.LS'!E:E,'A0.LS'!F:F)</f>
        <v>Doanh thu cung cấp và sử dụng dịch vụ phần mềm</v>
      </c>
      <c r="G227" s="1095"/>
      <c r="H227" s="1096"/>
      <c r="I227" s="1097"/>
      <c r="J227" s="1096"/>
      <c r="K227" s="1097">
        <f>ROUND(SUM(G227:J227),0)</f>
        <v>0</v>
      </c>
      <c r="L227" s="1092" t="s">
        <v>1198</v>
      </c>
      <c r="M227" s="1092" t="s">
        <v>1199</v>
      </c>
      <c r="N227" s="1092"/>
      <c r="O227" s="1098"/>
      <c r="P227" s="850"/>
      <c r="Q227" s="850"/>
      <c r="R227" s="850"/>
      <c r="S227" s="850"/>
      <c r="T227" s="850"/>
      <c r="U227" s="771"/>
      <c r="V227" s="769"/>
      <c r="W227" s="769"/>
      <c r="X227" s="770"/>
    </row>
    <row r="228" spans="2:24" ht="15" outlineLevel="2">
      <c r="B228" s="835"/>
      <c r="C228" s="834"/>
      <c r="D228" s="1092" t="s">
        <v>1186</v>
      </c>
      <c r="E228" s="1092" t="s">
        <v>1261</v>
      </c>
      <c r="F228" s="1094" t="str">
        <f>_xlfn.XLOOKUP(E228,'A0.LS'!E:E,'A0.LS'!F:F)</f>
        <v>Doanh thu chưa thực hiện dài hạn</v>
      </c>
      <c r="G228" s="1095"/>
      <c r="H228" s="1112">
        <f>-I227</f>
        <v>0</v>
      </c>
      <c r="I228" s="836"/>
      <c r="J228" s="1096"/>
      <c r="K228" s="1097">
        <f>ROUND(SUM(G228:J228),0)</f>
        <v>0</v>
      </c>
      <c r="L228" s="1092" t="s">
        <v>1198</v>
      </c>
      <c r="M228" s="1092" t="s">
        <v>1199</v>
      </c>
      <c r="N228" s="1092"/>
      <c r="O228" s="1098"/>
      <c r="P228" s="850"/>
      <c r="Q228" s="850"/>
      <c r="R228" s="850"/>
      <c r="S228" s="850"/>
      <c r="T228" s="850"/>
      <c r="U228" s="771"/>
      <c r="V228" s="769"/>
      <c r="W228" s="769"/>
      <c r="X228" s="770"/>
    </row>
    <row r="229" spans="2:24" ht="15" outlineLevel="2">
      <c r="B229" s="1100"/>
      <c r="C229" s="1092"/>
      <c r="D229" s="1092"/>
      <c r="E229" s="1092"/>
      <c r="F229" s="1094"/>
      <c r="G229" s="1095"/>
      <c r="H229" s="1096"/>
      <c r="I229" s="1097"/>
      <c r="J229" s="1096"/>
      <c r="K229" s="1097"/>
      <c r="L229" s="1092"/>
      <c r="M229" s="1092"/>
      <c r="N229" s="1092"/>
      <c r="O229" s="1098"/>
      <c r="P229" s="850"/>
      <c r="Q229" s="850"/>
      <c r="R229" s="850"/>
      <c r="S229" s="850"/>
      <c r="T229" s="850"/>
      <c r="U229" s="771"/>
      <c r="V229" s="769"/>
      <c r="W229" s="769"/>
      <c r="X229" s="770"/>
    </row>
    <row r="230" spans="2:24" ht="15" outlineLevel="2">
      <c r="B230" s="821">
        <v>40</v>
      </c>
      <c r="C230" s="822" t="s">
        <v>3322</v>
      </c>
      <c r="D230" s="1092"/>
      <c r="E230" s="1092"/>
      <c r="F230" s="1094"/>
      <c r="G230" s="1095"/>
      <c r="H230" s="1096"/>
      <c r="I230" s="1097"/>
      <c r="J230" s="1096"/>
      <c r="K230" s="1097"/>
      <c r="L230" s="1092"/>
      <c r="M230" s="1092"/>
      <c r="N230" s="1092"/>
      <c r="O230" s="1098"/>
      <c r="P230" s="850"/>
      <c r="Q230" s="850"/>
      <c r="R230" s="850"/>
      <c r="S230" s="850"/>
      <c r="T230" s="850"/>
      <c r="U230" s="771"/>
      <c r="V230" s="769"/>
      <c r="W230" s="769"/>
      <c r="X230" s="770"/>
    </row>
    <row r="231" spans="2:24" ht="15" outlineLevel="2">
      <c r="B231" s="1100"/>
      <c r="C231" s="1092"/>
      <c r="D231" s="1092"/>
      <c r="E231" s="1092"/>
      <c r="F231" s="1094"/>
      <c r="G231" s="1095"/>
      <c r="H231" s="1096"/>
      <c r="I231" s="1097"/>
      <c r="J231" s="1096"/>
      <c r="K231" s="1097"/>
      <c r="L231" s="1092"/>
      <c r="M231" s="1092"/>
      <c r="N231" s="1092" t="s">
        <v>3323</v>
      </c>
      <c r="O231" s="1098"/>
      <c r="P231" s="850"/>
      <c r="Q231" s="850"/>
      <c r="R231" s="850"/>
      <c r="S231" s="850"/>
      <c r="T231" s="850"/>
      <c r="U231" s="771"/>
      <c r="V231" s="769"/>
      <c r="W231" s="769"/>
      <c r="X231" s="770"/>
    </row>
    <row r="232" spans="2:24" ht="15" outlineLevel="2">
      <c r="B232" s="1100"/>
      <c r="C232" s="1092"/>
      <c r="D232" s="1092" t="s">
        <v>1185</v>
      </c>
      <c r="E232" s="1092" t="s">
        <v>166</v>
      </c>
      <c r="F232" s="1094" t="str">
        <f>_xlfn.XLOOKUP(E232,'A0.LS'!E:E,'A0.LS'!F:F)</f>
        <v>Doanh thu chưa thực hiện ngắn hạn</v>
      </c>
      <c r="G232" s="1095">
        <f>-'A0.LS'!I127</f>
        <v>30336000000</v>
      </c>
      <c r="H232" s="1096"/>
      <c r="I232" s="1097"/>
      <c r="J232" s="1096"/>
      <c r="K232" s="1097">
        <f>ROUND(SUM(G232:J232),0)</f>
        <v>30336000000</v>
      </c>
      <c r="L232" s="1092" t="s">
        <v>1198</v>
      </c>
      <c r="M232" s="1092" t="s">
        <v>1199</v>
      </c>
      <c r="N232" s="1092"/>
      <c r="O232" s="1098" t="s">
        <v>3324</v>
      </c>
      <c r="P232" s="850"/>
      <c r="Q232" s="850"/>
      <c r="R232" s="850"/>
      <c r="S232" s="850"/>
      <c r="T232" s="850"/>
      <c r="U232" s="1102" t="s">
        <v>3325</v>
      </c>
      <c r="V232" s="769"/>
      <c r="W232" s="769" t="s">
        <v>2586</v>
      </c>
      <c r="X232" s="770"/>
    </row>
    <row r="233" spans="2:24" ht="15" outlineLevel="2">
      <c r="B233" s="1100"/>
      <c r="C233" s="1092"/>
      <c r="D233" s="1092" t="s">
        <v>1186</v>
      </c>
      <c r="E233" s="1092" t="s">
        <v>1261</v>
      </c>
      <c r="F233" s="1094" t="str">
        <f>_xlfn.XLOOKUP(E233,'A0.LS'!E:E,'A0.LS'!F:F)</f>
        <v>Doanh thu chưa thực hiện dài hạn</v>
      </c>
      <c r="G233" s="1095"/>
      <c r="H233" s="1096">
        <f>-G232</f>
        <v>-30336000000</v>
      </c>
      <c r="I233" s="1097"/>
      <c r="J233" s="1096"/>
      <c r="K233" s="1097">
        <f>ROUND(SUM(G233:J233),0)</f>
        <v>-30336000000</v>
      </c>
      <c r="L233" s="1092" t="s">
        <v>1198</v>
      </c>
      <c r="M233" s="1092" t="s">
        <v>1199</v>
      </c>
      <c r="N233" s="1092"/>
      <c r="O233" s="1098"/>
      <c r="P233" s="850"/>
      <c r="Q233" s="850"/>
      <c r="R233" s="850"/>
      <c r="S233" s="850"/>
      <c r="T233" s="850"/>
      <c r="U233" s="1113" t="s">
        <v>3325</v>
      </c>
      <c r="V233" s="772"/>
      <c r="W233" s="769" t="s">
        <v>3326</v>
      </c>
      <c r="X233" s="773"/>
    </row>
    <row r="234" spans="2:24" outlineLevel="2">
      <c r="B234" s="1100"/>
      <c r="C234" s="1092"/>
      <c r="D234" s="1092"/>
      <c r="E234" s="1092"/>
      <c r="F234" s="1094"/>
      <c r="G234" s="1095"/>
      <c r="H234" s="1096"/>
      <c r="I234" s="1097"/>
      <c r="J234" s="1096"/>
      <c r="K234" s="1097"/>
      <c r="L234" s="1092"/>
      <c r="M234" s="1092"/>
      <c r="N234" s="1092"/>
      <c r="O234" s="1098"/>
      <c r="P234" s="850"/>
      <c r="Q234" s="850"/>
      <c r="R234" s="850"/>
      <c r="S234" s="850"/>
      <c r="T234" s="850"/>
      <c r="U234" s="850"/>
      <c r="V234" s="850"/>
      <c r="W234" s="850"/>
      <c r="X234" s="850"/>
    </row>
    <row r="235" spans="2:24" ht="15" outlineLevel="2">
      <c r="B235" s="821">
        <v>41</v>
      </c>
      <c r="C235" s="822" t="s">
        <v>3327</v>
      </c>
      <c r="D235" s="1092"/>
      <c r="E235" s="830"/>
      <c r="F235" s="1094"/>
      <c r="G235" s="1107"/>
      <c r="H235" s="1108"/>
      <c r="I235" s="1109"/>
      <c r="J235" s="1108"/>
      <c r="K235" s="1109"/>
      <c r="L235" s="1092"/>
      <c r="M235" s="1092"/>
      <c r="N235" s="1103"/>
      <c r="O235" s="1114"/>
      <c r="P235" s="850"/>
      <c r="Q235" s="850"/>
      <c r="R235" s="850"/>
      <c r="S235" s="850"/>
      <c r="T235" s="850"/>
      <c r="U235" s="850"/>
      <c r="V235" s="850"/>
      <c r="W235" s="850"/>
      <c r="X235" s="850"/>
    </row>
    <row r="236" spans="2:24" ht="15" outlineLevel="2">
      <c r="B236" s="821"/>
      <c r="C236" s="1092"/>
      <c r="D236" s="1092" t="s">
        <v>1185</v>
      </c>
      <c r="E236" s="831" t="s">
        <v>442</v>
      </c>
      <c r="F236" s="1094" t="str">
        <f>_xlfn.XLOOKUP(E236,'A0.LS'!E:E,'A0.LS'!F:F)</f>
        <v>Doanh thu khác</v>
      </c>
      <c r="G236" s="1107"/>
      <c r="H236" s="1108"/>
      <c r="I236" s="1097">
        <f>97121969688+7187671123+17376637721</f>
        <v>121686278532</v>
      </c>
      <c r="J236" s="1108"/>
      <c r="K236" s="1109">
        <f t="shared" ref="K236:K237" si="11">ROUND(SUM(G236:J236),0)</f>
        <v>121686278532</v>
      </c>
      <c r="L236" s="1092" t="s">
        <v>1198</v>
      </c>
      <c r="M236" s="1092" t="s">
        <v>1199</v>
      </c>
      <c r="N236" s="1103"/>
      <c r="O236" s="1114"/>
      <c r="P236" s="850"/>
      <c r="Q236" s="850"/>
      <c r="R236" s="850"/>
      <c r="S236" s="850"/>
      <c r="T236" s="850"/>
      <c r="U236" s="850"/>
      <c r="V236" s="850"/>
      <c r="W236" s="850"/>
      <c r="X236" s="850"/>
    </row>
    <row r="237" spans="2:24" ht="15" outlineLevel="2">
      <c r="B237" s="1100"/>
      <c r="C237" s="1092"/>
      <c r="D237" s="1092" t="s">
        <v>1186</v>
      </c>
      <c r="E237" s="831" t="s">
        <v>444</v>
      </c>
      <c r="F237" s="1094" t="str">
        <f>_xlfn.XLOOKUP(E237,'A0.LS'!E:E,'A0.LS'!F:F)</f>
        <v>Chi phí khác</v>
      </c>
      <c r="G237" s="1107"/>
      <c r="H237" s="1108"/>
      <c r="I237" s="1109"/>
      <c r="J237" s="1108">
        <f>-I236</f>
        <v>-121686278532</v>
      </c>
      <c r="K237" s="1109">
        <f t="shared" si="11"/>
        <v>-121686278532</v>
      </c>
      <c r="L237" s="1092" t="s">
        <v>1198</v>
      </c>
      <c r="M237" s="1092" t="s">
        <v>1199</v>
      </c>
      <c r="N237" s="1103"/>
      <c r="O237" s="1114"/>
      <c r="P237" s="850"/>
      <c r="Q237" s="850"/>
      <c r="R237" s="850"/>
      <c r="S237" s="850"/>
      <c r="T237" s="850"/>
      <c r="U237" s="850"/>
      <c r="V237" s="850"/>
      <c r="W237" s="850"/>
      <c r="X237" s="850"/>
    </row>
    <row r="238" spans="2:24" ht="15" outlineLevel="2">
      <c r="B238" s="1115"/>
      <c r="C238" s="1103"/>
      <c r="D238" s="1103"/>
      <c r="E238" s="837"/>
      <c r="F238" s="1103"/>
      <c r="G238" s="1107"/>
      <c r="H238" s="1108"/>
      <c r="I238" s="1116"/>
      <c r="J238" s="1108"/>
      <c r="K238" s="1116"/>
      <c r="L238" s="1103"/>
      <c r="M238" s="1103"/>
      <c r="N238" s="1103"/>
      <c r="O238" s="1114"/>
      <c r="P238" s="850"/>
      <c r="Q238" s="850"/>
      <c r="R238" s="850"/>
      <c r="S238" s="850"/>
      <c r="T238" s="850"/>
      <c r="U238" s="850"/>
      <c r="V238" s="850"/>
      <c r="W238" s="850"/>
      <c r="X238" s="850"/>
    </row>
    <row r="239" spans="2:24" ht="15" outlineLevel="1">
      <c r="B239" s="1100"/>
      <c r="C239" s="823" t="s">
        <v>3328</v>
      </c>
      <c r="D239" s="823"/>
      <c r="E239" s="823"/>
      <c r="F239" s="824"/>
      <c r="G239" s="825"/>
      <c r="H239" s="826"/>
      <c r="I239" s="827"/>
      <c r="J239" s="826"/>
      <c r="K239" s="827"/>
      <c r="L239" s="823"/>
      <c r="M239" s="823"/>
      <c r="N239" s="823"/>
      <c r="O239" s="828"/>
      <c r="P239" s="850"/>
      <c r="Q239" s="850"/>
      <c r="R239" s="850"/>
      <c r="S239" s="850"/>
      <c r="T239" s="850"/>
      <c r="U239" s="771"/>
      <c r="V239" s="769"/>
      <c r="W239" s="769"/>
      <c r="X239" s="770"/>
    </row>
    <row r="240" spans="2:24" ht="15" outlineLevel="2">
      <c r="B240" s="1115"/>
      <c r="C240" s="1103"/>
      <c r="D240" s="1103"/>
      <c r="E240" s="837"/>
      <c r="F240" s="1103"/>
      <c r="G240" s="1107"/>
      <c r="H240" s="1108"/>
      <c r="I240" s="1116"/>
      <c r="J240" s="1108"/>
      <c r="K240" s="1116"/>
      <c r="L240" s="1103"/>
      <c r="M240" s="1103"/>
      <c r="N240" s="1103"/>
      <c r="O240" s="1114"/>
      <c r="P240" s="850"/>
      <c r="Q240" s="850"/>
      <c r="R240" s="850"/>
      <c r="S240" s="850"/>
      <c r="T240" s="850"/>
      <c r="U240" s="850"/>
      <c r="V240" s="850"/>
      <c r="W240" s="850"/>
      <c r="X240" s="850"/>
    </row>
    <row r="241" spans="2:24" outlineLevel="2">
      <c r="B241" s="821">
        <v>42</v>
      </c>
      <c r="C241" s="822" t="s">
        <v>3329</v>
      </c>
      <c r="D241" s="1092"/>
      <c r="E241" s="1092"/>
      <c r="F241" s="1094"/>
      <c r="G241" s="1107"/>
      <c r="H241" s="1108"/>
      <c r="I241" s="1116"/>
      <c r="J241" s="1108"/>
      <c r="K241" s="1116"/>
      <c r="L241" s="1103"/>
      <c r="M241" s="1103"/>
      <c r="N241" s="1103" t="s">
        <v>3330</v>
      </c>
      <c r="O241" s="1114"/>
      <c r="P241" s="850"/>
      <c r="Q241" s="850"/>
      <c r="R241" s="850"/>
      <c r="S241" s="850"/>
      <c r="T241" s="850"/>
      <c r="U241" s="850"/>
      <c r="V241" s="850"/>
      <c r="W241" s="850"/>
      <c r="X241" s="850"/>
    </row>
    <row r="242" spans="2:24" outlineLevel="2">
      <c r="B242" s="1100"/>
      <c r="C242" s="1092"/>
      <c r="D242" s="1092"/>
      <c r="E242" s="1092"/>
      <c r="F242" s="1094"/>
      <c r="G242" s="1107"/>
      <c r="H242" s="1108"/>
      <c r="I242" s="1116"/>
      <c r="J242" s="1108"/>
      <c r="K242" s="1116"/>
      <c r="L242" s="1103"/>
      <c r="M242" s="1103"/>
      <c r="N242" s="1103"/>
      <c r="O242" s="1114"/>
      <c r="P242" s="850"/>
      <c r="Q242" s="850"/>
      <c r="R242" s="850"/>
      <c r="S242" s="850"/>
      <c r="T242" s="850"/>
      <c r="U242" s="850"/>
      <c r="V242" s="850"/>
      <c r="W242" s="850"/>
      <c r="X242" s="850"/>
    </row>
    <row r="243" spans="2:24" outlineLevel="2">
      <c r="B243" s="1100"/>
      <c r="C243" s="1092"/>
      <c r="D243" s="1092" t="s">
        <v>1185</v>
      </c>
      <c r="E243" s="1092" t="s">
        <v>87</v>
      </c>
      <c r="F243" s="1094" t="str">
        <f>_xlfn.XLOOKUP(E243,'A0.LS'!E:E,'A0.LS'!F:F)</f>
        <v>Chương trình phần mềm</v>
      </c>
      <c r="G243" s="1117"/>
      <c r="H243" s="1108"/>
      <c r="I243" s="1116"/>
      <c r="J243" s="1108"/>
      <c r="K243" s="1109">
        <f t="shared" ref="K243:K244" si="12">ROUND(SUM(G243:J243),0)</f>
        <v>0</v>
      </c>
      <c r="L243" s="1092" t="s">
        <v>1198</v>
      </c>
      <c r="M243" s="1092" t="s">
        <v>1199</v>
      </c>
      <c r="N243" s="1103"/>
      <c r="O243" s="1114"/>
      <c r="P243" s="850"/>
      <c r="Q243" s="850"/>
      <c r="R243" s="850"/>
      <c r="S243" s="850"/>
      <c r="T243" s="850"/>
      <c r="U243" s="850"/>
      <c r="V243" s="850"/>
      <c r="W243" s="850"/>
      <c r="X243" s="850"/>
    </row>
    <row r="244" spans="2:24" outlineLevel="2">
      <c r="B244" s="1100"/>
      <c r="C244" s="1092"/>
      <c r="D244" s="1092" t="s">
        <v>1186</v>
      </c>
      <c r="E244" s="1092" t="s">
        <v>108</v>
      </c>
      <c r="F244" s="1094" t="str">
        <f>_xlfn.XLOOKUP(E244,'A0.LS'!E:E,'A0.LS'!F:F)</f>
        <v>Xây dựng cơ bản</v>
      </c>
      <c r="G244" s="1118"/>
      <c r="H244" s="1096">
        <f>-G243</f>
        <v>0</v>
      </c>
      <c r="I244" s="1116"/>
      <c r="J244" s="1108"/>
      <c r="K244" s="1109">
        <f t="shared" si="12"/>
        <v>0</v>
      </c>
      <c r="L244" s="1092" t="s">
        <v>1198</v>
      </c>
      <c r="M244" s="1092" t="s">
        <v>1199</v>
      </c>
      <c r="N244" s="1103"/>
      <c r="O244" s="1114"/>
      <c r="P244" s="850"/>
      <c r="Q244" s="850"/>
      <c r="R244" s="850"/>
      <c r="S244" s="850"/>
      <c r="T244" s="850"/>
      <c r="U244" s="850"/>
      <c r="V244" s="850"/>
      <c r="W244" s="850"/>
      <c r="X244" s="850"/>
    </row>
    <row r="245" spans="2:24" ht="15" outlineLevel="2">
      <c r="B245" s="1115"/>
      <c r="C245" s="1103"/>
      <c r="D245" s="1103"/>
      <c r="E245" s="837"/>
      <c r="F245" s="1103"/>
      <c r="G245" s="1107"/>
      <c r="H245" s="1108"/>
      <c r="I245" s="1116"/>
      <c r="J245" s="1108"/>
      <c r="K245" s="1116"/>
      <c r="L245" s="1103"/>
      <c r="M245" s="1103"/>
      <c r="N245" s="1103"/>
      <c r="O245" s="1114"/>
      <c r="P245" s="850"/>
      <c r="Q245" s="850"/>
      <c r="R245" s="850"/>
      <c r="S245" s="850"/>
      <c r="T245" s="850"/>
      <c r="U245" s="850"/>
      <c r="V245" s="850"/>
      <c r="W245" s="850"/>
      <c r="X245" s="850"/>
    </row>
    <row r="246" spans="2:24" outlineLevel="2">
      <c r="B246" s="821">
        <v>43</v>
      </c>
      <c r="C246" s="822" t="s">
        <v>3331</v>
      </c>
      <c r="D246" s="1092"/>
      <c r="E246" s="1092"/>
      <c r="F246" s="1094"/>
      <c r="G246" s="1107"/>
      <c r="H246" s="1108"/>
      <c r="I246" s="1116"/>
      <c r="J246" s="1108"/>
      <c r="K246" s="1116"/>
      <c r="L246" s="1103"/>
      <c r="M246" s="1103"/>
      <c r="N246" s="1103" t="s">
        <v>3332</v>
      </c>
      <c r="O246" s="1114"/>
      <c r="P246" s="850"/>
      <c r="Q246" s="850"/>
      <c r="R246" s="850"/>
      <c r="S246" s="850"/>
      <c r="T246" s="850"/>
      <c r="U246" s="850"/>
      <c r="V246" s="850"/>
      <c r="W246" s="850"/>
      <c r="X246" s="850"/>
    </row>
    <row r="247" spans="2:24" outlineLevel="2">
      <c r="B247" s="1100"/>
      <c r="C247" s="1092"/>
      <c r="D247" s="1092"/>
      <c r="E247" s="1093"/>
      <c r="F247" s="1094"/>
      <c r="G247" s="1107"/>
      <c r="H247" s="1108"/>
      <c r="I247" s="1116"/>
      <c r="J247" s="1108"/>
      <c r="K247" s="1116"/>
      <c r="L247" s="1103"/>
      <c r="M247" s="1103"/>
      <c r="N247" s="1103"/>
      <c r="O247" s="1114"/>
      <c r="P247" s="850"/>
      <c r="Q247" s="850"/>
      <c r="R247" s="850"/>
      <c r="S247" s="850"/>
      <c r="T247" s="850"/>
      <c r="U247" s="850"/>
      <c r="V247" s="850"/>
      <c r="W247" s="850"/>
      <c r="X247" s="850"/>
    </row>
    <row r="248" spans="2:24" outlineLevel="2">
      <c r="B248" s="1100"/>
      <c r="C248" s="1092"/>
      <c r="D248" s="1092" t="s">
        <v>1185</v>
      </c>
      <c r="E248" s="1093" t="s">
        <v>269</v>
      </c>
      <c r="F248" s="1094" t="str">
        <f>_xlfn.XLOOKUP(E248,'A0.LS'!E:E,'A0.LS'!F:F)</f>
        <v>Chi phí khấu hao TSCĐ</v>
      </c>
      <c r="G248" s="1107"/>
      <c r="H248" s="1108"/>
      <c r="I248" s="1119"/>
      <c r="J248" s="1108"/>
      <c r="K248" s="1097">
        <f>ROUND(SUM(G248:J248),0)</f>
        <v>0</v>
      </c>
      <c r="L248" s="1092" t="s">
        <v>1198</v>
      </c>
      <c r="M248" s="1092" t="s">
        <v>1199</v>
      </c>
      <c r="N248" s="1103"/>
      <c r="O248" s="1114"/>
      <c r="P248" s="850"/>
      <c r="Q248" s="850"/>
      <c r="R248" s="850"/>
      <c r="S248" s="850"/>
      <c r="T248" s="850"/>
      <c r="U248" s="850"/>
      <c r="V248" s="850"/>
      <c r="W248" s="850"/>
      <c r="X248" s="850"/>
    </row>
    <row r="249" spans="2:24" outlineLevel="2">
      <c r="B249" s="1100"/>
      <c r="C249" s="1092"/>
      <c r="D249" s="1092" t="s">
        <v>1186</v>
      </c>
      <c r="E249" s="1092" t="s">
        <v>93</v>
      </c>
      <c r="F249" s="1094" t="str">
        <f>_xlfn.XLOOKUP(E249,'A0.LS'!E:E,'A0.LS'!F:F)</f>
        <v>Hao mòn TSCĐ vô hình</v>
      </c>
      <c r="G249" s="1107"/>
      <c r="H249" s="1108">
        <f>-I248</f>
        <v>0</v>
      </c>
      <c r="I249" s="1119"/>
      <c r="J249" s="1108"/>
      <c r="K249" s="1097">
        <f>ROUND(SUM(G249:J249),0)</f>
        <v>0</v>
      </c>
      <c r="L249" s="1092" t="s">
        <v>1198</v>
      </c>
      <c r="M249" s="1092" t="s">
        <v>1199</v>
      </c>
      <c r="N249" s="1103"/>
      <c r="O249" s="1114"/>
      <c r="P249" s="850"/>
      <c r="Q249" s="850"/>
      <c r="R249" s="850"/>
      <c r="S249" s="850"/>
      <c r="T249" s="850"/>
      <c r="U249" s="850"/>
      <c r="V249" s="850"/>
      <c r="W249" s="850"/>
      <c r="X249" s="850"/>
    </row>
    <row r="250" spans="2:24" ht="13.5" outlineLevel="1" thickBot="1">
      <c r="B250" s="1120"/>
      <c r="C250" s="1121"/>
      <c r="D250" s="1121"/>
      <c r="E250" s="1122"/>
      <c r="F250" s="1121"/>
      <c r="G250" s="1123"/>
      <c r="H250" s="1124"/>
      <c r="I250" s="1125"/>
      <c r="J250" s="1124"/>
      <c r="K250" s="1125"/>
      <c r="L250" s="1121"/>
      <c r="M250" s="1121"/>
      <c r="N250" s="1121"/>
      <c r="O250" s="1126"/>
      <c r="P250" s="850"/>
      <c r="Q250" s="850"/>
      <c r="R250" s="850"/>
      <c r="S250" s="850"/>
      <c r="T250" s="850"/>
      <c r="U250" s="850"/>
      <c r="V250" s="850"/>
      <c r="W250" s="850"/>
      <c r="X250" s="850"/>
    </row>
    <row r="251" spans="2:24">
      <c r="B251" s="1" t="s">
        <v>3059</v>
      </c>
      <c r="C251" s="850"/>
      <c r="D251" s="850"/>
      <c r="E251" s="850"/>
      <c r="F251" s="850"/>
      <c r="G251" s="1127"/>
      <c r="H251" s="1128"/>
      <c r="I251" s="1033"/>
      <c r="J251" s="1129"/>
      <c r="K251" s="1033"/>
      <c r="L251" s="850"/>
      <c r="M251" s="850"/>
      <c r="N251" s="850"/>
      <c r="O251" s="1130"/>
      <c r="P251" s="850"/>
      <c r="Q251" s="850"/>
      <c r="R251" s="850"/>
      <c r="S251" s="850"/>
      <c r="T251" s="850"/>
      <c r="U251" s="850"/>
      <c r="V251" s="850"/>
      <c r="W251" s="850"/>
      <c r="X251" s="850"/>
    </row>
    <row r="252" spans="2:24">
      <c r="B252" s="1131"/>
      <c r="C252" s="1132"/>
      <c r="D252" s="1132"/>
      <c r="E252" s="1132"/>
      <c r="F252" s="1133"/>
      <c r="G252" s="1134"/>
      <c r="H252" s="1135"/>
      <c r="I252" s="1136"/>
      <c r="J252" s="1137"/>
      <c r="K252" s="1136"/>
      <c r="L252" s="1132"/>
      <c r="M252" s="1132"/>
      <c r="N252" s="1132"/>
      <c r="O252" s="1138"/>
      <c r="P252" s="850"/>
      <c r="Q252" s="850"/>
      <c r="R252" s="850"/>
      <c r="S252" s="850"/>
      <c r="T252" s="850"/>
      <c r="U252" s="850"/>
      <c r="V252" s="850"/>
      <c r="W252" s="850"/>
      <c r="X252" s="850"/>
    </row>
    <row r="253" spans="2:24">
      <c r="B253" s="352">
        <v>41</v>
      </c>
      <c r="C253" s="353" t="s">
        <v>3322</v>
      </c>
      <c r="D253" s="1132"/>
      <c r="E253" s="1132"/>
      <c r="F253" s="1133"/>
      <c r="G253" s="1134"/>
      <c r="H253" s="1137"/>
      <c r="I253" s="1136"/>
      <c r="J253" s="1137"/>
      <c r="K253" s="1136"/>
      <c r="L253" s="1132"/>
      <c r="M253" s="1132"/>
      <c r="N253" s="1132"/>
      <c r="O253" s="1138"/>
      <c r="P253" s="850"/>
      <c r="Q253" s="850"/>
      <c r="R253" s="850"/>
      <c r="S253" s="850"/>
      <c r="T253" s="850"/>
      <c r="U253" s="850"/>
      <c r="V253" s="850"/>
      <c r="W253" s="850"/>
      <c r="X253" s="850"/>
    </row>
    <row r="254" spans="2:24">
      <c r="B254" s="1131"/>
      <c r="C254" s="1132"/>
      <c r="D254" s="1132"/>
      <c r="E254" s="1132"/>
      <c r="F254" s="1133"/>
      <c r="G254" s="1139"/>
      <c r="H254" s="1137"/>
      <c r="I254" s="1136"/>
      <c r="J254" s="1137"/>
      <c r="K254" s="1136"/>
      <c r="L254" s="1132"/>
      <c r="M254" s="1132"/>
      <c r="N254" s="1132"/>
      <c r="O254" s="1138"/>
      <c r="P254" s="850"/>
      <c r="Q254" s="850"/>
      <c r="R254" s="850"/>
      <c r="S254" s="850"/>
      <c r="T254" s="850"/>
      <c r="U254" s="850"/>
      <c r="V254" s="850"/>
      <c r="W254" s="850"/>
      <c r="X254" s="850"/>
    </row>
    <row r="255" spans="2:24">
      <c r="B255" s="1131"/>
      <c r="C255" s="1132"/>
      <c r="D255" s="1132" t="s">
        <v>1185</v>
      </c>
      <c r="E255" s="1132" t="s">
        <v>166</v>
      </c>
      <c r="F255" s="1133" t="s">
        <v>167</v>
      </c>
      <c r="G255" s="1139"/>
      <c r="H255" s="1137"/>
      <c r="I255" s="1136"/>
      <c r="J255" s="1137"/>
      <c r="K255" s="1136">
        <f t="shared" ref="K255:K256" si="13">ROUND(SUM(G255:J255),0)</f>
        <v>0</v>
      </c>
      <c r="L255" s="1132" t="s">
        <v>1198</v>
      </c>
      <c r="M255" s="1132" t="s">
        <v>1199</v>
      </c>
      <c r="N255" s="1132"/>
      <c r="O255" s="1138"/>
      <c r="P255" s="850"/>
      <c r="Q255" s="850"/>
      <c r="R255" s="850"/>
      <c r="S255" s="850"/>
      <c r="T255" s="850"/>
      <c r="U255" s="850"/>
      <c r="V255" s="850"/>
      <c r="W255" s="850"/>
      <c r="X255" s="850"/>
    </row>
    <row r="256" spans="2:24">
      <c r="B256" s="1131"/>
      <c r="C256" s="1132"/>
      <c r="D256" s="1132" t="s">
        <v>1186</v>
      </c>
      <c r="E256" s="1132" t="s">
        <v>1261</v>
      </c>
      <c r="F256" s="1133" t="s">
        <v>2367</v>
      </c>
      <c r="G256" s="1139"/>
      <c r="H256" s="1137"/>
      <c r="I256" s="1136"/>
      <c r="J256" s="1137"/>
      <c r="K256" s="1136">
        <f t="shared" si="13"/>
        <v>0</v>
      </c>
      <c r="L256" s="1132" t="s">
        <v>1198</v>
      </c>
      <c r="M256" s="1132" t="s">
        <v>1199</v>
      </c>
      <c r="N256" s="1132"/>
      <c r="O256" s="1138"/>
      <c r="P256" s="850"/>
      <c r="Q256" s="850"/>
      <c r="R256" s="850"/>
      <c r="S256" s="850"/>
      <c r="T256" s="850"/>
      <c r="U256" s="850"/>
      <c r="V256" s="850"/>
      <c r="W256" s="850"/>
      <c r="X256" s="850"/>
    </row>
    <row r="257" spans="2:24">
      <c r="B257" s="1131"/>
      <c r="C257" s="1132"/>
      <c r="D257" s="1132"/>
      <c r="E257" s="1132"/>
      <c r="F257" s="1133"/>
      <c r="G257" s="1139"/>
      <c r="H257" s="1137"/>
      <c r="I257" s="1136"/>
      <c r="J257" s="1137"/>
      <c r="K257" s="1136"/>
      <c r="L257" s="1132"/>
      <c r="M257" s="1132"/>
      <c r="N257" s="1132"/>
      <c r="O257" s="1138"/>
      <c r="P257" s="850"/>
      <c r="Q257" s="850"/>
      <c r="R257" s="850"/>
      <c r="S257" s="850"/>
      <c r="T257" s="850"/>
      <c r="U257" s="850"/>
      <c r="V257" s="850"/>
      <c r="W257" s="850"/>
      <c r="X257" s="850"/>
    </row>
    <row r="258" spans="2:24">
      <c r="B258" s="1131"/>
      <c r="C258" s="1132"/>
      <c r="D258" s="1132"/>
      <c r="E258" s="1132"/>
      <c r="F258" s="1133"/>
      <c r="G258" s="1139"/>
      <c r="H258" s="1137"/>
      <c r="I258" s="1136"/>
      <c r="J258" s="1137"/>
      <c r="K258" s="1136"/>
      <c r="L258" s="1132"/>
      <c r="M258" s="1132"/>
      <c r="N258" s="1132"/>
      <c r="O258" s="1138"/>
      <c r="P258" s="850"/>
      <c r="Q258" s="850" t="s">
        <v>3333</v>
      </c>
      <c r="R258" s="1033">
        <v>21638000</v>
      </c>
      <c r="S258" s="850"/>
      <c r="T258" s="850"/>
      <c r="U258" s="850"/>
      <c r="V258" s="850"/>
      <c r="W258" s="850"/>
      <c r="X258" s="850"/>
    </row>
    <row r="259" spans="2:24">
      <c r="B259" s="352">
        <v>42</v>
      </c>
      <c r="C259" s="353" t="s">
        <v>3334</v>
      </c>
      <c r="D259" s="1132"/>
      <c r="E259" s="1132"/>
      <c r="F259" s="1133"/>
      <c r="G259" s="1139"/>
      <c r="H259" s="1137"/>
      <c r="I259" s="1136"/>
      <c r="J259" s="1137"/>
      <c r="K259" s="1136"/>
      <c r="L259" s="1132"/>
      <c r="M259" s="1132"/>
      <c r="N259" s="1132"/>
      <c r="O259" s="1138"/>
      <c r="P259" s="850"/>
      <c r="Q259" s="850" t="s">
        <v>3335</v>
      </c>
      <c r="R259" s="857"/>
      <c r="S259" s="850"/>
      <c r="T259" s="850"/>
      <c r="U259" s="850"/>
      <c r="V259" s="850"/>
      <c r="W259" s="850"/>
      <c r="X259" s="850"/>
    </row>
    <row r="260" spans="2:24">
      <c r="B260" s="1131"/>
      <c r="C260" s="1132"/>
      <c r="D260" s="1132" t="s">
        <v>1185</v>
      </c>
      <c r="E260" s="1132" t="s">
        <v>132</v>
      </c>
      <c r="F260" s="1133" t="s">
        <v>3336</v>
      </c>
      <c r="G260" s="1139"/>
      <c r="H260" s="1137"/>
      <c r="I260" s="1136"/>
      <c r="J260" s="1137"/>
      <c r="K260" s="1136">
        <f>ROUND(SUM(G260:J260),0)</f>
        <v>0</v>
      </c>
      <c r="L260" s="1132" t="s">
        <v>1198</v>
      </c>
      <c r="M260" s="1132" t="s">
        <v>1199</v>
      </c>
      <c r="N260" s="1132"/>
      <c r="O260" s="1140">
        <f>G260+G262</f>
        <v>0</v>
      </c>
      <c r="P260" s="850"/>
      <c r="Q260" s="850"/>
      <c r="R260" s="850"/>
      <c r="S260" s="850"/>
      <c r="T260" s="850"/>
      <c r="U260" s="850"/>
      <c r="V260" s="850"/>
      <c r="W260" s="850"/>
      <c r="X260" s="850"/>
    </row>
    <row r="261" spans="2:24">
      <c r="B261" s="1131"/>
      <c r="C261" s="1132"/>
      <c r="D261" s="1132" t="s">
        <v>1186</v>
      </c>
      <c r="E261" s="1132" t="s">
        <v>51</v>
      </c>
      <c r="F261" s="1133" t="s">
        <v>3336</v>
      </c>
      <c r="G261" s="1139"/>
      <c r="H261" s="1137"/>
      <c r="I261" s="1136"/>
      <c r="J261" s="1137"/>
      <c r="K261" s="1136">
        <f>ROUND(SUM(G261:J261),0)</f>
        <v>0</v>
      </c>
      <c r="L261" s="1132" t="s">
        <v>1198</v>
      </c>
      <c r="M261" s="1132" t="s">
        <v>1199</v>
      </c>
      <c r="N261" s="1132"/>
      <c r="O261" s="1138"/>
      <c r="P261" s="850"/>
      <c r="Q261" s="850"/>
      <c r="R261" s="850"/>
      <c r="S261" s="850"/>
      <c r="T261" s="850"/>
      <c r="U261" s="850"/>
      <c r="V261" s="850"/>
      <c r="W261" s="850"/>
      <c r="X261" s="850"/>
    </row>
    <row r="262" spans="2:24">
      <c r="B262" s="1131"/>
      <c r="C262" s="1132"/>
      <c r="D262" s="1132" t="s">
        <v>1185</v>
      </c>
      <c r="E262" s="1132" t="s">
        <v>132</v>
      </c>
      <c r="F262" s="1133" t="s">
        <v>3337</v>
      </c>
      <c r="G262" s="1139"/>
      <c r="H262" s="1137"/>
      <c r="I262" s="1136"/>
      <c r="J262" s="1137"/>
      <c r="K262" s="1136">
        <f>ROUND(SUM(G262:J262),0)</f>
        <v>0</v>
      </c>
      <c r="L262" s="1132" t="s">
        <v>1198</v>
      </c>
      <c r="M262" s="1132" t="s">
        <v>1199</v>
      </c>
      <c r="N262" s="1132"/>
      <c r="O262" s="1138"/>
      <c r="P262" s="850"/>
      <c r="Q262" s="850"/>
      <c r="R262" s="850"/>
      <c r="S262" s="850"/>
      <c r="T262" s="850"/>
      <c r="U262" s="850"/>
      <c r="V262" s="850"/>
      <c r="W262" s="850"/>
      <c r="X262" s="850"/>
    </row>
    <row r="263" spans="2:24">
      <c r="B263" s="1131"/>
      <c r="C263" s="1132"/>
      <c r="D263" s="1132" t="s">
        <v>1186</v>
      </c>
      <c r="E263" s="1132" t="s">
        <v>51</v>
      </c>
      <c r="F263" s="1133" t="s">
        <v>3337</v>
      </c>
      <c r="G263" s="1139"/>
      <c r="H263" s="1137"/>
      <c r="I263" s="1136"/>
      <c r="J263" s="1137"/>
      <c r="K263" s="1136">
        <f>ROUND(SUM(G263:J263),0)</f>
        <v>0</v>
      </c>
      <c r="L263" s="1132" t="s">
        <v>1198</v>
      </c>
      <c r="M263" s="1132" t="s">
        <v>1199</v>
      </c>
      <c r="N263" s="1132"/>
      <c r="O263" s="1138"/>
      <c r="P263" s="850"/>
      <c r="Q263" s="850"/>
      <c r="R263" s="850"/>
      <c r="S263" s="850"/>
      <c r="T263" s="850"/>
      <c r="U263" s="850"/>
      <c r="V263" s="850"/>
      <c r="W263" s="850"/>
      <c r="X263" s="850"/>
    </row>
    <row r="264" spans="2:24">
      <c r="B264" s="1131"/>
      <c r="C264" s="1132"/>
      <c r="D264" s="1132"/>
      <c r="E264" s="1132"/>
      <c r="F264" s="1133"/>
      <c r="G264" s="1139"/>
      <c r="H264" s="1137"/>
      <c r="I264" s="1136"/>
      <c r="J264" s="1137"/>
      <c r="K264" s="1136"/>
      <c r="L264" s="1132"/>
      <c r="M264" s="1132"/>
      <c r="N264" s="1132"/>
      <c r="O264" s="1138"/>
      <c r="P264" s="850"/>
      <c r="Q264" s="850"/>
      <c r="R264" s="850"/>
      <c r="S264" s="850"/>
      <c r="T264" s="850"/>
      <c r="U264" s="850"/>
      <c r="V264" s="850"/>
      <c r="W264" s="850"/>
      <c r="X264" s="850"/>
    </row>
    <row r="265" spans="2:24">
      <c r="B265" s="352">
        <v>43</v>
      </c>
      <c r="C265" s="353" t="s">
        <v>3338</v>
      </c>
      <c r="D265" s="1132"/>
      <c r="E265" s="1132"/>
      <c r="F265" s="1133"/>
      <c r="G265" s="1139"/>
      <c r="H265" s="1137"/>
      <c r="I265" s="1136"/>
      <c r="J265" s="1137"/>
      <c r="K265" s="1136"/>
      <c r="L265" s="1132"/>
      <c r="M265" s="1132"/>
      <c r="N265" s="1132"/>
      <c r="O265" s="1138"/>
      <c r="P265" s="850"/>
      <c r="Q265" s="850"/>
      <c r="R265" s="850"/>
      <c r="S265" s="850"/>
      <c r="T265" s="850"/>
      <c r="U265" s="850"/>
      <c r="V265" s="850"/>
      <c r="W265" s="850"/>
      <c r="X265" s="850"/>
    </row>
    <row r="266" spans="2:24">
      <c r="B266" s="1131"/>
      <c r="C266" s="1132"/>
      <c r="D266" s="1132" t="s">
        <v>1185</v>
      </c>
      <c r="E266" s="1141" t="s">
        <v>249</v>
      </c>
      <c r="F266" s="1133" t="str">
        <f>_xlfn.XLOOKUP(E266,'A0.LS'!E:E,'A0.LS'!F:F)</f>
        <v>Doanh thu tài chính: Lãi đã nhận</v>
      </c>
      <c r="G266" s="1139"/>
      <c r="H266" s="1137"/>
      <c r="I266" s="1136"/>
      <c r="J266" s="1137"/>
      <c r="K266" s="1136">
        <f t="shared" ref="K266:K267" si="14">ROUND(SUM(G266:J266),0)</f>
        <v>0</v>
      </c>
      <c r="L266" s="1132" t="s">
        <v>1198</v>
      </c>
      <c r="M266" s="1132" t="s">
        <v>1199</v>
      </c>
      <c r="N266" s="1132" t="s">
        <v>3339</v>
      </c>
      <c r="O266" s="1138"/>
      <c r="P266" s="850"/>
      <c r="Q266" s="850"/>
      <c r="R266" s="850"/>
      <c r="S266" s="850"/>
      <c r="T266" s="850"/>
      <c r="U266" s="850"/>
      <c r="V266" s="850"/>
      <c r="W266" s="850"/>
      <c r="X266" s="850"/>
    </row>
    <row r="267" spans="2:24">
      <c r="B267" s="1131"/>
      <c r="C267" s="1132"/>
      <c r="D267" s="1132" t="s">
        <v>1186</v>
      </c>
      <c r="E267" s="1141" t="s">
        <v>2481</v>
      </c>
      <c r="F267" s="1133" t="str">
        <f>_xlfn.XLOOKUP(E267,'A0.LS'!E:E,'A0.LS'!F:F)</f>
        <v>Doanh thu tài chính: Lãi cổ tức</v>
      </c>
      <c r="G267" s="1139"/>
      <c r="H267" s="1137"/>
      <c r="I267" s="1136"/>
      <c r="J267" s="1137"/>
      <c r="K267" s="1136">
        <f t="shared" si="14"/>
        <v>0</v>
      </c>
      <c r="L267" s="1132" t="s">
        <v>1198</v>
      </c>
      <c r="M267" s="1132" t="s">
        <v>1199</v>
      </c>
      <c r="N267" s="1132"/>
      <c r="O267" s="1138"/>
      <c r="P267" s="850"/>
      <c r="Q267" s="850"/>
      <c r="R267" s="850"/>
      <c r="S267" s="850"/>
      <c r="T267" s="850"/>
      <c r="U267" s="850"/>
      <c r="V267" s="850"/>
      <c r="W267" s="850"/>
      <c r="X267" s="850"/>
    </row>
    <row r="268" spans="2:24">
      <c r="B268" s="1131"/>
      <c r="C268" s="1132"/>
      <c r="D268" s="1132"/>
      <c r="E268" s="1132"/>
      <c r="F268" s="1133"/>
      <c r="G268" s="1139"/>
      <c r="H268" s="1137"/>
      <c r="I268" s="1136"/>
      <c r="J268" s="1137"/>
      <c r="K268" s="1136"/>
      <c r="L268" s="1132"/>
      <c r="M268" s="1132"/>
      <c r="N268" s="1132"/>
      <c r="O268" s="1138"/>
      <c r="P268" s="850"/>
      <c r="Q268" s="850"/>
      <c r="R268" s="850"/>
      <c r="S268" s="850"/>
      <c r="T268" s="850"/>
      <c r="U268" s="850"/>
      <c r="V268" s="850"/>
      <c r="W268" s="850"/>
      <c r="X268" s="850"/>
    </row>
    <row r="269" spans="2:24">
      <c r="B269" s="352">
        <v>44</v>
      </c>
      <c r="C269" s="353" t="s">
        <v>3340</v>
      </c>
      <c r="D269" s="1132"/>
      <c r="E269" s="1132"/>
      <c r="F269" s="1133"/>
      <c r="G269" s="1139"/>
      <c r="H269" s="1137"/>
      <c r="I269" s="1136"/>
      <c r="J269" s="1137"/>
      <c r="K269" s="1136"/>
      <c r="L269" s="1132"/>
      <c r="M269" s="1132"/>
      <c r="N269" s="1132"/>
      <c r="O269" s="1138"/>
      <c r="P269" s="850"/>
      <c r="Q269" s="850"/>
      <c r="R269" s="850"/>
      <c r="S269" s="850"/>
      <c r="T269" s="850"/>
      <c r="U269" s="850"/>
      <c r="V269" s="850"/>
      <c r="W269" s="850"/>
      <c r="X269" s="850"/>
    </row>
    <row r="270" spans="2:24">
      <c r="B270" s="1131"/>
      <c r="C270" s="1132"/>
      <c r="D270" s="1132" t="s">
        <v>1185</v>
      </c>
      <c r="E270" s="1141" t="s">
        <v>442</v>
      </c>
      <c r="F270" s="1133" t="str">
        <f>_xlfn.XLOOKUP(E270,'A0.LS'!E:E,'A0.LS'!F:F)</f>
        <v>Doanh thu khác</v>
      </c>
      <c r="G270" s="1139"/>
      <c r="H270" s="1137"/>
      <c r="I270" s="1136"/>
      <c r="J270" s="1137"/>
      <c r="K270" s="1136">
        <f t="shared" ref="K270:K271" si="15">ROUND(SUM(G270:J270),0)</f>
        <v>0</v>
      </c>
      <c r="L270" s="1132" t="s">
        <v>1198</v>
      </c>
      <c r="M270" s="1132" t="s">
        <v>1199</v>
      </c>
      <c r="N270" s="1132"/>
      <c r="O270" s="1138"/>
      <c r="P270" s="850"/>
      <c r="Q270" s="850"/>
      <c r="R270" s="850"/>
      <c r="S270" s="850"/>
      <c r="T270" s="850"/>
      <c r="U270" s="850"/>
      <c r="V270" s="850"/>
      <c r="W270" s="850"/>
      <c r="X270" s="850"/>
    </row>
    <row r="271" spans="2:24">
      <c r="B271" s="1131"/>
      <c r="C271" s="1132"/>
      <c r="D271" s="1132" t="s">
        <v>1186</v>
      </c>
      <c r="E271" s="1141" t="s">
        <v>444</v>
      </c>
      <c r="F271" s="1133" t="str">
        <f>_xlfn.XLOOKUP(E271,'A0.LS'!E:E,'A0.LS'!F:F)</f>
        <v>Chi phí khác</v>
      </c>
      <c r="G271" s="1139"/>
      <c r="H271" s="1137"/>
      <c r="I271" s="1136"/>
      <c r="J271" s="1137"/>
      <c r="K271" s="1136">
        <f t="shared" si="15"/>
        <v>0</v>
      </c>
      <c r="L271" s="1132" t="s">
        <v>1198</v>
      </c>
      <c r="M271" s="1132" t="s">
        <v>1199</v>
      </c>
      <c r="N271" s="1132"/>
      <c r="O271" s="1138"/>
      <c r="P271" s="850"/>
      <c r="Q271" s="850"/>
      <c r="R271" s="850"/>
      <c r="S271" s="850"/>
      <c r="T271" s="850"/>
      <c r="U271" s="850"/>
      <c r="V271" s="850"/>
      <c r="W271" s="850"/>
      <c r="X271" s="850"/>
    </row>
    <row r="272" spans="2:24" ht="15">
      <c r="B272" s="1131"/>
      <c r="C272" s="1132"/>
      <c r="D272" s="1132"/>
      <c r="E272" s="354"/>
      <c r="F272" s="1133"/>
      <c r="G272" s="1139"/>
      <c r="H272" s="1137"/>
      <c r="I272" s="1136"/>
      <c r="J272" s="1137"/>
      <c r="K272" s="1136"/>
      <c r="L272" s="1132"/>
      <c r="M272" s="1132"/>
      <c r="N272" s="1132"/>
      <c r="O272" s="1138"/>
      <c r="P272" s="850"/>
      <c r="Q272" s="850"/>
      <c r="R272" s="850"/>
      <c r="S272" s="850"/>
      <c r="T272" s="850"/>
      <c r="U272" s="850"/>
      <c r="V272" s="850"/>
      <c r="W272" s="850"/>
      <c r="X272" s="850"/>
    </row>
    <row r="273" spans="2:24" ht="15">
      <c r="B273" s="1131"/>
      <c r="C273" s="1132"/>
      <c r="D273" s="1132"/>
      <c r="E273" s="354"/>
      <c r="F273" s="1133"/>
      <c r="G273" s="1142"/>
      <c r="H273" s="1143"/>
      <c r="I273" s="1144"/>
      <c r="J273" s="1143"/>
      <c r="K273" s="1144"/>
      <c r="L273" s="1132"/>
      <c r="M273" s="1132"/>
      <c r="N273" s="1132"/>
      <c r="O273" s="1138"/>
      <c r="P273" s="850"/>
      <c r="Q273" s="850"/>
      <c r="R273" s="850"/>
      <c r="S273" s="850"/>
      <c r="T273" s="850"/>
      <c r="U273" s="850"/>
      <c r="V273" s="850"/>
      <c r="W273" s="850"/>
      <c r="X273" s="850"/>
    </row>
    <row r="274" spans="2:24" ht="15">
      <c r="B274" s="352">
        <v>45</v>
      </c>
      <c r="C274" s="353" t="s">
        <v>3341</v>
      </c>
      <c r="D274" s="1132"/>
      <c r="E274" s="354"/>
      <c r="F274" s="1133"/>
      <c r="G274" s="1142"/>
      <c r="H274" s="1143"/>
      <c r="I274" s="1144"/>
      <c r="J274" s="1143"/>
      <c r="K274" s="1144"/>
      <c r="L274" s="1132"/>
      <c r="M274" s="1132"/>
      <c r="N274" s="1132"/>
      <c r="O274" s="1138"/>
      <c r="P274" s="850"/>
      <c r="Q274" s="850"/>
      <c r="R274" s="850"/>
      <c r="S274" s="850"/>
      <c r="T274" s="850"/>
      <c r="U274" s="850"/>
      <c r="V274" s="850"/>
      <c r="W274" s="850"/>
      <c r="X274" s="850"/>
    </row>
    <row r="275" spans="2:24" ht="15">
      <c r="B275" s="1131"/>
      <c r="C275" s="1132"/>
      <c r="D275" s="1132" t="s">
        <v>1185</v>
      </c>
      <c r="E275" s="355" t="s">
        <v>444</v>
      </c>
      <c r="F275" s="1133" t="str">
        <f>_xlfn.XLOOKUP(E275,'A0.LS'!E:E,'A0.LS'!F:F)</f>
        <v>Chi phí khác</v>
      </c>
      <c r="G275" s="1142"/>
      <c r="H275" s="1143"/>
      <c r="I275" s="1144"/>
      <c r="J275" s="1143"/>
      <c r="K275" s="1144">
        <f t="shared" ref="K275:K276" si="16">ROUND(SUM(G275:J275),0)</f>
        <v>0</v>
      </c>
      <c r="L275" s="1132" t="s">
        <v>1198</v>
      </c>
      <c r="M275" s="1132" t="s">
        <v>1199</v>
      </c>
      <c r="N275" s="353" t="s">
        <v>3342</v>
      </c>
      <c r="O275" s="392"/>
      <c r="P275" s="850"/>
      <c r="Q275" s="850"/>
      <c r="R275" s="850"/>
      <c r="S275" s="850"/>
      <c r="T275" s="850"/>
      <c r="U275" s="850"/>
      <c r="V275" s="850"/>
      <c r="W275" s="850"/>
      <c r="X275" s="850"/>
    </row>
    <row r="276" spans="2:24" ht="15">
      <c r="B276" s="1131"/>
      <c r="C276" s="1132"/>
      <c r="D276" s="1145" t="s">
        <v>1186</v>
      </c>
      <c r="E276" s="393" t="s">
        <v>442</v>
      </c>
      <c r="F276" s="1133" t="str">
        <f>_xlfn.XLOOKUP(E276,'A0.LS'!E:E,'A0.LS'!F:F)</f>
        <v>Doanh thu khác</v>
      </c>
      <c r="G276" s="1134"/>
      <c r="H276" s="1135"/>
      <c r="I276" s="1146"/>
      <c r="J276" s="1135"/>
      <c r="K276" s="1144">
        <f t="shared" si="16"/>
        <v>0</v>
      </c>
      <c r="L276" s="1132" t="s">
        <v>1198</v>
      </c>
      <c r="M276" s="1132" t="s">
        <v>1199</v>
      </c>
      <c r="N276" s="1132"/>
      <c r="O276" s="1138"/>
      <c r="P276" s="850"/>
      <c r="Q276" s="850"/>
      <c r="R276" s="850"/>
      <c r="S276" s="850"/>
      <c r="T276" s="850"/>
      <c r="U276" s="850"/>
      <c r="V276" s="850"/>
      <c r="W276" s="850"/>
      <c r="X276" s="850"/>
    </row>
    <row r="277" spans="2:24" ht="15">
      <c r="B277" s="1147"/>
      <c r="C277" s="1145"/>
      <c r="D277" s="1145" t="s">
        <v>1186</v>
      </c>
      <c r="E277" s="393" t="s">
        <v>64</v>
      </c>
      <c r="F277" s="1133" t="str">
        <f>_xlfn.XLOOKUP(E277,'A0.LS'!E:E,'A0.LS'!F:F)</f>
        <v>Chênh lệch NAV CCQ</v>
      </c>
      <c r="G277" s="1134"/>
      <c r="H277" s="1135"/>
      <c r="I277" s="1146"/>
      <c r="J277" s="1135"/>
      <c r="K277" s="1144">
        <f t="shared" ref="K277" si="17">ROUND(SUM(G277:J277),0)</f>
        <v>0</v>
      </c>
      <c r="L277" s="1132" t="s">
        <v>1198</v>
      </c>
      <c r="M277" s="1132" t="s">
        <v>1199</v>
      </c>
      <c r="N277" s="1145"/>
      <c r="O277" s="1148"/>
      <c r="P277" s="850"/>
      <c r="Q277" s="857" t="e">
        <f>SUM(#REF!)</f>
        <v>#REF!</v>
      </c>
      <c r="R277" s="850"/>
      <c r="S277" s="850"/>
      <c r="T277" s="850"/>
      <c r="U277" s="850"/>
      <c r="V277" s="850"/>
      <c r="W277" s="850"/>
      <c r="X277" s="850"/>
    </row>
    <row r="278" spans="2:24" ht="15">
      <c r="B278" s="1147"/>
      <c r="C278" s="1145"/>
      <c r="D278" s="1145"/>
      <c r="E278" s="393"/>
      <c r="F278" s="1133"/>
      <c r="G278" s="1134"/>
      <c r="H278" s="1135"/>
      <c r="I278" s="1146"/>
      <c r="J278" s="1135"/>
      <c r="K278" s="1144"/>
      <c r="L278" s="1132"/>
      <c r="M278" s="1132"/>
      <c r="N278" s="1145"/>
      <c r="O278" s="1148"/>
      <c r="P278" s="850"/>
      <c r="Q278" s="850"/>
      <c r="R278" s="850"/>
      <c r="S278" s="850"/>
      <c r="T278" s="850"/>
      <c r="U278" s="850"/>
      <c r="V278" s="850"/>
      <c r="W278" s="850"/>
      <c r="X278" s="850"/>
    </row>
    <row r="279" spans="2:24" ht="15">
      <c r="B279" s="352">
        <v>46</v>
      </c>
      <c r="C279" s="395" t="s">
        <v>3327</v>
      </c>
      <c r="D279" s="1145"/>
      <c r="E279" s="396"/>
      <c r="F279" s="1149"/>
      <c r="G279" s="1134"/>
      <c r="H279" s="1135"/>
      <c r="I279" s="1146"/>
      <c r="J279" s="1135"/>
      <c r="K279" s="1146"/>
      <c r="L279" s="1145"/>
      <c r="M279" s="1145"/>
      <c r="N279" s="1145"/>
      <c r="O279" s="1148"/>
      <c r="P279" s="850"/>
      <c r="Q279" s="850"/>
      <c r="R279" s="850"/>
      <c r="S279" s="850"/>
      <c r="T279" s="850"/>
      <c r="U279" s="850"/>
      <c r="V279" s="850"/>
      <c r="W279" s="850"/>
      <c r="X279" s="850"/>
    </row>
    <row r="280" spans="2:24" ht="15">
      <c r="B280" s="394"/>
      <c r="C280" s="1145"/>
      <c r="D280" s="1145" t="s">
        <v>1185</v>
      </c>
      <c r="E280" s="393" t="s">
        <v>442</v>
      </c>
      <c r="F280" s="1133" t="str">
        <f>_xlfn.XLOOKUP(E280,'A0.LS'!E:E,'A0.LS'!F:F)</f>
        <v>Doanh thu khác</v>
      </c>
      <c r="G280" s="1134"/>
      <c r="H280" s="1135"/>
      <c r="I280" s="1146"/>
      <c r="J280" s="1135"/>
      <c r="K280" s="1144">
        <f t="shared" ref="K280:K281" si="18">ROUND(SUM(G280:J280),0)</f>
        <v>0</v>
      </c>
      <c r="L280" s="1132" t="s">
        <v>1198</v>
      </c>
      <c r="M280" s="1132" t="s">
        <v>1199</v>
      </c>
      <c r="N280" s="1145"/>
      <c r="O280" s="1148"/>
      <c r="P280" s="850"/>
      <c r="Q280" s="850"/>
      <c r="R280" s="850"/>
      <c r="S280" s="850"/>
      <c r="T280" s="850"/>
      <c r="U280" s="850"/>
      <c r="V280" s="850"/>
      <c r="W280" s="850"/>
      <c r="X280" s="850"/>
    </row>
    <row r="281" spans="2:24" ht="15">
      <c r="B281" s="1147"/>
      <c r="C281" s="1145"/>
      <c r="D281" s="1145" t="s">
        <v>1186</v>
      </c>
      <c r="E281" s="393" t="s">
        <v>444</v>
      </c>
      <c r="F281" s="1133" t="str">
        <f>_xlfn.XLOOKUP(E281,'A0.LS'!E:E,'A0.LS'!F:F)</f>
        <v>Chi phí khác</v>
      </c>
      <c r="G281" s="1134"/>
      <c r="H281" s="1135"/>
      <c r="I281" s="1146"/>
      <c r="J281" s="1135"/>
      <c r="K281" s="1144">
        <f t="shared" si="18"/>
        <v>0</v>
      </c>
      <c r="L281" s="1132" t="s">
        <v>1198</v>
      </c>
      <c r="M281" s="1132" t="s">
        <v>1199</v>
      </c>
      <c r="N281" s="1145"/>
      <c r="O281" s="1148"/>
      <c r="P281" s="850"/>
      <c r="Q281" s="850"/>
      <c r="R281" s="850"/>
      <c r="S281" s="850"/>
      <c r="T281" s="850"/>
      <c r="U281" s="850"/>
      <c r="V281" s="850"/>
      <c r="W281" s="850"/>
      <c r="X281" s="850"/>
    </row>
    <row r="282" spans="2:24" ht="15">
      <c r="B282" s="1147"/>
      <c r="C282" s="1145"/>
      <c r="D282" s="1145"/>
      <c r="E282" s="393"/>
      <c r="F282" s="1149"/>
      <c r="G282" s="1134"/>
      <c r="H282" s="1135"/>
      <c r="I282" s="1146"/>
      <c r="J282" s="1135"/>
      <c r="K282" s="1146"/>
      <c r="L282" s="1145"/>
      <c r="M282" s="1145"/>
      <c r="N282" s="1145"/>
      <c r="O282" s="1148"/>
      <c r="P282" s="850"/>
      <c r="Q282" s="850"/>
      <c r="R282" s="850"/>
      <c r="S282" s="850"/>
      <c r="T282" s="850"/>
      <c r="U282" s="850"/>
      <c r="V282" s="850"/>
      <c r="W282" s="850"/>
      <c r="X282" s="850"/>
    </row>
    <row r="283" spans="2:24" ht="15">
      <c r="B283" s="352">
        <v>47</v>
      </c>
      <c r="C283" s="395" t="s">
        <v>3343</v>
      </c>
      <c r="D283" s="1145"/>
      <c r="E283" s="393"/>
      <c r="F283" s="1149"/>
      <c r="G283" s="1134"/>
      <c r="H283" s="1135"/>
      <c r="I283" s="1146"/>
      <c r="J283" s="1135"/>
      <c r="K283" s="1146"/>
      <c r="L283" s="1145"/>
      <c r="M283" s="1145"/>
      <c r="N283" s="1145"/>
      <c r="O283" s="1148"/>
      <c r="P283" s="850"/>
      <c r="Q283" s="850"/>
      <c r="R283" s="850"/>
      <c r="S283" s="850"/>
      <c r="T283" s="850"/>
      <c r="U283" s="850"/>
      <c r="V283" s="850"/>
      <c r="W283" s="850"/>
      <c r="X283" s="850"/>
    </row>
    <row r="284" spans="2:24" ht="15">
      <c r="B284" s="1147"/>
      <c r="C284" s="1145"/>
      <c r="D284" s="1145" t="s">
        <v>1185</v>
      </c>
      <c r="E284" s="393" t="s">
        <v>442</v>
      </c>
      <c r="F284" s="1133" t="str">
        <f>_xlfn.XLOOKUP(E284,'A0.LS'!E:E,'A0.LS'!F:F)</f>
        <v>Doanh thu khác</v>
      </c>
      <c r="G284" s="1134"/>
      <c r="H284" s="1135"/>
      <c r="I284" s="1146"/>
      <c r="J284" s="1135"/>
      <c r="K284" s="1144">
        <f t="shared" ref="K284:K285" si="19">ROUND(SUM(G284:J284),0)</f>
        <v>0</v>
      </c>
      <c r="L284" s="1132" t="s">
        <v>1198</v>
      </c>
      <c r="M284" s="1132" t="s">
        <v>1199</v>
      </c>
      <c r="N284" s="1145"/>
      <c r="O284" s="1148"/>
      <c r="P284" s="850"/>
      <c r="Q284" s="850"/>
      <c r="R284" s="850"/>
      <c r="S284" s="850"/>
      <c r="T284" s="850"/>
      <c r="U284" s="850"/>
      <c r="V284" s="850"/>
      <c r="W284" s="850"/>
      <c r="X284" s="850"/>
    </row>
    <row r="285" spans="2:24" ht="15">
      <c r="B285" s="1147"/>
      <c r="C285" s="1145"/>
      <c r="D285" s="1145" t="s">
        <v>1186</v>
      </c>
      <c r="E285" s="393" t="s">
        <v>64</v>
      </c>
      <c r="F285" s="1133" t="str">
        <f>_xlfn.XLOOKUP(E285,'A0.LS'!E:E,'A0.LS'!F:F)</f>
        <v>Chênh lệch NAV CCQ</v>
      </c>
      <c r="G285" s="1134"/>
      <c r="H285" s="1135"/>
      <c r="I285" s="1146"/>
      <c r="J285" s="1135"/>
      <c r="K285" s="1144">
        <f t="shared" si="19"/>
        <v>0</v>
      </c>
      <c r="L285" s="1132" t="s">
        <v>1198</v>
      </c>
      <c r="M285" s="1132" t="s">
        <v>1199</v>
      </c>
      <c r="N285" s="1145"/>
      <c r="O285" s="1148"/>
      <c r="P285" s="850"/>
      <c r="Q285" s="850"/>
      <c r="R285" s="850"/>
      <c r="S285" s="850"/>
      <c r="T285" s="850"/>
      <c r="U285" s="850"/>
      <c r="V285" s="850"/>
      <c r="W285" s="850"/>
      <c r="X285" s="850"/>
    </row>
    <row r="286" spans="2:24" ht="15">
      <c r="B286" s="1147"/>
      <c r="C286" s="1145"/>
      <c r="D286" s="1145"/>
      <c r="E286" s="393"/>
      <c r="F286" s="1133"/>
      <c r="G286" s="1134"/>
      <c r="H286" s="1135"/>
      <c r="I286" s="1146"/>
      <c r="J286" s="1135"/>
      <c r="K286" s="1146"/>
      <c r="L286" s="1145"/>
      <c r="M286" s="1145"/>
      <c r="N286" s="1145"/>
      <c r="O286" s="1148"/>
      <c r="P286" s="850"/>
      <c r="Q286" s="850"/>
      <c r="R286" s="850"/>
      <c r="S286" s="850"/>
      <c r="T286" s="850"/>
      <c r="U286" s="850"/>
      <c r="V286" s="850"/>
      <c r="W286" s="850"/>
      <c r="X286" s="850"/>
    </row>
    <row r="287" spans="2:24" ht="15">
      <c r="B287" s="352">
        <v>48</v>
      </c>
      <c r="C287" s="395" t="s">
        <v>3344</v>
      </c>
      <c r="D287" s="1145"/>
      <c r="E287" s="393"/>
      <c r="F287" s="1149"/>
      <c r="G287" s="1134"/>
      <c r="H287" s="1135"/>
      <c r="I287" s="1146"/>
      <c r="J287" s="1135"/>
      <c r="K287" s="1146"/>
      <c r="L287" s="1145"/>
      <c r="M287" s="1145"/>
      <c r="N287" s="1145"/>
      <c r="O287" s="1148"/>
      <c r="P287" s="850"/>
      <c r="Q287" s="850"/>
      <c r="R287" s="850"/>
      <c r="S287" s="850"/>
      <c r="T287" s="850"/>
      <c r="U287" s="850"/>
      <c r="V287" s="850"/>
      <c r="W287" s="850"/>
      <c r="X287" s="850"/>
    </row>
    <row r="288" spans="2:24" ht="15">
      <c r="B288" s="394"/>
      <c r="C288" s="1145"/>
      <c r="D288" s="1145" t="s">
        <v>1185</v>
      </c>
      <c r="E288" s="393" t="s">
        <v>444</v>
      </c>
      <c r="F288" s="1133" t="str">
        <f>_xlfn.XLOOKUP(E288,'A0.LS'!E:E,'A0.LS'!F:F)</f>
        <v>Chi phí khác</v>
      </c>
      <c r="G288" s="1134"/>
      <c r="H288" s="1135"/>
      <c r="I288" s="1146"/>
      <c r="J288" s="1135"/>
      <c r="K288" s="1144">
        <f t="shared" ref="K288:K289" si="20">ROUND(SUM(G288:J288),0)</f>
        <v>0</v>
      </c>
      <c r="L288" s="1132" t="s">
        <v>1198</v>
      </c>
      <c r="M288" s="1132" t="s">
        <v>1199</v>
      </c>
      <c r="N288" s="1145"/>
      <c r="O288" s="1148"/>
      <c r="P288" s="850"/>
      <c r="Q288" s="850"/>
      <c r="R288" s="850"/>
      <c r="S288" s="850"/>
      <c r="T288" s="850"/>
      <c r="U288" s="850"/>
      <c r="V288" s="850"/>
      <c r="W288" s="850"/>
      <c r="X288" s="850"/>
    </row>
    <row r="289" spans="2:19" ht="15">
      <c r="B289" s="394"/>
      <c r="C289" s="1145"/>
      <c r="D289" s="1145" t="s">
        <v>1186</v>
      </c>
      <c r="E289" s="393" t="s">
        <v>442</v>
      </c>
      <c r="F289" s="1133" t="str">
        <f>_xlfn.XLOOKUP(E289,'A0.LS'!E:E,'A0.LS'!F:F)</f>
        <v>Doanh thu khác</v>
      </c>
      <c r="G289" s="1134"/>
      <c r="H289" s="1135"/>
      <c r="I289" s="1146"/>
      <c r="J289" s="1135"/>
      <c r="K289" s="1144">
        <f t="shared" si="20"/>
        <v>0</v>
      </c>
      <c r="L289" s="1132" t="s">
        <v>1198</v>
      </c>
      <c r="M289" s="1132" t="s">
        <v>1199</v>
      </c>
      <c r="N289" s="1145"/>
      <c r="O289" s="1148"/>
      <c r="P289" s="850"/>
      <c r="Q289" s="850"/>
      <c r="R289" s="850"/>
      <c r="S289" s="850"/>
    </row>
    <row r="290" spans="2:19" ht="15.75" thickBot="1">
      <c r="B290" s="1150"/>
      <c r="C290" s="1151"/>
      <c r="D290" s="1151"/>
      <c r="E290" s="397"/>
      <c r="F290" s="1152"/>
      <c r="G290" s="1153"/>
      <c r="H290" s="1154"/>
      <c r="I290" s="1155"/>
      <c r="J290" s="1154"/>
      <c r="K290" s="1155"/>
      <c r="L290" s="1151"/>
      <c r="M290" s="1151"/>
      <c r="N290" s="1151"/>
      <c r="O290" s="1156"/>
      <c r="P290" s="850"/>
      <c r="Q290" s="850"/>
      <c r="R290" s="850"/>
      <c r="S290" s="850"/>
    </row>
    <row r="291" spans="2:19" hidden="1">
      <c r="B291" s="850"/>
      <c r="C291" s="850"/>
      <c r="D291" s="1145"/>
      <c r="E291" s="850"/>
      <c r="F291" s="1133"/>
      <c r="G291" s="1033"/>
      <c r="H291" s="1033"/>
      <c r="I291" s="686"/>
      <c r="J291" s="1033"/>
      <c r="K291" s="1136"/>
      <c r="L291" s="1132"/>
      <c r="M291" s="1132"/>
      <c r="N291" s="850"/>
      <c r="O291" s="850"/>
      <c r="P291" s="850"/>
      <c r="Q291" s="850"/>
      <c r="R291" s="850"/>
      <c r="S291" s="850"/>
    </row>
    <row r="292" spans="2:19" hidden="1">
      <c r="B292" s="850"/>
      <c r="C292" s="850"/>
      <c r="D292" s="1145"/>
      <c r="E292" s="928"/>
      <c r="F292" s="1133"/>
      <c r="G292" s="1033"/>
      <c r="H292" s="686"/>
      <c r="I292" s="1033"/>
      <c r="J292" s="1033"/>
      <c r="K292" s="1136"/>
      <c r="L292" s="1132"/>
      <c r="M292" s="1132"/>
      <c r="N292" s="850"/>
      <c r="O292" s="850"/>
      <c r="P292" s="850"/>
      <c r="Q292" s="850"/>
      <c r="R292" s="850"/>
      <c r="S292" s="850"/>
    </row>
    <row r="293" spans="2:19" ht="15" hidden="1">
      <c r="B293" s="850"/>
      <c r="C293" s="850"/>
      <c r="D293" s="850"/>
      <c r="E293"/>
      <c r="F293" s="850"/>
      <c r="G293" s="1033"/>
      <c r="H293" s="1033"/>
      <c r="I293" s="1033"/>
      <c r="J293" s="1033"/>
      <c r="K293" s="1033"/>
      <c r="L293" s="850"/>
      <c r="M293" s="850"/>
      <c r="N293" s="850"/>
      <c r="O293" s="850"/>
      <c r="P293" s="850"/>
      <c r="Q293" s="850"/>
      <c r="R293" s="850"/>
      <c r="S293" s="850"/>
    </row>
    <row r="294" spans="2:19" hidden="1">
      <c r="B294" s="850"/>
      <c r="C294" s="850"/>
      <c r="D294" s="850"/>
      <c r="E294" s="850"/>
      <c r="F294" s="850"/>
      <c r="G294" s="1033"/>
      <c r="H294" s="1033"/>
      <c r="I294" s="1033"/>
      <c r="J294" s="1033"/>
      <c r="K294" s="1033"/>
      <c r="L294" s="850"/>
      <c r="M294" s="850"/>
      <c r="N294" s="850"/>
      <c r="O294" s="850"/>
      <c r="P294" s="850"/>
      <c r="Q294" s="850"/>
      <c r="R294" s="850"/>
      <c r="S294" s="850"/>
    </row>
    <row r="295" spans="2:19" hidden="1">
      <c r="B295" s="850"/>
      <c r="C295" s="850"/>
      <c r="D295" s="850"/>
      <c r="E295" s="850"/>
      <c r="F295" s="850"/>
      <c r="G295" s="1033"/>
      <c r="H295" s="1033"/>
      <c r="I295" s="1033"/>
      <c r="J295" s="1033"/>
      <c r="K295" s="1033"/>
      <c r="L295" s="850"/>
      <c r="M295" s="850"/>
      <c r="N295" s="850"/>
      <c r="O295" s="850"/>
      <c r="P295" s="850"/>
      <c r="Q295" s="850"/>
      <c r="R295" s="850"/>
      <c r="S295" s="850"/>
    </row>
    <row r="296" spans="2:19" hidden="1">
      <c r="B296" s="850"/>
      <c r="C296" s="850"/>
      <c r="D296" s="850"/>
      <c r="E296" s="850"/>
      <c r="F296" s="850"/>
      <c r="G296" s="1033"/>
      <c r="H296" s="1033"/>
      <c r="I296" s="1033"/>
      <c r="J296" s="1033"/>
      <c r="K296" s="1033"/>
      <c r="L296" s="850"/>
      <c r="M296" s="850"/>
      <c r="N296" s="850"/>
      <c r="O296" s="850"/>
      <c r="P296" s="850"/>
      <c r="Q296" s="850"/>
      <c r="R296" s="850"/>
      <c r="S296" s="850"/>
    </row>
    <row r="297" spans="2:19" hidden="1">
      <c r="B297" s="850"/>
      <c r="C297" s="850"/>
      <c r="D297" s="850"/>
      <c r="E297" s="850"/>
      <c r="F297" s="850"/>
      <c r="G297" s="1033"/>
      <c r="H297" s="1033"/>
      <c r="I297" s="1033"/>
      <c r="J297" s="1033"/>
      <c r="K297" s="1033"/>
      <c r="L297" s="850"/>
      <c r="M297" s="850"/>
      <c r="N297" s="850"/>
      <c r="O297" s="850"/>
      <c r="P297" s="850"/>
      <c r="Q297" s="850"/>
      <c r="R297" s="850"/>
      <c r="S297" s="850"/>
    </row>
    <row r="298" spans="2:19" hidden="1">
      <c r="B298" s="850"/>
      <c r="C298" s="850"/>
      <c r="D298" s="850"/>
      <c r="E298" s="850"/>
      <c r="F298" s="850"/>
      <c r="G298" s="1033"/>
      <c r="H298" s="1033"/>
      <c r="I298" s="1033"/>
      <c r="J298" s="1033"/>
      <c r="K298" s="1033"/>
      <c r="L298" s="850"/>
      <c r="M298" s="850"/>
      <c r="N298" s="850"/>
      <c r="O298" s="850"/>
      <c r="P298" s="850"/>
      <c r="Q298" s="850"/>
      <c r="R298" s="850"/>
      <c r="S298" s="850"/>
    </row>
    <row r="299" spans="2:19" hidden="1">
      <c r="B299" s="850"/>
      <c r="C299" s="850"/>
      <c r="D299" s="850"/>
      <c r="E299" s="850"/>
      <c r="F299" s="850"/>
      <c r="G299" s="1033"/>
      <c r="H299" s="1033"/>
      <c r="I299" s="1033"/>
      <c r="J299" s="1033"/>
      <c r="K299" s="1033"/>
      <c r="L299" s="850"/>
      <c r="M299" s="850"/>
      <c r="N299" s="850"/>
      <c r="O299" s="850"/>
      <c r="P299" s="850"/>
      <c r="Q299" s="850"/>
      <c r="R299" s="850"/>
      <c r="S299" s="850"/>
    </row>
    <row r="300" spans="2:19" hidden="1">
      <c r="B300" s="850"/>
      <c r="C300" s="850"/>
      <c r="D300" s="850"/>
      <c r="E300" s="850"/>
      <c r="F300" s="850"/>
      <c r="G300" s="1033"/>
      <c r="H300" s="1033"/>
      <c r="I300" s="1033"/>
      <c r="J300" s="1033"/>
      <c r="K300" s="1033"/>
      <c r="L300" s="850"/>
      <c r="M300" s="850"/>
      <c r="N300" s="850"/>
      <c r="O300" s="850"/>
      <c r="P300" s="850"/>
      <c r="Q300" s="850"/>
      <c r="R300" s="850"/>
      <c r="S300" s="850"/>
    </row>
    <row r="301" spans="2:19" hidden="1">
      <c r="B301" s="850"/>
      <c r="C301" s="850"/>
      <c r="D301" s="850"/>
      <c r="E301" s="850"/>
      <c r="F301" s="850"/>
      <c r="G301" s="1033"/>
      <c r="H301" s="1033"/>
      <c r="I301" s="1033"/>
      <c r="J301" s="1033"/>
      <c r="K301" s="1033"/>
      <c r="L301" s="850"/>
      <c r="M301" s="850"/>
      <c r="N301" s="850"/>
      <c r="O301" s="850"/>
      <c r="P301" s="850"/>
      <c r="Q301" s="850"/>
      <c r="R301" s="850"/>
      <c r="S301" s="850"/>
    </row>
    <row r="302" spans="2:19" hidden="1">
      <c r="B302" s="850"/>
      <c r="C302" s="850"/>
      <c r="D302" s="850"/>
      <c r="E302" s="850"/>
      <c r="F302" s="850"/>
      <c r="G302" s="1033"/>
      <c r="H302" s="1033"/>
      <c r="I302" s="1033"/>
      <c r="J302" s="1033"/>
      <c r="K302" s="1033"/>
      <c r="L302" s="850"/>
      <c r="M302" s="850"/>
      <c r="N302" s="850"/>
      <c r="O302" s="850"/>
      <c r="P302" s="850"/>
      <c r="Q302" s="850"/>
      <c r="R302" s="850"/>
      <c r="S302" s="850"/>
    </row>
    <row r="303" spans="2:19" hidden="1">
      <c r="B303" s="850"/>
      <c r="C303" s="850"/>
      <c r="D303" s="850"/>
      <c r="E303" s="850"/>
      <c r="F303" s="850"/>
      <c r="G303" s="1033"/>
      <c r="H303" s="1033"/>
      <c r="I303" s="1033"/>
      <c r="J303" s="1033"/>
      <c r="K303" s="1033"/>
      <c r="L303" s="850"/>
      <c r="M303" s="850"/>
      <c r="N303" s="850"/>
      <c r="O303" s="850"/>
      <c r="P303" s="850"/>
      <c r="Q303" s="850"/>
      <c r="R303" s="850"/>
      <c r="S303" s="850"/>
    </row>
    <row r="304" spans="2:19" hidden="1">
      <c r="B304" s="850"/>
      <c r="C304" s="850"/>
      <c r="D304" s="850"/>
      <c r="E304" s="850"/>
      <c r="F304" s="850"/>
      <c r="G304" s="1033"/>
      <c r="H304" s="1033"/>
      <c r="I304" s="1033"/>
      <c r="J304" s="1033"/>
      <c r="K304" s="1033"/>
      <c r="L304" s="850"/>
      <c r="M304" s="850"/>
      <c r="N304" s="850"/>
      <c r="O304" s="850"/>
      <c r="P304" s="850"/>
      <c r="Q304" s="850"/>
      <c r="R304" s="850"/>
      <c r="S304" s="850"/>
    </row>
    <row r="305" spans="2:18" hidden="1">
      <c r="B305" s="850"/>
      <c r="C305" s="850"/>
      <c r="D305" s="850"/>
      <c r="E305" s="850"/>
      <c r="F305" s="850"/>
      <c r="G305" s="1033"/>
      <c r="H305" s="1033"/>
      <c r="I305" s="1033"/>
      <c r="J305" s="1033"/>
      <c r="K305" s="1033"/>
      <c r="L305" s="850"/>
      <c r="M305" s="850"/>
      <c r="N305" s="850"/>
      <c r="O305" s="850"/>
      <c r="P305" s="850"/>
      <c r="Q305" s="850"/>
      <c r="R305" s="850"/>
    </row>
    <row r="306" spans="2:18" hidden="1">
      <c r="B306" s="850"/>
      <c r="C306" s="850"/>
      <c r="D306" s="850"/>
      <c r="E306" s="850"/>
      <c r="F306" s="850"/>
      <c r="G306" s="1033"/>
      <c r="H306" s="1033"/>
      <c r="I306" s="1033"/>
      <c r="J306" s="1033"/>
      <c r="K306" s="1033"/>
      <c r="L306" s="850"/>
      <c r="M306" s="850"/>
      <c r="N306" s="850"/>
      <c r="O306" s="850"/>
      <c r="P306" s="850"/>
      <c r="Q306" s="850"/>
      <c r="R306" s="850"/>
    </row>
  </sheetData>
  <autoFilter ref="B6:O290" xr:uid="{E8654558-57C0-4B5A-A618-0CC0ED538C44}"/>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4362E-810E-48A5-8403-DF9226656FE6}">
  <sheetPr codeName="Sheet5">
    <tabColor rgb="FF7030A0"/>
  </sheetPr>
  <dimension ref="A1:AK61"/>
  <sheetViews>
    <sheetView zoomScale="55" zoomScaleNormal="55" workbookViewId="0">
      <pane xSplit="6" ySplit="8" topLeftCell="Z22" activePane="bottomRight" state="frozen"/>
      <selection pane="topRight" activeCell="G1" sqref="G1"/>
      <selection pane="bottomLeft" activeCell="A9" sqref="A9"/>
      <selection pane="bottomRight" activeCell="Z22" sqref="Z22"/>
    </sheetView>
  </sheetViews>
  <sheetFormatPr defaultColWidth="9.140625" defaultRowHeight="12.75"/>
  <cols>
    <col min="1" max="1" width="9.140625" style="2"/>
    <col min="2" max="2" width="11.42578125" style="2" bestFit="1" customWidth="1"/>
    <col min="3" max="3" width="9.140625" style="2"/>
    <col min="4" max="4" width="53.140625" style="2" customWidth="1"/>
    <col min="5" max="5" width="34.5703125" style="2" customWidth="1"/>
    <col min="6" max="6" width="13.5703125" style="2" customWidth="1"/>
    <col min="7" max="37" width="25.140625" style="2" customWidth="1"/>
    <col min="38" max="16384" width="9.140625" style="2"/>
  </cols>
  <sheetData>
    <row r="1" spans="1:37">
      <c r="A1" s="1" t="s">
        <v>0</v>
      </c>
      <c r="B1" s="850" t="s">
        <v>1</v>
      </c>
      <c r="C1" s="850"/>
      <c r="D1" s="850"/>
      <c r="E1" s="850"/>
      <c r="F1" s="153" t="s">
        <v>1997</v>
      </c>
      <c r="G1" s="184">
        <v>111</v>
      </c>
      <c r="H1" s="184">
        <v>112</v>
      </c>
      <c r="I1" s="184">
        <v>121</v>
      </c>
      <c r="J1" s="184">
        <v>122</v>
      </c>
      <c r="K1" s="184">
        <v>123</v>
      </c>
      <c r="L1" s="184">
        <v>131</v>
      </c>
      <c r="M1" s="184">
        <v>132</v>
      </c>
      <c r="N1" s="184">
        <v>136</v>
      </c>
      <c r="O1" s="184">
        <v>141</v>
      </c>
      <c r="P1" s="184">
        <v>151</v>
      </c>
      <c r="Q1" s="184">
        <v>152</v>
      </c>
      <c r="R1" s="184">
        <v>222</v>
      </c>
      <c r="S1" s="184">
        <v>223</v>
      </c>
      <c r="T1" s="184">
        <v>228</v>
      </c>
      <c r="U1" s="184">
        <v>229</v>
      </c>
      <c r="V1" s="184">
        <v>242</v>
      </c>
      <c r="W1" s="184">
        <v>251</v>
      </c>
      <c r="X1" s="184">
        <v>253</v>
      </c>
      <c r="Y1" s="184">
        <v>254</v>
      </c>
      <c r="Z1" s="184">
        <v>261</v>
      </c>
      <c r="AA1" s="184">
        <v>311</v>
      </c>
      <c r="AB1" s="184">
        <v>313</v>
      </c>
      <c r="AC1" s="184">
        <v>314</v>
      </c>
      <c r="AD1" s="184">
        <v>315</v>
      </c>
      <c r="AE1" s="184">
        <v>319</v>
      </c>
      <c r="AF1" s="184">
        <v>320</v>
      </c>
      <c r="AG1" s="184">
        <v>336</v>
      </c>
      <c r="AH1" s="184">
        <v>411</v>
      </c>
      <c r="AI1" s="184">
        <v>412</v>
      </c>
      <c r="AJ1" s="184" t="s">
        <v>1960</v>
      </c>
      <c r="AK1" s="184" t="s">
        <v>1962</v>
      </c>
    </row>
    <row r="2" spans="1:37" ht="51">
      <c r="A2" s="1" t="s">
        <v>2</v>
      </c>
      <c r="B2" s="852">
        <v>45657</v>
      </c>
      <c r="C2" s="850"/>
      <c r="D2" s="850"/>
      <c r="E2" s="850"/>
      <c r="F2" s="153" t="s">
        <v>775</v>
      </c>
      <c r="G2" s="35" t="str">
        <f>_xlfn.XLOOKUP(G1,'A1.BS'!$B:$B,'A1.BS'!$C:$C)</f>
        <v>1. Tiền</v>
      </c>
      <c r="H2" s="35" t="str">
        <f>_xlfn.XLOOKUP(H1,'A1.BS'!$B:$B,'A1.BS'!$C:$C)</f>
        <v>2. Các khoản tương đương tiền</v>
      </c>
      <c r="I2" s="35" t="str">
        <f>_xlfn.XLOOKUP(I1,'A1.BS'!$B:$B,'A1.BS'!$C:$C)</f>
        <v>1. Chứng khoán kinh doanh</v>
      </c>
      <c r="J2" s="35" t="str">
        <f>_xlfn.XLOOKUP(J1,'A1.BS'!$B:$B,'A1.BS'!$C:$C)</f>
        <v>2. Dự phòng giảm giá chứng khoán kinh doanh</v>
      </c>
      <c r="K2" s="35" t="str">
        <f>_xlfn.XLOOKUP(K1,'A1.BS'!$B:$B,'A1.BS'!$C:$C)</f>
        <v>3. Đầu tư nắm giữ đến ngày đáo hạn</v>
      </c>
      <c r="L2" s="35" t="str">
        <f>_xlfn.XLOOKUP(L1,'A1.BS'!$B:$B,'A1.BS'!$C:$C)</f>
        <v>1. Phải thu ngắn hạn của khách hàng</v>
      </c>
      <c r="M2" s="35" t="str">
        <f>_xlfn.XLOOKUP(M1,'A1.BS'!$B:$B,'A1.BS'!$C:$C)</f>
        <v>2. Trả trước cho người bán ngắn hạn</v>
      </c>
      <c r="N2" s="35" t="str">
        <f>_xlfn.XLOOKUP(N1,'A1.BS'!$B:$B,'A1.BS'!$C:$C)</f>
        <v>6. Phải thu ngắn hạn khác</v>
      </c>
      <c r="O2" s="35" t="str">
        <f>_xlfn.XLOOKUP(O1,'A1.BS'!$B:$B,'A1.BS'!$C:$C)</f>
        <v>1. Hàng tồn kho</v>
      </c>
      <c r="P2" s="35" t="str">
        <f>_xlfn.XLOOKUP(P1,'A1.BS'!$B:$B,'A1.BS'!$C:$C)</f>
        <v>1. Chi phí trả trước ngắn hạn</v>
      </c>
      <c r="Q2" s="35" t="str">
        <f>_xlfn.XLOOKUP(Q1,'A1.BS'!$B:$B,'A1.BS'!$C:$C)</f>
        <v>2. Thuế GTGT được khấu trừ</v>
      </c>
      <c r="R2" s="35" t="str">
        <f>_xlfn.XLOOKUP(R1,'A1.BS'!$B:$B,'A1.BS'!$C:$C)</f>
        <v>Nguyên giá</v>
      </c>
      <c r="S2" s="35" t="str">
        <f>_xlfn.XLOOKUP(S1,'A1.BS'!$B:$B,'A1.BS'!$C:$C)</f>
        <v>Giá trị hao mòn lũy kế (*)</v>
      </c>
      <c r="T2" s="35" t="str">
        <f>_xlfn.XLOOKUP(T1,'A1.BS'!$B:$B,'A1.BS'!$C:$C)</f>
        <v>Nguyên giá</v>
      </c>
      <c r="U2" s="35" t="str">
        <f>_xlfn.XLOOKUP(U1,'A1.BS'!$B:$B,'A1.BS'!$C:$C)</f>
        <v>Giá trị hao mòn lũy kế (*)</v>
      </c>
      <c r="V2" s="35" t="str">
        <f>_xlfn.XLOOKUP(V1,'A1.BS'!$B:$B,'A1.BS'!$C:$C)</f>
        <v>2. Chi phí xây dựng cơ bản dở dang</v>
      </c>
      <c r="W2" s="35" t="str">
        <f>_xlfn.XLOOKUP(W1,'A1.BS'!$B:$B,'A1.BS'!$C:$C)</f>
        <v>1. Đầu tư vào công ty con</v>
      </c>
      <c r="X2" s="35" t="str">
        <f>_xlfn.XLOOKUP(X1,'A1.BS'!$B:$B,'A1.BS'!$C:$C)</f>
        <v>3. Đầu tư góp vốn vào đơn vị khác</v>
      </c>
      <c r="Y2" s="35" t="str">
        <f>_xlfn.XLOOKUP(Y1,'A1.BS'!$B:$B,'A1.BS'!$C:$C)</f>
        <v>4. Dự phòng đầu tư tài chính dài hạn (*)</v>
      </c>
      <c r="Z2" s="35" t="str">
        <f>_xlfn.XLOOKUP(Z1,'A1.BS'!$B:$B,'A1.BS'!$C:$C)</f>
        <v>1. Chi phí trả trước dài hạn</v>
      </c>
      <c r="AA2" s="35" t="str">
        <f>_xlfn.XLOOKUP(AA1,'A1.BS'!$B:$B,'A1.BS'!$C:$C)</f>
        <v>1. Phải trả người bán ngắn hạn</v>
      </c>
      <c r="AB2" s="35" t="str">
        <f>_xlfn.XLOOKUP(AB1,'A1.BS'!$B:$B,'A1.BS'!$C:$C)</f>
        <v>3. Thuế và các khoản phải nộp Nhà nước</v>
      </c>
      <c r="AC2" s="35" t="str">
        <f>_xlfn.XLOOKUP(AC1,'A1.BS'!$B:$B,'A1.BS'!$C:$C)</f>
        <v>4. Phải trả người lao động</v>
      </c>
      <c r="AD2" s="35" t="str">
        <f>_xlfn.XLOOKUP(AD1,'A1.BS'!$B:$B,'A1.BS'!$C:$C)</f>
        <v>5. Chi phí phải trả ngắn hạn</v>
      </c>
      <c r="AE2" s="35" t="str">
        <f>_xlfn.XLOOKUP(AE1,'A1.BS'!$B:$B,'A1.BS'!$C:$C)</f>
        <v>9. Phải trả ngắn hạn khác</v>
      </c>
      <c r="AF2" s="35" t="str">
        <f>_xlfn.XLOOKUP(AF1,'A1.BS'!$B:$B,'A1.BS'!$C:$C)</f>
        <v>10. Vay và nợ thuê tài chính ngắn hạn</v>
      </c>
      <c r="AG2" s="35" t="str">
        <f>_xlfn.XLOOKUP(AG1,'A1.BS'!$B:$B,'A1.BS'!$C:$C)</f>
        <v>5. Doanh thu chưa thực hiện dài hạn</v>
      </c>
      <c r="AH2" s="35" t="str">
        <f>_xlfn.XLOOKUP(AH1,'A1.BS'!$B:$B,'A1.BS'!$C:$C)</f>
        <v>- Cổ phiếu cổ đông có quyền biểu quyết</v>
      </c>
      <c r="AI2" s="35" t="str">
        <f>_xlfn.XLOOKUP(AI1,'A1.BS'!$B:$B,'A1.BS'!$C:$C)</f>
        <v>2. Thặng dư vốn cổ phần</v>
      </c>
      <c r="AJ2" s="35" t="str">
        <f>_xlfn.XLOOKUP(AJ1,'A1.BS'!$B:$B,'A1.BS'!$C:$C)</f>
        <v>- Lợi nhuận sau thuế chưa phân phối lũy kế/ lỗ lũy kế đến cuối kỳ trước</v>
      </c>
      <c r="AK2" s="35" t="str">
        <f>_xlfn.XLOOKUP(AK1,'A1.BS'!$B:$B,'A1.BS'!$C:$C)</f>
        <v>- Lợi nhuận sau thuế chưa phân phối/ lỗ kỳ này</v>
      </c>
    </row>
    <row r="3" spans="1:37">
      <c r="A3" s="3" t="s">
        <v>1998</v>
      </c>
      <c r="B3" s="850"/>
      <c r="C3" s="850"/>
      <c r="D3" s="850"/>
      <c r="E3" s="850"/>
      <c r="F3" s="153" t="s">
        <v>3383</v>
      </c>
      <c r="G3" s="847">
        <f>_xlfn.XLOOKUP(G1,'A1.BS'!$B:$B,'A1.BS'!$L:$L)</f>
        <v>55946772314</v>
      </c>
      <c r="H3" s="847">
        <f>_xlfn.XLOOKUP(H1,'A1.BS'!$B:$B,'A1.BS'!$L:$L)</f>
        <v>15010000000</v>
      </c>
      <c r="I3" s="847">
        <f>_xlfn.XLOOKUP(I1,'A1.BS'!$B:$B,'A1.BS'!$L:$L)</f>
        <v>1257367436252</v>
      </c>
      <c r="J3" s="847">
        <f>_xlfn.XLOOKUP(J1,'A1.BS'!$B:$B,'A1.BS'!$L:$L)</f>
        <v>-184373354</v>
      </c>
      <c r="K3" s="847">
        <f>_xlfn.XLOOKUP(K1,'A1.BS'!$B:$B,'A1.BS'!$L:$L)</f>
        <v>574472342467</v>
      </c>
      <c r="L3" s="847">
        <f>_xlfn.XLOOKUP(L1,'A1.BS'!$B:$B,'A1.BS'!$L:$L)</f>
        <v>56978048</v>
      </c>
      <c r="M3" s="847">
        <f>_xlfn.XLOOKUP(M1,'A1.BS'!$B:$B,'A1.BS'!$L:$L)</f>
        <v>27179765</v>
      </c>
      <c r="N3" s="847">
        <f>_xlfn.XLOOKUP(N1,'A1.BS'!$B:$B,'A1.BS'!$L:$L)</f>
        <v>54058133958</v>
      </c>
      <c r="O3" s="847">
        <f>_xlfn.XLOOKUP(O1,'A1.BS'!$B:$B,'A1.BS'!$L:$L)</f>
        <v>3000000000</v>
      </c>
      <c r="P3" s="847">
        <f>_xlfn.XLOOKUP(P1,'A1.BS'!$B:$B,'A1.BS'!$L:$L)</f>
        <v>362289020</v>
      </c>
      <c r="Q3" s="847">
        <f>_xlfn.XLOOKUP(Q1,'A1.BS'!$B:$B,'A1.BS'!$L:$L)</f>
        <v>3882902519</v>
      </c>
      <c r="R3" s="847">
        <f>_xlfn.XLOOKUP(R1,'A1.BS'!$B:$B,'A1.BS'!$L:$L)</f>
        <v>2322101049</v>
      </c>
      <c r="S3" s="847">
        <f>_xlfn.XLOOKUP(S1,'A1.BS'!$B:$B,'A1.BS'!$L:$L)</f>
        <v>-893707599</v>
      </c>
      <c r="T3" s="847">
        <f>_xlfn.XLOOKUP(T1,'A1.BS'!$B:$B,'A1.BS'!$L:$L)</f>
        <v>44677813903</v>
      </c>
      <c r="U3" s="847">
        <f>_xlfn.XLOOKUP(U1,'A1.BS'!$B:$B,'A1.BS'!$L:$L)</f>
        <v>-3871344813</v>
      </c>
      <c r="V3" s="847">
        <f>_xlfn.XLOOKUP(V1,'A1.BS'!$B:$B,'A1.BS'!$L:$L)</f>
        <v>5350661938</v>
      </c>
      <c r="W3" s="847">
        <f>_xlfn.XLOOKUP(W1,'A1.BS'!$B:$B,'A1.BS'!$L:$L)</f>
        <v>440010000000</v>
      </c>
      <c r="X3" s="847">
        <f>_xlfn.XLOOKUP(X1,'A1.BS'!$B:$B,'A1.BS'!$L:$L)</f>
        <v>1000000</v>
      </c>
      <c r="Y3" s="847">
        <f>_xlfn.XLOOKUP(Y1,'A1.BS'!$B:$B,'A1.BS'!$L:$L)</f>
        <v>-38430233692</v>
      </c>
      <c r="Z3" s="847">
        <f>_xlfn.XLOOKUP(Z1,'A1.BS'!$B:$B,'A1.BS'!$L:$L)</f>
        <v>1802302475</v>
      </c>
      <c r="AA3" s="847">
        <f>_xlfn.XLOOKUP(AA1,'A1.BS'!$B:$B,'A1.BS'!$L:$L)</f>
        <v>10149632431</v>
      </c>
      <c r="AB3" s="847">
        <f>_xlfn.XLOOKUP(AB1,'A1.BS'!$B:$B,'A1.BS'!$L:$L)</f>
        <v>2593026648</v>
      </c>
      <c r="AC3" s="847">
        <f>_xlfn.XLOOKUP(AC1,'A1.BS'!$B:$B,'A1.BS'!$L:$L)</f>
        <v>4338631595</v>
      </c>
      <c r="AD3" s="847">
        <f>_xlfn.XLOOKUP(AD1,'A1.BS'!$B:$B,'A1.BS'!$L:$L)</f>
        <v>1132031369</v>
      </c>
      <c r="AE3" s="847">
        <f>_xlfn.XLOOKUP(AE1,'A1.BS'!$B:$B,'A1.BS'!$L:$L)</f>
        <v>1976762908538</v>
      </c>
      <c r="AF3" s="847">
        <f>_xlfn.XLOOKUP(AF1,'A1.BS'!$B:$B,'A1.BS'!$L:$L)</f>
        <v>0</v>
      </c>
      <c r="AG3" s="847">
        <f>_xlfn.XLOOKUP(AG1,'A1.BS'!$B:$B,'A1.BS'!$L:$L)</f>
        <v>34128000000</v>
      </c>
      <c r="AH3" s="847">
        <f>_xlfn.XLOOKUP(AH1,'A1.BS'!$B:$B,'A1.BS'!$L:$L)</f>
        <v>134641110000</v>
      </c>
      <c r="AI3" s="847">
        <f>_xlfn.XLOOKUP(AI1,'A1.BS'!$B:$B,'A1.BS'!$L:$L)</f>
        <v>515310808868</v>
      </c>
      <c r="AJ3" s="847">
        <f>_xlfn.XLOOKUP(AJ1,'A1.BS'!$B:$B,'A1.BS'!$L:$L)</f>
        <v>-206961721096</v>
      </c>
      <c r="AK3" s="847">
        <f>_xlfn.XLOOKUP(AK1,'A1.BS'!$B:$B,'A1.BS'!$L:$L)</f>
        <v>-57126174103</v>
      </c>
    </row>
    <row r="4" spans="1:37">
      <c r="A4" s="850"/>
      <c r="B4" s="850"/>
      <c r="C4" s="850"/>
      <c r="D4" s="850"/>
      <c r="E4" s="850"/>
      <c r="F4" s="153" t="s">
        <v>3384</v>
      </c>
      <c r="G4" s="990">
        <f>_xlfn.XLOOKUP(G1,'A1.BS'!$B:$B,'A1.BS'!$G:$G)</f>
        <v>41786977835</v>
      </c>
      <c r="H4" s="990">
        <f>_xlfn.XLOOKUP(H1,'A1.BS'!$B:$B,'A1.BS'!$G:$G)</f>
        <v>30000000000</v>
      </c>
      <c r="I4" s="990">
        <f>_xlfn.XLOOKUP(I1,'A1.BS'!$B:$B,'A1.BS'!$G:$G)</f>
        <v>1176574960731</v>
      </c>
      <c r="J4" s="990">
        <f>_xlfn.XLOOKUP(J1,'A1.BS'!$B:$B,'A1.BS'!$G:$G)</f>
        <v>-127484513</v>
      </c>
      <c r="K4" s="990">
        <f>_xlfn.XLOOKUP(K1,'A1.BS'!$B:$B,'A1.BS'!$G:$G)</f>
        <v>115382191780</v>
      </c>
      <c r="L4" s="990">
        <f>_xlfn.XLOOKUP(L1,'A1.BS'!$B:$B,'A1.BS'!$G:$G)</f>
        <v>257847664</v>
      </c>
      <c r="M4" s="990">
        <f>_xlfn.XLOOKUP(M1,'A1.BS'!$B:$B,'A1.BS'!$G:$G)</f>
        <v>96677660</v>
      </c>
      <c r="N4" s="990">
        <f>_xlfn.XLOOKUP(N1,'A1.BS'!$B:$B,'A1.BS'!$G:$G)</f>
        <v>33936218202</v>
      </c>
      <c r="O4" s="990">
        <f>_xlfn.XLOOKUP(O1,'A1.BS'!$B:$B,'A1.BS'!$G:$G)</f>
        <v>0</v>
      </c>
      <c r="P4" s="990">
        <f>_xlfn.XLOOKUP(P1,'A1.BS'!$B:$B,'A1.BS'!$G:$G)</f>
        <v>201534109</v>
      </c>
      <c r="Q4" s="990">
        <f>_xlfn.XLOOKUP(Q1,'A1.BS'!$B:$B,'A1.BS'!$G:$G)</f>
        <v>3907955547</v>
      </c>
      <c r="R4" s="990">
        <f>_xlfn.XLOOKUP(R1,'A1.BS'!$B:$B,'A1.BS'!$G:$G)</f>
        <v>2403010140</v>
      </c>
      <c r="S4" s="990">
        <f>_xlfn.XLOOKUP(S1,'A1.BS'!$B:$B,'A1.BS'!$G:$G)</f>
        <v>-1404771885</v>
      </c>
      <c r="T4" s="990">
        <f>_xlfn.XLOOKUP(T1,'A1.BS'!$B:$B,'A1.BS'!$G:$G)</f>
        <v>53008591420</v>
      </c>
      <c r="U4" s="990">
        <f>_xlfn.XLOOKUP(U1,'A1.BS'!$B:$B,'A1.BS'!$G:$G)</f>
        <v>-7342855203</v>
      </c>
      <c r="V4" s="990">
        <f>_xlfn.XLOOKUP(V1,'A1.BS'!$B:$B,'A1.BS'!$G:$G)</f>
        <v>7014749613</v>
      </c>
      <c r="W4" s="990">
        <f>_xlfn.XLOOKUP(W1,'A1.BS'!$B:$B,'A1.BS'!$G:$G)</f>
        <v>440010000000</v>
      </c>
      <c r="X4" s="990">
        <f>_xlfn.XLOOKUP(X1,'A1.BS'!$B:$B,'A1.BS'!$G:$G)</f>
        <v>1000000</v>
      </c>
      <c r="Y4" s="990">
        <f>_xlfn.XLOOKUP(Y1,'A1.BS'!$B:$B,'A1.BS'!$G:$G)</f>
        <v>-73388341304</v>
      </c>
      <c r="Z4" s="990">
        <f>_xlfn.XLOOKUP(Z1,'A1.BS'!$B:$B,'A1.BS'!$G:$G)</f>
        <v>834102202</v>
      </c>
      <c r="AA4" s="990">
        <f>_xlfn.XLOOKUP(AA1,'A1.BS'!$B:$B,'A1.BS'!$G:$G)</f>
        <v>5062579316</v>
      </c>
      <c r="AB4" s="990">
        <f>_xlfn.XLOOKUP(AB1,'A1.BS'!$B:$B,'A1.BS'!$G:$G)</f>
        <v>431191082</v>
      </c>
      <c r="AC4" s="990">
        <f>_xlfn.XLOOKUP(AC1,'A1.BS'!$B:$B,'A1.BS'!$G:$G)</f>
        <v>1468325063</v>
      </c>
      <c r="AD4" s="990">
        <f>_xlfn.XLOOKUP(AD1,'A1.BS'!$B:$B,'A1.BS'!$G:$G)</f>
        <v>1050443200</v>
      </c>
      <c r="AE4" s="990">
        <f>_xlfn.XLOOKUP(AE1,'A1.BS'!$B:$B,'A1.BS'!$G:$G)</f>
        <v>1392633499551</v>
      </c>
      <c r="AF4" s="990">
        <f>_xlfn.XLOOKUP(AF1,'A1.BS'!$B:$B,'A1.BS'!$G:$G)</f>
        <v>4500000000</v>
      </c>
      <c r="AG4" s="990">
        <f>_xlfn.XLOOKUP(AG1,'A1.BS'!$B:$B,'A1.BS'!$G:$G)</f>
        <v>30336000000</v>
      </c>
      <c r="AH4" s="990">
        <f>_xlfn.XLOOKUP(AH1,'A1.BS'!$B:$B,'A1.BS'!$G:$G)</f>
        <v>134641110000</v>
      </c>
      <c r="AI4" s="990">
        <f>_xlfn.XLOOKUP(AI1,'A1.BS'!$B:$B,'A1.BS'!$G:$G)</f>
        <v>515310808868</v>
      </c>
      <c r="AJ4" s="990">
        <f>_xlfn.XLOOKUP(AJ1,'A1.BS'!$B:$B,'A1.BS'!$G:$G)</f>
        <v>-264087895199</v>
      </c>
      <c r="AK4" s="990">
        <f>_xlfn.XLOOKUP(AK1,'A1.BS'!$B:$B,'A1.BS'!$G:$G)</f>
        <v>1806302117</v>
      </c>
    </row>
    <row r="5" spans="1:37">
      <c r="A5" s="850"/>
      <c r="B5" s="850"/>
      <c r="C5" s="850"/>
      <c r="D5" s="1" t="s">
        <v>1970</v>
      </c>
      <c r="E5" s="857">
        <f>-SUM(G5:H5)-SUM(I5:AK5)</f>
        <v>0</v>
      </c>
      <c r="F5" s="153" t="s">
        <v>2001</v>
      </c>
      <c r="G5" s="994">
        <f>G4-G3</f>
        <v>-14159794479</v>
      </c>
      <c r="H5" s="994">
        <f t="shared" ref="H5:Z5" si="0">H4-H3</f>
        <v>14990000000</v>
      </c>
      <c r="I5" s="994">
        <f t="shared" si="0"/>
        <v>-80792475521</v>
      </c>
      <c r="J5" s="994">
        <f t="shared" si="0"/>
        <v>56888841</v>
      </c>
      <c r="K5" s="994">
        <f t="shared" si="0"/>
        <v>-459090150687</v>
      </c>
      <c r="L5" s="994">
        <f t="shared" si="0"/>
        <v>200869616</v>
      </c>
      <c r="M5" s="994">
        <f t="shared" si="0"/>
        <v>69497895</v>
      </c>
      <c r="N5" s="994">
        <f t="shared" si="0"/>
        <v>-20121915756</v>
      </c>
      <c r="O5" s="994">
        <f t="shared" si="0"/>
        <v>-3000000000</v>
      </c>
      <c r="P5" s="994">
        <f t="shared" si="0"/>
        <v>-160754911</v>
      </c>
      <c r="Q5" s="994">
        <f t="shared" si="0"/>
        <v>25053028</v>
      </c>
      <c r="R5" s="994">
        <f t="shared" si="0"/>
        <v>80909091</v>
      </c>
      <c r="S5" s="994">
        <f t="shared" si="0"/>
        <v>-511064286</v>
      </c>
      <c r="T5" s="994">
        <f t="shared" si="0"/>
        <v>8330777517</v>
      </c>
      <c r="U5" s="994">
        <f t="shared" si="0"/>
        <v>-3471510390</v>
      </c>
      <c r="V5" s="994">
        <f t="shared" si="0"/>
        <v>1664087675</v>
      </c>
      <c r="W5" s="994">
        <f t="shared" si="0"/>
        <v>0</v>
      </c>
      <c r="X5" s="994">
        <f t="shared" si="0"/>
        <v>0</v>
      </c>
      <c r="Y5" s="994">
        <f t="shared" si="0"/>
        <v>-34958107612</v>
      </c>
      <c r="Z5" s="994">
        <f t="shared" si="0"/>
        <v>-968200273</v>
      </c>
      <c r="AA5" s="994">
        <f>AA3-AA4</f>
        <v>5087053115</v>
      </c>
      <c r="AB5" s="994">
        <f t="shared" ref="AB5:AK5" si="1">AB3-AB4</f>
        <v>2161835566</v>
      </c>
      <c r="AC5" s="994">
        <f t="shared" si="1"/>
        <v>2870306532</v>
      </c>
      <c r="AD5" s="994">
        <f t="shared" si="1"/>
        <v>81588169</v>
      </c>
      <c r="AE5" s="994">
        <f t="shared" si="1"/>
        <v>584129408987</v>
      </c>
      <c r="AF5" s="994">
        <f>AF3-AF4</f>
        <v>-4500000000</v>
      </c>
      <c r="AG5" s="994">
        <f t="shared" si="1"/>
        <v>3792000000</v>
      </c>
      <c r="AH5" s="994">
        <f t="shared" si="1"/>
        <v>0</v>
      </c>
      <c r="AI5" s="994">
        <f t="shared" si="1"/>
        <v>0</v>
      </c>
      <c r="AJ5" s="994">
        <f t="shared" si="1"/>
        <v>57126174103</v>
      </c>
      <c r="AK5" s="994">
        <f t="shared" si="1"/>
        <v>-58932476220</v>
      </c>
    </row>
    <row r="6" spans="1:37">
      <c r="A6" s="850"/>
      <c r="B6" s="850"/>
      <c r="C6" s="850"/>
      <c r="D6" s="850"/>
      <c r="E6" s="850"/>
      <c r="F6" s="153" t="s">
        <v>2002</v>
      </c>
      <c r="G6" s="994">
        <f>-SUM(G3:G4)+SUM(G9:G55)</f>
        <v>0</v>
      </c>
      <c r="H6" s="994">
        <f>-SUM(H3:H4)+SUM(H9:H55)</f>
        <v>0</v>
      </c>
      <c r="I6" s="994">
        <f t="shared" ref="I6:Z6" si="2">I5+SUM(I9:I55)</f>
        <v>0</v>
      </c>
      <c r="J6" s="994">
        <f t="shared" si="2"/>
        <v>0</v>
      </c>
      <c r="K6" s="994">
        <f t="shared" si="2"/>
        <v>0</v>
      </c>
      <c r="L6" s="994">
        <f t="shared" si="2"/>
        <v>0</v>
      </c>
      <c r="M6" s="994">
        <f t="shared" si="2"/>
        <v>0</v>
      </c>
      <c r="N6" s="994">
        <f t="shared" si="2"/>
        <v>0</v>
      </c>
      <c r="O6" s="994">
        <f t="shared" si="2"/>
        <v>0</v>
      </c>
      <c r="P6" s="994">
        <f t="shared" si="2"/>
        <v>0</v>
      </c>
      <c r="Q6" s="994">
        <f t="shared" si="2"/>
        <v>0</v>
      </c>
      <c r="R6" s="994">
        <f t="shared" si="2"/>
        <v>0</v>
      </c>
      <c r="S6" s="994">
        <f t="shared" si="2"/>
        <v>0</v>
      </c>
      <c r="T6" s="994">
        <f t="shared" si="2"/>
        <v>0</v>
      </c>
      <c r="U6" s="994">
        <f t="shared" si="2"/>
        <v>0</v>
      </c>
      <c r="V6" s="994">
        <f t="shared" si="2"/>
        <v>0</v>
      </c>
      <c r="W6" s="994">
        <f t="shared" si="2"/>
        <v>0</v>
      </c>
      <c r="X6" s="994">
        <f t="shared" si="2"/>
        <v>0</v>
      </c>
      <c r="Y6" s="994">
        <f t="shared" si="2"/>
        <v>0</v>
      </c>
      <c r="Z6" s="994">
        <f t="shared" si="2"/>
        <v>0</v>
      </c>
      <c r="AA6" s="994">
        <f>AA5+SUM(AA9:AA55)</f>
        <v>0</v>
      </c>
      <c r="AB6" s="994">
        <f t="shared" ref="AB6:AK6" si="3">AB5+SUM(AB9:AB55)</f>
        <v>0</v>
      </c>
      <c r="AC6" s="994">
        <f t="shared" si="3"/>
        <v>0</v>
      </c>
      <c r="AD6" s="994">
        <f t="shared" si="3"/>
        <v>0</v>
      </c>
      <c r="AE6" s="994">
        <f t="shared" si="3"/>
        <v>0</v>
      </c>
      <c r="AF6" s="994">
        <f>AF5+SUM(AF9:AF55)</f>
        <v>0</v>
      </c>
      <c r="AG6" s="994">
        <f t="shared" si="3"/>
        <v>0</v>
      </c>
      <c r="AH6" s="994">
        <f t="shared" si="3"/>
        <v>0</v>
      </c>
      <c r="AI6" s="994">
        <f t="shared" si="3"/>
        <v>0</v>
      </c>
      <c r="AJ6" s="994">
        <f t="shared" si="3"/>
        <v>0</v>
      </c>
      <c r="AK6" s="994">
        <f t="shared" si="3"/>
        <v>0</v>
      </c>
    </row>
    <row r="7" spans="1:37" ht="13.5" thickBot="1">
      <c r="A7" s="850"/>
      <c r="B7" s="850"/>
      <c r="C7" s="850"/>
      <c r="D7" s="850"/>
      <c r="E7" s="850"/>
      <c r="F7" s="153" t="s">
        <v>3385</v>
      </c>
      <c r="G7" s="1180" t="s">
        <v>681</v>
      </c>
      <c r="H7" s="1180" t="s">
        <v>681</v>
      </c>
      <c r="I7" s="1180" t="s">
        <v>681</v>
      </c>
      <c r="J7" s="1180" t="s">
        <v>681</v>
      </c>
      <c r="K7" s="1180" t="s">
        <v>681</v>
      </c>
      <c r="L7" s="1180" t="s">
        <v>681</v>
      </c>
      <c r="M7" s="1180" t="s">
        <v>681</v>
      </c>
      <c r="N7" s="1180" t="s">
        <v>681</v>
      </c>
      <c r="O7" s="1180" t="s">
        <v>681</v>
      </c>
      <c r="P7" s="1180" t="s">
        <v>681</v>
      </c>
      <c r="Q7" s="1180" t="s">
        <v>681</v>
      </c>
      <c r="R7" s="1180" t="s">
        <v>681</v>
      </c>
      <c r="S7" s="1180" t="s">
        <v>681</v>
      </c>
      <c r="T7" s="1180" t="s">
        <v>681</v>
      </c>
      <c r="U7" s="1180" t="s">
        <v>681</v>
      </c>
      <c r="V7" s="1180" t="s">
        <v>681</v>
      </c>
      <c r="W7" s="1180" t="s">
        <v>681</v>
      </c>
      <c r="X7" s="1180" t="s">
        <v>681</v>
      </c>
      <c r="Y7" s="1180" t="s">
        <v>681</v>
      </c>
      <c r="Z7" s="1180" t="s">
        <v>681</v>
      </c>
      <c r="AA7" s="1180" t="s">
        <v>681</v>
      </c>
      <c r="AB7" s="1180" t="s">
        <v>681</v>
      </c>
      <c r="AC7" s="1180" t="s">
        <v>681</v>
      </c>
      <c r="AD7" s="1180" t="s">
        <v>681</v>
      </c>
      <c r="AE7" s="1180" t="s">
        <v>681</v>
      </c>
      <c r="AF7" s="1180" t="s">
        <v>681</v>
      </c>
      <c r="AG7" s="1180" t="s">
        <v>681</v>
      </c>
      <c r="AH7" s="1180" t="s">
        <v>681</v>
      </c>
      <c r="AI7" s="1180" t="s">
        <v>681</v>
      </c>
      <c r="AJ7" s="1180" t="s">
        <v>681</v>
      </c>
      <c r="AK7" s="1180" t="s">
        <v>681</v>
      </c>
    </row>
    <row r="8" spans="1:37" ht="39" thickBot="1">
      <c r="A8" s="850"/>
      <c r="B8" s="327" t="s">
        <v>2003</v>
      </c>
      <c r="C8" s="328" t="s">
        <v>2004</v>
      </c>
      <c r="D8" s="329" t="s">
        <v>2005</v>
      </c>
      <c r="E8" s="152" t="s">
        <v>3386</v>
      </c>
      <c r="F8" s="152" t="s">
        <v>3387</v>
      </c>
      <c r="G8" s="992"/>
      <c r="H8" s="992"/>
      <c r="I8" s="992"/>
      <c r="J8" s="992"/>
      <c r="K8" s="992"/>
      <c r="L8" s="992"/>
      <c r="M8" s="992"/>
      <c r="N8" s="992"/>
      <c r="O8" s="992"/>
      <c r="P8" s="992"/>
      <c r="Q8" s="992"/>
      <c r="R8" s="992"/>
      <c r="S8" s="992"/>
      <c r="T8" s="992"/>
      <c r="U8" s="992"/>
      <c r="V8" s="992"/>
      <c r="W8" s="992"/>
      <c r="X8" s="992"/>
      <c r="Y8" s="992"/>
      <c r="Z8" s="992"/>
      <c r="AA8" s="992"/>
      <c r="AB8" s="992"/>
      <c r="AC8" s="992"/>
      <c r="AD8" s="992"/>
      <c r="AE8" s="992"/>
      <c r="AF8" s="992"/>
      <c r="AG8" s="992"/>
      <c r="AH8" s="992"/>
      <c r="AI8" s="992"/>
      <c r="AJ8" s="992"/>
      <c r="AK8" s="992"/>
    </row>
    <row r="9" spans="1:37">
      <c r="A9" s="850"/>
      <c r="B9" s="1181"/>
      <c r="C9" s="1182"/>
      <c r="D9" s="330" t="s">
        <v>2008</v>
      </c>
      <c r="E9" s="1183"/>
      <c r="F9" s="1183"/>
      <c r="G9" s="1183"/>
      <c r="H9" s="1183"/>
      <c r="I9" s="1183"/>
      <c r="J9" s="1183"/>
      <c r="K9" s="1183"/>
      <c r="L9" s="1183"/>
      <c r="M9" s="1183"/>
      <c r="N9" s="1183"/>
      <c r="O9" s="1183"/>
      <c r="P9" s="1183"/>
      <c r="Q9" s="1183"/>
      <c r="R9" s="1183"/>
      <c r="S9" s="1183"/>
      <c r="T9" s="1183"/>
      <c r="U9" s="1183"/>
      <c r="V9" s="1183"/>
      <c r="W9" s="1183"/>
      <c r="X9" s="1183"/>
      <c r="Y9" s="1183"/>
      <c r="Z9" s="1183"/>
      <c r="AA9" s="1183"/>
      <c r="AB9" s="1183"/>
      <c r="AC9" s="1183"/>
      <c r="AD9" s="1183"/>
      <c r="AE9" s="1183"/>
      <c r="AF9" s="1183"/>
      <c r="AG9" s="1183"/>
      <c r="AH9" s="1183"/>
      <c r="AI9" s="1183"/>
      <c r="AJ9" s="1183"/>
      <c r="AK9" s="1184"/>
    </row>
    <row r="10" spans="1:37" s="1" customFormat="1">
      <c r="B10" s="331" t="s">
        <v>2009</v>
      </c>
      <c r="C10" s="332" t="s">
        <v>2010</v>
      </c>
      <c r="D10" s="333" t="s">
        <v>2011</v>
      </c>
      <c r="E10" s="338">
        <f>SUM(G10:AK10)</f>
        <v>1806302117</v>
      </c>
      <c r="F10" s="339"/>
      <c r="G10" s="339"/>
      <c r="H10" s="339"/>
      <c r="I10" s="339"/>
      <c r="J10" s="339"/>
      <c r="K10" s="339"/>
      <c r="L10" s="339"/>
      <c r="M10" s="339"/>
      <c r="N10" s="339"/>
      <c r="O10" s="339"/>
      <c r="P10" s="339"/>
      <c r="Q10" s="339"/>
      <c r="R10" s="339"/>
      <c r="S10" s="339"/>
      <c r="T10" s="339"/>
      <c r="U10" s="339"/>
      <c r="V10" s="339"/>
      <c r="W10" s="339"/>
      <c r="X10" s="339"/>
      <c r="Y10" s="339"/>
      <c r="Z10" s="339"/>
      <c r="AA10" s="339"/>
      <c r="AB10" s="339"/>
      <c r="AC10" s="339"/>
      <c r="AD10" s="339"/>
      <c r="AE10" s="339"/>
      <c r="AF10" s="339"/>
      <c r="AG10" s="339"/>
      <c r="AH10" s="339"/>
      <c r="AI10" s="339"/>
      <c r="AJ10" s="340">
        <f>-AJ5</f>
        <v>-57126174103</v>
      </c>
      <c r="AK10" s="341">
        <f>-AK5</f>
        <v>58932476220</v>
      </c>
    </row>
    <row r="11" spans="1:37">
      <c r="A11" s="850"/>
      <c r="B11" s="1185"/>
      <c r="C11" s="1186"/>
      <c r="D11" s="333" t="s">
        <v>2012</v>
      </c>
      <c r="E11" s="1187"/>
      <c r="F11" s="1187"/>
      <c r="G11" s="1187"/>
      <c r="H11" s="1187"/>
      <c r="I11" s="1187"/>
      <c r="J11" s="1187"/>
      <c r="K11" s="1187"/>
      <c r="L11" s="1187"/>
      <c r="M11" s="1187"/>
      <c r="N11" s="1187"/>
      <c r="O11" s="1187"/>
      <c r="P11" s="1187"/>
      <c r="Q11" s="1187"/>
      <c r="R11" s="1187"/>
      <c r="S11" s="1187"/>
      <c r="T11" s="1187"/>
      <c r="U11" s="1187"/>
      <c r="V11" s="1187"/>
      <c r="W11" s="1187"/>
      <c r="X11" s="1187"/>
      <c r="Y11" s="1187"/>
      <c r="Z11" s="1187"/>
      <c r="AA11" s="1187"/>
      <c r="AB11" s="1187"/>
      <c r="AC11" s="1187"/>
      <c r="AD11" s="1187"/>
      <c r="AE11" s="1187"/>
      <c r="AF11" s="1187"/>
      <c r="AG11" s="1187"/>
      <c r="AH11" s="1187"/>
      <c r="AI11" s="1187"/>
      <c r="AJ11" s="1187"/>
      <c r="AK11" s="1188"/>
    </row>
    <row r="12" spans="1:37">
      <c r="A12" s="850"/>
      <c r="B12" s="1185" t="s">
        <v>2013</v>
      </c>
      <c r="C12" s="1189" t="s">
        <v>2014</v>
      </c>
      <c r="D12" s="1189" t="s">
        <v>2015</v>
      </c>
      <c r="E12" s="1190">
        <f>SUM(G12:AK12)</f>
        <v>3982574676</v>
      </c>
      <c r="F12" s="1187"/>
      <c r="G12" s="1187"/>
      <c r="H12" s="1187"/>
      <c r="I12" s="1187"/>
      <c r="J12" s="1187"/>
      <c r="K12" s="1187"/>
      <c r="L12" s="1187"/>
      <c r="M12" s="1187"/>
      <c r="N12" s="1187"/>
      <c r="O12" s="1187"/>
      <c r="P12" s="1187"/>
      <c r="Q12" s="1187"/>
      <c r="R12" s="1187"/>
      <c r="S12" s="1191">
        <f>-S5</f>
        <v>511064286</v>
      </c>
      <c r="T12" s="1187"/>
      <c r="U12" s="1191">
        <f>-U5</f>
        <v>3471510390</v>
      </c>
      <c r="V12" s="1187"/>
      <c r="W12" s="1187"/>
      <c r="X12" s="1187"/>
      <c r="Y12" s="1187"/>
      <c r="Z12" s="1187"/>
      <c r="AA12" s="1187"/>
      <c r="AB12" s="1187"/>
      <c r="AC12" s="1187"/>
      <c r="AD12" s="1187"/>
      <c r="AE12" s="1187"/>
      <c r="AF12" s="1187"/>
      <c r="AG12" s="1187"/>
      <c r="AH12" s="1187"/>
      <c r="AI12" s="1187"/>
      <c r="AJ12" s="1187"/>
      <c r="AK12" s="1188"/>
    </row>
    <row r="13" spans="1:37">
      <c r="A13" s="850"/>
      <c r="B13" s="1185" t="s">
        <v>2016</v>
      </c>
      <c r="C13" s="1189" t="s">
        <v>2017</v>
      </c>
      <c r="D13" s="1189" t="s">
        <v>2018</v>
      </c>
      <c r="E13" s="1190">
        <f t="shared" ref="E13:E17" si="4">SUM(G13:AK13)</f>
        <v>34901218771</v>
      </c>
      <c r="F13" s="1187"/>
      <c r="G13" s="1187"/>
      <c r="H13" s="1187"/>
      <c r="I13" s="1187"/>
      <c r="J13" s="1191">
        <f>-J5</f>
        <v>-56888841</v>
      </c>
      <c r="K13" s="1187"/>
      <c r="L13" s="1187"/>
      <c r="M13" s="1187"/>
      <c r="N13" s="1187"/>
      <c r="O13" s="1187"/>
      <c r="P13" s="1187"/>
      <c r="Q13" s="1187"/>
      <c r="R13" s="1187"/>
      <c r="S13" s="1187"/>
      <c r="T13" s="1187"/>
      <c r="U13" s="1187"/>
      <c r="V13" s="1187"/>
      <c r="W13" s="1187"/>
      <c r="X13" s="1187"/>
      <c r="Y13" s="1191">
        <f>-Y5</f>
        <v>34958107612</v>
      </c>
      <c r="Z13" s="1187"/>
      <c r="AA13" s="1187"/>
      <c r="AB13" s="1187"/>
      <c r="AC13" s="1187"/>
      <c r="AD13" s="1187"/>
      <c r="AE13" s="1187"/>
      <c r="AF13" s="1187"/>
      <c r="AG13" s="1187"/>
      <c r="AH13" s="1187"/>
      <c r="AI13" s="1187"/>
      <c r="AJ13" s="1187"/>
      <c r="AK13" s="1188"/>
    </row>
    <row r="14" spans="1:37" ht="25.5">
      <c r="A14" s="850"/>
      <c r="B14" s="1185" t="s">
        <v>2019</v>
      </c>
      <c r="C14" s="1189" t="s">
        <v>2020</v>
      </c>
      <c r="D14" s="1192" t="s">
        <v>2021</v>
      </c>
      <c r="E14" s="1190">
        <f t="shared" si="4"/>
        <v>0</v>
      </c>
      <c r="F14" s="1187"/>
      <c r="G14" s="1187"/>
      <c r="H14" s="1187"/>
      <c r="I14" s="1187"/>
      <c r="J14" s="1187"/>
      <c r="K14" s="1187"/>
      <c r="L14" s="1187"/>
      <c r="M14" s="1187"/>
      <c r="N14" s="1187"/>
      <c r="O14" s="1187"/>
      <c r="P14" s="1187"/>
      <c r="Q14" s="1187"/>
      <c r="R14" s="1187"/>
      <c r="S14" s="1187"/>
      <c r="T14" s="1187"/>
      <c r="U14" s="1187"/>
      <c r="V14" s="1187"/>
      <c r="W14" s="1187"/>
      <c r="X14" s="1187"/>
      <c r="Y14" s="1187"/>
      <c r="Z14" s="1187"/>
      <c r="AA14" s="1187"/>
      <c r="AB14" s="1187"/>
      <c r="AC14" s="1187"/>
      <c r="AD14" s="1187"/>
      <c r="AE14" s="1187"/>
      <c r="AF14" s="1187"/>
      <c r="AG14" s="1187"/>
      <c r="AH14" s="1187"/>
      <c r="AI14" s="1187"/>
      <c r="AJ14" s="1187"/>
      <c r="AK14" s="1188"/>
    </row>
    <row r="15" spans="1:37">
      <c r="A15" s="850"/>
      <c r="B15" s="1185" t="s">
        <v>2022</v>
      </c>
      <c r="C15" s="1189" t="s">
        <v>2023</v>
      </c>
      <c r="D15" s="1189" t="s">
        <v>2024</v>
      </c>
      <c r="E15" s="1190">
        <f t="shared" si="4"/>
        <v>-62740415169</v>
      </c>
      <c r="F15" s="1187"/>
      <c r="G15" s="1187"/>
      <c r="H15" s="1187"/>
      <c r="I15" s="1187"/>
      <c r="J15" s="1187"/>
      <c r="K15" s="1187"/>
      <c r="L15" s="1187"/>
      <c r="M15" s="1187"/>
      <c r="N15" s="1190">
        <f>-SUM('A4.N2FS Singles'!F501:F502)</f>
        <v>-62740415169</v>
      </c>
      <c r="O15" s="1187"/>
      <c r="P15" s="1187"/>
      <c r="Q15" s="1187"/>
      <c r="R15" s="1187"/>
      <c r="S15" s="1187"/>
      <c r="T15" s="1187"/>
      <c r="U15" s="1187"/>
      <c r="V15" s="1187"/>
      <c r="W15" s="1187"/>
      <c r="X15" s="1187"/>
      <c r="Y15" s="1187"/>
      <c r="Z15" s="1187"/>
      <c r="AA15" s="1187"/>
      <c r="AB15" s="1187"/>
      <c r="AC15" s="1187"/>
      <c r="AD15" s="1187"/>
      <c r="AE15" s="1187"/>
      <c r="AF15" s="1187"/>
      <c r="AG15" s="1187"/>
      <c r="AH15" s="1187"/>
      <c r="AI15" s="1187"/>
      <c r="AJ15" s="1187"/>
      <c r="AK15" s="1188"/>
    </row>
    <row r="16" spans="1:37">
      <c r="A16" s="850"/>
      <c r="B16" s="1185" t="s">
        <v>2025</v>
      </c>
      <c r="C16" s="1189" t="s">
        <v>2026</v>
      </c>
      <c r="D16" s="1189" t="s">
        <v>2027</v>
      </c>
      <c r="E16" s="1190">
        <f t="shared" si="4"/>
        <v>101149864</v>
      </c>
      <c r="F16" s="1187"/>
      <c r="G16" s="1187"/>
      <c r="H16" s="1187"/>
      <c r="I16" s="1187"/>
      <c r="J16" s="1187"/>
      <c r="K16" s="1187"/>
      <c r="L16" s="1187"/>
      <c r="M16" s="1187"/>
      <c r="N16" s="1187"/>
      <c r="O16" s="1187"/>
      <c r="P16" s="1187"/>
      <c r="Q16" s="1187"/>
      <c r="R16" s="1187"/>
      <c r="S16" s="1187"/>
      <c r="T16" s="1187"/>
      <c r="U16" s="1187"/>
      <c r="V16" s="1187"/>
      <c r="W16" s="1187"/>
      <c r="X16" s="1187"/>
      <c r="Y16" s="1187"/>
      <c r="Z16" s="1187"/>
      <c r="AA16" s="1187"/>
      <c r="AB16" s="1187"/>
      <c r="AC16" s="1187"/>
      <c r="AD16" s="1187"/>
      <c r="AE16" s="1190">
        <f>'A4.N2FS Singles'!F567</f>
        <v>101149864</v>
      </c>
      <c r="AF16" s="1190"/>
      <c r="AG16" s="1187"/>
      <c r="AH16" s="1187"/>
      <c r="AI16" s="1187"/>
      <c r="AJ16" s="1187"/>
      <c r="AK16" s="1188"/>
    </row>
    <row r="17" spans="2:37">
      <c r="B17" s="1185" t="s">
        <v>2028</v>
      </c>
      <c r="C17" s="1189" t="s">
        <v>2029</v>
      </c>
      <c r="D17" s="1189" t="s">
        <v>2030</v>
      </c>
      <c r="E17" s="1190">
        <f t="shared" si="4"/>
        <v>0</v>
      </c>
      <c r="F17" s="1187"/>
      <c r="G17" s="1187"/>
      <c r="H17" s="1187"/>
      <c r="I17" s="1187"/>
      <c r="J17" s="1187"/>
      <c r="K17" s="1187"/>
      <c r="L17" s="1187"/>
      <c r="M17" s="1187"/>
      <c r="N17" s="1187"/>
      <c r="O17" s="1187"/>
      <c r="P17" s="1187"/>
      <c r="Q17" s="1187"/>
      <c r="R17" s="1187"/>
      <c r="S17" s="1187"/>
      <c r="T17" s="1187"/>
      <c r="U17" s="1187"/>
      <c r="V17" s="1187"/>
      <c r="W17" s="1187"/>
      <c r="X17" s="1187"/>
      <c r="Y17" s="1187"/>
      <c r="Z17" s="1187"/>
      <c r="AA17" s="1187"/>
      <c r="AB17" s="1187"/>
      <c r="AC17" s="1187"/>
      <c r="AD17" s="1187"/>
      <c r="AE17" s="1187"/>
      <c r="AF17" s="1187"/>
      <c r="AG17" s="1187"/>
      <c r="AH17" s="1187"/>
      <c r="AI17" s="1187"/>
      <c r="AJ17" s="1187"/>
      <c r="AK17" s="1188"/>
    </row>
    <row r="18" spans="2:37">
      <c r="B18" s="1185"/>
      <c r="C18" s="1186"/>
      <c r="D18" s="1186"/>
      <c r="E18" s="1187"/>
      <c r="F18" s="1187"/>
      <c r="G18" s="1187"/>
      <c r="H18" s="1187"/>
      <c r="I18" s="1187"/>
      <c r="J18" s="1187"/>
      <c r="K18" s="1187"/>
      <c r="L18" s="1187"/>
      <c r="M18" s="1187"/>
      <c r="N18" s="1187"/>
      <c r="O18" s="1187"/>
      <c r="P18" s="1187"/>
      <c r="Q18" s="1187"/>
      <c r="R18" s="1187"/>
      <c r="S18" s="1187"/>
      <c r="T18" s="1187"/>
      <c r="U18" s="1187"/>
      <c r="V18" s="1187"/>
      <c r="W18" s="1187"/>
      <c r="X18" s="1187"/>
      <c r="Y18" s="1187"/>
      <c r="Z18" s="1187"/>
      <c r="AA18" s="1187"/>
      <c r="AB18" s="1187"/>
      <c r="AC18" s="1187"/>
      <c r="AD18" s="1187"/>
      <c r="AE18" s="1187"/>
      <c r="AF18" s="1187"/>
      <c r="AG18" s="1187"/>
      <c r="AH18" s="1187"/>
      <c r="AI18" s="1187"/>
      <c r="AJ18" s="1187"/>
      <c r="AK18" s="1188"/>
    </row>
    <row r="19" spans="2:37" s="1" customFormat="1" ht="25.5">
      <c r="B19" s="331"/>
      <c r="C19" s="332" t="s">
        <v>2031</v>
      </c>
      <c r="D19" s="334" t="s">
        <v>2032</v>
      </c>
      <c r="E19" s="340">
        <f>SUM(E10:E17)</f>
        <v>-21949169741</v>
      </c>
      <c r="F19" s="339"/>
      <c r="G19" s="339"/>
      <c r="H19" s="339"/>
      <c r="I19" s="339"/>
      <c r="J19" s="339"/>
      <c r="K19" s="339"/>
      <c r="L19" s="339"/>
      <c r="M19" s="339"/>
      <c r="N19" s="339"/>
      <c r="O19" s="339"/>
      <c r="P19" s="339"/>
      <c r="Q19" s="339"/>
      <c r="R19" s="339"/>
      <c r="S19" s="339"/>
      <c r="T19" s="339"/>
      <c r="U19" s="339"/>
      <c r="V19" s="339"/>
      <c r="W19" s="339"/>
      <c r="X19" s="339"/>
      <c r="Y19" s="339"/>
      <c r="Z19" s="339"/>
      <c r="AA19" s="339"/>
      <c r="AB19" s="339"/>
      <c r="AC19" s="339"/>
      <c r="AD19" s="339"/>
      <c r="AE19" s="339"/>
      <c r="AF19" s="339"/>
      <c r="AG19" s="339"/>
      <c r="AH19" s="339"/>
      <c r="AI19" s="339"/>
      <c r="AJ19" s="339"/>
      <c r="AK19" s="342"/>
    </row>
    <row r="20" spans="2:37">
      <c r="B20" s="1185" t="s">
        <v>2033</v>
      </c>
      <c r="C20" s="1189" t="s">
        <v>2034</v>
      </c>
      <c r="D20" s="1189" t="s">
        <v>2035</v>
      </c>
      <c r="E20" s="1190">
        <f>SUM(G20:AK20)</f>
        <v>23486270463</v>
      </c>
      <c r="F20" s="1187"/>
      <c r="G20" s="1187"/>
      <c r="H20" s="1187"/>
      <c r="I20" s="1187"/>
      <c r="J20" s="1187"/>
      <c r="K20" s="1187"/>
      <c r="L20" s="1191">
        <f>-L5</f>
        <v>-200869616</v>
      </c>
      <c r="M20" s="1191">
        <f>-M5</f>
        <v>-69497895</v>
      </c>
      <c r="N20" s="1191">
        <f>-N5-N15-N38</f>
        <v>23781691002</v>
      </c>
      <c r="O20" s="1187"/>
      <c r="P20" s="1187"/>
      <c r="Q20" s="1191">
        <f>-Q5</f>
        <v>-25053028</v>
      </c>
      <c r="R20" s="1187"/>
      <c r="S20" s="1187"/>
      <c r="T20" s="1187"/>
      <c r="U20" s="1187"/>
      <c r="V20" s="1187"/>
      <c r="W20" s="1187"/>
      <c r="X20" s="1187"/>
      <c r="Y20" s="1187"/>
      <c r="Z20" s="1187"/>
      <c r="AA20" s="1187"/>
      <c r="AB20" s="1187"/>
      <c r="AC20" s="1187"/>
      <c r="AD20" s="1187"/>
      <c r="AE20" s="1187"/>
      <c r="AF20" s="1187"/>
      <c r="AG20" s="1187"/>
      <c r="AH20" s="1187"/>
      <c r="AI20" s="1187"/>
      <c r="AJ20" s="1187"/>
      <c r="AK20" s="1188"/>
    </row>
    <row r="21" spans="2:37">
      <c r="B21" s="1185" t="s">
        <v>2036</v>
      </c>
      <c r="C21" s="1189" t="s">
        <v>2037</v>
      </c>
      <c r="D21" s="1189" t="s">
        <v>2038</v>
      </c>
      <c r="E21" s="1190">
        <f t="shared" ref="E21:E28" si="5">SUM(G21:AK21)</f>
        <v>3000000000</v>
      </c>
      <c r="F21" s="1187"/>
      <c r="G21" s="1187"/>
      <c r="H21" s="1187"/>
      <c r="I21" s="1187"/>
      <c r="J21" s="1187"/>
      <c r="K21" s="1187"/>
      <c r="L21" s="1187"/>
      <c r="M21" s="1187"/>
      <c r="N21" s="1187"/>
      <c r="O21" s="1191">
        <f>-O5</f>
        <v>3000000000</v>
      </c>
      <c r="P21" s="1187"/>
      <c r="Q21" s="1187"/>
      <c r="R21" s="1187"/>
      <c r="S21" s="1187"/>
      <c r="T21" s="1187"/>
      <c r="U21" s="1187"/>
      <c r="V21" s="1187"/>
      <c r="W21" s="1187"/>
      <c r="X21" s="1187"/>
      <c r="Y21" s="1187"/>
      <c r="Z21" s="1187"/>
      <c r="AA21" s="1187"/>
      <c r="AB21" s="1187"/>
      <c r="AC21" s="1187"/>
      <c r="AD21" s="1187"/>
      <c r="AE21" s="1187"/>
      <c r="AF21" s="1187"/>
      <c r="AG21" s="1187"/>
      <c r="AH21" s="1187"/>
      <c r="AI21" s="1187"/>
      <c r="AJ21" s="1187"/>
      <c r="AK21" s="1188"/>
    </row>
    <row r="22" spans="2:37" ht="25.5">
      <c r="B22" s="1185" t="s">
        <v>2039</v>
      </c>
      <c r="C22" s="1189" t="s">
        <v>2040</v>
      </c>
      <c r="D22" s="1192" t="s">
        <v>2041</v>
      </c>
      <c r="E22" s="1190">
        <f t="shared" si="5"/>
        <v>-598122192369</v>
      </c>
      <c r="F22" s="1187"/>
      <c r="G22" s="1187"/>
      <c r="H22" s="1187"/>
      <c r="I22" s="1187"/>
      <c r="J22" s="1187"/>
      <c r="K22" s="1187"/>
      <c r="L22" s="1187"/>
      <c r="M22" s="1187"/>
      <c r="N22" s="1187"/>
      <c r="O22" s="1187"/>
      <c r="P22" s="1187"/>
      <c r="Q22" s="1187"/>
      <c r="R22" s="1187"/>
      <c r="S22" s="1187"/>
      <c r="T22" s="1187"/>
      <c r="U22" s="1187"/>
      <c r="V22" s="1187"/>
      <c r="W22" s="1187"/>
      <c r="X22" s="1187"/>
      <c r="Y22" s="1187"/>
      <c r="Z22" s="1187"/>
      <c r="AA22" s="1191">
        <f>-AA5</f>
        <v>-5087053115</v>
      </c>
      <c r="AB22" s="1191">
        <f>-AB5-AB26</f>
        <v>-2161835566</v>
      </c>
      <c r="AC22" s="1191">
        <f>-AC5</f>
        <v>-2870306532</v>
      </c>
      <c r="AD22" s="1191">
        <f>-AD5</f>
        <v>-81588169</v>
      </c>
      <c r="AE22" s="1191">
        <f>-AE5-SUM(AE16,AE25)</f>
        <v>-584129408987</v>
      </c>
      <c r="AF22" s="1191"/>
      <c r="AG22" s="1191">
        <f>-AG5</f>
        <v>-3792000000</v>
      </c>
      <c r="AH22" s="1187"/>
      <c r="AI22" s="1187"/>
      <c r="AJ22" s="1187"/>
      <c r="AK22" s="1188"/>
    </row>
    <row r="23" spans="2:37">
      <c r="B23" s="1185" t="s">
        <v>2042</v>
      </c>
      <c r="C23" s="1189" t="s">
        <v>2043</v>
      </c>
      <c r="D23" s="1189" t="s">
        <v>2044</v>
      </c>
      <c r="E23" s="1190">
        <f t="shared" si="5"/>
        <v>1128955184</v>
      </c>
      <c r="F23" s="1187"/>
      <c r="G23" s="1187"/>
      <c r="H23" s="1187"/>
      <c r="I23" s="1187"/>
      <c r="J23" s="1187"/>
      <c r="K23" s="1187"/>
      <c r="L23" s="1187"/>
      <c r="M23" s="1187"/>
      <c r="N23" s="1187"/>
      <c r="O23" s="1187"/>
      <c r="P23" s="1191">
        <f>-P5</f>
        <v>160754911</v>
      </c>
      <c r="Q23" s="1187"/>
      <c r="R23" s="1187"/>
      <c r="S23" s="1187"/>
      <c r="T23" s="1187"/>
      <c r="U23" s="1187"/>
      <c r="V23" s="1187"/>
      <c r="W23" s="1187"/>
      <c r="X23" s="1187"/>
      <c r="Y23" s="1187"/>
      <c r="Z23" s="1191">
        <f>-Z5</f>
        <v>968200273</v>
      </c>
      <c r="AA23" s="1187"/>
      <c r="AB23" s="1187"/>
      <c r="AC23" s="1187"/>
      <c r="AD23" s="1187"/>
      <c r="AE23" s="1187"/>
      <c r="AF23" s="1187"/>
      <c r="AG23" s="1187"/>
      <c r="AH23" s="1187"/>
      <c r="AI23" s="1187"/>
      <c r="AJ23" s="1187"/>
      <c r="AK23" s="1188"/>
    </row>
    <row r="24" spans="2:37">
      <c r="B24" s="1185" t="s">
        <v>2045</v>
      </c>
      <c r="C24" s="1189" t="s">
        <v>2046</v>
      </c>
      <c r="D24" s="1189" t="s">
        <v>2047</v>
      </c>
      <c r="E24" s="1190">
        <f t="shared" si="5"/>
        <v>80792475521</v>
      </c>
      <c r="F24" s="1187"/>
      <c r="G24" s="1187"/>
      <c r="H24" s="1187"/>
      <c r="I24" s="1191">
        <f>-I5</f>
        <v>80792475521</v>
      </c>
      <c r="J24" s="1187"/>
      <c r="K24" s="1187"/>
      <c r="L24" s="1187"/>
      <c r="M24" s="1187"/>
      <c r="N24" s="1187"/>
      <c r="O24" s="1187"/>
      <c r="P24" s="1187"/>
      <c r="Q24" s="1187"/>
      <c r="R24" s="1187"/>
      <c r="S24" s="1187"/>
      <c r="T24" s="1187"/>
      <c r="U24" s="1187"/>
      <c r="V24" s="1187"/>
      <c r="W24" s="1187"/>
      <c r="X24" s="1187"/>
      <c r="Y24" s="1187"/>
      <c r="Z24" s="1187"/>
      <c r="AA24" s="1187"/>
      <c r="AB24" s="1187"/>
      <c r="AC24" s="1187"/>
      <c r="AD24" s="1187"/>
      <c r="AE24" s="1187"/>
      <c r="AF24" s="1187"/>
      <c r="AG24" s="1187"/>
      <c r="AH24" s="1187"/>
      <c r="AI24" s="1187"/>
      <c r="AJ24" s="1187"/>
      <c r="AK24" s="1188"/>
    </row>
    <row r="25" spans="2:37">
      <c r="B25" s="1185" t="s">
        <v>2048</v>
      </c>
      <c r="C25" s="1189" t="s">
        <v>2049</v>
      </c>
      <c r="D25" s="1189" t="s">
        <v>2050</v>
      </c>
      <c r="E25" s="1190">
        <f t="shared" si="5"/>
        <v>-101149864</v>
      </c>
      <c r="F25" s="1187"/>
      <c r="G25" s="1187"/>
      <c r="H25" s="1187"/>
      <c r="I25" s="1187"/>
      <c r="J25" s="1187"/>
      <c r="K25" s="1187"/>
      <c r="L25" s="1187"/>
      <c r="M25" s="1187"/>
      <c r="N25" s="1187"/>
      <c r="O25" s="1187"/>
      <c r="P25" s="1187"/>
      <c r="Q25" s="1187"/>
      <c r="R25" s="1187"/>
      <c r="S25" s="1187"/>
      <c r="T25" s="1187"/>
      <c r="U25" s="1187"/>
      <c r="V25" s="1187"/>
      <c r="W25" s="1187"/>
      <c r="X25" s="1187"/>
      <c r="Y25" s="1187"/>
      <c r="Z25" s="1187"/>
      <c r="AA25" s="1187"/>
      <c r="AB25" s="1187"/>
      <c r="AC25" s="1187"/>
      <c r="AD25" s="1187"/>
      <c r="AE25" s="1191">
        <f>-AE16</f>
        <v>-101149864</v>
      </c>
      <c r="AF25" s="1191"/>
      <c r="AG25" s="1187"/>
      <c r="AH25" s="1187"/>
      <c r="AI25" s="1187"/>
      <c r="AJ25" s="1187"/>
      <c r="AK25" s="1188"/>
    </row>
    <row r="26" spans="2:37">
      <c r="B26" s="1185" t="s">
        <v>2051</v>
      </c>
      <c r="C26" s="1189" t="s">
        <v>2052</v>
      </c>
      <c r="D26" s="1189" t="s">
        <v>2053</v>
      </c>
      <c r="E26" s="1190">
        <f t="shared" si="5"/>
        <v>0</v>
      </c>
      <c r="F26" s="1187"/>
      <c r="G26" s="1187"/>
      <c r="H26" s="1187"/>
      <c r="I26" s="1187"/>
      <c r="J26" s="1187"/>
      <c r="K26" s="1187"/>
      <c r="L26" s="1187"/>
      <c r="M26" s="1187"/>
      <c r="N26" s="1187"/>
      <c r="O26" s="1187"/>
      <c r="P26" s="1187"/>
      <c r="Q26" s="1187"/>
      <c r="R26" s="1187"/>
      <c r="S26" s="1187"/>
      <c r="T26" s="1187"/>
      <c r="U26" s="1187"/>
      <c r="V26" s="1187"/>
      <c r="W26" s="1187"/>
      <c r="X26" s="1187"/>
      <c r="Y26" s="1187"/>
      <c r="Z26" s="1187"/>
      <c r="AA26" s="1187"/>
      <c r="AB26" s="1190">
        <v>0</v>
      </c>
      <c r="AC26" s="1187"/>
      <c r="AD26" s="1187"/>
      <c r="AE26" s="1187"/>
      <c r="AF26" s="1187"/>
      <c r="AG26" s="1187"/>
      <c r="AH26" s="1187"/>
      <c r="AI26" s="1187"/>
      <c r="AJ26" s="1187"/>
      <c r="AK26" s="1188"/>
    </row>
    <row r="27" spans="2:37">
      <c r="B27" s="1185" t="s">
        <v>2054</v>
      </c>
      <c r="C27" s="1189" t="s">
        <v>2055</v>
      </c>
      <c r="D27" s="1189" t="s">
        <v>2056</v>
      </c>
      <c r="E27" s="1190">
        <f t="shared" si="5"/>
        <v>0</v>
      </c>
      <c r="F27" s="1187"/>
      <c r="G27" s="1187"/>
      <c r="H27" s="1187"/>
      <c r="I27" s="1187"/>
      <c r="J27" s="1187"/>
      <c r="K27" s="1187"/>
      <c r="L27" s="1187"/>
      <c r="M27" s="1187"/>
      <c r="N27" s="1187"/>
      <c r="O27" s="1187"/>
      <c r="P27" s="1187"/>
      <c r="Q27" s="1187"/>
      <c r="R27" s="1187"/>
      <c r="S27" s="1187"/>
      <c r="T27" s="1187"/>
      <c r="U27" s="1187"/>
      <c r="V27" s="1187"/>
      <c r="W27" s="1187"/>
      <c r="X27" s="1187"/>
      <c r="Y27" s="1187"/>
      <c r="Z27" s="1187"/>
      <c r="AA27" s="1187"/>
      <c r="AB27" s="1187"/>
      <c r="AC27" s="1187"/>
      <c r="AD27" s="1187"/>
      <c r="AE27" s="1187"/>
      <c r="AF27" s="1187"/>
      <c r="AG27" s="1187"/>
      <c r="AH27" s="1187"/>
      <c r="AI27" s="1187"/>
      <c r="AJ27" s="1187"/>
      <c r="AK27" s="1188"/>
    </row>
    <row r="28" spans="2:37">
      <c r="B28" s="1185" t="s">
        <v>2057</v>
      </c>
      <c r="C28" s="1189" t="s">
        <v>2058</v>
      </c>
      <c r="D28" s="1189" t="s">
        <v>2059</v>
      </c>
      <c r="E28" s="1190">
        <f t="shared" si="5"/>
        <v>0</v>
      </c>
      <c r="F28" s="1187"/>
      <c r="G28" s="1187"/>
      <c r="H28" s="1187"/>
      <c r="I28" s="1187"/>
      <c r="J28" s="1187"/>
      <c r="K28" s="1187"/>
      <c r="L28" s="1187"/>
      <c r="M28" s="1187"/>
      <c r="N28" s="1187"/>
      <c r="O28" s="1187"/>
      <c r="P28" s="1187"/>
      <c r="Q28" s="1187"/>
      <c r="R28" s="1187"/>
      <c r="S28" s="1187"/>
      <c r="T28" s="1187"/>
      <c r="U28" s="1187"/>
      <c r="V28" s="1187"/>
      <c r="W28" s="1187"/>
      <c r="X28" s="1187"/>
      <c r="Y28" s="1187"/>
      <c r="Z28" s="1187"/>
      <c r="AA28" s="1187"/>
      <c r="AB28" s="1187"/>
      <c r="AC28" s="1187"/>
      <c r="AD28" s="1187"/>
      <c r="AE28" s="1187"/>
      <c r="AF28" s="1187"/>
      <c r="AG28" s="1187"/>
      <c r="AH28" s="1187"/>
      <c r="AI28" s="1187"/>
      <c r="AJ28" s="1187"/>
      <c r="AK28" s="1188"/>
    </row>
    <row r="29" spans="2:37">
      <c r="B29" s="1185"/>
      <c r="C29" s="332" t="s">
        <v>2060</v>
      </c>
      <c r="D29" s="333" t="s">
        <v>2061</v>
      </c>
      <c r="E29" s="340">
        <f>SUM(E19:E28)</f>
        <v>-511764810806</v>
      </c>
      <c r="F29" s="1187"/>
      <c r="G29" s="1187"/>
      <c r="H29" s="1187"/>
      <c r="I29" s="1187"/>
      <c r="J29" s="1187"/>
      <c r="K29" s="1187"/>
      <c r="L29" s="1187"/>
      <c r="M29" s="1187"/>
      <c r="N29" s="1187"/>
      <c r="O29" s="1187"/>
      <c r="P29" s="1187"/>
      <c r="Q29" s="1187"/>
      <c r="R29" s="1187"/>
      <c r="S29" s="1187"/>
      <c r="T29" s="1187"/>
      <c r="U29" s="1187"/>
      <c r="V29" s="1187"/>
      <c r="W29" s="1187"/>
      <c r="X29" s="1187"/>
      <c r="Y29" s="1187"/>
      <c r="Z29" s="1187"/>
      <c r="AA29" s="1187"/>
      <c r="AB29" s="1187"/>
      <c r="AC29" s="1187"/>
      <c r="AD29" s="1187"/>
      <c r="AE29" s="1187"/>
      <c r="AF29" s="1187"/>
      <c r="AG29" s="1187"/>
      <c r="AH29" s="1187"/>
      <c r="AI29" s="1187"/>
      <c r="AJ29" s="1187"/>
      <c r="AK29" s="1188"/>
    </row>
    <row r="30" spans="2:37">
      <c r="B30" s="1185"/>
      <c r="C30" s="1186"/>
      <c r="D30" s="1186"/>
      <c r="E30" s="1187"/>
      <c r="F30" s="1187"/>
      <c r="G30" s="1187"/>
      <c r="H30" s="1187"/>
      <c r="I30" s="1187"/>
      <c r="J30" s="1187"/>
      <c r="K30" s="1187"/>
      <c r="L30" s="1187"/>
      <c r="M30" s="1187"/>
      <c r="N30" s="1187"/>
      <c r="O30" s="1187"/>
      <c r="P30" s="1187"/>
      <c r="Q30" s="1187"/>
      <c r="R30" s="1187"/>
      <c r="S30" s="1187"/>
      <c r="T30" s="1187"/>
      <c r="U30" s="1187"/>
      <c r="V30" s="1187"/>
      <c r="W30" s="1187"/>
      <c r="X30" s="1187"/>
      <c r="Y30" s="1187"/>
      <c r="Z30" s="1187"/>
      <c r="AA30" s="1187"/>
      <c r="AB30" s="1187"/>
      <c r="AC30" s="1187"/>
      <c r="AD30" s="1187"/>
      <c r="AE30" s="1187"/>
      <c r="AF30" s="1187"/>
      <c r="AG30" s="1187"/>
      <c r="AH30" s="1187"/>
      <c r="AI30" s="1187"/>
      <c r="AJ30" s="1187"/>
      <c r="AK30" s="1188"/>
    </row>
    <row r="31" spans="2:37">
      <c r="B31" s="1185"/>
      <c r="C31" s="1186"/>
      <c r="D31" s="333" t="s">
        <v>2062</v>
      </c>
      <c r="E31" s="1187"/>
      <c r="F31" s="1187"/>
      <c r="G31" s="1187"/>
      <c r="H31" s="1187"/>
      <c r="I31" s="1187"/>
      <c r="J31" s="1187"/>
      <c r="K31" s="1187"/>
      <c r="L31" s="1187"/>
      <c r="M31" s="1187"/>
      <c r="N31" s="1187"/>
      <c r="O31" s="1187"/>
      <c r="P31" s="1187"/>
      <c r="Q31" s="1187"/>
      <c r="R31" s="1187"/>
      <c r="S31" s="1187"/>
      <c r="T31" s="1187"/>
      <c r="U31" s="1187"/>
      <c r="V31" s="1187"/>
      <c r="W31" s="1187"/>
      <c r="X31" s="1187"/>
      <c r="Y31" s="1187"/>
      <c r="Z31" s="1187"/>
      <c r="AA31" s="1187"/>
      <c r="AB31" s="1187"/>
      <c r="AC31" s="1187"/>
      <c r="AD31" s="1187"/>
      <c r="AE31" s="1187"/>
      <c r="AF31" s="1187"/>
      <c r="AG31" s="1187"/>
      <c r="AH31" s="1187"/>
      <c r="AI31" s="1187"/>
      <c r="AJ31" s="1187"/>
      <c r="AK31" s="1188"/>
    </row>
    <row r="32" spans="2:37" ht="25.5">
      <c r="B32" s="1185" t="s">
        <v>2063</v>
      </c>
      <c r="C32" s="1189" t="s">
        <v>2064</v>
      </c>
      <c r="D32" s="1193" t="s">
        <v>2065</v>
      </c>
      <c r="E32" s="1190">
        <f t="shared" ref="E32:E37" si="6">SUM(G32:AK32)</f>
        <v>-10075774283</v>
      </c>
      <c r="F32" s="1187"/>
      <c r="G32" s="1187"/>
      <c r="H32" s="1187"/>
      <c r="I32" s="1187"/>
      <c r="J32" s="1187"/>
      <c r="K32" s="1187"/>
      <c r="L32" s="1187"/>
      <c r="M32" s="1187"/>
      <c r="N32" s="1187"/>
      <c r="O32" s="1187"/>
      <c r="P32" s="1187"/>
      <c r="Q32" s="1187"/>
      <c r="R32" s="1191">
        <f>-R5</f>
        <v>-80909091</v>
      </c>
      <c r="S32" s="1187"/>
      <c r="T32" s="1191">
        <f>-T5</f>
        <v>-8330777517</v>
      </c>
      <c r="U32" s="1187"/>
      <c r="V32" s="1191">
        <f>-V5</f>
        <v>-1664087675</v>
      </c>
      <c r="W32" s="1187"/>
      <c r="X32" s="1187"/>
      <c r="Y32" s="1187"/>
      <c r="Z32" s="1187"/>
      <c r="AA32" s="1187"/>
      <c r="AB32" s="1187"/>
      <c r="AC32" s="1187"/>
      <c r="AD32" s="1187"/>
      <c r="AE32" s="1187"/>
      <c r="AF32" s="1187"/>
      <c r="AG32" s="1187"/>
      <c r="AH32" s="1187"/>
      <c r="AI32" s="1187"/>
      <c r="AJ32" s="1187"/>
      <c r="AK32" s="1188"/>
    </row>
    <row r="33" spans="2:37" ht="25.5">
      <c r="B33" s="1185" t="s">
        <v>2066</v>
      </c>
      <c r="C33" s="1189" t="s">
        <v>2067</v>
      </c>
      <c r="D33" s="1193" t="s">
        <v>2068</v>
      </c>
      <c r="E33" s="1190">
        <f t="shared" si="6"/>
        <v>0</v>
      </c>
      <c r="F33" s="1187"/>
      <c r="G33" s="1187"/>
      <c r="H33" s="1187"/>
      <c r="I33" s="1187"/>
      <c r="J33" s="1187"/>
      <c r="K33" s="1187"/>
      <c r="L33" s="1187"/>
      <c r="M33" s="1187"/>
      <c r="N33" s="1187"/>
      <c r="O33" s="1187"/>
      <c r="P33" s="1187"/>
      <c r="Q33" s="1187"/>
      <c r="R33" s="1187"/>
      <c r="S33" s="1187"/>
      <c r="T33" s="1187"/>
      <c r="U33" s="1187"/>
      <c r="V33" s="1187"/>
      <c r="W33" s="1187"/>
      <c r="X33" s="1187"/>
      <c r="Y33" s="1187"/>
      <c r="Z33" s="1187"/>
      <c r="AA33" s="1187"/>
      <c r="AB33" s="1187"/>
      <c r="AC33" s="1187"/>
      <c r="AD33" s="1187"/>
      <c r="AE33" s="1187"/>
      <c r="AF33" s="1187"/>
      <c r="AG33" s="1187"/>
      <c r="AH33" s="1187"/>
      <c r="AI33" s="1187"/>
      <c r="AJ33" s="1187"/>
      <c r="AK33" s="1188"/>
    </row>
    <row r="34" spans="2:37">
      <c r="B34" s="1185" t="s">
        <v>2069</v>
      </c>
      <c r="C34" s="1189" t="s">
        <v>2070</v>
      </c>
      <c r="D34" s="1193" t="s">
        <v>2071</v>
      </c>
      <c r="E34" s="1190">
        <f t="shared" si="6"/>
        <v>0</v>
      </c>
      <c r="F34" s="1187"/>
      <c r="G34" s="1187"/>
      <c r="H34" s="1187"/>
      <c r="I34" s="1187"/>
      <c r="J34" s="1187"/>
      <c r="K34" s="1191"/>
      <c r="L34" s="1187"/>
      <c r="M34" s="1187"/>
      <c r="N34" s="1187"/>
      <c r="O34" s="1187"/>
      <c r="P34" s="1187"/>
      <c r="Q34" s="1187"/>
      <c r="R34" s="1187"/>
      <c r="S34" s="1187"/>
      <c r="T34" s="1187"/>
      <c r="U34" s="1187"/>
      <c r="V34" s="1187"/>
      <c r="W34" s="1187"/>
      <c r="X34" s="1187"/>
      <c r="Y34" s="1187"/>
      <c r="Z34" s="1187"/>
      <c r="AA34" s="1187"/>
      <c r="AB34" s="1187"/>
      <c r="AC34" s="1187"/>
      <c r="AD34" s="1187"/>
      <c r="AE34" s="1187"/>
      <c r="AF34" s="1187"/>
      <c r="AG34" s="1187"/>
      <c r="AH34" s="1187"/>
      <c r="AI34" s="1187"/>
      <c r="AJ34" s="1187"/>
      <c r="AK34" s="1188"/>
    </row>
    <row r="35" spans="2:37" ht="25.5">
      <c r="B35" s="1185" t="s">
        <v>2072</v>
      </c>
      <c r="C35" s="1189" t="s">
        <v>2073</v>
      </c>
      <c r="D35" s="1193" t="s">
        <v>2074</v>
      </c>
      <c r="E35" s="1190">
        <f t="shared" si="6"/>
        <v>459090150687</v>
      </c>
      <c r="F35" s="1187"/>
      <c r="G35" s="1187"/>
      <c r="H35" s="1187"/>
      <c r="I35" s="1187"/>
      <c r="J35" s="1187"/>
      <c r="K35" s="1191">
        <f>-K5</f>
        <v>459090150687</v>
      </c>
      <c r="L35" s="1187"/>
      <c r="M35" s="1187"/>
      <c r="N35" s="1187"/>
      <c r="O35" s="1187"/>
      <c r="P35" s="1187"/>
      <c r="Q35" s="1187"/>
      <c r="R35" s="1187"/>
      <c r="S35" s="1187"/>
      <c r="T35" s="1187"/>
      <c r="U35" s="1187"/>
      <c r="V35" s="1187"/>
      <c r="W35" s="1187"/>
      <c r="X35" s="1187"/>
      <c r="Y35" s="1187"/>
      <c r="Z35" s="1187"/>
      <c r="AA35" s="1187"/>
      <c r="AB35" s="1187"/>
      <c r="AC35" s="1187"/>
      <c r="AD35" s="1187"/>
      <c r="AE35" s="1187"/>
      <c r="AF35" s="1187"/>
      <c r="AG35" s="1187"/>
      <c r="AH35" s="1187"/>
      <c r="AI35" s="1187"/>
      <c r="AJ35" s="1187"/>
      <c r="AK35" s="1188"/>
    </row>
    <row r="36" spans="2:37">
      <c r="B36" s="1185" t="s">
        <v>2075</v>
      </c>
      <c r="C36" s="1189" t="s">
        <v>2076</v>
      </c>
      <c r="D36" s="1186" t="s">
        <v>2077</v>
      </c>
      <c r="E36" s="1190">
        <f t="shared" si="6"/>
        <v>0</v>
      </c>
      <c r="F36" s="1187"/>
      <c r="G36" s="1187"/>
      <c r="H36" s="1187"/>
      <c r="I36" s="1187"/>
      <c r="J36" s="1187"/>
      <c r="K36" s="1187"/>
      <c r="L36" s="1187"/>
      <c r="M36" s="1187"/>
      <c r="N36" s="1187"/>
      <c r="O36" s="1187"/>
      <c r="P36" s="1187"/>
      <c r="Q36" s="1187"/>
      <c r="R36" s="1187"/>
      <c r="S36" s="1187"/>
      <c r="T36" s="1187"/>
      <c r="U36" s="1187"/>
      <c r="V36" s="1187"/>
      <c r="W36" s="1191">
        <f>-W5</f>
        <v>0</v>
      </c>
      <c r="X36" s="1191">
        <f>-X5</f>
        <v>0</v>
      </c>
      <c r="Y36" s="1187"/>
      <c r="Z36" s="1187"/>
      <c r="AA36" s="1187"/>
      <c r="AB36" s="1187"/>
      <c r="AC36" s="1187"/>
      <c r="AD36" s="1187"/>
      <c r="AE36" s="1187"/>
      <c r="AF36" s="1187"/>
      <c r="AG36" s="1187"/>
      <c r="AH36" s="1187"/>
      <c r="AI36" s="1187"/>
      <c r="AJ36" s="1187"/>
      <c r="AK36" s="1188"/>
    </row>
    <row r="37" spans="2:37">
      <c r="B37" s="1185" t="s">
        <v>2078</v>
      </c>
      <c r="C37" s="1189" t="s">
        <v>2079</v>
      </c>
      <c r="D37" s="1186" t="s">
        <v>2080</v>
      </c>
      <c r="E37" s="1190">
        <f t="shared" si="6"/>
        <v>0</v>
      </c>
      <c r="F37" s="1187"/>
      <c r="G37" s="1187"/>
      <c r="H37" s="1187"/>
      <c r="I37" s="1187"/>
      <c r="J37" s="1187"/>
      <c r="K37" s="1187"/>
      <c r="L37" s="1187"/>
      <c r="M37" s="1187"/>
      <c r="N37" s="1187"/>
      <c r="O37" s="1187"/>
      <c r="P37" s="1187"/>
      <c r="Q37" s="1187"/>
      <c r="R37" s="1187"/>
      <c r="S37" s="1187"/>
      <c r="T37" s="1187"/>
      <c r="U37" s="1187"/>
      <c r="V37" s="1187"/>
      <c r="W37" s="1187"/>
      <c r="X37" s="1187"/>
      <c r="Y37" s="1187"/>
      <c r="Z37" s="1187"/>
      <c r="AA37" s="1187"/>
      <c r="AB37" s="1187"/>
      <c r="AC37" s="1187"/>
      <c r="AD37" s="1187"/>
      <c r="AE37" s="1187"/>
      <c r="AF37" s="1187"/>
      <c r="AG37" s="1187"/>
      <c r="AH37" s="1187"/>
      <c r="AI37" s="1187"/>
      <c r="AJ37" s="1187"/>
      <c r="AK37" s="1188"/>
    </row>
    <row r="38" spans="2:37">
      <c r="B38" s="1185" t="s">
        <v>2081</v>
      </c>
      <c r="C38" s="1189" t="s">
        <v>2082</v>
      </c>
      <c r="D38" s="1186" t="s">
        <v>2083</v>
      </c>
      <c r="E38" s="1190">
        <f>SUM(G38:AK38)</f>
        <v>59080639923</v>
      </c>
      <c r="F38" s="1187"/>
      <c r="G38" s="1187"/>
      <c r="H38" s="1187"/>
      <c r="I38" s="1187"/>
      <c r="J38" s="1187"/>
      <c r="K38" s="1187"/>
      <c r="L38" s="1187"/>
      <c r="M38" s="1187"/>
      <c r="N38" s="1191">
        <f>E61</f>
        <v>59080639923</v>
      </c>
      <c r="O38" s="1187"/>
      <c r="P38" s="1187"/>
      <c r="Q38" s="1187"/>
      <c r="R38" s="1187"/>
      <c r="S38" s="1187"/>
      <c r="T38" s="1187"/>
      <c r="U38" s="1187"/>
      <c r="V38" s="1187"/>
      <c r="W38" s="1187"/>
      <c r="X38" s="1187"/>
      <c r="Y38" s="1187"/>
      <c r="Z38" s="1187"/>
      <c r="AA38" s="1187"/>
      <c r="AB38" s="1187"/>
      <c r="AC38" s="1187"/>
      <c r="AD38" s="1187"/>
      <c r="AE38" s="1187"/>
      <c r="AF38" s="1187"/>
      <c r="AG38" s="1187"/>
      <c r="AH38" s="1187"/>
      <c r="AI38" s="1187"/>
      <c r="AJ38" s="1187"/>
      <c r="AK38" s="1188"/>
    </row>
    <row r="39" spans="2:37">
      <c r="B39" s="1185"/>
      <c r="C39" s="332" t="s">
        <v>2084</v>
      </c>
      <c r="D39" s="333" t="s">
        <v>2085</v>
      </c>
      <c r="E39" s="340">
        <f>SUM(E32:E38)</f>
        <v>508095016327</v>
      </c>
      <c r="F39" s="1187"/>
      <c r="G39" s="1187"/>
      <c r="H39" s="1187"/>
      <c r="I39" s="1187"/>
      <c r="J39" s="1187"/>
      <c r="K39" s="1187"/>
      <c r="L39" s="1187"/>
      <c r="M39" s="1187"/>
      <c r="N39" s="1187"/>
      <c r="O39" s="1187"/>
      <c r="P39" s="1187"/>
      <c r="Q39" s="1187"/>
      <c r="R39" s="1187"/>
      <c r="S39" s="1187"/>
      <c r="T39" s="1187"/>
      <c r="U39" s="1187"/>
      <c r="V39" s="1187"/>
      <c r="W39" s="1187"/>
      <c r="X39" s="1187"/>
      <c r="Y39" s="1187"/>
      <c r="Z39" s="1187"/>
      <c r="AA39" s="1187"/>
      <c r="AB39" s="1187"/>
      <c r="AC39" s="1187"/>
      <c r="AD39" s="1187"/>
      <c r="AE39" s="1187"/>
      <c r="AF39" s="1187"/>
      <c r="AG39" s="1187"/>
      <c r="AH39" s="1187"/>
      <c r="AI39" s="1187"/>
      <c r="AJ39" s="1187"/>
      <c r="AK39" s="1188"/>
    </row>
    <row r="40" spans="2:37">
      <c r="B40" s="1185"/>
      <c r="C40" s="1186"/>
      <c r="D40" s="1186"/>
      <c r="E40" s="1187"/>
      <c r="F40" s="1187"/>
      <c r="G40" s="1187"/>
      <c r="H40" s="1187"/>
      <c r="I40" s="1187"/>
      <c r="J40" s="1187"/>
      <c r="K40" s="1187"/>
      <c r="L40" s="1187"/>
      <c r="M40" s="1187"/>
      <c r="N40" s="1187"/>
      <c r="O40" s="1187"/>
      <c r="P40" s="1187"/>
      <c r="Q40" s="1187"/>
      <c r="R40" s="1187"/>
      <c r="S40" s="1187"/>
      <c r="T40" s="1187"/>
      <c r="U40" s="1187"/>
      <c r="V40" s="1187"/>
      <c r="W40" s="1187"/>
      <c r="X40" s="1187"/>
      <c r="Y40" s="1187"/>
      <c r="Z40" s="1187"/>
      <c r="AA40" s="1187"/>
      <c r="AB40" s="1187"/>
      <c r="AC40" s="1187"/>
      <c r="AD40" s="1187"/>
      <c r="AE40" s="1187"/>
      <c r="AF40" s="1187"/>
      <c r="AG40" s="1187"/>
      <c r="AH40" s="1187"/>
      <c r="AI40" s="1187"/>
      <c r="AJ40" s="1187"/>
      <c r="AK40" s="1188"/>
    </row>
    <row r="41" spans="2:37">
      <c r="B41" s="1185"/>
      <c r="C41" s="1186"/>
      <c r="D41" s="333" t="s">
        <v>2086</v>
      </c>
      <c r="E41" s="1187"/>
      <c r="F41" s="1187"/>
      <c r="G41" s="1187"/>
      <c r="H41" s="1187"/>
      <c r="I41" s="1187"/>
      <c r="J41" s="1187"/>
      <c r="K41" s="1187"/>
      <c r="L41" s="1187"/>
      <c r="M41" s="1187"/>
      <c r="N41" s="1187"/>
      <c r="O41" s="1187"/>
      <c r="P41" s="1187"/>
      <c r="Q41" s="1187"/>
      <c r="R41" s="1187"/>
      <c r="S41" s="1187"/>
      <c r="T41" s="1187"/>
      <c r="U41" s="1187"/>
      <c r="V41" s="1187"/>
      <c r="W41" s="1187"/>
      <c r="X41" s="1187"/>
      <c r="Y41" s="1187"/>
      <c r="Z41" s="1187"/>
      <c r="AA41" s="1187"/>
      <c r="AB41" s="1187"/>
      <c r="AC41" s="1187"/>
      <c r="AD41" s="1187"/>
      <c r="AE41" s="1187"/>
      <c r="AF41" s="1187"/>
      <c r="AG41" s="1187"/>
      <c r="AH41" s="1187"/>
      <c r="AI41" s="1187"/>
      <c r="AJ41" s="1187"/>
      <c r="AK41" s="1188"/>
    </row>
    <row r="42" spans="2:37" ht="25.5">
      <c r="B42" s="1185" t="s">
        <v>2087</v>
      </c>
      <c r="C42" s="1189" t="s">
        <v>2088</v>
      </c>
      <c r="D42" s="1193" t="s">
        <v>2089</v>
      </c>
      <c r="E42" s="1190">
        <f t="shared" ref="E42:E47" si="7">SUM(G42:AK42)</f>
        <v>0</v>
      </c>
      <c r="F42" s="1187"/>
      <c r="G42" s="1187"/>
      <c r="H42" s="1187"/>
      <c r="I42" s="1187"/>
      <c r="J42" s="1187"/>
      <c r="K42" s="1187"/>
      <c r="L42" s="1187"/>
      <c r="M42" s="1187"/>
      <c r="N42" s="1187"/>
      <c r="O42" s="1187"/>
      <c r="P42" s="1187"/>
      <c r="Q42" s="1187"/>
      <c r="R42" s="1187"/>
      <c r="S42" s="1187"/>
      <c r="T42" s="1187"/>
      <c r="U42" s="1187"/>
      <c r="V42" s="1187"/>
      <c r="W42" s="1187"/>
      <c r="X42" s="1187"/>
      <c r="Y42" s="1187"/>
      <c r="Z42" s="1187"/>
      <c r="AA42" s="1187"/>
      <c r="AB42" s="1187"/>
      <c r="AC42" s="1187"/>
      <c r="AD42" s="1187"/>
      <c r="AE42" s="1187"/>
      <c r="AF42" s="1187"/>
      <c r="AG42" s="1187"/>
      <c r="AH42" s="1191">
        <f>-AH5</f>
        <v>0</v>
      </c>
      <c r="AI42" s="1187"/>
      <c r="AJ42" s="1187"/>
      <c r="AK42" s="1188"/>
    </row>
    <row r="43" spans="2:37" ht="25.5">
      <c r="B43" s="1185" t="s">
        <v>2090</v>
      </c>
      <c r="C43" s="1189" t="s">
        <v>2091</v>
      </c>
      <c r="D43" s="1193" t="s">
        <v>2092</v>
      </c>
      <c r="E43" s="1190">
        <f t="shared" si="7"/>
        <v>0</v>
      </c>
      <c r="F43" s="1187"/>
      <c r="G43" s="1187"/>
      <c r="H43" s="1187"/>
      <c r="I43" s="1187"/>
      <c r="J43" s="1187"/>
      <c r="K43" s="1187"/>
      <c r="L43" s="1187"/>
      <c r="M43" s="1187"/>
      <c r="N43" s="1187"/>
      <c r="O43" s="1187"/>
      <c r="P43" s="1187"/>
      <c r="Q43" s="1187"/>
      <c r="R43" s="1187"/>
      <c r="S43" s="1187"/>
      <c r="T43" s="1187"/>
      <c r="U43" s="1187"/>
      <c r="V43" s="1187"/>
      <c r="W43" s="1187"/>
      <c r="X43" s="1187"/>
      <c r="Y43" s="1187"/>
      <c r="Z43" s="1187"/>
      <c r="AA43" s="1187"/>
      <c r="AB43" s="1187"/>
      <c r="AC43" s="1187"/>
      <c r="AD43" s="1187"/>
      <c r="AE43" s="1187"/>
      <c r="AF43" s="1187"/>
      <c r="AG43" s="1187"/>
      <c r="AH43" s="1187"/>
      <c r="AI43" s="1187"/>
      <c r="AJ43" s="1187"/>
      <c r="AK43" s="1188"/>
    </row>
    <row r="44" spans="2:37">
      <c r="B44" s="1185" t="s">
        <v>2093</v>
      </c>
      <c r="C44" s="1189" t="s">
        <v>2094</v>
      </c>
      <c r="D44" s="1186" t="s">
        <v>2095</v>
      </c>
      <c r="E44" s="1190">
        <f>SUM(G44:AK44)</f>
        <v>4500000000</v>
      </c>
      <c r="F44" s="1187"/>
      <c r="G44" s="1187"/>
      <c r="H44" s="1187"/>
      <c r="I44" s="1187"/>
      <c r="J44" s="1187"/>
      <c r="K44" s="1187"/>
      <c r="L44" s="1187"/>
      <c r="M44" s="1187"/>
      <c r="N44" s="1187"/>
      <c r="O44" s="1187"/>
      <c r="P44" s="1187"/>
      <c r="Q44" s="1187"/>
      <c r="R44" s="1187"/>
      <c r="S44" s="1187"/>
      <c r="T44" s="1187"/>
      <c r="U44" s="1187"/>
      <c r="V44" s="1187"/>
      <c r="W44" s="1187"/>
      <c r="X44" s="1187"/>
      <c r="Y44" s="1187"/>
      <c r="Z44" s="1187"/>
      <c r="AA44" s="1187"/>
      <c r="AB44" s="1187"/>
      <c r="AC44" s="1187"/>
      <c r="AD44" s="1187"/>
      <c r="AE44" s="1187"/>
      <c r="AF44" s="1191">
        <f>-AF5</f>
        <v>4500000000</v>
      </c>
      <c r="AG44" s="1187"/>
      <c r="AH44" s="1187"/>
      <c r="AI44" s="1187"/>
      <c r="AJ44" s="1187"/>
      <c r="AK44" s="1188"/>
    </row>
    <row r="45" spans="2:37">
      <c r="B45" s="1185" t="s">
        <v>2096</v>
      </c>
      <c r="C45" s="1189" t="s">
        <v>2097</v>
      </c>
      <c r="D45" s="1186" t="s">
        <v>2098</v>
      </c>
      <c r="E45" s="1190">
        <f t="shared" si="7"/>
        <v>0</v>
      </c>
      <c r="F45" s="1187"/>
      <c r="G45" s="1187"/>
      <c r="H45" s="1187"/>
      <c r="I45" s="1187"/>
      <c r="J45" s="1187"/>
      <c r="K45" s="1187"/>
      <c r="L45" s="1187"/>
      <c r="M45" s="1187"/>
      <c r="N45" s="1187"/>
      <c r="O45" s="1187"/>
      <c r="P45" s="1187"/>
      <c r="Q45" s="1187"/>
      <c r="R45" s="1187"/>
      <c r="S45" s="1187"/>
      <c r="T45" s="1187"/>
      <c r="U45" s="1187"/>
      <c r="V45" s="1187"/>
      <c r="W45" s="1187"/>
      <c r="X45" s="1187"/>
      <c r="Y45" s="1187"/>
      <c r="Z45" s="1187"/>
      <c r="AA45" s="1187"/>
      <c r="AB45" s="1187"/>
      <c r="AC45" s="1187"/>
      <c r="AD45" s="1187"/>
      <c r="AE45" s="1187"/>
      <c r="AF45" s="1187"/>
      <c r="AG45" s="1187"/>
      <c r="AH45" s="1187"/>
      <c r="AI45" s="1187"/>
      <c r="AJ45" s="1187"/>
      <c r="AK45" s="1188"/>
    </row>
    <row r="46" spans="2:37">
      <c r="B46" s="1185" t="s">
        <v>2099</v>
      </c>
      <c r="C46" s="1189" t="s">
        <v>2100</v>
      </c>
      <c r="D46" s="1186" t="s">
        <v>2101</v>
      </c>
      <c r="E46" s="1190">
        <f t="shared" si="7"/>
        <v>0</v>
      </c>
      <c r="F46" s="1187"/>
      <c r="G46" s="1187"/>
      <c r="H46" s="1187"/>
      <c r="I46" s="1187"/>
      <c r="J46" s="1187"/>
      <c r="K46" s="1187"/>
      <c r="L46" s="1187"/>
      <c r="M46" s="1187"/>
      <c r="N46" s="1187"/>
      <c r="O46" s="1187"/>
      <c r="P46" s="1187"/>
      <c r="Q46" s="1187"/>
      <c r="R46" s="1187"/>
      <c r="S46" s="1187"/>
      <c r="T46" s="1187"/>
      <c r="U46" s="1187"/>
      <c r="V46" s="1187"/>
      <c r="W46" s="1187"/>
      <c r="X46" s="1187"/>
      <c r="Y46" s="1187"/>
      <c r="Z46" s="1187"/>
      <c r="AA46" s="1187"/>
      <c r="AB46" s="1187"/>
      <c r="AC46" s="1187"/>
      <c r="AD46" s="1187"/>
      <c r="AE46" s="1187"/>
      <c r="AF46" s="1187"/>
      <c r="AG46" s="1187"/>
      <c r="AH46" s="1187"/>
      <c r="AI46" s="1187"/>
      <c r="AJ46" s="1187"/>
      <c r="AK46" s="1188"/>
    </row>
    <row r="47" spans="2:37">
      <c r="B47" s="1185" t="s">
        <v>2102</v>
      </c>
      <c r="C47" s="1189" t="s">
        <v>2103</v>
      </c>
      <c r="D47" s="1186" t="s">
        <v>2104</v>
      </c>
      <c r="E47" s="1190">
        <f t="shared" si="7"/>
        <v>0</v>
      </c>
      <c r="F47" s="1187"/>
      <c r="G47" s="1187"/>
      <c r="H47" s="1187"/>
      <c r="I47" s="1187"/>
      <c r="J47" s="1187"/>
      <c r="K47" s="1187"/>
      <c r="L47" s="1187"/>
      <c r="M47" s="1187"/>
      <c r="N47" s="1187"/>
      <c r="O47" s="1187"/>
      <c r="P47" s="1187"/>
      <c r="Q47" s="1187"/>
      <c r="R47" s="1187"/>
      <c r="S47" s="1187"/>
      <c r="T47" s="1187"/>
      <c r="U47" s="1187"/>
      <c r="V47" s="1187"/>
      <c r="W47" s="1187"/>
      <c r="X47" s="1187"/>
      <c r="Y47" s="1187"/>
      <c r="Z47" s="1187"/>
      <c r="AA47" s="1187"/>
      <c r="AB47" s="1187"/>
      <c r="AC47" s="1187"/>
      <c r="AD47" s="1187"/>
      <c r="AE47" s="1187"/>
      <c r="AF47" s="1187"/>
      <c r="AG47" s="1187"/>
      <c r="AH47" s="1187"/>
      <c r="AI47" s="1187"/>
      <c r="AJ47" s="1187"/>
      <c r="AK47" s="1188"/>
    </row>
    <row r="48" spans="2:37">
      <c r="B48" s="1185"/>
      <c r="C48" s="332" t="s">
        <v>2105</v>
      </c>
      <c r="D48" s="333" t="s">
        <v>2106</v>
      </c>
      <c r="E48" s="340">
        <f>SUM(E42:E47)</f>
        <v>4500000000</v>
      </c>
      <c r="F48" s="1187"/>
      <c r="G48" s="1187"/>
      <c r="H48" s="1187"/>
      <c r="I48" s="1187"/>
      <c r="J48" s="1187"/>
      <c r="K48" s="1187"/>
      <c r="L48" s="1187"/>
      <c r="M48" s="1187"/>
      <c r="N48" s="1187"/>
      <c r="O48" s="1187"/>
      <c r="P48" s="1187"/>
      <c r="Q48" s="1187"/>
      <c r="R48" s="1187"/>
      <c r="S48" s="1187"/>
      <c r="T48" s="1187"/>
      <c r="U48" s="1187"/>
      <c r="V48" s="1187"/>
      <c r="W48" s="1187"/>
      <c r="X48" s="1187"/>
      <c r="Y48" s="1187"/>
      <c r="Z48" s="1187"/>
      <c r="AA48" s="1187"/>
      <c r="AB48" s="1187"/>
      <c r="AC48" s="1187"/>
      <c r="AD48" s="1187"/>
      <c r="AE48" s="1187"/>
      <c r="AF48" s="1187"/>
      <c r="AG48" s="1187"/>
      <c r="AH48" s="1187"/>
      <c r="AI48" s="1187"/>
      <c r="AJ48" s="1187"/>
      <c r="AK48" s="1188"/>
    </row>
    <row r="49" spans="1:37">
      <c r="A49" s="850"/>
      <c r="B49" s="1185"/>
      <c r="C49" s="1186"/>
      <c r="D49" s="1186"/>
      <c r="E49" s="1187"/>
      <c r="F49" s="1187"/>
      <c r="G49" s="1187"/>
      <c r="H49" s="1187"/>
      <c r="I49" s="1187"/>
      <c r="J49" s="1187"/>
      <c r="K49" s="1187"/>
      <c r="L49" s="1187"/>
      <c r="M49" s="1187"/>
      <c r="N49" s="1187"/>
      <c r="O49" s="1187"/>
      <c r="P49" s="1187"/>
      <c r="Q49" s="1187"/>
      <c r="R49" s="1187"/>
      <c r="S49" s="1187"/>
      <c r="T49" s="1187"/>
      <c r="U49" s="1187"/>
      <c r="V49" s="1187"/>
      <c r="W49" s="1187"/>
      <c r="X49" s="1187"/>
      <c r="Y49" s="1187"/>
      <c r="Z49" s="1187"/>
      <c r="AA49" s="1187"/>
      <c r="AB49" s="1187"/>
      <c r="AC49" s="1187"/>
      <c r="AD49" s="1187"/>
      <c r="AE49" s="1187"/>
      <c r="AF49" s="1187"/>
      <c r="AG49" s="1187"/>
      <c r="AH49" s="1187"/>
      <c r="AI49" s="1187"/>
      <c r="AJ49" s="1187"/>
      <c r="AK49" s="1188"/>
    </row>
    <row r="50" spans="1:37">
      <c r="A50" s="850"/>
      <c r="B50" s="1185"/>
      <c r="C50" s="332" t="s">
        <v>2107</v>
      </c>
      <c r="D50" s="333" t="s">
        <v>2108</v>
      </c>
      <c r="E50" s="1191">
        <f>SUM(E29,E39,E48)</f>
        <v>830205521</v>
      </c>
      <c r="F50" s="1187"/>
      <c r="G50" s="1190"/>
      <c r="H50" s="1187"/>
      <c r="I50" s="1187"/>
      <c r="J50" s="1187"/>
      <c r="K50" s="1187"/>
      <c r="L50" s="1187"/>
      <c r="M50" s="1187"/>
      <c r="N50" s="1187"/>
      <c r="O50" s="1187"/>
      <c r="P50" s="1187"/>
      <c r="Q50" s="1187"/>
      <c r="R50" s="1187"/>
      <c r="S50" s="1187"/>
      <c r="T50" s="1187"/>
      <c r="U50" s="1187"/>
      <c r="V50" s="1187"/>
      <c r="W50" s="1187"/>
      <c r="X50" s="1187"/>
      <c r="Y50" s="1187"/>
      <c r="Z50" s="1187"/>
      <c r="AA50" s="1187"/>
      <c r="AB50" s="1187"/>
      <c r="AC50" s="1187"/>
      <c r="AD50" s="1187"/>
      <c r="AE50" s="1187"/>
      <c r="AF50" s="1187"/>
      <c r="AG50" s="1187"/>
      <c r="AH50" s="1187"/>
      <c r="AI50" s="1187"/>
      <c r="AJ50" s="1187"/>
      <c r="AK50" s="1188"/>
    </row>
    <row r="51" spans="1:37">
      <c r="A51" s="850"/>
      <c r="B51" s="1185"/>
      <c r="C51" s="1186"/>
      <c r="D51" s="1186"/>
      <c r="E51" s="1187"/>
      <c r="F51" s="1187"/>
      <c r="G51" s="1190"/>
      <c r="H51" s="1187"/>
      <c r="I51" s="1187"/>
      <c r="J51" s="1187"/>
      <c r="K51" s="1187"/>
      <c r="L51" s="1187"/>
      <c r="M51" s="1187"/>
      <c r="N51" s="1187"/>
      <c r="O51" s="1187"/>
      <c r="P51" s="1187"/>
      <c r="Q51" s="1187"/>
      <c r="R51" s="1187"/>
      <c r="S51" s="1187"/>
      <c r="T51" s="1187"/>
      <c r="U51" s="1187"/>
      <c r="V51" s="1187"/>
      <c r="W51" s="1187"/>
      <c r="X51" s="1187"/>
      <c r="Y51" s="1187"/>
      <c r="Z51" s="1187"/>
      <c r="AA51" s="1187"/>
      <c r="AB51" s="1187"/>
      <c r="AC51" s="1187"/>
      <c r="AD51" s="1187"/>
      <c r="AE51" s="1187"/>
      <c r="AF51" s="1187"/>
      <c r="AG51" s="1187"/>
      <c r="AH51" s="1187"/>
      <c r="AI51" s="1187"/>
      <c r="AJ51" s="1187"/>
      <c r="AK51" s="1188"/>
    </row>
    <row r="52" spans="1:37">
      <c r="A52" s="850"/>
      <c r="B52" s="331" t="s">
        <v>2109</v>
      </c>
      <c r="C52" s="332" t="s">
        <v>2110</v>
      </c>
      <c r="D52" s="333" t="s">
        <v>2111</v>
      </c>
      <c r="E52" s="1190">
        <f>SUM(G52:AK52)</f>
        <v>70956772314</v>
      </c>
      <c r="F52" s="1187"/>
      <c r="G52" s="1190">
        <f>G3</f>
        <v>55946772314</v>
      </c>
      <c r="H52" s="1191">
        <f>H3</f>
        <v>15010000000</v>
      </c>
      <c r="I52" s="1187"/>
      <c r="J52" s="1187"/>
      <c r="K52" s="1187"/>
      <c r="L52" s="1187"/>
      <c r="M52" s="1187"/>
      <c r="N52" s="1187"/>
      <c r="O52" s="1187"/>
      <c r="P52" s="1187"/>
      <c r="Q52" s="1187"/>
      <c r="R52" s="1187"/>
      <c r="S52" s="1187"/>
      <c r="T52" s="1187"/>
      <c r="U52" s="1187"/>
      <c r="V52" s="1187"/>
      <c r="W52" s="1187"/>
      <c r="X52" s="1187"/>
      <c r="Y52" s="1187"/>
      <c r="Z52" s="1187"/>
      <c r="AA52" s="1187"/>
      <c r="AB52" s="1187"/>
      <c r="AC52" s="1187"/>
      <c r="AD52" s="1187"/>
      <c r="AE52" s="1187"/>
      <c r="AF52" s="1187"/>
      <c r="AG52" s="1187"/>
      <c r="AH52" s="1187"/>
      <c r="AI52" s="1187"/>
      <c r="AJ52" s="1187"/>
      <c r="AK52" s="1188"/>
    </row>
    <row r="53" spans="1:37">
      <c r="A53" s="850"/>
      <c r="B53" s="1185" t="s">
        <v>2112</v>
      </c>
      <c r="C53" s="1189" t="s">
        <v>2113</v>
      </c>
      <c r="D53" s="1193" t="s">
        <v>2114</v>
      </c>
      <c r="E53" s="1190">
        <f>SUM(G53:AK53)</f>
        <v>0</v>
      </c>
      <c r="F53" s="1187"/>
      <c r="G53" s="1190"/>
      <c r="H53" s="1187"/>
      <c r="I53" s="1187"/>
      <c r="J53" s="1187"/>
      <c r="K53" s="1187"/>
      <c r="L53" s="1187"/>
      <c r="M53" s="1187"/>
      <c r="N53" s="1187"/>
      <c r="O53" s="1187"/>
      <c r="P53" s="1187"/>
      <c r="Q53" s="1187"/>
      <c r="R53" s="1187"/>
      <c r="S53" s="1187"/>
      <c r="T53" s="1187"/>
      <c r="U53" s="1187"/>
      <c r="V53" s="1187"/>
      <c r="W53" s="1187"/>
      <c r="X53" s="1187"/>
      <c r="Y53" s="1187"/>
      <c r="Z53" s="1187"/>
      <c r="AA53" s="1187"/>
      <c r="AB53" s="1187"/>
      <c r="AC53" s="1187"/>
      <c r="AD53" s="1187"/>
      <c r="AE53" s="1187"/>
      <c r="AF53" s="1187"/>
      <c r="AG53" s="1187"/>
      <c r="AH53" s="1187"/>
      <c r="AI53" s="1187"/>
      <c r="AJ53" s="1187"/>
      <c r="AK53" s="1188"/>
    </row>
    <row r="54" spans="1:37">
      <c r="A54" s="850"/>
      <c r="B54" s="1185"/>
      <c r="C54" s="1186"/>
      <c r="D54" s="1186"/>
      <c r="E54" s="1187"/>
      <c r="F54" s="1187"/>
      <c r="G54" s="1190"/>
      <c r="H54" s="1187"/>
      <c r="I54" s="1187"/>
      <c r="J54" s="1187"/>
      <c r="K54" s="1187"/>
      <c r="L54" s="1187"/>
      <c r="M54" s="1187"/>
      <c r="N54" s="1187"/>
      <c r="O54" s="1187"/>
      <c r="P54" s="1187"/>
      <c r="Q54" s="1187"/>
      <c r="R54" s="1187"/>
      <c r="S54" s="1187"/>
      <c r="T54" s="1187"/>
      <c r="U54" s="1187"/>
      <c r="V54" s="1187"/>
      <c r="W54" s="1187"/>
      <c r="X54" s="1187"/>
      <c r="Y54" s="1187"/>
      <c r="Z54" s="1187"/>
      <c r="AA54" s="1187"/>
      <c r="AB54" s="1187"/>
      <c r="AC54" s="1187"/>
      <c r="AD54" s="1187"/>
      <c r="AE54" s="1187"/>
      <c r="AF54" s="1187"/>
      <c r="AG54" s="1187"/>
      <c r="AH54" s="1187"/>
      <c r="AI54" s="1187"/>
      <c r="AJ54" s="1187"/>
      <c r="AK54" s="1188"/>
    </row>
    <row r="55" spans="1:37" ht="13.5" thickBot="1">
      <c r="A55" s="850"/>
      <c r="B55" s="335" t="s">
        <v>2115</v>
      </c>
      <c r="C55" s="336" t="s">
        <v>2116</v>
      </c>
      <c r="D55" s="337" t="s">
        <v>2117</v>
      </c>
      <c r="E55" s="1194">
        <f>SUM(G55:AK55)</f>
        <v>71786977835</v>
      </c>
      <c r="F55" s="1195"/>
      <c r="G55" s="1194">
        <f>G4</f>
        <v>41786977835</v>
      </c>
      <c r="H55" s="1196">
        <f>H4</f>
        <v>30000000000</v>
      </c>
      <c r="I55" s="1195"/>
      <c r="J55" s="1195"/>
      <c r="K55" s="1195"/>
      <c r="L55" s="1195"/>
      <c r="M55" s="1195"/>
      <c r="N55" s="1195"/>
      <c r="O55" s="1195"/>
      <c r="P55" s="1195"/>
      <c r="Q55" s="1195"/>
      <c r="R55" s="1195"/>
      <c r="S55" s="1195"/>
      <c r="T55" s="1195"/>
      <c r="U55" s="1195"/>
      <c r="V55" s="1195"/>
      <c r="W55" s="1195"/>
      <c r="X55" s="1195"/>
      <c r="Y55" s="1195"/>
      <c r="Z55" s="1195"/>
      <c r="AA55" s="1195"/>
      <c r="AB55" s="1195"/>
      <c r="AC55" s="1195"/>
      <c r="AD55" s="1195"/>
      <c r="AE55" s="1195"/>
      <c r="AF55" s="1195"/>
      <c r="AG55" s="1195"/>
      <c r="AH55" s="1195"/>
      <c r="AI55" s="1195"/>
      <c r="AJ55" s="1195"/>
      <c r="AK55" s="1197"/>
    </row>
    <row r="56" spans="1:37">
      <c r="A56" s="850"/>
      <c r="B56" s="850"/>
      <c r="C56" s="850"/>
      <c r="D56" s="850"/>
      <c r="E56" s="850"/>
      <c r="F56" s="850"/>
      <c r="G56" s="848"/>
      <c r="H56" s="850"/>
      <c r="I56" s="850"/>
      <c r="J56" s="850"/>
      <c r="K56" s="850"/>
      <c r="L56" s="850"/>
      <c r="M56" s="850"/>
      <c r="N56" s="850"/>
      <c r="O56" s="850"/>
      <c r="P56" s="850"/>
      <c r="Q56" s="850"/>
      <c r="R56" s="850"/>
      <c r="S56" s="850"/>
      <c r="T56" s="850"/>
      <c r="U56" s="850"/>
      <c r="V56" s="850"/>
      <c r="W56" s="850"/>
      <c r="X56" s="850"/>
      <c r="Y56" s="850"/>
      <c r="Z56" s="850"/>
      <c r="AA56" s="850"/>
      <c r="AB56" s="850"/>
      <c r="AC56" s="850"/>
      <c r="AD56" s="850"/>
      <c r="AE56" s="850"/>
      <c r="AF56" s="850"/>
      <c r="AG56" s="850"/>
      <c r="AH56" s="850"/>
      <c r="AI56" s="850"/>
      <c r="AJ56" s="850"/>
      <c r="AK56" s="850"/>
    </row>
    <row r="57" spans="1:37">
      <c r="A57" s="899" t="s">
        <v>681</v>
      </c>
      <c r="B57" s="899" t="s">
        <v>681</v>
      </c>
      <c r="C57" s="899" t="s">
        <v>681</v>
      </c>
      <c r="D57" s="850"/>
      <c r="E57" s="850"/>
      <c r="F57" s="850"/>
      <c r="G57" s="850"/>
      <c r="H57" s="850"/>
      <c r="I57" s="850"/>
      <c r="J57" s="850"/>
      <c r="K57" s="850"/>
      <c r="L57" s="850"/>
      <c r="M57" s="850"/>
      <c r="N57" s="850"/>
      <c r="O57" s="850"/>
      <c r="P57" s="850"/>
      <c r="Q57" s="850"/>
      <c r="R57" s="850"/>
      <c r="S57" s="850"/>
      <c r="T57" s="850"/>
      <c r="U57" s="850"/>
      <c r="V57" s="850"/>
      <c r="W57" s="850"/>
      <c r="X57" s="850"/>
      <c r="Y57" s="850"/>
      <c r="Z57" s="850"/>
      <c r="AA57" s="850"/>
      <c r="AB57" s="850"/>
      <c r="AC57" s="850"/>
      <c r="AD57" s="850"/>
      <c r="AE57" s="850"/>
      <c r="AF57" s="850"/>
      <c r="AG57" s="850"/>
      <c r="AH57" s="850"/>
      <c r="AI57" s="850"/>
      <c r="AJ57" s="850"/>
      <c r="AK57" s="850"/>
    </row>
    <row r="58" spans="1:37">
      <c r="A58" s="850"/>
      <c r="B58" s="850"/>
      <c r="C58" s="850"/>
      <c r="D58" s="1" t="s">
        <v>1970</v>
      </c>
      <c r="E58" s="326">
        <f>E52+E50-E55</f>
        <v>0</v>
      </c>
      <c r="F58" s="850"/>
      <c r="G58" s="850"/>
      <c r="H58" s="850"/>
      <c r="I58" s="850"/>
      <c r="J58" s="850"/>
      <c r="K58" s="850"/>
      <c r="L58" s="850"/>
      <c r="M58" s="850"/>
      <c r="N58" s="850"/>
      <c r="O58" s="850"/>
      <c r="P58" s="850"/>
      <c r="Q58" s="850"/>
      <c r="R58" s="850"/>
      <c r="S58" s="850"/>
      <c r="T58" s="850"/>
      <c r="U58" s="850"/>
      <c r="V58" s="850"/>
      <c r="W58" s="850"/>
      <c r="X58" s="850"/>
      <c r="Y58" s="850"/>
      <c r="Z58" s="850"/>
      <c r="AA58" s="850"/>
      <c r="AB58" s="850"/>
      <c r="AC58" s="850"/>
      <c r="AD58" s="850"/>
      <c r="AE58" s="850"/>
      <c r="AF58" s="850"/>
      <c r="AG58" s="850"/>
      <c r="AH58" s="850"/>
      <c r="AI58" s="850"/>
      <c r="AJ58" s="850"/>
      <c r="AK58" s="850"/>
    </row>
    <row r="59" spans="1:37">
      <c r="A59" s="850"/>
      <c r="B59" s="850"/>
      <c r="C59" s="850"/>
      <c r="D59" s="850"/>
      <c r="E59" s="850"/>
      <c r="F59" s="850"/>
      <c r="G59" s="850"/>
      <c r="H59" s="850"/>
      <c r="I59" s="850"/>
      <c r="J59" s="850"/>
      <c r="K59" s="850"/>
      <c r="L59" s="850"/>
      <c r="M59" s="850"/>
      <c r="N59" s="850"/>
      <c r="O59" s="850"/>
      <c r="P59" s="850"/>
      <c r="Q59" s="850"/>
      <c r="R59" s="850"/>
      <c r="S59" s="850"/>
      <c r="T59" s="850"/>
      <c r="U59" s="850"/>
      <c r="V59" s="850"/>
      <c r="W59" s="850"/>
      <c r="X59" s="850"/>
      <c r="Y59" s="850"/>
      <c r="Z59" s="850"/>
      <c r="AA59" s="850"/>
      <c r="AB59" s="850"/>
      <c r="AC59" s="850"/>
      <c r="AD59" s="850"/>
      <c r="AE59" s="850"/>
      <c r="AF59" s="850"/>
      <c r="AG59" s="850"/>
      <c r="AH59" s="850"/>
      <c r="AI59" s="850"/>
      <c r="AJ59" s="850"/>
      <c r="AK59" s="850"/>
    </row>
    <row r="60" spans="1:37">
      <c r="A60" s="850"/>
      <c r="B60" s="850"/>
      <c r="C60" s="850"/>
      <c r="D60" s="1198" t="s">
        <v>2118</v>
      </c>
      <c r="E60" s="850"/>
      <c r="F60" s="850"/>
      <c r="G60" s="850"/>
      <c r="H60" s="850"/>
      <c r="I60" s="850"/>
      <c r="J60" s="850"/>
      <c r="K60" s="850"/>
      <c r="L60" s="850"/>
      <c r="M60" s="850"/>
      <c r="N60" s="850"/>
      <c r="O60" s="850"/>
      <c r="P60" s="850"/>
      <c r="Q60" s="850"/>
      <c r="R60" s="850"/>
      <c r="S60" s="850"/>
      <c r="T60" s="850"/>
      <c r="U60" s="850"/>
      <c r="V60" s="850"/>
      <c r="W60" s="850"/>
      <c r="X60" s="850"/>
      <c r="Y60" s="850"/>
      <c r="Z60" s="850"/>
      <c r="AA60" s="850"/>
      <c r="AB60" s="850"/>
      <c r="AC60" s="850"/>
      <c r="AD60" s="850"/>
      <c r="AE60" s="850"/>
      <c r="AF60" s="850"/>
      <c r="AG60" s="850"/>
      <c r="AH60" s="850"/>
      <c r="AI60" s="850"/>
      <c r="AJ60" s="850"/>
      <c r="AK60" s="850"/>
    </row>
    <row r="61" spans="1:37">
      <c r="A61" s="850"/>
      <c r="B61" s="850"/>
      <c r="C61" s="850"/>
      <c r="D61" s="1198" t="s">
        <v>3388</v>
      </c>
      <c r="E61" s="848">
        <v>59080639923</v>
      </c>
      <c r="F61" s="850"/>
      <c r="G61" s="850"/>
      <c r="H61" s="850"/>
      <c r="I61" s="850"/>
      <c r="J61" s="850"/>
      <c r="K61" s="850"/>
      <c r="L61" s="850"/>
      <c r="M61" s="850"/>
      <c r="N61" s="850"/>
      <c r="O61" s="850"/>
      <c r="P61" s="850"/>
      <c r="Q61" s="850"/>
      <c r="R61" s="850"/>
      <c r="S61" s="850"/>
      <c r="T61" s="850"/>
      <c r="U61" s="850"/>
      <c r="V61" s="850"/>
      <c r="W61" s="850"/>
      <c r="X61" s="850"/>
      <c r="Y61" s="850"/>
      <c r="Z61" s="850"/>
      <c r="AA61" s="850"/>
      <c r="AB61" s="850"/>
      <c r="AC61" s="850"/>
      <c r="AD61" s="850"/>
      <c r="AE61" s="850"/>
      <c r="AF61" s="850"/>
      <c r="AG61" s="850"/>
      <c r="AH61" s="850"/>
      <c r="AI61" s="850"/>
      <c r="AJ61" s="850"/>
      <c r="AK61" s="850"/>
    </row>
  </sheetData>
  <conditionalFormatting sqref="G6:AK6">
    <cfRule type="cellIs" dxfId="28" priority="1" operator="lessThan">
      <formula>0</formula>
    </cfRule>
    <cfRule type="cellIs" dxfId="27" priority="2" operator="greaterThan">
      <formula>0</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38417-DBC8-48A9-BFAC-4737634F8F4D}">
  <dimension ref="A1:L116"/>
  <sheetViews>
    <sheetView zoomScale="70" zoomScaleNormal="70" workbookViewId="0"/>
  </sheetViews>
  <sheetFormatPr defaultRowHeight="15" outlineLevelRow="1"/>
  <cols>
    <col min="2" max="2" width="24.85546875" customWidth="1"/>
    <col min="3" max="3" width="38.140625" customWidth="1"/>
    <col min="5" max="5" width="12.140625" bestFit="1" customWidth="1"/>
    <col min="6" max="6" width="2.5703125" bestFit="1" customWidth="1"/>
    <col min="7" max="10" width="13.42578125" bestFit="1" customWidth="1"/>
    <col min="11" max="11" width="12.140625" bestFit="1" customWidth="1"/>
  </cols>
  <sheetData>
    <row r="1" spans="1:12" ht="18.75">
      <c r="A1" s="730" t="s">
        <v>3389</v>
      </c>
      <c r="B1" s="730"/>
      <c r="C1" s="730"/>
      <c r="D1" s="730"/>
      <c r="E1" s="730"/>
      <c r="F1" s="730"/>
      <c r="G1" s="730"/>
      <c r="H1" s="730"/>
      <c r="I1" s="730"/>
      <c r="J1" s="730"/>
      <c r="K1" s="730"/>
      <c r="L1" s="101"/>
    </row>
    <row r="2" spans="1:12">
      <c r="A2" s="731" t="s">
        <v>3390</v>
      </c>
      <c r="B2" s="731"/>
      <c r="C2" s="731"/>
      <c r="D2" s="731"/>
      <c r="E2" s="731"/>
      <c r="F2" s="731"/>
      <c r="G2" s="731"/>
      <c r="H2" s="731"/>
      <c r="I2" s="731"/>
      <c r="J2" s="731"/>
      <c r="K2" s="731"/>
      <c r="L2" s="101"/>
    </row>
    <row r="3" spans="1:12" ht="16.5" customHeight="1">
      <c r="B3" s="1671" t="s">
        <v>461</v>
      </c>
      <c r="C3" s="1671" t="s">
        <v>462</v>
      </c>
      <c r="D3" s="1671" t="s">
        <v>3391</v>
      </c>
      <c r="E3" s="1669" t="s">
        <v>3392</v>
      </c>
      <c r="F3" s="1670"/>
      <c r="G3" s="1669" t="s">
        <v>7</v>
      </c>
      <c r="H3" s="1670"/>
      <c r="I3" s="1669" t="s">
        <v>3393</v>
      </c>
      <c r="J3" s="1670"/>
      <c r="K3" s="1669" t="s">
        <v>3394</v>
      </c>
      <c r="L3" s="1670"/>
    </row>
    <row r="4" spans="1:12" ht="15" customHeight="1">
      <c r="B4" s="1672"/>
      <c r="C4" s="1672"/>
      <c r="D4" s="1672"/>
      <c r="E4" s="765" t="s">
        <v>11</v>
      </c>
      <c r="F4" s="765" t="s">
        <v>12</v>
      </c>
      <c r="G4" s="765" t="s">
        <v>11</v>
      </c>
      <c r="H4" s="765" t="s">
        <v>12</v>
      </c>
      <c r="I4" s="765" t="s">
        <v>11</v>
      </c>
      <c r="J4" s="765" t="s">
        <v>12</v>
      </c>
      <c r="K4" s="765" t="s">
        <v>11</v>
      </c>
      <c r="L4" s="765" t="s">
        <v>12</v>
      </c>
    </row>
    <row r="5" spans="1:12">
      <c r="A5" s="1298" t="s">
        <v>3395</v>
      </c>
      <c r="E5" s="1299">
        <v>4164321072</v>
      </c>
      <c r="F5" s="1299">
        <v>0</v>
      </c>
      <c r="G5" s="1299">
        <v>379168792</v>
      </c>
      <c r="H5" s="1299">
        <v>2110936100</v>
      </c>
      <c r="I5" s="1299">
        <v>379168792</v>
      </c>
      <c r="J5" s="1299">
        <v>2110936100</v>
      </c>
      <c r="K5" s="1299">
        <v>2432553764</v>
      </c>
      <c r="L5" s="1299">
        <v>0</v>
      </c>
    </row>
    <row r="6" spans="1:12" outlineLevel="1">
      <c r="B6" s="620" t="s">
        <v>3396</v>
      </c>
      <c r="C6" s="620" t="s">
        <v>3397</v>
      </c>
      <c r="D6" s="620" t="s">
        <v>31</v>
      </c>
      <c r="E6" s="621">
        <v>4164321072</v>
      </c>
      <c r="F6" s="621">
        <v>0</v>
      </c>
      <c r="G6" s="621">
        <v>379168792</v>
      </c>
      <c r="H6" s="621">
        <v>2110936100</v>
      </c>
      <c r="I6" s="621">
        <v>379168792</v>
      </c>
      <c r="J6" s="621">
        <v>2110936100</v>
      </c>
      <c r="K6" s="621">
        <v>2432553764</v>
      </c>
      <c r="L6" s="621">
        <v>0</v>
      </c>
    </row>
    <row r="7" spans="1:12">
      <c r="A7" s="1298" t="s">
        <v>3398</v>
      </c>
      <c r="E7" s="1299">
        <v>3364607900</v>
      </c>
      <c r="F7" s="1299">
        <v>0</v>
      </c>
      <c r="G7" s="1299">
        <v>688082579</v>
      </c>
      <c r="H7" s="1299">
        <v>2280730800</v>
      </c>
      <c r="I7" s="1299">
        <v>688082579</v>
      </c>
      <c r="J7" s="1299">
        <v>2280730800</v>
      </c>
      <c r="K7" s="1299">
        <v>1771959679</v>
      </c>
      <c r="L7" s="1299">
        <v>0</v>
      </c>
    </row>
    <row r="8" spans="1:12" outlineLevel="1">
      <c r="B8" s="620" t="s">
        <v>3399</v>
      </c>
      <c r="C8" s="620" t="s">
        <v>3400</v>
      </c>
      <c r="D8" s="620" t="s">
        <v>31</v>
      </c>
      <c r="E8" s="621">
        <v>3364607900</v>
      </c>
      <c r="F8" s="621">
        <v>0</v>
      </c>
      <c r="G8" s="621">
        <v>688082579</v>
      </c>
      <c r="H8" s="621">
        <v>2280730800</v>
      </c>
      <c r="I8" s="621">
        <v>688082579</v>
      </c>
      <c r="J8" s="621">
        <v>2280730800</v>
      </c>
      <c r="K8" s="621">
        <v>1771959679</v>
      </c>
      <c r="L8" s="621">
        <v>0</v>
      </c>
    </row>
    <row r="9" spans="1:12">
      <c r="A9" s="1298" t="s">
        <v>3401</v>
      </c>
      <c r="E9" s="1299">
        <v>409355956</v>
      </c>
      <c r="F9" s="1299">
        <v>0</v>
      </c>
      <c r="G9" s="1299">
        <v>104501503039</v>
      </c>
      <c r="H9" s="1299">
        <v>103594233533</v>
      </c>
      <c r="I9" s="1299">
        <v>104501503039</v>
      </c>
      <c r="J9" s="1299">
        <v>103594233533</v>
      </c>
      <c r="K9" s="1299">
        <v>1316625462</v>
      </c>
      <c r="L9" s="1299">
        <v>0</v>
      </c>
    </row>
    <row r="10" spans="1:12" outlineLevel="1">
      <c r="B10" s="620" t="s">
        <v>3402</v>
      </c>
      <c r="C10" s="620" t="s">
        <v>3403</v>
      </c>
      <c r="D10" s="620" t="s">
        <v>31</v>
      </c>
      <c r="E10" s="621">
        <v>409355956</v>
      </c>
      <c r="F10" s="621">
        <v>0</v>
      </c>
      <c r="G10" s="621">
        <v>104501503039</v>
      </c>
      <c r="H10" s="621">
        <v>103594233533</v>
      </c>
      <c r="I10" s="621">
        <v>104501503039</v>
      </c>
      <c r="J10" s="621">
        <v>103594233533</v>
      </c>
      <c r="K10" s="621">
        <v>1316625462</v>
      </c>
      <c r="L10" s="621">
        <v>0</v>
      </c>
    </row>
    <row r="11" spans="1:12">
      <c r="A11" s="1298" t="s">
        <v>3404</v>
      </c>
      <c r="E11" s="1299">
        <v>0</v>
      </c>
      <c r="F11" s="1299">
        <v>0</v>
      </c>
      <c r="G11" s="1299">
        <v>283693731</v>
      </c>
      <c r="H11" s="1299">
        <v>283693731</v>
      </c>
      <c r="I11" s="1299">
        <v>283693731</v>
      </c>
      <c r="J11" s="1299">
        <v>283693731</v>
      </c>
      <c r="K11" s="1299">
        <v>0</v>
      </c>
      <c r="L11" s="1299">
        <v>0</v>
      </c>
    </row>
    <row r="12" spans="1:12" outlineLevel="1">
      <c r="B12" s="620" t="s">
        <v>3405</v>
      </c>
      <c r="C12" s="620" t="s">
        <v>3406</v>
      </c>
      <c r="D12" s="620" t="s">
        <v>31</v>
      </c>
      <c r="E12" s="621">
        <v>0</v>
      </c>
      <c r="F12" s="621">
        <v>0</v>
      </c>
      <c r="G12" s="621">
        <v>283693731</v>
      </c>
      <c r="H12" s="621">
        <v>283693731</v>
      </c>
      <c r="I12" s="621">
        <v>283693731</v>
      </c>
      <c r="J12" s="621">
        <v>283693731</v>
      </c>
      <c r="K12" s="621">
        <v>0</v>
      </c>
      <c r="L12" s="621">
        <v>0</v>
      </c>
    </row>
    <row r="13" spans="1:12">
      <c r="A13" s="1298" t="s">
        <v>3407</v>
      </c>
      <c r="E13" s="1299">
        <v>20000000000</v>
      </c>
      <c r="F13" s="1299">
        <v>0</v>
      </c>
      <c r="G13" s="1299">
        <v>353388383570</v>
      </c>
      <c r="H13" s="1299">
        <v>282330849330</v>
      </c>
      <c r="I13" s="1299">
        <v>353388383570</v>
      </c>
      <c r="J13" s="1299">
        <v>282330849330</v>
      </c>
      <c r="K13" s="1299">
        <v>91057534240</v>
      </c>
      <c r="L13" s="1299">
        <v>0</v>
      </c>
    </row>
    <row r="14" spans="1:12" outlineLevel="1">
      <c r="B14" s="620" t="s">
        <v>3408</v>
      </c>
      <c r="C14" s="620" t="s">
        <v>3409</v>
      </c>
      <c r="D14" s="620" t="s">
        <v>31</v>
      </c>
      <c r="E14" s="621">
        <v>20000000000</v>
      </c>
      <c r="F14" s="621">
        <v>0</v>
      </c>
      <c r="G14" s="621">
        <v>353388383570</v>
      </c>
      <c r="H14" s="621">
        <v>282330849330</v>
      </c>
      <c r="I14" s="621">
        <v>353388383570</v>
      </c>
      <c r="J14" s="621">
        <v>282330849330</v>
      </c>
      <c r="K14" s="621">
        <v>91057534240</v>
      </c>
      <c r="L14" s="621">
        <v>0</v>
      </c>
    </row>
    <row r="15" spans="1:12">
      <c r="A15" s="1298" t="s">
        <v>3410</v>
      </c>
      <c r="E15" s="1299">
        <v>0</v>
      </c>
      <c r="F15" s="1299">
        <v>0</v>
      </c>
      <c r="G15" s="1299">
        <v>100288800000</v>
      </c>
      <c r="H15" s="1299">
        <v>100288800000</v>
      </c>
      <c r="I15" s="1299">
        <v>100288800000</v>
      </c>
      <c r="J15" s="1299">
        <v>100288800000</v>
      </c>
      <c r="K15" s="1299">
        <v>0</v>
      </c>
      <c r="L15" s="1299">
        <v>0</v>
      </c>
    </row>
    <row r="16" spans="1:12" outlineLevel="1">
      <c r="B16" s="620" t="s">
        <v>3411</v>
      </c>
      <c r="C16" s="620" t="s">
        <v>3412</v>
      </c>
      <c r="D16" s="620" t="s">
        <v>31</v>
      </c>
      <c r="E16" s="621">
        <v>0</v>
      </c>
      <c r="F16" s="621">
        <v>0</v>
      </c>
      <c r="G16" s="621">
        <v>100288800000</v>
      </c>
      <c r="H16" s="621">
        <v>100288800000</v>
      </c>
      <c r="I16" s="621">
        <v>100288800000</v>
      </c>
      <c r="J16" s="621">
        <v>100288800000</v>
      </c>
      <c r="K16" s="621">
        <v>0</v>
      </c>
      <c r="L16" s="621">
        <v>0</v>
      </c>
    </row>
    <row r="17" spans="1:12">
      <c r="A17" s="1298" t="s">
        <v>3413</v>
      </c>
      <c r="E17" s="1299">
        <v>100000000000</v>
      </c>
      <c r="F17" s="1299">
        <v>0</v>
      </c>
      <c r="G17" s="1299">
        <v>0</v>
      </c>
      <c r="H17" s="1299">
        <v>100000000000</v>
      </c>
      <c r="I17" s="1299">
        <v>0</v>
      </c>
      <c r="J17" s="1299">
        <v>100000000000</v>
      </c>
      <c r="K17" s="1299">
        <v>0</v>
      </c>
      <c r="L17" s="1299">
        <v>0</v>
      </c>
    </row>
    <row r="18" spans="1:12" outlineLevel="1">
      <c r="B18" s="620" t="s">
        <v>3414</v>
      </c>
      <c r="C18" s="620" t="s">
        <v>3415</v>
      </c>
      <c r="D18" s="620" t="s">
        <v>31</v>
      </c>
      <c r="E18" s="621">
        <v>100000000000</v>
      </c>
      <c r="F18" s="621">
        <v>0</v>
      </c>
      <c r="G18" s="621">
        <v>0</v>
      </c>
      <c r="H18" s="621">
        <v>100000000000</v>
      </c>
      <c r="I18" s="621">
        <v>0</v>
      </c>
      <c r="J18" s="621">
        <v>100000000000</v>
      </c>
      <c r="K18" s="621">
        <v>0</v>
      </c>
      <c r="L18" s="621">
        <v>0</v>
      </c>
    </row>
    <row r="19" spans="1:12">
      <c r="A19" s="1298" t="s">
        <v>3416</v>
      </c>
      <c r="E19" s="1299">
        <v>156102425350</v>
      </c>
      <c r="F19" s="1299">
        <v>0</v>
      </c>
      <c r="G19" s="1299">
        <v>178897765082</v>
      </c>
      <c r="H19" s="1299">
        <v>335000190432</v>
      </c>
      <c r="I19" s="1299">
        <v>178897765082</v>
      </c>
      <c r="J19" s="1299">
        <v>335000190432</v>
      </c>
      <c r="K19" s="1299">
        <v>0</v>
      </c>
      <c r="L19" s="1299">
        <v>0</v>
      </c>
    </row>
    <row r="20" spans="1:12" outlineLevel="1">
      <c r="B20" s="620" t="s">
        <v>3417</v>
      </c>
      <c r="C20" s="620" t="s">
        <v>3418</v>
      </c>
      <c r="D20" s="620" t="s">
        <v>31</v>
      </c>
      <c r="E20" s="621">
        <v>156102425350</v>
      </c>
      <c r="F20" s="621">
        <v>0</v>
      </c>
      <c r="G20" s="621">
        <v>178897765082</v>
      </c>
      <c r="H20" s="621">
        <v>335000190432</v>
      </c>
      <c r="I20" s="621">
        <v>178897765082</v>
      </c>
      <c r="J20" s="621">
        <v>335000190432</v>
      </c>
      <c r="K20" s="621">
        <v>0</v>
      </c>
      <c r="L20" s="621">
        <v>0</v>
      </c>
    </row>
    <row r="21" spans="1:12">
      <c r="A21" s="1298" t="s">
        <v>3419</v>
      </c>
      <c r="E21" s="1299">
        <v>0</v>
      </c>
      <c r="F21" s="1299">
        <v>0</v>
      </c>
      <c r="G21" s="1299">
        <v>53290958904</v>
      </c>
      <c r="H21" s="1299">
        <v>53290958904</v>
      </c>
      <c r="I21" s="1299">
        <v>53290958904</v>
      </c>
      <c r="J21" s="1299">
        <v>53290958904</v>
      </c>
      <c r="K21" s="1299">
        <v>0</v>
      </c>
      <c r="L21" s="1299">
        <v>0</v>
      </c>
    </row>
    <row r="22" spans="1:12" outlineLevel="1">
      <c r="B22" s="620" t="s">
        <v>3420</v>
      </c>
      <c r="C22" s="620" t="s">
        <v>3421</v>
      </c>
      <c r="D22" s="620" t="s">
        <v>31</v>
      </c>
      <c r="E22" s="621">
        <v>0</v>
      </c>
      <c r="F22" s="621">
        <v>0</v>
      </c>
      <c r="G22" s="621">
        <v>53290958904</v>
      </c>
      <c r="H22" s="621">
        <v>53290958904</v>
      </c>
      <c r="I22" s="621">
        <v>53290958904</v>
      </c>
      <c r="J22" s="621">
        <v>53290958904</v>
      </c>
      <c r="K22" s="621">
        <v>0</v>
      </c>
      <c r="L22" s="621">
        <v>0</v>
      </c>
    </row>
    <row r="23" spans="1:12">
      <c r="A23" s="1298" t="s">
        <v>3422</v>
      </c>
      <c r="E23" s="1299">
        <v>0</v>
      </c>
      <c r="F23" s="1299">
        <v>0</v>
      </c>
      <c r="G23" s="1299">
        <v>50298048550</v>
      </c>
      <c r="H23" s="1299">
        <v>50298048550</v>
      </c>
      <c r="I23" s="1299">
        <v>50298048550</v>
      </c>
      <c r="J23" s="1299">
        <v>50298048550</v>
      </c>
      <c r="K23" s="1299">
        <v>0</v>
      </c>
      <c r="L23" s="1299">
        <v>0</v>
      </c>
    </row>
    <row r="24" spans="1:12" outlineLevel="1">
      <c r="B24" s="620" t="s">
        <v>3423</v>
      </c>
      <c r="C24" s="620" t="s">
        <v>3424</v>
      </c>
      <c r="D24" s="620" t="s">
        <v>31</v>
      </c>
      <c r="E24" s="621">
        <v>0</v>
      </c>
      <c r="F24" s="621">
        <v>0</v>
      </c>
      <c r="G24" s="621">
        <v>50298048550</v>
      </c>
      <c r="H24" s="621">
        <v>50298048550</v>
      </c>
      <c r="I24" s="621">
        <v>50298048550</v>
      </c>
      <c r="J24" s="621">
        <v>50298048550</v>
      </c>
      <c r="K24" s="621">
        <v>0</v>
      </c>
      <c r="L24" s="621">
        <v>0</v>
      </c>
    </row>
    <row r="25" spans="1:12">
      <c r="A25" s="1298" t="s">
        <v>3425</v>
      </c>
      <c r="E25" s="1299">
        <v>100000000000</v>
      </c>
      <c r="F25" s="1299">
        <v>0</v>
      </c>
      <c r="G25" s="1299">
        <v>236412367382</v>
      </c>
      <c r="H25" s="1299">
        <v>336412367382</v>
      </c>
      <c r="I25" s="1299">
        <v>236412367382</v>
      </c>
      <c r="J25" s="1299">
        <v>336412367382</v>
      </c>
      <c r="K25" s="1299">
        <v>0</v>
      </c>
      <c r="L25" s="1299">
        <v>0</v>
      </c>
    </row>
    <row r="26" spans="1:12" outlineLevel="1">
      <c r="B26" s="620" t="s">
        <v>3426</v>
      </c>
      <c r="C26" s="620" t="s">
        <v>3427</v>
      </c>
      <c r="D26" s="620" t="s">
        <v>31</v>
      </c>
      <c r="E26" s="621">
        <v>100000000000</v>
      </c>
      <c r="F26" s="621">
        <v>0</v>
      </c>
      <c r="G26" s="621">
        <v>236412367382</v>
      </c>
      <c r="H26" s="621">
        <v>336412367382</v>
      </c>
      <c r="I26" s="621">
        <v>236412367382</v>
      </c>
      <c r="J26" s="621">
        <v>336412367382</v>
      </c>
      <c r="K26" s="621">
        <v>0</v>
      </c>
      <c r="L26" s="621">
        <v>0</v>
      </c>
    </row>
    <row r="27" spans="1:12">
      <c r="A27" s="1298" t="s">
        <v>3428</v>
      </c>
      <c r="E27" s="1299">
        <v>100000000000</v>
      </c>
      <c r="F27" s="1299">
        <v>0</v>
      </c>
      <c r="G27" s="1299">
        <v>0</v>
      </c>
      <c r="H27" s="1299">
        <v>0</v>
      </c>
      <c r="I27" s="1299">
        <v>0</v>
      </c>
      <c r="J27" s="1299">
        <v>0</v>
      </c>
      <c r="K27" s="1299">
        <v>100000000000</v>
      </c>
      <c r="L27" s="1299">
        <v>0</v>
      </c>
    </row>
    <row r="28" spans="1:12" outlineLevel="1">
      <c r="B28" s="620" t="s">
        <v>3429</v>
      </c>
      <c r="C28" s="620" t="s">
        <v>3430</v>
      </c>
      <c r="D28" s="620" t="s">
        <v>31</v>
      </c>
      <c r="E28" s="621">
        <v>100000000000</v>
      </c>
      <c r="F28" s="621">
        <v>0</v>
      </c>
      <c r="G28" s="621">
        <v>0</v>
      </c>
      <c r="H28" s="621">
        <v>0</v>
      </c>
      <c r="I28" s="621">
        <v>0</v>
      </c>
      <c r="J28" s="621">
        <v>0</v>
      </c>
      <c r="K28" s="621">
        <v>100000000000</v>
      </c>
      <c r="L28" s="621">
        <v>0</v>
      </c>
    </row>
    <row r="29" spans="1:12">
      <c r="A29" s="1298" t="s">
        <v>3431</v>
      </c>
      <c r="E29" s="1299">
        <v>0</v>
      </c>
      <c r="F29" s="1299">
        <v>0</v>
      </c>
      <c r="G29" s="1299">
        <v>51710275000</v>
      </c>
      <c r="H29" s="1299">
        <v>51710275000</v>
      </c>
      <c r="I29" s="1299">
        <v>51710275000</v>
      </c>
      <c r="J29" s="1299">
        <v>51710275000</v>
      </c>
      <c r="K29" s="1299">
        <v>0</v>
      </c>
      <c r="L29" s="1299">
        <v>0</v>
      </c>
    </row>
    <row r="30" spans="1:12" outlineLevel="1">
      <c r="B30" s="620" t="s">
        <v>3432</v>
      </c>
      <c r="C30" s="620" t="s">
        <v>3433</v>
      </c>
      <c r="D30" s="620" t="s">
        <v>31</v>
      </c>
      <c r="E30" s="621">
        <v>0</v>
      </c>
      <c r="F30" s="621">
        <v>0</v>
      </c>
      <c r="G30" s="621">
        <v>51710275000</v>
      </c>
      <c r="H30" s="621">
        <v>51710275000</v>
      </c>
      <c r="I30" s="621">
        <v>51710275000</v>
      </c>
      <c r="J30" s="621">
        <v>51710275000</v>
      </c>
      <c r="K30" s="621">
        <v>0</v>
      </c>
      <c r="L30" s="621">
        <v>0</v>
      </c>
    </row>
    <row r="31" spans="1:12">
      <c r="A31" s="1298" t="s">
        <v>3434</v>
      </c>
      <c r="E31" s="1299">
        <v>0</v>
      </c>
      <c r="F31" s="1299">
        <v>0</v>
      </c>
      <c r="G31" s="1299">
        <v>90367288600</v>
      </c>
      <c r="H31" s="1299">
        <v>90367288600</v>
      </c>
      <c r="I31" s="1299">
        <v>90367288600</v>
      </c>
      <c r="J31" s="1299">
        <v>90367288600</v>
      </c>
      <c r="K31" s="1299">
        <v>0</v>
      </c>
      <c r="L31" s="1299">
        <v>0</v>
      </c>
    </row>
    <row r="32" spans="1:12" outlineLevel="1">
      <c r="B32" s="620" t="s">
        <v>3435</v>
      </c>
      <c r="C32" s="620" t="s">
        <v>3436</v>
      </c>
      <c r="D32" s="620" t="s">
        <v>31</v>
      </c>
      <c r="E32" s="621">
        <v>0</v>
      </c>
      <c r="F32" s="621">
        <v>0</v>
      </c>
      <c r="G32" s="621">
        <v>90367288600</v>
      </c>
      <c r="H32" s="621">
        <v>90367288600</v>
      </c>
      <c r="I32" s="621">
        <v>90367288600</v>
      </c>
      <c r="J32" s="621">
        <v>90367288600</v>
      </c>
      <c r="K32" s="621">
        <v>0</v>
      </c>
      <c r="L32" s="621">
        <v>0</v>
      </c>
    </row>
    <row r="33" spans="1:12">
      <c r="A33" s="1298" t="s">
        <v>3437</v>
      </c>
      <c r="E33" s="1299">
        <v>0</v>
      </c>
      <c r="F33" s="1299">
        <v>0</v>
      </c>
      <c r="G33" s="1299">
        <v>50340057300</v>
      </c>
      <c r="H33" s="1299">
        <v>50340057300</v>
      </c>
      <c r="I33" s="1299">
        <v>50340057300</v>
      </c>
      <c r="J33" s="1299">
        <v>50340057300</v>
      </c>
      <c r="K33" s="1299">
        <v>0</v>
      </c>
      <c r="L33" s="1299">
        <v>0</v>
      </c>
    </row>
    <row r="34" spans="1:12" outlineLevel="1">
      <c r="B34" s="620" t="s">
        <v>3438</v>
      </c>
      <c r="C34" s="620" t="s">
        <v>3439</v>
      </c>
      <c r="D34" s="620" t="s">
        <v>31</v>
      </c>
      <c r="E34" s="621">
        <v>0</v>
      </c>
      <c r="F34" s="621">
        <v>0</v>
      </c>
      <c r="G34" s="621">
        <v>50340057300</v>
      </c>
      <c r="H34" s="621">
        <v>50340057300</v>
      </c>
      <c r="I34" s="621">
        <v>50340057300</v>
      </c>
      <c r="J34" s="621">
        <v>50340057300</v>
      </c>
      <c r="K34" s="621">
        <v>0</v>
      </c>
      <c r="L34" s="621">
        <v>0</v>
      </c>
    </row>
    <row r="35" spans="1:12">
      <c r="A35" s="1298" t="s">
        <v>3440</v>
      </c>
      <c r="E35" s="1299">
        <v>11727815893</v>
      </c>
      <c r="F35" s="1299">
        <v>0</v>
      </c>
      <c r="G35" s="1299">
        <v>1580544080</v>
      </c>
      <c r="H35" s="1299">
        <v>8510243575</v>
      </c>
      <c r="I35" s="1299">
        <v>1580544080</v>
      </c>
      <c r="J35" s="1299">
        <v>8510243575</v>
      </c>
      <c r="K35" s="1299">
        <v>4798116398</v>
      </c>
      <c r="L35" s="1299">
        <v>0</v>
      </c>
    </row>
    <row r="36" spans="1:12" outlineLevel="1">
      <c r="B36" s="620" t="s">
        <v>3441</v>
      </c>
      <c r="C36" s="620" t="s">
        <v>3442</v>
      </c>
      <c r="D36" s="620" t="s">
        <v>31</v>
      </c>
      <c r="E36" s="621">
        <v>11727815893</v>
      </c>
      <c r="F36" s="621">
        <v>0</v>
      </c>
      <c r="G36" s="621">
        <v>1580544080</v>
      </c>
      <c r="H36" s="621">
        <v>8510243575</v>
      </c>
      <c r="I36" s="621">
        <v>1580544080</v>
      </c>
      <c r="J36" s="621">
        <v>8510243575</v>
      </c>
      <c r="K36" s="621">
        <v>4798116398</v>
      </c>
      <c r="L36" s="621">
        <v>0</v>
      </c>
    </row>
    <row r="37" spans="1:12">
      <c r="A37" s="1298" t="s">
        <v>3443</v>
      </c>
      <c r="E37" s="1299">
        <v>5938691504</v>
      </c>
      <c r="F37" s="1299">
        <v>0</v>
      </c>
      <c r="G37" s="1299">
        <v>119850677</v>
      </c>
      <c r="H37" s="1299">
        <v>3035525856</v>
      </c>
      <c r="I37" s="1299">
        <v>119850677</v>
      </c>
      <c r="J37" s="1299">
        <v>3035525856</v>
      </c>
      <c r="K37" s="1299">
        <v>3023016325</v>
      </c>
      <c r="L37" s="1299">
        <v>0</v>
      </c>
    </row>
    <row r="38" spans="1:12" outlineLevel="1">
      <c r="B38" s="620" t="s">
        <v>3444</v>
      </c>
      <c r="C38" s="620" t="s">
        <v>3445</v>
      </c>
      <c r="D38" s="620" t="s">
        <v>31</v>
      </c>
      <c r="E38" s="621">
        <v>5938691504</v>
      </c>
      <c r="F38" s="621">
        <v>0</v>
      </c>
      <c r="G38" s="621">
        <v>119850677</v>
      </c>
      <c r="H38" s="621">
        <v>3035525856</v>
      </c>
      <c r="I38" s="621">
        <v>119850677</v>
      </c>
      <c r="J38" s="621">
        <v>3035525856</v>
      </c>
      <c r="K38" s="621">
        <v>3023016325</v>
      </c>
      <c r="L38" s="621">
        <v>0</v>
      </c>
    </row>
    <row r="39" spans="1:12">
      <c r="A39" s="1298" t="s">
        <v>3446</v>
      </c>
      <c r="E39" s="1299">
        <v>12120440420</v>
      </c>
      <c r="F39" s="1299">
        <v>0</v>
      </c>
      <c r="G39" s="1299">
        <v>0</v>
      </c>
      <c r="H39" s="1299">
        <v>6736438677</v>
      </c>
      <c r="I39" s="1299">
        <v>0</v>
      </c>
      <c r="J39" s="1299">
        <v>6736438677</v>
      </c>
      <c r="K39" s="1299">
        <v>5384001743</v>
      </c>
      <c r="L39" s="1299">
        <v>0</v>
      </c>
    </row>
    <row r="40" spans="1:12" outlineLevel="1">
      <c r="B40" s="620" t="s">
        <v>3447</v>
      </c>
      <c r="C40" s="620" t="s">
        <v>3448</v>
      </c>
      <c r="D40" s="620" t="s">
        <v>31</v>
      </c>
      <c r="E40" s="621">
        <v>12120440420</v>
      </c>
      <c r="F40" s="621">
        <v>0</v>
      </c>
      <c r="G40" s="621">
        <v>0</v>
      </c>
      <c r="H40" s="621">
        <v>6736438677</v>
      </c>
      <c r="I40" s="621">
        <v>0</v>
      </c>
      <c r="J40" s="621">
        <v>6736438677</v>
      </c>
      <c r="K40" s="621">
        <v>5384001743</v>
      </c>
      <c r="L40" s="621">
        <v>0</v>
      </c>
    </row>
    <row r="41" spans="1:12">
      <c r="A41" s="1298" t="s">
        <v>3449</v>
      </c>
      <c r="E41" s="1299">
        <v>73687762</v>
      </c>
      <c r="F41" s="1299">
        <v>0</v>
      </c>
      <c r="G41" s="1299">
        <v>0</v>
      </c>
      <c r="H41" s="1299">
        <v>0</v>
      </c>
      <c r="I41" s="1299">
        <v>0</v>
      </c>
      <c r="J41" s="1299">
        <v>0</v>
      </c>
      <c r="K41" s="1299">
        <v>73687762</v>
      </c>
      <c r="L41" s="1299">
        <v>0</v>
      </c>
    </row>
    <row r="42" spans="1:12" outlineLevel="1">
      <c r="B42" s="620" t="s">
        <v>3450</v>
      </c>
      <c r="C42" s="620" t="s">
        <v>3451</v>
      </c>
      <c r="D42" s="620" t="s">
        <v>31</v>
      </c>
      <c r="E42" s="621">
        <v>73687762</v>
      </c>
      <c r="F42" s="621">
        <v>0</v>
      </c>
      <c r="G42" s="621">
        <v>0</v>
      </c>
      <c r="H42" s="621">
        <v>0</v>
      </c>
      <c r="I42" s="621">
        <v>0</v>
      </c>
      <c r="J42" s="621">
        <v>0</v>
      </c>
      <c r="K42" s="621">
        <v>73687762</v>
      </c>
      <c r="L42" s="621">
        <v>0</v>
      </c>
    </row>
    <row r="43" spans="1:12">
      <c r="A43" s="1298" t="s">
        <v>3452</v>
      </c>
      <c r="E43" s="1299">
        <v>17209932396</v>
      </c>
      <c r="F43" s="1299">
        <v>0</v>
      </c>
      <c r="G43" s="1299">
        <v>163875000</v>
      </c>
      <c r="H43" s="1299">
        <v>9956454958</v>
      </c>
      <c r="I43" s="1299">
        <v>163875000</v>
      </c>
      <c r="J43" s="1299">
        <v>9956454958</v>
      </c>
      <c r="K43" s="1299">
        <v>7417352438</v>
      </c>
      <c r="L43" s="1299">
        <v>0</v>
      </c>
    </row>
    <row r="44" spans="1:12" outlineLevel="1">
      <c r="B44" s="620" t="s">
        <v>3453</v>
      </c>
      <c r="C44" s="620" t="s">
        <v>3454</v>
      </c>
      <c r="D44" s="620" t="s">
        <v>31</v>
      </c>
      <c r="E44" s="621">
        <v>17209932396</v>
      </c>
      <c r="F44" s="621">
        <v>0</v>
      </c>
      <c r="G44" s="621">
        <v>163875000</v>
      </c>
      <c r="H44" s="621">
        <v>9956454958</v>
      </c>
      <c r="I44" s="621">
        <v>163875000</v>
      </c>
      <c r="J44" s="621">
        <v>9956454958</v>
      </c>
      <c r="K44" s="621">
        <v>7417352438</v>
      </c>
      <c r="L44" s="621">
        <v>0</v>
      </c>
    </row>
    <row r="45" spans="1:12">
      <c r="A45" s="1298" t="s">
        <v>3455</v>
      </c>
      <c r="E45" s="1299">
        <v>24894541434</v>
      </c>
      <c r="F45" s="1299">
        <v>0</v>
      </c>
      <c r="G45" s="1299">
        <v>77386155</v>
      </c>
      <c r="H45" s="1299">
        <v>13902616124</v>
      </c>
      <c r="I45" s="1299">
        <v>77386155</v>
      </c>
      <c r="J45" s="1299">
        <v>13902616124</v>
      </c>
      <c r="K45" s="1299">
        <v>11069311465</v>
      </c>
      <c r="L45" s="1299">
        <v>0</v>
      </c>
    </row>
    <row r="46" spans="1:12" outlineLevel="1">
      <c r="B46" s="620" t="s">
        <v>3456</v>
      </c>
      <c r="C46" s="620" t="s">
        <v>3457</v>
      </c>
      <c r="D46" s="620" t="s">
        <v>31</v>
      </c>
      <c r="E46" s="621">
        <v>24894541434</v>
      </c>
      <c r="F46" s="621">
        <v>0</v>
      </c>
      <c r="G46" s="621">
        <v>77386155</v>
      </c>
      <c r="H46" s="621">
        <v>13902616124</v>
      </c>
      <c r="I46" s="621">
        <v>77386155</v>
      </c>
      <c r="J46" s="621">
        <v>13902616124</v>
      </c>
      <c r="K46" s="621">
        <v>11069311465</v>
      </c>
      <c r="L46" s="621">
        <v>0</v>
      </c>
    </row>
    <row r="47" spans="1:12">
      <c r="A47" s="1298" t="s">
        <v>3458</v>
      </c>
      <c r="E47" s="1299">
        <v>111160000</v>
      </c>
      <c r="F47" s="1299">
        <v>0</v>
      </c>
      <c r="G47" s="1299">
        <v>0</v>
      </c>
      <c r="H47" s="1299">
        <v>30541676</v>
      </c>
      <c r="I47" s="1299">
        <v>0</v>
      </c>
      <c r="J47" s="1299">
        <v>30541676</v>
      </c>
      <c r="K47" s="1299">
        <v>80618324</v>
      </c>
      <c r="L47" s="1299">
        <v>0</v>
      </c>
    </row>
    <row r="48" spans="1:12" outlineLevel="1">
      <c r="B48" s="620" t="s">
        <v>3459</v>
      </c>
      <c r="C48" s="620" t="s">
        <v>3459</v>
      </c>
      <c r="D48" s="620" t="s">
        <v>31</v>
      </c>
      <c r="E48" s="621">
        <v>111160000</v>
      </c>
      <c r="F48" s="621">
        <v>0</v>
      </c>
      <c r="G48" s="621">
        <v>0</v>
      </c>
      <c r="H48" s="621">
        <v>30541676</v>
      </c>
      <c r="I48" s="621">
        <v>0</v>
      </c>
      <c r="J48" s="621">
        <v>30541676</v>
      </c>
      <c r="K48" s="621">
        <v>80618324</v>
      </c>
      <c r="L48" s="621">
        <v>0</v>
      </c>
    </row>
    <row r="49" spans="1:12">
      <c r="A49" s="1298" t="s">
        <v>3460</v>
      </c>
      <c r="E49" s="1299">
        <v>110688098</v>
      </c>
      <c r="F49" s="1299">
        <v>0</v>
      </c>
      <c r="G49" s="1299">
        <v>16094629</v>
      </c>
      <c r="H49" s="1299">
        <v>72911664</v>
      </c>
      <c r="I49" s="1299">
        <v>16094629</v>
      </c>
      <c r="J49" s="1299">
        <v>72911664</v>
      </c>
      <c r="K49" s="1299">
        <v>53871063</v>
      </c>
      <c r="L49" s="1299">
        <v>0</v>
      </c>
    </row>
    <row r="50" spans="1:12" outlineLevel="1">
      <c r="B50" s="620" t="s">
        <v>3461</v>
      </c>
      <c r="C50" s="620" t="s">
        <v>3462</v>
      </c>
      <c r="D50" s="620" t="s">
        <v>31</v>
      </c>
      <c r="E50" s="621">
        <v>110688098</v>
      </c>
      <c r="F50" s="621">
        <v>0</v>
      </c>
      <c r="G50" s="621">
        <v>16094629</v>
      </c>
      <c r="H50" s="621">
        <v>72911664</v>
      </c>
      <c r="I50" s="621">
        <v>16094629</v>
      </c>
      <c r="J50" s="621">
        <v>72911664</v>
      </c>
      <c r="K50" s="621">
        <v>53871063</v>
      </c>
      <c r="L50" s="621">
        <v>0</v>
      </c>
    </row>
    <row r="51" spans="1:12">
      <c r="A51" s="1298" t="s">
        <v>3463</v>
      </c>
      <c r="E51" s="1299">
        <v>34674041272</v>
      </c>
      <c r="F51" s="1299">
        <v>0</v>
      </c>
      <c r="G51" s="1299">
        <v>8687312436</v>
      </c>
      <c r="H51" s="1299">
        <v>27523142322</v>
      </c>
      <c r="I51" s="1299">
        <v>8687312436</v>
      </c>
      <c r="J51" s="1299">
        <v>27523142322</v>
      </c>
      <c r="K51" s="1299">
        <v>15838211386</v>
      </c>
      <c r="L51" s="1299">
        <v>0</v>
      </c>
    </row>
    <row r="52" spans="1:12" outlineLevel="1">
      <c r="B52" s="620" t="s">
        <v>3464</v>
      </c>
      <c r="C52" s="620" t="s">
        <v>3465</v>
      </c>
      <c r="D52" s="620" t="s">
        <v>31</v>
      </c>
      <c r="E52" s="621">
        <v>34674041272</v>
      </c>
      <c r="F52" s="621">
        <v>0</v>
      </c>
      <c r="G52" s="621">
        <v>8687312436</v>
      </c>
      <c r="H52" s="621">
        <v>27523142322</v>
      </c>
      <c r="I52" s="621">
        <v>8687312436</v>
      </c>
      <c r="J52" s="621">
        <v>27523142322</v>
      </c>
      <c r="K52" s="621">
        <v>15838211386</v>
      </c>
      <c r="L52" s="621">
        <v>0</v>
      </c>
    </row>
    <row r="53" spans="1:12">
      <c r="A53" s="1298" t="s">
        <v>3466</v>
      </c>
      <c r="E53" s="1299">
        <v>10767976457</v>
      </c>
      <c r="F53" s="1299">
        <v>0</v>
      </c>
      <c r="G53" s="1299">
        <v>283184000</v>
      </c>
      <c r="H53" s="1299">
        <v>6633476910</v>
      </c>
      <c r="I53" s="1299">
        <v>283184000</v>
      </c>
      <c r="J53" s="1299">
        <v>6633476910</v>
      </c>
      <c r="K53" s="1299">
        <v>4417683547</v>
      </c>
      <c r="L53" s="1299">
        <v>0</v>
      </c>
    </row>
    <row r="54" spans="1:12" outlineLevel="1">
      <c r="B54" s="620" t="s">
        <v>3467</v>
      </c>
      <c r="C54" s="620" t="s">
        <v>3468</v>
      </c>
      <c r="D54" s="620" t="s">
        <v>31</v>
      </c>
      <c r="E54" s="621">
        <v>10767976457</v>
      </c>
      <c r="F54" s="621">
        <v>0</v>
      </c>
      <c r="G54" s="621">
        <v>283184000</v>
      </c>
      <c r="H54" s="621">
        <v>6633476910</v>
      </c>
      <c r="I54" s="621">
        <v>283184000</v>
      </c>
      <c r="J54" s="621">
        <v>6633476910</v>
      </c>
      <c r="K54" s="621">
        <v>4417683547</v>
      </c>
      <c r="L54" s="621">
        <v>0</v>
      </c>
    </row>
    <row r="55" spans="1:12">
      <c r="A55" s="1298" t="s">
        <v>3469</v>
      </c>
      <c r="E55" s="1299">
        <v>20718214953</v>
      </c>
      <c r="F55" s="1299">
        <v>0</v>
      </c>
      <c r="G55" s="1299">
        <v>1756542522</v>
      </c>
      <c r="H55" s="1299">
        <v>10755849191</v>
      </c>
      <c r="I55" s="1299">
        <v>1756542522</v>
      </c>
      <c r="J55" s="1299">
        <v>10755849191</v>
      </c>
      <c r="K55" s="1299">
        <v>11718908284</v>
      </c>
      <c r="L55" s="1299">
        <v>0</v>
      </c>
    </row>
    <row r="56" spans="1:12" outlineLevel="1">
      <c r="B56" s="620" t="s">
        <v>3470</v>
      </c>
      <c r="C56" s="620" t="s">
        <v>3471</v>
      </c>
      <c r="D56" s="620" t="s">
        <v>31</v>
      </c>
      <c r="E56" s="621">
        <v>20718214953</v>
      </c>
      <c r="F56" s="621">
        <v>0</v>
      </c>
      <c r="G56" s="621">
        <v>1756542522</v>
      </c>
      <c r="H56" s="621">
        <v>10755849191</v>
      </c>
      <c r="I56" s="621">
        <v>1756542522</v>
      </c>
      <c r="J56" s="621">
        <v>10755849191</v>
      </c>
      <c r="K56" s="621">
        <v>11718908284</v>
      </c>
      <c r="L56" s="621">
        <v>0</v>
      </c>
    </row>
    <row r="57" spans="1:12">
      <c r="A57" s="1298" t="s">
        <v>3472</v>
      </c>
      <c r="E57" s="1299">
        <v>19520514250</v>
      </c>
      <c r="F57" s="1299">
        <v>0</v>
      </c>
      <c r="G57" s="1299">
        <v>2269702988</v>
      </c>
      <c r="H57" s="1299">
        <v>10471639235</v>
      </c>
      <c r="I57" s="1299">
        <v>2269702988</v>
      </c>
      <c r="J57" s="1299">
        <v>10471639235</v>
      </c>
      <c r="K57" s="1299">
        <v>11318578003</v>
      </c>
      <c r="L57" s="1299">
        <v>0</v>
      </c>
    </row>
    <row r="58" spans="1:12" outlineLevel="1">
      <c r="B58" s="620" t="s">
        <v>3473</v>
      </c>
      <c r="C58" s="620" t="s">
        <v>3474</v>
      </c>
      <c r="D58" s="620" t="s">
        <v>31</v>
      </c>
      <c r="E58" s="621">
        <v>19520514250</v>
      </c>
      <c r="F58" s="621">
        <v>0</v>
      </c>
      <c r="G58" s="621">
        <v>2269702988</v>
      </c>
      <c r="H58" s="621">
        <v>10471639235</v>
      </c>
      <c r="I58" s="621">
        <v>2269702988</v>
      </c>
      <c r="J58" s="621">
        <v>10471639235</v>
      </c>
      <c r="K58" s="621">
        <v>11318578003</v>
      </c>
      <c r="L58" s="621">
        <v>0</v>
      </c>
    </row>
    <row r="59" spans="1:12">
      <c r="A59" s="1298" t="s">
        <v>3475</v>
      </c>
      <c r="E59" s="1299">
        <v>6585882570</v>
      </c>
      <c r="F59" s="1299">
        <v>0</v>
      </c>
      <c r="G59" s="1299">
        <v>250620396</v>
      </c>
      <c r="H59" s="1299">
        <v>1349568132</v>
      </c>
      <c r="I59" s="1299">
        <v>250620396</v>
      </c>
      <c r="J59" s="1299">
        <v>1349568132</v>
      </c>
      <c r="K59" s="1299">
        <v>5486934834</v>
      </c>
      <c r="L59" s="1299">
        <v>0</v>
      </c>
    </row>
    <row r="60" spans="1:12" outlineLevel="1">
      <c r="B60" s="620" t="s">
        <v>3476</v>
      </c>
      <c r="C60" s="620" t="s">
        <v>3477</v>
      </c>
      <c r="D60" s="620" t="s">
        <v>31</v>
      </c>
      <c r="E60" s="621">
        <v>6585882570</v>
      </c>
      <c r="F60" s="621">
        <v>0</v>
      </c>
      <c r="G60" s="621">
        <v>250620396</v>
      </c>
      <c r="H60" s="621">
        <v>1349568132</v>
      </c>
      <c r="I60" s="621">
        <v>250620396</v>
      </c>
      <c r="J60" s="621">
        <v>1349568132</v>
      </c>
      <c r="K60" s="621">
        <v>5486934834</v>
      </c>
      <c r="L60" s="621">
        <v>0</v>
      </c>
    </row>
    <row r="61" spans="1:12">
      <c r="A61" s="1298" t="s">
        <v>3478</v>
      </c>
      <c r="E61" s="1299">
        <v>59590000000</v>
      </c>
      <c r="F61" s="1299">
        <v>0</v>
      </c>
      <c r="G61" s="1299">
        <v>0</v>
      </c>
      <c r="H61" s="1299">
        <v>0</v>
      </c>
      <c r="I61" s="1299">
        <v>0</v>
      </c>
      <c r="J61" s="1299">
        <v>0</v>
      </c>
      <c r="K61" s="1299">
        <v>59590000000</v>
      </c>
      <c r="L61" s="1299">
        <v>0</v>
      </c>
    </row>
    <row r="62" spans="1:12" outlineLevel="1">
      <c r="B62" s="620" t="s">
        <v>3479</v>
      </c>
      <c r="C62" s="620" t="s">
        <v>3479</v>
      </c>
      <c r="D62" s="620" t="s">
        <v>31</v>
      </c>
      <c r="E62" s="621">
        <v>59590000000</v>
      </c>
      <c r="F62" s="621">
        <v>0</v>
      </c>
      <c r="G62" s="621">
        <v>0</v>
      </c>
      <c r="H62" s="621">
        <v>0</v>
      </c>
      <c r="I62" s="621">
        <v>0</v>
      </c>
      <c r="J62" s="621">
        <v>0</v>
      </c>
      <c r="K62" s="621">
        <v>59590000000</v>
      </c>
      <c r="L62" s="621">
        <v>0</v>
      </c>
    </row>
    <row r="63" spans="1:12">
      <c r="A63" s="1298" t="s">
        <v>3480</v>
      </c>
      <c r="E63" s="1299">
        <v>50500000000</v>
      </c>
      <c r="F63" s="1299">
        <v>0</v>
      </c>
      <c r="G63" s="1299">
        <v>0</v>
      </c>
      <c r="H63" s="1299">
        <v>0</v>
      </c>
      <c r="I63" s="1299">
        <v>0</v>
      </c>
      <c r="J63" s="1299">
        <v>0</v>
      </c>
      <c r="K63" s="1299">
        <v>50500000000</v>
      </c>
      <c r="L63" s="1299">
        <v>0</v>
      </c>
    </row>
    <row r="64" spans="1:12" outlineLevel="1">
      <c r="B64" s="620" t="s">
        <v>3481</v>
      </c>
      <c r="C64" s="620" t="s">
        <v>3481</v>
      </c>
      <c r="D64" s="620" t="s">
        <v>31</v>
      </c>
      <c r="E64" s="621">
        <v>50500000000</v>
      </c>
      <c r="F64" s="621">
        <v>0</v>
      </c>
      <c r="G64" s="621">
        <v>0</v>
      </c>
      <c r="H64" s="621">
        <v>0</v>
      </c>
      <c r="I64" s="621">
        <v>0</v>
      </c>
      <c r="J64" s="621">
        <v>0</v>
      </c>
      <c r="K64" s="621">
        <v>50500000000</v>
      </c>
      <c r="L64" s="621">
        <v>0</v>
      </c>
    </row>
    <row r="65" spans="1:12">
      <c r="A65" s="1298" t="s">
        <v>3482</v>
      </c>
      <c r="E65" s="1299">
        <v>35960232</v>
      </c>
      <c r="F65" s="1299">
        <v>0</v>
      </c>
      <c r="G65" s="1299">
        <v>0</v>
      </c>
      <c r="H65" s="1299">
        <v>0</v>
      </c>
      <c r="I65" s="1299">
        <v>0</v>
      </c>
      <c r="J65" s="1299">
        <v>0</v>
      </c>
      <c r="K65" s="1299">
        <v>35960232</v>
      </c>
      <c r="L65" s="1299">
        <v>0</v>
      </c>
    </row>
    <row r="66" spans="1:12" outlineLevel="1">
      <c r="B66" s="620" t="s">
        <v>3483</v>
      </c>
      <c r="C66" s="620" t="s">
        <v>3484</v>
      </c>
      <c r="D66" s="620" t="s">
        <v>31</v>
      </c>
      <c r="E66" s="621">
        <v>35960232</v>
      </c>
      <c r="F66" s="621">
        <v>0</v>
      </c>
      <c r="G66" s="621">
        <v>0</v>
      </c>
      <c r="H66" s="621">
        <v>0</v>
      </c>
      <c r="I66" s="621">
        <v>0</v>
      </c>
      <c r="J66" s="621">
        <v>0</v>
      </c>
      <c r="K66" s="621">
        <v>35960232</v>
      </c>
      <c r="L66" s="621">
        <v>0</v>
      </c>
    </row>
    <row r="67" spans="1:12">
      <c r="A67" s="1298" t="s">
        <v>3485</v>
      </c>
      <c r="E67" s="1299">
        <v>19524730773</v>
      </c>
      <c r="F67" s="1299">
        <v>0</v>
      </c>
      <c r="G67" s="1299">
        <v>2860235604</v>
      </c>
      <c r="H67" s="1299">
        <v>12932975095</v>
      </c>
      <c r="I67" s="1299">
        <v>2860235604</v>
      </c>
      <c r="J67" s="1299">
        <v>12932975095</v>
      </c>
      <c r="K67" s="1299">
        <v>9451991282</v>
      </c>
      <c r="L67" s="1299">
        <v>0</v>
      </c>
    </row>
    <row r="68" spans="1:12" outlineLevel="1">
      <c r="B68" s="620" t="s">
        <v>3486</v>
      </c>
      <c r="C68" s="620" t="s">
        <v>3487</v>
      </c>
      <c r="D68" s="620" t="s">
        <v>31</v>
      </c>
      <c r="E68" s="621">
        <v>19524730773</v>
      </c>
      <c r="F68" s="621">
        <v>0</v>
      </c>
      <c r="G68" s="621">
        <v>2860235604</v>
      </c>
      <c r="H68" s="621">
        <v>12932975095</v>
      </c>
      <c r="I68" s="621">
        <v>2860235604</v>
      </c>
      <c r="J68" s="621">
        <v>12932975095</v>
      </c>
      <c r="K68" s="621">
        <v>9451991282</v>
      </c>
      <c r="L68" s="621">
        <v>0</v>
      </c>
    </row>
    <row r="69" spans="1:12">
      <c r="A69" s="1298" t="s">
        <v>3488</v>
      </c>
      <c r="E69" s="1299">
        <v>1103997245</v>
      </c>
      <c r="F69" s="1299">
        <v>0</v>
      </c>
      <c r="G69" s="1299">
        <v>58719463</v>
      </c>
      <c r="H69" s="1299">
        <v>741015252</v>
      </c>
      <c r="I69" s="1299">
        <v>58719463</v>
      </c>
      <c r="J69" s="1299">
        <v>741015252</v>
      </c>
      <c r="K69" s="1299">
        <v>421701456</v>
      </c>
      <c r="L69" s="1299">
        <v>0</v>
      </c>
    </row>
    <row r="70" spans="1:12" outlineLevel="1">
      <c r="B70" s="620" t="s">
        <v>3489</v>
      </c>
      <c r="C70" s="620" t="s">
        <v>3490</v>
      </c>
      <c r="D70" s="620" t="s">
        <v>31</v>
      </c>
      <c r="E70" s="621">
        <v>1103997245</v>
      </c>
      <c r="F70" s="621">
        <v>0</v>
      </c>
      <c r="G70" s="621">
        <v>58719463</v>
      </c>
      <c r="H70" s="621">
        <v>741015252</v>
      </c>
      <c r="I70" s="621">
        <v>58719463</v>
      </c>
      <c r="J70" s="621">
        <v>741015252</v>
      </c>
      <c r="K70" s="621">
        <v>421701456</v>
      </c>
      <c r="L70" s="621">
        <v>0</v>
      </c>
    </row>
    <row r="71" spans="1:12">
      <c r="A71" s="1298" t="s">
        <v>3491</v>
      </c>
      <c r="E71" s="1299">
        <v>3937203234</v>
      </c>
      <c r="F71" s="1299">
        <v>0</v>
      </c>
      <c r="G71" s="1299">
        <v>487904989</v>
      </c>
      <c r="H71" s="1299">
        <v>2399772598</v>
      </c>
      <c r="I71" s="1299">
        <v>487904989</v>
      </c>
      <c r="J71" s="1299">
        <v>2399772598</v>
      </c>
      <c r="K71" s="1299">
        <v>2025335625</v>
      </c>
      <c r="L71" s="1299">
        <v>0</v>
      </c>
    </row>
    <row r="72" spans="1:12" outlineLevel="1">
      <c r="B72" s="620" t="s">
        <v>3492</v>
      </c>
      <c r="C72" s="620" t="s">
        <v>3493</v>
      </c>
      <c r="D72" s="620" t="s">
        <v>31</v>
      </c>
      <c r="E72" s="621">
        <v>3937203234</v>
      </c>
      <c r="F72" s="621">
        <v>0</v>
      </c>
      <c r="G72" s="621">
        <v>487904989</v>
      </c>
      <c r="H72" s="621">
        <v>2399772598</v>
      </c>
      <c r="I72" s="621">
        <v>487904989</v>
      </c>
      <c r="J72" s="621">
        <v>2399772598</v>
      </c>
      <c r="K72" s="621">
        <v>2025335625</v>
      </c>
      <c r="L72" s="621">
        <v>0</v>
      </c>
    </row>
    <row r="73" spans="1:12">
      <c r="A73" s="1298" t="s">
        <v>3494</v>
      </c>
      <c r="E73" s="1299">
        <v>49449238</v>
      </c>
      <c r="F73" s="1299">
        <v>0</v>
      </c>
      <c r="G73" s="1299">
        <v>0</v>
      </c>
      <c r="H73" s="1299">
        <v>17853304</v>
      </c>
      <c r="I73" s="1299">
        <v>0</v>
      </c>
      <c r="J73" s="1299">
        <v>17853304</v>
      </c>
      <c r="K73" s="1299">
        <v>31595934</v>
      </c>
      <c r="L73" s="1299">
        <v>0</v>
      </c>
    </row>
    <row r="74" spans="1:12" outlineLevel="1">
      <c r="B74" s="620" t="s">
        <v>3495</v>
      </c>
      <c r="C74" s="620" t="s">
        <v>3496</v>
      </c>
      <c r="D74" s="620" t="s">
        <v>31</v>
      </c>
      <c r="E74" s="621">
        <v>49449238</v>
      </c>
      <c r="F74" s="621">
        <v>0</v>
      </c>
      <c r="G74" s="621">
        <v>0</v>
      </c>
      <c r="H74" s="621">
        <v>17853304</v>
      </c>
      <c r="I74" s="621">
        <v>0</v>
      </c>
      <c r="J74" s="621">
        <v>17853304</v>
      </c>
      <c r="K74" s="621">
        <v>31595934</v>
      </c>
      <c r="L74" s="621">
        <v>0</v>
      </c>
    </row>
    <row r="75" spans="1:12">
      <c r="A75" s="1298" t="s">
        <v>3497</v>
      </c>
      <c r="E75" s="1299">
        <v>23496669838</v>
      </c>
      <c r="F75" s="1299">
        <v>0</v>
      </c>
      <c r="G75" s="1299">
        <v>0</v>
      </c>
      <c r="H75" s="1299">
        <v>13174527098</v>
      </c>
      <c r="I75" s="1299">
        <v>0</v>
      </c>
      <c r="J75" s="1299">
        <v>13174527098</v>
      </c>
      <c r="K75" s="1299">
        <v>10322142740</v>
      </c>
      <c r="L75" s="1299">
        <v>0</v>
      </c>
    </row>
    <row r="76" spans="1:12" outlineLevel="1">
      <c r="B76" s="620" t="s">
        <v>3498</v>
      </c>
      <c r="C76" s="620" t="s">
        <v>3499</v>
      </c>
      <c r="D76" s="620" t="s">
        <v>31</v>
      </c>
      <c r="E76" s="621">
        <v>23496669838</v>
      </c>
      <c r="F76" s="621">
        <v>0</v>
      </c>
      <c r="G76" s="621">
        <v>0</v>
      </c>
      <c r="H76" s="621">
        <v>13174527098</v>
      </c>
      <c r="I76" s="621">
        <v>0</v>
      </c>
      <c r="J76" s="621">
        <v>13174527098</v>
      </c>
      <c r="K76" s="621">
        <v>10322142740</v>
      </c>
      <c r="L76" s="621">
        <v>0</v>
      </c>
    </row>
    <row r="77" spans="1:12">
      <c r="A77" s="1298" t="s">
        <v>3500</v>
      </c>
      <c r="E77" s="1299">
        <v>3711384626</v>
      </c>
      <c r="F77" s="1299">
        <v>0</v>
      </c>
      <c r="G77" s="1299">
        <v>484179534</v>
      </c>
      <c r="H77" s="1299">
        <v>2228384867</v>
      </c>
      <c r="I77" s="1299">
        <v>484179534</v>
      </c>
      <c r="J77" s="1299">
        <v>2228384867</v>
      </c>
      <c r="K77" s="1299">
        <v>1967179293</v>
      </c>
      <c r="L77" s="1299">
        <v>0</v>
      </c>
    </row>
    <row r="78" spans="1:12" outlineLevel="1">
      <c r="B78" s="620" t="s">
        <v>3501</v>
      </c>
      <c r="C78" s="620" t="s">
        <v>3502</v>
      </c>
      <c r="D78" s="620" t="s">
        <v>31</v>
      </c>
      <c r="E78" s="621">
        <v>3711384626</v>
      </c>
      <c r="F78" s="621">
        <v>0</v>
      </c>
      <c r="G78" s="621">
        <v>484179534</v>
      </c>
      <c r="H78" s="621">
        <v>2228384867</v>
      </c>
      <c r="I78" s="621">
        <v>484179534</v>
      </c>
      <c r="J78" s="621">
        <v>2228384867</v>
      </c>
      <c r="K78" s="621">
        <v>1967179293</v>
      </c>
      <c r="L78" s="621">
        <v>0</v>
      </c>
    </row>
    <row r="79" spans="1:12">
      <c r="A79" s="1298" t="s">
        <v>3503</v>
      </c>
      <c r="E79" s="1299">
        <v>8628630398</v>
      </c>
      <c r="F79" s="1299">
        <v>0</v>
      </c>
      <c r="G79" s="1299">
        <v>1001972442</v>
      </c>
      <c r="H79" s="1299">
        <v>5634572484</v>
      </c>
      <c r="I79" s="1299">
        <v>1001972442</v>
      </c>
      <c r="J79" s="1299">
        <v>5634572484</v>
      </c>
      <c r="K79" s="1299">
        <v>3996030356</v>
      </c>
      <c r="L79" s="1299">
        <v>0</v>
      </c>
    </row>
    <row r="80" spans="1:12" outlineLevel="1">
      <c r="B80" s="620" t="s">
        <v>3504</v>
      </c>
      <c r="C80" s="620" t="s">
        <v>3505</v>
      </c>
      <c r="D80" s="620" t="s">
        <v>31</v>
      </c>
      <c r="E80" s="621">
        <v>8628630398</v>
      </c>
      <c r="F80" s="621">
        <v>0</v>
      </c>
      <c r="G80" s="621">
        <v>1001972442</v>
      </c>
      <c r="H80" s="621">
        <v>5634572484</v>
      </c>
      <c r="I80" s="621">
        <v>1001972442</v>
      </c>
      <c r="J80" s="621">
        <v>5634572484</v>
      </c>
      <c r="K80" s="621">
        <v>3996030356</v>
      </c>
      <c r="L80" s="621">
        <v>0</v>
      </c>
    </row>
    <row r="81" spans="1:12">
      <c r="B81" s="1300" t="s">
        <v>3506</v>
      </c>
      <c r="E81" s="1299">
        <v>819072322871</v>
      </c>
      <c r="F81" s="1299">
        <v>0</v>
      </c>
      <c r="G81" s="1299">
        <v>1290944517444</v>
      </c>
      <c r="H81" s="1299">
        <v>1694415938680</v>
      </c>
      <c r="I81" s="1299">
        <v>1290944517444</v>
      </c>
      <c r="J81" s="1299">
        <v>1694415938680</v>
      </c>
      <c r="K81" s="1299">
        <v>415600901635</v>
      </c>
      <c r="L81" s="1299">
        <v>0</v>
      </c>
    </row>
    <row r="86" spans="1:12" ht="18.75">
      <c r="A86" s="730" t="s">
        <v>3389</v>
      </c>
      <c r="B86" s="730"/>
      <c r="C86" s="730"/>
      <c r="D86" s="730"/>
      <c r="E86" s="730"/>
      <c r="F86" s="730"/>
      <c r="G86" s="730"/>
      <c r="H86" s="730"/>
      <c r="I86" s="730"/>
      <c r="J86" s="730"/>
      <c r="K86" s="730"/>
      <c r="L86" s="101"/>
    </row>
    <row r="87" spans="1:12">
      <c r="A87" s="731" t="s">
        <v>3507</v>
      </c>
      <c r="B87" s="731"/>
      <c r="C87" s="731"/>
      <c r="D87" s="731"/>
      <c r="E87" s="731"/>
      <c r="F87" s="731"/>
      <c r="G87" s="731"/>
      <c r="H87" s="731"/>
      <c r="I87" s="731"/>
      <c r="J87" s="731"/>
      <c r="K87" s="731"/>
      <c r="L87" s="101"/>
    </row>
    <row r="88" spans="1:12" ht="16.5" customHeight="1">
      <c r="B88" s="1671" t="s">
        <v>461</v>
      </c>
      <c r="C88" s="1671" t="s">
        <v>462</v>
      </c>
      <c r="D88" s="1671" t="s">
        <v>3391</v>
      </c>
      <c r="E88" s="1669" t="s">
        <v>3392</v>
      </c>
      <c r="F88" s="1670"/>
      <c r="G88" s="1669" t="s">
        <v>7</v>
      </c>
      <c r="H88" s="1670"/>
      <c r="I88" s="1669" t="s">
        <v>3393</v>
      </c>
      <c r="J88" s="1670"/>
      <c r="K88" s="1669" t="s">
        <v>3394</v>
      </c>
      <c r="L88" s="1670"/>
    </row>
    <row r="89" spans="1:12" ht="15" customHeight="1">
      <c r="B89" s="1672"/>
      <c r="C89" s="1672"/>
      <c r="D89" s="1672"/>
      <c r="E89" s="765" t="s">
        <v>11</v>
      </c>
      <c r="F89" s="765" t="s">
        <v>12</v>
      </c>
      <c r="G89" s="765" t="s">
        <v>11</v>
      </c>
      <c r="H89" s="765" t="s">
        <v>12</v>
      </c>
      <c r="I89" s="765" t="s">
        <v>11</v>
      </c>
      <c r="J89" s="765" t="s">
        <v>12</v>
      </c>
      <c r="K89" s="765" t="s">
        <v>11</v>
      </c>
      <c r="L89" s="765" t="s">
        <v>12</v>
      </c>
    </row>
    <row r="90" spans="1:12">
      <c r="A90" s="1298" t="s">
        <v>3508</v>
      </c>
      <c r="E90" s="1299">
        <v>380000</v>
      </c>
      <c r="F90" s="1299">
        <v>0</v>
      </c>
      <c r="G90" s="1299">
        <v>0</v>
      </c>
      <c r="H90" s="1299">
        <v>0</v>
      </c>
      <c r="I90" s="1299">
        <v>0</v>
      </c>
      <c r="J90" s="1299">
        <v>0</v>
      </c>
      <c r="K90" s="1299">
        <v>380000</v>
      </c>
      <c r="L90" s="1299">
        <v>0</v>
      </c>
    </row>
    <row r="91" spans="1:12" outlineLevel="1">
      <c r="B91" s="620" t="s">
        <v>3509</v>
      </c>
      <c r="C91" s="620" t="s">
        <v>3510</v>
      </c>
      <c r="D91" s="620" t="s">
        <v>62</v>
      </c>
      <c r="E91" s="621">
        <v>380000</v>
      </c>
      <c r="F91" s="621">
        <v>0</v>
      </c>
      <c r="G91" s="621">
        <v>0</v>
      </c>
      <c r="H91" s="621">
        <v>0</v>
      </c>
      <c r="I91" s="621">
        <v>0</v>
      </c>
      <c r="J91" s="621">
        <v>0</v>
      </c>
      <c r="K91" s="621">
        <v>380000</v>
      </c>
      <c r="L91" s="621">
        <v>0</v>
      </c>
    </row>
    <row r="92" spans="1:12">
      <c r="A92" s="1298" t="s">
        <v>3511</v>
      </c>
      <c r="E92" s="1299">
        <v>0</v>
      </c>
      <c r="F92" s="1299">
        <v>0</v>
      </c>
      <c r="G92" s="1299">
        <v>38000000</v>
      </c>
      <c r="H92" s="1299">
        <v>41000000</v>
      </c>
      <c r="I92" s="1299">
        <v>38000000</v>
      </c>
      <c r="J92" s="1299">
        <v>41000000</v>
      </c>
      <c r="K92" s="1299">
        <v>0</v>
      </c>
      <c r="L92" s="1299">
        <v>3000000</v>
      </c>
    </row>
    <row r="93" spans="1:12" outlineLevel="1">
      <c r="B93" s="620" t="s">
        <v>3512</v>
      </c>
      <c r="C93" s="620" t="s">
        <v>3513</v>
      </c>
      <c r="D93" s="620" t="s">
        <v>62</v>
      </c>
      <c r="E93" s="621">
        <v>0</v>
      </c>
      <c r="F93" s="621">
        <v>0</v>
      </c>
      <c r="G93" s="621">
        <v>38000000</v>
      </c>
      <c r="H93" s="621">
        <v>41000000</v>
      </c>
      <c r="I93" s="621">
        <v>38000000</v>
      </c>
      <c r="J93" s="621">
        <v>41000000</v>
      </c>
      <c r="K93" s="621">
        <v>0</v>
      </c>
      <c r="L93" s="621">
        <v>3000000</v>
      </c>
    </row>
    <row r="94" spans="1:12">
      <c r="A94" s="1298" t="s">
        <v>3514</v>
      </c>
      <c r="E94" s="1299">
        <v>0</v>
      </c>
      <c r="F94" s="1299">
        <v>23820000</v>
      </c>
      <c r="G94" s="1299">
        <v>23820000</v>
      </c>
      <c r="H94" s="1299">
        <v>0</v>
      </c>
      <c r="I94" s="1299">
        <v>23820000</v>
      </c>
      <c r="J94" s="1299">
        <v>0</v>
      </c>
      <c r="K94" s="1299">
        <v>0</v>
      </c>
      <c r="L94" s="1299">
        <v>0</v>
      </c>
    </row>
    <row r="95" spans="1:12" outlineLevel="1">
      <c r="B95" s="620" t="s">
        <v>3515</v>
      </c>
      <c r="C95" s="620" t="s">
        <v>3516</v>
      </c>
      <c r="D95" s="620" t="s">
        <v>62</v>
      </c>
      <c r="E95" s="621">
        <v>0</v>
      </c>
      <c r="F95" s="621">
        <v>23820000</v>
      </c>
      <c r="G95" s="621">
        <v>23820000</v>
      </c>
      <c r="H95" s="621">
        <v>0</v>
      </c>
      <c r="I95" s="621">
        <v>23820000</v>
      </c>
      <c r="J95" s="621">
        <v>0</v>
      </c>
      <c r="K95" s="621">
        <v>0</v>
      </c>
      <c r="L95" s="621">
        <v>0</v>
      </c>
    </row>
    <row r="96" spans="1:12">
      <c r="A96" s="1298" t="s">
        <v>3517</v>
      </c>
      <c r="E96" s="1299">
        <v>0</v>
      </c>
      <c r="F96" s="1299">
        <v>0</v>
      </c>
      <c r="G96" s="1299">
        <v>11058662</v>
      </c>
      <c r="H96" s="1299">
        <v>11058662</v>
      </c>
      <c r="I96" s="1299">
        <v>11058662</v>
      </c>
      <c r="J96" s="1299">
        <v>11058662</v>
      </c>
      <c r="K96" s="1299">
        <v>0</v>
      </c>
      <c r="L96" s="1299">
        <v>0</v>
      </c>
    </row>
    <row r="97" spans="1:12" outlineLevel="1">
      <c r="B97" s="620" t="s">
        <v>3518</v>
      </c>
      <c r="C97" s="620" t="s">
        <v>3519</v>
      </c>
      <c r="D97" s="620" t="s">
        <v>62</v>
      </c>
      <c r="E97" s="621">
        <v>0</v>
      </c>
      <c r="F97" s="621">
        <v>0</v>
      </c>
      <c r="G97" s="621">
        <v>11058662</v>
      </c>
      <c r="H97" s="621">
        <v>11058662</v>
      </c>
      <c r="I97" s="621">
        <v>11058662</v>
      </c>
      <c r="J97" s="621">
        <v>11058662</v>
      </c>
      <c r="K97" s="621">
        <v>0</v>
      </c>
      <c r="L97" s="621">
        <v>0</v>
      </c>
    </row>
    <row r="98" spans="1:12">
      <c r="A98" s="1298" t="s">
        <v>3520</v>
      </c>
      <c r="E98" s="1299">
        <v>6167249</v>
      </c>
      <c r="F98" s="1299">
        <v>0</v>
      </c>
      <c r="G98" s="1299">
        <v>0</v>
      </c>
      <c r="H98" s="1299">
        <v>0</v>
      </c>
      <c r="I98" s="1299">
        <v>0</v>
      </c>
      <c r="J98" s="1299">
        <v>0</v>
      </c>
      <c r="K98" s="1299">
        <v>6167249</v>
      </c>
      <c r="L98" s="1299">
        <v>0</v>
      </c>
    </row>
    <row r="99" spans="1:12" outlineLevel="1">
      <c r="B99" s="620" t="s">
        <v>3521</v>
      </c>
      <c r="C99" s="620" t="s">
        <v>3522</v>
      </c>
      <c r="D99" s="620" t="s">
        <v>62</v>
      </c>
      <c r="E99" s="621">
        <v>6167249</v>
      </c>
      <c r="F99" s="621">
        <v>0</v>
      </c>
      <c r="G99" s="621">
        <v>0</v>
      </c>
      <c r="H99" s="621">
        <v>0</v>
      </c>
      <c r="I99" s="621">
        <v>0</v>
      </c>
      <c r="J99" s="621">
        <v>0</v>
      </c>
      <c r="K99" s="621">
        <v>6167249</v>
      </c>
      <c r="L99" s="621">
        <v>0</v>
      </c>
    </row>
    <row r="100" spans="1:12">
      <c r="A100" s="1298" t="s">
        <v>3523</v>
      </c>
      <c r="E100" s="1299">
        <v>28720860</v>
      </c>
      <c r="F100" s="1299">
        <v>0</v>
      </c>
      <c r="G100" s="1299">
        <v>2402366585</v>
      </c>
      <c r="H100" s="1299">
        <v>2446779122</v>
      </c>
      <c r="I100" s="1299">
        <v>2402366585</v>
      </c>
      <c r="J100" s="1299">
        <v>2446779122</v>
      </c>
      <c r="K100" s="1299">
        <v>0</v>
      </c>
      <c r="L100" s="1299">
        <v>15691677</v>
      </c>
    </row>
    <row r="101" spans="1:12" outlineLevel="1">
      <c r="B101" s="620" t="s">
        <v>3524</v>
      </c>
      <c r="C101" s="620" t="s">
        <v>622</v>
      </c>
      <c r="D101" s="620" t="s">
        <v>62</v>
      </c>
      <c r="E101" s="621">
        <v>28720860</v>
      </c>
      <c r="F101" s="621">
        <v>0</v>
      </c>
      <c r="G101" s="621">
        <v>2402366585</v>
      </c>
      <c r="H101" s="621">
        <v>2446779122</v>
      </c>
      <c r="I101" s="621">
        <v>2402366585</v>
      </c>
      <c r="J101" s="621">
        <v>2446779122</v>
      </c>
      <c r="K101" s="621">
        <v>0</v>
      </c>
      <c r="L101" s="621">
        <v>15691677</v>
      </c>
    </row>
    <row r="102" spans="1:12">
      <c r="A102" s="1298" t="s">
        <v>3525</v>
      </c>
      <c r="E102" s="1299">
        <v>383579700</v>
      </c>
      <c r="F102" s="1299">
        <v>0</v>
      </c>
      <c r="G102" s="1299">
        <v>2594294907</v>
      </c>
      <c r="H102" s="1299">
        <v>2879287284</v>
      </c>
      <c r="I102" s="1299">
        <v>2594294907</v>
      </c>
      <c r="J102" s="1299">
        <v>2879287284</v>
      </c>
      <c r="K102" s="1299">
        <v>98587323</v>
      </c>
      <c r="L102" s="1299">
        <v>0</v>
      </c>
    </row>
    <row r="103" spans="1:12" outlineLevel="1">
      <c r="B103" s="620" t="s">
        <v>3526</v>
      </c>
      <c r="C103" s="620" t="s">
        <v>3527</v>
      </c>
      <c r="D103" s="620" t="s">
        <v>62</v>
      </c>
      <c r="E103" s="621">
        <v>383579700</v>
      </c>
      <c r="F103" s="621">
        <v>0</v>
      </c>
      <c r="G103" s="621">
        <v>2594294907</v>
      </c>
      <c r="H103" s="621">
        <v>2879287284</v>
      </c>
      <c r="I103" s="621">
        <v>2594294907</v>
      </c>
      <c r="J103" s="621">
        <v>2879287284</v>
      </c>
      <c r="K103" s="621">
        <v>98587323</v>
      </c>
      <c r="L103" s="621">
        <v>0</v>
      </c>
    </row>
    <row r="104" spans="1:12">
      <c r="A104" s="1298" t="s">
        <v>3528</v>
      </c>
      <c r="E104" s="1299">
        <v>0</v>
      </c>
      <c r="F104" s="1299">
        <v>0</v>
      </c>
      <c r="G104" s="1299">
        <v>1299000</v>
      </c>
      <c r="H104" s="1299">
        <v>1299000</v>
      </c>
      <c r="I104" s="1299">
        <v>1299000</v>
      </c>
      <c r="J104" s="1299">
        <v>1299000</v>
      </c>
      <c r="K104" s="1299">
        <v>0</v>
      </c>
      <c r="L104" s="1299">
        <v>0</v>
      </c>
    </row>
    <row r="105" spans="1:12" outlineLevel="1">
      <c r="B105" s="620" t="s">
        <v>3529</v>
      </c>
      <c r="C105" s="620" t="s">
        <v>3530</v>
      </c>
      <c r="D105" s="620" t="s">
        <v>62</v>
      </c>
      <c r="E105" s="621">
        <v>0</v>
      </c>
      <c r="F105" s="621">
        <v>0</v>
      </c>
      <c r="G105" s="621">
        <v>1299000</v>
      </c>
      <c r="H105" s="621">
        <v>1299000</v>
      </c>
      <c r="I105" s="621">
        <v>1299000</v>
      </c>
      <c r="J105" s="621">
        <v>1299000</v>
      </c>
      <c r="K105" s="621">
        <v>0</v>
      </c>
      <c r="L105" s="621">
        <v>0</v>
      </c>
    </row>
    <row r="106" spans="1:12">
      <c r="A106" s="1298" t="s">
        <v>3531</v>
      </c>
      <c r="E106" s="1299">
        <v>0</v>
      </c>
      <c r="F106" s="1299">
        <v>0</v>
      </c>
      <c r="G106" s="1299">
        <v>7318077</v>
      </c>
      <c r="H106" s="1299">
        <v>7318077</v>
      </c>
      <c r="I106" s="1299">
        <v>7318077</v>
      </c>
      <c r="J106" s="1299">
        <v>7318077</v>
      </c>
      <c r="K106" s="1299">
        <v>0</v>
      </c>
      <c r="L106" s="1299">
        <v>0</v>
      </c>
    </row>
    <row r="107" spans="1:12" outlineLevel="1">
      <c r="B107" s="620" t="s">
        <v>3532</v>
      </c>
      <c r="C107" s="620" t="s">
        <v>3532</v>
      </c>
      <c r="D107" s="620" t="s">
        <v>62</v>
      </c>
      <c r="E107" s="621">
        <v>0</v>
      </c>
      <c r="F107" s="621">
        <v>0</v>
      </c>
      <c r="G107" s="621">
        <v>7318077</v>
      </c>
      <c r="H107" s="621">
        <v>7318077</v>
      </c>
      <c r="I107" s="621">
        <v>7318077</v>
      </c>
      <c r="J107" s="621">
        <v>7318077</v>
      </c>
      <c r="K107" s="621">
        <v>0</v>
      </c>
      <c r="L107" s="621">
        <v>0</v>
      </c>
    </row>
    <row r="108" spans="1:12">
      <c r="A108" s="1298" t="s">
        <v>3533</v>
      </c>
      <c r="E108" s="1299">
        <v>0</v>
      </c>
      <c r="F108" s="1299">
        <v>0</v>
      </c>
      <c r="G108" s="1299">
        <v>3850400000</v>
      </c>
      <c r="H108" s="1299">
        <v>3850400000</v>
      </c>
      <c r="I108" s="1299">
        <v>3850400000</v>
      </c>
      <c r="J108" s="1299">
        <v>3850400000</v>
      </c>
      <c r="K108" s="1299">
        <v>0</v>
      </c>
      <c r="L108" s="1299">
        <v>0</v>
      </c>
    </row>
    <row r="109" spans="1:12" outlineLevel="1">
      <c r="B109" s="620" t="s">
        <v>3534</v>
      </c>
      <c r="C109" s="620" t="s">
        <v>3535</v>
      </c>
      <c r="D109" s="620" t="s">
        <v>62</v>
      </c>
      <c r="E109" s="621">
        <v>0</v>
      </c>
      <c r="F109" s="621">
        <v>0</v>
      </c>
      <c r="G109" s="621">
        <v>3850400000</v>
      </c>
      <c r="H109" s="621">
        <v>3850400000</v>
      </c>
      <c r="I109" s="621">
        <v>3850400000</v>
      </c>
      <c r="J109" s="621">
        <v>3850400000</v>
      </c>
      <c r="K109" s="621">
        <v>0</v>
      </c>
      <c r="L109" s="621">
        <v>0</v>
      </c>
    </row>
    <row r="110" spans="1:12">
      <c r="A110" s="1298" t="s">
        <v>3536</v>
      </c>
      <c r="E110" s="1299">
        <v>0</v>
      </c>
      <c r="F110" s="1299">
        <v>0</v>
      </c>
      <c r="G110" s="1299">
        <v>9946300000</v>
      </c>
      <c r="H110" s="1299">
        <v>9946300000</v>
      </c>
      <c r="I110" s="1299">
        <v>9946300000</v>
      </c>
      <c r="J110" s="1299">
        <v>9946300000</v>
      </c>
      <c r="K110" s="1299">
        <v>0</v>
      </c>
      <c r="L110" s="1299">
        <v>0</v>
      </c>
    </row>
    <row r="111" spans="1:12" outlineLevel="1">
      <c r="B111" s="620" t="s">
        <v>3537</v>
      </c>
      <c r="C111" s="620" t="s">
        <v>3538</v>
      </c>
      <c r="D111" s="620" t="s">
        <v>62</v>
      </c>
      <c r="E111" s="621">
        <v>0</v>
      </c>
      <c r="F111" s="621">
        <v>0</v>
      </c>
      <c r="G111" s="621">
        <v>9946300000</v>
      </c>
      <c r="H111" s="621">
        <v>9946300000</v>
      </c>
      <c r="I111" s="621">
        <v>9946300000</v>
      </c>
      <c r="J111" s="621">
        <v>9946300000</v>
      </c>
      <c r="K111" s="621">
        <v>0</v>
      </c>
      <c r="L111" s="621">
        <v>0</v>
      </c>
    </row>
    <row r="112" spans="1:12">
      <c r="A112" s="1298" t="s">
        <v>3539</v>
      </c>
      <c r="E112" s="1299">
        <v>0</v>
      </c>
      <c r="F112" s="1299">
        <v>0</v>
      </c>
      <c r="G112" s="1299">
        <v>14615884410</v>
      </c>
      <c r="H112" s="1299">
        <v>13158338048</v>
      </c>
      <c r="I112" s="1299">
        <v>14615884410</v>
      </c>
      <c r="J112" s="1299">
        <v>13158338048</v>
      </c>
      <c r="K112" s="1299">
        <v>1457546362</v>
      </c>
      <c r="L112" s="1299">
        <v>0</v>
      </c>
    </row>
    <row r="113" spans="1:12" outlineLevel="1">
      <c r="B113" s="620" t="s">
        <v>3540</v>
      </c>
      <c r="C113" s="620" t="s">
        <v>3541</v>
      </c>
      <c r="D113" s="620" t="s">
        <v>62</v>
      </c>
      <c r="E113" s="621">
        <v>0</v>
      </c>
      <c r="F113" s="621">
        <v>0</v>
      </c>
      <c r="G113" s="621">
        <v>14615884410</v>
      </c>
      <c r="H113" s="621">
        <v>13158338048</v>
      </c>
      <c r="I113" s="621">
        <v>14615884410</v>
      </c>
      <c r="J113" s="621">
        <v>13158338048</v>
      </c>
      <c r="K113" s="621">
        <v>1457546362</v>
      </c>
      <c r="L113" s="621">
        <v>0</v>
      </c>
    </row>
    <row r="114" spans="1:12">
      <c r="A114" s="1298" t="s">
        <v>3542</v>
      </c>
      <c r="E114" s="1299">
        <v>0</v>
      </c>
      <c r="F114" s="1299">
        <v>0</v>
      </c>
      <c r="G114" s="1299">
        <v>4669989851</v>
      </c>
      <c r="H114" s="1299">
        <v>4669989851</v>
      </c>
      <c r="I114" s="1299">
        <v>4669989851</v>
      </c>
      <c r="J114" s="1299">
        <v>4669989851</v>
      </c>
      <c r="K114" s="1299">
        <v>0</v>
      </c>
      <c r="L114" s="1299">
        <v>0</v>
      </c>
    </row>
    <row r="115" spans="1:12" outlineLevel="1">
      <c r="B115" s="620" t="s">
        <v>3543</v>
      </c>
      <c r="C115" s="620" t="s">
        <v>3544</v>
      </c>
      <c r="D115" s="620" t="s">
        <v>62</v>
      </c>
      <c r="E115" s="621">
        <v>0</v>
      </c>
      <c r="F115" s="621">
        <v>0</v>
      </c>
      <c r="G115" s="621">
        <v>4669989851</v>
      </c>
      <c r="H115" s="621">
        <v>4669989851</v>
      </c>
      <c r="I115" s="621">
        <v>4669989851</v>
      </c>
      <c r="J115" s="621">
        <v>4669989851</v>
      </c>
      <c r="K115" s="621">
        <v>0</v>
      </c>
      <c r="L115" s="621">
        <v>0</v>
      </c>
    </row>
    <row r="116" spans="1:12">
      <c r="B116" s="1300" t="s">
        <v>3545</v>
      </c>
      <c r="E116" s="1299">
        <v>418847809</v>
      </c>
      <c r="F116" s="1299">
        <v>23820000</v>
      </c>
      <c r="G116" s="1299">
        <v>38160731492</v>
      </c>
      <c r="H116" s="1299">
        <v>37011770044</v>
      </c>
      <c r="I116" s="1299">
        <v>38160731492</v>
      </c>
      <c r="J116" s="1299">
        <v>37011770044</v>
      </c>
      <c r="K116" s="1299">
        <v>1562680934</v>
      </c>
      <c r="L116" s="1299">
        <v>18691677</v>
      </c>
    </row>
  </sheetData>
  <mergeCells count="14">
    <mergeCell ref="I88:J88"/>
    <mergeCell ref="K88:L88"/>
    <mergeCell ref="B3:B4"/>
    <mergeCell ref="C3:C4"/>
    <mergeCell ref="D3:D4"/>
    <mergeCell ref="E3:F3"/>
    <mergeCell ref="G3:H3"/>
    <mergeCell ref="I3:J3"/>
    <mergeCell ref="K3:L3"/>
    <mergeCell ref="B88:B89"/>
    <mergeCell ref="C88:C89"/>
    <mergeCell ref="D88:D89"/>
    <mergeCell ref="E88:F88"/>
    <mergeCell ref="G88:H8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800F1-3827-4872-A6DC-733EE20457C7}">
  <dimension ref="A1:AK183"/>
  <sheetViews>
    <sheetView zoomScale="40" zoomScaleNormal="40" workbookViewId="0">
      <pane xSplit="3" ySplit="2" topLeftCell="D112" activePane="bottomRight" state="frozen"/>
      <selection pane="topRight" activeCell="D1" sqref="D1"/>
      <selection pane="bottomLeft" activeCell="A3" sqref="A3"/>
      <selection pane="bottomRight" activeCell="I128" sqref="I128"/>
    </sheetView>
  </sheetViews>
  <sheetFormatPr defaultRowHeight="15"/>
  <cols>
    <col min="1" max="1" width="17.140625" style="1325" customWidth="1"/>
    <col min="2" max="2" width="4.5703125" hidden="1" customWidth="1"/>
    <col min="3" max="3" width="17.140625" customWidth="1"/>
    <col min="4" max="4" width="25.85546875" customWidth="1"/>
    <col min="6" max="6" width="11.85546875" bestFit="1" customWidth="1"/>
    <col min="7" max="7" width="18.140625" bestFit="1" customWidth="1"/>
    <col min="8" max="8" width="11.85546875" customWidth="1"/>
    <col min="9" max="9" width="20.85546875" customWidth="1"/>
    <col min="10" max="10" width="15.5703125" hidden="1" customWidth="1"/>
    <col min="11" max="13" width="16" customWidth="1"/>
    <col min="14" max="14" width="18.140625" customWidth="1"/>
    <col min="15" max="15" width="16.85546875" style="255" customWidth="1"/>
    <col min="16" max="16" width="14.5703125" style="1328" customWidth="1"/>
    <col min="17" max="17" width="19.42578125" customWidth="1"/>
    <col min="18" max="37" width="16.85546875" customWidth="1"/>
  </cols>
  <sheetData>
    <row r="1" spans="1:37">
      <c r="K1" s="1326"/>
      <c r="L1" s="1326"/>
      <c r="M1" s="1326"/>
      <c r="N1" s="1327"/>
    </row>
    <row r="2" spans="1:37" ht="26.25">
      <c r="A2" s="1329" t="s">
        <v>3546</v>
      </c>
      <c r="B2" s="1329"/>
      <c r="C2" s="1330" t="s">
        <v>3547</v>
      </c>
      <c r="D2" s="1330" t="s">
        <v>3548</v>
      </c>
      <c r="E2" s="1329" t="s">
        <v>3549</v>
      </c>
      <c r="F2" s="1329" t="s">
        <v>3550</v>
      </c>
      <c r="G2" s="1331" t="s">
        <v>3551</v>
      </c>
      <c r="H2" s="1329" t="s">
        <v>3552</v>
      </c>
      <c r="I2" s="1329" t="s">
        <v>3553</v>
      </c>
      <c r="J2" s="1329" t="s">
        <v>3554</v>
      </c>
      <c r="K2" s="1329" t="s">
        <v>3555</v>
      </c>
      <c r="L2" s="1332" t="s">
        <v>3556</v>
      </c>
      <c r="M2" s="1333">
        <v>44926</v>
      </c>
      <c r="N2" s="1333">
        <v>44957</v>
      </c>
      <c r="O2" s="1333">
        <v>44985</v>
      </c>
      <c r="P2" s="1333">
        <v>45016</v>
      </c>
      <c r="Q2" s="1333">
        <v>45046</v>
      </c>
      <c r="R2" s="1333">
        <v>45077</v>
      </c>
      <c r="S2" s="1333">
        <v>45107</v>
      </c>
      <c r="T2" s="1333">
        <v>45138</v>
      </c>
      <c r="U2" s="1333">
        <v>45169</v>
      </c>
      <c r="V2" s="1333">
        <v>45199</v>
      </c>
      <c r="W2" s="1333">
        <v>45230</v>
      </c>
      <c r="X2" s="1333">
        <v>45260</v>
      </c>
      <c r="Y2" s="1333">
        <v>45291</v>
      </c>
      <c r="Z2" s="1333">
        <v>45322</v>
      </c>
      <c r="AA2" s="1333">
        <v>45351</v>
      </c>
      <c r="AB2" s="1333">
        <v>45382</v>
      </c>
      <c r="AC2" s="1333">
        <v>45412</v>
      </c>
      <c r="AD2" s="1333">
        <v>45443</v>
      </c>
      <c r="AE2" s="1333">
        <v>45473</v>
      </c>
      <c r="AF2" s="1333">
        <v>45504</v>
      </c>
      <c r="AG2" s="1333">
        <v>45535</v>
      </c>
      <c r="AH2" s="1333">
        <v>45565</v>
      </c>
      <c r="AI2" s="1333">
        <v>45596</v>
      </c>
      <c r="AJ2" s="1333">
        <v>45626</v>
      </c>
      <c r="AK2" s="1333">
        <v>45657</v>
      </c>
    </row>
    <row r="3" spans="1:37" ht="26.25">
      <c r="A3" s="1334" t="s">
        <v>1455</v>
      </c>
      <c r="B3" s="1334">
        <v>1</v>
      </c>
      <c r="C3" s="1335" t="s">
        <v>3557</v>
      </c>
      <c r="D3" s="1336" t="s">
        <v>3558</v>
      </c>
      <c r="E3" s="1337">
        <v>0.11600000000000001</v>
      </c>
      <c r="F3" s="1334">
        <v>6</v>
      </c>
      <c r="G3" s="1338">
        <v>50000000000</v>
      </c>
      <c r="H3" s="1339">
        <v>44910</v>
      </c>
      <c r="I3" s="1338"/>
      <c r="J3" s="1340"/>
      <c r="K3" s="1339">
        <v>45092</v>
      </c>
      <c r="L3" s="1339" t="s">
        <v>3559</v>
      </c>
      <c r="M3" s="1341">
        <f>IF($H3&lt;K$1,(M$2-K$1+1)*$G3*$E3/365,(M$2-$H3+1)*$G3*$E3/365)</f>
        <v>270136986.30136985</v>
      </c>
      <c r="N3" s="1341">
        <f t="shared" ref="N3:Y18" si="0">IF($H3&lt;M$2,(N$2-M$2)*$G3*$E3/365,(N$2-$H3)*$G3*$E3/365)</f>
        <v>492602739.72602737</v>
      </c>
      <c r="O3" s="1341">
        <f t="shared" si="0"/>
        <v>444931506.84931505</v>
      </c>
      <c r="P3" s="1341">
        <f t="shared" si="0"/>
        <v>492602739.72602737</v>
      </c>
      <c r="Q3" s="1341">
        <f t="shared" si="0"/>
        <v>476712328.76712328</v>
      </c>
      <c r="R3" s="1341">
        <f t="shared" si="0"/>
        <v>492602739.72602737</v>
      </c>
      <c r="S3" s="1341"/>
      <c r="T3" s="1342"/>
    </row>
    <row r="4" spans="1:37" s="1343" customFormat="1" ht="26.25">
      <c r="A4" s="1334" t="s">
        <v>1455</v>
      </c>
      <c r="B4" s="1334">
        <v>10</v>
      </c>
      <c r="C4" s="1335" t="s">
        <v>3557</v>
      </c>
      <c r="D4" s="1336" t="s">
        <v>3560</v>
      </c>
      <c r="E4" s="1337">
        <v>0.11600000000000001</v>
      </c>
      <c r="F4" s="1334">
        <v>6</v>
      </c>
      <c r="G4" s="1338">
        <v>18000000000</v>
      </c>
      <c r="H4" s="1339">
        <v>44935</v>
      </c>
      <c r="I4" s="1338"/>
      <c r="J4" s="1340"/>
      <c r="K4" s="1339">
        <v>45117</v>
      </c>
      <c r="L4" s="1339" t="s">
        <v>3561</v>
      </c>
      <c r="M4" s="1339"/>
      <c r="N4" s="1341">
        <f t="shared" si="0"/>
        <v>125852054.79452054</v>
      </c>
      <c r="O4" s="1341">
        <f t="shared" si="0"/>
        <v>160175342.46575344</v>
      </c>
      <c r="P4" s="1341">
        <f t="shared" si="0"/>
        <v>177336986.30136988</v>
      </c>
      <c r="Q4" s="1341">
        <f t="shared" si="0"/>
        <v>171616438.3561644</v>
      </c>
      <c r="R4" s="1341">
        <f t="shared" si="0"/>
        <v>177336986.30136988</v>
      </c>
      <c r="S4" s="1341">
        <f>IF($H4&lt;R$2,(S$2-R$2)*$G4*$E4/365,(S$2-$H4)*$G4*$E4/365)</f>
        <v>171616438.3561644</v>
      </c>
      <c r="T4" s="1341"/>
    </row>
    <row r="5" spans="1:37" s="1343" customFormat="1" ht="26.25">
      <c r="A5" s="1334" t="s">
        <v>1455</v>
      </c>
      <c r="B5" s="1334">
        <v>11</v>
      </c>
      <c r="C5" s="1335" t="s">
        <v>3557</v>
      </c>
      <c r="D5" s="1336" t="s">
        <v>3562</v>
      </c>
      <c r="E5" s="1337">
        <v>0.11600000000000001</v>
      </c>
      <c r="F5" s="1334">
        <v>6</v>
      </c>
      <c r="G5" s="1338">
        <v>10000000000</v>
      </c>
      <c r="H5" s="1339">
        <v>44937</v>
      </c>
      <c r="I5" s="1338"/>
      <c r="J5" s="1340"/>
      <c r="K5" s="1339">
        <v>45117</v>
      </c>
      <c r="L5" s="1339" t="s">
        <v>3561</v>
      </c>
      <c r="M5" s="1339"/>
      <c r="N5" s="1341">
        <f t="shared" si="0"/>
        <v>63561643.83561644</v>
      </c>
      <c r="O5" s="1341">
        <f t="shared" si="0"/>
        <v>88986301.369863018</v>
      </c>
      <c r="P5" s="1341">
        <f t="shared" si="0"/>
        <v>98520547.94520548</v>
      </c>
      <c r="Q5" s="1341">
        <f t="shared" si="0"/>
        <v>95342465.753424659</v>
      </c>
      <c r="R5" s="1341">
        <f t="shared" si="0"/>
        <v>98520547.94520548</v>
      </c>
      <c r="S5" s="1341">
        <f>IF($H5&lt;R$2,(S$2-R$2)*$G5*$E5/365,(S$2-$H5)*$G5*$E5/365)</f>
        <v>95342465.753424659</v>
      </c>
      <c r="T5" s="1341"/>
    </row>
    <row r="6" spans="1:37" s="1343" customFormat="1" ht="26.25">
      <c r="A6" s="1334" t="s">
        <v>1455</v>
      </c>
      <c r="B6" s="1334">
        <v>12</v>
      </c>
      <c r="C6" s="1335" t="s">
        <v>3563</v>
      </c>
      <c r="D6" s="1336" t="s">
        <v>3564</v>
      </c>
      <c r="E6" s="1337">
        <v>0.105</v>
      </c>
      <c r="F6" s="1334">
        <v>6</v>
      </c>
      <c r="G6" s="1338">
        <v>50000000000</v>
      </c>
      <c r="H6" s="1339">
        <v>44938</v>
      </c>
      <c r="I6" s="1338"/>
      <c r="J6" s="1340"/>
      <c r="K6" s="1339">
        <v>45119</v>
      </c>
      <c r="L6" s="1339" t="s">
        <v>3565</v>
      </c>
      <c r="M6" s="1339"/>
      <c r="N6" s="1341">
        <f t="shared" si="0"/>
        <v>273287671.23287672</v>
      </c>
      <c r="O6" s="1341">
        <f t="shared" si="0"/>
        <v>402739726.02739727</v>
      </c>
      <c r="P6" s="1341">
        <f t="shared" si="0"/>
        <v>445890410.95890409</v>
      </c>
      <c r="Q6" s="1341">
        <f t="shared" si="0"/>
        <v>431506849.31506848</v>
      </c>
      <c r="R6" s="1341">
        <f t="shared" si="0"/>
        <v>445890410.95890409</v>
      </c>
      <c r="S6" s="1341">
        <f>IF($H6&lt;R$2,(S$2-R$2)*$G6*$E6/365,(S$2-$H6)*$G6*$E6/365)</f>
        <v>431506849.31506848</v>
      </c>
      <c r="T6" s="1341"/>
    </row>
    <row r="7" spans="1:37" s="1343" customFormat="1" ht="26.25">
      <c r="A7" s="1334" t="s">
        <v>1455</v>
      </c>
      <c r="B7" s="1334">
        <v>13</v>
      </c>
      <c r="C7" s="1335" t="s">
        <v>3566</v>
      </c>
      <c r="D7" s="1336" t="s">
        <v>3567</v>
      </c>
      <c r="E7" s="1337">
        <v>0.105</v>
      </c>
      <c r="F7" s="1334">
        <v>6</v>
      </c>
      <c r="G7" s="1338">
        <v>50000000000</v>
      </c>
      <c r="H7" s="1339">
        <v>44939</v>
      </c>
      <c r="I7" s="1338"/>
      <c r="J7" s="1340"/>
      <c r="K7" s="1339">
        <v>45120</v>
      </c>
      <c r="L7" s="1339" t="s">
        <v>3568</v>
      </c>
      <c r="M7" s="1339"/>
      <c r="N7" s="1341">
        <f t="shared" si="0"/>
        <v>258904109.58904108</v>
      </c>
      <c r="O7" s="1341">
        <f t="shared" si="0"/>
        <v>402739726.02739727</v>
      </c>
      <c r="P7" s="1341">
        <f t="shared" si="0"/>
        <v>445890410.95890409</v>
      </c>
      <c r="Q7" s="1341">
        <f t="shared" si="0"/>
        <v>431506849.31506848</v>
      </c>
      <c r="R7" s="1341">
        <f t="shared" si="0"/>
        <v>445890410.95890409</v>
      </c>
      <c r="S7" s="1341">
        <f>IF($H7&lt;R$2,(S$2-R$2)*$G7*$E7/365,(S$2-$H7)*$G7*$E7/365)</f>
        <v>431506849.31506848</v>
      </c>
      <c r="T7" s="1341"/>
    </row>
    <row r="8" spans="1:37" s="1343" customFormat="1">
      <c r="A8" s="1334" t="s">
        <v>1455</v>
      </c>
      <c r="B8" s="1334">
        <v>14</v>
      </c>
      <c r="C8" s="1335" t="s">
        <v>3569</v>
      </c>
      <c r="D8" s="1336" t="s">
        <v>3570</v>
      </c>
      <c r="E8" s="1337">
        <v>7.0000000000000007E-2</v>
      </c>
      <c r="F8" s="1334">
        <v>13</v>
      </c>
      <c r="G8" s="1338">
        <v>10000000000</v>
      </c>
      <c r="H8" s="1339">
        <v>44942</v>
      </c>
      <c r="I8" s="1338"/>
      <c r="J8" s="1340"/>
      <c r="K8" s="1339">
        <v>45058</v>
      </c>
      <c r="L8" s="1339" t="s">
        <v>3571</v>
      </c>
      <c r="M8" s="1339"/>
      <c r="N8" s="1341">
        <f t="shared" si="0"/>
        <v>28767123.287671238</v>
      </c>
      <c r="O8" s="1344"/>
      <c r="P8" s="1345"/>
    </row>
    <row r="9" spans="1:37" s="1343" customFormat="1">
      <c r="A9" s="1334" t="s">
        <v>1455</v>
      </c>
      <c r="B9" s="1334">
        <v>15</v>
      </c>
      <c r="C9" s="1335" t="s">
        <v>3569</v>
      </c>
      <c r="D9" s="1336" t="s">
        <v>3572</v>
      </c>
      <c r="E9" s="1337">
        <v>7.0000000000000007E-2</v>
      </c>
      <c r="F9" s="1334">
        <v>13</v>
      </c>
      <c r="G9" s="1338">
        <v>20000000000</v>
      </c>
      <c r="H9" s="1339">
        <v>44942</v>
      </c>
      <c r="I9" s="1338"/>
      <c r="J9" s="1340"/>
      <c r="K9" s="1339">
        <v>45058</v>
      </c>
      <c r="L9" s="1339" t="s">
        <v>3571</v>
      </c>
      <c r="M9" s="1339"/>
      <c r="N9" s="1341">
        <f t="shared" si="0"/>
        <v>57534246.575342476</v>
      </c>
      <c r="O9" s="1341"/>
      <c r="P9" s="1345"/>
    </row>
    <row r="10" spans="1:37" s="1343" customFormat="1" ht="14.1" customHeight="1">
      <c r="A10" s="1334" t="s">
        <v>1455</v>
      </c>
      <c r="B10" s="1334">
        <v>16</v>
      </c>
      <c r="C10" s="1335" t="s">
        <v>3569</v>
      </c>
      <c r="D10" s="1336" t="s">
        <v>3573</v>
      </c>
      <c r="E10" s="1337">
        <v>7.0000000000000007E-2</v>
      </c>
      <c r="F10" s="1334">
        <v>13</v>
      </c>
      <c r="G10" s="1338">
        <v>20000000000</v>
      </c>
      <c r="H10" s="1339">
        <v>44942</v>
      </c>
      <c r="I10" s="1338"/>
      <c r="J10" s="1340"/>
      <c r="K10" s="1339">
        <v>45058</v>
      </c>
      <c r="L10" s="1339" t="s">
        <v>3571</v>
      </c>
      <c r="M10" s="1339"/>
      <c r="N10" s="1341">
        <f t="shared" si="0"/>
        <v>57534246.575342476</v>
      </c>
      <c r="O10" s="1341"/>
      <c r="P10" s="1345"/>
    </row>
    <row r="11" spans="1:37" s="1343" customFormat="1">
      <c r="A11" s="1334" t="s">
        <v>1455</v>
      </c>
      <c r="B11" s="1334">
        <v>17</v>
      </c>
      <c r="C11" s="1335" t="s">
        <v>3566</v>
      </c>
      <c r="D11" s="1336" t="s">
        <v>3574</v>
      </c>
      <c r="E11" s="1337">
        <v>0.105</v>
      </c>
      <c r="F11" s="1334">
        <v>6</v>
      </c>
      <c r="G11" s="1338">
        <v>10000000000</v>
      </c>
      <c r="H11" s="1339">
        <v>44942</v>
      </c>
      <c r="I11" s="1338"/>
      <c r="J11" s="1340"/>
      <c r="K11" s="1339">
        <v>45124</v>
      </c>
      <c r="L11" s="1339" t="s">
        <v>3571</v>
      </c>
      <c r="M11" s="1339"/>
      <c r="N11" s="1341">
        <f t="shared" si="0"/>
        <v>43150684.93150685</v>
      </c>
      <c r="O11" s="1341">
        <f t="shared" si="0"/>
        <v>80547945.205479458</v>
      </c>
      <c r="P11" s="1341">
        <f t="shared" si="0"/>
        <v>89178082.19178082</v>
      </c>
      <c r="Q11" s="1341">
        <f t="shared" si="0"/>
        <v>86301369.8630137</v>
      </c>
      <c r="R11" s="1341">
        <f t="shared" si="0"/>
        <v>89178082.19178082</v>
      </c>
      <c r="S11" s="1341">
        <f t="shared" si="0"/>
        <v>86301369.8630137</v>
      </c>
      <c r="T11" s="1341"/>
    </row>
    <row r="12" spans="1:37" s="1343" customFormat="1">
      <c r="A12" s="1334" t="s">
        <v>1455</v>
      </c>
      <c r="B12" s="1334">
        <v>18</v>
      </c>
      <c r="C12" s="1335" t="s">
        <v>3557</v>
      </c>
      <c r="D12" s="1336" t="s">
        <v>3575</v>
      </c>
      <c r="E12" s="1337">
        <v>0.11600000000000001</v>
      </c>
      <c r="F12" s="1334">
        <v>6</v>
      </c>
      <c r="G12" s="1338">
        <v>18000000000</v>
      </c>
      <c r="H12" s="1339">
        <v>44944</v>
      </c>
      <c r="I12" s="1338"/>
      <c r="J12" s="1340"/>
      <c r="K12" s="1339">
        <v>45125</v>
      </c>
      <c r="L12" s="1339" t="s">
        <v>3571</v>
      </c>
      <c r="M12" s="1339"/>
      <c r="N12" s="1341">
        <f t="shared" si="0"/>
        <v>74367123.287671238</v>
      </c>
      <c r="O12" s="1341">
        <f t="shared" si="0"/>
        <v>160175342.46575344</v>
      </c>
      <c r="P12" s="1341">
        <f t="shared" si="0"/>
        <v>177336986.30136988</v>
      </c>
      <c r="Q12" s="1341">
        <f t="shared" si="0"/>
        <v>171616438.3561644</v>
      </c>
      <c r="R12" s="1341">
        <f t="shared" si="0"/>
        <v>177336986.30136988</v>
      </c>
      <c r="S12" s="1341">
        <f t="shared" si="0"/>
        <v>171616438.3561644</v>
      </c>
      <c r="T12" s="1341"/>
    </row>
    <row r="13" spans="1:37" s="1343" customFormat="1">
      <c r="A13" s="1334" t="s">
        <v>1455</v>
      </c>
      <c r="B13" s="1334">
        <v>19</v>
      </c>
      <c r="C13" s="1335" t="s">
        <v>3566</v>
      </c>
      <c r="D13" s="1336" t="s">
        <v>3576</v>
      </c>
      <c r="E13" s="1337">
        <v>0.105</v>
      </c>
      <c r="F13" s="1334">
        <v>6</v>
      </c>
      <c r="G13" s="1338">
        <v>20000000000</v>
      </c>
      <c r="H13" s="1339">
        <v>44944</v>
      </c>
      <c r="I13" s="1338"/>
      <c r="J13" s="1340"/>
      <c r="K13" s="1339">
        <v>45125</v>
      </c>
      <c r="L13" s="1339" t="s">
        <v>3571</v>
      </c>
      <c r="M13" s="1339"/>
      <c r="N13" s="1341">
        <f t="shared" si="0"/>
        <v>74794520.547945201</v>
      </c>
      <c r="O13" s="1341">
        <f t="shared" si="0"/>
        <v>161095890.41095892</v>
      </c>
      <c r="P13" s="1341">
        <f t="shared" si="0"/>
        <v>178356164.38356164</v>
      </c>
      <c r="Q13" s="1341">
        <f t="shared" si="0"/>
        <v>172602739.7260274</v>
      </c>
      <c r="R13" s="1341">
        <f t="shared" si="0"/>
        <v>178356164.38356164</v>
      </c>
      <c r="S13" s="1341">
        <f t="shared" si="0"/>
        <v>172602739.7260274</v>
      </c>
      <c r="T13" s="1341"/>
    </row>
    <row r="14" spans="1:37" s="1343" customFormat="1">
      <c r="A14" s="1334" t="s">
        <v>1455</v>
      </c>
      <c r="B14" s="1334">
        <v>20</v>
      </c>
      <c r="C14" s="1335" t="s">
        <v>3566</v>
      </c>
      <c r="D14" s="1336" t="s">
        <v>3577</v>
      </c>
      <c r="E14" s="1337">
        <v>0.112</v>
      </c>
      <c r="F14" s="1334">
        <v>12</v>
      </c>
      <c r="G14" s="1338">
        <v>40000000000</v>
      </c>
      <c r="H14" s="1339">
        <v>44956</v>
      </c>
      <c r="I14" s="1338"/>
      <c r="J14" s="1003"/>
      <c r="K14" s="1339">
        <v>45321</v>
      </c>
      <c r="L14" s="1339" t="s">
        <v>3571</v>
      </c>
      <c r="M14" s="1339"/>
      <c r="N14" s="1341">
        <f t="shared" si="0"/>
        <v>12273972.602739725</v>
      </c>
      <c r="O14" s="1341">
        <f t="shared" si="0"/>
        <v>343671232.87671232</v>
      </c>
      <c r="P14" s="1341">
        <f t="shared" si="0"/>
        <v>380493150.68493152</v>
      </c>
      <c r="Q14" s="1341">
        <f t="shared" si="0"/>
        <v>368219178.08219177</v>
      </c>
      <c r="R14" s="1341">
        <f t="shared" si="0"/>
        <v>380493150.68493152</v>
      </c>
      <c r="S14" s="1341">
        <f t="shared" si="0"/>
        <v>368219178.08219177</v>
      </c>
      <c r="T14" s="1341">
        <f t="shared" si="0"/>
        <v>380493150.68493152</v>
      </c>
      <c r="U14" s="1341">
        <f t="shared" si="0"/>
        <v>380493150.68493152</v>
      </c>
      <c r="V14" s="1341">
        <f t="shared" si="0"/>
        <v>368219178.08219177</v>
      </c>
      <c r="W14" s="1341">
        <f t="shared" si="0"/>
        <v>380493150.68493152</v>
      </c>
      <c r="X14" s="1341">
        <f t="shared" si="0"/>
        <v>368219178.08219177</v>
      </c>
      <c r="Y14" s="1341">
        <f t="shared" si="0"/>
        <v>380493150.68493152</v>
      </c>
      <c r="Z14" s="1341"/>
      <c r="AA14" s="1341"/>
      <c r="AB14" s="1341"/>
      <c r="AC14" s="1341"/>
      <c r="AD14" s="1341"/>
      <c r="AE14" s="1341"/>
      <c r="AF14" s="1341"/>
      <c r="AG14" s="1341"/>
      <c r="AH14" s="1341"/>
      <c r="AI14" s="1341"/>
      <c r="AJ14" s="1341"/>
      <c r="AK14" s="1341"/>
    </row>
    <row r="15" spans="1:37" s="1343" customFormat="1">
      <c r="A15" s="1334" t="s">
        <v>1455</v>
      </c>
      <c r="B15" s="1334">
        <v>21</v>
      </c>
      <c r="C15" s="1335" t="s">
        <v>3557</v>
      </c>
      <c r="D15" s="1336" t="s">
        <v>3578</v>
      </c>
      <c r="E15" s="1337">
        <v>0.11600000000000001</v>
      </c>
      <c r="F15" s="1334">
        <v>6</v>
      </c>
      <c r="G15" s="1338">
        <v>14700000000</v>
      </c>
      <c r="H15" s="1339">
        <v>44956</v>
      </c>
      <c r="I15" s="1338"/>
      <c r="J15" s="1340"/>
      <c r="K15" s="1339">
        <v>45125</v>
      </c>
      <c r="L15" s="1339" t="s">
        <v>3571</v>
      </c>
      <c r="M15" s="1339"/>
      <c r="N15" s="1341">
        <f t="shared" si="0"/>
        <v>4671780.8219178086</v>
      </c>
      <c r="O15" s="1341">
        <f t="shared" si="0"/>
        <v>130809863.01369864</v>
      </c>
      <c r="P15" s="1341">
        <f t="shared" si="0"/>
        <v>144825205.47945204</v>
      </c>
      <c r="Q15" s="1341">
        <f t="shared" si="0"/>
        <v>140153424.65753424</v>
      </c>
      <c r="R15" s="1341">
        <f t="shared" si="0"/>
        <v>144825205.47945204</v>
      </c>
      <c r="S15" s="1341">
        <f t="shared" si="0"/>
        <v>140153424.65753424</v>
      </c>
      <c r="T15" s="1341"/>
    </row>
    <row r="16" spans="1:37" s="1343" customFormat="1">
      <c r="A16" s="1334" t="s">
        <v>1455</v>
      </c>
      <c r="B16" s="1334">
        <v>22</v>
      </c>
      <c r="C16" s="1335" t="s">
        <v>3557</v>
      </c>
      <c r="D16" s="1336" t="s">
        <v>3579</v>
      </c>
      <c r="E16" s="1337">
        <v>0.11600000000000001</v>
      </c>
      <c r="F16" s="1334">
        <v>6</v>
      </c>
      <c r="G16" s="1338">
        <v>7000000000</v>
      </c>
      <c r="H16" s="1339">
        <v>44956</v>
      </c>
      <c r="I16" s="1338"/>
      <c r="J16" s="1340"/>
      <c r="K16" s="1339">
        <v>45125</v>
      </c>
      <c r="L16" s="1339" t="s">
        <v>3571</v>
      </c>
      <c r="M16" s="1339"/>
      <c r="N16" s="1341">
        <f t="shared" si="0"/>
        <v>2224657.5342465756</v>
      </c>
      <c r="O16" s="1341">
        <f t="shared" si="0"/>
        <v>62290410.95890411</v>
      </c>
      <c r="P16" s="1341">
        <f t="shared" si="0"/>
        <v>68964383.561643839</v>
      </c>
      <c r="Q16" s="1341">
        <f t="shared" si="0"/>
        <v>66739726.02739726</v>
      </c>
      <c r="R16" s="1341">
        <f t="shared" si="0"/>
        <v>68964383.561643839</v>
      </c>
      <c r="S16" s="1341">
        <f t="shared" si="0"/>
        <v>66739726.02739726</v>
      </c>
      <c r="T16" s="1341"/>
    </row>
    <row r="17" spans="1:37" s="1343" customFormat="1">
      <c r="A17" s="1334" t="s">
        <v>1455</v>
      </c>
      <c r="B17" s="1334">
        <v>23</v>
      </c>
      <c r="C17" s="1335" t="s">
        <v>3569</v>
      </c>
      <c r="D17" s="1336" t="s">
        <v>3580</v>
      </c>
      <c r="E17" s="1337">
        <v>0.107</v>
      </c>
      <c r="F17" s="1334">
        <v>6</v>
      </c>
      <c r="G17" s="1338">
        <v>3000000000</v>
      </c>
      <c r="H17" s="1339">
        <v>44957</v>
      </c>
      <c r="I17" s="1338"/>
      <c r="J17" s="1003"/>
      <c r="K17" s="1339">
        <v>45138</v>
      </c>
      <c r="L17" s="1339" t="s">
        <v>3571</v>
      </c>
      <c r="M17" s="1339"/>
      <c r="N17" s="1341">
        <f t="shared" si="0"/>
        <v>0</v>
      </c>
      <c r="O17" s="1341">
        <f t="shared" si="0"/>
        <v>24624657.534246575</v>
      </c>
      <c r="P17" s="1341">
        <f t="shared" si="0"/>
        <v>27263013.698630136</v>
      </c>
      <c r="Q17" s="1341">
        <f t="shared" si="0"/>
        <v>26383561.643835615</v>
      </c>
      <c r="R17" s="1341">
        <f t="shared" si="0"/>
        <v>27263013.698630136</v>
      </c>
      <c r="S17" s="1341">
        <f t="shared" si="0"/>
        <v>26383561.643835615</v>
      </c>
      <c r="T17" s="1341"/>
    </row>
    <row r="18" spans="1:37" s="1343" customFormat="1">
      <c r="A18" s="1334" t="s">
        <v>1455</v>
      </c>
      <c r="B18" s="1334">
        <v>24</v>
      </c>
      <c r="C18" s="1335" t="s">
        <v>3569</v>
      </c>
      <c r="D18" s="1336" t="s">
        <v>3581</v>
      </c>
      <c r="E18" s="1337">
        <v>7.1999999999999995E-2</v>
      </c>
      <c r="F18" s="1334">
        <v>6</v>
      </c>
      <c r="G18" s="1338">
        <v>3000000000</v>
      </c>
      <c r="H18" s="1339">
        <v>44957</v>
      </c>
      <c r="I18" s="1338"/>
      <c r="J18" s="1340"/>
      <c r="K18" s="1339">
        <v>45142</v>
      </c>
      <c r="L18" s="1339" t="s">
        <v>3571</v>
      </c>
      <c r="M18" s="1339"/>
      <c r="N18" s="1341">
        <f t="shared" si="0"/>
        <v>0</v>
      </c>
      <c r="O18" s="1341">
        <f t="shared" si="0"/>
        <v>16569863.01369863</v>
      </c>
      <c r="P18" s="1341">
        <f t="shared" si="0"/>
        <v>18345205.479452051</v>
      </c>
      <c r="Q18" s="1341">
        <f t="shared" si="0"/>
        <v>17753424.657534245</v>
      </c>
      <c r="R18" s="1341">
        <f t="shared" si="0"/>
        <v>18345205.479452051</v>
      </c>
      <c r="S18" s="1341">
        <f t="shared" si="0"/>
        <v>17753424.657534245</v>
      </c>
      <c r="T18" s="1341">
        <f>IF($H18&lt;S$2,(T$2-S$2)*$G18*$E18/365,(T$2-$H18)*$G18*$E18/365)</f>
        <v>18345205.479452051</v>
      </c>
      <c r="U18" s="1344"/>
      <c r="V18" s="1346"/>
      <c r="W18" s="1346"/>
      <c r="X18" s="1346"/>
      <c r="Y18" s="1346"/>
      <c r="Z18" s="1346"/>
      <c r="AA18" s="1346"/>
      <c r="AB18" s="1346"/>
      <c r="AC18" s="1346"/>
      <c r="AD18" s="1346"/>
      <c r="AE18" s="1346"/>
      <c r="AF18" s="1346"/>
      <c r="AG18" s="1346"/>
      <c r="AH18" s="1346"/>
      <c r="AI18" s="1346"/>
      <c r="AJ18" s="1346"/>
      <c r="AK18" s="1346"/>
    </row>
    <row r="19" spans="1:37" s="1343" customFormat="1">
      <c r="A19" s="1334" t="s">
        <v>1455</v>
      </c>
      <c r="B19" s="1334">
        <v>25</v>
      </c>
      <c r="C19" s="1335" t="s">
        <v>3569</v>
      </c>
      <c r="D19" s="1336" t="s">
        <v>3582</v>
      </c>
      <c r="E19" s="1337">
        <v>7.1999999999999995E-2</v>
      </c>
      <c r="F19" s="1334">
        <v>6</v>
      </c>
      <c r="G19" s="1338">
        <v>3000000000</v>
      </c>
      <c r="H19" s="1339">
        <v>44957</v>
      </c>
      <c r="I19" s="1338"/>
      <c r="J19" s="1340"/>
      <c r="K19" s="1339">
        <v>45142</v>
      </c>
      <c r="L19" s="1339" t="s">
        <v>3571</v>
      </c>
      <c r="M19" s="1339"/>
      <c r="N19" s="1341">
        <f t="shared" ref="N19:S28" si="1">IF($H19&lt;M$2,(N$2-M$2)*$G19*$E19/365,(N$2-$H19)*$G19*$E19/365)</f>
        <v>0</v>
      </c>
      <c r="O19" s="1341">
        <f t="shared" si="1"/>
        <v>16569863.01369863</v>
      </c>
      <c r="P19" s="1341">
        <f t="shared" si="1"/>
        <v>18345205.479452051</v>
      </c>
      <c r="Q19" s="1341">
        <f t="shared" si="1"/>
        <v>17753424.657534245</v>
      </c>
      <c r="R19" s="1341">
        <f t="shared" si="1"/>
        <v>18345205.479452051</v>
      </c>
      <c r="S19" s="1341">
        <f t="shared" si="1"/>
        <v>17753424.657534245</v>
      </c>
      <c r="T19" s="1341">
        <f>IF($H19&lt;S$2,(T$2-S$2)*$G19*$E19/365,(T$2-$H19)*$G19*$E19/365)</f>
        <v>18345205.479452051</v>
      </c>
      <c r="U19" s="1344"/>
      <c r="V19" s="1346"/>
      <c r="W19" s="1346"/>
      <c r="X19" s="1346"/>
      <c r="Y19" s="1346"/>
      <c r="Z19" s="1346"/>
      <c r="AA19" s="1346"/>
      <c r="AB19" s="1346"/>
      <c r="AC19" s="1346"/>
      <c r="AD19" s="1346"/>
      <c r="AE19" s="1346"/>
      <c r="AF19" s="1346"/>
      <c r="AG19" s="1346"/>
      <c r="AH19" s="1346"/>
      <c r="AI19" s="1346"/>
      <c r="AJ19" s="1346"/>
      <c r="AK19" s="1346"/>
    </row>
    <row r="20" spans="1:37" s="1343" customFormat="1">
      <c r="A20" s="1334" t="s">
        <v>1455</v>
      </c>
      <c r="B20" s="1334">
        <v>26</v>
      </c>
      <c r="C20" s="1335" t="s">
        <v>3569</v>
      </c>
      <c r="D20" s="1336" t="s">
        <v>3583</v>
      </c>
      <c r="E20" s="1337">
        <v>7.1999999999999995E-2</v>
      </c>
      <c r="F20" s="1334">
        <v>6</v>
      </c>
      <c r="G20" s="1338">
        <v>3000000000</v>
      </c>
      <c r="H20" s="1339">
        <v>44957</v>
      </c>
      <c r="I20" s="1338"/>
      <c r="J20" s="1340"/>
      <c r="K20" s="1339">
        <v>45142</v>
      </c>
      <c r="L20" s="1339" t="s">
        <v>3571</v>
      </c>
      <c r="M20" s="1339"/>
      <c r="N20" s="1341">
        <f t="shared" si="1"/>
        <v>0</v>
      </c>
      <c r="O20" s="1341">
        <f t="shared" si="1"/>
        <v>16569863.01369863</v>
      </c>
      <c r="P20" s="1341">
        <f t="shared" si="1"/>
        <v>18345205.479452051</v>
      </c>
      <c r="Q20" s="1341">
        <f t="shared" si="1"/>
        <v>17753424.657534245</v>
      </c>
      <c r="R20" s="1341">
        <f t="shared" si="1"/>
        <v>18345205.479452051</v>
      </c>
      <c r="S20" s="1341">
        <f t="shared" si="1"/>
        <v>17753424.657534245</v>
      </c>
      <c r="T20" s="1341">
        <f>IF($H20&lt;S$2,(T$2-S$2)*$G20*$E20/365,(T$2-$H20)*$G20*$E20/365)</f>
        <v>18345205.479452051</v>
      </c>
      <c r="U20" s="1344"/>
      <c r="V20" s="1346"/>
      <c r="W20" s="1346"/>
      <c r="X20" s="1346"/>
      <c r="Y20" s="1346"/>
      <c r="Z20" s="1346"/>
      <c r="AA20" s="1346"/>
      <c r="AB20" s="1346"/>
      <c r="AC20" s="1346"/>
      <c r="AD20" s="1346"/>
      <c r="AE20" s="1346"/>
      <c r="AF20" s="1346"/>
      <c r="AG20" s="1346"/>
      <c r="AH20" s="1346"/>
      <c r="AI20" s="1346"/>
      <c r="AJ20" s="1346"/>
      <c r="AK20" s="1346"/>
    </row>
    <row r="21" spans="1:37" s="1343" customFormat="1" ht="26.25">
      <c r="A21" s="1334" t="s">
        <v>1455</v>
      </c>
      <c r="B21" s="1334">
        <v>28</v>
      </c>
      <c r="C21" s="1335" t="s">
        <v>3584</v>
      </c>
      <c r="D21" s="1336" t="s">
        <v>3583</v>
      </c>
      <c r="E21" s="1337">
        <v>0.11600000000000001</v>
      </c>
      <c r="F21" s="1334">
        <v>6</v>
      </c>
      <c r="G21" s="1338">
        <v>10000000000</v>
      </c>
      <c r="H21" s="1339">
        <v>44911</v>
      </c>
      <c r="I21" s="1338"/>
      <c r="J21" s="1340"/>
      <c r="K21" s="1339">
        <v>45093</v>
      </c>
      <c r="L21" s="1339" t="s">
        <v>3585</v>
      </c>
      <c r="M21" s="1341">
        <f>IF($H21&lt;K$1,(M$2-K$1+1)*$G21*$E21/365,(M$2-$H21+1)*$G21*$E21/365)</f>
        <v>50849315.06849315</v>
      </c>
      <c r="N21" s="1341">
        <f t="shared" si="1"/>
        <v>98520547.94520548</v>
      </c>
      <c r="O21" s="1341">
        <f t="shared" si="1"/>
        <v>88986301.369863018</v>
      </c>
      <c r="P21" s="1341">
        <f t="shared" si="1"/>
        <v>98520547.94520548</v>
      </c>
      <c r="Q21" s="1341">
        <f t="shared" si="1"/>
        <v>95342465.753424659</v>
      </c>
      <c r="R21" s="1341">
        <f t="shared" si="1"/>
        <v>98520547.94520548</v>
      </c>
      <c r="S21" s="1341"/>
      <c r="T21" s="1341"/>
    </row>
    <row r="22" spans="1:37" s="1343" customFormat="1" ht="26.25">
      <c r="A22" s="1334" t="s">
        <v>1455</v>
      </c>
      <c r="B22" s="1334">
        <v>29</v>
      </c>
      <c r="C22" s="1335" t="s">
        <v>3584</v>
      </c>
      <c r="D22" s="1336" t="s">
        <v>3586</v>
      </c>
      <c r="E22" s="1337">
        <v>0.11600000000000001</v>
      </c>
      <c r="F22" s="1334">
        <v>6</v>
      </c>
      <c r="G22" s="1338">
        <v>5000000000</v>
      </c>
      <c r="H22" s="1339">
        <v>44915</v>
      </c>
      <c r="I22" s="1338"/>
      <c r="J22" s="1340"/>
      <c r="K22" s="1339">
        <v>45097</v>
      </c>
      <c r="L22" s="1339" t="s">
        <v>3587</v>
      </c>
      <c r="M22" s="1341">
        <f>IF($H22&lt;K$1,(M$2-K$1+1)*$G22*$E22/365,(M$2-$H22+1)*$G22*$E22/365)</f>
        <v>19068493.15068493</v>
      </c>
      <c r="N22" s="1341">
        <f t="shared" si="1"/>
        <v>49260273.97260274</v>
      </c>
      <c r="O22" s="1341">
        <f t="shared" si="1"/>
        <v>44493150.684931509</v>
      </c>
      <c r="P22" s="1341">
        <f t="shared" si="1"/>
        <v>49260273.97260274</v>
      </c>
      <c r="Q22" s="1341">
        <f t="shared" si="1"/>
        <v>47671232.87671233</v>
      </c>
      <c r="R22" s="1341">
        <f t="shared" si="1"/>
        <v>49260273.97260274</v>
      </c>
      <c r="S22" s="1341"/>
      <c r="T22" s="1341"/>
    </row>
    <row r="23" spans="1:37" s="1343" customFormat="1" ht="26.25">
      <c r="A23" s="1334" t="s">
        <v>1455</v>
      </c>
      <c r="B23" s="1334">
        <v>30</v>
      </c>
      <c r="C23" s="1335" t="s">
        <v>3584</v>
      </c>
      <c r="D23" s="1336" t="s">
        <v>3588</v>
      </c>
      <c r="E23" s="1337">
        <v>0.11600000000000001</v>
      </c>
      <c r="F23" s="1334">
        <v>6</v>
      </c>
      <c r="G23" s="1338">
        <v>5000000000</v>
      </c>
      <c r="H23" s="1339">
        <v>44916</v>
      </c>
      <c r="I23" s="1338"/>
      <c r="J23" s="1340"/>
      <c r="K23" s="1339">
        <v>45098</v>
      </c>
      <c r="L23" s="1339" t="s">
        <v>3589</v>
      </c>
      <c r="M23" s="1341">
        <f>IF($H23&lt;K$1,(M$2-K$1+1)*$G23*$E23/365,(M$2-$H23+1)*$G23*$E23/365)</f>
        <v>17479452.05479452</v>
      </c>
      <c r="N23" s="1341">
        <f t="shared" si="1"/>
        <v>49260273.97260274</v>
      </c>
      <c r="O23" s="1341">
        <f t="shared" si="1"/>
        <v>44493150.684931509</v>
      </c>
      <c r="P23" s="1341">
        <f t="shared" si="1"/>
        <v>49260273.97260274</v>
      </c>
      <c r="Q23" s="1341">
        <f t="shared" si="1"/>
        <v>47671232.87671233</v>
      </c>
      <c r="R23" s="1341">
        <f t="shared" si="1"/>
        <v>49260273.97260274</v>
      </c>
      <c r="S23" s="1341"/>
      <c r="T23" s="1341"/>
    </row>
    <row r="24" spans="1:37" s="1343" customFormat="1" ht="26.25">
      <c r="A24" s="1334" t="s">
        <v>1455</v>
      </c>
      <c r="B24" s="1334">
        <v>31</v>
      </c>
      <c r="C24" s="1335" t="s">
        <v>3584</v>
      </c>
      <c r="D24" s="1336" t="s">
        <v>3590</v>
      </c>
      <c r="E24" s="1337">
        <v>0.11600000000000001</v>
      </c>
      <c r="F24" s="1334">
        <v>6</v>
      </c>
      <c r="G24" s="1338">
        <v>7000000000</v>
      </c>
      <c r="H24" s="1339">
        <v>44917</v>
      </c>
      <c r="I24" s="1338"/>
      <c r="J24" s="1340"/>
      <c r="K24" s="1339">
        <v>45099</v>
      </c>
      <c r="L24" s="1339" t="s">
        <v>3591</v>
      </c>
      <c r="M24" s="1341">
        <f>IF($H24&lt;K$1,(M$2-K$1+1)*$G24*$E24/365,(M$2-$H24+1)*$G24*$E24/365)</f>
        <v>22246575.342465755</v>
      </c>
      <c r="N24" s="1341">
        <f t="shared" si="1"/>
        <v>68964383.561643839</v>
      </c>
      <c r="O24" s="1341">
        <f t="shared" si="1"/>
        <v>62290410.95890411</v>
      </c>
      <c r="P24" s="1341">
        <f t="shared" si="1"/>
        <v>68964383.561643839</v>
      </c>
      <c r="Q24" s="1341">
        <f t="shared" si="1"/>
        <v>66739726.02739726</v>
      </c>
      <c r="R24" s="1341">
        <f t="shared" si="1"/>
        <v>68964383.561643839</v>
      </c>
      <c r="S24" s="1341"/>
      <c r="T24" s="1341"/>
    </row>
    <row r="25" spans="1:37" s="1343" customFormat="1" ht="26.25">
      <c r="A25" s="1334" t="s">
        <v>1455</v>
      </c>
      <c r="B25" s="1334">
        <v>32</v>
      </c>
      <c r="C25" s="1335" t="s">
        <v>3584</v>
      </c>
      <c r="D25" s="1336" t="s">
        <v>3592</v>
      </c>
      <c r="E25" s="1337">
        <v>0.11600000000000001</v>
      </c>
      <c r="F25" s="1334">
        <v>6</v>
      </c>
      <c r="G25" s="1338">
        <v>5000000000</v>
      </c>
      <c r="H25" s="1339">
        <v>44918</v>
      </c>
      <c r="I25" s="1338"/>
      <c r="J25" s="1340"/>
      <c r="K25" s="1339">
        <v>45100</v>
      </c>
      <c r="L25" s="1339" t="s">
        <v>3593</v>
      </c>
      <c r="M25" s="1341">
        <f>IF($H25&lt;K$1,(M$2-K$1+1)*$G25*$E25/365,(M$2-$H25+1)*$G25*$E25/365)</f>
        <v>14301369.863013698</v>
      </c>
      <c r="N25" s="1341">
        <f t="shared" si="1"/>
        <v>49260273.97260274</v>
      </c>
      <c r="O25" s="1341">
        <f t="shared" si="1"/>
        <v>44493150.684931509</v>
      </c>
      <c r="P25" s="1341">
        <f t="shared" si="1"/>
        <v>49260273.97260274</v>
      </c>
      <c r="Q25" s="1341">
        <f t="shared" si="1"/>
        <v>47671232.87671233</v>
      </c>
      <c r="R25" s="1341">
        <f t="shared" si="1"/>
        <v>49260273.97260274</v>
      </c>
      <c r="S25" s="1341"/>
      <c r="T25" s="1341"/>
    </row>
    <row r="26" spans="1:37" s="1343" customFormat="1">
      <c r="A26" s="1334" t="s">
        <v>1455</v>
      </c>
      <c r="B26" s="1334">
        <v>33</v>
      </c>
      <c r="C26" s="1335" t="s">
        <v>3584</v>
      </c>
      <c r="D26" s="1336" t="s">
        <v>3594</v>
      </c>
      <c r="E26" s="1337">
        <v>0.11600000000000001</v>
      </c>
      <c r="F26" s="1334">
        <v>6</v>
      </c>
      <c r="G26" s="1338">
        <v>10000000000</v>
      </c>
      <c r="H26" s="1339">
        <v>44930</v>
      </c>
      <c r="I26" s="1338"/>
      <c r="J26" s="1340"/>
      <c r="K26" s="1339">
        <v>45092</v>
      </c>
      <c r="L26" s="1339" t="s">
        <v>3571</v>
      </c>
      <c r="M26" s="1339"/>
      <c r="N26" s="1341">
        <f t="shared" si="1"/>
        <v>85808219.178082198</v>
      </c>
      <c r="O26" s="1341"/>
      <c r="P26" s="1345"/>
    </row>
    <row r="27" spans="1:37" s="1343" customFormat="1">
      <c r="A27" s="1334" t="s">
        <v>1455</v>
      </c>
      <c r="B27" s="1334">
        <v>34</v>
      </c>
      <c r="C27" s="1335" t="s">
        <v>3584</v>
      </c>
      <c r="D27" s="1336" t="s">
        <v>3595</v>
      </c>
      <c r="E27" s="1337">
        <v>0.11600000000000001</v>
      </c>
      <c r="F27" s="1334">
        <v>6</v>
      </c>
      <c r="G27" s="1338">
        <v>10000000000</v>
      </c>
      <c r="H27" s="1339">
        <v>44930</v>
      </c>
      <c r="I27" s="1338"/>
      <c r="J27" s="1340"/>
      <c r="K27" s="1339">
        <v>45092</v>
      </c>
      <c r="L27" s="1339" t="s">
        <v>3571</v>
      </c>
      <c r="M27" s="1339"/>
      <c r="N27" s="1341">
        <f t="shared" si="1"/>
        <v>85808219.178082198</v>
      </c>
      <c r="O27" s="1341"/>
      <c r="P27" s="1345"/>
    </row>
    <row r="28" spans="1:37" s="1343" customFormat="1">
      <c r="A28" s="1334" t="s">
        <v>1455</v>
      </c>
      <c r="B28" s="1334">
        <v>35</v>
      </c>
      <c r="C28" s="1335" t="s">
        <v>3584</v>
      </c>
      <c r="D28" s="1336" t="s">
        <v>3596</v>
      </c>
      <c r="E28" s="1337">
        <v>0.11600000000000001</v>
      </c>
      <c r="F28" s="1334">
        <v>6</v>
      </c>
      <c r="G28" s="1338">
        <v>10000000000</v>
      </c>
      <c r="H28" s="1339">
        <v>44930</v>
      </c>
      <c r="I28" s="1338"/>
      <c r="J28" s="1340"/>
      <c r="K28" s="1339">
        <v>45092</v>
      </c>
      <c r="L28" s="1339" t="s">
        <v>3571</v>
      </c>
      <c r="M28" s="1339"/>
      <c r="N28" s="1341">
        <f t="shared" si="1"/>
        <v>85808219.178082198</v>
      </c>
      <c r="O28" s="1341"/>
      <c r="P28" s="1345"/>
    </row>
    <row r="29" spans="1:37" s="1343" customFormat="1">
      <c r="A29" s="1334" t="s">
        <v>1455</v>
      </c>
      <c r="B29" s="1334">
        <f>B28+1</f>
        <v>36</v>
      </c>
      <c r="C29" s="1335" t="s">
        <v>3569</v>
      </c>
      <c r="D29" s="1347">
        <v>2936099</v>
      </c>
      <c r="E29" s="1337">
        <v>0.107</v>
      </c>
      <c r="F29" s="1334">
        <v>6</v>
      </c>
      <c r="G29" s="1338">
        <v>5000000000</v>
      </c>
      <c r="H29" s="1339">
        <v>44958</v>
      </c>
      <c r="I29" s="1338"/>
      <c r="J29" s="1003"/>
      <c r="K29" s="1339">
        <v>45137</v>
      </c>
      <c r="L29" s="1339" t="s">
        <v>3571</v>
      </c>
      <c r="M29" s="1339"/>
      <c r="N29" s="1341"/>
      <c r="O29" s="1341">
        <f t="shared" ref="O29:S37" si="2">IF($H29&lt;N$2,(O$2-N$2)*$G29*$E29/365,(O$2-$H29)*$G29*$E29/365)</f>
        <v>39575342.465753421</v>
      </c>
      <c r="P29" s="1341">
        <f t="shared" si="2"/>
        <v>45438356.16438356</v>
      </c>
      <c r="Q29" s="1341">
        <f t="shared" si="2"/>
        <v>43972602.739726029</v>
      </c>
      <c r="R29" s="1341">
        <f t="shared" si="2"/>
        <v>45438356.16438356</v>
      </c>
      <c r="S29" s="1341">
        <f t="shared" si="2"/>
        <v>43972602.739726029</v>
      </c>
      <c r="T29" s="1341"/>
    </row>
    <row r="30" spans="1:37" s="1343" customFormat="1">
      <c r="A30" s="1334" t="s">
        <v>1455</v>
      </c>
      <c r="B30" s="1334">
        <f t="shared" ref="B30:B89" si="3">B29+1</f>
        <v>37</v>
      </c>
      <c r="C30" s="1335" t="s">
        <v>3569</v>
      </c>
      <c r="D30" s="1347">
        <v>2936090</v>
      </c>
      <c r="E30" s="1337">
        <v>0.107</v>
      </c>
      <c r="F30" s="1334">
        <v>6</v>
      </c>
      <c r="G30" s="1338">
        <v>5000000000</v>
      </c>
      <c r="H30" s="1339">
        <v>44958</v>
      </c>
      <c r="I30" s="1338"/>
      <c r="J30" s="1003"/>
      <c r="K30" s="1339">
        <v>45137</v>
      </c>
      <c r="L30" s="1339" t="s">
        <v>3571</v>
      </c>
      <c r="M30" s="1339"/>
      <c r="N30" s="1341"/>
      <c r="O30" s="1341">
        <f t="shared" si="2"/>
        <v>39575342.465753421</v>
      </c>
      <c r="P30" s="1341">
        <f t="shared" si="2"/>
        <v>45438356.16438356</v>
      </c>
      <c r="Q30" s="1341">
        <f t="shared" si="2"/>
        <v>43972602.739726029</v>
      </c>
      <c r="R30" s="1341">
        <f t="shared" si="2"/>
        <v>45438356.16438356</v>
      </c>
      <c r="S30" s="1341">
        <f t="shared" si="2"/>
        <v>43972602.739726029</v>
      </c>
      <c r="T30" s="1341"/>
    </row>
    <row r="31" spans="1:37" s="1343" customFormat="1">
      <c r="A31" s="1334" t="s">
        <v>1455</v>
      </c>
      <c r="B31" s="1334">
        <f t="shared" si="3"/>
        <v>38</v>
      </c>
      <c r="C31" s="1335" t="s">
        <v>3569</v>
      </c>
      <c r="D31" s="1347">
        <v>2936242</v>
      </c>
      <c r="E31" s="1337">
        <v>0.107</v>
      </c>
      <c r="F31" s="1334">
        <v>6</v>
      </c>
      <c r="G31" s="1338">
        <v>5000000000</v>
      </c>
      <c r="H31" s="1339">
        <v>44958</v>
      </c>
      <c r="I31" s="1338"/>
      <c r="J31" s="1003"/>
      <c r="K31" s="1339">
        <v>45137</v>
      </c>
      <c r="L31" s="1339" t="s">
        <v>3571</v>
      </c>
      <c r="M31" s="1339"/>
      <c r="N31" s="1341"/>
      <c r="O31" s="1341">
        <f t="shared" si="2"/>
        <v>39575342.465753421</v>
      </c>
      <c r="P31" s="1341">
        <f t="shared" si="2"/>
        <v>45438356.16438356</v>
      </c>
      <c r="Q31" s="1341">
        <f t="shared" si="2"/>
        <v>43972602.739726029</v>
      </c>
      <c r="R31" s="1341">
        <f t="shared" si="2"/>
        <v>45438356.16438356</v>
      </c>
      <c r="S31" s="1341">
        <f t="shared" si="2"/>
        <v>43972602.739726029</v>
      </c>
      <c r="T31" s="1341"/>
    </row>
    <row r="32" spans="1:37" s="1343" customFormat="1">
      <c r="A32" s="1334" t="s">
        <v>1455</v>
      </c>
      <c r="B32" s="1334">
        <f t="shared" si="3"/>
        <v>39</v>
      </c>
      <c r="C32" s="1335" t="s">
        <v>3569</v>
      </c>
      <c r="D32" s="1347">
        <v>2936112</v>
      </c>
      <c r="E32" s="1337">
        <v>0.107</v>
      </c>
      <c r="F32" s="1334">
        <v>6</v>
      </c>
      <c r="G32" s="1338">
        <v>5000000000</v>
      </c>
      <c r="H32" s="1339">
        <v>44958</v>
      </c>
      <c r="I32" s="1338"/>
      <c r="J32" s="1003"/>
      <c r="K32" s="1339">
        <v>45137</v>
      </c>
      <c r="L32" s="1339" t="s">
        <v>3571</v>
      </c>
      <c r="M32" s="1339"/>
      <c r="N32" s="1341"/>
      <c r="O32" s="1341">
        <f t="shared" si="2"/>
        <v>39575342.465753421</v>
      </c>
      <c r="P32" s="1341">
        <f t="shared" si="2"/>
        <v>45438356.16438356</v>
      </c>
      <c r="Q32" s="1341">
        <f t="shared" si="2"/>
        <v>43972602.739726029</v>
      </c>
      <c r="R32" s="1341">
        <f t="shared" si="2"/>
        <v>45438356.16438356</v>
      </c>
      <c r="S32" s="1341">
        <f t="shared" si="2"/>
        <v>43972602.739726029</v>
      </c>
      <c r="T32" s="1341"/>
    </row>
    <row r="33" spans="1:37" s="1343" customFormat="1">
      <c r="A33" s="1334" t="s">
        <v>1455</v>
      </c>
      <c r="B33" s="1334">
        <f t="shared" si="3"/>
        <v>40</v>
      </c>
      <c r="C33" s="1335" t="s">
        <v>3569</v>
      </c>
      <c r="D33" s="1347">
        <v>2936108</v>
      </c>
      <c r="E33" s="1337">
        <v>0.107</v>
      </c>
      <c r="F33" s="1334">
        <v>6</v>
      </c>
      <c r="G33" s="1338">
        <v>5000000000</v>
      </c>
      <c r="H33" s="1339">
        <v>44958</v>
      </c>
      <c r="I33" s="1338"/>
      <c r="J33" s="1003"/>
      <c r="K33" s="1339">
        <v>45137</v>
      </c>
      <c r="L33" s="1339" t="s">
        <v>3571</v>
      </c>
      <c r="M33" s="1339"/>
      <c r="N33" s="1341"/>
      <c r="O33" s="1341">
        <f t="shared" si="2"/>
        <v>39575342.465753421</v>
      </c>
      <c r="P33" s="1341">
        <f t="shared" si="2"/>
        <v>45438356.16438356</v>
      </c>
      <c r="Q33" s="1341">
        <f t="shared" si="2"/>
        <v>43972602.739726029</v>
      </c>
      <c r="R33" s="1341">
        <f t="shared" si="2"/>
        <v>45438356.16438356</v>
      </c>
      <c r="S33" s="1341">
        <f t="shared" si="2"/>
        <v>43972602.739726029</v>
      </c>
      <c r="T33" s="1341"/>
    </row>
    <row r="34" spans="1:37" s="1343" customFormat="1">
      <c r="A34" s="1334" t="s">
        <v>1455</v>
      </c>
      <c r="B34" s="1334">
        <f t="shared" si="3"/>
        <v>41</v>
      </c>
      <c r="C34" s="1335" t="s">
        <v>3569</v>
      </c>
      <c r="D34" s="1347">
        <v>2936105</v>
      </c>
      <c r="E34" s="1337">
        <v>0.107</v>
      </c>
      <c r="F34" s="1334">
        <v>6</v>
      </c>
      <c r="G34" s="1338">
        <v>5000000000</v>
      </c>
      <c r="H34" s="1339">
        <v>44958</v>
      </c>
      <c r="I34" s="1338"/>
      <c r="J34" s="1003"/>
      <c r="K34" s="1339">
        <v>45137</v>
      </c>
      <c r="L34" s="1339" t="s">
        <v>3571</v>
      </c>
      <c r="M34" s="1339"/>
      <c r="N34" s="1341"/>
      <c r="O34" s="1341">
        <f t="shared" si="2"/>
        <v>39575342.465753421</v>
      </c>
      <c r="P34" s="1341">
        <f t="shared" si="2"/>
        <v>45438356.16438356</v>
      </c>
      <c r="Q34" s="1341">
        <f t="shared" si="2"/>
        <v>43972602.739726029</v>
      </c>
      <c r="R34" s="1341">
        <f t="shared" si="2"/>
        <v>45438356.16438356</v>
      </c>
      <c r="S34" s="1341">
        <f t="shared" si="2"/>
        <v>43972602.739726029</v>
      </c>
      <c r="T34" s="1341"/>
    </row>
    <row r="35" spans="1:37" s="1343" customFormat="1">
      <c r="A35" s="1334" t="s">
        <v>1455</v>
      </c>
      <c r="B35" s="1334">
        <f t="shared" si="3"/>
        <v>42</v>
      </c>
      <c r="C35" s="1335" t="s">
        <v>3569</v>
      </c>
      <c r="D35" s="1347" t="s">
        <v>3597</v>
      </c>
      <c r="E35" s="1337">
        <v>0.107</v>
      </c>
      <c r="F35" s="1334">
        <v>6</v>
      </c>
      <c r="G35" s="1338">
        <v>4000000000</v>
      </c>
      <c r="H35" s="1339">
        <v>44958</v>
      </c>
      <c r="I35" s="1338"/>
      <c r="J35" s="1340"/>
      <c r="K35" s="1339">
        <v>45139</v>
      </c>
      <c r="L35" s="1339" t="s">
        <v>3571</v>
      </c>
      <c r="M35" s="1339"/>
      <c r="N35" s="1341"/>
      <c r="O35" s="1341">
        <f t="shared" si="2"/>
        <v>31660273.97260274</v>
      </c>
      <c r="P35" s="1341">
        <f t="shared" si="2"/>
        <v>36350684.93150685</v>
      </c>
      <c r="Q35" s="1341">
        <f t="shared" si="2"/>
        <v>35178082.19178082</v>
      </c>
      <c r="R35" s="1341">
        <f t="shared" si="2"/>
        <v>36350684.93150685</v>
      </c>
      <c r="S35" s="1341">
        <f t="shared" si="2"/>
        <v>35178082.19178082</v>
      </c>
      <c r="T35" s="1341">
        <f>IF($H35&lt;S$2,(T$2-S$2)*$G35*$E35/365,(T$2-$H35)*$G35*$E35/365)</f>
        <v>36350684.93150685</v>
      </c>
      <c r="U35" s="1344"/>
      <c r="V35" s="1346"/>
      <c r="W35" s="1346"/>
      <c r="X35" s="1346"/>
      <c r="Y35" s="1346"/>
      <c r="Z35" s="1346"/>
      <c r="AA35" s="1346"/>
      <c r="AB35" s="1346"/>
      <c r="AC35" s="1346"/>
      <c r="AD35" s="1346"/>
      <c r="AE35" s="1346"/>
      <c r="AF35" s="1346"/>
      <c r="AG35" s="1346"/>
      <c r="AH35" s="1346"/>
      <c r="AI35" s="1346"/>
      <c r="AJ35" s="1346"/>
      <c r="AK35" s="1346"/>
    </row>
    <row r="36" spans="1:37" s="1343" customFormat="1">
      <c r="A36" s="1334" t="s">
        <v>1455</v>
      </c>
      <c r="B36" s="1334">
        <f t="shared" si="3"/>
        <v>43</v>
      </c>
      <c r="C36" s="1335" t="s">
        <v>3569</v>
      </c>
      <c r="D36" s="1347" t="s">
        <v>3598</v>
      </c>
      <c r="E36" s="1337">
        <v>0.107</v>
      </c>
      <c r="F36" s="1334">
        <v>6</v>
      </c>
      <c r="G36" s="1338">
        <v>5000000000</v>
      </c>
      <c r="H36" s="1339">
        <v>44959</v>
      </c>
      <c r="I36" s="1338"/>
      <c r="J36" s="1340"/>
      <c r="K36" s="1339">
        <v>45140</v>
      </c>
      <c r="L36" s="1339" t="s">
        <v>3571</v>
      </c>
      <c r="M36" s="1339"/>
      <c r="N36" s="1341"/>
      <c r="O36" s="1341">
        <f t="shared" si="2"/>
        <v>38109589.04109589</v>
      </c>
      <c r="P36" s="1341">
        <f t="shared" si="2"/>
        <v>45438356.16438356</v>
      </c>
      <c r="Q36" s="1341">
        <f t="shared" si="2"/>
        <v>43972602.739726029</v>
      </c>
      <c r="R36" s="1341">
        <f t="shared" si="2"/>
        <v>45438356.16438356</v>
      </c>
      <c r="S36" s="1341">
        <f t="shared" si="2"/>
        <v>43972602.739726029</v>
      </c>
      <c r="T36" s="1341">
        <f>IF($H36&lt;S$2,(T$2-S$2)*$G36*$E36/365,(T$2-$H36)*$G36*$E36/365)</f>
        <v>45438356.16438356</v>
      </c>
      <c r="U36" s="1344"/>
      <c r="V36" s="1346"/>
      <c r="W36" s="1346"/>
      <c r="X36" s="1346"/>
      <c r="Y36" s="1346"/>
      <c r="Z36" s="1346"/>
      <c r="AA36" s="1346"/>
      <c r="AB36" s="1346"/>
      <c r="AC36" s="1346"/>
      <c r="AD36" s="1346"/>
      <c r="AE36" s="1346"/>
      <c r="AF36" s="1346"/>
      <c r="AG36" s="1346"/>
      <c r="AH36" s="1346"/>
      <c r="AI36" s="1346"/>
      <c r="AJ36" s="1346"/>
      <c r="AK36" s="1346"/>
    </row>
    <row r="37" spans="1:37" s="1343" customFormat="1">
      <c r="A37" s="1334" t="s">
        <v>1455</v>
      </c>
      <c r="B37" s="1334">
        <f t="shared" si="3"/>
        <v>44</v>
      </c>
      <c r="C37" s="1335" t="s">
        <v>3557</v>
      </c>
      <c r="D37" s="1347" t="s">
        <v>3599</v>
      </c>
      <c r="E37" s="1337">
        <v>0.11600000000000001</v>
      </c>
      <c r="F37" s="1334">
        <v>6</v>
      </c>
      <c r="G37" s="1338">
        <v>5000000000</v>
      </c>
      <c r="H37" s="1339">
        <v>44960</v>
      </c>
      <c r="I37" s="1338"/>
      <c r="J37" s="1340"/>
      <c r="K37" s="1339">
        <v>45141</v>
      </c>
      <c r="L37" s="1339" t="s">
        <v>3571</v>
      </c>
      <c r="M37" s="1339"/>
      <c r="N37" s="1341"/>
      <c r="O37" s="1341">
        <f t="shared" si="2"/>
        <v>39726027.397260271</v>
      </c>
      <c r="P37" s="1341">
        <f t="shared" si="2"/>
        <v>49260273.97260274</v>
      </c>
      <c r="Q37" s="1341">
        <f t="shared" si="2"/>
        <v>47671232.87671233</v>
      </c>
      <c r="R37" s="1341">
        <f t="shared" si="2"/>
        <v>49260273.97260274</v>
      </c>
      <c r="S37" s="1341">
        <f t="shared" si="2"/>
        <v>47671232.87671233</v>
      </c>
      <c r="T37" s="1341">
        <f>IF($H37&lt;S$2,(T$2-S$2)*$G37*$E37/365,(T$2-$H37)*$G37*$E37/365)</f>
        <v>49260273.97260274</v>
      </c>
      <c r="U37" s="1344"/>
      <c r="V37" s="1346"/>
      <c r="W37" s="1346"/>
      <c r="X37" s="1346"/>
      <c r="Y37" s="1346"/>
      <c r="Z37" s="1346"/>
      <c r="AA37" s="1346"/>
      <c r="AB37" s="1346"/>
      <c r="AC37" s="1346"/>
      <c r="AD37" s="1346"/>
      <c r="AE37" s="1346"/>
      <c r="AF37" s="1346"/>
      <c r="AG37" s="1346"/>
      <c r="AH37" s="1346"/>
      <c r="AI37" s="1346"/>
      <c r="AJ37" s="1346"/>
      <c r="AK37" s="1346"/>
    </row>
    <row r="38" spans="1:37" s="1343" customFormat="1">
      <c r="A38" s="1334" t="s">
        <v>1455</v>
      </c>
      <c r="B38" s="1334">
        <f t="shared" si="3"/>
        <v>45</v>
      </c>
      <c r="C38" s="1335" t="s">
        <v>3569</v>
      </c>
      <c r="D38" s="1347" t="s">
        <v>3570</v>
      </c>
      <c r="E38" s="1337">
        <v>7.0000000000000007E-2</v>
      </c>
      <c r="F38" s="1334">
        <v>13</v>
      </c>
      <c r="G38" s="1338">
        <v>-10000000000</v>
      </c>
      <c r="H38" s="1339">
        <v>44967</v>
      </c>
      <c r="I38" s="1338"/>
      <c r="J38" s="1340"/>
      <c r="K38" s="1339"/>
      <c r="L38" s="1339" t="s">
        <v>3571</v>
      </c>
      <c r="M38" s="1339"/>
      <c r="N38" s="1341"/>
      <c r="O38" s="1341"/>
      <c r="P38" s="1345"/>
    </row>
    <row r="39" spans="1:37" s="1343" customFormat="1">
      <c r="A39" s="1334" t="s">
        <v>1455</v>
      </c>
      <c r="B39" s="1334">
        <f t="shared" si="3"/>
        <v>46</v>
      </c>
      <c r="C39" s="1335" t="s">
        <v>3569</v>
      </c>
      <c r="D39" s="1347" t="s">
        <v>3572</v>
      </c>
      <c r="E39" s="1337">
        <v>7.0000000000000007E-2</v>
      </c>
      <c r="F39" s="1334">
        <v>13</v>
      </c>
      <c r="G39" s="1338">
        <v>-20000000000</v>
      </c>
      <c r="H39" s="1339">
        <v>44967</v>
      </c>
      <c r="I39" s="1338"/>
      <c r="J39" s="1340"/>
      <c r="K39" s="1339"/>
      <c r="L39" s="1339" t="s">
        <v>3571</v>
      </c>
      <c r="M39" s="1339"/>
      <c r="N39" s="1341"/>
      <c r="O39" s="1341"/>
      <c r="P39" s="1345"/>
    </row>
    <row r="40" spans="1:37" s="1343" customFormat="1">
      <c r="A40" s="1334" t="s">
        <v>1455</v>
      </c>
      <c r="B40" s="1334">
        <f t="shared" si="3"/>
        <v>47</v>
      </c>
      <c r="C40" s="1335" t="s">
        <v>3569</v>
      </c>
      <c r="D40" s="1347" t="s">
        <v>3573</v>
      </c>
      <c r="E40" s="1337">
        <v>7.0000000000000007E-2</v>
      </c>
      <c r="F40" s="1334">
        <v>13</v>
      </c>
      <c r="G40" s="1338">
        <v>-20000000000</v>
      </c>
      <c r="H40" s="1339">
        <v>44967</v>
      </c>
      <c r="I40" s="1338"/>
      <c r="J40" s="1340"/>
      <c r="K40" s="1339"/>
      <c r="L40" s="1339" t="s">
        <v>3571</v>
      </c>
      <c r="M40" s="1339"/>
      <c r="N40" s="1341"/>
      <c r="O40" s="1341"/>
      <c r="P40" s="1345"/>
    </row>
    <row r="41" spans="1:37" s="1343" customFormat="1">
      <c r="A41" s="1334" t="s">
        <v>1455</v>
      </c>
      <c r="B41" s="1334">
        <f t="shared" si="3"/>
        <v>48</v>
      </c>
      <c r="C41" s="1335" t="s">
        <v>3557</v>
      </c>
      <c r="D41" s="1347" t="s">
        <v>3600</v>
      </c>
      <c r="E41" s="1337">
        <v>0.11600000000000001</v>
      </c>
      <c r="F41" s="1334">
        <v>6</v>
      </c>
      <c r="G41" s="1338">
        <v>10000000000</v>
      </c>
      <c r="H41" s="1339">
        <v>44978</v>
      </c>
      <c r="I41" s="1338"/>
      <c r="J41" s="1340"/>
      <c r="K41" s="1339">
        <v>45342</v>
      </c>
      <c r="L41" s="1339" t="s">
        <v>3571</v>
      </c>
      <c r="M41" s="1339"/>
      <c r="N41" s="1341"/>
      <c r="O41" s="1341">
        <f t="shared" ref="O41:T42" si="4">IF($H41&lt;N$2,(O$2-N$2)*$G41*$E41/365,(O$2-$H41)*$G41*$E41/365)</f>
        <v>22246575.342465755</v>
      </c>
      <c r="P41" s="1341">
        <f t="shared" si="4"/>
        <v>98520547.94520548</v>
      </c>
      <c r="Q41" s="1341">
        <f t="shared" si="4"/>
        <v>95342465.753424659</v>
      </c>
      <c r="R41" s="1341">
        <f t="shared" si="4"/>
        <v>98520547.94520548</v>
      </c>
      <c r="S41" s="1341">
        <f t="shared" si="4"/>
        <v>95342465.753424659</v>
      </c>
      <c r="T41" s="1341">
        <f t="shared" si="4"/>
        <v>98520547.94520548</v>
      </c>
      <c r="U41" s="1344"/>
      <c r="V41" s="1346"/>
      <c r="W41" s="1346"/>
      <c r="X41" s="1346"/>
      <c r="Y41" s="1346"/>
      <c r="Z41" s="1346"/>
      <c r="AA41" s="1346"/>
      <c r="AB41" s="1346"/>
      <c r="AC41" s="1346"/>
      <c r="AD41" s="1346"/>
      <c r="AE41" s="1346"/>
      <c r="AF41" s="1346"/>
      <c r="AG41" s="1346"/>
      <c r="AH41" s="1346"/>
      <c r="AI41" s="1346"/>
      <c r="AJ41" s="1346"/>
      <c r="AK41" s="1346"/>
    </row>
    <row r="42" spans="1:37" s="1343" customFormat="1">
      <c r="A42" s="1334" t="s">
        <v>1455</v>
      </c>
      <c r="B42" s="1334">
        <f t="shared" si="3"/>
        <v>49</v>
      </c>
      <c r="C42" s="1335" t="s">
        <v>3557</v>
      </c>
      <c r="D42" s="1347" t="s">
        <v>3601</v>
      </c>
      <c r="E42" s="1337">
        <v>0.11600000000000001</v>
      </c>
      <c r="F42" s="1334">
        <v>6</v>
      </c>
      <c r="G42" s="1338">
        <v>3000000000</v>
      </c>
      <c r="H42" s="1339">
        <v>44979</v>
      </c>
      <c r="I42" s="1338"/>
      <c r="J42" s="1340"/>
      <c r="K42" s="1339">
        <v>45159</v>
      </c>
      <c r="L42" s="1339" t="s">
        <v>3571</v>
      </c>
      <c r="M42" s="1339"/>
      <c r="N42" s="1341"/>
      <c r="O42" s="1341">
        <f t="shared" si="4"/>
        <v>5720547.9452054799</v>
      </c>
      <c r="P42" s="1341">
        <f t="shared" si="4"/>
        <v>29556164.383561645</v>
      </c>
      <c r="Q42" s="1341">
        <f t="shared" si="4"/>
        <v>28602739.726027396</v>
      </c>
      <c r="R42" s="1341">
        <f t="shared" si="4"/>
        <v>29556164.383561645</v>
      </c>
      <c r="S42" s="1341">
        <f t="shared" si="4"/>
        <v>28602739.726027396</v>
      </c>
      <c r="T42" s="1341">
        <f t="shared" si="4"/>
        <v>29556164.383561645</v>
      </c>
      <c r="U42" s="1344"/>
      <c r="V42" s="1346"/>
      <c r="W42" s="1346"/>
      <c r="X42" s="1346"/>
      <c r="Y42" s="1346"/>
      <c r="Z42" s="1346"/>
      <c r="AA42" s="1346"/>
      <c r="AB42" s="1346"/>
      <c r="AC42" s="1346"/>
      <c r="AD42" s="1346"/>
      <c r="AE42" s="1346"/>
      <c r="AF42" s="1346"/>
      <c r="AG42" s="1346"/>
      <c r="AH42" s="1346"/>
      <c r="AI42" s="1346"/>
      <c r="AJ42" s="1346"/>
      <c r="AK42" s="1346"/>
    </row>
    <row r="43" spans="1:37" s="1343" customFormat="1">
      <c r="A43" s="1334" t="s">
        <v>1455</v>
      </c>
      <c r="B43" s="1334">
        <f t="shared" si="3"/>
        <v>50</v>
      </c>
      <c r="C43" s="1335" t="s">
        <v>3584</v>
      </c>
      <c r="D43" s="1347" t="s">
        <v>3594</v>
      </c>
      <c r="E43" s="1337">
        <v>0.11600000000000001</v>
      </c>
      <c r="F43" s="1334">
        <v>6</v>
      </c>
      <c r="G43" s="1338">
        <v>-10000000000</v>
      </c>
      <c r="H43" s="1339">
        <v>44985</v>
      </c>
      <c r="I43" s="1338"/>
      <c r="J43" s="1340"/>
      <c r="K43" s="1339"/>
      <c r="L43" s="1339" t="s">
        <v>3571</v>
      </c>
      <c r="M43" s="1339"/>
      <c r="N43" s="1341"/>
      <c r="O43" s="1341"/>
      <c r="P43" s="1345"/>
    </row>
    <row r="44" spans="1:37" s="1343" customFormat="1">
      <c r="A44" s="1334" t="s">
        <v>1455</v>
      </c>
      <c r="B44" s="1334">
        <f t="shared" si="3"/>
        <v>51</v>
      </c>
      <c r="C44" s="1335" t="s">
        <v>3584</v>
      </c>
      <c r="D44" s="1347" t="s">
        <v>3595</v>
      </c>
      <c r="E44" s="1337">
        <v>0.11600000000000001</v>
      </c>
      <c r="F44" s="1334">
        <v>6</v>
      </c>
      <c r="G44" s="1338">
        <v>-10000000000</v>
      </c>
      <c r="H44" s="1339">
        <v>44985</v>
      </c>
      <c r="I44" s="1338"/>
      <c r="J44" s="1340"/>
      <c r="K44" s="1339"/>
      <c r="L44" s="1339" t="s">
        <v>3571</v>
      </c>
      <c r="M44" s="1339"/>
      <c r="N44" s="1341"/>
      <c r="O44" s="1341"/>
      <c r="P44" s="1345"/>
    </row>
    <row r="45" spans="1:37" s="1343" customFormat="1">
      <c r="A45" s="1334" t="s">
        <v>1455</v>
      </c>
      <c r="B45" s="1334">
        <f t="shared" si="3"/>
        <v>52</v>
      </c>
      <c r="C45" s="1335" t="s">
        <v>3584</v>
      </c>
      <c r="D45" s="1347" t="s">
        <v>3596</v>
      </c>
      <c r="E45" s="1337">
        <v>0.11600000000000001</v>
      </c>
      <c r="F45" s="1334">
        <v>6</v>
      </c>
      <c r="G45" s="1338">
        <v>-10000000000</v>
      </c>
      <c r="H45" s="1339">
        <v>44985</v>
      </c>
      <c r="I45" s="1338"/>
      <c r="J45" s="1340"/>
      <c r="K45" s="1339"/>
      <c r="L45" s="1339" t="s">
        <v>3571</v>
      </c>
      <c r="M45" s="1339"/>
      <c r="N45" s="1341"/>
      <c r="O45" s="1341"/>
      <c r="P45" s="1345"/>
    </row>
    <row r="46" spans="1:37" s="1343" customFormat="1">
      <c r="A46" s="1334" t="s">
        <v>1455</v>
      </c>
      <c r="B46" s="1334">
        <f t="shared" si="3"/>
        <v>53</v>
      </c>
      <c r="C46" s="1335" t="s">
        <v>3569</v>
      </c>
      <c r="D46" s="1347">
        <v>2313039</v>
      </c>
      <c r="E46" s="1337">
        <v>7.1999999999999995E-2</v>
      </c>
      <c r="F46" s="1334">
        <v>15</v>
      </c>
      <c r="G46" s="1338">
        <v>3000000000</v>
      </c>
      <c r="H46" s="1339">
        <v>44985</v>
      </c>
      <c r="I46" s="1338"/>
      <c r="J46" s="1340"/>
      <c r="K46" s="1339"/>
      <c r="L46" s="1339" t="s">
        <v>3571</v>
      </c>
      <c r="M46" s="1339"/>
      <c r="N46" s="1341"/>
      <c r="O46" s="1341">
        <f>IF($H46&lt;N$2,(O$2-N$2)*$G46*$E46/365,(O$2-$H46)*$G46*$E46/365)</f>
        <v>0</v>
      </c>
      <c r="P46" s="1345"/>
    </row>
    <row r="47" spans="1:37" s="1343" customFormat="1">
      <c r="A47" s="1334" t="s">
        <v>1455</v>
      </c>
      <c r="B47" s="1334">
        <f t="shared" si="3"/>
        <v>54</v>
      </c>
      <c r="C47" s="1335" t="s">
        <v>3602</v>
      </c>
      <c r="D47" s="1347" t="s">
        <v>3603</v>
      </c>
      <c r="E47" s="1337">
        <v>9.8000000000000004E-2</v>
      </c>
      <c r="F47" s="1334">
        <v>6</v>
      </c>
      <c r="G47" s="1338">
        <v>15000000000</v>
      </c>
      <c r="H47" s="1339">
        <v>44987</v>
      </c>
      <c r="I47" s="1338"/>
      <c r="J47" s="1340"/>
      <c r="K47" s="1339">
        <v>45174</v>
      </c>
      <c r="L47" s="1339" t="s">
        <v>3571</v>
      </c>
      <c r="M47" s="1339"/>
      <c r="N47" s="1341"/>
      <c r="O47" s="1341"/>
      <c r="P47" s="1341">
        <f>IF($H47&lt;O$2,(P$2-O$2)*$G47*$E47/365,(P$2-$H47)*$G47*$E47/365)</f>
        <v>116794520.5479452</v>
      </c>
      <c r="Q47" s="1341">
        <f>IF($H47&lt;P$2,(Q$2-P$2)*$G47*$E47/365,(Q$2-$H47)*$G47*$E47/365)</f>
        <v>120821917.80821918</v>
      </c>
      <c r="R47" s="1341">
        <f>IF($H47&lt;Q$2,(R$2-Q$2)*$G47*$E47/365,(R$2-$H47)*$G47*$E47/365)</f>
        <v>124849315.06849316</v>
      </c>
      <c r="S47" s="1341">
        <f>IF($H47&lt;R$2,(S$2-R$2)*$G47*$E47/365,(S$2-$H47)*$G47*$E47/365)</f>
        <v>120821917.80821918</v>
      </c>
      <c r="T47" s="1341">
        <f>IF($H47&lt;S$2,(T$2-S$2)*$G47*$E47/365,(T$2-$H47)*$G47*$E47/365)</f>
        <v>124849315.06849316</v>
      </c>
      <c r="U47" s="1344"/>
      <c r="V47" s="1346"/>
      <c r="W47" s="1346"/>
      <c r="X47" s="1346"/>
      <c r="Y47" s="1346"/>
      <c r="Z47" s="1346"/>
      <c r="AA47" s="1346"/>
      <c r="AB47" s="1346"/>
      <c r="AC47" s="1346"/>
      <c r="AD47" s="1346"/>
      <c r="AE47" s="1346"/>
      <c r="AF47" s="1346"/>
      <c r="AG47" s="1346"/>
      <c r="AH47" s="1346"/>
      <c r="AI47" s="1346"/>
      <c r="AJ47" s="1346"/>
      <c r="AK47" s="1346"/>
    </row>
    <row r="48" spans="1:37" s="1343" customFormat="1">
      <c r="A48" s="1334" t="s">
        <v>1455</v>
      </c>
      <c r="B48" s="1334">
        <f t="shared" si="3"/>
        <v>55</v>
      </c>
      <c r="C48" s="1335" t="s">
        <v>3602</v>
      </c>
      <c r="D48" s="1347" t="s">
        <v>3604</v>
      </c>
      <c r="E48" s="1337">
        <v>9.8000000000000004E-2</v>
      </c>
      <c r="F48" s="1334">
        <v>6</v>
      </c>
      <c r="G48" s="1338">
        <v>10000000000</v>
      </c>
      <c r="H48" s="1339">
        <v>44988</v>
      </c>
      <c r="I48" s="1338"/>
      <c r="J48" s="1340"/>
      <c r="K48" s="1339"/>
      <c r="L48" s="1339" t="s">
        <v>3571</v>
      </c>
      <c r="M48" s="1339"/>
      <c r="N48" s="1341"/>
      <c r="O48" s="1341"/>
      <c r="P48" s="1345"/>
    </row>
    <row r="49" spans="1:37" s="1343" customFormat="1" ht="26.25">
      <c r="A49" s="1334" t="s">
        <v>1455</v>
      </c>
      <c r="B49" s="1334">
        <f t="shared" si="3"/>
        <v>56</v>
      </c>
      <c r="C49" s="1335" t="s">
        <v>3584</v>
      </c>
      <c r="D49" s="1347" t="s">
        <v>3605</v>
      </c>
      <c r="E49" s="1337">
        <v>9.5000000000000001E-2</v>
      </c>
      <c r="F49" s="1334">
        <v>6</v>
      </c>
      <c r="G49" s="1338">
        <v>25000000000</v>
      </c>
      <c r="H49" s="1339">
        <v>44991</v>
      </c>
      <c r="I49" s="1338"/>
      <c r="J49" s="1340"/>
      <c r="K49" s="1339">
        <v>45175</v>
      </c>
      <c r="L49" s="1348" t="s">
        <v>3606</v>
      </c>
      <c r="M49" s="1339"/>
      <c r="N49" s="1341"/>
      <c r="O49" s="1341"/>
      <c r="P49" s="1341">
        <f>IF($H49&lt;O$2,(P$2-O$2)*$G49*$E49/365,(P$2-$H49)*$G49*$E49/365)</f>
        <v>162671232.87671232</v>
      </c>
      <c r="Q49" s="1341">
        <f>IF($H49&lt;P$2,(Q$2-P$2)*$G49*$E49/365,(Q$2-$H49)*$G49*$E49/365)</f>
        <v>195205479.4520548</v>
      </c>
      <c r="R49" s="1341">
        <f>IF($H49&lt;Q$2,(R$2-Q$2)*$G49*$E49/365,(R$2-$H49)*$G49*$E49/365)</f>
        <v>201712328.76712328</v>
      </c>
      <c r="S49" s="1341">
        <f>IF($H49&lt;R$2,(S$2-R$2)*$G49*$E49/365,(S$2-$H49)*$G49*$E49/365)</f>
        <v>195205479.4520548</v>
      </c>
      <c r="T49" s="1341">
        <f>IF($H49&lt;S$2,(T$2-S$2)*$G49*$E49/365,(T$2-$H49)*$G49*$E49/365)</f>
        <v>201712328.76712328</v>
      </c>
      <c r="U49" s="1341"/>
      <c r="V49" s="1341"/>
      <c r="W49" s="1341"/>
      <c r="X49" s="1341"/>
      <c r="Y49" s="1341"/>
      <c r="Z49" s="1341"/>
      <c r="AA49" s="1341"/>
      <c r="AB49" s="1341"/>
      <c r="AC49" s="1341"/>
      <c r="AD49" s="1341"/>
      <c r="AE49" s="1341"/>
      <c r="AF49" s="1341"/>
      <c r="AG49" s="1341"/>
      <c r="AH49" s="1341"/>
      <c r="AI49" s="1341"/>
      <c r="AJ49" s="1341"/>
      <c r="AK49" s="1341"/>
    </row>
    <row r="50" spans="1:37" s="1343" customFormat="1">
      <c r="A50" s="1334" t="s">
        <v>1455</v>
      </c>
      <c r="B50" s="1334">
        <f t="shared" si="3"/>
        <v>57</v>
      </c>
      <c r="C50" s="1335" t="s">
        <v>3602</v>
      </c>
      <c r="D50" s="1347" t="s">
        <v>3604</v>
      </c>
      <c r="E50" s="1337">
        <v>9.8000000000000004E-2</v>
      </c>
      <c r="F50" s="1334">
        <v>6</v>
      </c>
      <c r="G50" s="1338">
        <v>-10000000000</v>
      </c>
      <c r="H50" s="1339">
        <v>44994</v>
      </c>
      <c r="I50" s="1338"/>
      <c r="J50" s="1340"/>
      <c r="K50" s="1339"/>
      <c r="L50" s="1339" t="s">
        <v>3571</v>
      </c>
      <c r="M50" s="1339"/>
      <c r="N50" s="1341"/>
      <c r="O50" s="1341"/>
      <c r="P50" s="1345"/>
    </row>
    <row r="51" spans="1:37" s="1343" customFormat="1">
      <c r="A51" s="1334" t="s">
        <v>1455</v>
      </c>
      <c r="B51" s="1334">
        <f t="shared" si="3"/>
        <v>58</v>
      </c>
      <c r="C51" s="1335" t="s">
        <v>3569</v>
      </c>
      <c r="D51" s="1347">
        <v>2313039</v>
      </c>
      <c r="E51" s="1337">
        <v>7.1999999999999995E-2</v>
      </c>
      <c r="F51" s="1334">
        <v>15</v>
      </c>
      <c r="G51" s="1338">
        <v>-3000000000</v>
      </c>
      <c r="H51" s="1339">
        <v>45007</v>
      </c>
      <c r="I51" s="1338"/>
      <c r="J51" s="1340"/>
      <c r="K51" s="1339"/>
      <c r="L51" s="1339" t="s">
        <v>3571</v>
      </c>
      <c r="M51" s="1339"/>
      <c r="N51" s="1341"/>
      <c r="O51" s="1341"/>
      <c r="P51" s="1345"/>
    </row>
    <row r="52" spans="1:37" s="1343" customFormat="1">
      <c r="A52" s="1334" t="s">
        <v>1455</v>
      </c>
      <c r="B52" s="1334">
        <f t="shared" si="3"/>
        <v>59</v>
      </c>
      <c r="C52" s="1335" t="s">
        <v>3602</v>
      </c>
      <c r="D52" s="1347" t="s">
        <v>3607</v>
      </c>
      <c r="E52" s="1337">
        <v>9.1999999999999998E-2</v>
      </c>
      <c r="F52" s="1334">
        <v>6</v>
      </c>
      <c r="G52" s="1338">
        <v>15000000000</v>
      </c>
      <c r="H52" s="1339">
        <v>45016</v>
      </c>
      <c r="I52" s="1338"/>
      <c r="J52" s="1340"/>
      <c r="K52" s="1339">
        <v>45201</v>
      </c>
      <c r="L52" s="1339" t="s">
        <v>3571</v>
      </c>
      <c r="M52" s="1339"/>
      <c r="N52" s="1341"/>
      <c r="O52" s="1341"/>
      <c r="P52" s="1341">
        <f t="shared" ref="P52:AD60" si="5">IF($H52&lt;O$2,(P$2-O$2)*$G52*$E52/365,(P$2-$H52)*$G52*$E52/365)</f>
        <v>0</v>
      </c>
      <c r="Q52" s="1341">
        <f t="shared" si="5"/>
        <v>113424657.53424658</v>
      </c>
      <c r="R52" s="1341">
        <f t="shared" si="5"/>
        <v>117205479.4520548</v>
      </c>
      <c r="S52" s="1341">
        <f t="shared" si="5"/>
        <v>113424657.53424658</v>
      </c>
      <c r="T52" s="1341">
        <f t="shared" si="5"/>
        <v>117205479.4520548</v>
      </c>
      <c r="U52" s="1341">
        <f t="shared" si="5"/>
        <v>117205479.4520548</v>
      </c>
      <c r="V52" s="1341">
        <f t="shared" si="5"/>
        <v>113424657.53424658</v>
      </c>
      <c r="W52" s="1341"/>
      <c r="X52" s="1341"/>
      <c r="Y52" s="1341"/>
      <c r="Z52" s="1341"/>
      <c r="AA52" s="1341"/>
      <c r="AB52" s="1341"/>
      <c r="AC52" s="1341"/>
      <c r="AD52" s="1341"/>
      <c r="AE52" s="1341"/>
      <c r="AF52" s="1341"/>
      <c r="AG52" s="1341"/>
      <c r="AH52" s="1341"/>
      <c r="AI52" s="1341"/>
      <c r="AJ52" s="1341"/>
      <c r="AK52" s="1341"/>
    </row>
    <row r="53" spans="1:37" s="1343" customFormat="1">
      <c r="A53" s="1334" t="s">
        <v>1455</v>
      </c>
      <c r="B53" s="1334">
        <f t="shared" si="3"/>
        <v>60</v>
      </c>
      <c r="C53" s="1335" t="s">
        <v>3602</v>
      </c>
      <c r="D53" s="1336" t="s">
        <v>3608</v>
      </c>
      <c r="E53" s="1337">
        <v>0.09</v>
      </c>
      <c r="F53" s="1334">
        <v>6</v>
      </c>
      <c r="G53" s="1338">
        <v>15000000000</v>
      </c>
      <c r="H53" s="1339">
        <v>45022</v>
      </c>
      <c r="I53" s="1338"/>
      <c r="J53" s="1340"/>
      <c r="K53" s="1339">
        <v>45205</v>
      </c>
      <c r="L53" s="1339" t="s">
        <v>3571</v>
      </c>
      <c r="M53" s="1339"/>
      <c r="N53" s="1341"/>
      <c r="O53" s="1341"/>
      <c r="P53" s="1345"/>
      <c r="Q53" s="1341">
        <f t="shared" si="5"/>
        <v>88767123.287671238</v>
      </c>
      <c r="R53" s="1341">
        <f t="shared" si="5"/>
        <v>114657534.24657534</v>
      </c>
      <c r="S53" s="1341">
        <f t="shared" si="5"/>
        <v>110958904.10958904</v>
      </c>
      <c r="T53" s="1341">
        <f t="shared" si="5"/>
        <v>114657534.24657534</v>
      </c>
      <c r="U53" s="1341">
        <f t="shared" si="5"/>
        <v>114657534.24657534</v>
      </c>
      <c r="V53" s="1341">
        <f t="shared" si="5"/>
        <v>110958904.10958904</v>
      </c>
      <c r="W53" s="1341"/>
      <c r="X53" s="1341"/>
      <c r="Y53" s="1341"/>
      <c r="Z53" s="1341"/>
      <c r="AA53" s="1341"/>
      <c r="AB53" s="1341"/>
      <c r="AC53" s="1341"/>
      <c r="AD53" s="1341"/>
      <c r="AE53" s="1341"/>
      <c r="AF53" s="1341"/>
      <c r="AG53" s="1341"/>
      <c r="AH53" s="1341"/>
      <c r="AI53" s="1341"/>
      <c r="AJ53" s="1341"/>
      <c r="AK53" s="1341"/>
    </row>
    <row r="54" spans="1:37" s="1343" customFormat="1">
      <c r="A54" s="1334" t="s">
        <v>1455</v>
      </c>
      <c r="B54" s="1334">
        <f t="shared" si="3"/>
        <v>61</v>
      </c>
      <c r="C54" s="1335" t="s">
        <v>3584</v>
      </c>
      <c r="D54" s="1336" t="s">
        <v>3609</v>
      </c>
      <c r="E54" s="1337">
        <v>9.0999999999999998E-2</v>
      </c>
      <c r="F54" s="1334">
        <v>6</v>
      </c>
      <c r="G54" s="1338">
        <v>25000000000</v>
      </c>
      <c r="H54" s="1339">
        <v>45022</v>
      </c>
      <c r="I54" s="1338"/>
      <c r="J54" s="1340"/>
      <c r="K54" s="1339">
        <v>45205</v>
      </c>
      <c r="L54" s="1339" t="s">
        <v>3571</v>
      </c>
      <c r="M54" s="1339"/>
      <c r="N54" s="1341"/>
      <c r="O54" s="1341"/>
      <c r="P54" s="1345"/>
      <c r="Q54" s="1341">
        <f t="shared" si="5"/>
        <v>149589041.0958904</v>
      </c>
      <c r="R54" s="1341">
        <f t="shared" si="5"/>
        <v>193219178.0821918</v>
      </c>
      <c r="S54" s="1341">
        <f t="shared" si="5"/>
        <v>186986301.369863</v>
      </c>
      <c r="T54" s="1341">
        <f t="shared" si="5"/>
        <v>193219178.0821918</v>
      </c>
      <c r="U54" s="1341">
        <f t="shared" si="5"/>
        <v>193219178.0821918</v>
      </c>
      <c r="V54" s="1341">
        <f t="shared" si="5"/>
        <v>186986301.369863</v>
      </c>
      <c r="W54" s="1341"/>
      <c r="X54" s="1341"/>
      <c r="Y54" s="1341"/>
      <c r="Z54" s="1341"/>
      <c r="AA54" s="1341"/>
      <c r="AB54" s="1341"/>
      <c r="AC54" s="1341"/>
      <c r="AD54" s="1341"/>
      <c r="AE54" s="1341"/>
      <c r="AF54" s="1341"/>
      <c r="AG54" s="1341"/>
      <c r="AH54" s="1341"/>
      <c r="AI54" s="1341"/>
      <c r="AJ54" s="1341"/>
      <c r="AK54" s="1341"/>
    </row>
    <row r="55" spans="1:37" s="1343" customFormat="1">
      <c r="A55" s="1334" t="s">
        <v>1455</v>
      </c>
      <c r="B55" s="1334">
        <f t="shared" si="3"/>
        <v>62</v>
      </c>
      <c r="C55" s="1335" t="s">
        <v>3602</v>
      </c>
      <c r="D55" s="1336" t="s">
        <v>3610</v>
      </c>
      <c r="E55" s="1337">
        <v>0.09</v>
      </c>
      <c r="F55" s="1334">
        <v>6</v>
      </c>
      <c r="G55" s="1338">
        <v>5000000000</v>
      </c>
      <c r="H55" s="1339">
        <v>45023</v>
      </c>
      <c r="I55" s="1338"/>
      <c r="J55" s="1340"/>
      <c r="K55" s="1339">
        <v>45208</v>
      </c>
      <c r="L55" s="1339" t="s">
        <v>3571</v>
      </c>
      <c r="M55" s="1339"/>
      <c r="N55" s="1341"/>
      <c r="O55" s="1341"/>
      <c r="P55" s="1345"/>
      <c r="Q55" s="1341">
        <f t="shared" si="5"/>
        <v>28356164.383561645</v>
      </c>
      <c r="R55" s="1341">
        <f t="shared" si="5"/>
        <v>38219178.08219178</v>
      </c>
      <c r="S55" s="1341">
        <f t="shared" si="5"/>
        <v>36986301.369863011</v>
      </c>
      <c r="T55" s="1341">
        <f t="shared" si="5"/>
        <v>38219178.08219178</v>
      </c>
      <c r="U55" s="1341">
        <f t="shared" si="5"/>
        <v>38219178.08219178</v>
      </c>
      <c r="V55" s="1341">
        <f t="shared" si="5"/>
        <v>36986301.369863011</v>
      </c>
      <c r="W55" s="1341"/>
      <c r="X55" s="1341"/>
      <c r="Y55" s="1341"/>
      <c r="Z55" s="1341"/>
      <c r="AA55" s="1341"/>
      <c r="AB55" s="1341"/>
      <c r="AC55" s="1341"/>
      <c r="AD55" s="1341"/>
      <c r="AE55" s="1341"/>
      <c r="AF55" s="1341"/>
      <c r="AG55" s="1341"/>
      <c r="AH55" s="1341"/>
      <c r="AI55" s="1341"/>
      <c r="AJ55" s="1341"/>
      <c r="AK55" s="1341"/>
    </row>
    <row r="56" spans="1:37" s="1343" customFormat="1">
      <c r="A56" s="1334" t="s">
        <v>1455</v>
      </c>
      <c r="B56" s="1334">
        <f t="shared" si="3"/>
        <v>63</v>
      </c>
      <c r="C56" s="1335" t="s">
        <v>3602</v>
      </c>
      <c r="D56" s="1336" t="s">
        <v>3611</v>
      </c>
      <c r="E56" s="1337">
        <v>8.5999999999999993E-2</v>
      </c>
      <c r="F56" s="1334">
        <v>6</v>
      </c>
      <c r="G56" s="1338">
        <v>20000000000</v>
      </c>
      <c r="H56" s="1339">
        <v>45033</v>
      </c>
      <c r="I56" s="1338"/>
      <c r="J56" s="1340"/>
      <c r="K56" s="1339">
        <v>45216</v>
      </c>
      <c r="L56" s="1339" t="s">
        <v>3571</v>
      </c>
      <c r="M56" s="1339"/>
      <c r="N56" s="1341"/>
      <c r="O56" s="1349"/>
      <c r="P56" s="1350"/>
      <c r="Q56" s="1341">
        <f t="shared" si="5"/>
        <v>61260273.97260274</v>
      </c>
      <c r="R56" s="1341">
        <f t="shared" si="5"/>
        <v>146082191.78082189</v>
      </c>
      <c r="S56" s="1341">
        <f t="shared" si="5"/>
        <v>141369863.01369861</v>
      </c>
      <c r="T56" s="1341">
        <f t="shared" si="5"/>
        <v>146082191.78082189</v>
      </c>
      <c r="U56" s="1341">
        <f t="shared" si="5"/>
        <v>146082191.78082189</v>
      </c>
      <c r="V56" s="1341">
        <f t="shared" si="5"/>
        <v>141369863.01369861</v>
      </c>
      <c r="W56" s="1341"/>
      <c r="X56" s="1341"/>
      <c r="Y56" s="1341"/>
      <c r="Z56" s="1341"/>
      <c r="AA56" s="1341"/>
      <c r="AB56" s="1341"/>
      <c r="AC56" s="1341"/>
      <c r="AD56" s="1341"/>
      <c r="AE56" s="1341"/>
      <c r="AF56" s="1341"/>
      <c r="AG56" s="1341"/>
      <c r="AH56" s="1341"/>
      <c r="AI56" s="1341"/>
      <c r="AJ56" s="1341"/>
      <c r="AK56" s="1341"/>
    </row>
    <row r="57" spans="1:37" s="1343" customFormat="1">
      <c r="A57" s="1334" t="s">
        <v>1455</v>
      </c>
      <c r="B57" s="1334">
        <f t="shared" si="3"/>
        <v>64</v>
      </c>
      <c r="C57" s="1335" t="s">
        <v>3566</v>
      </c>
      <c r="D57" s="1336" t="s">
        <v>3612</v>
      </c>
      <c r="E57" s="1337">
        <v>9.2999999999999999E-2</v>
      </c>
      <c r="F57" s="1334">
        <v>6</v>
      </c>
      <c r="G57" s="1338">
        <v>20000000000</v>
      </c>
      <c r="H57" s="1339">
        <v>45033</v>
      </c>
      <c r="I57" s="1338"/>
      <c r="J57" s="1340"/>
      <c r="K57" s="1339">
        <v>45216</v>
      </c>
      <c r="L57" s="1339" t="s">
        <v>3571</v>
      </c>
      <c r="M57" s="1339"/>
      <c r="N57" s="1341"/>
      <c r="O57" s="1349"/>
      <c r="P57" s="1350"/>
      <c r="Q57" s="1341">
        <f t="shared" si="5"/>
        <v>66246575.342465751</v>
      </c>
      <c r="R57" s="1341">
        <f t="shared" si="5"/>
        <v>157972602.73972604</v>
      </c>
      <c r="S57" s="1341">
        <f t="shared" si="5"/>
        <v>152876712.32876712</v>
      </c>
      <c r="T57" s="1341">
        <f t="shared" si="5"/>
        <v>157972602.73972604</v>
      </c>
      <c r="U57" s="1341">
        <f t="shared" si="5"/>
        <v>157972602.73972604</v>
      </c>
      <c r="V57" s="1341">
        <f t="shared" si="5"/>
        <v>152876712.32876712</v>
      </c>
      <c r="W57" s="1341"/>
      <c r="X57" s="1341"/>
      <c r="Y57" s="1341"/>
      <c r="Z57" s="1341"/>
      <c r="AA57" s="1341"/>
      <c r="AB57" s="1341"/>
      <c r="AC57" s="1341"/>
      <c r="AD57" s="1341"/>
      <c r="AE57" s="1341"/>
      <c r="AF57" s="1341"/>
      <c r="AG57" s="1341"/>
      <c r="AH57" s="1341"/>
      <c r="AI57" s="1341"/>
      <c r="AJ57" s="1341"/>
      <c r="AK57" s="1341"/>
    </row>
    <row r="58" spans="1:37" s="1343" customFormat="1" ht="26.25">
      <c r="A58" s="1334" t="s">
        <v>1455</v>
      </c>
      <c r="B58" s="1334">
        <f t="shared" si="3"/>
        <v>65</v>
      </c>
      <c r="C58" s="1335" t="s">
        <v>3613</v>
      </c>
      <c r="D58" s="1336" t="s">
        <v>3614</v>
      </c>
      <c r="E58" s="1337">
        <v>0.09</v>
      </c>
      <c r="F58" s="1334">
        <v>6</v>
      </c>
      <c r="G58" s="1338">
        <v>10000000000</v>
      </c>
      <c r="H58" s="1339">
        <v>45050</v>
      </c>
      <c r="I58" s="1338"/>
      <c r="J58" s="1003"/>
      <c r="K58" s="1339">
        <v>45236</v>
      </c>
      <c r="L58" s="1348" t="s">
        <v>3615</v>
      </c>
      <c r="M58" s="1339"/>
      <c r="N58" s="1341"/>
      <c r="O58" s="1349"/>
      <c r="P58" s="1350"/>
      <c r="R58" s="1341">
        <f t="shared" si="5"/>
        <v>66575342.465753421</v>
      </c>
      <c r="S58" s="1341">
        <f t="shared" si="5"/>
        <v>73972602.739726022</v>
      </c>
      <c r="T58" s="1341">
        <f t="shared" si="5"/>
        <v>76438356.16438356</v>
      </c>
      <c r="U58" s="1341">
        <f t="shared" si="5"/>
        <v>76438356.16438356</v>
      </c>
      <c r="V58" s="1341">
        <f t="shared" si="5"/>
        <v>73972602.739726022</v>
      </c>
      <c r="W58" s="1341">
        <f t="shared" si="5"/>
        <v>76438356.16438356</v>
      </c>
      <c r="X58" s="1341"/>
      <c r="Y58" s="1341"/>
      <c r="Z58" s="1341"/>
      <c r="AA58" s="1341"/>
      <c r="AB58" s="1341"/>
      <c r="AC58" s="1341"/>
      <c r="AD58" s="1341"/>
      <c r="AE58" s="1341"/>
      <c r="AF58" s="1341"/>
      <c r="AG58" s="1341"/>
      <c r="AH58" s="1341"/>
      <c r="AI58" s="1341"/>
      <c r="AJ58" s="1341"/>
      <c r="AK58" s="1341"/>
    </row>
    <row r="59" spans="1:37" s="1343" customFormat="1" ht="26.25">
      <c r="A59" s="1334" t="s">
        <v>1455</v>
      </c>
      <c r="B59" s="1334">
        <f t="shared" si="3"/>
        <v>66</v>
      </c>
      <c r="C59" s="1335" t="s">
        <v>3613</v>
      </c>
      <c r="D59" s="1336" t="s">
        <v>3616</v>
      </c>
      <c r="E59" s="1337">
        <v>0.09</v>
      </c>
      <c r="F59" s="1334">
        <v>6</v>
      </c>
      <c r="G59" s="1338">
        <v>10000000000</v>
      </c>
      <c r="H59" s="1339">
        <v>45054</v>
      </c>
      <c r="I59" s="1338"/>
      <c r="J59" s="1003"/>
      <c r="K59" s="1339">
        <v>45238</v>
      </c>
      <c r="L59" s="1348" t="s">
        <v>3617</v>
      </c>
      <c r="M59" s="1339"/>
      <c r="N59" s="1341"/>
      <c r="O59" s="1349"/>
      <c r="P59" s="1350"/>
      <c r="R59" s="1341">
        <f t="shared" si="5"/>
        <v>56712328.767123289</v>
      </c>
      <c r="S59" s="1341">
        <f t="shared" si="5"/>
        <v>73972602.739726022</v>
      </c>
      <c r="T59" s="1341">
        <f t="shared" si="5"/>
        <v>76438356.16438356</v>
      </c>
      <c r="U59" s="1341">
        <f t="shared" si="5"/>
        <v>76438356.16438356</v>
      </c>
      <c r="V59" s="1341">
        <f t="shared" si="5"/>
        <v>73972602.739726022</v>
      </c>
      <c r="W59" s="1341">
        <f t="shared" si="5"/>
        <v>76438356.16438356</v>
      </c>
      <c r="X59" s="1341"/>
      <c r="Y59" s="1341"/>
      <c r="Z59" s="1341"/>
      <c r="AA59" s="1341"/>
      <c r="AB59" s="1341"/>
      <c r="AC59" s="1341"/>
      <c r="AD59" s="1341"/>
      <c r="AE59" s="1341"/>
      <c r="AF59" s="1341"/>
      <c r="AG59" s="1341"/>
      <c r="AH59" s="1341"/>
      <c r="AI59" s="1341"/>
      <c r="AJ59" s="1341"/>
      <c r="AK59" s="1341"/>
    </row>
    <row r="60" spans="1:37" s="1343" customFormat="1" ht="26.25">
      <c r="A60" s="1334" t="s">
        <v>1455</v>
      </c>
      <c r="B60" s="1351">
        <f t="shared" si="3"/>
        <v>67</v>
      </c>
      <c r="C60" s="1335" t="s">
        <v>3613</v>
      </c>
      <c r="D60" s="1336" t="s">
        <v>3618</v>
      </c>
      <c r="E60" s="1337">
        <v>9.1999999999999998E-2</v>
      </c>
      <c r="F60" s="1334">
        <v>13</v>
      </c>
      <c r="G60" s="1338">
        <v>40000000000</v>
      </c>
      <c r="H60" s="1339">
        <v>45072</v>
      </c>
      <c r="I60" s="1338"/>
      <c r="J60" s="1003"/>
      <c r="K60" s="1339">
        <v>45469</v>
      </c>
      <c r="L60" s="1348" t="s">
        <v>3619</v>
      </c>
      <c r="M60" s="1339"/>
      <c r="N60" s="1341"/>
      <c r="O60" s="1349"/>
      <c r="P60" s="1350"/>
      <c r="R60" s="1341">
        <f t="shared" si="5"/>
        <v>50410958.90410959</v>
      </c>
      <c r="S60" s="1341">
        <f t="shared" si="5"/>
        <v>302465753.42465752</v>
      </c>
      <c r="T60" s="1341">
        <f t="shared" si="5"/>
        <v>312547945.20547944</v>
      </c>
      <c r="U60" s="1341">
        <f t="shared" si="5"/>
        <v>312547945.20547944</v>
      </c>
      <c r="V60" s="1341">
        <f t="shared" si="5"/>
        <v>302465753.42465752</v>
      </c>
      <c r="W60" s="1341">
        <f t="shared" si="5"/>
        <v>312547945.20547944</v>
      </c>
      <c r="X60" s="1341">
        <f t="shared" si="5"/>
        <v>302465753.42465752</v>
      </c>
      <c r="Y60" s="1341">
        <f t="shared" si="5"/>
        <v>312547945.20547944</v>
      </c>
      <c r="Z60" s="1341">
        <f t="shared" si="5"/>
        <v>312547945.20547944</v>
      </c>
      <c r="AA60" s="1341">
        <f t="shared" si="5"/>
        <v>292383561.6438356</v>
      </c>
      <c r="AB60" s="1341">
        <f t="shared" si="5"/>
        <v>312547945.20547944</v>
      </c>
      <c r="AC60" s="1341">
        <f t="shared" si="5"/>
        <v>302465753.42465752</v>
      </c>
      <c r="AD60" s="1341">
        <f t="shared" si="5"/>
        <v>312547945.20547944</v>
      </c>
      <c r="AE60" s="1341"/>
      <c r="AF60" s="1341"/>
      <c r="AG60" s="1341"/>
      <c r="AH60" s="1341"/>
      <c r="AI60" s="1341"/>
      <c r="AJ60" s="1341"/>
      <c r="AK60" s="1341"/>
    </row>
    <row r="61" spans="1:37" s="1343" customFormat="1" ht="26.25">
      <c r="A61" s="1334" t="s">
        <v>1455</v>
      </c>
      <c r="B61" s="1334">
        <f t="shared" si="3"/>
        <v>68</v>
      </c>
      <c r="C61" s="1335" t="s">
        <v>3613</v>
      </c>
      <c r="D61" s="1347" t="s">
        <v>3620</v>
      </c>
      <c r="E61" s="1337">
        <v>9.1999999999999998E-2</v>
      </c>
      <c r="F61" s="1334">
        <v>13</v>
      </c>
      <c r="G61" s="1338">
        <v>10000000000</v>
      </c>
      <c r="H61" s="1339">
        <v>45076</v>
      </c>
      <c r="I61" s="1338"/>
      <c r="J61" s="1340"/>
      <c r="K61" s="1339">
        <v>45474</v>
      </c>
      <c r="L61" s="1339" t="s">
        <v>3621</v>
      </c>
      <c r="M61" s="1339"/>
      <c r="N61" s="1341"/>
      <c r="O61" s="1349"/>
      <c r="P61" s="1350"/>
      <c r="R61" s="1341">
        <f>IF($H61&lt;Q$2,(R$2-Q$2)*$G61*$E61/365,(R$2-$H61)*$G61*$E61/365)</f>
        <v>2520547.9452054794</v>
      </c>
      <c r="S61" s="1341"/>
      <c r="T61" s="1341"/>
      <c r="U61" s="1341"/>
      <c r="V61" s="1341"/>
      <c r="W61" s="1341"/>
      <c r="X61" s="1341"/>
      <c r="Y61" s="1341"/>
      <c r="Z61" s="1341"/>
      <c r="AA61" s="1341"/>
      <c r="AB61" s="1341"/>
      <c r="AC61" s="1341"/>
      <c r="AD61" s="1341"/>
      <c r="AE61" s="1341"/>
      <c r="AF61" s="1341"/>
      <c r="AG61" s="1341"/>
      <c r="AH61" s="1341"/>
      <c r="AI61" s="1341"/>
      <c r="AJ61" s="1341"/>
      <c r="AK61" s="1341"/>
    </row>
    <row r="62" spans="1:37" s="1343" customFormat="1" ht="26.25">
      <c r="A62" s="1334" t="s">
        <v>1455</v>
      </c>
      <c r="B62" s="1334">
        <f t="shared" si="3"/>
        <v>69</v>
      </c>
      <c r="C62" s="1335" t="s">
        <v>3613</v>
      </c>
      <c r="D62" s="1347" t="s">
        <v>3622</v>
      </c>
      <c r="E62" s="1337">
        <v>9.1999999999999998E-2</v>
      </c>
      <c r="F62" s="1334">
        <v>13</v>
      </c>
      <c r="G62" s="1338">
        <v>5000000000</v>
      </c>
      <c r="H62" s="1339">
        <v>45077</v>
      </c>
      <c r="I62" s="1338"/>
      <c r="J62" s="1340"/>
      <c r="K62" s="1339">
        <v>45474</v>
      </c>
      <c r="L62" s="1339" t="s">
        <v>3621</v>
      </c>
      <c r="M62" s="1339"/>
      <c r="N62" s="1341"/>
      <c r="O62" s="1349"/>
      <c r="P62" s="1350"/>
      <c r="R62" s="1341">
        <f>IF($H62&lt;Q$2,(R$2-Q$2)*$G62*$E62/365,(R$2-$H62)*$G62*$E62/365)</f>
        <v>0</v>
      </c>
      <c r="S62" s="1341"/>
      <c r="T62" s="1341"/>
      <c r="U62" s="1341"/>
      <c r="V62" s="1341"/>
      <c r="W62" s="1341"/>
      <c r="X62" s="1341"/>
      <c r="Y62" s="1341"/>
      <c r="Z62" s="1341"/>
      <c r="AA62" s="1341"/>
      <c r="AB62" s="1341"/>
      <c r="AC62" s="1341"/>
      <c r="AD62" s="1341"/>
      <c r="AE62" s="1341"/>
      <c r="AF62" s="1341"/>
      <c r="AG62" s="1341"/>
      <c r="AH62" s="1341"/>
      <c r="AI62" s="1341"/>
      <c r="AJ62" s="1341"/>
      <c r="AK62" s="1341"/>
    </row>
    <row r="63" spans="1:37" s="1343" customFormat="1" ht="26.25">
      <c r="A63" s="1334" t="s">
        <v>1455</v>
      </c>
      <c r="B63" s="1334">
        <f t="shared" si="3"/>
        <v>70</v>
      </c>
      <c r="C63" s="1335" t="s">
        <v>3613</v>
      </c>
      <c r="D63" s="1347" t="s">
        <v>3623</v>
      </c>
      <c r="E63" s="1337">
        <v>9.1499999999999998E-2</v>
      </c>
      <c r="F63" s="1334">
        <v>13</v>
      </c>
      <c r="G63" s="1338">
        <v>3000000000</v>
      </c>
      <c r="H63" s="1339">
        <v>45078</v>
      </c>
      <c r="I63" s="1338"/>
      <c r="J63" s="1340"/>
      <c r="K63" s="1339">
        <v>45474</v>
      </c>
      <c r="L63" s="1339" t="s">
        <v>3621</v>
      </c>
      <c r="M63" s="1339"/>
      <c r="N63" s="1341"/>
      <c r="O63" s="1349"/>
      <c r="P63" s="1350"/>
      <c r="R63" s="1341"/>
    </row>
    <row r="64" spans="1:37" s="1343" customFormat="1">
      <c r="A64" s="1334" t="s">
        <v>1455</v>
      </c>
      <c r="B64" s="1351">
        <f t="shared" si="3"/>
        <v>71</v>
      </c>
      <c r="C64" s="1335" t="s">
        <v>3613</v>
      </c>
      <c r="D64" s="1336" t="s">
        <v>3624</v>
      </c>
      <c r="E64" s="1337">
        <v>9.1499999999999998E-2</v>
      </c>
      <c r="F64" s="1334">
        <v>13</v>
      </c>
      <c r="G64" s="1338">
        <v>2000000000</v>
      </c>
      <c r="H64" s="1339">
        <v>45079</v>
      </c>
      <c r="I64" s="1338"/>
      <c r="J64" s="1352"/>
      <c r="K64" s="1339">
        <v>45475</v>
      </c>
      <c r="L64" s="1348" t="s">
        <v>3571</v>
      </c>
      <c r="M64" s="1339"/>
      <c r="N64" s="1341"/>
      <c r="O64" s="1349"/>
      <c r="P64" s="1350"/>
      <c r="R64" s="1341"/>
      <c r="S64" s="1341">
        <f t="shared" ref="S64:AH79" si="6">IF($H64&lt;R$2,(S$2-R$2)*$G64*$E64/365,(S$2-$H64)*$G64*$E64/365)</f>
        <v>14038356.164383562</v>
      </c>
      <c r="T64" s="1341">
        <f t="shared" si="6"/>
        <v>15542465.753424658</v>
      </c>
      <c r="U64" s="1341">
        <f t="shared" si="6"/>
        <v>15542465.753424658</v>
      </c>
      <c r="V64" s="1341">
        <f t="shared" si="6"/>
        <v>15041095.89041096</v>
      </c>
      <c r="W64" s="1341">
        <f t="shared" si="6"/>
        <v>15542465.753424658</v>
      </c>
      <c r="X64" s="1341">
        <f t="shared" si="6"/>
        <v>15041095.89041096</v>
      </c>
      <c r="Y64" s="1341">
        <f t="shared" si="6"/>
        <v>15542465.753424658</v>
      </c>
      <c r="Z64" s="1341">
        <f t="shared" si="6"/>
        <v>15542465.753424658</v>
      </c>
      <c r="AA64" s="1341">
        <f t="shared" si="6"/>
        <v>14539726.02739726</v>
      </c>
      <c r="AB64" s="1341">
        <f t="shared" si="6"/>
        <v>15542465.753424658</v>
      </c>
      <c r="AC64" s="1341">
        <f t="shared" si="6"/>
        <v>15041095.89041096</v>
      </c>
      <c r="AD64" s="1341">
        <f t="shared" si="6"/>
        <v>15542465.753424658</v>
      </c>
      <c r="AE64" s="1341">
        <f t="shared" si="6"/>
        <v>15041095.89041096</v>
      </c>
      <c r="AF64" s="1341"/>
      <c r="AG64" s="1341"/>
      <c r="AH64" s="1341"/>
      <c r="AI64" s="1341"/>
      <c r="AJ64" s="1341"/>
      <c r="AK64" s="1341"/>
    </row>
    <row r="65" spans="1:37" s="1343" customFormat="1">
      <c r="A65" s="1334" t="s">
        <v>1455</v>
      </c>
      <c r="B65" s="1351">
        <f t="shared" si="3"/>
        <v>72</v>
      </c>
      <c r="C65" s="1335" t="s">
        <v>3613</v>
      </c>
      <c r="D65" s="1353" t="s">
        <v>3625</v>
      </c>
      <c r="E65" s="1337">
        <v>9.2999999999999999E-2</v>
      </c>
      <c r="F65" s="1334">
        <f>458/30</f>
        <v>15.266666666666667</v>
      </c>
      <c r="G65" s="1338">
        <v>30000000000</v>
      </c>
      <c r="H65" s="1339">
        <v>45103</v>
      </c>
      <c r="I65" s="1338"/>
      <c r="J65" s="1003"/>
      <c r="K65" s="1339">
        <v>45530</v>
      </c>
      <c r="L65" s="1348" t="s">
        <v>3571</v>
      </c>
      <c r="M65" s="1339"/>
      <c r="N65" s="1341"/>
      <c r="O65" s="1349"/>
      <c r="P65" s="1350"/>
      <c r="R65" s="1341"/>
      <c r="S65" s="1341">
        <f t="shared" si="6"/>
        <v>30575342.465753425</v>
      </c>
      <c r="T65" s="1341">
        <f t="shared" si="6"/>
        <v>236958904.10958904</v>
      </c>
      <c r="U65" s="1341">
        <f t="shared" si="6"/>
        <v>236958904.10958904</v>
      </c>
      <c r="V65" s="1341">
        <f t="shared" si="6"/>
        <v>229315068.49315068</v>
      </c>
      <c r="W65" s="1341">
        <f t="shared" si="6"/>
        <v>236958904.10958904</v>
      </c>
      <c r="X65" s="1341">
        <f t="shared" si="6"/>
        <v>229315068.49315068</v>
      </c>
      <c r="Y65" s="1341">
        <f t="shared" si="6"/>
        <v>236958904.10958904</v>
      </c>
      <c r="Z65" s="1341">
        <f t="shared" si="6"/>
        <v>236958904.10958904</v>
      </c>
      <c r="AA65" s="1341">
        <f t="shared" si="6"/>
        <v>221671232.87671232</v>
      </c>
      <c r="AB65" s="1341">
        <f t="shared" si="6"/>
        <v>236958904.10958904</v>
      </c>
      <c r="AC65" s="1341">
        <f t="shared" si="6"/>
        <v>229315068.49315068</v>
      </c>
      <c r="AD65" s="1341">
        <f t="shared" si="6"/>
        <v>236958904.10958904</v>
      </c>
      <c r="AE65" s="1341">
        <f t="shared" si="6"/>
        <v>229315068.49315068</v>
      </c>
      <c r="AF65" s="1341">
        <f t="shared" si="6"/>
        <v>236958904.10958904</v>
      </c>
      <c r="AG65" s="1341"/>
      <c r="AH65" s="1341"/>
      <c r="AI65" s="1341"/>
      <c r="AJ65" s="1341"/>
      <c r="AK65" s="1341"/>
    </row>
    <row r="66" spans="1:37" s="1343" customFormat="1" ht="26.25">
      <c r="A66" s="1334" t="s">
        <v>1455</v>
      </c>
      <c r="B66" s="1351">
        <f t="shared" si="3"/>
        <v>73</v>
      </c>
      <c r="C66" s="1335" t="s">
        <v>3613</v>
      </c>
      <c r="D66" s="1353" t="s">
        <v>3626</v>
      </c>
      <c r="E66" s="1337">
        <v>9.2999999999999999E-2</v>
      </c>
      <c r="F66" s="1334">
        <f>451/30</f>
        <v>15.033333333333333</v>
      </c>
      <c r="G66" s="1338">
        <v>20000000000</v>
      </c>
      <c r="H66" s="1339">
        <v>45103</v>
      </c>
      <c r="I66" s="1338"/>
      <c r="J66" s="1003"/>
      <c r="K66" s="1339">
        <v>45523</v>
      </c>
      <c r="L66" s="1348" t="s">
        <v>3627</v>
      </c>
      <c r="M66" s="1339"/>
      <c r="N66" s="1341"/>
      <c r="O66" s="1349"/>
      <c r="P66" s="1350"/>
      <c r="R66" s="1341"/>
      <c r="S66" s="1341">
        <f t="shared" si="6"/>
        <v>20383561.643835615</v>
      </c>
      <c r="T66" s="1341">
        <f t="shared" si="6"/>
        <v>157972602.73972604</v>
      </c>
      <c r="U66" s="1341">
        <f t="shared" si="6"/>
        <v>157972602.73972604</v>
      </c>
      <c r="V66" s="1341">
        <f t="shared" si="6"/>
        <v>152876712.32876712</v>
      </c>
      <c r="W66" s="1341">
        <f t="shared" si="6"/>
        <v>157972602.73972604</v>
      </c>
      <c r="X66" s="1341">
        <f t="shared" si="6"/>
        <v>152876712.32876712</v>
      </c>
      <c r="Y66" s="1341">
        <f t="shared" si="6"/>
        <v>157972602.73972604</v>
      </c>
      <c r="Z66" s="1341">
        <f t="shared" si="6"/>
        <v>157972602.73972604</v>
      </c>
      <c r="AA66" s="1341">
        <f t="shared" si="6"/>
        <v>147780821.9178082</v>
      </c>
      <c r="AB66" s="1341">
        <f t="shared" si="6"/>
        <v>157972602.73972604</v>
      </c>
      <c r="AC66" s="1341">
        <f t="shared" si="6"/>
        <v>152876712.32876712</v>
      </c>
      <c r="AD66" s="1341">
        <f t="shared" si="6"/>
        <v>157972602.73972604</v>
      </c>
      <c r="AE66" s="1341">
        <f t="shared" si="6"/>
        <v>152876712.32876712</v>
      </c>
      <c r="AF66" s="1341">
        <f t="shared" si="6"/>
        <v>157972602.73972604</v>
      </c>
      <c r="AG66" s="1341"/>
      <c r="AH66" s="1341"/>
      <c r="AI66" s="1341"/>
      <c r="AJ66" s="1341"/>
      <c r="AK66" s="1341"/>
    </row>
    <row r="67" spans="1:37" s="1343" customFormat="1" ht="26.25">
      <c r="A67" s="1334" t="s">
        <v>1455</v>
      </c>
      <c r="B67" s="1351">
        <f t="shared" si="3"/>
        <v>74</v>
      </c>
      <c r="C67" s="1335" t="s">
        <v>3613</v>
      </c>
      <c r="D67" s="1354" t="s">
        <v>3628</v>
      </c>
      <c r="E67" s="1337">
        <v>7.9500000000000001E-2</v>
      </c>
      <c r="F67" s="1334">
        <v>12</v>
      </c>
      <c r="G67" s="1338">
        <v>15000000000</v>
      </c>
      <c r="H67" s="1339">
        <v>45110</v>
      </c>
      <c r="I67" s="1338"/>
      <c r="J67" s="1003"/>
      <c r="K67" s="1339">
        <v>45476</v>
      </c>
      <c r="L67" s="1348" t="s">
        <v>3629</v>
      </c>
      <c r="M67" s="1339"/>
      <c r="N67" s="1344"/>
      <c r="O67" s="1355"/>
      <c r="P67" s="1356"/>
      <c r="R67" s="1344"/>
      <c r="S67" s="1344"/>
      <c r="T67" s="1344">
        <f t="shared" si="6"/>
        <v>91479452.05479452</v>
      </c>
      <c r="U67" s="1344">
        <f t="shared" si="6"/>
        <v>101280821.91780822</v>
      </c>
      <c r="V67" s="1344">
        <f t="shared" si="6"/>
        <v>98013698.630136982</v>
      </c>
      <c r="W67" s="1344">
        <f t="shared" si="6"/>
        <v>101280821.91780822</v>
      </c>
      <c r="X67" s="1344">
        <f t="shared" si="6"/>
        <v>98013698.630136982</v>
      </c>
      <c r="Y67" s="1344">
        <f t="shared" si="6"/>
        <v>101280821.91780822</v>
      </c>
      <c r="Z67" s="1344">
        <f t="shared" si="6"/>
        <v>101280821.91780822</v>
      </c>
      <c r="AA67" s="1344">
        <f t="shared" si="6"/>
        <v>94746575.342465758</v>
      </c>
      <c r="AB67" s="1344">
        <f t="shared" si="6"/>
        <v>101280821.91780822</v>
      </c>
      <c r="AC67" s="1344">
        <f t="shared" si="6"/>
        <v>98013698.630136982</v>
      </c>
      <c r="AD67" s="1344">
        <f t="shared" si="6"/>
        <v>101280821.91780822</v>
      </c>
      <c r="AE67" s="1344">
        <f t="shared" si="6"/>
        <v>98013698.630136982</v>
      </c>
      <c r="AF67" s="1344"/>
      <c r="AG67" s="1344"/>
      <c r="AH67" s="1344"/>
      <c r="AI67" s="1344"/>
      <c r="AJ67" s="1344"/>
      <c r="AK67" s="1344"/>
    </row>
    <row r="68" spans="1:37" s="1343" customFormat="1">
      <c r="A68" s="1334" t="s">
        <v>1455</v>
      </c>
      <c r="B68" s="1351">
        <f t="shared" si="3"/>
        <v>75</v>
      </c>
      <c r="C68" s="1335" t="s">
        <v>3613</v>
      </c>
      <c r="D68" s="1354" t="s">
        <v>3630</v>
      </c>
      <c r="E68" s="1337">
        <v>8.1000000000000003E-2</v>
      </c>
      <c r="F68" s="1334">
        <v>15</v>
      </c>
      <c r="G68" s="1338">
        <v>20000000000</v>
      </c>
      <c r="H68" s="1339">
        <v>45110</v>
      </c>
      <c r="I68" s="1338"/>
      <c r="J68" s="1003"/>
      <c r="K68" s="1339">
        <v>45568</v>
      </c>
      <c r="L68" s="1348" t="s">
        <v>3571</v>
      </c>
      <c r="M68" s="1339"/>
      <c r="N68" s="1344"/>
      <c r="O68" s="1355"/>
      <c r="P68" s="1356"/>
      <c r="R68" s="1344"/>
      <c r="S68" s="1344"/>
      <c r="T68" s="1344">
        <f t="shared" si="6"/>
        <v>124273972.60273972</v>
      </c>
      <c r="U68" s="1344">
        <f t="shared" si="6"/>
        <v>137589041.0958904</v>
      </c>
      <c r="V68" s="1344">
        <f t="shared" si="6"/>
        <v>133150684.93150684</v>
      </c>
      <c r="W68" s="1344">
        <f t="shared" si="6"/>
        <v>137589041.0958904</v>
      </c>
      <c r="X68" s="1344">
        <f t="shared" si="6"/>
        <v>133150684.93150684</v>
      </c>
      <c r="Y68" s="1344">
        <f t="shared" si="6"/>
        <v>137589041.0958904</v>
      </c>
      <c r="Z68" s="1344">
        <f t="shared" si="6"/>
        <v>137589041.0958904</v>
      </c>
      <c r="AA68" s="1344">
        <f t="shared" si="6"/>
        <v>128712328.76712328</v>
      </c>
      <c r="AB68" s="1344">
        <f t="shared" si="6"/>
        <v>137589041.0958904</v>
      </c>
      <c r="AC68" s="1344">
        <f t="shared" si="6"/>
        <v>133150684.93150684</v>
      </c>
      <c r="AD68" s="1344">
        <f t="shared" si="6"/>
        <v>137589041.0958904</v>
      </c>
      <c r="AE68" s="1344">
        <f t="shared" si="6"/>
        <v>133150684.93150684</v>
      </c>
      <c r="AF68" s="1344">
        <f t="shared" si="6"/>
        <v>137589041.0958904</v>
      </c>
      <c r="AG68" s="1344">
        <f t="shared" si="6"/>
        <v>137589041.0958904</v>
      </c>
      <c r="AH68" s="1344">
        <f t="shared" si="6"/>
        <v>133150684.93150684</v>
      </c>
      <c r="AI68" s="1344"/>
      <c r="AJ68" s="1344"/>
      <c r="AK68" s="1344"/>
    </row>
    <row r="69" spans="1:37" s="1343" customFormat="1">
      <c r="A69" s="1334" t="s">
        <v>1455</v>
      </c>
      <c r="B69" s="1351">
        <f t="shared" si="3"/>
        <v>76</v>
      </c>
      <c r="C69" s="1335" t="s">
        <v>3557</v>
      </c>
      <c r="D69" s="1354" t="s">
        <v>3631</v>
      </c>
      <c r="E69" s="1337">
        <v>8.6999999999999994E-2</v>
      </c>
      <c r="F69" s="1334">
        <f>390/30</f>
        <v>13</v>
      </c>
      <c r="G69" s="1338">
        <v>70000000000</v>
      </c>
      <c r="H69" s="1339">
        <v>45112</v>
      </c>
      <c r="I69" s="1338"/>
      <c r="J69" s="1003"/>
      <c r="K69" s="1339">
        <v>45502</v>
      </c>
      <c r="L69" s="1348" t="s">
        <v>3571</v>
      </c>
      <c r="M69" s="1339"/>
      <c r="N69" s="1341"/>
      <c r="O69" s="1349"/>
      <c r="P69" s="1350"/>
      <c r="R69" s="1341"/>
      <c r="S69" s="1341"/>
      <c r="T69" s="1341">
        <f t="shared" si="6"/>
        <v>433808219.17808217</v>
      </c>
      <c r="U69" s="1341">
        <f t="shared" si="6"/>
        <v>517232876.71232879</v>
      </c>
      <c r="V69" s="1341">
        <f t="shared" si="6"/>
        <v>500547945.20547944</v>
      </c>
      <c r="W69" s="1341">
        <f t="shared" si="6"/>
        <v>517232876.71232879</v>
      </c>
      <c r="X69" s="1341">
        <f t="shared" si="6"/>
        <v>500547945.20547944</v>
      </c>
      <c r="Y69" s="1341">
        <f t="shared" si="6"/>
        <v>517232876.71232879</v>
      </c>
      <c r="Z69" s="1341">
        <f t="shared" si="6"/>
        <v>517232876.71232879</v>
      </c>
      <c r="AA69" s="1341">
        <f t="shared" si="6"/>
        <v>483863013.69863015</v>
      </c>
      <c r="AB69" s="1341">
        <f t="shared" si="6"/>
        <v>517232876.71232879</v>
      </c>
      <c r="AC69" s="1341">
        <f t="shared" si="6"/>
        <v>500547945.20547944</v>
      </c>
      <c r="AD69" s="1341">
        <f t="shared" si="6"/>
        <v>517232876.71232879</v>
      </c>
      <c r="AE69" s="1341">
        <f t="shared" si="6"/>
        <v>500547945.20547944</v>
      </c>
      <c r="AF69" s="1341"/>
      <c r="AG69" s="1341"/>
      <c r="AH69" s="1341"/>
      <c r="AI69" s="1341"/>
      <c r="AJ69" s="1341"/>
      <c r="AK69" s="1341"/>
    </row>
    <row r="70" spans="1:37" s="1343" customFormat="1" ht="39">
      <c r="A70" s="1334" t="s">
        <v>3632</v>
      </c>
      <c r="B70" s="1357">
        <f t="shared" si="3"/>
        <v>77</v>
      </c>
      <c r="C70" s="1335" t="s">
        <v>3633</v>
      </c>
      <c r="D70" s="1354" t="s">
        <v>3634</v>
      </c>
      <c r="E70" s="1337">
        <v>8.6999999999999994E-2</v>
      </c>
      <c r="F70" s="1334">
        <v>12</v>
      </c>
      <c r="G70" s="1338">
        <v>20000000000</v>
      </c>
      <c r="H70" s="1339">
        <v>45118</v>
      </c>
      <c r="I70" s="1338"/>
      <c r="J70" s="1352"/>
      <c r="K70" s="1339">
        <v>45484</v>
      </c>
      <c r="L70" s="1348" t="s">
        <v>3571</v>
      </c>
      <c r="M70" s="1339"/>
      <c r="N70" s="1344"/>
      <c r="O70" s="1355"/>
      <c r="P70" s="1356"/>
      <c r="R70" s="1344"/>
      <c r="S70" s="1344"/>
      <c r="T70" s="1344">
        <f t="shared" si="6"/>
        <v>95342465.753424659</v>
      </c>
      <c r="U70" s="1344">
        <f t="shared" si="6"/>
        <v>147780821.9178082</v>
      </c>
      <c r="V70" s="1344">
        <f t="shared" si="6"/>
        <v>143013698.630137</v>
      </c>
      <c r="W70" s="1344">
        <f t="shared" si="6"/>
        <v>147780821.9178082</v>
      </c>
      <c r="X70" s="1344">
        <f t="shared" si="6"/>
        <v>143013698.630137</v>
      </c>
      <c r="Y70" s="1344">
        <f t="shared" si="6"/>
        <v>147780821.9178082</v>
      </c>
      <c r="Z70" s="1344">
        <f t="shared" si="6"/>
        <v>147780821.9178082</v>
      </c>
      <c r="AA70" s="1344">
        <f t="shared" si="6"/>
        <v>138246575.34246576</v>
      </c>
      <c r="AB70" s="1344">
        <f t="shared" si="6"/>
        <v>147780821.9178082</v>
      </c>
      <c r="AC70" s="1344">
        <f t="shared" si="6"/>
        <v>143013698.630137</v>
      </c>
      <c r="AD70" s="1344">
        <f t="shared" si="6"/>
        <v>147780821.9178082</v>
      </c>
      <c r="AE70" s="1344">
        <f t="shared" si="6"/>
        <v>143013698.630137</v>
      </c>
      <c r="AF70" s="1344"/>
      <c r="AG70" s="1344"/>
      <c r="AH70" s="1344"/>
      <c r="AI70" s="1344"/>
      <c r="AJ70" s="1344"/>
      <c r="AK70" s="1344"/>
    </row>
    <row r="71" spans="1:37" s="1343" customFormat="1" ht="39">
      <c r="A71" s="1334" t="s">
        <v>3635</v>
      </c>
      <c r="B71" s="1357">
        <f t="shared" si="3"/>
        <v>78</v>
      </c>
      <c r="C71" s="1335" t="s">
        <v>3633</v>
      </c>
      <c r="D71" s="1354" t="s">
        <v>3636</v>
      </c>
      <c r="E71" s="1337">
        <v>8.6999999999999994E-2</v>
      </c>
      <c r="F71" s="1334">
        <v>12</v>
      </c>
      <c r="G71" s="1338">
        <v>30000000000</v>
      </c>
      <c r="H71" s="1339">
        <v>45119</v>
      </c>
      <c r="I71" s="1338"/>
      <c r="J71" s="1352"/>
      <c r="K71" s="1339">
        <v>45485</v>
      </c>
      <c r="L71" s="1348" t="s">
        <v>3571</v>
      </c>
      <c r="M71" s="1339"/>
      <c r="N71" s="1344"/>
      <c r="O71" s="1355"/>
      <c r="P71" s="1356"/>
      <c r="R71" s="1344"/>
      <c r="S71" s="1344"/>
      <c r="T71" s="1344">
        <f t="shared" si="6"/>
        <v>135863013.69863012</v>
      </c>
      <c r="U71" s="1344">
        <f t="shared" si="6"/>
        <v>221671232.87671232</v>
      </c>
      <c r="V71" s="1344">
        <f t="shared" si="6"/>
        <v>214520547.94520548</v>
      </c>
      <c r="W71" s="1344">
        <f t="shared" si="6"/>
        <v>221671232.87671232</v>
      </c>
      <c r="X71" s="1344">
        <f t="shared" si="6"/>
        <v>214520547.94520548</v>
      </c>
      <c r="Y71" s="1344">
        <f t="shared" si="6"/>
        <v>221671232.87671232</v>
      </c>
      <c r="Z71" s="1344">
        <f t="shared" si="6"/>
        <v>221671232.87671232</v>
      </c>
      <c r="AA71" s="1344">
        <f t="shared" si="6"/>
        <v>207369863.01369864</v>
      </c>
      <c r="AB71" s="1344">
        <f t="shared" si="6"/>
        <v>221671232.87671232</v>
      </c>
      <c r="AC71" s="1344">
        <f t="shared" si="6"/>
        <v>214520547.94520548</v>
      </c>
      <c r="AD71" s="1344">
        <f t="shared" si="6"/>
        <v>221671232.87671232</v>
      </c>
      <c r="AE71" s="1344">
        <f t="shared" si="6"/>
        <v>214520547.94520548</v>
      </c>
      <c r="AF71" s="1344"/>
      <c r="AG71" s="1344"/>
      <c r="AH71" s="1344"/>
      <c r="AI71" s="1344"/>
      <c r="AJ71" s="1344"/>
      <c r="AK71" s="1344"/>
    </row>
    <row r="72" spans="1:37" s="1343" customFormat="1" ht="30.6" customHeight="1">
      <c r="A72" s="1334" t="s">
        <v>3637</v>
      </c>
      <c r="B72" s="1357">
        <f t="shared" si="3"/>
        <v>79</v>
      </c>
      <c r="C72" s="1335" t="s">
        <v>3633</v>
      </c>
      <c r="D72" s="1354" t="s">
        <v>3638</v>
      </c>
      <c r="E72" s="1337">
        <v>8.6999999999999994E-2</v>
      </c>
      <c r="F72" s="1334">
        <v>12</v>
      </c>
      <c r="G72" s="1338">
        <v>38000000000</v>
      </c>
      <c r="H72" s="1339">
        <v>45119</v>
      </c>
      <c r="I72" s="1338"/>
      <c r="J72" s="1352"/>
      <c r="K72" s="1339">
        <v>45485</v>
      </c>
      <c r="L72" s="1348" t="s">
        <v>3571</v>
      </c>
      <c r="M72" s="1339"/>
      <c r="N72" s="1344"/>
      <c r="O72" s="1355"/>
      <c r="P72" s="1356"/>
      <c r="R72" s="1344"/>
      <c r="S72" s="1344"/>
      <c r="T72" s="1344">
        <f t="shared" si="6"/>
        <v>172093150.68493149</v>
      </c>
      <c r="U72" s="1344">
        <f t="shared" si="6"/>
        <v>280783561.6438356</v>
      </c>
      <c r="V72" s="1344">
        <f t="shared" si="6"/>
        <v>271726027.39726025</v>
      </c>
      <c r="W72" s="1344">
        <f t="shared" si="6"/>
        <v>280783561.6438356</v>
      </c>
      <c r="X72" s="1344">
        <f t="shared" si="6"/>
        <v>271726027.39726025</v>
      </c>
      <c r="Y72" s="1344">
        <f t="shared" si="6"/>
        <v>280783561.6438356</v>
      </c>
      <c r="Z72" s="1344">
        <f t="shared" si="6"/>
        <v>280783561.6438356</v>
      </c>
      <c r="AA72" s="1344">
        <f t="shared" si="6"/>
        <v>262668493.15068492</v>
      </c>
      <c r="AB72" s="1344">
        <f t="shared" si="6"/>
        <v>280783561.6438356</v>
      </c>
      <c r="AC72" s="1344">
        <f t="shared" si="6"/>
        <v>271726027.39726025</v>
      </c>
      <c r="AD72" s="1344">
        <f t="shared" si="6"/>
        <v>280783561.6438356</v>
      </c>
      <c r="AE72" s="1344">
        <f t="shared" si="6"/>
        <v>271726027.39726025</v>
      </c>
      <c r="AF72" s="1344"/>
      <c r="AG72" s="1344"/>
      <c r="AH72" s="1344"/>
      <c r="AI72" s="1344"/>
      <c r="AJ72" s="1344"/>
      <c r="AK72" s="1344"/>
    </row>
    <row r="73" spans="1:37" s="1343" customFormat="1" ht="39">
      <c r="A73" s="1334" t="s">
        <v>3637</v>
      </c>
      <c r="B73" s="1357">
        <f t="shared" si="3"/>
        <v>80</v>
      </c>
      <c r="C73" s="1335" t="s">
        <v>3633</v>
      </c>
      <c r="D73" s="1354" t="s">
        <v>3639</v>
      </c>
      <c r="E73" s="1337">
        <v>8.2000000000000003E-2</v>
      </c>
      <c r="F73" s="1334">
        <v>12</v>
      </c>
      <c r="G73" s="1338">
        <v>12000000000</v>
      </c>
      <c r="H73" s="1339">
        <v>45124</v>
      </c>
      <c r="I73" s="1338"/>
      <c r="J73" s="1352"/>
      <c r="K73" s="1339">
        <v>45490</v>
      </c>
      <c r="L73" s="1348" t="s">
        <v>3571</v>
      </c>
      <c r="M73" s="1339"/>
      <c r="N73" s="1344"/>
      <c r="O73" s="1355"/>
      <c r="P73" s="1356"/>
      <c r="R73" s="1344"/>
      <c r="S73" s="1344"/>
      <c r="T73" s="1344">
        <f t="shared" si="6"/>
        <v>37742465.753424659</v>
      </c>
      <c r="U73" s="1344">
        <f t="shared" si="6"/>
        <v>83572602.739726022</v>
      </c>
      <c r="V73" s="1344">
        <f t="shared" si="6"/>
        <v>80876712.328767121</v>
      </c>
      <c r="W73" s="1344">
        <f t="shared" si="6"/>
        <v>83572602.739726022</v>
      </c>
      <c r="X73" s="1344">
        <f t="shared" si="6"/>
        <v>80876712.328767121</v>
      </c>
      <c r="Y73" s="1344">
        <f t="shared" si="6"/>
        <v>83572602.739726022</v>
      </c>
      <c r="Z73" s="1344">
        <f t="shared" si="6"/>
        <v>83572602.739726022</v>
      </c>
      <c r="AA73" s="1344">
        <f t="shared" si="6"/>
        <v>78180821.91780822</v>
      </c>
      <c r="AB73" s="1344">
        <f t="shared" si="6"/>
        <v>83572602.739726022</v>
      </c>
      <c r="AC73" s="1344">
        <f t="shared" si="6"/>
        <v>80876712.328767121</v>
      </c>
      <c r="AD73" s="1344">
        <f t="shared" si="6"/>
        <v>83572602.739726022</v>
      </c>
      <c r="AE73" s="1344">
        <f t="shared" si="6"/>
        <v>80876712.328767121</v>
      </c>
      <c r="AF73" s="1344"/>
      <c r="AG73" s="1344"/>
      <c r="AH73" s="1344"/>
      <c r="AI73" s="1344"/>
      <c r="AJ73" s="1344"/>
      <c r="AK73" s="1344"/>
    </row>
    <row r="74" spans="1:37" s="1343" customFormat="1" ht="26.25">
      <c r="A74" s="1334" t="s">
        <v>1455</v>
      </c>
      <c r="B74" s="1351">
        <f t="shared" si="3"/>
        <v>81</v>
      </c>
      <c r="C74" s="1335" t="s">
        <v>3566</v>
      </c>
      <c r="D74" s="1354" t="s">
        <v>3640</v>
      </c>
      <c r="E74" s="1337">
        <v>0.08</v>
      </c>
      <c r="F74" s="1334">
        <v>12</v>
      </c>
      <c r="G74" s="1338">
        <v>3000000000</v>
      </c>
      <c r="H74" s="1339">
        <v>45124</v>
      </c>
      <c r="I74" s="1338"/>
      <c r="J74" s="1003"/>
      <c r="K74" s="1339">
        <v>45490</v>
      </c>
      <c r="L74" s="1348" t="s">
        <v>3641</v>
      </c>
      <c r="M74" s="1339"/>
      <c r="N74" s="1341"/>
      <c r="O74" s="1349"/>
      <c r="P74" s="1350"/>
      <c r="R74" s="1341"/>
      <c r="S74" s="1341"/>
      <c r="T74" s="1341">
        <f t="shared" si="6"/>
        <v>9205479.4520547949</v>
      </c>
      <c r="U74" s="1341">
        <f t="shared" si="6"/>
        <v>20383561.643835615</v>
      </c>
      <c r="V74" s="1341">
        <f t="shared" si="6"/>
        <v>19726027.397260275</v>
      </c>
      <c r="W74" s="1341">
        <f t="shared" si="6"/>
        <v>20383561.643835615</v>
      </c>
      <c r="X74" s="1341">
        <f t="shared" si="6"/>
        <v>19726027.397260275</v>
      </c>
      <c r="Y74" s="1341">
        <f t="shared" si="6"/>
        <v>20383561.643835615</v>
      </c>
      <c r="Z74" s="1341">
        <f t="shared" si="6"/>
        <v>20383561.643835615</v>
      </c>
      <c r="AA74" s="1341">
        <f t="shared" si="6"/>
        <v>19068493.15068493</v>
      </c>
      <c r="AB74" s="1341">
        <f t="shared" si="6"/>
        <v>20383561.643835615</v>
      </c>
      <c r="AC74" s="1341">
        <f t="shared" si="6"/>
        <v>19726027.397260275</v>
      </c>
      <c r="AD74" s="1341">
        <f t="shared" si="6"/>
        <v>20383561.643835615</v>
      </c>
      <c r="AE74" s="1341">
        <f t="shared" si="6"/>
        <v>19726027.397260275</v>
      </c>
      <c r="AF74" s="1341"/>
      <c r="AG74" s="1341"/>
      <c r="AH74" s="1341"/>
      <c r="AI74" s="1341"/>
      <c r="AJ74" s="1341"/>
      <c r="AK74" s="1341"/>
    </row>
    <row r="75" spans="1:37" s="1343" customFormat="1" ht="39">
      <c r="A75" s="1334" t="s">
        <v>3642</v>
      </c>
      <c r="B75" s="1351">
        <f t="shared" si="3"/>
        <v>82</v>
      </c>
      <c r="C75" s="1335" t="s">
        <v>3566</v>
      </c>
      <c r="D75" s="1354" t="s">
        <v>3643</v>
      </c>
      <c r="E75" s="1337">
        <v>0.08</v>
      </c>
      <c r="F75" s="1334">
        <v>12</v>
      </c>
      <c r="G75" s="1338">
        <v>20000000000</v>
      </c>
      <c r="H75" s="1339">
        <v>45125</v>
      </c>
      <c r="I75" s="1338"/>
      <c r="J75" s="1003"/>
      <c r="K75" s="1339">
        <v>45491</v>
      </c>
      <c r="L75" s="1348" t="s">
        <v>3571</v>
      </c>
      <c r="M75" s="1339"/>
      <c r="N75" s="1344"/>
      <c r="O75" s="1355"/>
      <c r="P75" s="1356"/>
      <c r="R75" s="1344"/>
      <c r="S75" s="1344"/>
      <c r="T75" s="1344">
        <f t="shared" si="6"/>
        <v>56986301.369863011</v>
      </c>
      <c r="U75" s="1344">
        <f t="shared" si="6"/>
        <v>135890410.95890412</v>
      </c>
      <c r="V75" s="1344">
        <f t="shared" si="6"/>
        <v>131506849.3150685</v>
      </c>
      <c r="W75" s="1344">
        <f t="shared" si="6"/>
        <v>135890410.95890412</v>
      </c>
      <c r="X75" s="1344">
        <f t="shared" si="6"/>
        <v>131506849.3150685</v>
      </c>
      <c r="Y75" s="1344">
        <f t="shared" si="6"/>
        <v>135890410.95890412</v>
      </c>
      <c r="Z75" s="1344">
        <f t="shared" si="6"/>
        <v>135890410.95890412</v>
      </c>
      <c r="AA75" s="1344">
        <f t="shared" si="6"/>
        <v>127123287.67123288</v>
      </c>
      <c r="AB75" s="1344">
        <f t="shared" si="6"/>
        <v>135890410.95890412</v>
      </c>
      <c r="AC75" s="1344">
        <f t="shared" si="6"/>
        <v>131506849.3150685</v>
      </c>
      <c r="AD75" s="1344">
        <f t="shared" si="6"/>
        <v>135890410.95890412</v>
      </c>
      <c r="AE75" s="1344">
        <f t="shared" si="6"/>
        <v>131506849.3150685</v>
      </c>
      <c r="AF75" s="1344"/>
      <c r="AG75" s="1344"/>
      <c r="AH75" s="1344"/>
      <c r="AI75" s="1344"/>
      <c r="AJ75" s="1344"/>
      <c r="AK75" s="1344"/>
    </row>
    <row r="76" spans="1:37" s="1343" customFormat="1" ht="39">
      <c r="A76" s="1334" t="s">
        <v>3642</v>
      </c>
      <c r="B76" s="1351">
        <f t="shared" si="3"/>
        <v>83</v>
      </c>
      <c r="C76" s="1335" t="s">
        <v>3566</v>
      </c>
      <c r="D76" s="1354" t="s">
        <v>3644</v>
      </c>
      <c r="E76" s="1337">
        <v>0.08</v>
      </c>
      <c r="F76" s="1334">
        <v>12</v>
      </c>
      <c r="G76" s="1338">
        <v>20000000000</v>
      </c>
      <c r="H76" s="1339">
        <v>45125</v>
      </c>
      <c r="I76" s="1338"/>
      <c r="J76" s="1003"/>
      <c r="K76" s="1339">
        <v>45491</v>
      </c>
      <c r="L76" s="1348" t="s">
        <v>3571</v>
      </c>
      <c r="M76" s="1339"/>
      <c r="N76" s="1344"/>
      <c r="O76" s="1355"/>
      <c r="P76" s="1356"/>
      <c r="R76" s="1344"/>
      <c r="S76" s="1344"/>
      <c r="T76" s="1344">
        <f t="shared" si="6"/>
        <v>56986301.369863011</v>
      </c>
      <c r="U76" s="1344">
        <f t="shared" si="6"/>
        <v>135890410.95890412</v>
      </c>
      <c r="V76" s="1344">
        <f t="shared" si="6"/>
        <v>131506849.3150685</v>
      </c>
      <c r="W76" s="1344">
        <f t="shared" si="6"/>
        <v>135890410.95890412</v>
      </c>
      <c r="X76" s="1344">
        <f t="shared" si="6"/>
        <v>131506849.3150685</v>
      </c>
      <c r="Y76" s="1344">
        <f t="shared" si="6"/>
        <v>135890410.95890412</v>
      </c>
      <c r="Z76" s="1344">
        <f t="shared" si="6"/>
        <v>135890410.95890412</v>
      </c>
      <c r="AA76" s="1344">
        <f t="shared" si="6"/>
        <v>127123287.67123288</v>
      </c>
      <c r="AB76" s="1344">
        <f t="shared" si="6"/>
        <v>135890410.95890412</v>
      </c>
      <c r="AC76" s="1344">
        <f t="shared" si="6"/>
        <v>131506849.3150685</v>
      </c>
      <c r="AD76" s="1344">
        <f t="shared" si="6"/>
        <v>135890410.95890412</v>
      </c>
      <c r="AE76" s="1344">
        <f t="shared" si="6"/>
        <v>131506849.3150685</v>
      </c>
      <c r="AF76" s="1344"/>
      <c r="AG76" s="1344"/>
      <c r="AH76" s="1344"/>
      <c r="AI76" s="1344"/>
      <c r="AJ76" s="1344"/>
      <c r="AK76" s="1344"/>
    </row>
    <row r="77" spans="1:37" s="1343" customFormat="1" ht="39">
      <c r="A77" s="1334" t="s">
        <v>3642</v>
      </c>
      <c r="B77" s="1351">
        <f t="shared" si="3"/>
        <v>84</v>
      </c>
      <c r="C77" s="1335" t="s">
        <v>3566</v>
      </c>
      <c r="D77" s="1354" t="s">
        <v>3645</v>
      </c>
      <c r="E77" s="1337">
        <v>0.08</v>
      </c>
      <c r="F77" s="1334">
        <v>12</v>
      </c>
      <c r="G77" s="1338">
        <v>21000000000</v>
      </c>
      <c r="H77" s="1339">
        <v>45125</v>
      </c>
      <c r="I77" s="1338"/>
      <c r="J77" s="1003"/>
      <c r="K77" s="1339">
        <v>45491</v>
      </c>
      <c r="L77" s="1348" t="s">
        <v>3571</v>
      </c>
      <c r="M77" s="1339"/>
      <c r="N77" s="1344"/>
      <c r="O77" s="1355"/>
      <c r="P77" s="1356"/>
      <c r="R77" s="1344"/>
      <c r="S77" s="1344"/>
      <c r="T77" s="1344">
        <f t="shared" si="6"/>
        <v>59835616.438356161</v>
      </c>
      <c r="U77" s="1344">
        <f t="shared" si="6"/>
        <v>142684931.50684932</v>
      </c>
      <c r="V77" s="1344">
        <f t="shared" si="6"/>
        <v>138082191.78082192</v>
      </c>
      <c r="W77" s="1344">
        <f t="shared" si="6"/>
        <v>142684931.50684932</v>
      </c>
      <c r="X77" s="1344">
        <f t="shared" si="6"/>
        <v>138082191.78082192</v>
      </c>
      <c r="Y77" s="1344">
        <f t="shared" si="6"/>
        <v>142684931.50684932</v>
      </c>
      <c r="Z77" s="1344">
        <f t="shared" si="6"/>
        <v>142684931.50684932</v>
      </c>
      <c r="AA77" s="1344">
        <f t="shared" si="6"/>
        <v>133479452.05479452</v>
      </c>
      <c r="AB77" s="1344">
        <f t="shared" si="6"/>
        <v>142684931.50684932</v>
      </c>
      <c r="AC77" s="1344">
        <f t="shared" si="6"/>
        <v>138082191.78082192</v>
      </c>
      <c r="AD77" s="1344">
        <f t="shared" si="6"/>
        <v>142684931.50684932</v>
      </c>
      <c r="AE77" s="1344">
        <f t="shared" si="6"/>
        <v>138082191.78082192</v>
      </c>
      <c r="AF77" s="1344"/>
      <c r="AG77" s="1344"/>
      <c r="AH77" s="1344"/>
      <c r="AI77" s="1344"/>
      <c r="AJ77" s="1344"/>
      <c r="AK77" s="1344"/>
    </row>
    <row r="78" spans="1:37" s="1343" customFormat="1" ht="39">
      <c r="A78" s="1334" t="s">
        <v>3637</v>
      </c>
      <c r="B78" s="1334">
        <f t="shared" si="3"/>
        <v>85</v>
      </c>
      <c r="C78" s="1335" t="s">
        <v>3566</v>
      </c>
      <c r="D78" s="1354" t="s">
        <v>3646</v>
      </c>
      <c r="E78" s="1337">
        <v>0.08</v>
      </c>
      <c r="F78" s="1334">
        <v>12</v>
      </c>
      <c r="G78" s="1338">
        <v>25000000000</v>
      </c>
      <c r="H78" s="1339">
        <v>45127</v>
      </c>
      <c r="I78" s="1338"/>
      <c r="J78" s="1340"/>
      <c r="K78" s="1339">
        <v>45493</v>
      </c>
      <c r="L78" s="1348" t="s">
        <v>3571</v>
      </c>
      <c r="M78" s="1339"/>
      <c r="N78" s="1344"/>
      <c r="O78" s="1355"/>
      <c r="P78" s="1356"/>
      <c r="R78" s="1344"/>
      <c r="S78" s="1344"/>
      <c r="T78" s="1344">
        <f t="shared" si="6"/>
        <v>60273972.602739729</v>
      </c>
      <c r="U78" s="1344">
        <f t="shared" si="6"/>
        <v>169863013.69863012</v>
      </c>
      <c r="V78" s="1344">
        <f t="shared" si="6"/>
        <v>164383561.6438356</v>
      </c>
      <c r="W78" s="1344">
        <f t="shared" si="6"/>
        <v>169863013.69863012</v>
      </c>
      <c r="X78" s="1344">
        <f t="shared" si="6"/>
        <v>164383561.6438356</v>
      </c>
      <c r="Y78" s="1344">
        <f t="shared" si="6"/>
        <v>169863013.69863012</v>
      </c>
      <c r="Z78" s="1344">
        <f t="shared" si="6"/>
        <v>169863013.69863012</v>
      </c>
      <c r="AA78" s="1344">
        <f t="shared" si="6"/>
        <v>158904109.58904108</v>
      </c>
      <c r="AB78" s="1344">
        <f t="shared" si="6"/>
        <v>169863013.69863012</v>
      </c>
      <c r="AC78" s="1344">
        <f t="shared" si="6"/>
        <v>164383561.6438356</v>
      </c>
      <c r="AD78" s="1344">
        <f t="shared" si="6"/>
        <v>169863013.69863012</v>
      </c>
      <c r="AE78" s="1344">
        <f t="shared" si="6"/>
        <v>164383561.6438356</v>
      </c>
      <c r="AF78" s="1344"/>
      <c r="AG78" s="1344"/>
      <c r="AH78" s="1344"/>
      <c r="AI78" s="1344"/>
      <c r="AJ78" s="1344"/>
      <c r="AK78" s="1344"/>
    </row>
    <row r="79" spans="1:37" s="1343" customFormat="1" ht="26.25">
      <c r="A79" s="1334" t="s">
        <v>1455</v>
      </c>
      <c r="B79" s="1334">
        <f t="shared" si="3"/>
        <v>86</v>
      </c>
      <c r="C79" s="1335" t="s">
        <v>3557</v>
      </c>
      <c r="D79" s="1354" t="s">
        <v>3647</v>
      </c>
      <c r="E79" s="1337">
        <v>7.0000000000000007E-2</v>
      </c>
      <c r="F79" s="1334">
        <v>6</v>
      </c>
      <c r="G79" s="1338">
        <v>30000000000</v>
      </c>
      <c r="H79" s="1339">
        <v>45177</v>
      </c>
      <c r="I79" s="1338"/>
      <c r="J79" s="1340"/>
      <c r="K79" s="1339">
        <v>45359</v>
      </c>
      <c r="L79" s="1348" t="s">
        <v>3648</v>
      </c>
      <c r="M79" s="1339"/>
      <c r="N79" s="1341"/>
      <c r="O79" s="1349"/>
      <c r="P79" s="1350"/>
      <c r="R79" s="1341"/>
      <c r="S79" s="1341"/>
      <c r="T79" s="1341"/>
      <c r="U79" s="1341"/>
      <c r="V79" s="1341">
        <f t="shared" si="6"/>
        <v>126575342.46575345</v>
      </c>
      <c r="W79" s="1341">
        <f t="shared" si="6"/>
        <v>178356164.38356167</v>
      </c>
      <c r="X79" s="1341">
        <f t="shared" si="6"/>
        <v>172602739.72602743</v>
      </c>
      <c r="Y79" s="1341">
        <f t="shared" si="6"/>
        <v>178356164.38356167</v>
      </c>
      <c r="Z79" s="1341">
        <f t="shared" si="6"/>
        <v>178356164.38356167</v>
      </c>
      <c r="AA79" s="1341">
        <f t="shared" si="6"/>
        <v>166849315.06849316</v>
      </c>
      <c r="AB79" s="1341"/>
      <c r="AC79" s="1341"/>
      <c r="AD79" s="1341"/>
      <c r="AE79" s="1341"/>
      <c r="AF79" s="1341"/>
      <c r="AG79" s="1341"/>
      <c r="AH79" s="1341"/>
      <c r="AI79" s="1341"/>
      <c r="AJ79" s="1341"/>
      <c r="AK79" s="1341"/>
    </row>
    <row r="80" spans="1:37" s="1343" customFormat="1">
      <c r="A80" s="1334" t="s">
        <v>1455</v>
      </c>
      <c r="B80" s="1334">
        <f t="shared" si="3"/>
        <v>87</v>
      </c>
      <c r="C80" s="1335" t="s">
        <v>3566</v>
      </c>
      <c r="D80" s="1358">
        <v>287209312</v>
      </c>
      <c r="E80" s="1337">
        <v>9.0999999999999998E-2</v>
      </c>
      <c r="F80" s="1334">
        <v>6</v>
      </c>
      <c r="G80" s="1338">
        <v>50000000000</v>
      </c>
      <c r="H80" s="1339">
        <v>45198</v>
      </c>
      <c r="I80" s="1338"/>
      <c r="J80" s="1003"/>
      <c r="K80" s="1339">
        <v>45250</v>
      </c>
      <c r="L80" s="1348" t="s">
        <v>3571</v>
      </c>
      <c r="M80" s="1339"/>
      <c r="N80" s="1341"/>
      <c r="O80" s="1349"/>
      <c r="P80" s="1350"/>
      <c r="R80" s="1341"/>
      <c r="S80" s="1341"/>
      <c r="T80" s="1341"/>
      <c r="V80" s="1341">
        <f t="shared" ref="V80:AG95" si="7">IF($H80&lt;U$2,(V$2-U$2)*$G80*$E80/365,(V$2-$H80)*$G80*$E80/365)</f>
        <v>12465753.424657535</v>
      </c>
      <c r="W80" s="1341">
        <f t="shared" si="7"/>
        <v>386438356.16438359</v>
      </c>
      <c r="X80" s="1341"/>
      <c r="Y80" s="1341"/>
      <c r="Z80" s="1341"/>
      <c r="AA80" s="1341"/>
      <c r="AB80" s="1341"/>
      <c r="AC80" s="1341"/>
      <c r="AD80" s="1341"/>
      <c r="AE80" s="1341"/>
      <c r="AF80" s="1341"/>
      <c r="AG80" s="1341"/>
      <c r="AH80" s="1341"/>
      <c r="AI80" s="1341"/>
      <c r="AJ80" s="1341"/>
      <c r="AK80" s="1341"/>
    </row>
    <row r="81" spans="1:37" s="1343" customFormat="1">
      <c r="A81" s="1334" t="s">
        <v>3649</v>
      </c>
      <c r="B81" s="1351">
        <f t="shared" si="3"/>
        <v>88</v>
      </c>
      <c r="C81" s="1335" t="s">
        <v>3557</v>
      </c>
      <c r="D81" s="1358" t="s">
        <v>3650</v>
      </c>
      <c r="E81" s="1337">
        <v>7.2999999999999995E-2</v>
      </c>
      <c r="F81" s="1334">
        <v>12</v>
      </c>
      <c r="G81" s="1338">
        <v>2000000000</v>
      </c>
      <c r="H81" s="1339">
        <v>45182</v>
      </c>
      <c r="I81" s="1338"/>
      <c r="J81" s="1003"/>
      <c r="K81" s="1339">
        <v>45548</v>
      </c>
      <c r="L81" s="1348" t="s">
        <v>3571</v>
      </c>
      <c r="M81" s="1339"/>
      <c r="N81" s="1341"/>
      <c r="O81" s="1349"/>
      <c r="P81" s="1350"/>
      <c r="R81" s="1341"/>
      <c r="S81" s="1341"/>
      <c r="T81" s="1341"/>
      <c r="V81" s="1341">
        <f t="shared" si="7"/>
        <v>6800000</v>
      </c>
      <c r="W81" s="1341">
        <f t="shared" si="7"/>
        <v>12400000</v>
      </c>
      <c r="X81" s="1341">
        <f t="shared" si="7"/>
        <v>12000000</v>
      </c>
      <c r="Y81" s="1341">
        <f t="shared" si="7"/>
        <v>12400000</v>
      </c>
      <c r="Z81" s="1341">
        <f t="shared" si="7"/>
        <v>12400000</v>
      </c>
      <c r="AA81" s="1341">
        <f t="shared" si="7"/>
        <v>11599999.999999998</v>
      </c>
      <c r="AB81" s="1341">
        <f t="shared" si="7"/>
        <v>12400000</v>
      </c>
      <c r="AC81" s="1341">
        <f t="shared" si="7"/>
        <v>12000000</v>
      </c>
      <c r="AD81" s="1341">
        <f t="shared" si="7"/>
        <v>12400000</v>
      </c>
      <c r="AE81" s="1341">
        <f t="shared" si="7"/>
        <v>12000000</v>
      </c>
      <c r="AF81" s="1341">
        <f t="shared" si="7"/>
        <v>12400000</v>
      </c>
      <c r="AG81" s="1341">
        <f t="shared" si="7"/>
        <v>12400000</v>
      </c>
      <c r="AH81" s="1341"/>
      <c r="AI81" s="1341"/>
      <c r="AJ81" s="1341"/>
      <c r="AK81" s="1341"/>
    </row>
    <row r="82" spans="1:37" s="1343" customFormat="1">
      <c r="A82" s="1334" t="s">
        <v>3649</v>
      </c>
      <c r="B82" s="1351">
        <f t="shared" si="3"/>
        <v>89</v>
      </c>
      <c r="C82" s="1335" t="s">
        <v>3557</v>
      </c>
      <c r="D82" s="1358" t="s">
        <v>3651</v>
      </c>
      <c r="E82" s="1337">
        <v>7.2999999999999995E-2</v>
      </c>
      <c r="F82" s="1334">
        <v>12</v>
      </c>
      <c r="G82" s="1338">
        <v>500000000</v>
      </c>
      <c r="H82" s="1339">
        <v>45188</v>
      </c>
      <c r="I82" s="1338"/>
      <c r="J82" s="1003"/>
      <c r="K82" s="1339">
        <v>45554</v>
      </c>
      <c r="L82" s="1348" t="s">
        <v>3571</v>
      </c>
      <c r="M82" s="1339"/>
      <c r="N82" s="1341"/>
      <c r="O82" s="1349"/>
      <c r="P82" s="1350"/>
      <c r="R82" s="1341"/>
      <c r="S82" s="1341"/>
      <c r="T82" s="1341"/>
      <c r="V82" s="1341">
        <f t="shared" si="7"/>
        <v>1100000</v>
      </c>
      <c r="W82" s="1341">
        <f t="shared" si="7"/>
        <v>3100000</v>
      </c>
      <c r="X82" s="1341">
        <f t="shared" si="7"/>
        <v>3000000</v>
      </c>
      <c r="Y82" s="1341">
        <f t="shared" si="7"/>
        <v>3100000</v>
      </c>
      <c r="Z82" s="1341">
        <f t="shared" si="7"/>
        <v>3100000</v>
      </c>
      <c r="AA82" s="1341">
        <f t="shared" si="7"/>
        <v>2899999.9999999995</v>
      </c>
      <c r="AB82" s="1341">
        <f t="shared" si="7"/>
        <v>3100000</v>
      </c>
      <c r="AC82" s="1341">
        <f t="shared" si="7"/>
        <v>3000000</v>
      </c>
      <c r="AD82" s="1341">
        <f t="shared" si="7"/>
        <v>3100000</v>
      </c>
      <c r="AE82" s="1341">
        <f t="shared" si="7"/>
        <v>3000000</v>
      </c>
      <c r="AF82" s="1341">
        <f t="shared" si="7"/>
        <v>3100000</v>
      </c>
      <c r="AG82" s="1341">
        <f t="shared" si="7"/>
        <v>3100000</v>
      </c>
      <c r="AH82" s="1341"/>
      <c r="AI82" s="1341"/>
      <c r="AJ82" s="1341"/>
      <c r="AK82" s="1341"/>
    </row>
    <row r="83" spans="1:37" s="1343" customFormat="1">
      <c r="A83" s="1334" t="s">
        <v>3649</v>
      </c>
      <c r="B83" s="1351">
        <f t="shared" si="3"/>
        <v>90</v>
      </c>
      <c r="C83" s="1335" t="s">
        <v>3557</v>
      </c>
      <c r="D83" s="1358" t="s">
        <v>3652</v>
      </c>
      <c r="E83" s="1337">
        <v>7.2999999999999995E-2</v>
      </c>
      <c r="F83" s="1334">
        <v>12</v>
      </c>
      <c r="G83" s="1338">
        <v>500000000</v>
      </c>
      <c r="H83" s="1339">
        <v>45188</v>
      </c>
      <c r="I83" s="1338"/>
      <c r="J83" s="1003"/>
      <c r="K83" s="1339">
        <v>45554</v>
      </c>
      <c r="L83" s="1348" t="s">
        <v>3571</v>
      </c>
      <c r="M83" s="1339"/>
      <c r="N83" s="1341"/>
      <c r="O83" s="1349"/>
      <c r="P83" s="1350"/>
      <c r="R83" s="1341"/>
      <c r="S83" s="1341"/>
      <c r="T83" s="1341"/>
      <c r="V83" s="1341">
        <f t="shared" si="7"/>
        <v>1100000</v>
      </c>
      <c r="W83" s="1341">
        <f t="shared" si="7"/>
        <v>3100000</v>
      </c>
      <c r="X83" s="1341">
        <f t="shared" si="7"/>
        <v>3000000</v>
      </c>
      <c r="Y83" s="1341">
        <f t="shared" si="7"/>
        <v>3100000</v>
      </c>
      <c r="Z83" s="1341">
        <f t="shared" si="7"/>
        <v>3100000</v>
      </c>
      <c r="AA83" s="1341">
        <f t="shared" si="7"/>
        <v>2899999.9999999995</v>
      </c>
      <c r="AB83" s="1341">
        <f t="shared" si="7"/>
        <v>3100000</v>
      </c>
      <c r="AC83" s="1341">
        <f t="shared" si="7"/>
        <v>3000000</v>
      </c>
      <c r="AD83" s="1341">
        <f t="shared" si="7"/>
        <v>3100000</v>
      </c>
      <c r="AE83" s="1341">
        <f t="shared" si="7"/>
        <v>3000000</v>
      </c>
      <c r="AF83" s="1341">
        <f t="shared" si="7"/>
        <v>3100000</v>
      </c>
      <c r="AG83" s="1341">
        <f t="shared" si="7"/>
        <v>3100000</v>
      </c>
      <c r="AH83" s="1341"/>
      <c r="AI83" s="1341"/>
      <c r="AJ83" s="1341"/>
      <c r="AK83" s="1341"/>
    </row>
    <row r="84" spans="1:37" s="1343" customFormat="1">
      <c r="A84" s="1334" t="s">
        <v>3649</v>
      </c>
      <c r="B84" s="1351">
        <f t="shared" si="3"/>
        <v>91</v>
      </c>
      <c r="C84" s="1335" t="s">
        <v>3557</v>
      </c>
      <c r="D84" s="1358" t="s">
        <v>3653</v>
      </c>
      <c r="E84" s="1337">
        <v>7.2999999999999995E-2</v>
      </c>
      <c r="F84" s="1334">
        <v>12</v>
      </c>
      <c r="G84" s="1338">
        <v>500000000</v>
      </c>
      <c r="H84" s="1339">
        <v>45188</v>
      </c>
      <c r="I84" s="1338"/>
      <c r="J84" s="1003"/>
      <c r="K84" s="1339">
        <v>45554</v>
      </c>
      <c r="L84" s="1348" t="s">
        <v>3571</v>
      </c>
      <c r="M84" s="1339"/>
      <c r="N84" s="1341"/>
      <c r="O84" s="1349"/>
      <c r="P84" s="1350"/>
      <c r="R84" s="1341"/>
      <c r="S84" s="1341"/>
      <c r="T84" s="1341"/>
      <c r="V84" s="1341">
        <f t="shared" si="7"/>
        <v>1100000</v>
      </c>
      <c r="W84" s="1341">
        <f t="shared" si="7"/>
        <v>3100000</v>
      </c>
      <c r="X84" s="1341">
        <f t="shared" si="7"/>
        <v>3000000</v>
      </c>
      <c r="Y84" s="1341">
        <f t="shared" si="7"/>
        <v>3100000</v>
      </c>
      <c r="Z84" s="1341">
        <f t="shared" si="7"/>
        <v>3100000</v>
      </c>
      <c r="AA84" s="1341">
        <f t="shared" si="7"/>
        <v>2899999.9999999995</v>
      </c>
      <c r="AB84" s="1341">
        <f t="shared" si="7"/>
        <v>3100000</v>
      </c>
      <c r="AC84" s="1341">
        <f t="shared" si="7"/>
        <v>3000000</v>
      </c>
      <c r="AD84" s="1341">
        <f t="shared" si="7"/>
        <v>3100000</v>
      </c>
      <c r="AE84" s="1341">
        <f t="shared" si="7"/>
        <v>3000000</v>
      </c>
      <c r="AF84" s="1341">
        <f t="shared" si="7"/>
        <v>3100000</v>
      </c>
      <c r="AG84" s="1341">
        <f t="shared" si="7"/>
        <v>3100000</v>
      </c>
      <c r="AH84" s="1341"/>
      <c r="AI84" s="1341"/>
      <c r="AJ84" s="1341"/>
      <c r="AK84" s="1341"/>
    </row>
    <row r="85" spans="1:37" s="1343" customFormat="1">
      <c r="A85" s="1334" t="s">
        <v>3649</v>
      </c>
      <c r="B85" s="1351">
        <f t="shared" si="3"/>
        <v>92</v>
      </c>
      <c r="C85" s="1335" t="s">
        <v>3557</v>
      </c>
      <c r="D85" s="1358" t="s">
        <v>3654</v>
      </c>
      <c r="E85" s="1337">
        <v>7.2999999999999995E-2</v>
      </c>
      <c r="F85" s="1334">
        <v>12</v>
      </c>
      <c r="G85" s="1338">
        <v>500000000</v>
      </c>
      <c r="H85" s="1339">
        <v>45188</v>
      </c>
      <c r="I85" s="1338"/>
      <c r="J85" s="1003"/>
      <c r="K85" s="1339">
        <v>45554</v>
      </c>
      <c r="L85" s="1348" t="s">
        <v>3571</v>
      </c>
      <c r="M85" s="1339"/>
      <c r="N85" s="1341"/>
      <c r="O85" s="1349"/>
      <c r="P85" s="1350"/>
      <c r="R85" s="1341"/>
      <c r="S85" s="1341"/>
      <c r="T85" s="1341"/>
      <c r="V85" s="1341">
        <f t="shared" si="7"/>
        <v>1100000</v>
      </c>
      <c r="W85" s="1341">
        <f t="shared" si="7"/>
        <v>3100000</v>
      </c>
      <c r="X85" s="1341">
        <f t="shared" si="7"/>
        <v>3000000</v>
      </c>
      <c r="Y85" s="1341">
        <f t="shared" si="7"/>
        <v>3100000</v>
      </c>
      <c r="Z85" s="1341">
        <f t="shared" si="7"/>
        <v>3100000</v>
      </c>
      <c r="AA85" s="1341">
        <f t="shared" si="7"/>
        <v>2899999.9999999995</v>
      </c>
      <c r="AB85" s="1341">
        <f t="shared" si="7"/>
        <v>3100000</v>
      </c>
      <c r="AC85" s="1341">
        <f t="shared" si="7"/>
        <v>3000000</v>
      </c>
      <c r="AD85" s="1341">
        <f t="shared" si="7"/>
        <v>3100000</v>
      </c>
      <c r="AE85" s="1341">
        <f t="shared" si="7"/>
        <v>3000000</v>
      </c>
      <c r="AF85" s="1341">
        <f t="shared" si="7"/>
        <v>3100000</v>
      </c>
      <c r="AG85" s="1341">
        <f t="shared" si="7"/>
        <v>3100000</v>
      </c>
      <c r="AH85" s="1341"/>
      <c r="AI85" s="1341"/>
      <c r="AJ85" s="1341"/>
      <c r="AK85" s="1341"/>
    </row>
    <row r="86" spans="1:37" s="1343" customFormat="1">
      <c r="A86" s="1334" t="s">
        <v>3649</v>
      </c>
      <c r="B86" s="1351">
        <f t="shared" si="3"/>
        <v>93</v>
      </c>
      <c r="C86" s="1335" t="s">
        <v>3557</v>
      </c>
      <c r="D86" s="1358" t="s">
        <v>3655</v>
      </c>
      <c r="E86" s="1337">
        <v>7.2999999999999995E-2</v>
      </c>
      <c r="F86" s="1334">
        <v>12</v>
      </c>
      <c r="G86" s="1338">
        <v>500000000</v>
      </c>
      <c r="H86" s="1339">
        <v>45188</v>
      </c>
      <c r="I86" s="1338"/>
      <c r="J86" s="1003"/>
      <c r="K86" s="1339">
        <v>45554</v>
      </c>
      <c r="L86" s="1348" t="s">
        <v>3571</v>
      </c>
      <c r="M86" s="1339"/>
      <c r="N86" s="1341"/>
      <c r="O86" s="1349"/>
      <c r="P86" s="1350"/>
      <c r="R86" s="1341"/>
      <c r="S86" s="1341"/>
      <c r="T86" s="1341"/>
      <c r="V86" s="1341">
        <f t="shared" si="7"/>
        <v>1100000</v>
      </c>
      <c r="W86" s="1341">
        <f t="shared" si="7"/>
        <v>3100000</v>
      </c>
      <c r="X86" s="1341">
        <f t="shared" si="7"/>
        <v>3000000</v>
      </c>
      <c r="Y86" s="1341">
        <f t="shared" si="7"/>
        <v>3100000</v>
      </c>
      <c r="Z86" s="1341">
        <f t="shared" si="7"/>
        <v>3100000</v>
      </c>
      <c r="AA86" s="1341">
        <f t="shared" si="7"/>
        <v>2899999.9999999995</v>
      </c>
      <c r="AB86" s="1341">
        <f t="shared" si="7"/>
        <v>3100000</v>
      </c>
      <c r="AC86" s="1341">
        <f t="shared" si="7"/>
        <v>3000000</v>
      </c>
      <c r="AD86" s="1341">
        <f t="shared" si="7"/>
        <v>3100000</v>
      </c>
      <c r="AE86" s="1341">
        <f t="shared" si="7"/>
        <v>3000000</v>
      </c>
      <c r="AF86" s="1341">
        <f t="shared" si="7"/>
        <v>3100000</v>
      </c>
      <c r="AG86" s="1341">
        <f t="shared" si="7"/>
        <v>3100000</v>
      </c>
      <c r="AH86" s="1341"/>
      <c r="AI86" s="1341"/>
      <c r="AJ86" s="1341"/>
      <c r="AK86" s="1341"/>
    </row>
    <row r="87" spans="1:37" s="1343" customFormat="1">
      <c r="A87" s="1334" t="s">
        <v>3649</v>
      </c>
      <c r="B87" s="1351">
        <f t="shared" si="3"/>
        <v>94</v>
      </c>
      <c r="C87" s="1335" t="s">
        <v>3557</v>
      </c>
      <c r="D87" s="1358" t="s">
        <v>3656</v>
      </c>
      <c r="E87" s="1337">
        <v>7.2999999999999995E-2</v>
      </c>
      <c r="F87" s="1334">
        <v>12</v>
      </c>
      <c r="G87" s="1338">
        <v>200000000</v>
      </c>
      <c r="H87" s="1339">
        <v>45188</v>
      </c>
      <c r="I87" s="1338"/>
      <c r="J87" s="1003"/>
      <c r="K87" s="1339">
        <v>45554</v>
      </c>
      <c r="L87" s="1348" t="s">
        <v>3571</v>
      </c>
      <c r="M87" s="1339"/>
      <c r="N87" s="1341"/>
      <c r="O87" s="1349"/>
      <c r="P87" s="1350"/>
      <c r="R87" s="1341"/>
      <c r="S87" s="1341"/>
      <c r="T87" s="1341"/>
      <c r="V87" s="1341">
        <f t="shared" si="7"/>
        <v>440000</v>
      </c>
      <c r="W87" s="1341">
        <f t="shared" si="7"/>
        <v>1240000</v>
      </c>
      <c r="X87" s="1341">
        <f t="shared" si="7"/>
        <v>1200000</v>
      </c>
      <c r="Y87" s="1341">
        <f t="shared" si="7"/>
        <v>1240000</v>
      </c>
      <c r="Z87" s="1341">
        <f t="shared" si="7"/>
        <v>1240000</v>
      </c>
      <c r="AA87" s="1341">
        <f t="shared" si="7"/>
        <v>1160000</v>
      </c>
      <c r="AB87" s="1341">
        <f t="shared" si="7"/>
        <v>1240000</v>
      </c>
      <c r="AC87" s="1341">
        <f t="shared" si="7"/>
        <v>1200000</v>
      </c>
      <c r="AD87" s="1341">
        <f t="shared" si="7"/>
        <v>1240000</v>
      </c>
      <c r="AE87" s="1341">
        <f t="shared" si="7"/>
        <v>1200000</v>
      </c>
      <c r="AF87" s="1341">
        <f t="shared" si="7"/>
        <v>1240000</v>
      </c>
      <c r="AG87" s="1341">
        <f t="shared" si="7"/>
        <v>1240000</v>
      </c>
      <c r="AH87" s="1341"/>
      <c r="AI87" s="1341"/>
      <c r="AJ87" s="1341"/>
      <c r="AK87" s="1341"/>
    </row>
    <row r="88" spans="1:37" s="1343" customFormat="1">
      <c r="A88" s="1334" t="s">
        <v>1455</v>
      </c>
      <c r="B88" s="1351">
        <f t="shared" si="3"/>
        <v>95</v>
      </c>
      <c r="C88" s="1335" t="s">
        <v>3557</v>
      </c>
      <c r="D88" s="1359" t="s">
        <v>3657</v>
      </c>
      <c r="E88" s="1337">
        <v>8.7999999999999995E-2</v>
      </c>
      <c r="F88" s="1334">
        <f>346/30</f>
        <v>11.533333333333333</v>
      </c>
      <c r="G88" s="1338">
        <v>20000000000</v>
      </c>
      <c r="H88" s="1339">
        <v>45218</v>
      </c>
      <c r="I88" s="1338"/>
      <c r="J88" s="1003"/>
      <c r="K88" s="1339">
        <v>45532</v>
      </c>
      <c r="L88" s="1348" t="s">
        <v>3571</v>
      </c>
      <c r="M88" s="1339"/>
      <c r="N88" s="1341"/>
      <c r="O88" s="1349"/>
      <c r="P88" s="1350"/>
      <c r="R88" s="1341"/>
      <c r="S88" s="1341"/>
      <c r="T88" s="1341"/>
      <c r="V88" s="1341"/>
      <c r="W88" s="1341">
        <f t="shared" si="7"/>
        <v>57863013.698630139</v>
      </c>
      <c r="X88" s="1341">
        <f t="shared" si="7"/>
        <v>144657534.24657536</v>
      </c>
      <c r="Y88" s="1341">
        <f t="shared" si="7"/>
        <v>149479452.05479452</v>
      </c>
      <c r="Z88" s="1341">
        <f t="shared" si="7"/>
        <v>149479452.05479452</v>
      </c>
      <c r="AA88" s="1341">
        <f t="shared" si="7"/>
        <v>139835616.43835616</v>
      </c>
      <c r="AB88" s="1341">
        <f t="shared" si="7"/>
        <v>149479452.05479452</v>
      </c>
      <c r="AC88" s="1341">
        <f t="shared" si="7"/>
        <v>144657534.24657536</v>
      </c>
      <c r="AD88" s="1341">
        <f t="shared" si="7"/>
        <v>149479452.05479452</v>
      </c>
      <c r="AE88" s="1341">
        <f t="shared" si="7"/>
        <v>144657534.24657536</v>
      </c>
      <c r="AF88" s="1341">
        <f t="shared" si="7"/>
        <v>149479452.05479452</v>
      </c>
      <c r="AG88" s="1341"/>
      <c r="AH88" s="1341"/>
      <c r="AI88" s="1341"/>
      <c r="AJ88" s="1341"/>
      <c r="AK88" s="1341"/>
    </row>
    <row r="89" spans="1:37" s="1343" customFormat="1">
      <c r="A89" s="1334" t="s">
        <v>1455</v>
      </c>
      <c r="B89" s="1351">
        <f t="shared" si="3"/>
        <v>96</v>
      </c>
      <c r="C89" s="1335" t="s">
        <v>3557</v>
      </c>
      <c r="D89" s="1359" t="s">
        <v>3658</v>
      </c>
      <c r="E89" s="1337">
        <v>8.7999999999999995E-2</v>
      </c>
      <c r="F89" s="1334">
        <f>346/30</f>
        <v>11.533333333333333</v>
      </c>
      <c r="G89" s="1338">
        <v>30000000000</v>
      </c>
      <c r="H89" s="1339">
        <v>45218</v>
      </c>
      <c r="I89" s="1338"/>
      <c r="J89" s="1003"/>
      <c r="K89" s="1339">
        <v>45532</v>
      </c>
      <c r="L89" s="1348" t="s">
        <v>3571</v>
      </c>
      <c r="M89" s="1339"/>
      <c r="N89" s="1341"/>
      <c r="O89" s="1349"/>
      <c r="P89" s="1350"/>
      <c r="R89" s="1341"/>
      <c r="S89" s="1341"/>
      <c r="T89" s="1341"/>
      <c r="V89" s="1341"/>
      <c r="W89" s="1341">
        <f t="shared" si="7"/>
        <v>86794520.547945201</v>
      </c>
      <c r="X89" s="1341">
        <f t="shared" si="7"/>
        <v>216986301.369863</v>
      </c>
      <c r="Y89" s="1341">
        <f t="shared" si="7"/>
        <v>224219178.0821918</v>
      </c>
      <c r="Z89" s="1341">
        <f t="shared" si="7"/>
        <v>224219178.0821918</v>
      </c>
      <c r="AA89" s="1341">
        <f t="shared" si="7"/>
        <v>209753424.65753424</v>
      </c>
      <c r="AB89" s="1341">
        <f t="shared" si="7"/>
        <v>224219178.0821918</v>
      </c>
      <c r="AC89" s="1341">
        <f t="shared" si="7"/>
        <v>216986301.369863</v>
      </c>
      <c r="AD89" s="1341">
        <f t="shared" si="7"/>
        <v>224219178.0821918</v>
      </c>
      <c r="AE89" s="1341">
        <f t="shared" si="7"/>
        <v>216986301.369863</v>
      </c>
      <c r="AF89" s="1341">
        <f t="shared" si="7"/>
        <v>224219178.0821918</v>
      </c>
      <c r="AG89" s="1341"/>
      <c r="AH89" s="1341"/>
      <c r="AI89" s="1341"/>
      <c r="AJ89" s="1341"/>
      <c r="AK89" s="1341"/>
    </row>
    <row r="90" spans="1:37" s="1343" customFormat="1">
      <c r="A90" s="1334" t="s">
        <v>3649</v>
      </c>
      <c r="B90" s="1351">
        <f>B87+1</f>
        <v>95</v>
      </c>
      <c r="C90" s="1335" t="s">
        <v>3557</v>
      </c>
      <c r="D90" s="1359" t="s">
        <v>3659</v>
      </c>
      <c r="E90" s="1337">
        <v>7.2999999999999995E-2</v>
      </c>
      <c r="F90" s="1334">
        <f>(K90-H90)/30</f>
        <v>10.3</v>
      </c>
      <c r="G90" s="1338">
        <v>2000000000</v>
      </c>
      <c r="H90" s="1339">
        <v>45224</v>
      </c>
      <c r="I90" s="1338"/>
      <c r="J90" s="1003"/>
      <c r="K90" s="1339">
        <v>45533</v>
      </c>
      <c r="L90" s="1348" t="s">
        <v>3571</v>
      </c>
      <c r="M90" s="1339"/>
      <c r="N90" s="1341"/>
      <c r="O90" s="1349"/>
      <c r="P90" s="1350"/>
      <c r="R90" s="1341"/>
      <c r="S90" s="1341"/>
      <c r="T90" s="1341"/>
      <c r="V90" s="1341"/>
      <c r="W90" s="1341">
        <f t="shared" si="7"/>
        <v>2400000</v>
      </c>
      <c r="X90" s="1341">
        <f t="shared" si="7"/>
        <v>12000000</v>
      </c>
      <c r="Y90" s="1341">
        <f t="shared" si="7"/>
        <v>12400000</v>
      </c>
      <c r="Z90" s="1341">
        <f t="shared" si="7"/>
        <v>12400000</v>
      </c>
      <c r="AA90" s="1341">
        <f t="shared" si="7"/>
        <v>11599999.999999998</v>
      </c>
      <c r="AB90" s="1341">
        <f t="shared" si="7"/>
        <v>12400000</v>
      </c>
      <c r="AC90" s="1341">
        <f t="shared" si="7"/>
        <v>12000000</v>
      </c>
      <c r="AD90" s="1341">
        <f t="shared" si="7"/>
        <v>12400000</v>
      </c>
      <c r="AE90" s="1341">
        <f t="shared" si="7"/>
        <v>12000000</v>
      </c>
      <c r="AF90" s="1341">
        <f t="shared" si="7"/>
        <v>12400000</v>
      </c>
      <c r="AG90" s="1341">
        <f t="shared" si="7"/>
        <v>12400000</v>
      </c>
      <c r="AH90" s="1341"/>
      <c r="AI90" s="1341"/>
      <c r="AJ90" s="1341"/>
      <c r="AK90" s="1341"/>
    </row>
    <row r="91" spans="1:37" s="1343" customFormat="1">
      <c r="A91" s="1334" t="s">
        <v>3649</v>
      </c>
      <c r="B91" s="1351">
        <f>B90+1</f>
        <v>96</v>
      </c>
      <c r="C91" s="1335" t="s">
        <v>3557</v>
      </c>
      <c r="D91" s="1359" t="s">
        <v>3660</v>
      </c>
      <c r="E91" s="1337">
        <v>7.2999999999999995E-2</v>
      </c>
      <c r="F91" s="1334">
        <f t="shared" ref="F91:F98" si="8">(K91-H91)/30</f>
        <v>10.3</v>
      </c>
      <c r="G91" s="1338">
        <v>1000000000</v>
      </c>
      <c r="H91" s="1339">
        <v>45224</v>
      </c>
      <c r="I91" s="1338"/>
      <c r="J91" s="1003"/>
      <c r="K91" s="1339">
        <v>45533</v>
      </c>
      <c r="L91" s="1348" t="s">
        <v>3571</v>
      </c>
      <c r="M91" s="1339"/>
      <c r="N91" s="1341"/>
      <c r="O91" s="1349"/>
      <c r="P91" s="1350"/>
      <c r="R91" s="1341"/>
      <c r="S91" s="1341"/>
      <c r="T91" s="1341"/>
      <c r="V91" s="1341"/>
      <c r="W91" s="1341">
        <f t="shared" si="7"/>
        <v>1200000</v>
      </c>
      <c r="X91" s="1341">
        <f t="shared" si="7"/>
        <v>6000000</v>
      </c>
      <c r="Y91" s="1341">
        <f t="shared" si="7"/>
        <v>6200000</v>
      </c>
      <c r="Z91" s="1341">
        <f t="shared" si="7"/>
        <v>6200000</v>
      </c>
      <c r="AA91" s="1341">
        <f t="shared" si="7"/>
        <v>5799999.9999999991</v>
      </c>
      <c r="AB91" s="1341">
        <f t="shared" si="7"/>
        <v>6200000</v>
      </c>
      <c r="AC91" s="1341">
        <f t="shared" si="7"/>
        <v>6000000</v>
      </c>
      <c r="AD91" s="1341">
        <f t="shared" si="7"/>
        <v>6200000</v>
      </c>
      <c r="AE91" s="1341">
        <f t="shared" si="7"/>
        <v>6000000</v>
      </c>
      <c r="AF91" s="1341">
        <f t="shared" si="7"/>
        <v>6200000</v>
      </c>
      <c r="AG91" s="1341">
        <f t="shared" si="7"/>
        <v>6200000</v>
      </c>
      <c r="AH91" s="1341"/>
      <c r="AI91" s="1341"/>
      <c r="AJ91" s="1341"/>
      <c r="AK91" s="1341"/>
    </row>
    <row r="92" spans="1:37" s="1343" customFormat="1">
      <c r="A92" s="1334" t="s">
        <v>3649</v>
      </c>
      <c r="B92" s="1351">
        <f>B91+1</f>
        <v>97</v>
      </c>
      <c r="C92" s="1335" t="s">
        <v>3557</v>
      </c>
      <c r="D92" s="1359" t="s">
        <v>3661</v>
      </c>
      <c r="E92" s="1337">
        <v>7.2999999999999995E-2</v>
      </c>
      <c r="F92" s="1334">
        <f t="shared" si="8"/>
        <v>10.3</v>
      </c>
      <c r="G92" s="1338">
        <v>1000000000</v>
      </c>
      <c r="H92" s="1339">
        <v>45224</v>
      </c>
      <c r="I92" s="1338"/>
      <c r="J92" s="1003"/>
      <c r="K92" s="1339">
        <v>45533</v>
      </c>
      <c r="L92" s="1348" t="s">
        <v>3571</v>
      </c>
      <c r="M92" s="1339"/>
      <c r="N92" s="1341"/>
      <c r="O92" s="1349"/>
      <c r="P92" s="1350"/>
      <c r="R92" s="1341"/>
      <c r="S92" s="1341"/>
      <c r="T92" s="1341"/>
      <c r="V92" s="1341"/>
      <c r="W92" s="1341">
        <f t="shared" si="7"/>
        <v>1200000</v>
      </c>
      <c r="X92" s="1341">
        <f t="shared" si="7"/>
        <v>6000000</v>
      </c>
      <c r="Y92" s="1341">
        <f t="shared" si="7"/>
        <v>6200000</v>
      </c>
      <c r="Z92" s="1341">
        <f t="shared" si="7"/>
        <v>6200000</v>
      </c>
      <c r="AA92" s="1341">
        <f t="shared" si="7"/>
        <v>5799999.9999999991</v>
      </c>
      <c r="AB92" s="1341">
        <f t="shared" si="7"/>
        <v>6200000</v>
      </c>
      <c r="AC92" s="1341">
        <f t="shared" si="7"/>
        <v>6000000</v>
      </c>
      <c r="AD92" s="1341">
        <f t="shared" si="7"/>
        <v>6200000</v>
      </c>
      <c r="AE92" s="1341">
        <f t="shared" si="7"/>
        <v>6000000</v>
      </c>
      <c r="AF92" s="1341">
        <f t="shared" si="7"/>
        <v>6200000</v>
      </c>
      <c r="AG92" s="1341">
        <f t="shared" si="7"/>
        <v>6200000</v>
      </c>
      <c r="AH92" s="1341"/>
      <c r="AI92" s="1341"/>
      <c r="AJ92" s="1341"/>
      <c r="AK92" s="1341"/>
    </row>
    <row r="93" spans="1:37" s="1343" customFormat="1">
      <c r="A93" s="1334" t="s">
        <v>3649</v>
      </c>
      <c r="B93" s="1351">
        <f>B92+1</f>
        <v>98</v>
      </c>
      <c r="C93" s="1335" t="s">
        <v>3557</v>
      </c>
      <c r="D93" s="1359" t="s">
        <v>3662</v>
      </c>
      <c r="E93" s="1337">
        <v>7.2999999999999995E-2</v>
      </c>
      <c r="F93" s="1334">
        <f t="shared" si="8"/>
        <v>10.3</v>
      </c>
      <c r="G93" s="1338">
        <v>1000000000</v>
      </c>
      <c r="H93" s="1339">
        <v>45224</v>
      </c>
      <c r="I93" s="1338"/>
      <c r="J93" s="1003"/>
      <c r="K93" s="1339">
        <v>45533</v>
      </c>
      <c r="L93" s="1348" t="s">
        <v>3571</v>
      </c>
      <c r="M93" s="1339"/>
      <c r="N93" s="1341"/>
      <c r="O93" s="1349"/>
      <c r="P93" s="1350"/>
      <c r="R93" s="1341"/>
      <c r="S93" s="1341"/>
      <c r="T93" s="1341"/>
      <c r="V93" s="1341"/>
      <c r="W93" s="1341">
        <f t="shared" si="7"/>
        <v>1200000</v>
      </c>
      <c r="X93" s="1341">
        <f t="shared" si="7"/>
        <v>6000000</v>
      </c>
      <c r="Y93" s="1341">
        <f t="shared" si="7"/>
        <v>6200000</v>
      </c>
      <c r="Z93" s="1341">
        <f t="shared" si="7"/>
        <v>6200000</v>
      </c>
      <c r="AA93" s="1341">
        <f t="shared" si="7"/>
        <v>5799999.9999999991</v>
      </c>
      <c r="AB93" s="1341">
        <f t="shared" si="7"/>
        <v>6200000</v>
      </c>
      <c r="AC93" s="1341">
        <f t="shared" si="7"/>
        <v>6000000</v>
      </c>
      <c r="AD93" s="1341">
        <f t="shared" si="7"/>
        <v>6200000</v>
      </c>
      <c r="AE93" s="1341">
        <f t="shared" si="7"/>
        <v>6000000</v>
      </c>
      <c r="AF93" s="1341">
        <f t="shared" si="7"/>
        <v>6200000</v>
      </c>
      <c r="AG93" s="1341">
        <f t="shared" si="7"/>
        <v>6200000</v>
      </c>
      <c r="AH93" s="1341"/>
      <c r="AI93" s="1341"/>
      <c r="AJ93" s="1341"/>
      <c r="AK93" s="1341"/>
    </row>
    <row r="94" spans="1:37" s="1343" customFormat="1">
      <c r="A94" s="1334" t="s">
        <v>3649</v>
      </c>
      <c r="B94" s="1334">
        <f>B93+1</f>
        <v>99</v>
      </c>
      <c r="C94" s="1335" t="s">
        <v>3557</v>
      </c>
      <c r="D94" s="1358" t="s">
        <v>3663</v>
      </c>
      <c r="E94" s="1337">
        <v>7.0000000000000007E-2</v>
      </c>
      <c r="F94" s="1334">
        <f t="shared" si="8"/>
        <v>4.2333333333333334</v>
      </c>
      <c r="G94" s="1338">
        <v>2000000000</v>
      </c>
      <c r="H94" s="1339">
        <v>45224</v>
      </c>
      <c r="I94" s="1338"/>
      <c r="J94" s="1003"/>
      <c r="K94" s="1339">
        <v>45351</v>
      </c>
      <c r="L94" s="1348" t="s">
        <v>3571</v>
      </c>
      <c r="M94" s="1339"/>
      <c r="N94" s="1341"/>
      <c r="O94" s="1349"/>
      <c r="P94" s="1350"/>
      <c r="R94" s="1341"/>
      <c r="S94" s="1341"/>
      <c r="T94" s="1341"/>
      <c r="V94" s="1341"/>
      <c r="W94" s="1341">
        <f t="shared" si="7"/>
        <v>2301369.8630136992</v>
      </c>
      <c r="X94" s="1341">
        <f t="shared" si="7"/>
        <v>11506849.315068495</v>
      </c>
      <c r="Y94" s="1341">
        <f t="shared" si="7"/>
        <v>11890410.95890411</v>
      </c>
      <c r="Z94" s="1341">
        <f t="shared" si="7"/>
        <v>11890410.95890411</v>
      </c>
      <c r="AA94" s="1341"/>
      <c r="AB94" s="1341"/>
      <c r="AC94" s="1341"/>
      <c r="AD94" s="1341"/>
      <c r="AE94" s="1341"/>
      <c r="AF94" s="1341"/>
      <c r="AG94" s="1341"/>
      <c r="AH94" s="1341"/>
      <c r="AI94" s="1341"/>
      <c r="AJ94" s="1341"/>
      <c r="AK94" s="1341"/>
    </row>
    <row r="95" spans="1:37" s="1343" customFormat="1">
      <c r="A95" s="1334" t="s">
        <v>3649</v>
      </c>
      <c r="B95" s="1334">
        <f>B94+1</f>
        <v>100</v>
      </c>
      <c r="C95" s="1335" t="s">
        <v>3557</v>
      </c>
      <c r="D95" s="1358" t="s">
        <v>3664</v>
      </c>
      <c r="E95" s="1337">
        <v>7.0000000000000007E-2</v>
      </c>
      <c r="F95" s="1334">
        <f t="shared" si="8"/>
        <v>4.2333333333333334</v>
      </c>
      <c r="G95" s="1338">
        <v>1000000000</v>
      </c>
      <c r="H95" s="1339">
        <v>45224</v>
      </c>
      <c r="I95" s="1338"/>
      <c r="J95" s="1003"/>
      <c r="K95" s="1339">
        <v>45351</v>
      </c>
      <c r="L95" s="1348" t="s">
        <v>3571</v>
      </c>
      <c r="M95" s="1339"/>
      <c r="N95" s="1341"/>
      <c r="O95" s="1349"/>
      <c r="P95" s="1350"/>
      <c r="R95" s="1341"/>
      <c r="S95" s="1341"/>
      <c r="T95" s="1341"/>
      <c r="V95" s="1341"/>
      <c r="W95" s="1341">
        <f t="shared" si="7"/>
        <v>1150684.9315068496</v>
      </c>
      <c r="X95" s="1341">
        <f t="shared" si="7"/>
        <v>5753424.6575342473</v>
      </c>
      <c r="Y95" s="1341">
        <f t="shared" si="7"/>
        <v>5945205.4794520549</v>
      </c>
      <c r="Z95" s="1341">
        <f t="shared" si="7"/>
        <v>5945205.4794520549</v>
      </c>
      <c r="AA95" s="1341"/>
      <c r="AB95" s="1341"/>
      <c r="AC95" s="1341"/>
      <c r="AD95" s="1341"/>
      <c r="AE95" s="1341"/>
      <c r="AF95" s="1341"/>
      <c r="AG95" s="1341"/>
      <c r="AH95" s="1341"/>
      <c r="AI95" s="1341"/>
      <c r="AJ95" s="1341"/>
      <c r="AK95" s="1341"/>
    </row>
    <row r="96" spans="1:37" s="1343" customFormat="1">
      <c r="A96" s="1334" t="s">
        <v>3649</v>
      </c>
      <c r="B96" s="1334">
        <f t="shared" ref="B96:B101" si="9">B95+1</f>
        <v>101</v>
      </c>
      <c r="C96" s="1335" t="s">
        <v>3557</v>
      </c>
      <c r="D96" s="1358" t="s">
        <v>3665</v>
      </c>
      <c r="E96" s="1337">
        <v>7.0000000000000007E-2</v>
      </c>
      <c r="F96" s="1334">
        <f t="shared" si="8"/>
        <v>4.2333333333333334</v>
      </c>
      <c r="G96" s="1338">
        <v>1000000000</v>
      </c>
      <c r="H96" s="1339">
        <v>45224</v>
      </c>
      <c r="I96" s="1338"/>
      <c r="J96" s="1003"/>
      <c r="K96" s="1339">
        <v>45351</v>
      </c>
      <c r="L96" s="1348" t="s">
        <v>3571</v>
      </c>
      <c r="M96" s="1339"/>
      <c r="N96" s="1341"/>
      <c r="O96" s="1349"/>
      <c r="P96" s="1350"/>
      <c r="R96" s="1341"/>
      <c r="S96" s="1341"/>
      <c r="T96" s="1341"/>
      <c r="V96" s="1341"/>
      <c r="W96" s="1341">
        <f t="shared" ref="W96:AF101" si="10">IF($H96&lt;V$2,(W$2-V$2)*$G96*$E96/365,(W$2-$H96)*$G96*$E96/365)</f>
        <v>1150684.9315068496</v>
      </c>
      <c r="X96" s="1341">
        <f t="shared" si="10"/>
        <v>5753424.6575342473</v>
      </c>
      <c r="Y96" s="1341">
        <f t="shared" si="10"/>
        <v>5945205.4794520549</v>
      </c>
      <c r="Z96" s="1341">
        <f t="shared" si="10"/>
        <v>5945205.4794520549</v>
      </c>
      <c r="AA96" s="1341"/>
      <c r="AB96" s="1341"/>
      <c r="AC96" s="1341"/>
      <c r="AD96" s="1341"/>
      <c r="AE96" s="1341"/>
      <c r="AF96" s="1341"/>
      <c r="AG96" s="1341"/>
      <c r="AH96" s="1341"/>
      <c r="AI96" s="1341"/>
      <c r="AJ96" s="1341"/>
      <c r="AK96" s="1341"/>
    </row>
    <row r="97" spans="1:37" s="1343" customFormat="1">
      <c r="A97" s="1334" t="s">
        <v>3649</v>
      </c>
      <c r="B97" s="1334">
        <f t="shared" si="9"/>
        <v>102</v>
      </c>
      <c r="C97" s="1335" t="s">
        <v>3557</v>
      </c>
      <c r="D97" s="1358" t="s">
        <v>3666</v>
      </c>
      <c r="E97" s="1337">
        <v>7.0000000000000007E-2</v>
      </c>
      <c r="F97" s="1334">
        <f t="shared" si="8"/>
        <v>4.2333333333333334</v>
      </c>
      <c r="G97" s="1338">
        <v>1000000000</v>
      </c>
      <c r="H97" s="1339">
        <v>45224</v>
      </c>
      <c r="I97" s="1338"/>
      <c r="J97" s="1003"/>
      <c r="K97" s="1339">
        <v>45351</v>
      </c>
      <c r="L97" s="1348" t="s">
        <v>3571</v>
      </c>
      <c r="M97" s="1339"/>
      <c r="N97" s="1341"/>
      <c r="O97" s="1349"/>
      <c r="P97" s="1350"/>
      <c r="R97" s="1341"/>
      <c r="S97" s="1341"/>
      <c r="T97" s="1341"/>
      <c r="V97" s="1341"/>
      <c r="W97" s="1341">
        <f t="shared" si="10"/>
        <v>1150684.9315068496</v>
      </c>
      <c r="X97" s="1341">
        <f t="shared" si="10"/>
        <v>5753424.6575342473</v>
      </c>
      <c r="Y97" s="1341">
        <f t="shared" si="10"/>
        <v>5945205.4794520549</v>
      </c>
      <c r="Z97" s="1341">
        <f t="shared" si="10"/>
        <v>5945205.4794520549</v>
      </c>
      <c r="AA97" s="1341"/>
      <c r="AB97" s="1341"/>
      <c r="AC97" s="1341"/>
      <c r="AD97" s="1341"/>
      <c r="AE97" s="1341"/>
      <c r="AF97" s="1341"/>
      <c r="AG97" s="1341"/>
      <c r="AH97" s="1341"/>
      <c r="AI97" s="1341"/>
      <c r="AJ97" s="1341"/>
      <c r="AK97" s="1341"/>
    </row>
    <row r="98" spans="1:37" s="1343" customFormat="1">
      <c r="A98" s="1334" t="s">
        <v>1455</v>
      </c>
      <c r="B98" s="1351">
        <f t="shared" si="9"/>
        <v>103</v>
      </c>
      <c r="C98" s="1335" t="s">
        <v>3613</v>
      </c>
      <c r="D98" s="1359" t="s">
        <v>3667</v>
      </c>
      <c r="E98" s="1337">
        <v>9.6000000000000002E-2</v>
      </c>
      <c r="F98" s="1334">
        <f t="shared" si="8"/>
        <v>10.133333333333333</v>
      </c>
      <c r="G98" s="1338">
        <v>50000000000</v>
      </c>
      <c r="H98" s="1339">
        <v>45219</v>
      </c>
      <c r="I98" s="1338"/>
      <c r="J98" s="1003"/>
      <c r="K98" s="1339">
        <v>45523</v>
      </c>
      <c r="L98" s="1348" t="s">
        <v>3571</v>
      </c>
      <c r="M98" s="1339"/>
      <c r="N98" s="1341"/>
      <c r="O98" s="1349"/>
      <c r="P98" s="1350"/>
      <c r="R98" s="1341"/>
      <c r="S98" s="1341"/>
      <c r="T98" s="1341"/>
      <c r="V98" s="1341"/>
      <c r="W98" s="1341">
        <f t="shared" si="10"/>
        <v>144657534.24657536</v>
      </c>
      <c r="X98" s="1341">
        <f t="shared" si="10"/>
        <v>394520547.94520545</v>
      </c>
      <c r="Y98" s="1341">
        <f t="shared" si="10"/>
        <v>407671232.87671232</v>
      </c>
      <c r="Z98" s="1341">
        <f t="shared" si="10"/>
        <v>407671232.87671232</v>
      </c>
      <c r="AA98" s="1341">
        <f t="shared" si="10"/>
        <v>381369863.01369864</v>
      </c>
      <c r="AB98" s="1341">
        <f t="shared" si="10"/>
        <v>407671232.87671232</v>
      </c>
      <c r="AC98" s="1341">
        <f t="shared" si="10"/>
        <v>394520547.94520545</v>
      </c>
      <c r="AD98" s="1341">
        <f t="shared" si="10"/>
        <v>407671232.87671232</v>
      </c>
      <c r="AE98" s="1341">
        <f t="shared" si="10"/>
        <v>394520547.94520545</v>
      </c>
      <c r="AF98" s="1341">
        <f t="shared" si="10"/>
        <v>407671232.87671232</v>
      </c>
      <c r="AG98" s="1341"/>
      <c r="AH98" s="1341"/>
      <c r="AI98" s="1341"/>
      <c r="AJ98" s="1341"/>
      <c r="AK98" s="1341"/>
    </row>
    <row r="99" spans="1:37" s="1343" customFormat="1">
      <c r="A99" s="1334" t="s">
        <v>3649</v>
      </c>
      <c r="B99" s="1334">
        <f t="shared" si="9"/>
        <v>104</v>
      </c>
      <c r="C99" s="1335" t="s">
        <v>3557</v>
      </c>
      <c r="D99" s="1358" t="s">
        <v>3668</v>
      </c>
      <c r="E99" s="1337">
        <v>3.95E-2</v>
      </c>
      <c r="F99" s="1334">
        <v>1</v>
      </c>
      <c r="G99" s="1338">
        <v>5000000000</v>
      </c>
      <c r="H99" s="1339">
        <v>45289</v>
      </c>
      <c r="I99" s="1338"/>
      <c r="J99" s="1340"/>
      <c r="K99" s="1339">
        <v>45320</v>
      </c>
      <c r="L99" s="1348" t="s">
        <v>3571</v>
      </c>
      <c r="M99" s="1339"/>
      <c r="N99" s="1341"/>
      <c r="O99" s="1349"/>
      <c r="P99" s="1350"/>
      <c r="R99" s="1341"/>
      <c r="S99" s="1341"/>
      <c r="T99" s="1341"/>
      <c r="V99" s="1341"/>
      <c r="W99" s="1341"/>
      <c r="X99" s="1341"/>
      <c r="Y99" s="1341">
        <f t="shared" si="10"/>
        <v>1082191.7808219178</v>
      </c>
      <c r="Z99" s="1341"/>
      <c r="AA99" s="1341"/>
      <c r="AB99" s="1341"/>
      <c r="AC99" s="1341"/>
      <c r="AD99" s="1341"/>
      <c r="AE99" s="1341"/>
      <c r="AF99" s="1341"/>
      <c r="AG99" s="1341"/>
      <c r="AH99" s="1341"/>
      <c r="AI99" s="1341"/>
      <c r="AJ99" s="1341"/>
      <c r="AK99" s="1341"/>
    </row>
    <row r="100" spans="1:37" s="1343" customFormat="1">
      <c r="A100" s="1334" t="s">
        <v>3649</v>
      </c>
      <c r="B100" s="1334">
        <f t="shared" si="9"/>
        <v>105</v>
      </c>
      <c r="C100" s="1335" t="s">
        <v>3557</v>
      </c>
      <c r="D100" s="1358" t="s">
        <v>3669</v>
      </c>
      <c r="E100" s="1337">
        <v>3.95E-2</v>
      </c>
      <c r="F100" s="1334">
        <v>1</v>
      </c>
      <c r="G100" s="1338">
        <v>5000000000</v>
      </c>
      <c r="H100" s="1339">
        <v>45289</v>
      </c>
      <c r="I100" s="1338"/>
      <c r="J100" s="1340"/>
      <c r="K100" s="1339">
        <v>45320</v>
      </c>
      <c r="L100" s="1348" t="s">
        <v>3571</v>
      </c>
      <c r="M100" s="1339"/>
      <c r="N100" s="1341"/>
      <c r="O100" s="1349"/>
      <c r="P100" s="1350"/>
      <c r="R100" s="1341"/>
      <c r="S100" s="1341"/>
      <c r="T100" s="1341"/>
      <c r="V100" s="1341"/>
      <c r="W100" s="1341"/>
      <c r="X100" s="1341"/>
      <c r="Y100" s="1341">
        <f t="shared" si="10"/>
        <v>1082191.7808219178</v>
      </c>
      <c r="Z100" s="1341"/>
      <c r="AA100" s="1341"/>
      <c r="AB100" s="1341"/>
      <c r="AC100" s="1341"/>
      <c r="AD100" s="1341"/>
      <c r="AE100" s="1341"/>
      <c r="AF100" s="1341"/>
      <c r="AG100" s="1341"/>
      <c r="AH100" s="1341"/>
      <c r="AI100" s="1341"/>
      <c r="AJ100" s="1341"/>
      <c r="AK100" s="1341"/>
    </row>
    <row r="101" spans="1:37" s="1343" customFormat="1">
      <c r="A101" s="1334" t="s">
        <v>3649</v>
      </c>
      <c r="B101" s="1334">
        <f t="shared" si="9"/>
        <v>106</v>
      </c>
      <c r="C101" s="1335" t="s">
        <v>3557</v>
      </c>
      <c r="D101" s="1358" t="s">
        <v>3670</v>
      </c>
      <c r="E101" s="1337">
        <v>3.95E-2</v>
      </c>
      <c r="F101" s="1334">
        <v>1</v>
      </c>
      <c r="G101" s="1338">
        <v>5000000000</v>
      </c>
      <c r="H101" s="1339">
        <v>45289</v>
      </c>
      <c r="I101" s="1338"/>
      <c r="J101" s="1340"/>
      <c r="K101" s="1339">
        <v>45320</v>
      </c>
      <c r="L101" s="1348" t="s">
        <v>3571</v>
      </c>
      <c r="M101" s="1339"/>
      <c r="N101" s="1341"/>
      <c r="O101" s="1349"/>
      <c r="P101" s="1350"/>
      <c r="R101" s="1341"/>
      <c r="S101" s="1341"/>
      <c r="T101" s="1341"/>
      <c r="V101" s="1341"/>
      <c r="W101" s="1341"/>
      <c r="X101" s="1341"/>
      <c r="Y101" s="1341">
        <f t="shared" si="10"/>
        <v>1082191.7808219178</v>
      </c>
      <c r="Z101" s="1341"/>
      <c r="AA101" s="1341"/>
      <c r="AB101" s="1341"/>
      <c r="AC101" s="1341"/>
      <c r="AD101" s="1341"/>
      <c r="AE101" s="1341"/>
      <c r="AF101" s="1341"/>
      <c r="AG101" s="1341"/>
      <c r="AH101" s="1341"/>
      <c r="AI101" s="1341"/>
      <c r="AJ101" s="1341"/>
      <c r="AK101" s="1341"/>
    </row>
    <row r="102" spans="1:37" s="1343" customFormat="1" ht="26.25">
      <c r="A102" s="1334" t="s">
        <v>1455</v>
      </c>
      <c r="B102" s="1334">
        <v>107</v>
      </c>
      <c r="C102" s="1335" t="s">
        <v>3566</v>
      </c>
      <c r="D102" s="1358" t="s">
        <v>3671</v>
      </c>
      <c r="E102" s="1337">
        <v>5.6000000000000001E-2</v>
      </c>
      <c r="F102" s="1334">
        <f>183/30</f>
        <v>6.1</v>
      </c>
      <c r="G102" s="1338">
        <v>25000000000</v>
      </c>
      <c r="H102" s="1339">
        <v>45303</v>
      </c>
      <c r="I102" s="1338"/>
      <c r="J102" s="1340"/>
      <c r="K102" s="1339">
        <v>45448</v>
      </c>
      <c r="L102" s="1348" t="s">
        <v>3672</v>
      </c>
      <c r="M102" s="1339"/>
      <c r="N102" s="1341"/>
      <c r="O102" s="1349"/>
      <c r="P102" s="1350"/>
      <c r="R102" s="1341"/>
      <c r="S102" s="1341"/>
      <c r="T102" s="1341"/>
      <c r="V102" s="1341"/>
      <c r="W102" s="1341"/>
      <c r="X102" s="1341"/>
      <c r="Y102" s="1341"/>
      <c r="Z102" s="1341">
        <f>IF($H102&lt;Y$2,(Z$2-Y$2)*$G102*$E102/365,(Z$2-$H102)*$G102*$E102/365)</f>
        <v>72876712.328767121</v>
      </c>
      <c r="AA102" s="1341">
        <f>IF($H102&lt;Z$2,(AA$2-Z$2)*$G102*$E102/365,(AA$2-$H102)*$G102*$E102/365)</f>
        <v>111232876.71232876</v>
      </c>
      <c r="AB102" s="1341">
        <f>IF($H102&lt;AA$2,(AB$2-AA$2)*$G102*$E102/365,(AB$2-$H102)*$G102*$E102/365)</f>
        <v>118904109.5890411</v>
      </c>
      <c r="AC102" s="1341"/>
      <c r="AD102" s="1341"/>
      <c r="AE102" s="1341"/>
      <c r="AF102" s="1341"/>
      <c r="AG102" s="1341"/>
      <c r="AH102" s="1341"/>
      <c r="AI102" s="1341"/>
      <c r="AJ102" s="1341"/>
      <c r="AK102" s="1341"/>
    </row>
    <row r="103" spans="1:37" s="1343" customFormat="1">
      <c r="A103" s="1334" t="s">
        <v>1455</v>
      </c>
      <c r="B103" s="1334">
        <v>108</v>
      </c>
      <c r="C103" s="1335" t="s">
        <v>3584</v>
      </c>
      <c r="D103" s="1358" t="s">
        <v>3673</v>
      </c>
      <c r="E103" s="1337">
        <v>3.2500000000000001E-2</v>
      </c>
      <c r="F103" s="1334">
        <v>1</v>
      </c>
      <c r="G103" s="1338">
        <v>30000000000</v>
      </c>
      <c r="H103" s="1339">
        <v>45328</v>
      </c>
      <c r="I103" s="1338"/>
      <c r="J103" s="1003"/>
      <c r="K103" s="1339">
        <v>45357</v>
      </c>
      <c r="L103" s="1339" t="s">
        <v>3571</v>
      </c>
      <c r="M103" s="1339"/>
      <c r="N103" s="1341"/>
      <c r="O103" s="1349"/>
      <c r="P103" s="1350"/>
      <c r="R103" s="1341"/>
      <c r="S103" s="1341"/>
      <c r="T103" s="1341"/>
      <c r="V103" s="1341"/>
      <c r="W103" s="1341"/>
      <c r="X103" s="1341"/>
      <c r="Y103" s="1341"/>
      <c r="Z103" s="1341"/>
      <c r="AA103" s="1341">
        <f t="shared" ref="AA103:AA105" si="11">IF($H103&lt;Z$2,(AA$2-Z$2)*$G103*$E103/365,(AA$2-$H103)*$G103*$E103/365)</f>
        <v>61438356.16438356</v>
      </c>
      <c r="AB103" s="1341"/>
      <c r="AC103" s="1341"/>
      <c r="AD103" s="1341"/>
      <c r="AE103" s="1341"/>
      <c r="AF103" s="1341"/>
      <c r="AG103" s="1341"/>
      <c r="AH103" s="1341"/>
      <c r="AI103" s="1341"/>
      <c r="AJ103" s="1341"/>
      <c r="AK103" s="1341"/>
    </row>
    <row r="104" spans="1:37" s="1343" customFormat="1">
      <c r="A104" s="1334" t="s">
        <v>3649</v>
      </c>
      <c r="B104" s="1334">
        <v>109</v>
      </c>
      <c r="C104" s="1335" t="s">
        <v>3584</v>
      </c>
      <c r="D104" s="1358" t="s">
        <v>3673</v>
      </c>
      <c r="E104" s="1337">
        <v>3.2500000000000001E-2</v>
      </c>
      <c r="F104" s="1334">
        <v>1</v>
      </c>
      <c r="G104" s="1338">
        <v>20000000000</v>
      </c>
      <c r="H104" s="1339">
        <v>45328</v>
      </c>
      <c r="I104" s="1338"/>
      <c r="J104" s="1003"/>
      <c r="K104" s="1339">
        <v>45357</v>
      </c>
      <c r="L104" s="1339" t="s">
        <v>3571</v>
      </c>
      <c r="M104" s="1339"/>
      <c r="N104" s="1341"/>
      <c r="O104" s="1349"/>
      <c r="P104" s="1350"/>
      <c r="R104" s="1341"/>
      <c r="S104" s="1341"/>
      <c r="T104" s="1341"/>
      <c r="V104" s="1341"/>
      <c r="W104" s="1341"/>
      <c r="X104" s="1341"/>
      <c r="Y104" s="1341"/>
      <c r="Z104" s="1341"/>
      <c r="AA104" s="1341">
        <f t="shared" si="11"/>
        <v>40958904.10958904</v>
      </c>
      <c r="AB104" s="1341"/>
      <c r="AC104" s="1341"/>
      <c r="AD104" s="1341"/>
      <c r="AE104" s="1341"/>
      <c r="AF104" s="1341"/>
      <c r="AG104" s="1341"/>
      <c r="AH104" s="1341"/>
      <c r="AI104" s="1341"/>
      <c r="AJ104" s="1341"/>
      <c r="AK104" s="1341"/>
    </row>
    <row r="105" spans="1:37" s="1343" customFormat="1" ht="26.25">
      <c r="A105" s="1334" t="s">
        <v>1455</v>
      </c>
      <c r="B105" s="1334">
        <v>110</v>
      </c>
      <c r="C105" s="1335" t="s">
        <v>3584</v>
      </c>
      <c r="D105" s="1358" t="s">
        <v>3674</v>
      </c>
      <c r="E105" s="1337">
        <v>3.2500000000000001E-2</v>
      </c>
      <c r="F105" s="1334">
        <v>1</v>
      </c>
      <c r="G105" s="1338">
        <v>76000000000</v>
      </c>
      <c r="H105" s="1339">
        <v>45338</v>
      </c>
      <c r="I105" s="1338"/>
      <c r="J105" s="1340"/>
      <c r="K105" s="1339">
        <v>45369</v>
      </c>
      <c r="L105" s="1348" t="s">
        <v>3675</v>
      </c>
      <c r="M105" s="1339"/>
      <c r="N105" s="1341"/>
      <c r="O105" s="1349"/>
      <c r="P105" s="1350"/>
      <c r="R105" s="1341"/>
      <c r="S105" s="1341"/>
      <c r="T105" s="1341"/>
      <c r="V105" s="1341"/>
      <c r="W105" s="1341"/>
      <c r="X105" s="1341"/>
      <c r="Y105" s="1341"/>
      <c r="Z105" s="1341"/>
      <c r="AA105" s="1341">
        <f t="shared" si="11"/>
        <v>87972602.739726022</v>
      </c>
      <c r="AB105" s="1341"/>
      <c r="AC105" s="1341"/>
      <c r="AD105" s="1341"/>
      <c r="AE105" s="1341"/>
      <c r="AF105" s="1341"/>
      <c r="AG105" s="1341"/>
      <c r="AH105" s="1341"/>
      <c r="AI105" s="1341"/>
      <c r="AJ105" s="1341"/>
      <c r="AK105" s="1341"/>
    </row>
    <row r="106" spans="1:37" s="1343" customFormat="1">
      <c r="A106" s="1334" t="s">
        <v>1455</v>
      </c>
      <c r="B106" s="1334">
        <v>111</v>
      </c>
      <c r="C106" s="1335" t="s">
        <v>3676</v>
      </c>
      <c r="D106" s="1358" t="s">
        <v>3677</v>
      </c>
      <c r="E106" s="1337">
        <v>4.4999999999999998E-2</v>
      </c>
      <c r="F106" s="1334">
        <f t="shared" ref="F106:F108" si="12">(K106-H106)/30</f>
        <v>1.3333333333333333</v>
      </c>
      <c r="G106" s="1360">
        <v>100000000000</v>
      </c>
      <c r="H106" s="1339">
        <v>45378</v>
      </c>
      <c r="I106" s="1360"/>
      <c r="J106" s="1340"/>
      <c r="K106" s="1339">
        <v>45418</v>
      </c>
      <c r="L106" s="1339" t="s">
        <v>3571</v>
      </c>
      <c r="M106" s="1339"/>
      <c r="N106" s="1341"/>
      <c r="O106" s="1349"/>
      <c r="P106" s="1350"/>
      <c r="R106" s="1341"/>
      <c r="S106" s="1341"/>
      <c r="T106" s="1341"/>
      <c r="V106" s="1341"/>
      <c r="W106" s="1341"/>
      <c r="X106" s="1341"/>
      <c r="Y106" s="1341"/>
      <c r="Z106" s="1341"/>
      <c r="AA106" s="1341"/>
      <c r="AB106" s="1341">
        <f t="shared" ref="AB106:AK122" si="13">IF($H106&lt;AA$2,(AB$2-AA$2)*$G106*$E106/365,(AB$2-$H106)*$G106*$E106/365)</f>
        <v>49315068.493150681</v>
      </c>
      <c r="AC106" s="1341">
        <f t="shared" si="13"/>
        <v>369863013.69863015</v>
      </c>
      <c r="AD106" s="1341"/>
      <c r="AE106" s="1341"/>
      <c r="AF106" s="1341"/>
      <c r="AG106" s="1341"/>
      <c r="AH106" s="1341"/>
      <c r="AI106" s="1341"/>
      <c r="AJ106" s="1341"/>
      <c r="AK106" s="1341"/>
    </row>
    <row r="107" spans="1:37" s="1343" customFormat="1">
      <c r="A107" s="1334" t="s">
        <v>1455</v>
      </c>
      <c r="B107" s="1334">
        <v>112</v>
      </c>
      <c r="C107" s="1335" t="s">
        <v>3676</v>
      </c>
      <c r="D107" s="1358" t="s">
        <v>3678</v>
      </c>
      <c r="E107" s="1337">
        <v>4.4999999999999998E-2</v>
      </c>
      <c r="F107" s="1334">
        <f t="shared" si="12"/>
        <v>1</v>
      </c>
      <c r="G107" s="1360">
        <v>50000000000</v>
      </c>
      <c r="H107" s="1339">
        <v>45378</v>
      </c>
      <c r="I107" s="1360"/>
      <c r="J107" s="1340"/>
      <c r="K107" s="1339">
        <v>45408</v>
      </c>
      <c r="L107" s="1339" t="s">
        <v>3571</v>
      </c>
      <c r="M107" s="1339"/>
      <c r="N107" s="1341"/>
      <c r="O107" s="1349"/>
      <c r="P107" s="1350"/>
      <c r="R107" s="1341"/>
      <c r="S107" s="1341"/>
      <c r="T107" s="1341"/>
      <c r="V107" s="1341"/>
      <c r="W107" s="1341"/>
      <c r="X107" s="1341"/>
      <c r="Y107" s="1341"/>
      <c r="Z107" s="1341"/>
      <c r="AA107" s="1341"/>
      <c r="AB107" s="1341">
        <f t="shared" si="13"/>
        <v>24657534.246575341</v>
      </c>
      <c r="AC107" s="1341"/>
      <c r="AD107" s="1341"/>
      <c r="AE107" s="1341"/>
      <c r="AF107" s="1341"/>
      <c r="AG107" s="1341"/>
      <c r="AH107" s="1341"/>
      <c r="AI107" s="1341"/>
      <c r="AJ107" s="1341"/>
      <c r="AK107" s="1341"/>
    </row>
    <row r="108" spans="1:37" s="1343" customFormat="1">
      <c r="A108" s="1334" t="s">
        <v>1455</v>
      </c>
      <c r="B108" s="1334">
        <v>113</v>
      </c>
      <c r="C108" s="1335" t="s">
        <v>3679</v>
      </c>
      <c r="D108" s="1358" t="s">
        <v>3680</v>
      </c>
      <c r="E108" s="1337">
        <v>3.5000000000000003E-2</v>
      </c>
      <c r="F108" s="1334">
        <f t="shared" si="12"/>
        <v>1.3333333333333333</v>
      </c>
      <c r="G108" s="1360">
        <v>40000000000</v>
      </c>
      <c r="H108" s="1339">
        <v>45378</v>
      </c>
      <c r="I108" s="1360"/>
      <c r="J108" s="1340"/>
      <c r="K108" s="1339">
        <v>45418</v>
      </c>
      <c r="L108" s="1339" t="s">
        <v>3571</v>
      </c>
      <c r="M108" s="1339"/>
      <c r="N108" s="1341"/>
      <c r="O108" s="1349"/>
      <c r="P108" s="1350"/>
      <c r="R108" s="1341"/>
      <c r="S108" s="1341"/>
      <c r="T108" s="1341"/>
      <c r="V108" s="1341"/>
      <c r="W108" s="1341"/>
      <c r="X108" s="1341"/>
      <c r="Y108" s="1341"/>
      <c r="Z108" s="1341"/>
      <c r="AA108" s="1341"/>
      <c r="AB108" s="1341">
        <f t="shared" si="13"/>
        <v>15342465.753424659</v>
      </c>
      <c r="AC108" s="1341">
        <f t="shared" si="13"/>
        <v>115068493.15068495</v>
      </c>
      <c r="AD108" s="1341"/>
      <c r="AE108" s="1341"/>
      <c r="AF108" s="1341"/>
      <c r="AG108" s="1341"/>
      <c r="AH108" s="1341"/>
      <c r="AI108" s="1341"/>
      <c r="AJ108" s="1341"/>
      <c r="AK108" s="1341"/>
    </row>
    <row r="109" spans="1:37" s="1343" customFormat="1" ht="26.25">
      <c r="A109" s="1334" t="s">
        <v>1455</v>
      </c>
      <c r="B109" s="1351">
        <v>107</v>
      </c>
      <c r="C109" s="1335" t="s">
        <v>3566</v>
      </c>
      <c r="D109" s="1358" t="s">
        <v>3671</v>
      </c>
      <c r="E109" s="1337">
        <v>5.6000000000000001E-2</v>
      </c>
      <c r="F109" s="1334">
        <f>183/30</f>
        <v>6.1</v>
      </c>
      <c r="G109" s="1338">
        <v>25000000000</v>
      </c>
      <c r="H109" s="1339">
        <v>45390</v>
      </c>
      <c r="I109" s="1360"/>
      <c r="J109" s="1003"/>
      <c r="K109" s="1339">
        <v>45448</v>
      </c>
      <c r="L109" s="1348" t="s">
        <v>3681</v>
      </c>
      <c r="M109" s="1339"/>
      <c r="N109" s="1341"/>
      <c r="O109" s="1349"/>
      <c r="P109" s="1350"/>
      <c r="R109" s="1341"/>
      <c r="S109" s="1341"/>
      <c r="T109" s="1341"/>
      <c r="V109" s="1341"/>
      <c r="W109" s="1341"/>
      <c r="X109" s="1341"/>
      <c r="Y109" s="1341"/>
      <c r="Z109" s="1341"/>
      <c r="AA109" s="1341"/>
      <c r="AB109" s="1341"/>
      <c r="AC109" s="1341">
        <f t="shared" si="13"/>
        <v>84383561.643835619</v>
      </c>
      <c r="AD109" s="1341">
        <f t="shared" si="13"/>
        <v>118904109.5890411</v>
      </c>
      <c r="AE109" s="1341"/>
      <c r="AF109" s="1341"/>
      <c r="AG109" s="1341"/>
      <c r="AH109" s="1341"/>
      <c r="AI109" s="1341"/>
      <c r="AJ109" s="1341"/>
      <c r="AK109" s="1341"/>
    </row>
    <row r="110" spans="1:37" s="1343" customFormat="1" ht="26.25">
      <c r="A110" s="1334" t="s">
        <v>1455</v>
      </c>
      <c r="B110" s="1351">
        <v>113</v>
      </c>
      <c r="C110" s="1335" t="s">
        <v>3679</v>
      </c>
      <c r="D110" s="1358" t="s">
        <v>3682</v>
      </c>
      <c r="E110" s="1337">
        <v>3.5999999999999997E-2</v>
      </c>
      <c r="F110" s="1334">
        <f>33/30</f>
        <v>1.1000000000000001</v>
      </c>
      <c r="G110" s="1338">
        <v>25000000000</v>
      </c>
      <c r="H110" s="1339">
        <v>45427</v>
      </c>
      <c r="I110" s="1360"/>
      <c r="J110" s="1003"/>
      <c r="K110" s="1339">
        <v>45460</v>
      </c>
      <c r="L110" s="1348" t="s">
        <v>3683</v>
      </c>
      <c r="M110" s="1339"/>
      <c r="N110" s="1341"/>
      <c r="O110" s="1349"/>
      <c r="P110" s="1350"/>
      <c r="R110" s="1341"/>
      <c r="S110" s="1341"/>
      <c r="T110" s="1341"/>
      <c r="V110" s="1341"/>
      <c r="W110" s="1341"/>
      <c r="X110" s="1341"/>
      <c r="Y110" s="1341"/>
      <c r="Z110" s="1341"/>
      <c r="AA110" s="1341"/>
      <c r="AB110" s="1341"/>
      <c r="AC110" s="1341"/>
      <c r="AD110" s="1341">
        <f t="shared" si="13"/>
        <v>39452054.794520542</v>
      </c>
      <c r="AE110" s="1342"/>
      <c r="AF110" s="1342"/>
      <c r="AG110" s="1342"/>
      <c r="AH110" s="1342"/>
      <c r="AI110" s="1342"/>
      <c r="AJ110" s="1342"/>
      <c r="AK110" s="1342"/>
    </row>
    <row r="111" spans="1:37" s="1343" customFormat="1">
      <c r="A111" s="1334" t="s">
        <v>3684</v>
      </c>
      <c r="B111" s="1351"/>
      <c r="C111" s="1335" t="s">
        <v>3557</v>
      </c>
      <c r="E111" s="1337">
        <v>2.9000000000000001E-2</v>
      </c>
      <c r="F111" s="1334">
        <v>1</v>
      </c>
      <c r="G111" s="1361">
        <v>10000000</v>
      </c>
      <c r="H111" s="1339">
        <v>45450</v>
      </c>
      <c r="I111" s="1338"/>
      <c r="J111" s="1003"/>
      <c r="K111" s="1339">
        <v>45480</v>
      </c>
      <c r="L111" s="1348" t="s">
        <v>3571</v>
      </c>
      <c r="M111" s="1339"/>
      <c r="N111" s="1341"/>
      <c r="O111" s="1349"/>
      <c r="P111" s="1350"/>
      <c r="R111" s="1341"/>
      <c r="S111" s="1341"/>
      <c r="T111" s="1341"/>
      <c r="V111" s="1341"/>
      <c r="W111" s="1341"/>
      <c r="X111" s="1341"/>
      <c r="Y111" s="1341"/>
      <c r="Z111" s="1341"/>
      <c r="AA111" s="1341"/>
      <c r="AB111" s="1341"/>
      <c r="AC111" s="1341"/>
      <c r="AD111" s="1341"/>
      <c r="AE111" s="1341">
        <f t="shared" si="13"/>
        <v>18273.972602739726</v>
      </c>
      <c r="AF111" s="1341"/>
      <c r="AG111" s="1341"/>
      <c r="AH111" s="1341"/>
      <c r="AI111" s="1341"/>
      <c r="AJ111" s="1341"/>
      <c r="AK111" s="1341"/>
    </row>
    <row r="112" spans="1:37" s="1343" customFormat="1">
      <c r="A112" s="1334" t="s">
        <v>3684</v>
      </c>
      <c r="B112" s="1351"/>
      <c r="C112" s="1335" t="s">
        <v>3685</v>
      </c>
      <c r="D112" s="1362" t="s">
        <v>3686</v>
      </c>
      <c r="E112" s="1337">
        <v>4.5999999999999999E-2</v>
      </c>
      <c r="F112" s="1334">
        <f>181/30</f>
        <v>6.0333333333333332</v>
      </c>
      <c r="G112" s="1338">
        <v>50000000000</v>
      </c>
      <c r="H112" s="1339">
        <v>45490</v>
      </c>
      <c r="I112" s="1338"/>
      <c r="J112" s="1003"/>
      <c r="K112" s="1339">
        <v>45530</v>
      </c>
      <c r="L112" s="1348" t="s">
        <v>3571</v>
      </c>
      <c r="M112" s="1339"/>
      <c r="N112" s="1341"/>
      <c r="O112" s="1349"/>
      <c r="P112" s="1350"/>
      <c r="R112" s="1341"/>
      <c r="T112" s="1341"/>
      <c r="AF112" s="1341">
        <f t="shared" si="13"/>
        <v>88219178.08219178</v>
      </c>
      <c r="AG112" s="1341"/>
      <c r="AH112" s="1341"/>
      <c r="AI112" s="1341"/>
      <c r="AJ112" s="1341"/>
      <c r="AK112" s="1341"/>
    </row>
    <row r="113" spans="1:37" s="1343" customFormat="1">
      <c r="A113" s="1334" t="s">
        <v>3649</v>
      </c>
      <c r="B113" s="1357"/>
      <c r="C113" s="1335" t="s">
        <v>3633</v>
      </c>
      <c r="D113" s="1354" t="s">
        <v>3687</v>
      </c>
      <c r="E113" s="1337">
        <v>0.04</v>
      </c>
      <c r="F113" s="1334">
        <v>1</v>
      </c>
      <c r="G113" s="1338">
        <v>21744767124</v>
      </c>
      <c r="H113" s="1339">
        <v>45484</v>
      </c>
      <c r="I113" s="1338"/>
      <c r="J113" s="1352"/>
      <c r="K113" s="1339">
        <v>45519</v>
      </c>
      <c r="L113" s="1348" t="s">
        <v>3571</v>
      </c>
      <c r="M113" s="1339"/>
      <c r="N113" s="1344"/>
      <c r="O113" s="1355"/>
      <c r="P113" s="1356"/>
      <c r="R113" s="1344"/>
      <c r="T113" s="1344"/>
      <c r="AF113" s="1344">
        <f t="shared" si="13"/>
        <v>47659763.559452057</v>
      </c>
      <c r="AG113" s="1344"/>
      <c r="AH113" s="1344"/>
      <c r="AI113" s="1344"/>
      <c r="AJ113" s="1344"/>
      <c r="AK113" s="1344"/>
    </row>
    <row r="114" spans="1:37" s="1343" customFormat="1">
      <c r="A114" s="1334" t="s">
        <v>3649</v>
      </c>
      <c r="B114" s="1357"/>
      <c r="C114" s="1335" t="s">
        <v>3633</v>
      </c>
      <c r="D114" s="1354" t="s">
        <v>3688</v>
      </c>
      <c r="E114" s="1337">
        <v>0.04</v>
      </c>
      <c r="F114" s="1334">
        <v>1</v>
      </c>
      <c r="G114" s="1338">
        <v>41315057535</v>
      </c>
      <c r="H114" s="1339">
        <v>45485</v>
      </c>
      <c r="I114" s="1338"/>
      <c r="J114" s="1352"/>
      <c r="K114" s="1339">
        <v>45519</v>
      </c>
      <c r="L114" s="1348" t="s">
        <v>3571</v>
      </c>
      <c r="M114" s="1339"/>
      <c r="N114" s="1344"/>
      <c r="O114" s="1355"/>
      <c r="P114" s="1356"/>
      <c r="R114" s="1344"/>
      <c r="T114" s="1344"/>
      <c r="AF114" s="1344">
        <f t="shared" si="13"/>
        <v>86025873.223561645</v>
      </c>
      <c r="AG114" s="1344"/>
      <c r="AH114" s="1344"/>
      <c r="AI114" s="1344"/>
      <c r="AJ114" s="1344"/>
      <c r="AK114" s="1344"/>
    </row>
    <row r="115" spans="1:37" s="1343" customFormat="1">
      <c r="A115" s="1334" t="s">
        <v>3649</v>
      </c>
      <c r="B115" s="1357"/>
      <c r="C115" s="1335" t="s">
        <v>3633</v>
      </c>
      <c r="D115" s="1354" t="s">
        <v>3689</v>
      </c>
      <c r="E115" s="1337">
        <v>0.04</v>
      </c>
      <c r="F115" s="1334">
        <v>1</v>
      </c>
      <c r="G115" s="1338">
        <v>12986695890</v>
      </c>
      <c r="H115" s="1339">
        <v>45490</v>
      </c>
      <c r="I115" s="1338"/>
      <c r="J115" s="1352"/>
      <c r="K115" s="1339">
        <v>45523</v>
      </c>
      <c r="L115" s="1348" t="s">
        <v>3571</v>
      </c>
      <c r="M115" s="1339"/>
      <c r="N115" s="1344"/>
      <c r="O115" s="1355"/>
      <c r="P115" s="1356"/>
      <c r="R115" s="1344"/>
      <c r="T115" s="1344"/>
      <c r="AF115" s="1344">
        <f t="shared" si="13"/>
        <v>19924793.694246575</v>
      </c>
      <c r="AG115" s="1344"/>
      <c r="AH115" s="1344"/>
      <c r="AI115" s="1344"/>
      <c r="AJ115" s="1344"/>
      <c r="AK115" s="1344"/>
    </row>
    <row r="116" spans="1:37" s="1343" customFormat="1">
      <c r="A116" s="1334" t="s">
        <v>3649</v>
      </c>
      <c r="B116" s="1357"/>
      <c r="C116" s="1335" t="s">
        <v>3633</v>
      </c>
      <c r="D116" s="1354" t="s">
        <v>3690</v>
      </c>
      <c r="E116" s="1337">
        <v>2E-3</v>
      </c>
      <c r="F116" s="1334">
        <v>1</v>
      </c>
      <c r="G116" s="1338">
        <v>32617150685</v>
      </c>
      <c r="H116" s="1339">
        <v>45485</v>
      </c>
      <c r="I116" s="1338"/>
      <c r="J116" s="1352"/>
      <c r="K116" s="1339">
        <v>45523</v>
      </c>
      <c r="L116" s="1348" t="s">
        <v>3571</v>
      </c>
      <c r="M116" s="1339"/>
      <c r="N116" s="1344"/>
      <c r="O116" s="1355"/>
      <c r="P116" s="1356"/>
      <c r="R116" s="1344"/>
      <c r="T116" s="1344"/>
      <c r="AF116" s="1344">
        <f t="shared" si="13"/>
        <v>3395758.1535068494</v>
      </c>
      <c r="AG116" s="1344"/>
      <c r="AH116" s="1344"/>
      <c r="AI116" s="1344"/>
      <c r="AJ116" s="1344"/>
      <c r="AK116" s="1344"/>
    </row>
    <row r="117" spans="1:37" s="1343" customFormat="1">
      <c r="A117" s="1334" t="s">
        <v>3649</v>
      </c>
      <c r="B117" s="1351"/>
      <c r="C117" s="1335" t="s">
        <v>3566</v>
      </c>
      <c r="D117" s="1336" t="s">
        <v>3691</v>
      </c>
      <c r="E117" s="1337">
        <v>3.9E-2</v>
      </c>
      <c r="F117" s="1334">
        <v>1</v>
      </c>
      <c r="G117" s="1338">
        <v>27005479452</v>
      </c>
      <c r="H117" s="1339">
        <v>45495</v>
      </c>
      <c r="I117" s="1338"/>
      <c r="J117" s="1003"/>
      <c r="K117" s="1339">
        <v>45526</v>
      </c>
      <c r="L117" s="1348" t="s">
        <v>3571</v>
      </c>
      <c r="M117" s="1339"/>
      <c r="N117" s="1344"/>
      <c r="O117" s="1355"/>
      <c r="P117" s="1356"/>
      <c r="R117" s="1344"/>
      <c r="T117" s="1344"/>
      <c r="AF117" s="1344">
        <f t="shared" si="13"/>
        <v>25969652.842882194</v>
      </c>
      <c r="AG117" s="1344"/>
      <c r="AH117" s="1344"/>
      <c r="AI117" s="1344"/>
      <c r="AJ117" s="1344"/>
      <c r="AK117" s="1344"/>
    </row>
    <row r="118" spans="1:37" s="1343" customFormat="1" ht="26.25">
      <c r="A118" s="1334" t="s">
        <v>3684</v>
      </c>
      <c r="B118" s="1351"/>
      <c r="C118" s="1335" t="s">
        <v>3566</v>
      </c>
      <c r="D118" s="1363" t="s">
        <v>3692</v>
      </c>
      <c r="E118" s="1337">
        <v>6.5500000000000003E-2</v>
      </c>
      <c r="F118" s="1334">
        <f>367/30</f>
        <v>12.233333333333333</v>
      </c>
      <c r="G118" s="1360">
        <v>25000000000</v>
      </c>
      <c r="H118" s="1364">
        <v>45520</v>
      </c>
      <c r="I118" s="1360"/>
      <c r="J118" s="1003"/>
      <c r="K118" s="1339">
        <v>45887</v>
      </c>
      <c r="L118" s="1348" t="s">
        <v>3693</v>
      </c>
      <c r="M118" s="1339"/>
      <c r="N118" s="1341"/>
      <c r="O118" s="1349"/>
      <c r="P118" s="1350"/>
      <c r="R118" s="1341"/>
      <c r="T118" s="1341"/>
      <c r="AF118" s="1341"/>
      <c r="AG118" s="1344">
        <f>IF($H118&lt;AF$2,(AG$2-AF$2)*$G118*$E118/365,(AG$2-$H118)*$G118*$E118/365)</f>
        <v>67294520.547945201</v>
      </c>
      <c r="AH118" s="1344">
        <f t="shared" si="13"/>
        <v>134589041.0958904</v>
      </c>
      <c r="AI118" s="1344">
        <f t="shared" si="13"/>
        <v>139075342.46575344</v>
      </c>
      <c r="AJ118" s="1344">
        <f t="shared" si="13"/>
        <v>134589041.0958904</v>
      </c>
      <c r="AK118" s="1344"/>
    </row>
    <row r="119" spans="1:37" s="1343" customFormat="1" ht="26.25">
      <c r="A119" s="1334" t="s">
        <v>3684</v>
      </c>
      <c r="B119" s="1351"/>
      <c r="C119" s="1335" t="s">
        <v>3566</v>
      </c>
      <c r="D119" s="1363" t="s">
        <v>3694</v>
      </c>
      <c r="E119" s="1337">
        <v>6.5500000000000003E-2</v>
      </c>
      <c r="F119" s="1334">
        <f>367/30</f>
        <v>12.233333333333333</v>
      </c>
      <c r="G119" s="1360">
        <v>25000000000</v>
      </c>
      <c r="H119" s="1364">
        <v>45520</v>
      </c>
      <c r="I119" s="1360"/>
      <c r="J119" s="1003"/>
      <c r="K119" s="1339">
        <v>45887</v>
      </c>
      <c r="L119" s="1348" t="s">
        <v>3693</v>
      </c>
      <c r="M119" s="1339"/>
      <c r="N119" s="1341"/>
      <c r="O119" s="1349"/>
      <c r="P119" s="1350"/>
      <c r="R119" s="1341"/>
      <c r="T119" s="1341"/>
      <c r="AF119" s="1341"/>
      <c r="AG119" s="1344">
        <f t="shared" si="13"/>
        <v>67294520.547945201</v>
      </c>
      <c r="AH119" s="1344">
        <f t="shared" si="13"/>
        <v>134589041.0958904</v>
      </c>
      <c r="AI119" s="1344">
        <f t="shared" si="13"/>
        <v>139075342.46575344</v>
      </c>
      <c r="AJ119" s="1344">
        <f t="shared" si="13"/>
        <v>134589041.0958904</v>
      </c>
      <c r="AK119" s="1344"/>
    </row>
    <row r="120" spans="1:37" s="1343" customFormat="1" ht="26.25">
      <c r="A120" s="1334" t="s">
        <v>3684</v>
      </c>
      <c r="B120" s="1351"/>
      <c r="C120" s="1335" t="s">
        <v>3566</v>
      </c>
      <c r="D120" s="1363" t="s">
        <v>3695</v>
      </c>
      <c r="E120" s="1337">
        <v>6.5299999999999997E-2</v>
      </c>
      <c r="F120" s="1334">
        <f>369/30</f>
        <v>12.3</v>
      </c>
      <c r="G120" s="1360">
        <v>25000000000</v>
      </c>
      <c r="H120" s="1364">
        <v>45526</v>
      </c>
      <c r="I120" s="1360"/>
      <c r="J120" s="1003"/>
      <c r="K120" s="1339">
        <v>45895</v>
      </c>
      <c r="L120" s="1348" t="s">
        <v>3696</v>
      </c>
      <c r="M120" s="1339"/>
      <c r="N120" s="1341"/>
      <c r="O120" s="1349"/>
      <c r="P120" s="1350"/>
      <c r="R120" s="1341"/>
      <c r="T120" s="1341"/>
      <c r="AF120" s="1341"/>
      <c r="AG120" s="1344">
        <f t="shared" si="13"/>
        <v>40253424.657534249</v>
      </c>
      <c r="AH120" s="1344">
        <f t="shared" si="13"/>
        <v>134178082.19178082</v>
      </c>
      <c r="AI120" s="1344">
        <f t="shared" si="13"/>
        <v>138650684.93150684</v>
      </c>
      <c r="AJ120" s="1344"/>
      <c r="AK120" s="1344"/>
    </row>
    <row r="121" spans="1:37" s="1343" customFormat="1" ht="26.25">
      <c r="A121" s="1334" t="s">
        <v>3684</v>
      </c>
      <c r="B121" s="1351"/>
      <c r="C121" s="1335" t="s">
        <v>3566</v>
      </c>
      <c r="D121" s="1363" t="s">
        <v>3697</v>
      </c>
      <c r="E121" s="1337">
        <v>6.5299999999999997E-2</v>
      </c>
      <c r="F121" s="1334">
        <f>369/30</f>
        <v>12.3</v>
      </c>
      <c r="G121" s="1360">
        <v>25000000000</v>
      </c>
      <c r="H121" s="1364">
        <v>45526</v>
      </c>
      <c r="I121" s="1360"/>
      <c r="J121" s="1003"/>
      <c r="K121" s="1339">
        <v>45895</v>
      </c>
      <c r="L121" s="1348" t="s">
        <v>3696</v>
      </c>
      <c r="M121" s="1339"/>
      <c r="N121" s="1341"/>
      <c r="O121" s="1349"/>
      <c r="P121" s="1350"/>
      <c r="R121" s="1341"/>
      <c r="T121" s="1341"/>
      <c r="AF121" s="1341"/>
      <c r="AG121" s="1344">
        <f>IF($H121&lt;AF$2,(AG$2-AF$2)*$G121*$E121/365,(AG$2-$H121)*$G121*$E121/365)</f>
        <v>40253424.657534249</v>
      </c>
      <c r="AH121" s="1344">
        <f t="shared" si="13"/>
        <v>134178082.19178082</v>
      </c>
      <c r="AI121" s="1344">
        <f>IF($H121&lt;AH$2,(AI$2-AH$2)*$G121*$E121/365,(AI$2-$H121)*$G121*$E121/365)</f>
        <v>138650684.93150684</v>
      </c>
      <c r="AJ121" s="1344"/>
      <c r="AK121" s="1344"/>
    </row>
    <row r="122" spans="1:37">
      <c r="A122" s="1351" t="s">
        <v>3684</v>
      </c>
      <c r="B122" s="1351"/>
      <c r="C122" s="1365" t="s">
        <v>3698</v>
      </c>
      <c r="D122" s="1366" t="s">
        <v>3699</v>
      </c>
      <c r="E122" s="1367">
        <v>7.5999999999999998E-2</v>
      </c>
      <c r="F122" s="1351">
        <f>269/30</f>
        <v>8.9666666666666668</v>
      </c>
      <c r="G122" s="686">
        <v>25000000000</v>
      </c>
      <c r="H122" s="1368">
        <v>45551</v>
      </c>
      <c r="I122" s="686">
        <v>25191095890</v>
      </c>
      <c r="J122" s="1003"/>
      <c r="K122" s="1369">
        <v>45775</v>
      </c>
      <c r="L122" s="1370">
        <f t="shared" ref="L122:L128" si="14">SUM(M122:AM122)</f>
        <v>551780821.91780829</v>
      </c>
      <c r="M122" s="1369"/>
      <c r="N122" s="1371"/>
      <c r="R122" s="1342"/>
      <c r="T122" s="1342"/>
      <c r="AF122" s="1342"/>
      <c r="AG122" s="1372"/>
      <c r="AH122" s="1372">
        <f t="shared" si="13"/>
        <v>72876712.328767121</v>
      </c>
      <c r="AI122" s="1372">
        <f t="shared" si="13"/>
        <v>161369863.01369864</v>
      </c>
      <c r="AJ122" s="1372">
        <f t="shared" si="13"/>
        <v>156164383.56164384</v>
      </c>
      <c r="AK122" s="1372">
        <f t="shared" si="13"/>
        <v>161369863.01369864</v>
      </c>
    </row>
    <row r="123" spans="1:37">
      <c r="A123" s="1351" t="s">
        <v>3684</v>
      </c>
      <c r="B123" s="1351"/>
      <c r="C123" s="1365" t="s">
        <v>3698</v>
      </c>
      <c r="D123" s="1366" t="s">
        <v>3700</v>
      </c>
      <c r="E123" s="1367">
        <v>7.5999999999999998E-2</v>
      </c>
      <c r="F123" s="1351">
        <f>269/30</f>
        <v>8.9666666666666668</v>
      </c>
      <c r="G123" s="686">
        <v>25000000000</v>
      </c>
      <c r="H123" s="1368">
        <v>45551</v>
      </c>
      <c r="I123" s="686">
        <v>25191095890</v>
      </c>
      <c r="J123" s="1003"/>
      <c r="K123" s="1369">
        <v>45775</v>
      </c>
      <c r="L123" s="1370">
        <f t="shared" si="14"/>
        <v>551780821.91780829</v>
      </c>
      <c r="M123" s="1369"/>
      <c r="N123" s="1371"/>
      <c r="R123" s="1342"/>
      <c r="T123" s="1342"/>
      <c r="AF123" s="1342"/>
      <c r="AG123" s="1372"/>
      <c r="AH123" s="1372">
        <f t="shared" ref="AH123:AK128" si="15">IF($H123&lt;AG$2,(AH$2-AG$2)*$G123*$E123/365,(AH$2-$H123)*$G123*$E123/365)</f>
        <v>72876712.328767121</v>
      </c>
      <c r="AI123" s="1372">
        <f t="shared" si="15"/>
        <v>161369863.01369864</v>
      </c>
      <c r="AJ123" s="1372">
        <f t="shared" si="15"/>
        <v>156164383.56164384</v>
      </c>
      <c r="AK123" s="1372">
        <f t="shared" si="15"/>
        <v>161369863.01369864</v>
      </c>
    </row>
    <row r="124" spans="1:37" s="1343" customFormat="1" ht="26.25">
      <c r="A124" s="1334" t="s">
        <v>3684</v>
      </c>
      <c r="B124" s="1334"/>
      <c r="C124" s="1335" t="s">
        <v>3566</v>
      </c>
      <c r="D124" s="1363" t="s">
        <v>3701</v>
      </c>
      <c r="E124" s="1337">
        <v>6.5000000000000002E-2</v>
      </c>
      <c r="F124" s="1334">
        <f>373/30</f>
        <v>12.433333333333334</v>
      </c>
      <c r="G124" s="1360">
        <v>40000000000</v>
      </c>
      <c r="H124" s="1364">
        <v>45579</v>
      </c>
      <c r="I124" s="1360"/>
      <c r="J124" s="1340"/>
      <c r="K124" s="1339">
        <v>45952</v>
      </c>
      <c r="L124" s="1348" t="s">
        <v>3702</v>
      </c>
      <c r="M124" s="1339"/>
      <c r="N124" s="1341"/>
      <c r="O124" s="1349"/>
      <c r="P124" s="1350"/>
      <c r="R124" s="1341"/>
      <c r="T124" s="1341"/>
      <c r="AF124" s="1341"/>
      <c r="AG124" s="1344"/>
      <c r="AH124" s="1344"/>
      <c r="AI124" s="1344"/>
      <c r="AJ124" s="1344"/>
      <c r="AK124" s="1344"/>
    </row>
    <row r="125" spans="1:37" s="1343" customFormat="1" ht="26.25">
      <c r="A125" s="1334" t="s">
        <v>3684</v>
      </c>
      <c r="B125" s="1334"/>
      <c r="C125" s="1335" t="s">
        <v>3566</v>
      </c>
      <c r="D125" s="1363" t="s">
        <v>3701</v>
      </c>
      <c r="E125" s="1337">
        <v>6.5000000000000002E-2</v>
      </c>
      <c r="F125" s="1334">
        <f>373/30</f>
        <v>12.433333333333334</v>
      </c>
      <c r="G125" s="1360">
        <v>20000000000</v>
      </c>
      <c r="H125" s="1364">
        <v>45579</v>
      </c>
      <c r="I125" s="1360"/>
      <c r="J125" s="1340"/>
      <c r="K125" s="1339">
        <v>45952</v>
      </c>
      <c r="L125" s="1348" t="s">
        <v>3703</v>
      </c>
      <c r="M125" s="1339"/>
      <c r="N125" s="1341"/>
      <c r="O125" s="1349"/>
      <c r="P125" s="1350"/>
      <c r="R125" s="1341"/>
      <c r="T125" s="1341"/>
      <c r="AF125" s="1341"/>
      <c r="AG125" s="1344"/>
      <c r="AH125" s="1344"/>
      <c r="AI125" s="1344">
        <f t="shared" ref="AI125" si="16">IF($H125&lt;AH$2,(AI$2-AH$2)*$G125*$E125/365,(AI$2-$H125)*$G125*$E125/365)</f>
        <v>60547945.205479451</v>
      </c>
      <c r="AJ125" s="1344"/>
      <c r="AK125" s="1344"/>
    </row>
    <row r="126" spans="1:37" s="1382" customFormat="1">
      <c r="A126" s="1357" t="s">
        <v>3684</v>
      </c>
      <c r="B126" s="1357"/>
      <c r="C126" s="1373" t="s">
        <v>3566</v>
      </c>
      <c r="D126" s="1374" t="s">
        <v>3704</v>
      </c>
      <c r="E126" s="1375">
        <v>6.5000000000000002E-2</v>
      </c>
      <c r="F126" s="1357">
        <f t="shared" ref="F126:F127" si="17">373/30</f>
        <v>12.433333333333334</v>
      </c>
      <c r="G126" s="1376">
        <v>40000000000</v>
      </c>
      <c r="H126" s="1377">
        <v>45579</v>
      </c>
      <c r="I126" s="1376">
        <v>40000000000</v>
      </c>
      <c r="J126" s="1352"/>
      <c r="K126" s="1378">
        <v>45953</v>
      </c>
      <c r="L126" s="1379">
        <f t="shared" si="14"/>
        <v>555616438.35616434</v>
      </c>
      <c r="M126" s="1378"/>
      <c r="N126" s="1342"/>
      <c r="O126" s="1380"/>
      <c r="P126" s="1381"/>
      <c r="R126" s="1342"/>
      <c r="T126" s="1342"/>
      <c r="AF126" s="1342"/>
      <c r="AG126" s="1372"/>
      <c r="AH126" s="1372"/>
      <c r="AI126" s="1372">
        <f t="shared" si="15"/>
        <v>121095890.4109589</v>
      </c>
      <c r="AJ126" s="1372">
        <f t="shared" si="15"/>
        <v>213698630.13698632</v>
      </c>
      <c r="AK126" s="1372">
        <f t="shared" si="15"/>
        <v>220821917.80821916</v>
      </c>
    </row>
    <row r="127" spans="1:37">
      <c r="A127" s="1357" t="s">
        <v>3684</v>
      </c>
      <c r="B127" s="1357"/>
      <c r="C127" s="1373" t="s">
        <v>3566</v>
      </c>
      <c r="D127" s="1366" t="s">
        <v>3705</v>
      </c>
      <c r="E127" s="1367">
        <v>6.5000000000000002E-2</v>
      </c>
      <c r="F127" s="1351">
        <f t="shared" si="17"/>
        <v>12.433333333333334</v>
      </c>
      <c r="G127" s="686">
        <v>25000000000</v>
      </c>
      <c r="H127" s="1368">
        <v>45579</v>
      </c>
      <c r="I127" s="686">
        <v>25000000000</v>
      </c>
      <c r="J127" s="1003"/>
      <c r="K127" s="1369">
        <v>45953</v>
      </c>
      <c r="L127" s="1370">
        <f t="shared" si="14"/>
        <v>347260273.97260273</v>
      </c>
      <c r="M127" s="1369"/>
      <c r="N127" s="1371"/>
      <c r="R127" s="1342"/>
      <c r="T127" s="1342"/>
      <c r="AF127" s="1342"/>
      <c r="AG127" s="1372"/>
      <c r="AH127" s="1372"/>
      <c r="AI127" s="1372">
        <f t="shared" si="15"/>
        <v>75684931.506849319</v>
      </c>
      <c r="AJ127" s="1372">
        <f t="shared" si="15"/>
        <v>133561643.83561644</v>
      </c>
      <c r="AK127" s="1372">
        <f t="shared" si="15"/>
        <v>138013698.630137</v>
      </c>
    </row>
    <row r="128" spans="1:37">
      <c r="A128" s="1357" t="s">
        <v>3649</v>
      </c>
      <c r="B128" s="1357"/>
      <c r="C128" s="1373" t="s">
        <v>3557</v>
      </c>
      <c r="D128" s="1366" t="s">
        <v>3706</v>
      </c>
      <c r="E128" s="1367">
        <v>4.7500000000000001E-2</v>
      </c>
      <c r="F128" s="1351">
        <f>(K128-H128+1)/30</f>
        <v>1.1333333333333333</v>
      </c>
      <c r="G128" s="686">
        <v>30000000000</v>
      </c>
      <c r="H128" s="1368">
        <v>45637</v>
      </c>
      <c r="I128" s="686">
        <v>30000000000</v>
      </c>
      <c r="J128" s="1003"/>
      <c r="K128" s="1369">
        <v>45670</v>
      </c>
      <c r="L128" s="1370">
        <f t="shared" si="14"/>
        <v>78082191.780821919</v>
      </c>
      <c r="M128" s="1369"/>
      <c r="N128" s="1371"/>
      <c r="R128" s="1342"/>
      <c r="T128" s="1342"/>
      <c r="AF128" s="1342"/>
      <c r="AG128" s="1372"/>
      <c r="AH128" s="1372"/>
      <c r="AI128" s="1372"/>
      <c r="AJ128" s="1372"/>
      <c r="AK128" s="1372">
        <f t="shared" si="15"/>
        <v>78082191.780821919</v>
      </c>
    </row>
    <row r="129" spans="1:37">
      <c r="A129" s="1357"/>
      <c r="B129" s="1357"/>
      <c r="C129" s="1373"/>
      <c r="D129" s="1366"/>
      <c r="E129" s="1367"/>
      <c r="F129" s="1351"/>
      <c r="G129" s="686"/>
      <c r="H129" s="1383"/>
      <c r="I129" s="686"/>
      <c r="J129" s="1003"/>
      <c r="K129" s="1369"/>
      <c r="L129" s="1370"/>
      <c r="M129" s="1369"/>
      <c r="N129" s="1371"/>
      <c r="R129" s="1342"/>
      <c r="T129" s="1342"/>
      <c r="AF129" s="1342"/>
      <c r="AG129" s="1372"/>
      <c r="AH129" s="1372"/>
      <c r="AI129" s="1372"/>
      <c r="AJ129" s="1372"/>
      <c r="AK129" s="1372"/>
    </row>
    <row r="130" spans="1:37">
      <c r="A130" s="1357"/>
      <c r="B130" s="1357"/>
      <c r="C130" s="1373"/>
      <c r="D130" s="1366"/>
      <c r="E130" s="1367"/>
      <c r="F130" s="1351"/>
      <c r="G130" s="686"/>
      <c r="H130" s="1383"/>
      <c r="I130" s="686"/>
      <c r="J130" s="1003"/>
      <c r="K130" s="1369"/>
      <c r="L130" s="1370"/>
      <c r="M130" s="1369"/>
      <c r="N130" s="1371"/>
      <c r="R130" s="1342"/>
      <c r="T130" s="1342"/>
      <c r="AF130" s="1342"/>
      <c r="AG130" s="1372"/>
      <c r="AH130" s="1372"/>
      <c r="AI130" s="1372"/>
      <c r="AJ130" s="1372"/>
      <c r="AK130" s="1372"/>
    </row>
    <row r="131" spans="1:37">
      <c r="A131" s="1357"/>
      <c r="B131" s="1357"/>
      <c r="C131" s="1373"/>
      <c r="D131" s="1366"/>
      <c r="E131" s="1367"/>
      <c r="F131" s="1351"/>
      <c r="G131" s="686"/>
      <c r="H131" s="1383"/>
      <c r="I131" s="686"/>
      <c r="J131" s="1003"/>
      <c r="K131" s="1369"/>
      <c r="L131" s="1370"/>
      <c r="M131" s="1369"/>
      <c r="N131" s="1371"/>
      <c r="R131" s="1342"/>
      <c r="T131" s="1342"/>
      <c r="AF131" s="1342"/>
      <c r="AG131" s="1372"/>
      <c r="AH131" s="1372"/>
      <c r="AI131" s="1372"/>
      <c r="AJ131" s="1372"/>
      <c r="AK131" s="1372"/>
    </row>
    <row r="132" spans="1:37">
      <c r="A132" s="1351"/>
      <c r="B132" s="1351"/>
      <c r="C132" s="1365"/>
      <c r="D132" s="1384"/>
      <c r="E132" s="1367"/>
      <c r="F132" s="1351"/>
      <c r="H132" s="1369"/>
      <c r="I132" s="1385"/>
      <c r="J132" s="1003"/>
      <c r="K132" s="1369"/>
      <c r="L132" s="1369"/>
      <c r="M132" s="1369"/>
      <c r="N132" s="1371"/>
    </row>
    <row r="133" spans="1:37">
      <c r="K133" s="258"/>
      <c r="L133" s="258"/>
      <c r="M133" s="258"/>
    </row>
    <row r="134" spans="1:37">
      <c r="C134" t="s">
        <v>3707</v>
      </c>
      <c r="G134" s="1386"/>
      <c r="J134" s="258"/>
    </row>
    <row r="135" spans="1:37">
      <c r="C135" s="1387" t="s">
        <v>3557</v>
      </c>
      <c r="D135" s="1388" t="s">
        <v>3708</v>
      </c>
      <c r="G135" s="255"/>
      <c r="I135" s="1389">
        <f t="shared" ref="I135:I146" si="18">SUMIFS(I:I,C:C,C135,F:F,"&lt;=12")</f>
        <v>30000000000</v>
      </c>
      <c r="J135" s="258"/>
      <c r="K135" s="258"/>
      <c r="L135" s="1390">
        <f t="shared" ref="L135:L146" si="19">SUMIFS($L$3:$L$133,$C$3:$C$133,$C135,$F$3:$F$133,"&lt;=12")</f>
        <v>78082191.780821919</v>
      </c>
      <c r="M135" s="1391">
        <f t="shared" ref="M135:M146" si="20">SUMIFS($M$3:$M$133,$C$3:$C$133,$C135,$F$3:$F$133,"&lt;=12")</f>
        <v>270136986.30136985</v>
      </c>
      <c r="N135" s="1391">
        <f t="shared" ref="N135:N146" si="21">SUMIFS($N$3:$N$133,$C$3:$C$133,$C135,$F$3:$F$133,"&lt;=12")</f>
        <v>763279999.99999988</v>
      </c>
      <c r="O135" s="1391">
        <f t="shared" ref="O135:AD146" si="22">SUMIFS(O$3:O$133,$C$3:$C$133,$C135,$F$3:$F$133,"&lt;=12")</f>
        <v>1115061917.8082192</v>
      </c>
      <c r="P135" s="1391">
        <f t="shared" si="22"/>
        <v>1336923835.6164384</v>
      </c>
      <c r="Q135" s="1391">
        <f t="shared" si="22"/>
        <v>1293797260.2739727</v>
      </c>
      <c r="R135" s="1391">
        <f t="shared" si="22"/>
        <v>1336923835.6164384</v>
      </c>
      <c r="S135" s="1391">
        <f t="shared" si="22"/>
        <v>817084931.50684929</v>
      </c>
      <c r="T135" s="1391">
        <f t="shared" si="22"/>
        <v>177336986.30136988</v>
      </c>
      <c r="U135" s="1391">
        <f t="shared" si="22"/>
        <v>0</v>
      </c>
      <c r="V135" s="1391">
        <f t="shared" si="22"/>
        <v>139315342.46575344</v>
      </c>
      <c r="W135" s="1391">
        <f t="shared" si="22"/>
        <v>363907123.28767133</v>
      </c>
      <c r="X135" s="1391">
        <f t="shared" si="22"/>
        <v>621213698.63013697</v>
      </c>
      <c r="Y135" s="1391">
        <f t="shared" si="22"/>
        <v>645167397.26027393</v>
      </c>
      <c r="Z135" s="1391">
        <f t="shared" si="22"/>
        <v>641920821.91780818</v>
      </c>
      <c r="AA135" s="1391">
        <f t="shared" si="22"/>
        <v>572698356.16438353</v>
      </c>
      <c r="AB135" s="1391">
        <f t="shared" si="22"/>
        <v>433838630.13698632</v>
      </c>
      <c r="AC135" s="1391">
        <f t="shared" si="22"/>
        <v>419843835.61643839</v>
      </c>
      <c r="AD135" s="1391">
        <f t="shared" si="22"/>
        <v>433838630.13698632</v>
      </c>
      <c r="AE135" s="1391">
        <f t="shared" ref="AE135:AK146" si="23">SUMIFS(AE$3:AE$133,$C$3:$C$133,$C135,$F$3:$F$133,"&lt;=12")</f>
        <v>419862109.58904111</v>
      </c>
      <c r="AF135" s="1391">
        <f t="shared" si="23"/>
        <v>433838630.13698632</v>
      </c>
      <c r="AG135" s="1391">
        <f t="shared" si="23"/>
        <v>60140000</v>
      </c>
      <c r="AH135" s="1391">
        <f t="shared" si="23"/>
        <v>0</v>
      </c>
      <c r="AI135" s="1391">
        <f t="shared" si="23"/>
        <v>0</v>
      </c>
      <c r="AJ135" s="1391">
        <f t="shared" si="23"/>
        <v>0</v>
      </c>
      <c r="AK135" s="1391">
        <f t="shared" si="23"/>
        <v>78082191.780821919</v>
      </c>
    </row>
    <row r="136" spans="1:37">
      <c r="C136" s="1387" t="s">
        <v>3584</v>
      </c>
      <c r="D136" s="1388"/>
      <c r="G136" s="255"/>
      <c r="I136" s="1389">
        <f t="shared" si="18"/>
        <v>0</v>
      </c>
      <c r="J136" s="258"/>
      <c r="K136" s="258"/>
      <c r="L136" s="1390">
        <f t="shared" si="19"/>
        <v>0</v>
      </c>
      <c r="M136" s="1391">
        <f t="shared" si="20"/>
        <v>123945205.47945206</v>
      </c>
      <c r="N136" s="1391">
        <f t="shared" si="21"/>
        <v>572690410.95890415</v>
      </c>
      <c r="O136" s="1391">
        <f t="shared" si="22"/>
        <v>284756164.38356167</v>
      </c>
      <c r="P136" s="1391">
        <f t="shared" si="22"/>
        <v>477936986.30136985</v>
      </c>
      <c r="Q136" s="1391">
        <f t="shared" si="22"/>
        <v>649890410.95890403</v>
      </c>
      <c r="R136" s="1391">
        <f t="shared" si="22"/>
        <v>710197260.27397263</v>
      </c>
      <c r="S136" s="1391">
        <f t="shared" si="22"/>
        <v>382191780.82191777</v>
      </c>
      <c r="T136" s="1391">
        <f t="shared" si="22"/>
        <v>394931506.84931505</v>
      </c>
      <c r="U136" s="1391">
        <f t="shared" si="22"/>
        <v>193219178.0821918</v>
      </c>
      <c r="V136" s="1391">
        <f t="shared" si="22"/>
        <v>186986301.369863</v>
      </c>
      <c r="W136" s="1391">
        <f t="shared" si="22"/>
        <v>0</v>
      </c>
      <c r="X136" s="1391">
        <f t="shared" si="22"/>
        <v>0</v>
      </c>
      <c r="Y136" s="1391">
        <f t="shared" si="22"/>
        <v>0</v>
      </c>
      <c r="Z136" s="1391">
        <f t="shared" si="22"/>
        <v>0</v>
      </c>
      <c r="AA136" s="1391">
        <f t="shared" si="22"/>
        <v>190369863.01369864</v>
      </c>
      <c r="AB136" s="1391">
        <f t="shared" si="22"/>
        <v>0</v>
      </c>
      <c r="AC136" s="1391">
        <f t="shared" si="22"/>
        <v>0</v>
      </c>
      <c r="AD136" s="1391">
        <f t="shared" si="22"/>
        <v>0</v>
      </c>
      <c r="AE136" s="1391">
        <f t="shared" si="23"/>
        <v>0</v>
      </c>
      <c r="AF136" s="1391">
        <f t="shared" si="23"/>
        <v>0</v>
      </c>
      <c r="AG136" s="1391">
        <f t="shared" si="23"/>
        <v>0</v>
      </c>
      <c r="AH136" s="1391">
        <f t="shared" si="23"/>
        <v>0</v>
      </c>
      <c r="AI136" s="1391">
        <f t="shared" si="23"/>
        <v>0</v>
      </c>
      <c r="AJ136" s="1391">
        <f t="shared" si="23"/>
        <v>0</v>
      </c>
      <c r="AK136" s="1391">
        <f t="shared" si="23"/>
        <v>0</v>
      </c>
    </row>
    <row r="137" spans="1:37">
      <c r="C137" s="1387" t="s">
        <v>3563</v>
      </c>
      <c r="D137" s="1388"/>
      <c r="G137" s="255"/>
      <c r="I137" s="1389">
        <f t="shared" si="18"/>
        <v>0</v>
      </c>
      <c r="J137" s="258"/>
      <c r="K137" s="258"/>
      <c r="L137" s="1390">
        <f t="shared" si="19"/>
        <v>0</v>
      </c>
      <c r="M137" s="1391">
        <f t="shared" si="20"/>
        <v>0</v>
      </c>
      <c r="N137" s="1391">
        <f t="shared" si="21"/>
        <v>273287671.23287672</v>
      </c>
      <c r="O137" s="1391">
        <f t="shared" si="22"/>
        <v>402739726.02739727</v>
      </c>
      <c r="P137" s="1391">
        <f t="shared" si="22"/>
        <v>445890410.95890409</v>
      </c>
      <c r="Q137" s="1391">
        <f t="shared" si="22"/>
        <v>431506849.31506848</v>
      </c>
      <c r="R137" s="1391">
        <f t="shared" si="22"/>
        <v>445890410.95890409</v>
      </c>
      <c r="S137" s="1391">
        <f t="shared" si="22"/>
        <v>431506849.31506848</v>
      </c>
      <c r="T137" s="1391">
        <f t="shared" si="22"/>
        <v>0</v>
      </c>
      <c r="U137" s="1391">
        <f t="shared" si="22"/>
        <v>0</v>
      </c>
      <c r="V137" s="1391">
        <f t="shared" si="22"/>
        <v>0</v>
      </c>
      <c r="W137" s="1391">
        <f t="shared" si="22"/>
        <v>0</v>
      </c>
      <c r="X137" s="1391">
        <f t="shared" si="22"/>
        <v>0</v>
      </c>
      <c r="Y137" s="1391">
        <f t="shared" si="22"/>
        <v>0</v>
      </c>
      <c r="Z137" s="1391">
        <f t="shared" si="22"/>
        <v>0</v>
      </c>
      <c r="AA137" s="1391">
        <f t="shared" si="22"/>
        <v>0</v>
      </c>
      <c r="AB137" s="1391">
        <f t="shared" si="22"/>
        <v>0</v>
      </c>
      <c r="AC137" s="1391">
        <f t="shared" si="22"/>
        <v>0</v>
      </c>
      <c r="AD137" s="1391">
        <f t="shared" si="22"/>
        <v>0</v>
      </c>
      <c r="AE137" s="1391">
        <f t="shared" si="23"/>
        <v>0</v>
      </c>
      <c r="AF137" s="1391">
        <f t="shared" si="23"/>
        <v>0</v>
      </c>
      <c r="AG137" s="1391">
        <f t="shared" si="23"/>
        <v>0</v>
      </c>
      <c r="AH137" s="1391">
        <f t="shared" si="23"/>
        <v>0</v>
      </c>
      <c r="AI137" s="1391">
        <f t="shared" si="23"/>
        <v>0</v>
      </c>
      <c r="AJ137" s="1391">
        <f t="shared" si="23"/>
        <v>0</v>
      </c>
      <c r="AK137" s="1391">
        <f t="shared" si="23"/>
        <v>0</v>
      </c>
    </row>
    <row r="138" spans="1:37">
      <c r="C138" s="1387" t="s">
        <v>3566</v>
      </c>
      <c r="D138" s="1388"/>
      <c r="G138" s="255"/>
      <c r="I138" s="1389">
        <f t="shared" si="18"/>
        <v>0</v>
      </c>
      <c r="J138" s="258"/>
      <c r="K138" s="258"/>
      <c r="L138" s="1390">
        <f t="shared" si="19"/>
        <v>0</v>
      </c>
      <c r="M138" s="1391">
        <f t="shared" si="20"/>
        <v>0</v>
      </c>
      <c r="N138" s="1391">
        <f t="shared" si="21"/>
        <v>389123287.67123288</v>
      </c>
      <c r="O138" s="1391">
        <f t="shared" si="22"/>
        <v>988054794.52054799</v>
      </c>
      <c r="P138" s="1391">
        <f t="shared" si="22"/>
        <v>1093917808.2191782</v>
      </c>
      <c r="Q138" s="1391">
        <f t="shared" si="22"/>
        <v>1124876712.3287671</v>
      </c>
      <c r="R138" s="1391">
        <f t="shared" si="22"/>
        <v>1251890410.9589043</v>
      </c>
      <c r="S138" s="1391">
        <f t="shared" si="22"/>
        <v>1211506849.3150685</v>
      </c>
      <c r="T138" s="1391">
        <f t="shared" si="22"/>
        <v>781753424.65753424</v>
      </c>
      <c r="U138" s="1391">
        <f t="shared" si="22"/>
        <v>1143178082.191781</v>
      </c>
      <c r="V138" s="1391">
        <f t="shared" si="22"/>
        <v>1118767123.2876713</v>
      </c>
      <c r="W138" s="1391">
        <f t="shared" si="22"/>
        <v>1371643835.6164384</v>
      </c>
      <c r="X138" s="1391">
        <f t="shared" si="22"/>
        <v>953424657.53424644</v>
      </c>
      <c r="Y138" s="1391">
        <f t="shared" si="22"/>
        <v>985205479.45205474</v>
      </c>
      <c r="Z138" s="1391">
        <f t="shared" si="22"/>
        <v>677589041.09589028</v>
      </c>
      <c r="AA138" s="1391">
        <f t="shared" si="22"/>
        <v>676931506.84931517</v>
      </c>
      <c r="AB138" s="1391">
        <f t="shared" si="22"/>
        <v>723616438.35616434</v>
      </c>
      <c r="AC138" s="1391">
        <f t="shared" si="22"/>
        <v>669589041.0958904</v>
      </c>
      <c r="AD138" s="1391">
        <f t="shared" si="22"/>
        <v>723616438.35616434</v>
      </c>
      <c r="AE138" s="1391">
        <f t="shared" si="23"/>
        <v>585205479.45205474</v>
      </c>
      <c r="AF138" s="1391">
        <f t="shared" si="23"/>
        <v>25969652.842882194</v>
      </c>
      <c r="AG138" s="1391">
        <f t="shared" si="23"/>
        <v>0</v>
      </c>
      <c r="AH138" s="1391">
        <f t="shared" si="23"/>
        <v>0</v>
      </c>
      <c r="AI138" s="1391">
        <f t="shared" si="23"/>
        <v>0</v>
      </c>
      <c r="AJ138" s="1391">
        <f t="shared" si="23"/>
        <v>0</v>
      </c>
      <c r="AK138" s="1391">
        <f t="shared" si="23"/>
        <v>0</v>
      </c>
    </row>
    <row r="139" spans="1:37">
      <c r="C139" s="1387" t="s">
        <v>3569</v>
      </c>
      <c r="G139" s="255"/>
      <c r="I139" s="1389">
        <f t="shared" si="18"/>
        <v>0</v>
      </c>
      <c r="J139" s="258"/>
      <c r="K139" s="258"/>
      <c r="L139" s="1390">
        <f t="shared" si="19"/>
        <v>0</v>
      </c>
      <c r="M139" s="1391">
        <f t="shared" si="20"/>
        <v>0</v>
      </c>
      <c r="N139" s="1391">
        <f t="shared" si="21"/>
        <v>0</v>
      </c>
      <c r="O139" s="1391">
        <f t="shared" si="22"/>
        <v>381556164.38356167</v>
      </c>
      <c r="P139" s="1391">
        <f t="shared" si="22"/>
        <v>436717808.21917808</v>
      </c>
      <c r="Q139" s="1391">
        <f t="shared" si="22"/>
        <v>422630136.9863013</v>
      </c>
      <c r="R139" s="1391">
        <f t="shared" si="22"/>
        <v>436717808.21917808</v>
      </c>
      <c r="S139" s="1391">
        <f t="shared" si="22"/>
        <v>422630136.9863013</v>
      </c>
      <c r="T139" s="1391">
        <f t="shared" si="22"/>
        <v>136824657.53424656</v>
      </c>
      <c r="U139" s="1391">
        <f t="shared" si="22"/>
        <v>0</v>
      </c>
      <c r="V139" s="1391">
        <f t="shared" si="22"/>
        <v>0</v>
      </c>
      <c r="W139" s="1391">
        <f t="shared" si="22"/>
        <v>0</v>
      </c>
      <c r="X139" s="1391">
        <f t="shared" si="22"/>
        <v>0</v>
      </c>
      <c r="Y139" s="1391">
        <f t="shared" si="22"/>
        <v>0</v>
      </c>
      <c r="Z139" s="1391">
        <f t="shared" si="22"/>
        <v>0</v>
      </c>
      <c r="AA139" s="1391">
        <f t="shared" si="22"/>
        <v>0</v>
      </c>
      <c r="AB139" s="1391">
        <f t="shared" si="22"/>
        <v>0</v>
      </c>
      <c r="AC139" s="1391">
        <f t="shared" si="22"/>
        <v>0</v>
      </c>
      <c r="AD139" s="1391">
        <f t="shared" si="22"/>
        <v>0</v>
      </c>
      <c r="AE139" s="1391">
        <f t="shared" si="23"/>
        <v>0</v>
      </c>
      <c r="AF139" s="1391">
        <f t="shared" si="23"/>
        <v>0</v>
      </c>
      <c r="AG139" s="1391">
        <f t="shared" si="23"/>
        <v>0</v>
      </c>
      <c r="AH139" s="1391">
        <f t="shared" si="23"/>
        <v>0</v>
      </c>
      <c r="AI139" s="1391">
        <f t="shared" si="23"/>
        <v>0</v>
      </c>
      <c r="AJ139" s="1391">
        <f t="shared" si="23"/>
        <v>0</v>
      </c>
      <c r="AK139" s="1391">
        <f t="shared" si="23"/>
        <v>0</v>
      </c>
    </row>
    <row r="140" spans="1:37" ht="15.6" customHeight="1">
      <c r="C140" s="1387" t="s">
        <v>3602</v>
      </c>
      <c r="G140" s="255"/>
      <c r="I140" s="1389">
        <f t="shared" si="18"/>
        <v>0</v>
      </c>
      <c r="J140" s="258"/>
      <c r="K140" s="258"/>
      <c r="L140" s="1390">
        <f t="shared" si="19"/>
        <v>0</v>
      </c>
      <c r="M140" s="1391">
        <f t="shared" si="20"/>
        <v>0</v>
      </c>
      <c r="N140" s="1391">
        <f t="shared" si="21"/>
        <v>0</v>
      </c>
      <c r="O140" s="1391">
        <f t="shared" si="22"/>
        <v>0</v>
      </c>
      <c r="P140" s="1391">
        <f t="shared" si="22"/>
        <v>116794520.5479452</v>
      </c>
      <c r="Q140" s="1391">
        <f t="shared" si="22"/>
        <v>412630136.98630136</v>
      </c>
      <c r="R140" s="1391">
        <f t="shared" si="22"/>
        <v>541013698.63013697</v>
      </c>
      <c r="S140" s="1391">
        <f t="shared" si="22"/>
        <v>523561643.83561647</v>
      </c>
      <c r="T140" s="1391">
        <f t="shared" si="22"/>
        <v>541013698.63013697</v>
      </c>
      <c r="U140" s="1391">
        <f t="shared" si="22"/>
        <v>416164383.56164384</v>
      </c>
      <c r="V140" s="1391">
        <f t="shared" si="22"/>
        <v>402739726.02739722</v>
      </c>
      <c r="W140" s="1391">
        <f t="shared" si="22"/>
        <v>0</v>
      </c>
      <c r="X140" s="1391">
        <f t="shared" si="22"/>
        <v>0</v>
      </c>
      <c r="Y140" s="1391">
        <f t="shared" si="22"/>
        <v>0</v>
      </c>
      <c r="Z140" s="1391">
        <f t="shared" si="22"/>
        <v>0</v>
      </c>
      <c r="AA140" s="1391">
        <f t="shared" si="22"/>
        <v>0</v>
      </c>
      <c r="AB140" s="1391">
        <f t="shared" si="22"/>
        <v>0</v>
      </c>
      <c r="AC140" s="1391">
        <f t="shared" si="22"/>
        <v>0</v>
      </c>
      <c r="AD140" s="1391">
        <f t="shared" si="22"/>
        <v>0</v>
      </c>
      <c r="AE140" s="1391">
        <f t="shared" si="23"/>
        <v>0</v>
      </c>
      <c r="AF140" s="1391">
        <f t="shared" si="23"/>
        <v>0</v>
      </c>
      <c r="AG140" s="1391">
        <f t="shared" si="23"/>
        <v>0</v>
      </c>
      <c r="AH140" s="1391">
        <f t="shared" si="23"/>
        <v>0</v>
      </c>
      <c r="AI140" s="1391">
        <f t="shared" si="23"/>
        <v>0</v>
      </c>
      <c r="AJ140" s="1391">
        <f t="shared" si="23"/>
        <v>0</v>
      </c>
      <c r="AK140" s="1391">
        <f t="shared" si="23"/>
        <v>0</v>
      </c>
    </row>
    <row r="141" spans="1:37">
      <c r="C141" s="1387" t="s">
        <v>3613</v>
      </c>
      <c r="G141" s="255"/>
      <c r="I141" s="1389">
        <f t="shared" si="18"/>
        <v>0</v>
      </c>
      <c r="J141" s="258"/>
      <c r="K141" s="258"/>
      <c r="L141" s="1390">
        <f t="shared" si="19"/>
        <v>0</v>
      </c>
      <c r="M141" s="1391">
        <f t="shared" si="20"/>
        <v>0</v>
      </c>
      <c r="N141" s="1391">
        <f t="shared" si="21"/>
        <v>0</v>
      </c>
      <c r="O141" s="1391">
        <f t="shared" si="22"/>
        <v>0</v>
      </c>
      <c r="P141" s="1391">
        <f t="shared" si="22"/>
        <v>0</v>
      </c>
      <c r="Q141" s="1391">
        <f t="shared" si="22"/>
        <v>0</v>
      </c>
      <c r="R141" s="1391">
        <f t="shared" si="22"/>
        <v>123287671.23287672</v>
      </c>
      <c r="S141" s="1391">
        <f t="shared" si="22"/>
        <v>147945205.47945204</v>
      </c>
      <c r="T141" s="1391">
        <f t="shared" si="22"/>
        <v>244356164.38356164</v>
      </c>
      <c r="U141" s="1391">
        <f t="shared" si="22"/>
        <v>254157534.24657536</v>
      </c>
      <c r="V141" s="1391">
        <f t="shared" si="22"/>
        <v>245958904.10958904</v>
      </c>
      <c r="W141" s="1391">
        <f t="shared" si="22"/>
        <v>398815068.49315071</v>
      </c>
      <c r="X141" s="1391">
        <f t="shared" si="22"/>
        <v>492534246.57534242</v>
      </c>
      <c r="Y141" s="1391">
        <f t="shared" si="22"/>
        <v>508952054.79452056</v>
      </c>
      <c r="Z141" s="1391">
        <f t="shared" si="22"/>
        <v>508952054.79452056</v>
      </c>
      <c r="AA141" s="1391">
        <f t="shared" si="22"/>
        <v>476116438.3561644</v>
      </c>
      <c r="AB141" s="1391">
        <f t="shared" si="22"/>
        <v>508952054.79452056</v>
      </c>
      <c r="AC141" s="1391">
        <f t="shared" si="22"/>
        <v>492534246.57534242</v>
      </c>
      <c r="AD141" s="1391">
        <f t="shared" si="22"/>
        <v>508952054.79452056</v>
      </c>
      <c r="AE141" s="1391">
        <f t="shared" si="23"/>
        <v>492534246.57534242</v>
      </c>
      <c r="AF141" s="1391">
        <f t="shared" si="23"/>
        <v>407671232.87671232</v>
      </c>
      <c r="AG141" s="1391">
        <f t="shared" si="23"/>
        <v>0</v>
      </c>
      <c r="AH141" s="1391">
        <f t="shared" si="23"/>
        <v>0</v>
      </c>
      <c r="AI141" s="1391">
        <f t="shared" si="23"/>
        <v>0</v>
      </c>
      <c r="AJ141" s="1391">
        <f t="shared" si="23"/>
        <v>0</v>
      </c>
      <c r="AK141" s="1391">
        <f t="shared" si="23"/>
        <v>0</v>
      </c>
    </row>
    <row r="142" spans="1:37">
      <c r="C142" s="1387" t="s">
        <v>3676</v>
      </c>
      <c r="G142" s="255"/>
      <c r="I142" s="1389">
        <f t="shared" si="18"/>
        <v>0</v>
      </c>
      <c r="J142" s="258"/>
      <c r="K142" s="258"/>
      <c r="L142" s="1390">
        <f t="shared" si="19"/>
        <v>0</v>
      </c>
      <c r="M142" s="1391">
        <f t="shared" si="20"/>
        <v>0</v>
      </c>
      <c r="N142" s="1391">
        <f t="shared" si="21"/>
        <v>0</v>
      </c>
      <c r="O142" s="1391">
        <f t="shared" si="22"/>
        <v>0</v>
      </c>
      <c r="P142" s="1391">
        <f t="shared" si="22"/>
        <v>0</v>
      </c>
      <c r="Q142" s="1391">
        <f t="shared" si="22"/>
        <v>0</v>
      </c>
      <c r="R142" s="1391">
        <f t="shared" si="22"/>
        <v>0</v>
      </c>
      <c r="S142" s="1391">
        <f t="shared" si="22"/>
        <v>0</v>
      </c>
      <c r="T142" s="1391">
        <f t="shared" si="22"/>
        <v>0</v>
      </c>
      <c r="U142" s="1391">
        <f t="shared" si="22"/>
        <v>0</v>
      </c>
      <c r="V142" s="1391">
        <f t="shared" si="22"/>
        <v>0</v>
      </c>
      <c r="W142" s="1391">
        <f t="shared" si="22"/>
        <v>0</v>
      </c>
      <c r="X142" s="1391">
        <f t="shared" si="22"/>
        <v>0</v>
      </c>
      <c r="Y142" s="1391">
        <f t="shared" si="22"/>
        <v>0</v>
      </c>
      <c r="Z142" s="1391">
        <f t="shared" si="22"/>
        <v>0</v>
      </c>
      <c r="AA142" s="1391">
        <f t="shared" si="22"/>
        <v>0</v>
      </c>
      <c r="AB142" s="1391">
        <f t="shared" si="22"/>
        <v>73972602.739726022</v>
      </c>
      <c r="AC142" s="1391">
        <f t="shared" si="22"/>
        <v>369863013.69863015</v>
      </c>
      <c r="AD142" s="1391">
        <f t="shared" si="22"/>
        <v>0</v>
      </c>
      <c r="AE142" s="1391">
        <f t="shared" si="23"/>
        <v>0</v>
      </c>
      <c r="AF142" s="1391">
        <f t="shared" si="23"/>
        <v>0</v>
      </c>
      <c r="AG142" s="1391">
        <f t="shared" si="23"/>
        <v>0</v>
      </c>
      <c r="AH142" s="1391">
        <f t="shared" si="23"/>
        <v>0</v>
      </c>
      <c r="AI142" s="1391">
        <f t="shared" si="23"/>
        <v>0</v>
      </c>
      <c r="AJ142" s="1391">
        <f t="shared" si="23"/>
        <v>0</v>
      </c>
      <c r="AK142" s="1391">
        <f t="shared" si="23"/>
        <v>0</v>
      </c>
    </row>
    <row r="143" spans="1:37">
      <c r="C143" s="1387" t="s">
        <v>3685</v>
      </c>
      <c r="G143" s="255"/>
      <c r="I143" s="1389">
        <f t="shared" si="18"/>
        <v>0</v>
      </c>
      <c r="J143" s="258"/>
      <c r="K143" s="258"/>
      <c r="L143" s="1390">
        <f t="shared" si="19"/>
        <v>0</v>
      </c>
      <c r="M143" s="1391">
        <f t="shared" si="20"/>
        <v>0</v>
      </c>
      <c r="N143" s="1391">
        <f t="shared" si="21"/>
        <v>0</v>
      </c>
      <c r="O143" s="1391">
        <f t="shared" si="22"/>
        <v>0</v>
      </c>
      <c r="P143" s="1391">
        <f t="shared" si="22"/>
        <v>0</v>
      </c>
      <c r="Q143" s="1391">
        <f t="shared" si="22"/>
        <v>0</v>
      </c>
      <c r="R143" s="1391">
        <f t="shared" si="22"/>
        <v>0</v>
      </c>
      <c r="S143" s="1391">
        <f t="shared" si="22"/>
        <v>0</v>
      </c>
      <c r="T143" s="1391">
        <f t="shared" si="22"/>
        <v>0</v>
      </c>
      <c r="U143" s="1391">
        <f t="shared" si="22"/>
        <v>0</v>
      </c>
      <c r="V143" s="1391">
        <f t="shared" si="22"/>
        <v>0</v>
      </c>
      <c r="W143" s="1391">
        <f t="shared" si="22"/>
        <v>0</v>
      </c>
      <c r="X143" s="1391">
        <f t="shared" si="22"/>
        <v>0</v>
      </c>
      <c r="Y143" s="1391">
        <f t="shared" si="22"/>
        <v>0</v>
      </c>
      <c r="Z143" s="1391">
        <f t="shared" si="22"/>
        <v>0</v>
      </c>
      <c r="AA143" s="1391">
        <f t="shared" si="22"/>
        <v>0</v>
      </c>
      <c r="AB143" s="1391">
        <f t="shared" si="22"/>
        <v>0</v>
      </c>
      <c r="AC143" s="1391">
        <f t="shared" si="22"/>
        <v>0</v>
      </c>
      <c r="AD143" s="1391">
        <f t="shared" si="22"/>
        <v>0</v>
      </c>
      <c r="AE143" s="1391">
        <f t="shared" si="23"/>
        <v>0</v>
      </c>
      <c r="AF143" s="1391">
        <f t="shared" si="23"/>
        <v>88219178.08219178</v>
      </c>
      <c r="AG143" s="1391">
        <f t="shared" si="23"/>
        <v>0</v>
      </c>
      <c r="AH143" s="1391">
        <f t="shared" si="23"/>
        <v>0</v>
      </c>
      <c r="AI143" s="1391">
        <f t="shared" si="23"/>
        <v>0</v>
      </c>
      <c r="AJ143" s="1391">
        <f t="shared" si="23"/>
        <v>0</v>
      </c>
      <c r="AK143" s="1391">
        <f t="shared" si="23"/>
        <v>0</v>
      </c>
    </row>
    <row r="144" spans="1:37" ht="15.6" customHeight="1">
      <c r="C144" s="1387" t="s">
        <v>3698</v>
      </c>
      <c r="G144" s="255"/>
      <c r="I144" s="1389">
        <f>SUMIFS(I:I,C:C,C144,F:F,"&lt;=12")</f>
        <v>50382191780</v>
      </c>
      <c r="J144" s="258"/>
      <c r="K144" s="258"/>
      <c r="L144" s="1390">
        <f t="shared" si="19"/>
        <v>1103561643.8356166</v>
      </c>
      <c r="M144" s="1391">
        <f t="shared" si="20"/>
        <v>0</v>
      </c>
      <c r="N144" s="1391">
        <f t="shared" si="21"/>
        <v>0</v>
      </c>
      <c r="O144" s="1391">
        <f t="shared" si="22"/>
        <v>0</v>
      </c>
      <c r="P144" s="1391">
        <f t="shared" si="22"/>
        <v>0</v>
      </c>
      <c r="Q144" s="1391">
        <f t="shared" si="22"/>
        <v>0</v>
      </c>
      <c r="R144" s="1391">
        <f t="shared" si="22"/>
        <v>0</v>
      </c>
      <c r="S144" s="1391">
        <f t="shared" si="22"/>
        <v>0</v>
      </c>
      <c r="T144" s="1391">
        <f t="shared" si="22"/>
        <v>0</v>
      </c>
      <c r="U144" s="1391">
        <f t="shared" si="22"/>
        <v>0</v>
      </c>
      <c r="V144" s="1391">
        <f t="shared" si="22"/>
        <v>0</v>
      </c>
      <c r="W144" s="1391">
        <f t="shared" si="22"/>
        <v>0</v>
      </c>
      <c r="X144" s="1391">
        <f t="shared" si="22"/>
        <v>0</v>
      </c>
      <c r="Y144" s="1391">
        <f t="shared" si="22"/>
        <v>0</v>
      </c>
      <c r="Z144" s="1391">
        <f t="shared" si="22"/>
        <v>0</v>
      </c>
      <c r="AA144" s="1391">
        <f t="shared" si="22"/>
        <v>0</v>
      </c>
      <c r="AB144" s="1391">
        <f t="shared" si="22"/>
        <v>0</v>
      </c>
      <c r="AC144" s="1391">
        <f t="shared" si="22"/>
        <v>0</v>
      </c>
      <c r="AD144" s="1391">
        <f t="shared" si="22"/>
        <v>0</v>
      </c>
      <c r="AE144" s="1391">
        <f t="shared" si="23"/>
        <v>0</v>
      </c>
      <c r="AF144" s="1391">
        <f t="shared" si="23"/>
        <v>0</v>
      </c>
      <c r="AG144" s="1391">
        <f t="shared" si="23"/>
        <v>0</v>
      </c>
      <c r="AH144" s="1391">
        <f t="shared" si="23"/>
        <v>145753424.65753424</v>
      </c>
      <c r="AI144" s="1391">
        <f t="shared" si="23"/>
        <v>322739726.02739727</v>
      </c>
      <c r="AJ144" s="1391">
        <f t="shared" si="23"/>
        <v>312328767.12328768</v>
      </c>
      <c r="AK144" s="1391">
        <f t="shared" si="23"/>
        <v>322739726.02739727</v>
      </c>
    </row>
    <row r="145" spans="3:37">
      <c r="C145" s="1387" t="s">
        <v>3679</v>
      </c>
      <c r="G145" s="255"/>
      <c r="I145" s="1389">
        <f t="shared" si="18"/>
        <v>0</v>
      </c>
      <c r="J145" s="258"/>
      <c r="K145" s="258"/>
      <c r="L145" s="1390">
        <f t="shared" si="19"/>
        <v>0</v>
      </c>
      <c r="M145" s="1391">
        <f t="shared" si="20"/>
        <v>0</v>
      </c>
      <c r="N145" s="1391">
        <f t="shared" si="21"/>
        <v>0</v>
      </c>
      <c r="O145" s="1391">
        <f t="shared" si="22"/>
        <v>0</v>
      </c>
      <c r="P145" s="1391">
        <f t="shared" si="22"/>
        <v>0</v>
      </c>
      <c r="Q145" s="1391">
        <f t="shared" si="22"/>
        <v>0</v>
      </c>
      <c r="R145" s="1391">
        <f t="shared" si="22"/>
        <v>0</v>
      </c>
      <c r="S145" s="1391">
        <f t="shared" si="22"/>
        <v>0</v>
      </c>
      <c r="T145" s="1391">
        <f t="shared" si="22"/>
        <v>0</v>
      </c>
      <c r="U145" s="1391">
        <f t="shared" si="22"/>
        <v>0</v>
      </c>
      <c r="V145" s="1391">
        <f t="shared" si="22"/>
        <v>0</v>
      </c>
      <c r="W145" s="1391">
        <f t="shared" si="22"/>
        <v>0</v>
      </c>
      <c r="X145" s="1391">
        <f t="shared" si="22"/>
        <v>0</v>
      </c>
      <c r="Y145" s="1391">
        <f t="shared" si="22"/>
        <v>0</v>
      </c>
      <c r="Z145" s="1391">
        <f t="shared" si="22"/>
        <v>0</v>
      </c>
      <c r="AA145" s="1391">
        <f t="shared" si="22"/>
        <v>0</v>
      </c>
      <c r="AB145" s="1391">
        <f t="shared" si="22"/>
        <v>15342465.753424659</v>
      </c>
      <c r="AC145" s="1391">
        <f t="shared" si="22"/>
        <v>115068493.15068495</v>
      </c>
      <c r="AD145" s="1391">
        <f t="shared" si="22"/>
        <v>39452054.794520542</v>
      </c>
      <c r="AE145" s="1391">
        <f t="shared" si="23"/>
        <v>0</v>
      </c>
      <c r="AF145" s="1391">
        <f t="shared" si="23"/>
        <v>0</v>
      </c>
      <c r="AG145" s="1391">
        <f t="shared" si="23"/>
        <v>0</v>
      </c>
      <c r="AH145" s="1391">
        <f t="shared" si="23"/>
        <v>0</v>
      </c>
      <c r="AI145" s="1391">
        <f t="shared" si="23"/>
        <v>0</v>
      </c>
      <c r="AJ145" s="1391">
        <f t="shared" si="23"/>
        <v>0</v>
      </c>
      <c r="AK145" s="1391">
        <f t="shared" si="23"/>
        <v>0</v>
      </c>
    </row>
    <row r="146" spans="3:37">
      <c r="C146" s="1387" t="s">
        <v>3633</v>
      </c>
      <c r="G146" s="255"/>
      <c r="I146" s="1389">
        <f t="shared" si="18"/>
        <v>0</v>
      </c>
      <c r="J146" s="258"/>
      <c r="K146" s="258"/>
      <c r="L146" s="1390">
        <f t="shared" si="19"/>
        <v>0</v>
      </c>
      <c r="M146" s="1391">
        <f t="shared" si="20"/>
        <v>0</v>
      </c>
      <c r="N146" s="1391">
        <f t="shared" si="21"/>
        <v>0</v>
      </c>
      <c r="O146" s="1391">
        <f t="shared" si="22"/>
        <v>0</v>
      </c>
      <c r="P146" s="1391">
        <f t="shared" si="22"/>
        <v>0</v>
      </c>
      <c r="Q146" s="1391">
        <f t="shared" si="22"/>
        <v>0</v>
      </c>
      <c r="R146" s="1391">
        <f t="shared" si="22"/>
        <v>0</v>
      </c>
      <c r="S146" s="1391">
        <f t="shared" si="22"/>
        <v>0</v>
      </c>
      <c r="T146" s="1391">
        <f t="shared" si="22"/>
        <v>441041095.8904109</v>
      </c>
      <c r="U146" s="1391">
        <f t="shared" si="22"/>
        <v>733808219.17808223</v>
      </c>
      <c r="V146" s="1391">
        <f t="shared" si="22"/>
        <v>710136986.30136991</v>
      </c>
      <c r="W146" s="1391">
        <f t="shared" si="22"/>
        <v>733808219.17808223</v>
      </c>
      <c r="X146" s="1391">
        <f t="shared" si="22"/>
        <v>710136986.30136991</v>
      </c>
      <c r="Y146" s="1391">
        <f t="shared" si="22"/>
        <v>733808219.17808223</v>
      </c>
      <c r="Z146" s="1391">
        <f t="shared" si="22"/>
        <v>733808219.17808223</v>
      </c>
      <c r="AA146" s="1391">
        <f t="shared" si="22"/>
        <v>686465753.42465746</v>
      </c>
      <c r="AB146" s="1391">
        <f t="shared" si="22"/>
        <v>733808219.17808223</v>
      </c>
      <c r="AC146" s="1391">
        <f t="shared" si="22"/>
        <v>710136986.30136991</v>
      </c>
      <c r="AD146" s="1391">
        <f t="shared" si="22"/>
        <v>733808219.17808223</v>
      </c>
      <c r="AE146" s="1391">
        <f t="shared" si="23"/>
        <v>710136986.30136991</v>
      </c>
      <c r="AF146" s="1391">
        <f t="shared" si="23"/>
        <v>157006188.63076714</v>
      </c>
      <c r="AG146" s="1391">
        <f t="shared" si="23"/>
        <v>0</v>
      </c>
      <c r="AH146" s="1391">
        <f t="shared" si="23"/>
        <v>0</v>
      </c>
      <c r="AI146" s="1391">
        <f t="shared" si="23"/>
        <v>0</v>
      </c>
      <c r="AJ146" s="1391">
        <f t="shared" si="23"/>
        <v>0</v>
      </c>
      <c r="AK146" s="1391">
        <f t="shared" si="23"/>
        <v>0</v>
      </c>
    </row>
    <row r="147" spans="3:37">
      <c r="C147">
        <v>2288</v>
      </c>
      <c r="G147" s="1392"/>
      <c r="O147"/>
    </row>
    <row r="148" spans="3:37">
      <c r="C148" s="1387" t="s">
        <v>3557</v>
      </c>
      <c r="G148" s="255"/>
      <c r="I148" s="1389">
        <f t="shared" ref="I148:I158" si="24">SUMIFS(I:I,C:C,C148,F:F,"&gt;12")</f>
        <v>0</v>
      </c>
      <c r="L148" s="1390">
        <f t="shared" ref="L148:L158" si="25">SUMIFS($L$3:$L$133,$C$3:$C$133,$C148,$F$3:$F$133,"&gt;12")</f>
        <v>0</v>
      </c>
      <c r="M148" s="1391">
        <f t="shared" ref="M148:M158" si="26">SUMIFS($M$3:$M$133,$C$3:$C$133,$C148,$F$3:$F$133,"&gt;12")</f>
        <v>0</v>
      </c>
      <c r="N148" s="1391">
        <f t="shared" ref="N148:N158" si="27">SUMIFS($N$3:$N$133,$C$3:$C$133,$C148,$F$3:$F$133,"&gt;12")</f>
        <v>0</v>
      </c>
      <c r="O148" s="1391">
        <f t="shared" ref="O148:AD158" si="28">SUMIFS(O$3:O$133,$C$3:$C$133,$C148,$F$3:$F$133,"&gt;12")</f>
        <v>0</v>
      </c>
      <c r="P148" s="1391">
        <f t="shared" si="28"/>
        <v>0</v>
      </c>
      <c r="Q148" s="1391">
        <f t="shared" si="28"/>
        <v>0</v>
      </c>
      <c r="R148" s="1391">
        <f t="shared" si="28"/>
        <v>0</v>
      </c>
      <c r="S148" s="1391">
        <f t="shared" si="28"/>
        <v>0</v>
      </c>
      <c r="T148" s="1391">
        <f t="shared" si="28"/>
        <v>433808219.17808217</v>
      </c>
      <c r="U148" s="1391">
        <f t="shared" si="28"/>
        <v>517232876.71232879</v>
      </c>
      <c r="V148" s="1391">
        <f t="shared" si="28"/>
        <v>500547945.20547944</v>
      </c>
      <c r="W148" s="1391">
        <f t="shared" si="28"/>
        <v>517232876.71232879</v>
      </c>
      <c r="X148" s="1391">
        <f t="shared" si="28"/>
        <v>500547945.20547944</v>
      </c>
      <c r="Y148" s="1391">
        <f t="shared" si="28"/>
        <v>517232876.71232879</v>
      </c>
      <c r="Z148" s="1391">
        <f t="shared" si="28"/>
        <v>517232876.71232879</v>
      </c>
      <c r="AA148" s="1391">
        <f t="shared" si="28"/>
        <v>483863013.69863015</v>
      </c>
      <c r="AB148" s="1391">
        <f t="shared" si="28"/>
        <v>517232876.71232879</v>
      </c>
      <c r="AC148" s="1391">
        <f t="shared" si="28"/>
        <v>500547945.20547944</v>
      </c>
      <c r="AD148" s="1391">
        <f t="shared" si="28"/>
        <v>517232876.71232879</v>
      </c>
      <c r="AE148" s="1391">
        <f t="shared" ref="AE148:AK158" si="29">SUMIFS(AE$3:AE$133,$C$3:$C$133,$C148,$F$3:$F$133,"&gt;12")</f>
        <v>500547945.20547944</v>
      </c>
      <c r="AF148" s="1391">
        <f t="shared" si="29"/>
        <v>0</v>
      </c>
      <c r="AG148" s="1391">
        <f t="shared" si="29"/>
        <v>0</v>
      </c>
      <c r="AH148" s="1391">
        <f t="shared" si="29"/>
        <v>0</v>
      </c>
      <c r="AI148" s="1391">
        <f t="shared" si="29"/>
        <v>0</v>
      </c>
      <c r="AJ148" s="1391">
        <f t="shared" si="29"/>
        <v>0</v>
      </c>
      <c r="AK148" s="1391">
        <f t="shared" si="29"/>
        <v>0</v>
      </c>
    </row>
    <row r="149" spans="3:37">
      <c r="C149" s="1387" t="s">
        <v>3584</v>
      </c>
      <c r="G149" s="255"/>
      <c r="I149" s="1389">
        <f t="shared" si="24"/>
        <v>0</v>
      </c>
      <c r="L149" s="1390">
        <f t="shared" si="25"/>
        <v>0</v>
      </c>
      <c r="M149" s="1391">
        <f t="shared" si="26"/>
        <v>0</v>
      </c>
      <c r="N149" s="1391">
        <f t="shared" si="27"/>
        <v>0</v>
      </c>
      <c r="O149" s="1391">
        <f t="shared" si="28"/>
        <v>0</v>
      </c>
      <c r="P149" s="1391">
        <f t="shared" si="28"/>
        <v>0</v>
      </c>
      <c r="Q149" s="1391">
        <f t="shared" si="28"/>
        <v>0</v>
      </c>
      <c r="R149" s="1391">
        <f t="shared" si="28"/>
        <v>0</v>
      </c>
      <c r="S149" s="1391">
        <f t="shared" si="28"/>
        <v>0</v>
      </c>
      <c r="T149" s="1391">
        <f t="shared" si="28"/>
        <v>0</v>
      </c>
      <c r="U149" s="1391">
        <f t="shared" si="28"/>
        <v>0</v>
      </c>
      <c r="V149" s="1391">
        <f t="shared" si="28"/>
        <v>0</v>
      </c>
      <c r="W149" s="1391">
        <f t="shared" si="28"/>
        <v>0</v>
      </c>
      <c r="X149" s="1391">
        <f t="shared" si="28"/>
        <v>0</v>
      </c>
      <c r="Y149" s="1391">
        <f t="shared" si="28"/>
        <v>0</v>
      </c>
      <c r="Z149" s="1391">
        <f t="shared" si="28"/>
        <v>0</v>
      </c>
      <c r="AA149" s="1391">
        <f t="shared" si="28"/>
        <v>0</v>
      </c>
      <c r="AB149" s="1391">
        <f t="shared" si="28"/>
        <v>0</v>
      </c>
      <c r="AC149" s="1391">
        <f t="shared" si="28"/>
        <v>0</v>
      </c>
      <c r="AD149" s="1391">
        <f t="shared" si="28"/>
        <v>0</v>
      </c>
      <c r="AE149" s="1391">
        <f t="shared" si="29"/>
        <v>0</v>
      </c>
      <c r="AF149" s="1391">
        <f t="shared" si="29"/>
        <v>0</v>
      </c>
      <c r="AG149" s="1391">
        <f t="shared" si="29"/>
        <v>0</v>
      </c>
      <c r="AH149" s="1391">
        <f t="shared" si="29"/>
        <v>0</v>
      </c>
      <c r="AI149" s="1391">
        <f t="shared" si="29"/>
        <v>0</v>
      </c>
      <c r="AJ149" s="1391">
        <f t="shared" si="29"/>
        <v>0</v>
      </c>
      <c r="AK149" s="1391">
        <f t="shared" si="29"/>
        <v>0</v>
      </c>
    </row>
    <row r="150" spans="3:37">
      <c r="C150" s="1387" t="s">
        <v>3563</v>
      </c>
      <c r="G150" s="255"/>
      <c r="I150" s="1389">
        <f t="shared" si="24"/>
        <v>0</v>
      </c>
      <c r="L150" s="1390">
        <f t="shared" si="25"/>
        <v>0</v>
      </c>
      <c r="M150" s="1391">
        <f t="shared" si="26"/>
        <v>0</v>
      </c>
      <c r="N150" s="1391">
        <f t="shared" si="27"/>
        <v>0</v>
      </c>
      <c r="O150" s="1391">
        <f t="shared" si="28"/>
        <v>0</v>
      </c>
      <c r="P150" s="1391">
        <f t="shared" si="28"/>
        <v>0</v>
      </c>
      <c r="Q150" s="1391">
        <f t="shared" si="28"/>
        <v>0</v>
      </c>
      <c r="R150" s="1391">
        <f t="shared" si="28"/>
        <v>0</v>
      </c>
      <c r="S150" s="1391">
        <f t="shared" si="28"/>
        <v>0</v>
      </c>
      <c r="T150" s="1391">
        <f t="shared" si="28"/>
        <v>0</v>
      </c>
      <c r="U150" s="1391">
        <f t="shared" si="28"/>
        <v>0</v>
      </c>
      <c r="V150" s="1391">
        <f t="shared" si="28"/>
        <v>0</v>
      </c>
      <c r="W150" s="1391">
        <f t="shared" si="28"/>
        <v>0</v>
      </c>
      <c r="X150" s="1391">
        <f t="shared" si="28"/>
        <v>0</v>
      </c>
      <c r="Y150" s="1391">
        <f t="shared" si="28"/>
        <v>0</v>
      </c>
      <c r="Z150" s="1391">
        <f t="shared" si="28"/>
        <v>0</v>
      </c>
      <c r="AA150" s="1391">
        <f t="shared" si="28"/>
        <v>0</v>
      </c>
      <c r="AB150" s="1391">
        <f t="shared" si="28"/>
        <v>0</v>
      </c>
      <c r="AC150" s="1391">
        <f t="shared" si="28"/>
        <v>0</v>
      </c>
      <c r="AD150" s="1391">
        <f t="shared" si="28"/>
        <v>0</v>
      </c>
      <c r="AE150" s="1391">
        <f t="shared" si="29"/>
        <v>0</v>
      </c>
      <c r="AF150" s="1391">
        <f t="shared" si="29"/>
        <v>0</v>
      </c>
      <c r="AG150" s="1391">
        <f t="shared" si="29"/>
        <v>0</v>
      </c>
      <c r="AH150" s="1391">
        <f t="shared" si="29"/>
        <v>0</v>
      </c>
      <c r="AI150" s="1391">
        <f t="shared" si="29"/>
        <v>0</v>
      </c>
      <c r="AJ150" s="1391">
        <f t="shared" si="29"/>
        <v>0</v>
      </c>
      <c r="AK150" s="1391">
        <f t="shared" si="29"/>
        <v>0</v>
      </c>
    </row>
    <row r="151" spans="3:37">
      <c r="C151" s="1387" t="s">
        <v>3566</v>
      </c>
      <c r="G151" s="255"/>
      <c r="I151" s="1389">
        <f>SUMIFS(I:I,C:C,C151,F:F,"&gt;12")</f>
        <v>65000000000</v>
      </c>
      <c r="L151" s="1390">
        <f t="shared" si="25"/>
        <v>902876712.32876706</v>
      </c>
      <c r="M151" s="1391">
        <f t="shared" si="26"/>
        <v>0</v>
      </c>
      <c r="N151" s="1391">
        <f t="shared" si="27"/>
        <v>0</v>
      </c>
      <c r="O151" s="1391">
        <f t="shared" si="28"/>
        <v>0</v>
      </c>
      <c r="P151" s="1391">
        <f t="shared" si="28"/>
        <v>0</v>
      </c>
      <c r="Q151" s="1391">
        <f t="shared" si="28"/>
        <v>0</v>
      </c>
      <c r="R151" s="1391">
        <f t="shared" si="28"/>
        <v>0</v>
      </c>
      <c r="S151" s="1391">
        <f t="shared" si="28"/>
        <v>0</v>
      </c>
      <c r="T151" s="1391">
        <f t="shared" si="28"/>
        <v>0</v>
      </c>
      <c r="U151" s="1391">
        <f t="shared" si="28"/>
        <v>0</v>
      </c>
      <c r="V151" s="1391">
        <f t="shared" si="28"/>
        <v>0</v>
      </c>
      <c r="W151" s="1391">
        <f t="shared" si="28"/>
        <v>0</v>
      </c>
      <c r="X151" s="1391">
        <f t="shared" si="28"/>
        <v>0</v>
      </c>
      <c r="Y151" s="1391">
        <f t="shared" si="28"/>
        <v>0</v>
      </c>
      <c r="Z151" s="1391">
        <f t="shared" si="28"/>
        <v>0</v>
      </c>
      <c r="AA151" s="1391">
        <f t="shared" si="28"/>
        <v>0</v>
      </c>
      <c r="AB151" s="1391">
        <f t="shared" si="28"/>
        <v>0</v>
      </c>
      <c r="AC151" s="1391">
        <f t="shared" si="28"/>
        <v>0</v>
      </c>
      <c r="AD151" s="1391">
        <f t="shared" si="28"/>
        <v>0</v>
      </c>
      <c r="AE151" s="1391">
        <f t="shared" si="29"/>
        <v>0</v>
      </c>
      <c r="AF151" s="1391">
        <f t="shared" si="29"/>
        <v>0</v>
      </c>
      <c r="AG151" s="1391">
        <f t="shared" si="29"/>
        <v>215095890.41095889</v>
      </c>
      <c r="AH151" s="1391">
        <f t="shared" si="29"/>
        <v>537534246.57534242</v>
      </c>
      <c r="AI151" s="1391">
        <f t="shared" si="29"/>
        <v>812780821.91780829</v>
      </c>
      <c r="AJ151" s="1391">
        <f t="shared" si="29"/>
        <v>616438356.16438353</v>
      </c>
      <c r="AK151" s="1391">
        <f t="shared" si="29"/>
        <v>358835616.43835616</v>
      </c>
    </row>
    <row r="152" spans="3:37">
      <c r="C152" s="1387" t="s">
        <v>3569</v>
      </c>
      <c r="D152" s="1388"/>
      <c r="G152" s="255"/>
      <c r="I152" s="1389">
        <f t="shared" si="24"/>
        <v>0</v>
      </c>
      <c r="L152" s="1390">
        <f t="shared" si="25"/>
        <v>0</v>
      </c>
      <c r="M152" s="1391">
        <f t="shared" si="26"/>
        <v>0</v>
      </c>
      <c r="N152" s="1391">
        <f t="shared" si="27"/>
        <v>143835616.43835619</v>
      </c>
      <c r="O152" s="1391">
        <f t="shared" si="28"/>
        <v>0</v>
      </c>
      <c r="P152" s="1391">
        <f t="shared" si="28"/>
        <v>0</v>
      </c>
      <c r="Q152" s="1391">
        <f t="shared" si="28"/>
        <v>0</v>
      </c>
      <c r="R152" s="1391">
        <f t="shared" si="28"/>
        <v>0</v>
      </c>
      <c r="S152" s="1391">
        <f t="shared" si="28"/>
        <v>0</v>
      </c>
      <c r="T152" s="1391">
        <f t="shared" si="28"/>
        <v>0</v>
      </c>
      <c r="U152" s="1391">
        <f t="shared" si="28"/>
        <v>0</v>
      </c>
      <c r="V152" s="1391">
        <f t="shared" si="28"/>
        <v>0</v>
      </c>
      <c r="W152" s="1391">
        <f t="shared" si="28"/>
        <v>0</v>
      </c>
      <c r="X152" s="1391">
        <f t="shared" si="28"/>
        <v>0</v>
      </c>
      <c r="Y152" s="1391">
        <f t="shared" si="28"/>
        <v>0</v>
      </c>
      <c r="Z152" s="1391">
        <f t="shared" si="28"/>
        <v>0</v>
      </c>
      <c r="AA152" s="1391">
        <f t="shared" si="28"/>
        <v>0</v>
      </c>
      <c r="AB152" s="1391">
        <f t="shared" si="28"/>
        <v>0</v>
      </c>
      <c r="AC152" s="1391">
        <f t="shared" si="28"/>
        <v>0</v>
      </c>
      <c r="AD152" s="1391">
        <f t="shared" si="28"/>
        <v>0</v>
      </c>
      <c r="AE152" s="1391">
        <f t="shared" si="29"/>
        <v>0</v>
      </c>
      <c r="AF152" s="1391">
        <f t="shared" si="29"/>
        <v>0</v>
      </c>
      <c r="AG152" s="1391">
        <f t="shared" si="29"/>
        <v>0</v>
      </c>
      <c r="AH152" s="1391">
        <f t="shared" si="29"/>
        <v>0</v>
      </c>
      <c r="AI152" s="1391">
        <f t="shared" si="29"/>
        <v>0</v>
      </c>
      <c r="AJ152" s="1391">
        <f t="shared" si="29"/>
        <v>0</v>
      </c>
      <c r="AK152" s="1391">
        <f t="shared" si="29"/>
        <v>0</v>
      </c>
    </row>
    <row r="153" spans="3:37">
      <c r="C153" s="1387" t="s">
        <v>3602</v>
      </c>
      <c r="I153" s="1389">
        <f t="shared" si="24"/>
        <v>0</v>
      </c>
      <c r="L153" s="1390">
        <f t="shared" si="25"/>
        <v>0</v>
      </c>
      <c r="M153" s="1391">
        <f t="shared" si="26"/>
        <v>0</v>
      </c>
      <c r="N153" s="1391">
        <f t="shared" si="27"/>
        <v>0</v>
      </c>
      <c r="O153" s="1391">
        <f t="shared" si="28"/>
        <v>0</v>
      </c>
      <c r="P153" s="1391">
        <f t="shared" si="28"/>
        <v>0</v>
      </c>
      <c r="Q153" s="1391">
        <f t="shared" si="28"/>
        <v>0</v>
      </c>
      <c r="R153" s="1391">
        <f t="shared" si="28"/>
        <v>0</v>
      </c>
      <c r="S153" s="1391">
        <f t="shared" si="28"/>
        <v>0</v>
      </c>
      <c r="T153" s="1391">
        <f t="shared" si="28"/>
        <v>0</v>
      </c>
      <c r="U153" s="1391">
        <f t="shared" si="28"/>
        <v>0</v>
      </c>
      <c r="V153" s="1391">
        <f t="shared" si="28"/>
        <v>0</v>
      </c>
      <c r="W153" s="1391">
        <f t="shared" si="28"/>
        <v>0</v>
      </c>
      <c r="X153" s="1391">
        <f t="shared" si="28"/>
        <v>0</v>
      </c>
      <c r="Y153" s="1391">
        <f t="shared" si="28"/>
        <v>0</v>
      </c>
      <c r="Z153" s="1391">
        <f t="shared" si="28"/>
        <v>0</v>
      </c>
      <c r="AA153" s="1391">
        <f t="shared" si="28"/>
        <v>0</v>
      </c>
      <c r="AB153" s="1391">
        <f t="shared" si="28"/>
        <v>0</v>
      </c>
      <c r="AC153" s="1391">
        <f t="shared" si="28"/>
        <v>0</v>
      </c>
      <c r="AD153" s="1391">
        <f t="shared" si="28"/>
        <v>0</v>
      </c>
      <c r="AE153" s="1391">
        <f t="shared" si="29"/>
        <v>0</v>
      </c>
      <c r="AF153" s="1391">
        <f t="shared" si="29"/>
        <v>0</v>
      </c>
      <c r="AG153" s="1391">
        <f t="shared" si="29"/>
        <v>0</v>
      </c>
      <c r="AH153" s="1391">
        <f t="shared" si="29"/>
        <v>0</v>
      </c>
      <c r="AI153" s="1391">
        <f t="shared" si="29"/>
        <v>0</v>
      </c>
      <c r="AJ153" s="1391">
        <f t="shared" si="29"/>
        <v>0</v>
      </c>
      <c r="AK153" s="1391">
        <f t="shared" si="29"/>
        <v>0</v>
      </c>
    </row>
    <row r="154" spans="3:37">
      <c r="C154" s="1387" t="s">
        <v>3613</v>
      </c>
      <c r="I154" s="1389">
        <f t="shared" si="24"/>
        <v>0</v>
      </c>
      <c r="L154" s="1390">
        <f t="shared" si="25"/>
        <v>0</v>
      </c>
      <c r="M154" s="1391">
        <f t="shared" si="26"/>
        <v>0</v>
      </c>
      <c r="N154" s="1391">
        <f t="shared" si="27"/>
        <v>0</v>
      </c>
      <c r="O154" s="1391">
        <f t="shared" si="28"/>
        <v>0</v>
      </c>
      <c r="P154" s="1391">
        <f t="shared" si="28"/>
        <v>0</v>
      </c>
      <c r="Q154" s="1391">
        <f t="shared" si="28"/>
        <v>0</v>
      </c>
      <c r="R154" s="1391">
        <f t="shared" si="28"/>
        <v>52931506.84931507</v>
      </c>
      <c r="S154" s="1391">
        <f t="shared" si="28"/>
        <v>367463013.69863015</v>
      </c>
      <c r="T154" s="1391">
        <f t="shared" si="28"/>
        <v>847295890.41095889</v>
      </c>
      <c r="U154" s="1391">
        <f t="shared" si="28"/>
        <v>860610958.9041096</v>
      </c>
      <c r="V154" s="1391">
        <f t="shared" si="28"/>
        <v>832849315.06849313</v>
      </c>
      <c r="W154" s="1391">
        <f t="shared" si="28"/>
        <v>860610958.9041096</v>
      </c>
      <c r="X154" s="1391">
        <f t="shared" si="28"/>
        <v>832849315.06849313</v>
      </c>
      <c r="Y154" s="1391">
        <f t="shared" si="28"/>
        <v>860610958.9041096</v>
      </c>
      <c r="Z154" s="1391">
        <f t="shared" si="28"/>
        <v>860610958.9041096</v>
      </c>
      <c r="AA154" s="1391">
        <f t="shared" si="28"/>
        <v>805087671.23287678</v>
      </c>
      <c r="AB154" s="1391">
        <f t="shared" si="28"/>
        <v>860610958.9041096</v>
      </c>
      <c r="AC154" s="1391">
        <f t="shared" si="28"/>
        <v>832849315.06849313</v>
      </c>
      <c r="AD154" s="1391">
        <f t="shared" si="28"/>
        <v>860610958.9041096</v>
      </c>
      <c r="AE154" s="1391">
        <f t="shared" si="29"/>
        <v>530383561.64383566</v>
      </c>
      <c r="AF154" s="1391">
        <f t="shared" si="29"/>
        <v>532520547.94520545</v>
      </c>
      <c r="AG154" s="1391">
        <f t="shared" si="29"/>
        <v>137589041.0958904</v>
      </c>
      <c r="AH154" s="1391">
        <f t="shared" si="29"/>
        <v>133150684.93150684</v>
      </c>
      <c r="AI154" s="1391">
        <f t="shared" si="29"/>
        <v>0</v>
      </c>
      <c r="AJ154" s="1391">
        <f t="shared" si="29"/>
        <v>0</v>
      </c>
      <c r="AK154" s="1391">
        <f t="shared" si="29"/>
        <v>0</v>
      </c>
    </row>
    <row r="155" spans="3:37">
      <c r="C155" s="1387" t="s">
        <v>3676</v>
      </c>
      <c r="I155" s="1389">
        <f t="shared" si="24"/>
        <v>0</v>
      </c>
      <c r="L155" s="1390">
        <f t="shared" si="25"/>
        <v>0</v>
      </c>
      <c r="M155" s="1391">
        <f t="shared" si="26"/>
        <v>0</v>
      </c>
      <c r="N155" s="1391">
        <f t="shared" si="27"/>
        <v>0</v>
      </c>
      <c r="O155" s="1391">
        <f t="shared" si="28"/>
        <v>0</v>
      </c>
      <c r="P155" s="1391">
        <f t="shared" si="28"/>
        <v>0</v>
      </c>
      <c r="Q155" s="1391">
        <f t="shared" si="28"/>
        <v>0</v>
      </c>
      <c r="R155" s="1391">
        <f t="shared" si="28"/>
        <v>0</v>
      </c>
      <c r="S155" s="1391">
        <f t="shared" si="28"/>
        <v>0</v>
      </c>
      <c r="T155" s="1391">
        <f t="shared" si="28"/>
        <v>0</v>
      </c>
      <c r="U155" s="1391">
        <f t="shared" si="28"/>
        <v>0</v>
      </c>
      <c r="V155" s="1391">
        <f t="shared" si="28"/>
        <v>0</v>
      </c>
      <c r="W155" s="1391">
        <f t="shared" si="28"/>
        <v>0</v>
      </c>
      <c r="X155" s="1391">
        <f t="shared" si="28"/>
        <v>0</v>
      </c>
      <c r="Y155" s="1391">
        <f t="shared" si="28"/>
        <v>0</v>
      </c>
      <c r="Z155" s="1391">
        <f t="shared" si="28"/>
        <v>0</v>
      </c>
      <c r="AA155" s="1391">
        <f t="shared" si="28"/>
        <v>0</v>
      </c>
      <c r="AB155" s="1391">
        <f t="shared" si="28"/>
        <v>0</v>
      </c>
      <c r="AC155" s="1391">
        <f t="shared" si="28"/>
        <v>0</v>
      </c>
      <c r="AD155" s="1391">
        <f t="shared" si="28"/>
        <v>0</v>
      </c>
      <c r="AE155" s="1391">
        <f t="shared" si="29"/>
        <v>0</v>
      </c>
      <c r="AF155" s="1391">
        <f t="shared" si="29"/>
        <v>0</v>
      </c>
      <c r="AG155" s="1391">
        <f t="shared" si="29"/>
        <v>0</v>
      </c>
      <c r="AH155" s="1391">
        <f t="shared" si="29"/>
        <v>0</v>
      </c>
      <c r="AI155" s="1391">
        <f t="shared" si="29"/>
        <v>0</v>
      </c>
      <c r="AJ155" s="1391">
        <f t="shared" si="29"/>
        <v>0</v>
      </c>
      <c r="AK155" s="1391">
        <f t="shared" si="29"/>
        <v>0</v>
      </c>
    </row>
    <row r="156" spans="3:37">
      <c r="C156" s="1387" t="s">
        <v>3679</v>
      </c>
      <c r="I156" s="1389">
        <f t="shared" si="24"/>
        <v>0</v>
      </c>
      <c r="L156" s="1390">
        <f t="shared" si="25"/>
        <v>0</v>
      </c>
      <c r="M156" s="1391">
        <f t="shared" si="26"/>
        <v>0</v>
      </c>
      <c r="N156" s="1391">
        <f t="shared" si="27"/>
        <v>0</v>
      </c>
      <c r="O156" s="1391">
        <f t="shared" si="28"/>
        <v>0</v>
      </c>
      <c r="P156" s="1391">
        <f t="shared" si="28"/>
        <v>0</v>
      </c>
      <c r="Q156" s="1391">
        <f t="shared" si="28"/>
        <v>0</v>
      </c>
      <c r="R156" s="1391">
        <f t="shared" si="28"/>
        <v>0</v>
      </c>
      <c r="S156" s="1391">
        <f t="shared" si="28"/>
        <v>0</v>
      </c>
      <c r="T156" s="1391">
        <f t="shared" si="28"/>
        <v>0</v>
      </c>
      <c r="U156" s="1391">
        <f t="shared" si="28"/>
        <v>0</v>
      </c>
      <c r="V156" s="1391">
        <f t="shared" si="28"/>
        <v>0</v>
      </c>
      <c r="W156" s="1391">
        <f t="shared" si="28"/>
        <v>0</v>
      </c>
      <c r="X156" s="1391">
        <f t="shared" si="28"/>
        <v>0</v>
      </c>
      <c r="Y156" s="1391">
        <f t="shared" si="28"/>
        <v>0</v>
      </c>
      <c r="Z156" s="1391">
        <f t="shared" si="28"/>
        <v>0</v>
      </c>
      <c r="AA156" s="1391">
        <f t="shared" si="28"/>
        <v>0</v>
      </c>
      <c r="AB156" s="1391">
        <f t="shared" si="28"/>
        <v>0</v>
      </c>
      <c r="AC156" s="1391">
        <f t="shared" si="28"/>
        <v>0</v>
      </c>
      <c r="AD156" s="1391">
        <f t="shared" si="28"/>
        <v>0</v>
      </c>
      <c r="AE156" s="1391">
        <f t="shared" si="29"/>
        <v>0</v>
      </c>
      <c r="AF156" s="1391">
        <f t="shared" si="29"/>
        <v>0</v>
      </c>
      <c r="AG156" s="1391">
        <f t="shared" si="29"/>
        <v>0</v>
      </c>
      <c r="AH156" s="1391">
        <f t="shared" si="29"/>
        <v>0</v>
      </c>
      <c r="AI156" s="1391">
        <f t="shared" si="29"/>
        <v>0</v>
      </c>
      <c r="AJ156" s="1391">
        <f t="shared" si="29"/>
        <v>0</v>
      </c>
      <c r="AK156" s="1391">
        <f t="shared" si="29"/>
        <v>0</v>
      </c>
    </row>
    <row r="157" spans="3:37">
      <c r="C157" s="1387" t="s">
        <v>3633</v>
      </c>
      <c r="I157" s="1389">
        <f t="shared" si="24"/>
        <v>0</v>
      </c>
      <c r="L157" s="1390">
        <f t="shared" si="25"/>
        <v>0</v>
      </c>
      <c r="M157" s="1391">
        <f t="shared" si="26"/>
        <v>0</v>
      </c>
      <c r="N157" s="1391">
        <f t="shared" si="27"/>
        <v>0</v>
      </c>
      <c r="O157" s="1391">
        <f t="shared" si="28"/>
        <v>0</v>
      </c>
      <c r="P157" s="1391">
        <f t="shared" si="28"/>
        <v>0</v>
      </c>
      <c r="Q157" s="1391">
        <f t="shared" si="28"/>
        <v>0</v>
      </c>
      <c r="R157" s="1391">
        <f t="shared" si="28"/>
        <v>0</v>
      </c>
      <c r="S157" s="1391">
        <f t="shared" si="28"/>
        <v>0</v>
      </c>
      <c r="T157" s="1391">
        <f t="shared" si="28"/>
        <v>0</v>
      </c>
      <c r="U157" s="1391">
        <f t="shared" si="28"/>
        <v>0</v>
      </c>
      <c r="V157" s="1391">
        <f t="shared" si="28"/>
        <v>0</v>
      </c>
      <c r="W157" s="1391">
        <f t="shared" si="28"/>
        <v>0</v>
      </c>
      <c r="X157" s="1391">
        <f t="shared" si="28"/>
        <v>0</v>
      </c>
      <c r="Y157" s="1391">
        <f t="shared" si="28"/>
        <v>0</v>
      </c>
      <c r="Z157" s="1391">
        <f t="shared" si="28"/>
        <v>0</v>
      </c>
      <c r="AA157" s="1391">
        <f t="shared" si="28"/>
        <v>0</v>
      </c>
      <c r="AB157" s="1391">
        <f t="shared" si="28"/>
        <v>0</v>
      </c>
      <c r="AC157" s="1391">
        <f t="shared" si="28"/>
        <v>0</v>
      </c>
      <c r="AD157" s="1391">
        <f t="shared" si="28"/>
        <v>0</v>
      </c>
      <c r="AE157" s="1391">
        <f t="shared" si="29"/>
        <v>0</v>
      </c>
      <c r="AF157" s="1391">
        <f t="shared" si="29"/>
        <v>0</v>
      </c>
      <c r="AG157" s="1391">
        <f t="shared" si="29"/>
        <v>0</v>
      </c>
      <c r="AH157" s="1391">
        <f t="shared" si="29"/>
        <v>0</v>
      </c>
      <c r="AI157" s="1391">
        <f t="shared" si="29"/>
        <v>0</v>
      </c>
      <c r="AJ157" s="1391">
        <f t="shared" si="29"/>
        <v>0</v>
      </c>
      <c r="AK157" s="1391">
        <f t="shared" si="29"/>
        <v>0</v>
      </c>
    </row>
    <row r="158" spans="3:37">
      <c r="C158" s="1387" t="s">
        <v>3709</v>
      </c>
      <c r="I158" s="1389">
        <f t="shared" si="24"/>
        <v>0</v>
      </c>
      <c r="L158" s="1390">
        <f t="shared" si="25"/>
        <v>0</v>
      </c>
      <c r="M158" s="1391">
        <f t="shared" si="26"/>
        <v>0</v>
      </c>
      <c r="N158" s="1391">
        <f t="shared" si="27"/>
        <v>0</v>
      </c>
      <c r="O158" s="1391">
        <f t="shared" si="28"/>
        <v>0</v>
      </c>
      <c r="P158" s="1391">
        <f t="shared" si="28"/>
        <v>0</v>
      </c>
      <c r="Q158" s="1391">
        <f t="shared" si="28"/>
        <v>0</v>
      </c>
      <c r="R158" s="1391">
        <f t="shared" si="28"/>
        <v>0</v>
      </c>
      <c r="S158" s="1391">
        <f t="shared" si="28"/>
        <v>0</v>
      </c>
      <c r="T158" s="1391">
        <f t="shared" si="28"/>
        <v>0</v>
      </c>
      <c r="U158" s="1391">
        <f t="shared" si="28"/>
        <v>0</v>
      </c>
      <c r="V158" s="1391">
        <f t="shared" si="28"/>
        <v>0</v>
      </c>
      <c r="W158" s="1391">
        <f t="shared" si="28"/>
        <v>0</v>
      </c>
      <c r="X158" s="1391">
        <f t="shared" si="28"/>
        <v>0</v>
      </c>
      <c r="Y158" s="1391">
        <f t="shared" si="28"/>
        <v>0</v>
      </c>
      <c r="Z158" s="1391">
        <f t="shared" si="28"/>
        <v>0</v>
      </c>
      <c r="AA158" s="1391">
        <f t="shared" si="28"/>
        <v>0</v>
      </c>
      <c r="AB158" s="1391">
        <f t="shared" si="28"/>
        <v>0</v>
      </c>
      <c r="AC158" s="1391">
        <f t="shared" si="28"/>
        <v>0</v>
      </c>
      <c r="AD158" s="1391">
        <f t="shared" si="28"/>
        <v>0</v>
      </c>
      <c r="AE158" s="1391">
        <f t="shared" si="29"/>
        <v>0</v>
      </c>
      <c r="AF158" s="1391">
        <f t="shared" si="29"/>
        <v>0</v>
      </c>
      <c r="AG158" s="1391">
        <f t="shared" si="29"/>
        <v>0</v>
      </c>
      <c r="AH158" s="1391">
        <f t="shared" si="29"/>
        <v>0</v>
      </c>
      <c r="AI158" s="1391">
        <f t="shared" si="29"/>
        <v>0</v>
      </c>
      <c r="AJ158" s="1391">
        <f t="shared" si="29"/>
        <v>0</v>
      </c>
      <c r="AK158" s="1391">
        <f t="shared" si="29"/>
        <v>0</v>
      </c>
    </row>
    <row r="159" spans="3:37">
      <c r="C159" s="1365"/>
      <c r="I159" s="1393"/>
      <c r="L159" s="1394"/>
      <c r="M159" s="1394"/>
      <c r="N159" s="1394"/>
      <c r="O159" s="1394"/>
      <c r="P159" s="1394"/>
      <c r="Q159" s="1394"/>
      <c r="R159" s="1394"/>
      <c r="S159" s="1394"/>
      <c r="T159" s="1394"/>
      <c r="U159" s="1394"/>
      <c r="V159" s="1394"/>
      <c r="W159" s="1394"/>
      <c r="X159" s="1394"/>
      <c r="Y159" s="1394"/>
      <c r="Z159" s="1394"/>
      <c r="AA159" s="1394"/>
      <c r="AB159" s="1394"/>
      <c r="AC159" s="1394"/>
      <c r="AD159" s="1394"/>
      <c r="AE159" s="1394"/>
      <c r="AF159" s="1394"/>
      <c r="AG159" s="1394"/>
      <c r="AH159" s="1394"/>
      <c r="AI159" s="1394"/>
      <c r="AJ159" s="1394"/>
      <c r="AK159" s="1394"/>
    </row>
    <row r="160" spans="3:37">
      <c r="C160" s="1395"/>
      <c r="I160" s="1396">
        <f>SUM(I135:I157)</f>
        <v>145382191780</v>
      </c>
      <c r="L160" s="1396">
        <f>SUM(L135:L154)</f>
        <v>2084520547.9452055</v>
      </c>
      <c r="M160" s="1396">
        <f>SUM(M135:M157)</f>
        <v>394082191.78082192</v>
      </c>
      <c r="N160" s="1396">
        <f t="shared" ref="N160:AK160" si="30">SUM(N135:N157)</f>
        <v>2142216986.3013699</v>
      </c>
      <c r="O160" s="1396">
        <f t="shared" si="30"/>
        <v>3172168767.1232877</v>
      </c>
      <c r="P160" s="1396">
        <f t="shared" si="30"/>
        <v>3908181369.8630137</v>
      </c>
      <c r="Q160" s="1396">
        <f t="shared" si="30"/>
        <v>4335331506.8493147</v>
      </c>
      <c r="R160" s="1396">
        <f t="shared" si="30"/>
        <v>4898852602.7397261</v>
      </c>
      <c r="S160" s="1396">
        <f t="shared" si="30"/>
        <v>4303890410.9589043</v>
      </c>
      <c r="T160" s="1396">
        <f t="shared" si="30"/>
        <v>3998361643.8356161</v>
      </c>
      <c r="U160" s="1396">
        <f t="shared" si="30"/>
        <v>4118371232.8767123</v>
      </c>
      <c r="V160" s="1396">
        <f t="shared" si="30"/>
        <v>4137301643.8356161</v>
      </c>
      <c r="W160" s="1396">
        <f t="shared" si="30"/>
        <v>4246018082.191781</v>
      </c>
      <c r="X160" s="1396">
        <f t="shared" si="30"/>
        <v>4110706849.3150682</v>
      </c>
      <c r="Y160" s="1396">
        <f t="shared" si="30"/>
        <v>4250976986.3013701</v>
      </c>
      <c r="Z160" s="1396">
        <f t="shared" si="30"/>
        <v>3940113972.6027398</v>
      </c>
      <c r="AA160" s="1396">
        <f t="shared" si="30"/>
        <v>3891532602.7397265</v>
      </c>
      <c r="AB160" s="1396">
        <f t="shared" si="30"/>
        <v>3867374246.5753427</v>
      </c>
      <c r="AC160" s="1396">
        <f t="shared" si="30"/>
        <v>4110432876.7123289</v>
      </c>
      <c r="AD160" s="1396">
        <f t="shared" si="30"/>
        <v>3817511232.8767123</v>
      </c>
      <c r="AE160" s="1396">
        <f t="shared" si="30"/>
        <v>3238670328.7671237</v>
      </c>
      <c r="AF160" s="1396">
        <f t="shared" si="30"/>
        <v>1645225430.5147452</v>
      </c>
      <c r="AG160" s="1396">
        <f t="shared" si="30"/>
        <v>412824931.50684929</v>
      </c>
      <c r="AH160" s="1396">
        <f t="shared" si="30"/>
        <v>816438356.16438353</v>
      </c>
      <c r="AI160" s="1396">
        <f t="shared" si="30"/>
        <v>1135520547.9452057</v>
      </c>
      <c r="AJ160" s="1396">
        <f t="shared" si="30"/>
        <v>928767123.28767121</v>
      </c>
      <c r="AK160" s="1396">
        <f t="shared" si="30"/>
        <v>759657534.24657536</v>
      </c>
    </row>
    <row r="161" spans="1:37">
      <c r="C161" s="1395"/>
    </row>
    <row r="162" spans="1:37">
      <c r="C162" s="1397" t="s">
        <v>3710</v>
      </c>
      <c r="I162" s="258"/>
      <c r="M162" s="1398">
        <f>M49</f>
        <v>0</v>
      </c>
      <c r="N162" s="1398">
        <f t="shared" ref="N162:AK162" si="31">N49</f>
        <v>0</v>
      </c>
      <c r="O162" s="1398">
        <f t="shared" si="31"/>
        <v>0</v>
      </c>
      <c r="P162" s="1398">
        <f t="shared" si="31"/>
        <v>162671232.87671232</v>
      </c>
      <c r="Q162" s="1398">
        <f t="shared" si="31"/>
        <v>195205479.4520548</v>
      </c>
      <c r="R162" s="1398">
        <f t="shared" si="31"/>
        <v>201712328.76712328</v>
      </c>
      <c r="S162" s="1398">
        <f t="shared" si="31"/>
        <v>195205479.4520548</v>
      </c>
      <c r="T162" s="1398">
        <f t="shared" si="31"/>
        <v>201712328.76712328</v>
      </c>
      <c r="U162" s="1398">
        <f t="shared" si="31"/>
        <v>0</v>
      </c>
      <c r="V162" s="1398">
        <f t="shared" si="31"/>
        <v>0</v>
      </c>
      <c r="W162" s="1398">
        <f t="shared" si="31"/>
        <v>0</v>
      </c>
      <c r="X162" s="1398">
        <f t="shared" si="31"/>
        <v>0</v>
      </c>
      <c r="Y162" s="1398">
        <f t="shared" si="31"/>
        <v>0</v>
      </c>
      <c r="Z162" s="1398">
        <f t="shared" si="31"/>
        <v>0</v>
      </c>
      <c r="AA162" s="1398">
        <f t="shared" si="31"/>
        <v>0</v>
      </c>
      <c r="AB162" s="1398">
        <f t="shared" si="31"/>
        <v>0</v>
      </c>
      <c r="AC162" s="1398">
        <f t="shared" si="31"/>
        <v>0</v>
      </c>
      <c r="AD162" s="1398">
        <f t="shared" si="31"/>
        <v>0</v>
      </c>
      <c r="AE162" s="1398">
        <f t="shared" si="31"/>
        <v>0</v>
      </c>
      <c r="AF162" s="1398">
        <f t="shared" si="31"/>
        <v>0</v>
      </c>
      <c r="AG162" s="1398">
        <f t="shared" si="31"/>
        <v>0</v>
      </c>
      <c r="AH162" s="1398">
        <f t="shared" si="31"/>
        <v>0</v>
      </c>
      <c r="AI162" s="1398">
        <f t="shared" si="31"/>
        <v>0</v>
      </c>
      <c r="AJ162" s="1398">
        <f t="shared" si="31"/>
        <v>0</v>
      </c>
      <c r="AK162" s="1398">
        <f t="shared" si="31"/>
        <v>0</v>
      </c>
    </row>
    <row r="163" spans="1:37">
      <c r="C163" s="1399"/>
    </row>
    <row r="164" spans="1:37">
      <c r="A164" s="1400"/>
      <c r="C164" s="1399"/>
      <c r="I164" s="258"/>
    </row>
    <row r="165" spans="1:37">
      <c r="A165" s="1400"/>
      <c r="C165" s="1399"/>
      <c r="I165" s="258"/>
      <c r="K165" s="1389"/>
    </row>
    <row r="166" spans="1:37">
      <c r="A166" s="1400"/>
      <c r="C166" s="1399"/>
      <c r="I166" s="258"/>
    </row>
    <row r="167" spans="1:37">
      <c r="A167" s="1400"/>
      <c r="C167" s="1399"/>
      <c r="I167" s="258"/>
    </row>
    <row r="168" spans="1:37">
      <c r="K168" s="258"/>
    </row>
    <row r="182" spans="3:4">
      <c r="C182" s="1389">
        <v>52156712329</v>
      </c>
      <c r="D182" s="1390">
        <v>3747945205.4794517</v>
      </c>
    </row>
    <row r="183" spans="3:4">
      <c r="C183" s="1389">
        <v>72394931507</v>
      </c>
      <c r="D183" s="1390">
        <v>7135191780.8219175</v>
      </c>
    </row>
  </sheetData>
  <autoFilter ref="B2:U129" xr:uid="{7E2C351C-FBA2-4183-A5C9-B51D9E76AD1D}"/>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4633-012E-47CC-B06E-BCA213A4922C}">
  <sheetPr codeName="Sheet27"/>
  <dimension ref="A1:P74"/>
  <sheetViews>
    <sheetView zoomScale="70" zoomScaleNormal="70" workbookViewId="0">
      <pane ySplit="7" topLeftCell="A8" activePane="bottomLeft" state="frozen"/>
      <selection activeCell="G27" sqref="G27"/>
      <selection pane="bottomLeft" activeCell="F11" sqref="F11"/>
    </sheetView>
  </sheetViews>
  <sheetFormatPr defaultColWidth="9.140625" defaultRowHeight="12.75"/>
  <cols>
    <col min="1" max="1" width="9.140625" style="2"/>
    <col min="2" max="2" width="50.42578125" style="2" bestFit="1" customWidth="1"/>
    <col min="3" max="8" width="18.85546875" style="2" bestFit="1" customWidth="1"/>
    <col min="9" max="9" width="16.5703125" style="2" bestFit="1" customWidth="1"/>
    <col min="10" max="12" width="9.140625" style="2"/>
    <col min="13" max="13" width="18.42578125" style="2" bestFit="1" customWidth="1"/>
    <col min="14" max="14" width="28.5703125" style="2" bestFit="1" customWidth="1"/>
    <col min="15" max="16384" width="9.140625" style="2"/>
  </cols>
  <sheetData>
    <row r="1" spans="1:9">
      <c r="A1" s="850" t="s">
        <v>3711</v>
      </c>
      <c r="B1" s="850"/>
      <c r="C1" s="850"/>
      <c r="D1" s="850"/>
      <c r="E1" s="850"/>
      <c r="F1" s="850"/>
      <c r="G1" s="850"/>
      <c r="H1" s="850"/>
      <c r="I1" s="850"/>
    </row>
    <row r="2" spans="1:9">
      <c r="A2" s="1" t="s">
        <v>0</v>
      </c>
      <c r="B2" s="850" t="s">
        <v>3712</v>
      </c>
      <c r="C2" s="850"/>
      <c r="D2" s="850"/>
      <c r="E2" s="850"/>
      <c r="F2" s="850"/>
      <c r="G2" s="850"/>
      <c r="H2" s="850"/>
      <c r="I2" s="850"/>
    </row>
    <row r="3" spans="1:9">
      <c r="A3" s="1" t="s">
        <v>2</v>
      </c>
      <c r="B3" s="852" t="s">
        <v>3072</v>
      </c>
      <c r="C3" s="850"/>
      <c r="D3" s="850"/>
      <c r="E3" s="850"/>
      <c r="F3" s="850"/>
      <c r="G3" s="850"/>
      <c r="H3" s="850"/>
      <c r="I3" s="850"/>
    </row>
    <row r="4" spans="1:9">
      <c r="A4" s="3" t="s">
        <v>738</v>
      </c>
      <c r="B4" s="850"/>
      <c r="C4" s="850"/>
      <c r="D4" s="850"/>
      <c r="E4" s="850"/>
      <c r="F4" s="850"/>
      <c r="G4" s="850"/>
      <c r="H4" s="850"/>
      <c r="I4" s="850"/>
    </row>
    <row r="6" spans="1:9" ht="42.75">
      <c r="A6" s="1614" t="s">
        <v>4</v>
      </c>
      <c r="B6" s="1614" t="s">
        <v>5</v>
      </c>
      <c r="C6" s="1615" t="s">
        <v>6</v>
      </c>
      <c r="D6" s="1616"/>
      <c r="E6" s="1617" t="s">
        <v>7</v>
      </c>
      <c r="F6" s="1617"/>
      <c r="G6" s="1617" t="s">
        <v>8</v>
      </c>
      <c r="H6" s="1617"/>
      <c r="I6" s="850"/>
    </row>
    <row r="7" spans="1:9" ht="14.25">
      <c r="A7" s="1578"/>
      <c r="B7" s="1578"/>
      <c r="C7" s="1579" t="s">
        <v>11</v>
      </c>
      <c r="D7" s="1579" t="s">
        <v>12</v>
      </c>
      <c r="E7" s="1579" t="s">
        <v>11</v>
      </c>
      <c r="F7" s="1580" t="s">
        <v>12</v>
      </c>
      <c r="G7" s="1580" t="s">
        <v>11</v>
      </c>
      <c r="H7" s="1579" t="s">
        <v>12</v>
      </c>
      <c r="I7" s="850" t="s">
        <v>1298</v>
      </c>
    </row>
    <row r="8" spans="1:9" ht="13.5">
      <c r="A8" s="1618" t="s">
        <v>13</v>
      </c>
      <c r="B8" s="1619" t="s">
        <v>14</v>
      </c>
      <c r="C8" s="1620">
        <v>0</v>
      </c>
      <c r="D8" s="1621">
        <v>0</v>
      </c>
      <c r="E8" s="1621">
        <v>12000000</v>
      </c>
      <c r="F8" s="1621">
        <v>12000000</v>
      </c>
      <c r="G8" s="1621">
        <v>0</v>
      </c>
      <c r="H8" s="1621">
        <v>0</v>
      </c>
      <c r="I8" s="857">
        <f>G8-H8</f>
        <v>0</v>
      </c>
    </row>
    <row r="9" spans="1:9" ht="13.5">
      <c r="A9" s="1622" t="s">
        <v>15</v>
      </c>
      <c r="B9" s="1623" t="s">
        <v>16</v>
      </c>
      <c r="C9" s="1624">
        <v>0</v>
      </c>
      <c r="D9" s="1625">
        <v>0</v>
      </c>
      <c r="E9" s="1625">
        <v>12000000</v>
      </c>
      <c r="F9" s="1625">
        <v>12000000</v>
      </c>
      <c r="G9" s="1625">
        <v>0</v>
      </c>
      <c r="H9" s="1625">
        <v>0</v>
      </c>
      <c r="I9" s="857">
        <f t="shared" ref="I9:I72" si="0">G9-H9</f>
        <v>0</v>
      </c>
    </row>
    <row r="10" spans="1:9" ht="13.5">
      <c r="A10" s="1618" t="s">
        <v>17</v>
      </c>
      <c r="B10" s="1619" t="s">
        <v>18</v>
      </c>
      <c r="C10" s="1620">
        <v>5206138809</v>
      </c>
      <c r="D10" s="1621">
        <v>0</v>
      </c>
      <c r="E10" s="1621">
        <v>18953945921</v>
      </c>
      <c r="F10" s="1621">
        <v>23871344751</v>
      </c>
      <c r="G10" s="1621">
        <v>288739979</v>
      </c>
      <c r="H10" s="1621">
        <v>0</v>
      </c>
      <c r="I10" s="857">
        <f t="shared" si="0"/>
        <v>288739979</v>
      </c>
    </row>
    <row r="11" spans="1:9" ht="13.5">
      <c r="A11" s="1622" t="s">
        <v>19</v>
      </c>
      <c r="B11" s="1623" t="s">
        <v>16</v>
      </c>
      <c r="C11" s="1624">
        <v>5206138809</v>
      </c>
      <c r="D11" s="1625">
        <v>0</v>
      </c>
      <c r="E11" s="1625">
        <v>18953945921</v>
      </c>
      <c r="F11" s="1625">
        <v>23871344751</v>
      </c>
      <c r="G11" s="1625">
        <v>288739979</v>
      </c>
      <c r="H11" s="1625">
        <v>0</v>
      </c>
      <c r="I11" s="857">
        <f t="shared" si="0"/>
        <v>288739979</v>
      </c>
    </row>
    <row r="12" spans="1:9" ht="13.5">
      <c r="A12" s="1618" t="s">
        <v>33</v>
      </c>
      <c r="B12" s="1619" t="s">
        <v>34</v>
      </c>
      <c r="C12" s="1620">
        <v>0</v>
      </c>
      <c r="D12" s="1621">
        <v>0</v>
      </c>
      <c r="E12" s="1621">
        <v>10500000000</v>
      </c>
      <c r="F12" s="1621">
        <v>6000000000</v>
      </c>
      <c r="G12" s="1621">
        <v>4500000000</v>
      </c>
      <c r="H12" s="1621">
        <v>0</v>
      </c>
      <c r="I12" s="857">
        <f t="shared" si="0"/>
        <v>4500000000</v>
      </c>
    </row>
    <row r="13" spans="1:9" ht="13.5">
      <c r="A13" s="1622" t="s">
        <v>45</v>
      </c>
      <c r="B13" s="1623" t="s">
        <v>46</v>
      </c>
      <c r="C13" s="1624">
        <v>0</v>
      </c>
      <c r="D13" s="1625">
        <v>0</v>
      </c>
      <c r="E13" s="1625">
        <v>10500000000</v>
      </c>
      <c r="F13" s="1625">
        <v>6000000000</v>
      </c>
      <c r="G13" s="1625">
        <v>4500000000</v>
      </c>
      <c r="H13" s="1625">
        <v>0</v>
      </c>
      <c r="I13" s="857">
        <f t="shared" si="0"/>
        <v>4500000000</v>
      </c>
    </row>
    <row r="14" spans="1:9" ht="13.5">
      <c r="A14" s="1618" t="s">
        <v>47</v>
      </c>
      <c r="B14" s="1619" t="s">
        <v>48</v>
      </c>
      <c r="C14" s="1620">
        <v>0</v>
      </c>
      <c r="D14" s="1621">
        <v>0</v>
      </c>
      <c r="E14" s="1621">
        <v>40738607454</v>
      </c>
      <c r="F14" s="1621">
        <v>40738607454</v>
      </c>
      <c r="G14" s="1621">
        <v>0</v>
      </c>
      <c r="H14" s="1621">
        <v>0</v>
      </c>
      <c r="I14" s="857">
        <f t="shared" si="0"/>
        <v>0</v>
      </c>
    </row>
    <row r="15" spans="1:9" ht="13.5">
      <c r="A15" s="1618" t="s">
        <v>49</v>
      </c>
      <c r="B15" s="1619" t="s">
        <v>50</v>
      </c>
      <c r="C15" s="1620">
        <v>6961149</v>
      </c>
      <c r="D15" s="1621">
        <v>0</v>
      </c>
      <c r="E15" s="1621">
        <v>23048558</v>
      </c>
      <c r="F15" s="1621">
        <v>23048558</v>
      </c>
      <c r="G15" s="1621">
        <v>6961149</v>
      </c>
      <c r="H15" s="1621">
        <v>0</v>
      </c>
      <c r="I15" s="857">
        <f t="shared" si="0"/>
        <v>6961149</v>
      </c>
    </row>
    <row r="16" spans="1:9" ht="13.5">
      <c r="A16" s="1622" t="s">
        <v>51</v>
      </c>
      <c r="B16" s="1623" t="s">
        <v>52</v>
      </c>
      <c r="C16" s="1624">
        <v>6961149</v>
      </c>
      <c r="D16" s="1625">
        <v>0</v>
      </c>
      <c r="E16" s="1625">
        <v>23048558</v>
      </c>
      <c r="F16" s="1625">
        <v>23048558</v>
      </c>
      <c r="G16" s="1625">
        <v>6961149</v>
      </c>
      <c r="H16" s="1625">
        <v>0</v>
      </c>
      <c r="I16" s="857">
        <f t="shared" si="0"/>
        <v>6961149</v>
      </c>
    </row>
    <row r="17" spans="1:9" ht="13.5">
      <c r="A17" s="1618" t="s">
        <v>55</v>
      </c>
      <c r="B17" s="1619" t="s">
        <v>56</v>
      </c>
      <c r="C17" s="1620">
        <v>0</v>
      </c>
      <c r="D17" s="1621">
        <v>2674885133</v>
      </c>
      <c r="E17" s="1621">
        <v>43878026571</v>
      </c>
      <c r="F17" s="1621">
        <v>41127829216</v>
      </c>
      <c r="G17" s="1621">
        <v>75312222</v>
      </c>
      <c r="H17" s="1621">
        <v>0</v>
      </c>
      <c r="I17" s="857">
        <f t="shared" si="0"/>
        <v>75312222</v>
      </c>
    </row>
    <row r="18" spans="1:9" ht="13.5">
      <c r="A18" s="1618" t="s">
        <v>57</v>
      </c>
      <c r="B18" s="1619" t="s">
        <v>56</v>
      </c>
      <c r="C18" s="1620">
        <v>0</v>
      </c>
      <c r="D18" s="1621">
        <v>2674885133</v>
      </c>
      <c r="E18" s="1621">
        <v>43878026571</v>
      </c>
      <c r="F18" s="1621">
        <v>41127829216</v>
      </c>
      <c r="G18" s="1621">
        <v>75312222</v>
      </c>
      <c r="H18" s="1621">
        <v>0</v>
      </c>
      <c r="I18" s="857">
        <f t="shared" si="0"/>
        <v>75312222</v>
      </c>
    </row>
    <row r="19" spans="1:9" ht="13.5">
      <c r="A19" s="1622" t="s">
        <v>1250</v>
      </c>
      <c r="B19" s="1623" t="s">
        <v>3713</v>
      </c>
      <c r="C19" s="1624">
        <v>0</v>
      </c>
      <c r="D19" s="1625">
        <v>2674885133</v>
      </c>
      <c r="E19" s="1625">
        <v>43618590955</v>
      </c>
      <c r="F19" s="1625">
        <v>40927545655</v>
      </c>
      <c r="G19" s="1625">
        <v>16160167</v>
      </c>
      <c r="H19" s="1625">
        <v>0</v>
      </c>
      <c r="I19" s="857">
        <f t="shared" si="0"/>
        <v>16160167</v>
      </c>
    </row>
    <row r="20" spans="1:9" ht="13.5">
      <c r="A20" s="1622" t="s">
        <v>62</v>
      </c>
      <c r="B20" s="1623" t="s">
        <v>56</v>
      </c>
      <c r="C20" s="1624">
        <v>0</v>
      </c>
      <c r="D20" s="1625">
        <v>0</v>
      </c>
      <c r="E20" s="1625">
        <v>259435616</v>
      </c>
      <c r="F20" s="1625">
        <v>200283561</v>
      </c>
      <c r="G20" s="1625">
        <v>59152055</v>
      </c>
      <c r="H20" s="1625">
        <v>0</v>
      </c>
      <c r="I20" s="857">
        <f t="shared" si="0"/>
        <v>59152055</v>
      </c>
    </row>
    <row r="21" spans="1:9" ht="13.5">
      <c r="A21" s="1618" t="s">
        <v>73</v>
      </c>
      <c r="B21" s="1619" t="s">
        <v>74</v>
      </c>
      <c r="C21" s="1620">
        <v>4790138369</v>
      </c>
      <c r="D21" s="1621">
        <v>0</v>
      </c>
      <c r="E21" s="1621">
        <v>34942065500</v>
      </c>
      <c r="F21" s="1621">
        <v>39732203869</v>
      </c>
      <c r="G21" s="1621">
        <v>0</v>
      </c>
      <c r="H21" s="1621">
        <v>0</v>
      </c>
      <c r="I21" s="857">
        <f t="shared" si="0"/>
        <v>0</v>
      </c>
    </row>
    <row r="22" spans="1:9" ht="13.5">
      <c r="A22" s="1622" t="s">
        <v>75</v>
      </c>
      <c r="B22" s="1623" t="s">
        <v>76</v>
      </c>
      <c r="C22" s="1624">
        <v>4790138369</v>
      </c>
      <c r="D22" s="1625">
        <v>0</v>
      </c>
      <c r="E22" s="1625">
        <v>34942065500</v>
      </c>
      <c r="F22" s="1625">
        <v>39732203869</v>
      </c>
      <c r="G22" s="1625">
        <v>0</v>
      </c>
      <c r="H22" s="1625">
        <v>0</v>
      </c>
      <c r="I22" s="857">
        <f t="shared" si="0"/>
        <v>0</v>
      </c>
    </row>
    <row r="23" spans="1:9" ht="13.5">
      <c r="A23" s="1618" t="s">
        <v>95</v>
      </c>
      <c r="B23" s="1619" t="s">
        <v>96</v>
      </c>
      <c r="C23" s="1620">
        <v>432104256635</v>
      </c>
      <c r="D23" s="1621">
        <v>0</v>
      </c>
      <c r="E23" s="1621">
        <v>3000000000</v>
      </c>
      <c r="F23" s="1621">
        <v>0</v>
      </c>
      <c r="G23" s="1621">
        <v>435104256635</v>
      </c>
      <c r="H23" s="1621">
        <v>0</v>
      </c>
      <c r="I23" s="857">
        <f t="shared" si="0"/>
        <v>435104256635</v>
      </c>
    </row>
    <row r="24" spans="1:9" ht="13.5">
      <c r="A24" s="1618" t="s">
        <v>100</v>
      </c>
      <c r="B24" s="1619" t="s">
        <v>101</v>
      </c>
      <c r="C24" s="1620">
        <v>0</v>
      </c>
      <c r="D24" s="1621">
        <v>257794329100</v>
      </c>
      <c r="E24" s="1621">
        <v>0</v>
      </c>
      <c r="F24" s="1621">
        <v>0</v>
      </c>
      <c r="G24" s="1621">
        <v>0</v>
      </c>
      <c r="H24" s="1621">
        <v>257794329100</v>
      </c>
      <c r="I24" s="857">
        <f t="shared" si="0"/>
        <v>-257794329100</v>
      </c>
    </row>
    <row r="25" spans="1:9" ht="13.5">
      <c r="A25" s="1622" t="s">
        <v>104</v>
      </c>
      <c r="B25" s="1623" t="s">
        <v>105</v>
      </c>
      <c r="C25" s="1624">
        <v>0</v>
      </c>
      <c r="D25" s="1625">
        <v>257794329100</v>
      </c>
      <c r="E25" s="1625">
        <v>0</v>
      </c>
      <c r="F25" s="1625">
        <v>0</v>
      </c>
      <c r="G25" s="1625">
        <v>0</v>
      </c>
      <c r="H25" s="1625">
        <v>257794329100</v>
      </c>
      <c r="I25" s="857">
        <f t="shared" si="0"/>
        <v>-257794329100</v>
      </c>
    </row>
    <row r="26" spans="1:9" ht="13.5">
      <c r="A26" s="1618" t="s">
        <v>112</v>
      </c>
      <c r="B26" s="1619" t="s">
        <v>113</v>
      </c>
      <c r="C26" s="1620">
        <v>22214599</v>
      </c>
      <c r="D26" s="1621">
        <v>0</v>
      </c>
      <c r="E26" s="1621">
        <v>173228202</v>
      </c>
      <c r="F26" s="1621">
        <v>189189477</v>
      </c>
      <c r="G26" s="1621">
        <v>6253324</v>
      </c>
      <c r="H26" s="1621">
        <v>0</v>
      </c>
      <c r="I26" s="857">
        <f t="shared" si="0"/>
        <v>6253324</v>
      </c>
    </row>
    <row r="27" spans="1:9" ht="13.5">
      <c r="A27" s="1622" t="s">
        <v>523</v>
      </c>
      <c r="B27" s="1623" t="s">
        <v>115</v>
      </c>
      <c r="C27" s="1624">
        <v>2626260</v>
      </c>
      <c r="D27" s="1625">
        <v>0</v>
      </c>
      <c r="E27" s="1625">
        <v>0</v>
      </c>
      <c r="F27" s="1625">
        <v>2626260</v>
      </c>
      <c r="G27" s="1625">
        <v>0</v>
      </c>
      <c r="H27" s="1625">
        <v>0</v>
      </c>
      <c r="I27" s="857">
        <f t="shared" si="0"/>
        <v>0</v>
      </c>
    </row>
    <row r="28" spans="1:9" ht="13.5">
      <c r="A28" s="1618" t="s">
        <v>116</v>
      </c>
      <c r="B28" s="1619" t="s">
        <v>113</v>
      </c>
      <c r="C28" s="1620">
        <v>19588339</v>
      </c>
      <c r="D28" s="1621">
        <v>0</v>
      </c>
      <c r="E28" s="1621">
        <v>173228202</v>
      </c>
      <c r="F28" s="1621">
        <v>186563217</v>
      </c>
      <c r="G28" s="1621">
        <v>6253324</v>
      </c>
      <c r="H28" s="1621">
        <v>0</v>
      </c>
      <c r="I28" s="857">
        <f t="shared" si="0"/>
        <v>6253324</v>
      </c>
    </row>
    <row r="29" spans="1:9" ht="13.5">
      <c r="A29" s="1622" t="s">
        <v>117</v>
      </c>
      <c r="B29" s="1623" t="s">
        <v>118</v>
      </c>
      <c r="C29" s="1624">
        <v>12270000</v>
      </c>
      <c r="D29" s="1625">
        <v>0</v>
      </c>
      <c r="E29" s="1625">
        <v>173228202</v>
      </c>
      <c r="F29" s="1625">
        <v>179778202</v>
      </c>
      <c r="G29" s="1625">
        <v>5720000</v>
      </c>
      <c r="H29" s="1625">
        <v>0</v>
      </c>
      <c r="I29" s="857">
        <f t="shared" si="0"/>
        <v>5720000</v>
      </c>
    </row>
    <row r="30" spans="1:9" ht="13.5">
      <c r="A30" s="1622" t="s">
        <v>119</v>
      </c>
      <c r="B30" s="1623" t="s">
        <v>120</v>
      </c>
      <c r="C30" s="1624">
        <v>7318339</v>
      </c>
      <c r="D30" s="1625">
        <v>0</v>
      </c>
      <c r="E30" s="1625">
        <v>0</v>
      </c>
      <c r="F30" s="1625">
        <v>6785015</v>
      </c>
      <c r="G30" s="1625">
        <v>533324</v>
      </c>
      <c r="H30" s="1625">
        <v>0</v>
      </c>
      <c r="I30" s="857">
        <f t="shared" si="0"/>
        <v>533324</v>
      </c>
    </row>
    <row r="31" spans="1:9" ht="13.5">
      <c r="A31" s="1618" t="s">
        <v>121</v>
      </c>
      <c r="B31" s="1619" t="s">
        <v>122</v>
      </c>
      <c r="C31" s="1620">
        <v>159291132</v>
      </c>
      <c r="D31" s="1621">
        <v>0</v>
      </c>
      <c r="E31" s="1621">
        <v>0</v>
      </c>
      <c r="F31" s="1621">
        <v>127357932</v>
      </c>
      <c r="G31" s="1621">
        <v>31933200</v>
      </c>
      <c r="H31" s="1621">
        <v>0</v>
      </c>
      <c r="I31" s="857">
        <f t="shared" si="0"/>
        <v>31933200</v>
      </c>
    </row>
    <row r="32" spans="1:9" ht="14.85" customHeight="1">
      <c r="A32" s="1618" t="s">
        <v>123</v>
      </c>
      <c r="B32" s="1619" t="s">
        <v>124</v>
      </c>
      <c r="C32" s="1620">
        <v>1650000</v>
      </c>
      <c r="D32" s="1621">
        <v>2540808</v>
      </c>
      <c r="E32" s="1621">
        <v>5253950171</v>
      </c>
      <c r="F32" s="1621">
        <v>5253059363</v>
      </c>
      <c r="G32" s="1621">
        <v>0</v>
      </c>
      <c r="H32" s="1621">
        <v>0</v>
      </c>
      <c r="I32" s="857">
        <f t="shared" si="0"/>
        <v>0</v>
      </c>
    </row>
    <row r="33" spans="1:9" ht="14.85" customHeight="1">
      <c r="A33" s="1622" t="s">
        <v>125</v>
      </c>
      <c r="B33" s="1623" t="s">
        <v>124</v>
      </c>
      <c r="C33" s="1624">
        <v>0</v>
      </c>
      <c r="D33" s="1625">
        <v>2540808</v>
      </c>
      <c r="E33" s="1625">
        <v>2946950171</v>
      </c>
      <c r="F33" s="1625">
        <v>2944409363</v>
      </c>
      <c r="G33" s="1625">
        <v>0</v>
      </c>
      <c r="H33" s="1625">
        <v>0</v>
      </c>
      <c r="I33" s="857">
        <f t="shared" si="0"/>
        <v>0</v>
      </c>
    </row>
    <row r="34" spans="1:9" ht="13.5">
      <c r="A34" s="1622" t="s">
        <v>126</v>
      </c>
      <c r="B34" s="1623" t="s">
        <v>127</v>
      </c>
      <c r="C34" s="1624">
        <v>1650000</v>
      </c>
      <c r="D34" s="1625">
        <v>0</v>
      </c>
      <c r="E34" s="1625">
        <v>2307000000</v>
      </c>
      <c r="F34" s="1625">
        <v>2308650000</v>
      </c>
      <c r="G34" s="1625">
        <v>0</v>
      </c>
      <c r="H34" s="1625">
        <v>0</v>
      </c>
      <c r="I34" s="857">
        <f t="shared" si="0"/>
        <v>0</v>
      </c>
    </row>
    <row r="35" spans="1:9" ht="14.1" customHeight="1">
      <c r="A35" s="1618" t="s">
        <v>128</v>
      </c>
      <c r="B35" s="1619" t="s">
        <v>129</v>
      </c>
      <c r="C35" s="1620">
        <v>0</v>
      </c>
      <c r="D35" s="1621">
        <v>12189817</v>
      </c>
      <c r="E35" s="1621">
        <v>114694007</v>
      </c>
      <c r="F35" s="1621">
        <v>105240801</v>
      </c>
      <c r="G35" s="1621">
        <v>0</v>
      </c>
      <c r="H35" s="1621">
        <v>2736611</v>
      </c>
      <c r="I35" s="857">
        <f t="shared" si="0"/>
        <v>-2736611</v>
      </c>
    </row>
    <row r="36" spans="1:9" ht="13.5">
      <c r="A36" s="1618" t="s">
        <v>130</v>
      </c>
      <c r="B36" s="1619" t="s">
        <v>131</v>
      </c>
      <c r="C36" s="1620">
        <v>0</v>
      </c>
      <c r="D36" s="1621">
        <v>10800170</v>
      </c>
      <c r="E36" s="1621">
        <v>107599115</v>
      </c>
      <c r="F36" s="1621">
        <v>99291808</v>
      </c>
      <c r="G36" s="1621">
        <v>0</v>
      </c>
      <c r="H36" s="1621">
        <v>2492863</v>
      </c>
      <c r="I36" s="857">
        <f t="shared" si="0"/>
        <v>-2492863</v>
      </c>
    </row>
    <row r="37" spans="1:9" ht="13.5">
      <c r="A37" s="1622" t="s">
        <v>132</v>
      </c>
      <c r="B37" s="1623" t="s">
        <v>133</v>
      </c>
      <c r="C37" s="1624">
        <v>0</v>
      </c>
      <c r="D37" s="1625">
        <v>10800170</v>
      </c>
      <c r="E37" s="1625">
        <v>107599115</v>
      </c>
      <c r="F37" s="1625">
        <v>99291808</v>
      </c>
      <c r="G37" s="1625">
        <v>0</v>
      </c>
      <c r="H37" s="1625">
        <v>2492863</v>
      </c>
      <c r="I37" s="857">
        <f t="shared" si="0"/>
        <v>-2492863</v>
      </c>
    </row>
    <row r="38" spans="1:9" ht="13.5">
      <c r="A38" s="1618" t="s">
        <v>134</v>
      </c>
      <c r="B38" s="1619" t="s">
        <v>135</v>
      </c>
      <c r="C38" s="1620">
        <v>0</v>
      </c>
      <c r="D38" s="1621">
        <v>1389647</v>
      </c>
      <c r="E38" s="1621">
        <v>7094892</v>
      </c>
      <c r="F38" s="1621">
        <v>5948993</v>
      </c>
      <c r="G38" s="1621">
        <v>0</v>
      </c>
      <c r="H38" s="1621">
        <v>243748</v>
      </c>
      <c r="I38" s="857">
        <f t="shared" si="0"/>
        <v>-243748</v>
      </c>
    </row>
    <row r="39" spans="1:9" ht="13.5">
      <c r="A39" s="1622" t="s">
        <v>2772</v>
      </c>
      <c r="B39" s="1623" t="s">
        <v>3714</v>
      </c>
      <c r="C39" s="1624">
        <v>0</v>
      </c>
      <c r="D39" s="1625">
        <v>0</v>
      </c>
      <c r="E39" s="1625">
        <v>3000000</v>
      </c>
      <c r="F39" s="1625">
        <v>3000000</v>
      </c>
      <c r="G39" s="1625">
        <v>0</v>
      </c>
      <c r="H39" s="1625">
        <v>0</v>
      </c>
      <c r="I39" s="857">
        <f t="shared" si="0"/>
        <v>0</v>
      </c>
    </row>
    <row r="40" spans="1:9" ht="13.5">
      <c r="A40" s="1622" t="s">
        <v>526</v>
      </c>
      <c r="B40" s="1623" t="s">
        <v>135</v>
      </c>
      <c r="C40" s="1624">
        <v>0</v>
      </c>
      <c r="D40" s="1625">
        <v>1389647</v>
      </c>
      <c r="E40" s="1625">
        <v>4094892</v>
      </c>
      <c r="F40" s="1625">
        <v>2948993</v>
      </c>
      <c r="G40" s="1625">
        <v>0</v>
      </c>
      <c r="H40" s="1625">
        <v>243748</v>
      </c>
      <c r="I40" s="857">
        <f t="shared" si="0"/>
        <v>-243748</v>
      </c>
    </row>
    <row r="41" spans="1:9" ht="13.5">
      <c r="A41" s="1618" t="s">
        <v>148</v>
      </c>
      <c r="B41" s="1619" t="s">
        <v>149</v>
      </c>
      <c r="C41" s="1620">
        <v>0</v>
      </c>
      <c r="D41" s="1621">
        <v>33887827</v>
      </c>
      <c r="E41" s="1621">
        <v>244834232</v>
      </c>
      <c r="F41" s="1621">
        <v>247421326</v>
      </c>
      <c r="G41" s="1621">
        <v>0</v>
      </c>
      <c r="H41" s="1621">
        <v>36474921</v>
      </c>
      <c r="I41" s="857">
        <f t="shared" si="0"/>
        <v>-36474921</v>
      </c>
    </row>
    <row r="42" spans="1:9" ht="13.5">
      <c r="A42" s="1622" t="s">
        <v>150</v>
      </c>
      <c r="B42" s="1623" t="s">
        <v>151</v>
      </c>
      <c r="C42" s="1624">
        <v>0</v>
      </c>
      <c r="D42" s="1625">
        <v>33887827</v>
      </c>
      <c r="E42" s="1625">
        <v>244834232</v>
      </c>
      <c r="F42" s="1625">
        <v>247421326</v>
      </c>
      <c r="G42" s="1625">
        <v>0</v>
      </c>
      <c r="H42" s="1625">
        <v>36474921</v>
      </c>
      <c r="I42" s="857">
        <f t="shared" si="0"/>
        <v>-36474921</v>
      </c>
    </row>
    <row r="43" spans="1:9" ht="13.5">
      <c r="A43" s="1618" t="s">
        <v>154</v>
      </c>
      <c r="B43" s="1619" t="s">
        <v>155</v>
      </c>
      <c r="C43" s="1620">
        <v>0</v>
      </c>
      <c r="D43" s="1621">
        <v>2041600</v>
      </c>
      <c r="E43" s="1621">
        <v>14168000</v>
      </c>
      <c r="F43" s="1621">
        <v>12525700</v>
      </c>
      <c r="G43" s="1621">
        <v>0</v>
      </c>
      <c r="H43" s="1621">
        <v>399300</v>
      </c>
      <c r="I43" s="857">
        <f t="shared" si="0"/>
        <v>-399300</v>
      </c>
    </row>
    <row r="44" spans="1:9" ht="13.5">
      <c r="A44" s="1618" t="s">
        <v>156</v>
      </c>
      <c r="B44" s="1619" t="s">
        <v>157</v>
      </c>
      <c r="C44" s="1620">
        <v>0</v>
      </c>
      <c r="D44" s="1621">
        <v>180000</v>
      </c>
      <c r="E44" s="1621">
        <v>28500000</v>
      </c>
      <c r="F44" s="1621">
        <v>28500000</v>
      </c>
      <c r="G44" s="1621">
        <v>0</v>
      </c>
      <c r="H44" s="1621">
        <v>180000</v>
      </c>
      <c r="I44" s="857">
        <f t="shared" si="0"/>
        <v>-180000</v>
      </c>
    </row>
    <row r="45" spans="1:9" ht="13.5">
      <c r="A45" s="1622" t="s">
        <v>158</v>
      </c>
      <c r="B45" s="1623" t="s">
        <v>159</v>
      </c>
      <c r="C45" s="1624">
        <v>0</v>
      </c>
      <c r="D45" s="1625">
        <v>180000</v>
      </c>
      <c r="E45" s="1625">
        <v>2160000</v>
      </c>
      <c r="F45" s="1625">
        <v>2160000</v>
      </c>
      <c r="G45" s="1625">
        <v>0</v>
      </c>
      <c r="H45" s="1625">
        <v>180000</v>
      </c>
      <c r="I45" s="857">
        <f t="shared" si="0"/>
        <v>-180000</v>
      </c>
    </row>
    <row r="46" spans="1:9" ht="13.5">
      <c r="A46" s="1622" t="s">
        <v>160</v>
      </c>
      <c r="B46" s="1623" t="s">
        <v>161</v>
      </c>
      <c r="C46" s="1624">
        <v>0</v>
      </c>
      <c r="D46" s="1625">
        <v>0</v>
      </c>
      <c r="E46" s="1625">
        <v>18660000</v>
      </c>
      <c r="F46" s="1625">
        <v>18660000</v>
      </c>
      <c r="G46" s="1625">
        <v>0</v>
      </c>
      <c r="H46" s="1625">
        <v>0</v>
      </c>
      <c r="I46" s="857">
        <f t="shared" si="0"/>
        <v>0</v>
      </c>
    </row>
    <row r="47" spans="1:9" ht="13.5">
      <c r="A47" s="1622" t="s">
        <v>162</v>
      </c>
      <c r="B47" s="1623" t="s">
        <v>163</v>
      </c>
      <c r="C47" s="1624">
        <v>0</v>
      </c>
      <c r="D47" s="1625">
        <v>0</v>
      </c>
      <c r="E47" s="1625">
        <v>3240000</v>
      </c>
      <c r="F47" s="1625">
        <v>3240000</v>
      </c>
      <c r="G47" s="1625">
        <v>0</v>
      </c>
      <c r="H47" s="1625">
        <v>0</v>
      </c>
      <c r="I47" s="857">
        <f t="shared" si="0"/>
        <v>0</v>
      </c>
    </row>
    <row r="48" spans="1:9" ht="13.5">
      <c r="A48" s="1622" t="s">
        <v>164</v>
      </c>
      <c r="B48" s="1623" t="s">
        <v>165</v>
      </c>
      <c r="C48" s="1624">
        <v>0</v>
      </c>
      <c r="D48" s="1625">
        <v>0</v>
      </c>
      <c r="E48" s="1625">
        <v>1440000</v>
      </c>
      <c r="F48" s="1625">
        <v>1440000</v>
      </c>
      <c r="G48" s="1625">
        <v>0</v>
      </c>
      <c r="H48" s="1625">
        <v>0</v>
      </c>
      <c r="I48" s="857">
        <f t="shared" si="0"/>
        <v>0</v>
      </c>
    </row>
    <row r="49" spans="1:16" ht="13.5">
      <c r="A49" s="1618" t="s">
        <v>168</v>
      </c>
      <c r="B49" s="1619" t="s">
        <v>157</v>
      </c>
      <c r="C49" s="1620">
        <v>0</v>
      </c>
      <c r="D49" s="1621">
        <v>0</v>
      </c>
      <c r="E49" s="1621">
        <v>3000000</v>
      </c>
      <c r="F49" s="1621">
        <v>3000000</v>
      </c>
      <c r="G49" s="1621">
        <v>0</v>
      </c>
      <c r="H49" s="1621">
        <v>0</v>
      </c>
      <c r="I49" s="857">
        <f t="shared" si="0"/>
        <v>0</v>
      </c>
      <c r="J49" s="850"/>
      <c r="K49" s="850"/>
      <c r="L49" s="850"/>
      <c r="M49" s="850"/>
      <c r="N49" s="850"/>
      <c r="O49" s="850"/>
      <c r="P49" s="850"/>
    </row>
    <row r="50" spans="1:16" ht="13.5">
      <c r="A50" s="1622" t="s">
        <v>185</v>
      </c>
      <c r="B50" s="1623" t="s">
        <v>157</v>
      </c>
      <c r="C50" s="1624">
        <v>0</v>
      </c>
      <c r="D50" s="1625">
        <v>0</v>
      </c>
      <c r="E50" s="1625">
        <v>3000000</v>
      </c>
      <c r="F50" s="1625">
        <v>3000000</v>
      </c>
      <c r="G50" s="1625">
        <v>0</v>
      </c>
      <c r="H50" s="1625">
        <v>0</v>
      </c>
      <c r="I50" s="857">
        <f t="shared" si="0"/>
        <v>0</v>
      </c>
      <c r="J50" s="850"/>
      <c r="K50" s="850"/>
      <c r="L50" s="850"/>
      <c r="M50" s="850"/>
      <c r="N50" s="850"/>
      <c r="O50" s="850"/>
      <c r="P50" s="850"/>
    </row>
    <row r="51" spans="1:16" ht="13.5">
      <c r="A51" s="1618" t="s">
        <v>203</v>
      </c>
      <c r="B51" s="1619" t="s">
        <v>204</v>
      </c>
      <c r="C51" s="1620">
        <v>0</v>
      </c>
      <c r="D51" s="1621">
        <v>440000000000</v>
      </c>
      <c r="E51" s="1621">
        <v>0</v>
      </c>
      <c r="F51" s="1621">
        <v>0</v>
      </c>
      <c r="G51" s="1621">
        <v>0</v>
      </c>
      <c r="H51" s="1621">
        <v>440000000000</v>
      </c>
      <c r="I51" s="857">
        <f t="shared" si="0"/>
        <v>-440000000000</v>
      </c>
      <c r="J51" s="850"/>
      <c r="K51" s="850"/>
      <c r="L51" s="850"/>
      <c r="M51" s="850"/>
      <c r="N51" s="850"/>
      <c r="O51" s="850"/>
      <c r="P51" s="850"/>
    </row>
    <row r="52" spans="1:16" ht="13.5">
      <c r="A52" s="1618" t="s">
        <v>205</v>
      </c>
      <c r="B52" s="1619" t="s">
        <v>206</v>
      </c>
      <c r="C52" s="1620">
        <v>0</v>
      </c>
      <c r="D52" s="1621">
        <v>440000000000</v>
      </c>
      <c r="E52" s="1621">
        <v>0</v>
      </c>
      <c r="F52" s="1621">
        <v>0</v>
      </c>
      <c r="G52" s="1621">
        <v>0</v>
      </c>
      <c r="H52" s="1621">
        <v>440000000000</v>
      </c>
      <c r="I52" s="857">
        <f t="shared" si="0"/>
        <v>-440000000000</v>
      </c>
      <c r="J52" s="850"/>
      <c r="K52" s="850"/>
      <c r="L52" s="850"/>
      <c r="M52" s="850"/>
      <c r="N52" s="850"/>
      <c r="O52" s="850"/>
      <c r="P52" s="850"/>
    </row>
    <row r="53" spans="1:16" ht="13.5">
      <c r="A53" s="1622" t="s">
        <v>207</v>
      </c>
      <c r="B53" s="1623" t="s">
        <v>208</v>
      </c>
      <c r="C53" s="1624">
        <v>0</v>
      </c>
      <c r="D53" s="1625">
        <v>440000000000</v>
      </c>
      <c r="E53" s="1625">
        <v>0</v>
      </c>
      <c r="F53" s="1625">
        <v>0</v>
      </c>
      <c r="G53" s="1625">
        <v>0</v>
      </c>
      <c r="H53" s="1625">
        <v>440000000000</v>
      </c>
      <c r="I53" s="857">
        <f t="shared" si="0"/>
        <v>-440000000000</v>
      </c>
      <c r="J53" s="850"/>
      <c r="K53" s="850"/>
      <c r="L53" s="850"/>
      <c r="M53" s="850"/>
      <c r="N53" s="850"/>
      <c r="O53" s="850"/>
      <c r="P53" s="850"/>
    </row>
    <row r="54" spans="1:16" ht="13.5">
      <c r="A54" s="1618" t="s">
        <v>213</v>
      </c>
      <c r="B54" s="1619" t="s">
        <v>214</v>
      </c>
      <c r="C54" s="1620">
        <v>259516813229</v>
      </c>
      <c r="D54" s="1621">
        <v>1287409637</v>
      </c>
      <c r="E54" s="1621">
        <v>1349236339</v>
      </c>
      <c r="F54" s="1621">
        <v>1757976508</v>
      </c>
      <c r="G54" s="1621">
        <v>258229403592</v>
      </c>
      <c r="H54" s="1621">
        <v>408740169</v>
      </c>
      <c r="I54" s="857">
        <f t="shared" si="0"/>
        <v>257820663423</v>
      </c>
      <c r="J54" s="850"/>
      <c r="K54" s="850"/>
      <c r="L54" s="850"/>
      <c r="M54" s="850"/>
      <c r="N54" s="850"/>
      <c r="O54" s="850"/>
      <c r="P54" s="850"/>
    </row>
    <row r="55" spans="1:16" ht="13.5">
      <c r="A55" s="1622" t="s">
        <v>215</v>
      </c>
      <c r="B55" s="1623" t="s">
        <v>216</v>
      </c>
      <c r="C55" s="1624">
        <v>259516813229</v>
      </c>
      <c r="D55" s="1625">
        <v>0</v>
      </c>
      <c r="E55" s="1625">
        <v>0</v>
      </c>
      <c r="F55" s="1625">
        <v>1287409637</v>
      </c>
      <c r="G55" s="1625">
        <v>258229403592</v>
      </c>
      <c r="H55" s="1625">
        <v>0</v>
      </c>
      <c r="I55" s="857">
        <f t="shared" si="0"/>
        <v>258229403592</v>
      </c>
      <c r="J55" s="850"/>
      <c r="K55" s="850"/>
      <c r="L55" s="850"/>
      <c r="M55" s="850"/>
      <c r="N55" s="850"/>
      <c r="O55" s="850"/>
      <c r="P55" s="850"/>
    </row>
    <row r="56" spans="1:16" ht="13.5">
      <c r="A56" s="1622" t="s">
        <v>217</v>
      </c>
      <c r="B56" s="1623" t="s">
        <v>218</v>
      </c>
      <c r="C56" s="1624">
        <v>0</v>
      </c>
      <c r="D56" s="1625">
        <v>1287409637</v>
      </c>
      <c r="E56" s="1625">
        <v>1349236339</v>
      </c>
      <c r="F56" s="1625">
        <v>470566871</v>
      </c>
      <c r="G56" s="1625">
        <v>0</v>
      </c>
      <c r="H56" s="1625">
        <v>408740169</v>
      </c>
      <c r="I56" s="857">
        <f t="shared" si="0"/>
        <v>-408740169</v>
      </c>
      <c r="J56" s="850"/>
      <c r="K56" s="850"/>
      <c r="L56" s="850"/>
      <c r="M56" s="850"/>
      <c r="N56" s="850"/>
      <c r="O56" s="850"/>
      <c r="P56" s="850"/>
    </row>
    <row r="57" spans="1:16" ht="13.5">
      <c r="A57" s="1618" t="s">
        <v>219</v>
      </c>
      <c r="B57" s="1619" t="s">
        <v>220</v>
      </c>
      <c r="C57" s="1620">
        <v>0</v>
      </c>
      <c r="D57" s="1621">
        <v>0</v>
      </c>
      <c r="E57" s="1621">
        <v>40701593755</v>
      </c>
      <c r="F57" s="1621">
        <v>40701593755</v>
      </c>
      <c r="G57" s="1621">
        <v>0</v>
      </c>
      <c r="H57" s="1621">
        <v>0</v>
      </c>
      <c r="I57" s="857">
        <f t="shared" si="0"/>
        <v>0</v>
      </c>
      <c r="J57" s="850"/>
      <c r="K57" s="850"/>
      <c r="L57" s="850"/>
      <c r="M57" s="850"/>
      <c r="N57" s="850"/>
      <c r="O57" s="850"/>
      <c r="P57" s="850"/>
    </row>
    <row r="58" spans="1:16" ht="13.5">
      <c r="A58" s="1622" t="s">
        <v>720</v>
      </c>
      <c r="B58" s="1623" t="s">
        <v>744</v>
      </c>
      <c r="C58" s="1624">
        <v>0</v>
      </c>
      <c r="D58" s="1625">
        <v>0</v>
      </c>
      <c r="E58" s="1625">
        <v>40701593755</v>
      </c>
      <c r="F58" s="1625">
        <v>40701593755</v>
      </c>
      <c r="G58" s="1625">
        <v>0</v>
      </c>
      <c r="H58" s="1625">
        <v>0</v>
      </c>
      <c r="I58" s="857">
        <f t="shared" si="0"/>
        <v>0</v>
      </c>
      <c r="J58" s="850"/>
      <c r="K58" s="850"/>
      <c r="L58" s="850"/>
      <c r="M58" s="850"/>
      <c r="N58" s="850"/>
      <c r="O58" s="850"/>
      <c r="P58" s="850"/>
    </row>
    <row r="59" spans="1:16" ht="13.5">
      <c r="A59" s="1618" t="s">
        <v>247</v>
      </c>
      <c r="B59" s="1619" t="s">
        <v>248</v>
      </c>
      <c r="C59" s="1620">
        <v>0</v>
      </c>
      <c r="D59" s="1621">
        <v>0</v>
      </c>
      <c r="E59" s="1621">
        <v>298193450</v>
      </c>
      <c r="F59" s="1621">
        <v>298193450</v>
      </c>
      <c r="G59" s="1621">
        <v>0</v>
      </c>
      <c r="H59" s="1621">
        <v>0</v>
      </c>
      <c r="I59" s="857">
        <f t="shared" si="0"/>
        <v>0</v>
      </c>
      <c r="J59" s="850"/>
      <c r="K59" s="850"/>
      <c r="L59" s="850"/>
      <c r="M59" s="850"/>
      <c r="N59" s="850"/>
      <c r="O59" s="850"/>
      <c r="P59" s="850"/>
    </row>
    <row r="60" spans="1:16" ht="13.5">
      <c r="A60" s="1618" t="s">
        <v>303</v>
      </c>
      <c r="B60" s="1619" t="s">
        <v>304</v>
      </c>
      <c r="C60" s="1620">
        <v>0</v>
      </c>
      <c r="D60" s="1621">
        <v>0</v>
      </c>
      <c r="E60" s="1621">
        <v>39744729569</v>
      </c>
      <c r="F60" s="1621">
        <v>39744729569</v>
      </c>
      <c r="G60" s="1621">
        <v>0</v>
      </c>
      <c r="H60" s="1621">
        <v>0</v>
      </c>
      <c r="I60" s="857">
        <f t="shared" si="0"/>
        <v>0</v>
      </c>
      <c r="J60" s="850"/>
      <c r="K60" s="850"/>
      <c r="L60" s="850" t="s">
        <v>1184</v>
      </c>
      <c r="M60" s="850" t="s">
        <v>3715</v>
      </c>
      <c r="N60" s="850" t="s">
        <v>3716</v>
      </c>
      <c r="O60" s="850" t="s">
        <v>3284</v>
      </c>
      <c r="P60" s="850"/>
    </row>
    <row r="61" spans="1:16" ht="13.5">
      <c r="A61" s="1618" t="s">
        <v>333</v>
      </c>
      <c r="B61" s="1619" t="s">
        <v>334</v>
      </c>
      <c r="C61" s="1620">
        <v>0</v>
      </c>
      <c r="D61" s="1621">
        <v>0</v>
      </c>
      <c r="E61" s="1621">
        <v>34705000</v>
      </c>
      <c r="F61" s="1621">
        <v>34705000</v>
      </c>
      <c r="G61" s="1621">
        <v>0</v>
      </c>
      <c r="H61" s="1621">
        <v>0</v>
      </c>
      <c r="I61" s="857">
        <f t="shared" si="0"/>
        <v>0</v>
      </c>
      <c r="J61" s="850"/>
      <c r="K61" s="853"/>
      <c r="L61" s="853" t="str">
        <f>A61</f>
        <v>641</v>
      </c>
      <c r="M61" s="848">
        <f>[14]LS!$AC$174</f>
        <v>259516813229</v>
      </c>
      <c r="N61" s="853">
        <f>C61</f>
        <v>0</v>
      </c>
      <c r="O61" s="850"/>
      <c r="P61" s="850"/>
    </row>
    <row r="62" spans="1:16" ht="13.5">
      <c r="A62" s="1622" t="s">
        <v>369</v>
      </c>
      <c r="B62" s="1623" t="s">
        <v>302</v>
      </c>
      <c r="C62" s="1624">
        <v>0</v>
      </c>
      <c r="D62" s="1625">
        <v>0</v>
      </c>
      <c r="E62" s="1625">
        <v>34705000</v>
      </c>
      <c r="F62" s="1625">
        <v>34705000</v>
      </c>
      <c r="G62" s="1625">
        <v>0</v>
      </c>
      <c r="H62" s="1625">
        <v>0</v>
      </c>
      <c r="I62" s="857">
        <f t="shared" si="0"/>
        <v>0</v>
      </c>
      <c r="J62" s="850"/>
      <c r="K62" s="850"/>
      <c r="L62" s="853" t="str">
        <f>A62</f>
        <v>6418</v>
      </c>
      <c r="M62" s="848">
        <f>[14]LS!$AC$175</f>
        <v>2435656155</v>
      </c>
      <c r="N62" s="853">
        <f>-D62</f>
        <v>0</v>
      </c>
      <c r="O62" s="857">
        <f>M62-N62</f>
        <v>2435656155</v>
      </c>
      <c r="P62" s="857"/>
    </row>
    <row r="63" spans="1:16" ht="13.5">
      <c r="A63" s="1618" t="s">
        <v>374</v>
      </c>
      <c r="B63" s="1619" t="s">
        <v>375</v>
      </c>
      <c r="C63" s="1620">
        <v>0</v>
      </c>
      <c r="D63" s="1621">
        <v>0</v>
      </c>
      <c r="E63" s="1621">
        <v>518847098</v>
      </c>
      <c r="F63" s="1621">
        <v>518847098</v>
      </c>
      <c r="G63" s="1621">
        <v>0</v>
      </c>
      <c r="H63" s="1621">
        <v>0</v>
      </c>
      <c r="I63" s="857">
        <f t="shared" si="0"/>
        <v>0</v>
      </c>
      <c r="J63" s="850"/>
      <c r="K63" s="850"/>
      <c r="L63" s="850"/>
      <c r="M63" s="850"/>
      <c r="N63" s="850"/>
      <c r="O63" s="850"/>
      <c r="P63" s="850"/>
    </row>
    <row r="64" spans="1:16" ht="13.5">
      <c r="A64" s="1618" t="s">
        <v>376</v>
      </c>
      <c r="B64" s="1619" t="s">
        <v>377</v>
      </c>
      <c r="C64" s="1620">
        <v>0</v>
      </c>
      <c r="D64" s="1621">
        <v>0</v>
      </c>
      <c r="E64" s="1621">
        <v>264641326</v>
      </c>
      <c r="F64" s="1621">
        <v>264641326</v>
      </c>
      <c r="G64" s="1621">
        <v>0</v>
      </c>
      <c r="H64" s="1621">
        <v>0</v>
      </c>
      <c r="I64" s="857">
        <f t="shared" si="0"/>
        <v>0</v>
      </c>
      <c r="J64" s="850"/>
      <c r="K64" s="850"/>
      <c r="L64" s="850"/>
      <c r="M64" s="850"/>
      <c r="N64" s="850"/>
      <c r="O64" s="850"/>
      <c r="P64" s="850"/>
    </row>
    <row r="65" spans="1:9" ht="13.5">
      <c r="A65" s="1622" t="s">
        <v>721</v>
      </c>
      <c r="B65" s="1623" t="s">
        <v>2515</v>
      </c>
      <c r="C65" s="1624">
        <v>0</v>
      </c>
      <c r="D65" s="1625">
        <v>0</v>
      </c>
      <c r="E65" s="1625">
        <v>247421326</v>
      </c>
      <c r="F65" s="1625">
        <v>247421326</v>
      </c>
      <c r="G65" s="1625">
        <v>0</v>
      </c>
      <c r="H65" s="1625">
        <v>0</v>
      </c>
      <c r="I65" s="857">
        <f t="shared" si="0"/>
        <v>0</v>
      </c>
    </row>
    <row r="66" spans="1:9" ht="14.85" customHeight="1">
      <c r="A66" s="1622" t="s">
        <v>722</v>
      </c>
      <c r="B66" s="1623" t="s">
        <v>2518</v>
      </c>
      <c r="C66" s="1624">
        <v>0</v>
      </c>
      <c r="D66" s="1625">
        <v>0</v>
      </c>
      <c r="E66" s="1625">
        <v>17220000</v>
      </c>
      <c r="F66" s="1625">
        <v>17220000</v>
      </c>
      <c r="G66" s="1625">
        <v>0</v>
      </c>
      <c r="H66" s="1625">
        <v>0</v>
      </c>
      <c r="I66" s="857">
        <f t="shared" si="0"/>
        <v>0</v>
      </c>
    </row>
    <row r="67" spans="1:9" ht="14.85" customHeight="1">
      <c r="A67" s="1622" t="s">
        <v>384</v>
      </c>
      <c r="B67" s="1623" t="s">
        <v>385</v>
      </c>
      <c r="C67" s="1624">
        <v>0</v>
      </c>
      <c r="D67" s="1625">
        <v>0</v>
      </c>
      <c r="E67" s="1625">
        <v>3000000</v>
      </c>
      <c r="F67" s="1625">
        <v>3000000</v>
      </c>
      <c r="G67" s="1625">
        <v>0</v>
      </c>
      <c r="H67" s="1625">
        <v>0</v>
      </c>
      <c r="I67" s="857">
        <f t="shared" si="0"/>
        <v>0</v>
      </c>
    </row>
    <row r="68" spans="1:9" ht="13.5">
      <c r="A68" s="1618" t="s">
        <v>386</v>
      </c>
      <c r="B68" s="1619" t="s">
        <v>272</v>
      </c>
      <c r="C68" s="1620">
        <v>0</v>
      </c>
      <c r="D68" s="1621">
        <v>0</v>
      </c>
      <c r="E68" s="1621">
        <v>251205772</v>
      </c>
      <c r="F68" s="1621">
        <v>251205772</v>
      </c>
      <c r="G68" s="1621">
        <v>0</v>
      </c>
      <c r="H68" s="1621">
        <v>0</v>
      </c>
      <c r="I68" s="857">
        <f t="shared" si="0"/>
        <v>0</v>
      </c>
    </row>
    <row r="69" spans="1:9" ht="14.1" customHeight="1">
      <c r="A69" s="1622" t="s">
        <v>387</v>
      </c>
      <c r="B69" s="1623" t="s">
        <v>394</v>
      </c>
      <c r="C69" s="1624">
        <v>0</v>
      </c>
      <c r="D69" s="1625">
        <v>0</v>
      </c>
      <c r="E69" s="1625">
        <v>2708134</v>
      </c>
      <c r="F69" s="1625">
        <v>2708134</v>
      </c>
      <c r="G69" s="1625">
        <v>0</v>
      </c>
      <c r="H69" s="1625">
        <v>0</v>
      </c>
      <c r="I69" s="857">
        <f t="shared" si="0"/>
        <v>0</v>
      </c>
    </row>
    <row r="70" spans="1:9" ht="13.5">
      <c r="A70" s="1622" t="s">
        <v>389</v>
      </c>
      <c r="B70" s="1623" t="s">
        <v>414</v>
      </c>
      <c r="C70" s="1624">
        <v>0</v>
      </c>
      <c r="D70" s="1625">
        <v>0</v>
      </c>
      <c r="E70" s="1625">
        <v>80873761</v>
      </c>
      <c r="F70" s="1625">
        <v>80873761</v>
      </c>
      <c r="G70" s="1625">
        <v>0</v>
      </c>
      <c r="H70" s="1625">
        <v>0</v>
      </c>
      <c r="I70" s="857">
        <f t="shared" si="0"/>
        <v>0</v>
      </c>
    </row>
    <row r="71" spans="1:9" ht="13.5">
      <c r="A71" s="1622" t="s">
        <v>395</v>
      </c>
      <c r="B71" s="1623" t="s">
        <v>288</v>
      </c>
      <c r="C71" s="1624">
        <v>0</v>
      </c>
      <c r="D71" s="1625">
        <v>0</v>
      </c>
      <c r="E71" s="1625">
        <v>141053202</v>
      </c>
      <c r="F71" s="1625">
        <v>141053202</v>
      </c>
      <c r="G71" s="1625">
        <v>0</v>
      </c>
      <c r="H71" s="1625">
        <v>0</v>
      </c>
      <c r="I71" s="857">
        <f t="shared" si="0"/>
        <v>0</v>
      </c>
    </row>
    <row r="72" spans="1:9" ht="13.5">
      <c r="A72" s="1622" t="s">
        <v>397</v>
      </c>
      <c r="B72" s="1623" t="s">
        <v>364</v>
      </c>
      <c r="C72" s="1624">
        <v>0</v>
      </c>
      <c r="D72" s="1625">
        <v>0</v>
      </c>
      <c r="E72" s="1625">
        <v>26570675</v>
      </c>
      <c r="F72" s="1625">
        <v>26570675</v>
      </c>
      <c r="G72" s="1625">
        <v>0</v>
      </c>
      <c r="H72" s="1625">
        <v>0</v>
      </c>
      <c r="I72" s="857">
        <f t="shared" si="0"/>
        <v>0</v>
      </c>
    </row>
    <row r="73" spans="1:9" ht="13.5">
      <c r="A73" s="1618" t="s">
        <v>444</v>
      </c>
      <c r="B73" s="1619" t="s">
        <v>445</v>
      </c>
      <c r="C73" s="1620">
        <v>0</v>
      </c>
      <c r="D73" s="1621">
        <v>0</v>
      </c>
      <c r="E73" s="1621">
        <v>17369622</v>
      </c>
      <c r="F73" s="1621">
        <v>17369622</v>
      </c>
      <c r="G73" s="1621">
        <v>0</v>
      </c>
      <c r="H73" s="1621">
        <v>0</v>
      </c>
      <c r="I73" s="857">
        <f t="shared" ref="I73:I74" si="1">G73-H73</f>
        <v>0</v>
      </c>
    </row>
    <row r="74" spans="1:9" ht="13.5">
      <c r="A74" s="1618" t="s">
        <v>446</v>
      </c>
      <c r="B74" s="1619" t="s">
        <v>447</v>
      </c>
      <c r="C74" s="1620">
        <v>0</v>
      </c>
      <c r="D74" s="1621">
        <v>0</v>
      </c>
      <c r="E74" s="1621">
        <v>40762038538</v>
      </c>
      <c r="F74" s="1621">
        <v>40762038538</v>
      </c>
      <c r="G74" s="1621">
        <v>0</v>
      </c>
      <c r="H74" s="1621">
        <v>0</v>
      </c>
      <c r="I74" s="857">
        <f t="shared" si="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47C2B-F32A-4006-BCF6-88F11AA61CE3}">
  <dimension ref="A1:P55"/>
  <sheetViews>
    <sheetView topLeftCell="E2" zoomScale="70" zoomScaleNormal="70" workbookViewId="0">
      <selection activeCell="O5" sqref="O5"/>
    </sheetView>
  </sheetViews>
  <sheetFormatPr defaultRowHeight="15"/>
  <cols>
    <col min="1" max="1" width="12.42578125" bestFit="1" customWidth="1"/>
    <col min="4" max="4" width="69.5703125" customWidth="1"/>
    <col min="7" max="7" width="9.85546875" bestFit="1" customWidth="1"/>
    <col min="8" max="8" width="15.5703125" bestFit="1" customWidth="1"/>
    <col min="9" max="9" width="23.5703125" bestFit="1" customWidth="1"/>
    <col min="15" max="15" width="13.140625" bestFit="1" customWidth="1"/>
    <col min="16" max="16" width="12.85546875" bestFit="1" customWidth="1"/>
  </cols>
  <sheetData>
    <row r="1" spans="1:16" ht="24.75">
      <c r="A1" s="1477" t="s">
        <v>1180</v>
      </c>
      <c r="B1" s="1478" t="s">
        <v>761</v>
      </c>
      <c r="C1" s="1478" t="s">
        <v>3717</v>
      </c>
      <c r="D1" s="1478" t="s">
        <v>455</v>
      </c>
      <c r="E1" s="1478" t="s">
        <v>3718</v>
      </c>
      <c r="F1" s="1478" t="s">
        <v>457</v>
      </c>
      <c r="G1" s="1478" t="s">
        <v>3719</v>
      </c>
      <c r="H1" s="1478" t="s">
        <v>3720</v>
      </c>
      <c r="I1" s="1479" t="s">
        <v>3721</v>
      </c>
      <c r="J1" s="1503" t="s">
        <v>3722</v>
      </c>
      <c r="O1" s="256" t="s">
        <v>3722</v>
      </c>
      <c r="P1" t="s">
        <v>3723</v>
      </c>
    </row>
    <row r="2" spans="1:16">
      <c r="A2" s="1480" t="s">
        <v>3724</v>
      </c>
      <c r="B2" s="1481" t="s">
        <v>3072</v>
      </c>
      <c r="C2" s="1481"/>
      <c r="D2" s="1482" t="s">
        <v>3725</v>
      </c>
      <c r="E2" s="1481">
        <v>6421.01</v>
      </c>
      <c r="F2" s="1481">
        <v>3341</v>
      </c>
      <c r="G2" s="1483">
        <v>500000</v>
      </c>
      <c r="H2" s="769"/>
      <c r="I2" s="770"/>
      <c r="J2" t="s">
        <v>3726</v>
      </c>
    </row>
    <row r="3" spans="1:16" ht="30">
      <c r="A3" s="1484" t="s">
        <v>3724</v>
      </c>
      <c r="B3" s="772" t="s">
        <v>3727</v>
      </c>
      <c r="C3" s="772"/>
      <c r="D3" s="1485" t="s">
        <v>3380</v>
      </c>
      <c r="E3" s="772">
        <v>6428</v>
      </c>
      <c r="F3" s="772">
        <v>1121</v>
      </c>
      <c r="G3" s="1486">
        <v>100000</v>
      </c>
      <c r="H3" s="1487" t="s">
        <v>3728</v>
      </c>
      <c r="I3" s="773" t="s">
        <v>3729</v>
      </c>
      <c r="J3" t="s">
        <v>3726</v>
      </c>
      <c r="O3" s="256" t="s">
        <v>469</v>
      </c>
      <c r="P3" t="s">
        <v>3730</v>
      </c>
    </row>
    <row r="4" spans="1:16">
      <c r="A4" s="1488" t="s">
        <v>3731</v>
      </c>
      <c r="B4" s="767" t="s">
        <v>3072</v>
      </c>
      <c r="C4" s="767"/>
      <c r="D4" s="1489" t="s">
        <v>3732</v>
      </c>
      <c r="E4" s="767">
        <v>6417.02</v>
      </c>
      <c r="F4" s="767">
        <v>1331</v>
      </c>
      <c r="G4" s="1490">
        <v>1118790</v>
      </c>
      <c r="H4" s="767" t="s">
        <v>3733</v>
      </c>
      <c r="I4" s="768"/>
      <c r="J4" t="s">
        <v>3734</v>
      </c>
      <c r="O4" s="257">
        <v>331.01</v>
      </c>
      <c r="P4" s="849">
        <v>300000</v>
      </c>
    </row>
    <row r="5" spans="1:16">
      <c r="A5" s="771" t="s">
        <v>3731</v>
      </c>
      <c r="B5" s="769" t="s">
        <v>3072</v>
      </c>
      <c r="C5" s="769"/>
      <c r="D5" s="1491" t="s">
        <v>3735</v>
      </c>
      <c r="E5" s="769">
        <v>6417.02</v>
      </c>
      <c r="F5" s="769">
        <v>1331</v>
      </c>
      <c r="G5" s="1492">
        <v>1616258</v>
      </c>
      <c r="H5" s="769" t="s">
        <v>3733</v>
      </c>
      <c r="I5" s="770"/>
      <c r="J5" t="s">
        <v>3734</v>
      </c>
      <c r="O5" s="1504">
        <v>6417.12</v>
      </c>
      <c r="P5" s="849">
        <v>300000</v>
      </c>
    </row>
    <row r="6" spans="1:16">
      <c r="A6" s="771" t="s">
        <v>3731</v>
      </c>
      <c r="B6" s="769" t="s">
        <v>3072</v>
      </c>
      <c r="C6" s="769"/>
      <c r="D6" s="1491" t="s">
        <v>3736</v>
      </c>
      <c r="E6" s="769">
        <v>6417.02</v>
      </c>
      <c r="F6" s="769">
        <v>1331</v>
      </c>
      <c r="G6" s="1492">
        <v>1630768</v>
      </c>
      <c r="H6" s="769" t="s">
        <v>3733</v>
      </c>
      <c r="I6" s="770"/>
      <c r="J6" t="s">
        <v>3734</v>
      </c>
      <c r="O6" s="257">
        <v>1331</v>
      </c>
      <c r="P6" s="849">
        <v>2144370</v>
      </c>
    </row>
    <row r="7" spans="1:16">
      <c r="A7" s="771" t="s">
        <v>3731</v>
      </c>
      <c r="B7" s="769" t="s">
        <v>3072</v>
      </c>
      <c r="C7" s="769"/>
      <c r="D7" s="1491" t="s">
        <v>3737</v>
      </c>
      <c r="E7" s="769">
        <v>6427.01</v>
      </c>
      <c r="F7" s="769">
        <v>1331</v>
      </c>
      <c r="G7" s="1492">
        <v>2273338</v>
      </c>
      <c r="H7" s="769" t="s">
        <v>3738</v>
      </c>
      <c r="I7" s="770"/>
      <c r="J7" t="s">
        <v>3734</v>
      </c>
      <c r="O7" s="1504">
        <v>6277.07</v>
      </c>
      <c r="P7" s="849">
        <v>376749</v>
      </c>
    </row>
    <row r="8" spans="1:16">
      <c r="A8" s="771" t="s">
        <v>3731</v>
      </c>
      <c r="B8" s="769" t="s">
        <v>3072</v>
      </c>
      <c r="C8" s="769"/>
      <c r="D8" s="1491" t="s">
        <v>3739</v>
      </c>
      <c r="E8" s="769">
        <v>6427.01</v>
      </c>
      <c r="F8" s="769">
        <v>1331</v>
      </c>
      <c r="G8" s="1492">
        <v>2273220</v>
      </c>
      <c r="H8" s="769" t="s">
        <v>3738</v>
      </c>
      <c r="I8" s="770"/>
      <c r="J8" t="s">
        <v>3734</v>
      </c>
      <c r="O8" s="1504">
        <v>6277.09</v>
      </c>
      <c r="P8" s="849">
        <v>10356</v>
      </c>
    </row>
    <row r="9" spans="1:16">
      <c r="A9" s="771" t="s">
        <v>3731</v>
      </c>
      <c r="B9" s="769" t="s">
        <v>3072</v>
      </c>
      <c r="C9" s="769"/>
      <c r="D9" s="1491" t="s">
        <v>3740</v>
      </c>
      <c r="E9" s="769">
        <v>6427.01</v>
      </c>
      <c r="F9" s="769">
        <v>1331</v>
      </c>
      <c r="G9" s="1492">
        <v>2221241</v>
      </c>
      <c r="H9" s="769" t="s">
        <v>3738</v>
      </c>
      <c r="I9" s="770"/>
      <c r="J9" t="s">
        <v>3734</v>
      </c>
      <c r="O9" s="1504">
        <v>6417.02</v>
      </c>
      <c r="P9" s="849">
        <v>2965</v>
      </c>
    </row>
    <row r="10" spans="1:16">
      <c r="A10" s="771" t="s">
        <v>3731</v>
      </c>
      <c r="B10" s="769" t="s">
        <v>3072</v>
      </c>
      <c r="C10" s="769"/>
      <c r="D10" s="1491" t="s">
        <v>3741</v>
      </c>
      <c r="E10" s="769">
        <v>6417.02</v>
      </c>
      <c r="F10" s="769">
        <v>1331</v>
      </c>
      <c r="G10" s="1492">
        <v>2315405</v>
      </c>
      <c r="H10" s="769" t="s">
        <v>3742</v>
      </c>
      <c r="I10" s="770"/>
      <c r="J10" t="s">
        <v>3734</v>
      </c>
      <c r="O10" s="1504">
        <v>6417.05</v>
      </c>
      <c r="P10" s="849">
        <v>627</v>
      </c>
    </row>
    <row r="11" spans="1:16">
      <c r="A11" s="771" t="s">
        <v>3731</v>
      </c>
      <c r="B11" s="769" t="s">
        <v>3072</v>
      </c>
      <c r="C11" s="769"/>
      <c r="D11" s="1491" t="s">
        <v>3743</v>
      </c>
      <c r="E11" s="769">
        <v>6417.02</v>
      </c>
      <c r="F11" s="769">
        <v>1331</v>
      </c>
      <c r="G11" s="1492">
        <v>1763649</v>
      </c>
      <c r="H11" s="769" t="s">
        <v>3742</v>
      </c>
      <c r="I11" s="770"/>
      <c r="J11" t="s">
        <v>3734</v>
      </c>
      <c r="O11" s="1504">
        <v>6423</v>
      </c>
      <c r="P11" s="849">
        <v>7411</v>
      </c>
    </row>
    <row r="12" spans="1:16" ht="14.85" customHeight="1">
      <c r="A12" s="1484" t="s">
        <v>3731</v>
      </c>
      <c r="B12" s="772" t="s">
        <v>3072</v>
      </c>
      <c r="C12" s="772"/>
      <c r="D12" s="1485" t="s">
        <v>3744</v>
      </c>
      <c r="E12" s="772">
        <v>3348</v>
      </c>
      <c r="F12" s="772">
        <v>3348</v>
      </c>
      <c r="G12" s="1486">
        <v>350000</v>
      </c>
      <c r="H12" s="772" t="s">
        <v>3745</v>
      </c>
      <c r="I12" s="773" t="s">
        <v>3745</v>
      </c>
      <c r="J12" t="s">
        <v>3726</v>
      </c>
      <c r="O12" s="1504">
        <v>6427.02</v>
      </c>
      <c r="P12" s="849">
        <v>479832</v>
      </c>
    </row>
    <row r="13" spans="1:16">
      <c r="A13" s="1499" t="s">
        <v>3731</v>
      </c>
      <c r="B13" s="1499" t="s">
        <v>3072</v>
      </c>
      <c r="D13" s="1500" t="s">
        <v>3746</v>
      </c>
      <c r="E13" s="1501">
        <v>6428.01</v>
      </c>
      <c r="F13" s="1501">
        <v>1331</v>
      </c>
      <c r="G13" s="1502">
        <v>23119</v>
      </c>
      <c r="J13" t="s">
        <v>3723</v>
      </c>
      <c r="O13" s="1504">
        <v>6427.04</v>
      </c>
      <c r="P13" s="849">
        <v>26945</v>
      </c>
    </row>
    <row r="14" spans="1:16">
      <c r="A14" s="1499" t="s">
        <v>3731</v>
      </c>
      <c r="B14" s="1499" t="s">
        <v>3072</v>
      </c>
      <c r="D14" s="1500" t="s">
        <v>3746</v>
      </c>
      <c r="E14" s="1501">
        <v>6427.19</v>
      </c>
      <c r="F14" s="1501">
        <v>1331</v>
      </c>
      <c r="G14" s="1502">
        <v>140072</v>
      </c>
      <c r="J14" t="s">
        <v>3723</v>
      </c>
      <c r="O14" s="1504">
        <v>6427.05</v>
      </c>
      <c r="P14" s="849">
        <v>28052</v>
      </c>
    </row>
    <row r="15" spans="1:16">
      <c r="A15" s="1499" t="s">
        <v>3731</v>
      </c>
      <c r="B15" s="1499" t="s">
        <v>3072</v>
      </c>
      <c r="D15" s="1500" t="s">
        <v>3746</v>
      </c>
      <c r="E15" s="1501">
        <v>64213</v>
      </c>
      <c r="F15" s="1501">
        <v>1331</v>
      </c>
      <c r="G15" s="1502">
        <v>9486</v>
      </c>
      <c r="J15" t="s">
        <v>3723</v>
      </c>
      <c r="O15" s="1504">
        <v>6427.06</v>
      </c>
      <c r="P15" s="849">
        <v>22698</v>
      </c>
    </row>
    <row r="16" spans="1:16">
      <c r="A16" s="1499" t="s">
        <v>3731</v>
      </c>
      <c r="B16" s="1499" t="s">
        <v>3072</v>
      </c>
      <c r="D16" s="1500" t="s">
        <v>3746</v>
      </c>
      <c r="E16" s="1501">
        <v>6417.05</v>
      </c>
      <c r="F16" s="1501">
        <v>1331</v>
      </c>
      <c r="G16" s="1502">
        <v>121</v>
      </c>
      <c r="J16" t="s">
        <v>3723</v>
      </c>
      <c r="O16" s="1504">
        <v>6427.07</v>
      </c>
      <c r="P16" s="849">
        <v>24904</v>
      </c>
    </row>
    <row r="17" spans="1:16">
      <c r="A17" s="1499" t="s">
        <v>3731</v>
      </c>
      <c r="B17" s="1499" t="s">
        <v>3072</v>
      </c>
      <c r="D17" s="1500" t="s">
        <v>3746</v>
      </c>
      <c r="E17" s="1501">
        <v>6427.26</v>
      </c>
      <c r="F17" s="1501">
        <v>1331</v>
      </c>
      <c r="G17" s="1502">
        <v>310</v>
      </c>
      <c r="J17" t="s">
        <v>3723</v>
      </c>
      <c r="O17" s="1504">
        <v>6427.11</v>
      </c>
      <c r="P17" s="849">
        <v>123772</v>
      </c>
    </row>
    <row r="18" spans="1:16">
      <c r="A18" s="1499" t="s">
        <v>3731</v>
      </c>
      <c r="B18" s="1499" t="s">
        <v>3072</v>
      </c>
      <c r="D18" s="1500" t="s">
        <v>3746</v>
      </c>
      <c r="E18" s="1501">
        <v>6427.02</v>
      </c>
      <c r="F18" s="1501">
        <v>1331</v>
      </c>
      <c r="G18" s="1502">
        <v>4088</v>
      </c>
      <c r="J18" t="s">
        <v>3723</v>
      </c>
      <c r="O18" s="1504">
        <v>6427.12</v>
      </c>
      <c r="P18" s="849">
        <v>464280</v>
      </c>
    </row>
    <row r="19" spans="1:16">
      <c r="A19" s="1499" t="s">
        <v>3731</v>
      </c>
      <c r="B19" s="1499" t="s">
        <v>3072</v>
      </c>
      <c r="D19" s="1500" t="s">
        <v>3746</v>
      </c>
      <c r="E19" s="1501">
        <v>6427.16</v>
      </c>
      <c r="F19" s="1501">
        <v>1331</v>
      </c>
      <c r="G19" s="1502">
        <v>4070</v>
      </c>
      <c r="J19" t="s">
        <v>3723</v>
      </c>
      <c r="O19" s="1504">
        <v>6427.15</v>
      </c>
      <c r="P19" s="849">
        <v>99752</v>
      </c>
    </row>
    <row r="20" spans="1:16">
      <c r="A20" s="1499" t="s">
        <v>3731</v>
      </c>
      <c r="B20" s="1499" t="s">
        <v>3072</v>
      </c>
      <c r="D20" s="1500" t="s">
        <v>3746</v>
      </c>
      <c r="E20" s="1501">
        <v>6427.15</v>
      </c>
      <c r="F20" s="1501">
        <v>1331</v>
      </c>
      <c r="G20" s="1502">
        <v>20625</v>
      </c>
      <c r="J20" t="s">
        <v>3723</v>
      </c>
      <c r="O20" s="1504">
        <v>6427.16</v>
      </c>
      <c r="P20" s="849">
        <v>12670</v>
      </c>
    </row>
    <row r="21" spans="1:16">
      <c r="A21" s="1499" t="s">
        <v>3731</v>
      </c>
      <c r="B21" s="1499" t="s">
        <v>3072</v>
      </c>
      <c r="D21" s="1500" t="s">
        <v>3746</v>
      </c>
      <c r="E21" s="1501">
        <v>6427.06</v>
      </c>
      <c r="F21" s="1501">
        <v>1331</v>
      </c>
      <c r="G21" s="1502">
        <v>460</v>
      </c>
      <c r="J21" t="s">
        <v>3723</v>
      </c>
      <c r="O21" s="1504">
        <v>6427.19</v>
      </c>
      <c r="P21" s="849">
        <v>259887</v>
      </c>
    </row>
    <row r="22" spans="1:16">
      <c r="A22" s="1499" t="s">
        <v>3731</v>
      </c>
      <c r="B22" s="1499" t="s">
        <v>3072</v>
      </c>
      <c r="D22" s="1500" t="s">
        <v>3746</v>
      </c>
      <c r="E22" s="1501">
        <v>6427.12</v>
      </c>
      <c r="F22" s="1501">
        <v>1331</v>
      </c>
      <c r="G22" s="1502">
        <v>464280</v>
      </c>
      <c r="J22" t="s">
        <v>3723</v>
      </c>
      <c r="O22" s="1504">
        <v>6427.21</v>
      </c>
      <c r="P22" s="849">
        <v>30122</v>
      </c>
    </row>
    <row r="23" spans="1:16">
      <c r="A23" s="1499" t="s">
        <v>3731</v>
      </c>
      <c r="B23" s="1499" t="s">
        <v>3072</v>
      </c>
      <c r="D23" s="1500" t="s">
        <v>3746</v>
      </c>
      <c r="E23" s="1501">
        <v>6428.02</v>
      </c>
      <c r="F23" s="1501">
        <v>1331</v>
      </c>
      <c r="G23" s="1502">
        <v>2767</v>
      </c>
      <c r="J23" t="s">
        <v>3723</v>
      </c>
      <c r="O23" s="1504">
        <v>6427.26</v>
      </c>
      <c r="P23" s="849">
        <v>1739</v>
      </c>
    </row>
    <row r="24" spans="1:16">
      <c r="A24" s="1499" t="s">
        <v>3731</v>
      </c>
      <c r="B24" s="1499" t="s">
        <v>3072</v>
      </c>
      <c r="D24" s="1500" t="s">
        <v>3747</v>
      </c>
      <c r="E24" s="1501">
        <v>6427.19</v>
      </c>
      <c r="F24" s="1501">
        <v>1331</v>
      </c>
      <c r="G24" s="1502">
        <v>39005</v>
      </c>
      <c r="J24" t="s">
        <v>3723</v>
      </c>
      <c r="O24" s="1504">
        <v>6428.01</v>
      </c>
      <c r="P24" s="849">
        <v>87387</v>
      </c>
    </row>
    <row r="25" spans="1:16">
      <c r="A25" s="1499" t="s">
        <v>3731</v>
      </c>
      <c r="B25" s="1499" t="s">
        <v>3072</v>
      </c>
      <c r="D25" s="1500" t="s">
        <v>3747</v>
      </c>
      <c r="E25" s="1501">
        <v>6277.07</v>
      </c>
      <c r="F25" s="1501">
        <v>1331</v>
      </c>
      <c r="G25" s="1502">
        <v>376749</v>
      </c>
      <c r="J25" t="s">
        <v>3723</v>
      </c>
      <c r="O25" s="1504">
        <v>6428.02</v>
      </c>
      <c r="P25" s="849">
        <v>44391</v>
      </c>
    </row>
    <row r="26" spans="1:16">
      <c r="A26" s="1499" t="s">
        <v>3731</v>
      </c>
      <c r="B26" s="1499" t="s">
        <v>3072</v>
      </c>
      <c r="D26" s="1500" t="s">
        <v>3747</v>
      </c>
      <c r="E26" s="1501">
        <v>6427.16</v>
      </c>
      <c r="F26" s="1501">
        <v>1331</v>
      </c>
      <c r="G26" s="1502">
        <v>7032</v>
      </c>
      <c r="J26" t="s">
        <v>3723</v>
      </c>
      <c r="O26" s="1504">
        <v>64213</v>
      </c>
      <c r="P26" s="849">
        <v>9709</v>
      </c>
    </row>
    <row r="27" spans="1:16">
      <c r="A27" s="1499" t="s">
        <v>3731</v>
      </c>
      <c r="B27" s="1499" t="s">
        <v>3072</v>
      </c>
      <c r="D27" s="1500" t="s">
        <v>3747</v>
      </c>
      <c r="E27" s="1501">
        <v>6417.05</v>
      </c>
      <c r="F27" s="1501">
        <v>1331</v>
      </c>
      <c r="G27" s="1502">
        <v>469</v>
      </c>
      <c r="J27" t="s">
        <v>3723</v>
      </c>
      <c r="O27" s="1504">
        <v>6277.01</v>
      </c>
      <c r="P27" s="849">
        <v>30122</v>
      </c>
    </row>
    <row r="28" spans="1:16">
      <c r="A28" s="1499" t="s">
        <v>3731</v>
      </c>
      <c r="B28" s="1499" t="s">
        <v>3072</v>
      </c>
      <c r="D28" s="1500" t="s">
        <v>3747</v>
      </c>
      <c r="E28" s="1501">
        <v>6427.15</v>
      </c>
      <c r="F28" s="1501">
        <v>1331</v>
      </c>
      <c r="G28" s="1502">
        <v>65083</v>
      </c>
      <c r="J28" t="s">
        <v>3723</v>
      </c>
      <c r="O28" s="257" t="s">
        <v>481</v>
      </c>
      <c r="P28" s="849">
        <v>2444370</v>
      </c>
    </row>
    <row r="29" spans="1:16">
      <c r="A29" s="1499" t="s">
        <v>3731</v>
      </c>
      <c r="B29" s="1499" t="s">
        <v>3072</v>
      </c>
      <c r="D29" s="1500" t="s">
        <v>3747</v>
      </c>
      <c r="E29" s="1501">
        <v>6428.02</v>
      </c>
      <c r="F29" s="1501">
        <v>1331</v>
      </c>
      <c r="G29" s="1502">
        <v>41624</v>
      </c>
      <c r="J29" t="s">
        <v>3723</v>
      </c>
    </row>
    <row r="30" spans="1:16">
      <c r="A30" s="1499" t="s">
        <v>3731</v>
      </c>
      <c r="B30" s="1499" t="s">
        <v>3072</v>
      </c>
      <c r="D30" s="1500" t="s">
        <v>3747</v>
      </c>
      <c r="E30" s="1501">
        <v>6427.02</v>
      </c>
      <c r="F30" s="1501">
        <v>1331</v>
      </c>
      <c r="G30" s="1502">
        <v>15584</v>
      </c>
      <c r="J30" t="s">
        <v>3723</v>
      </c>
    </row>
    <row r="31" spans="1:16">
      <c r="A31" s="1499" t="s">
        <v>3731</v>
      </c>
      <c r="B31" s="1499" t="s">
        <v>3072</v>
      </c>
      <c r="D31" s="1500" t="s">
        <v>3747</v>
      </c>
      <c r="E31" s="1501">
        <v>6427.26</v>
      </c>
      <c r="F31" s="1501">
        <v>1331</v>
      </c>
      <c r="G31" s="1502">
        <v>1429</v>
      </c>
      <c r="J31" t="s">
        <v>3723</v>
      </c>
    </row>
    <row r="32" spans="1:16">
      <c r="A32" s="1499" t="s">
        <v>3731</v>
      </c>
      <c r="B32" s="1499" t="s">
        <v>3072</v>
      </c>
      <c r="D32" s="1500" t="s">
        <v>3747</v>
      </c>
      <c r="E32" s="1501">
        <v>6427.02</v>
      </c>
      <c r="F32" s="1501">
        <v>1331</v>
      </c>
      <c r="G32" s="1502">
        <v>459935</v>
      </c>
      <c r="J32" t="s">
        <v>3723</v>
      </c>
    </row>
    <row r="33" spans="1:10">
      <c r="A33" s="1499" t="s">
        <v>3731</v>
      </c>
      <c r="B33" s="1499" t="s">
        <v>3072</v>
      </c>
      <c r="D33" s="1500" t="s">
        <v>3747</v>
      </c>
      <c r="E33" s="1501">
        <v>6427.11</v>
      </c>
      <c r="F33" s="1501">
        <v>1331</v>
      </c>
      <c r="G33" s="1502">
        <v>123772</v>
      </c>
      <c r="J33" t="s">
        <v>3723</v>
      </c>
    </row>
    <row r="34" spans="1:10">
      <c r="A34" s="1499" t="s">
        <v>3731</v>
      </c>
      <c r="B34" s="1499" t="s">
        <v>3072</v>
      </c>
      <c r="D34" s="1500" t="s">
        <v>3747</v>
      </c>
      <c r="E34" s="1501">
        <v>6427.04</v>
      </c>
      <c r="F34" s="1501">
        <v>1331</v>
      </c>
      <c r="G34" s="1502">
        <v>26945</v>
      </c>
      <c r="J34" t="s">
        <v>3723</v>
      </c>
    </row>
    <row r="35" spans="1:10">
      <c r="A35" s="1499" t="s">
        <v>3731</v>
      </c>
      <c r="B35" s="1499" t="s">
        <v>3072</v>
      </c>
      <c r="D35" s="1500" t="s">
        <v>3747</v>
      </c>
      <c r="E35" s="1501">
        <v>6423</v>
      </c>
      <c r="F35" s="1501">
        <v>1331</v>
      </c>
      <c r="G35" s="1502">
        <v>7411</v>
      </c>
      <c r="J35" t="s">
        <v>3723</v>
      </c>
    </row>
    <row r="36" spans="1:10">
      <c r="A36" s="1499" t="s">
        <v>3731</v>
      </c>
      <c r="B36" s="1499" t="s">
        <v>3072</v>
      </c>
      <c r="D36" s="1500" t="s">
        <v>3747</v>
      </c>
      <c r="E36" s="1501">
        <v>6428.01</v>
      </c>
      <c r="F36" s="1501">
        <v>1331</v>
      </c>
      <c r="G36" s="1502">
        <v>56233</v>
      </c>
      <c r="J36" t="s">
        <v>3723</v>
      </c>
    </row>
    <row r="37" spans="1:10">
      <c r="A37" s="1499" t="s">
        <v>3731</v>
      </c>
      <c r="B37" s="1499" t="s">
        <v>3072</v>
      </c>
      <c r="D37" s="1500" t="s">
        <v>3747</v>
      </c>
      <c r="E37" s="1501">
        <v>6427.05</v>
      </c>
      <c r="F37" s="1501">
        <v>1331</v>
      </c>
      <c r="G37" s="1502">
        <v>27075</v>
      </c>
      <c r="J37" t="s">
        <v>3723</v>
      </c>
    </row>
    <row r="38" spans="1:10">
      <c r="A38" s="1499" t="s">
        <v>3731</v>
      </c>
      <c r="B38" s="1499" t="s">
        <v>3072</v>
      </c>
      <c r="D38" s="1500" t="s">
        <v>3747</v>
      </c>
      <c r="E38" s="1501">
        <v>6427.06</v>
      </c>
      <c r="F38" s="1501">
        <v>1331</v>
      </c>
      <c r="G38" s="1502">
        <v>22238</v>
      </c>
      <c r="J38" t="s">
        <v>3723</v>
      </c>
    </row>
    <row r="39" spans="1:10">
      <c r="A39" s="1499" t="s">
        <v>3731</v>
      </c>
      <c r="B39" s="1499" t="s">
        <v>3072</v>
      </c>
      <c r="D39" s="1500" t="s">
        <v>3747</v>
      </c>
      <c r="E39" s="1501">
        <v>6427.07</v>
      </c>
      <c r="F39" s="1501">
        <v>1331</v>
      </c>
      <c r="G39" s="1502">
        <v>24904</v>
      </c>
      <c r="J39" t="s">
        <v>3723</v>
      </c>
    </row>
    <row r="40" spans="1:10">
      <c r="A40" s="1499" t="s">
        <v>3731</v>
      </c>
      <c r="B40" s="1499" t="s">
        <v>3072</v>
      </c>
      <c r="D40" s="1500" t="s">
        <v>3747</v>
      </c>
      <c r="E40" s="1501">
        <v>6417.02</v>
      </c>
      <c r="F40" s="1501">
        <v>1331</v>
      </c>
      <c r="G40" s="1502">
        <v>2965</v>
      </c>
      <c r="J40" t="s">
        <v>3723</v>
      </c>
    </row>
    <row r="41" spans="1:10">
      <c r="A41" s="1499" t="s">
        <v>3731</v>
      </c>
      <c r="B41" s="1499" t="s">
        <v>3072</v>
      </c>
      <c r="D41" s="1500" t="s">
        <v>3748</v>
      </c>
      <c r="E41" s="1501">
        <v>6427.19</v>
      </c>
      <c r="F41" s="1501">
        <v>1331</v>
      </c>
      <c r="G41" s="1502">
        <v>35818</v>
      </c>
      <c r="J41" t="s">
        <v>3723</v>
      </c>
    </row>
    <row r="42" spans="1:10">
      <c r="A42" s="1499" t="s">
        <v>3731</v>
      </c>
      <c r="B42" s="1499" t="s">
        <v>3072</v>
      </c>
      <c r="D42" s="1500" t="s">
        <v>3748</v>
      </c>
      <c r="E42" s="1501">
        <v>6417.05</v>
      </c>
      <c r="F42" s="1501">
        <v>1331</v>
      </c>
      <c r="G42" s="1502">
        <v>37</v>
      </c>
      <c r="J42" t="s">
        <v>3723</v>
      </c>
    </row>
    <row r="43" spans="1:10">
      <c r="A43" s="1499" t="s">
        <v>3731</v>
      </c>
      <c r="B43" s="1499" t="s">
        <v>3072</v>
      </c>
      <c r="D43" s="1500" t="s">
        <v>3748</v>
      </c>
      <c r="E43" s="1501">
        <v>6427.16</v>
      </c>
      <c r="F43" s="1501">
        <v>1331</v>
      </c>
      <c r="G43" s="1502">
        <v>548</v>
      </c>
      <c r="J43" t="s">
        <v>3723</v>
      </c>
    </row>
    <row r="44" spans="1:10">
      <c r="A44" s="1499" t="s">
        <v>3731</v>
      </c>
      <c r="B44" s="1499" t="s">
        <v>3072</v>
      </c>
      <c r="D44" s="1500" t="s">
        <v>3748</v>
      </c>
      <c r="E44" s="1501">
        <v>6427.02</v>
      </c>
      <c r="F44" s="1501">
        <v>1331</v>
      </c>
      <c r="G44" s="1502">
        <v>225</v>
      </c>
      <c r="J44" t="s">
        <v>3723</v>
      </c>
    </row>
    <row r="45" spans="1:10">
      <c r="A45" s="1499" t="s">
        <v>3731</v>
      </c>
      <c r="B45" s="1499" t="s">
        <v>3072</v>
      </c>
      <c r="D45" s="1500" t="s">
        <v>3748</v>
      </c>
      <c r="E45" s="1501">
        <v>6427.15</v>
      </c>
      <c r="F45" s="1501">
        <v>1331</v>
      </c>
      <c r="G45" s="1502">
        <v>6039</v>
      </c>
      <c r="J45" t="s">
        <v>3723</v>
      </c>
    </row>
    <row r="46" spans="1:10">
      <c r="A46" s="1499" t="s">
        <v>3731</v>
      </c>
      <c r="B46" s="1499" t="s">
        <v>3072</v>
      </c>
      <c r="D46" s="1500" t="s">
        <v>3748</v>
      </c>
      <c r="E46" s="1501">
        <v>6428.01</v>
      </c>
      <c r="F46" s="1501">
        <v>1331</v>
      </c>
      <c r="G46" s="1502">
        <v>8035</v>
      </c>
      <c r="J46" t="s">
        <v>3723</v>
      </c>
    </row>
    <row r="47" spans="1:10">
      <c r="A47" s="1499" t="s">
        <v>3731</v>
      </c>
      <c r="B47" s="1499" t="s">
        <v>3072</v>
      </c>
      <c r="D47" s="1500" t="s">
        <v>3748</v>
      </c>
      <c r="E47" s="1501">
        <v>64213</v>
      </c>
      <c r="F47" s="1501">
        <v>1331</v>
      </c>
      <c r="G47" s="1502">
        <v>223</v>
      </c>
      <c r="J47" t="s">
        <v>3723</v>
      </c>
    </row>
    <row r="48" spans="1:10">
      <c r="A48" s="1499" t="s">
        <v>3731</v>
      </c>
      <c r="B48" s="1499" t="s">
        <v>3072</v>
      </c>
      <c r="D48" s="1500" t="s">
        <v>3748</v>
      </c>
      <c r="E48" s="1501">
        <v>6427.05</v>
      </c>
      <c r="F48" s="1501">
        <v>1331</v>
      </c>
      <c r="G48" s="1502">
        <v>977</v>
      </c>
      <c r="J48" t="s">
        <v>3723</v>
      </c>
    </row>
    <row r="49" spans="1:10">
      <c r="A49" s="1499" t="s">
        <v>3731</v>
      </c>
      <c r="B49" s="1499" t="s">
        <v>3072</v>
      </c>
      <c r="D49" s="1500" t="s">
        <v>3749</v>
      </c>
      <c r="E49" s="1501">
        <v>6427.19</v>
      </c>
      <c r="F49" s="1501">
        <v>1331</v>
      </c>
      <c r="G49" s="1502">
        <v>44992</v>
      </c>
      <c r="J49" t="s">
        <v>3723</v>
      </c>
    </row>
    <row r="50" spans="1:10">
      <c r="A50" s="1499" t="s">
        <v>3731</v>
      </c>
      <c r="B50" s="1499" t="s">
        <v>3072</v>
      </c>
      <c r="D50" s="1500" t="s">
        <v>3749</v>
      </c>
      <c r="E50" s="1501">
        <v>6427.21</v>
      </c>
      <c r="F50" s="1501">
        <v>1331</v>
      </c>
      <c r="G50" s="1502">
        <v>30122</v>
      </c>
      <c r="J50" t="s">
        <v>3723</v>
      </c>
    </row>
    <row r="51" spans="1:10">
      <c r="A51" s="1499" t="s">
        <v>3731</v>
      </c>
      <c r="B51" s="1499" t="s">
        <v>3072</v>
      </c>
      <c r="D51" s="1500" t="s">
        <v>3749</v>
      </c>
      <c r="E51" s="1501">
        <v>6277.01</v>
      </c>
      <c r="F51" s="1501">
        <v>1331</v>
      </c>
      <c r="G51" s="1502">
        <v>30122</v>
      </c>
      <c r="J51" t="s">
        <v>3723</v>
      </c>
    </row>
    <row r="52" spans="1:10">
      <c r="A52" s="1499" t="s">
        <v>3731</v>
      </c>
      <c r="B52" s="1499" t="s">
        <v>3072</v>
      </c>
      <c r="D52" s="1500" t="s">
        <v>3749</v>
      </c>
      <c r="E52" s="1501">
        <v>6277.09</v>
      </c>
      <c r="F52" s="1501">
        <v>1331</v>
      </c>
      <c r="G52" s="1502">
        <v>10356</v>
      </c>
      <c r="J52" t="s">
        <v>3723</v>
      </c>
    </row>
    <row r="53" spans="1:10">
      <c r="A53" s="1499" t="s">
        <v>3731</v>
      </c>
      <c r="B53" s="1499" t="s">
        <v>3072</v>
      </c>
      <c r="D53" s="1500" t="s">
        <v>3749</v>
      </c>
      <c r="E53" s="1501">
        <v>6427.16</v>
      </c>
      <c r="F53" s="1501">
        <v>1331</v>
      </c>
      <c r="G53" s="1502">
        <v>1020</v>
      </c>
      <c r="J53" t="s">
        <v>3723</v>
      </c>
    </row>
    <row r="54" spans="1:10">
      <c r="A54" s="1499" t="s">
        <v>3731</v>
      </c>
      <c r="B54" s="1499" t="s">
        <v>3072</v>
      </c>
      <c r="D54" s="1500" t="s">
        <v>3749</v>
      </c>
      <c r="E54" s="1501">
        <v>6427.15</v>
      </c>
      <c r="F54" s="1501">
        <v>1331</v>
      </c>
      <c r="G54" s="1502">
        <v>8005</v>
      </c>
      <c r="J54" t="s">
        <v>3723</v>
      </c>
    </row>
    <row r="55" spans="1:10">
      <c r="A55" s="1499" t="s">
        <v>3731</v>
      </c>
      <c r="B55" s="1499" t="s">
        <v>3072</v>
      </c>
      <c r="D55" s="1499" t="s">
        <v>3750</v>
      </c>
      <c r="E55" s="1501">
        <v>6417.12</v>
      </c>
      <c r="F55" s="1501">
        <v>331.01</v>
      </c>
      <c r="G55" s="1502">
        <v>300000</v>
      </c>
      <c r="J55" t="s">
        <v>3723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BA51A-DB8B-42ED-B96B-05C95E21C558}">
  <sheetPr codeName="Sheet1">
    <tabColor rgb="FFFF0000"/>
  </sheetPr>
  <dimension ref="A1:N251"/>
  <sheetViews>
    <sheetView workbookViewId="0">
      <pane ySplit="6" topLeftCell="A99" activePane="bottomLeft" state="frozen"/>
      <selection pane="bottomLeft" activeCell="G236" sqref="G236"/>
    </sheetView>
  </sheetViews>
  <sheetFormatPr defaultColWidth="9.140625" defaultRowHeight="12.75"/>
  <cols>
    <col min="1" max="1" width="9.140625" style="2"/>
    <col min="2" max="2" width="11.85546875" style="2" customWidth="1"/>
    <col min="3" max="4" width="9.140625" style="2"/>
    <col min="5" max="5" width="42.140625" style="2" customWidth="1"/>
    <col min="6" max="6" width="19.140625" style="2" bestFit="1" customWidth="1"/>
    <col min="7" max="7" width="19.5703125" style="2" bestFit="1" customWidth="1"/>
    <col min="8" max="8" width="18.85546875" style="2" bestFit="1" customWidth="1"/>
    <col min="9" max="9" width="19.140625" style="2" bestFit="1" customWidth="1"/>
    <col min="10" max="10" width="18.85546875" style="2" customWidth="1"/>
    <col min="11" max="16384" width="9.140625" style="2"/>
  </cols>
  <sheetData>
    <row r="1" spans="1:14">
      <c r="A1" s="1" t="s">
        <v>0</v>
      </c>
      <c r="B1" s="850" t="s">
        <v>1</v>
      </c>
      <c r="C1" s="850"/>
      <c r="D1" s="850"/>
      <c r="E1" s="850"/>
      <c r="F1" s="850"/>
      <c r="G1" s="850"/>
      <c r="H1" s="850"/>
      <c r="I1" s="850"/>
      <c r="J1" s="850"/>
      <c r="K1" s="850"/>
      <c r="L1" s="850"/>
      <c r="M1" s="850"/>
      <c r="N1" s="850"/>
    </row>
    <row r="2" spans="1:14">
      <c r="A2" s="1" t="s">
        <v>2</v>
      </c>
      <c r="B2" s="852">
        <v>45291</v>
      </c>
      <c r="C2" s="850"/>
      <c r="D2" s="850"/>
      <c r="E2" s="850"/>
      <c r="F2" s="850"/>
      <c r="G2" s="850"/>
      <c r="H2" s="850"/>
      <c r="I2" s="850"/>
      <c r="J2" s="850"/>
      <c r="K2" s="850"/>
      <c r="L2" s="850"/>
      <c r="M2" s="850"/>
      <c r="N2" s="850"/>
    </row>
    <row r="3" spans="1:14">
      <c r="A3" s="3" t="s">
        <v>3751</v>
      </c>
      <c r="B3" s="850"/>
      <c r="C3" s="850"/>
      <c r="D3" s="850"/>
      <c r="E3" s="850"/>
      <c r="F3" s="850"/>
      <c r="G3" s="850"/>
      <c r="H3" s="850"/>
      <c r="I3" s="850"/>
      <c r="J3" s="850"/>
      <c r="K3" s="850"/>
      <c r="L3" s="850"/>
      <c r="M3" s="850"/>
      <c r="N3" s="850"/>
    </row>
    <row r="4" spans="1:14" ht="13.5" thickBot="1">
      <c r="A4" s="850"/>
      <c r="B4" s="850"/>
      <c r="C4" s="850"/>
      <c r="D4" s="850"/>
      <c r="E4" s="850"/>
      <c r="F4" s="848">
        <f>SUBTOTAL(109,F7:F132)</f>
        <v>248501008063</v>
      </c>
      <c r="G4" s="848">
        <f t="shared" ref="G4:I4" si="0">SUBTOTAL(109,G7:G132)</f>
        <v>-244600007063</v>
      </c>
      <c r="H4" s="848">
        <f t="shared" si="0"/>
        <v>407298112947</v>
      </c>
      <c r="I4" s="848">
        <f t="shared" si="0"/>
        <v>-411199113947</v>
      </c>
      <c r="J4" s="850"/>
      <c r="K4" s="850"/>
      <c r="L4" s="850"/>
      <c r="M4" s="850"/>
      <c r="N4" s="850"/>
    </row>
    <row r="5" spans="1:14" ht="13.5" thickBot="1">
      <c r="A5" s="850"/>
      <c r="B5" s="850"/>
      <c r="C5" s="850"/>
      <c r="D5" s="850"/>
      <c r="E5" s="850"/>
      <c r="F5" s="17" t="s">
        <v>1178</v>
      </c>
      <c r="G5" s="18"/>
      <c r="H5" s="17" t="s">
        <v>1179</v>
      </c>
      <c r="I5" s="18"/>
      <c r="J5" s="848">
        <f>SUBTOTAL(109,J7:J184)</f>
        <v>0</v>
      </c>
      <c r="K5" s="899"/>
      <c r="L5" s="899"/>
      <c r="M5" s="850"/>
      <c r="N5" s="850"/>
    </row>
    <row r="6" spans="1:14" ht="25.5">
      <c r="A6" s="20" t="s">
        <v>1181</v>
      </c>
      <c r="B6" s="21" t="s">
        <v>1182</v>
      </c>
      <c r="C6" s="21" t="s">
        <v>1183</v>
      </c>
      <c r="D6" s="22" t="s">
        <v>1184</v>
      </c>
      <c r="E6" s="29" t="s">
        <v>775</v>
      </c>
      <c r="F6" s="30" t="s">
        <v>1185</v>
      </c>
      <c r="G6" s="31" t="s">
        <v>1186</v>
      </c>
      <c r="H6" s="30" t="s">
        <v>1185</v>
      </c>
      <c r="I6" s="31" t="s">
        <v>1186</v>
      </c>
      <c r="J6" s="32" t="s">
        <v>1187</v>
      </c>
      <c r="K6" s="23" t="s">
        <v>1188</v>
      </c>
      <c r="L6" s="24" t="s">
        <v>1189</v>
      </c>
      <c r="M6" s="25" t="s">
        <v>777</v>
      </c>
      <c r="N6" s="26" t="s">
        <v>1191</v>
      </c>
    </row>
    <row r="7" spans="1:14">
      <c r="A7" s="28">
        <v>1</v>
      </c>
      <c r="B7" s="27" t="s">
        <v>3752</v>
      </c>
      <c r="C7" s="1199"/>
      <c r="D7" s="1199"/>
      <c r="E7" s="1200"/>
      <c r="F7" s="1201"/>
      <c r="G7" s="1202"/>
      <c r="H7" s="1201"/>
      <c r="I7" s="1202"/>
      <c r="J7" s="1203"/>
      <c r="K7" s="1199"/>
      <c r="L7" s="1199"/>
      <c r="M7" s="1199"/>
      <c r="N7" s="1202"/>
    </row>
    <row r="8" spans="1:14">
      <c r="A8" s="1201"/>
      <c r="B8" s="1199"/>
      <c r="C8" s="1199" t="s">
        <v>1185</v>
      </c>
      <c r="D8" s="1199" t="s">
        <v>179</v>
      </c>
      <c r="E8" s="1200" t="str">
        <f>_xlfn.XLOOKUP(D8,'A0.LS'!E:E,'A0.LS'!F:F)</f>
        <v>Phải trả người dùng: Cổ tức bằng tiền</v>
      </c>
      <c r="F8" s="1204">
        <v>56713</v>
      </c>
      <c r="G8" s="1202"/>
      <c r="H8" s="1201"/>
      <c r="I8" s="1202"/>
      <c r="J8" s="1205">
        <f>ROUND(SUM(F8:I8),0)</f>
        <v>56713</v>
      </c>
      <c r="K8" s="1199" t="s">
        <v>3240</v>
      </c>
      <c r="L8" s="1199" t="s">
        <v>1199</v>
      </c>
      <c r="M8" s="1199"/>
      <c r="N8" s="1202"/>
    </row>
    <row r="9" spans="1:14">
      <c r="A9" s="1201"/>
      <c r="B9" s="1199"/>
      <c r="C9" s="1199" t="s">
        <v>1186</v>
      </c>
      <c r="D9" s="1199" t="s">
        <v>442</v>
      </c>
      <c r="E9" s="1200" t="str">
        <f>_xlfn.XLOOKUP(D9,'A0.LS'!E:E,'A0.LS'!F:F)</f>
        <v>Doanh thu khác</v>
      </c>
      <c r="F9" s="1201"/>
      <c r="G9" s="1202"/>
      <c r="H9" s="1201"/>
      <c r="I9" s="1206">
        <f>-F8</f>
        <v>-56713</v>
      </c>
      <c r="J9" s="1205">
        <f>ROUND(SUM(F9:I9),0)</f>
        <v>-56713</v>
      </c>
      <c r="K9" s="1199" t="s">
        <v>3240</v>
      </c>
      <c r="L9" s="1199" t="s">
        <v>1199</v>
      </c>
      <c r="M9" s="1199"/>
      <c r="N9" s="1202"/>
    </row>
    <row r="10" spans="1:14">
      <c r="A10" s="1201"/>
      <c r="B10" s="1199"/>
      <c r="C10" s="1199"/>
      <c r="D10" s="1199"/>
      <c r="E10" s="1200"/>
      <c r="F10" s="1201"/>
      <c r="G10" s="1202"/>
      <c r="H10" s="1201"/>
      <c r="I10" s="1202"/>
      <c r="J10" s="1203"/>
      <c r="K10" s="1199"/>
      <c r="L10" s="1199"/>
      <c r="M10" s="1199"/>
      <c r="N10" s="1202"/>
    </row>
    <row r="11" spans="1:14">
      <c r="A11" s="28">
        <v>2</v>
      </c>
      <c r="B11" s="27" t="s">
        <v>3753</v>
      </c>
      <c r="C11" s="1199"/>
      <c r="D11" s="1199"/>
      <c r="E11" s="1200"/>
      <c r="F11" s="1201"/>
      <c r="G11" s="1202"/>
      <c r="H11" s="1201"/>
      <c r="I11" s="1202"/>
      <c r="J11" s="1203"/>
      <c r="K11" s="1199"/>
      <c r="L11" s="1199"/>
      <c r="M11" s="1199"/>
      <c r="N11" s="1202"/>
    </row>
    <row r="12" spans="1:14">
      <c r="A12" s="1201"/>
      <c r="B12" s="1199"/>
      <c r="C12" s="1199" t="s">
        <v>1185</v>
      </c>
      <c r="D12" s="1199" t="s">
        <v>179</v>
      </c>
      <c r="E12" s="1200" t="str">
        <f>_xlfn.XLOOKUP(D12,'A0.LS'!E:E,'A0.LS'!F:F)</f>
        <v>Phải trả người dùng: Cổ tức bằng tiền</v>
      </c>
      <c r="F12" s="1204">
        <v>175249074</v>
      </c>
      <c r="G12" s="1202"/>
      <c r="H12" s="1201"/>
      <c r="I12" s="1202"/>
      <c r="J12" s="1205">
        <f t="shared" ref="J12:J13" si="1">ROUND(SUM(F12:I12),0)</f>
        <v>175249074</v>
      </c>
      <c r="K12" s="1199" t="s">
        <v>3240</v>
      </c>
      <c r="L12" s="1199" t="s">
        <v>1199</v>
      </c>
      <c r="M12" s="1199"/>
      <c r="N12" s="1202"/>
    </row>
    <row r="13" spans="1:14">
      <c r="A13" s="1201"/>
      <c r="B13" s="1199"/>
      <c r="C13" s="1199" t="s">
        <v>1186</v>
      </c>
      <c r="D13" s="1199" t="s">
        <v>249</v>
      </c>
      <c r="E13" s="1200" t="str">
        <f>_xlfn.XLOOKUP(D13,'A0.LS'!E:E,'A0.LS'!F:F)</f>
        <v>Doanh thu tài chính: Lãi đã nhận</v>
      </c>
      <c r="F13" s="1201"/>
      <c r="G13" s="1202"/>
      <c r="H13" s="1201"/>
      <c r="I13" s="1206">
        <f>-F12</f>
        <v>-175249074</v>
      </c>
      <c r="J13" s="1205">
        <f t="shared" si="1"/>
        <v>-175249074</v>
      </c>
      <c r="K13" s="1199" t="s">
        <v>3240</v>
      </c>
      <c r="L13" s="1199" t="s">
        <v>1199</v>
      </c>
      <c r="M13" s="1199"/>
      <c r="N13" s="1202"/>
    </row>
    <row r="14" spans="1:14">
      <c r="A14" s="1201"/>
      <c r="B14" s="1199"/>
      <c r="C14" s="1199"/>
      <c r="D14" s="1199"/>
      <c r="E14" s="1200"/>
      <c r="F14" s="1201"/>
      <c r="G14" s="1202"/>
      <c r="H14" s="1201"/>
      <c r="I14" s="1202"/>
      <c r="J14" s="1203"/>
      <c r="K14" s="1199"/>
      <c r="L14" s="1199"/>
      <c r="M14" s="1199"/>
      <c r="N14" s="1202"/>
    </row>
    <row r="15" spans="1:14">
      <c r="A15" s="28">
        <v>3</v>
      </c>
      <c r="B15" s="27" t="s">
        <v>3754</v>
      </c>
      <c r="C15" s="1199"/>
      <c r="D15" s="1199"/>
      <c r="E15" s="1200"/>
      <c r="F15" s="1201"/>
      <c r="G15" s="1202"/>
      <c r="H15" s="1201"/>
      <c r="I15" s="1202"/>
      <c r="J15" s="1203"/>
      <c r="K15" s="1199"/>
      <c r="L15" s="1199"/>
      <c r="M15" s="1199"/>
      <c r="N15" s="1202"/>
    </row>
    <row r="16" spans="1:14">
      <c r="A16" s="1201"/>
      <c r="B16" s="1199"/>
      <c r="C16" s="1199" t="s">
        <v>1185</v>
      </c>
      <c r="D16" s="1207" t="s">
        <v>378</v>
      </c>
      <c r="E16" s="1200" t="str">
        <f>_xlfn.XLOOKUP(D16,'A0.LS'!E:E,'A0.LS'!F:F)</f>
        <v>Chi phí lương thưởng</v>
      </c>
      <c r="F16" s="1201"/>
      <c r="G16" s="1202"/>
      <c r="H16" s="1204">
        <v>729909277</v>
      </c>
      <c r="I16" s="1202"/>
      <c r="J16" s="1205">
        <f t="shared" ref="J16:J17" si="2">ROUND(SUM(F16:I16),0)</f>
        <v>729909277</v>
      </c>
      <c r="K16" s="1199" t="s">
        <v>3240</v>
      </c>
      <c r="L16" s="1199" t="s">
        <v>1199</v>
      </c>
      <c r="M16" s="1199"/>
      <c r="N16" s="1202"/>
    </row>
    <row r="17" spans="1:14">
      <c r="A17" s="1201"/>
      <c r="B17" s="1199"/>
      <c r="C17" s="1199" t="s">
        <v>1186</v>
      </c>
      <c r="D17" s="1199" t="s">
        <v>150</v>
      </c>
      <c r="E17" s="1200" t="str">
        <f>_xlfn.XLOOKUP(D17,'A0.LS'!E:E,'A0.LS'!F:F)</f>
        <v>Phải trả công nhân viên</v>
      </c>
      <c r="F17" s="1201"/>
      <c r="G17" s="1206">
        <f>-H16</f>
        <v>-729909277</v>
      </c>
      <c r="H17" s="1201"/>
      <c r="I17" s="1202"/>
      <c r="J17" s="1205">
        <f t="shared" si="2"/>
        <v>-729909277</v>
      </c>
      <c r="K17" s="1199" t="s">
        <v>3240</v>
      </c>
      <c r="L17" s="1199" t="s">
        <v>1199</v>
      </c>
      <c r="M17" s="1199"/>
      <c r="N17" s="1202"/>
    </row>
    <row r="18" spans="1:14">
      <c r="A18" s="1201"/>
      <c r="B18" s="1199"/>
      <c r="C18" s="1199"/>
      <c r="D18" s="1199"/>
      <c r="E18" s="1200"/>
      <c r="F18" s="1201"/>
      <c r="G18" s="1202"/>
      <c r="H18" s="1201"/>
      <c r="I18" s="1202"/>
      <c r="J18" s="1203"/>
      <c r="K18" s="1199"/>
      <c r="L18" s="1199"/>
      <c r="M18" s="1199"/>
      <c r="N18" s="1202"/>
    </row>
    <row r="19" spans="1:14">
      <c r="A19" s="28">
        <v>4</v>
      </c>
      <c r="B19" s="27" t="s">
        <v>3755</v>
      </c>
      <c r="C19" s="1199"/>
      <c r="D19" s="1199"/>
      <c r="E19" s="1200"/>
      <c r="F19" s="1201"/>
      <c r="G19" s="1202"/>
      <c r="H19" s="1201"/>
      <c r="I19" s="1202"/>
      <c r="J19" s="1203"/>
      <c r="K19" s="1199"/>
      <c r="L19" s="1199"/>
      <c r="M19" s="1199"/>
      <c r="N19" s="1202"/>
    </row>
    <row r="20" spans="1:14">
      <c r="A20" s="1201"/>
      <c r="B20" s="1199"/>
      <c r="C20" s="1199" t="s">
        <v>1185</v>
      </c>
      <c r="D20" s="1207" t="s">
        <v>337</v>
      </c>
      <c r="E20" s="1200" t="str">
        <f>_xlfn.XLOOKUP(D20,'A0.LS'!E:E,'A0.LS'!F:F)</f>
        <v>Lương thưởng</v>
      </c>
      <c r="F20" s="1201"/>
      <c r="G20" s="1202"/>
      <c r="H20" s="1204">
        <v>505449609</v>
      </c>
      <c r="I20" s="1202"/>
      <c r="J20" s="1205">
        <f t="shared" ref="J20:J21" si="3">ROUND(SUM(F20:I20),0)</f>
        <v>505449609</v>
      </c>
      <c r="K20" s="1199" t="s">
        <v>3240</v>
      </c>
      <c r="L20" s="1199" t="s">
        <v>1199</v>
      </c>
      <c r="M20" s="1199"/>
      <c r="N20" s="1202"/>
    </row>
    <row r="21" spans="1:14">
      <c r="A21" s="1201"/>
      <c r="B21" s="1199"/>
      <c r="C21" s="1199" t="s">
        <v>1186</v>
      </c>
      <c r="D21" s="1199" t="s">
        <v>150</v>
      </c>
      <c r="E21" s="1200" t="str">
        <f>_xlfn.XLOOKUP(D21,'A0.LS'!E:E,'A0.LS'!F:F)</f>
        <v>Phải trả công nhân viên</v>
      </c>
      <c r="F21" s="1201"/>
      <c r="G21" s="1206">
        <f>-H20</f>
        <v>-505449609</v>
      </c>
      <c r="H21" s="1201"/>
      <c r="I21" s="1202"/>
      <c r="J21" s="1205">
        <f t="shared" si="3"/>
        <v>-505449609</v>
      </c>
      <c r="K21" s="1199" t="s">
        <v>3240</v>
      </c>
      <c r="L21" s="1199" t="s">
        <v>1199</v>
      </c>
      <c r="M21" s="1199"/>
      <c r="N21" s="1202"/>
    </row>
    <row r="22" spans="1:14">
      <c r="A22" s="1201"/>
      <c r="B22" s="1199"/>
      <c r="C22" s="1199"/>
      <c r="D22" s="1199"/>
      <c r="E22" s="1200"/>
      <c r="F22" s="1201"/>
      <c r="G22" s="1202"/>
      <c r="H22" s="1201"/>
      <c r="I22" s="1202"/>
      <c r="J22" s="1203"/>
      <c r="K22" s="1199"/>
      <c r="L22" s="1199"/>
      <c r="M22" s="1199"/>
      <c r="N22" s="1202"/>
    </row>
    <row r="23" spans="1:14">
      <c r="A23" s="28">
        <v>5</v>
      </c>
      <c r="B23" s="27" t="s">
        <v>3756</v>
      </c>
      <c r="C23" s="1199"/>
      <c r="D23" s="1199"/>
      <c r="E23" s="1200"/>
      <c r="F23" s="1201"/>
      <c r="G23" s="1202"/>
      <c r="H23" s="1201"/>
      <c r="I23" s="1202"/>
      <c r="J23" s="1203"/>
      <c r="K23" s="1199"/>
      <c r="L23" s="1199"/>
      <c r="M23" s="1199"/>
      <c r="N23" s="1202"/>
    </row>
    <row r="24" spans="1:14">
      <c r="A24" s="1201"/>
      <c r="B24" s="1199"/>
      <c r="C24" s="1199" t="s">
        <v>1185</v>
      </c>
      <c r="D24" s="1199" t="s">
        <v>108</v>
      </c>
      <c r="E24" s="1200" t="str">
        <f>_xlfn.XLOOKUP(D24,'A0.LS'!E:E,'A0.LS'!F:F)</f>
        <v>Xây dựng cơ bản</v>
      </c>
      <c r="F24" s="1204">
        <v>980295390</v>
      </c>
      <c r="G24" s="1202"/>
      <c r="H24" s="1201"/>
      <c r="I24" s="1202"/>
      <c r="J24" s="1205">
        <f t="shared" ref="J24:J25" si="4">ROUND(SUM(F24:I24),0)</f>
        <v>980295390</v>
      </c>
      <c r="K24" s="1199" t="s">
        <v>3240</v>
      </c>
      <c r="L24" s="1199" t="s">
        <v>1199</v>
      </c>
      <c r="M24" s="1199"/>
      <c r="N24" s="1202"/>
    </row>
    <row r="25" spans="1:14">
      <c r="A25" s="1201"/>
      <c r="B25" s="1199"/>
      <c r="C25" s="1199" t="s">
        <v>1186</v>
      </c>
      <c r="D25" s="1199" t="s">
        <v>150</v>
      </c>
      <c r="E25" s="1200" t="str">
        <f>_xlfn.XLOOKUP(D25,'A0.LS'!E:E,'A0.LS'!F:F)</f>
        <v>Phải trả công nhân viên</v>
      </c>
      <c r="F25" s="1201"/>
      <c r="G25" s="1206">
        <f>-F24</f>
        <v>-980295390</v>
      </c>
      <c r="H25" s="1201"/>
      <c r="I25" s="1202"/>
      <c r="J25" s="1205">
        <f t="shared" si="4"/>
        <v>-980295390</v>
      </c>
      <c r="K25" s="1199" t="s">
        <v>3240</v>
      </c>
      <c r="L25" s="1199" t="s">
        <v>1199</v>
      </c>
      <c r="M25" s="1199"/>
      <c r="N25" s="1202"/>
    </row>
    <row r="26" spans="1:14">
      <c r="A26" s="1201"/>
      <c r="B26" s="1199"/>
      <c r="C26" s="1199"/>
      <c r="D26" s="1199"/>
      <c r="E26" s="1200"/>
      <c r="F26" s="1201"/>
      <c r="G26" s="1202"/>
      <c r="H26" s="1201"/>
      <c r="I26" s="1202"/>
      <c r="J26" s="1203"/>
      <c r="K26" s="1199"/>
      <c r="L26" s="1199"/>
      <c r="M26" s="1199"/>
      <c r="N26" s="1202"/>
    </row>
    <row r="27" spans="1:14">
      <c r="A27" s="28">
        <v>6</v>
      </c>
      <c r="B27" s="27" t="s">
        <v>3757</v>
      </c>
      <c r="C27" s="1199"/>
      <c r="D27" s="1199"/>
      <c r="E27" s="1200"/>
      <c r="F27" s="1201"/>
      <c r="G27" s="1202"/>
      <c r="H27" s="1201"/>
      <c r="I27" s="1202"/>
      <c r="J27" s="1203"/>
      <c r="K27" s="1199"/>
      <c r="L27" s="1199"/>
      <c r="M27" s="1199"/>
      <c r="N27" s="1202"/>
    </row>
    <row r="28" spans="1:14">
      <c r="A28" s="1201"/>
      <c r="B28" s="1199"/>
      <c r="C28" s="1199" t="s">
        <v>1185</v>
      </c>
      <c r="D28" s="1207" t="s">
        <v>378</v>
      </c>
      <c r="E28" s="1200" t="str">
        <f>_xlfn.XLOOKUP(D28,'A0.LS'!E:E,'A0.LS'!F:F)</f>
        <v>Chi phí lương thưởng</v>
      </c>
      <c r="F28" s="1201"/>
      <c r="G28" s="1208"/>
      <c r="H28" s="1209">
        <v>44600000</v>
      </c>
      <c r="I28" s="1202"/>
      <c r="J28" s="1205">
        <f t="shared" ref="J28:J29" si="5">ROUND(SUM(F28:I28),0)</f>
        <v>44600000</v>
      </c>
      <c r="K28" s="1199" t="s">
        <v>3240</v>
      </c>
      <c r="L28" s="1199" t="s">
        <v>1199</v>
      </c>
      <c r="M28" s="1199"/>
      <c r="N28" s="1202"/>
    </row>
    <row r="29" spans="1:14">
      <c r="A29" s="1201"/>
      <c r="B29" s="1199"/>
      <c r="C29" s="1199" t="s">
        <v>1186</v>
      </c>
      <c r="D29" s="1199" t="s">
        <v>150</v>
      </c>
      <c r="E29" s="1200" t="str">
        <f>_xlfn.XLOOKUP(D29,'A0.LS'!E:E,'A0.LS'!F:F)</f>
        <v>Phải trả công nhân viên</v>
      </c>
      <c r="F29" s="1201"/>
      <c r="G29" s="1208">
        <f>-H28</f>
        <v>-44600000</v>
      </c>
      <c r="H29" s="1209"/>
      <c r="I29" s="1202"/>
      <c r="J29" s="1205">
        <f t="shared" si="5"/>
        <v>-44600000</v>
      </c>
      <c r="K29" s="1199" t="s">
        <v>3240</v>
      </c>
      <c r="L29" s="1199" t="s">
        <v>1199</v>
      </c>
      <c r="M29" s="1199"/>
      <c r="N29" s="1202"/>
    </row>
    <row r="30" spans="1:14">
      <c r="A30" s="1201"/>
      <c r="B30" s="1199"/>
      <c r="C30" s="1199"/>
      <c r="D30" s="1199"/>
      <c r="E30" s="1200"/>
      <c r="F30" s="1201"/>
      <c r="G30" s="1202"/>
      <c r="H30" s="1201"/>
      <c r="I30" s="1202"/>
      <c r="J30" s="1203"/>
      <c r="K30" s="1199"/>
      <c r="L30" s="1199"/>
      <c r="M30" s="1199"/>
      <c r="N30" s="1202"/>
    </row>
    <row r="31" spans="1:14">
      <c r="A31" s="28">
        <v>7</v>
      </c>
      <c r="B31" s="27" t="s">
        <v>3758</v>
      </c>
      <c r="C31" s="1199"/>
      <c r="D31" s="1199"/>
      <c r="E31" s="1200"/>
      <c r="F31" s="1201"/>
      <c r="G31" s="1202"/>
      <c r="H31" s="1204"/>
      <c r="I31" s="1202"/>
      <c r="J31" s="1205"/>
      <c r="K31" s="1199"/>
      <c r="L31" s="1199"/>
      <c r="M31" s="1199"/>
      <c r="N31" s="1202"/>
    </row>
    <row r="32" spans="1:14">
      <c r="A32" s="1201"/>
      <c r="B32" s="1199"/>
      <c r="C32" s="1199" t="s">
        <v>1185</v>
      </c>
      <c r="D32" s="1199" t="s">
        <v>380</v>
      </c>
      <c r="E32" s="1200" t="str">
        <f>_xlfn.XLOOKUP(D32,'A0.LS'!E:E,'A0.LS'!F:F)</f>
        <v>Phúc lợi khác</v>
      </c>
      <c r="F32" s="1201"/>
      <c r="G32" s="1206"/>
      <c r="H32" s="1204">
        <v>6000000</v>
      </c>
      <c r="I32" s="1202"/>
      <c r="J32" s="1205">
        <f t="shared" ref="J32:J33" si="6">ROUND(SUM(F32:I32),0)</f>
        <v>6000000</v>
      </c>
      <c r="K32" s="1199" t="s">
        <v>3240</v>
      </c>
      <c r="L32" s="1199" t="s">
        <v>1199</v>
      </c>
      <c r="M32" s="1199"/>
      <c r="N32" s="1202"/>
    </row>
    <row r="33" spans="1:14">
      <c r="A33" s="1201"/>
      <c r="B33" s="1199"/>
      <c r="C33" s="1199" t="s">
        <v>1186</v>
      </c>
      <c r="D33" s="1199" t="s">
        <v>150</v>
      </c>
      <c r="E33" s="1200" t="str">
        <f>_xlfn.XLOOKUP(D33,'A0.LS'!E:E,'A0.LS'!F:F)</f>
        <v>Phải trả công nhân viên</v>
      </c>
      <c r="F33" s="1201"/>
      <c r="G33" s="1206">
        <f>-H32</f>
        <v>-6000000</v>
      </c>
      <c r="H33" s="1201"/>
      <c r="I33" s="1202"/>
      <c r="J33" s="1205">
        <f t="shared" si="6"/>
        <v>-6000000</v>
      </c>
      <c r="K33" s="1199" t="s">
        <v>3240</v>
      </c>
      <c r="L33" s="1199" t="s">
        <v>1199</v>
      </c>
      <c r="M33" s="1199"/>
      <c r="N33" s="1202"/>
    </row>
    <row r="34" spans="1:14">
      <c r="A34" s="1201"/>
      <c r="B34" s="1199"/>
      <c r="C34" s="1199"/>
      <c r="D34" s="1199"/>
      <c r="E34" s="1200"/>
      <c r="F34" s="1201"/>
      <c r="G34" s="1202"/>
      <c r="H34" s="1201"/>
      <c r="I34" s="1202"/>
      <c r="J34" s="1203"/>
      <c r="K34" s="1199"/>
      <c r="L34" s="1199"/>
      <c r="M34" s="1199"/>
      <c r="N34" s="1202"/>
    </row>
    <row r="35" spans="1:14">
      <c r="A35" s="28">
        <v>8</v>
      </c>
      <c r="B35" s="27" t="s">
        <v>3759</v>
      </c>
      <c r="C35" s="1199"/>
      <c r="D35" s="1199"/>
      <c r="E35" s="1200"/>
      <c r="F35" s="1201"/>
      <c r="G35" s="1202"/>
      <c r="H35" s="1201"/>
      <c r="I35" s="1202"/>
      <c r="J35" s="1203"/>
      <c r="K35" s="1199"/>
      <c r="L35" s="1199"/>
      <c r="M35" s="1199"/>
      <c r="N35" s="1202"/>
    </row>
    <row r="36" spans="1:14">
      <c r="A36" s="1201"/>
      <c r="B36" s="1199"/>
      <c r="C36" s="1199" t="s">
        <v>1185</v>
      </c>
      <c r="D36" s="1199" t="s">
        <v>380</v>
      </c>
      <c r="E36" s="1200" t="str">
        <f>_xlfn.XLOOKUP(D36,'A0.LS'!E:E,'A0.LS'!F:F)</f>
        <v>Phúc lợi khác</v>
      </c>
      <c r="F36" s="1201"/>
      <c r="G36" s="1202"/>
      <c r="H36" s="1204">
        <v>25000000</v>
      </c>
      <c r="I36" s="1202"/>
      <c r="J36" s="1205">
        <f t="shared" ref="J36:J37" si="7">ROUND(SUM(F36:I36),0)</f>
        <v>25000000</v>
      </c>
      <c r="K36" s="1199" t="s">
        <v>3240</v>
      </c>
      <c r="L36" s="1199" t="s">
        <v>1199</v>
      </c>
      <c r="M36" s="1199"/>
      <c r="N36" s="1202"/>
    </row>
    <row r="37" spans="1:14">
      <c r="A37" s="1201"/>
      <c r="B37" s="1199"/>
      <c r="C37" s="1199" t="s">
        <v>1186</v>
      </c>
      <c r="D37" s="1199" t="s">
        <v>150</v>
      </c>
      <c r="E37" s="1200" t="str">
        <f>_xlfn.XLOOKUP(D37,'A0.LS'!E:E,'A0.LS'!F:F)</f>
        <v>Phải trả công nhân viên</v>
      </c>
      <c r="F37" s="1201"/>
      <c r="G37" s="1206">
        <f>-H36</f>
        <v>-25000000</v>
      </c>
      <c r="H37" s="1201"/>
      <c r="I37" s="1202"/>
      <c r="J37" s="1205">
        <f t="shared" si="7"/>
        <v>-25000000</v>
      </c>
      <c r="K37" s="1199" t="s">
        <v>3240</v>
      </c>
      <c r="L37" s="1199" t="s">
        <v>1199</v>
      </c>
      <c r="M37" s="1199"/>
      <c r="N37" s="1202"/>
    </row>
    <row r="38" spans="1:14">
      <c r="A38" s="1201"/>
      <c r="B38" s="1199"/>
      <c r="C38" s="1199"/>
      <c r="D38" s="1199"/>
      <c r="E38" s="1200"/>
      <c r="F38" s="1201"/>
      <c r="G38" s="1202"/>
      <c r="H38" s="1201"/>
      <c r="I38" s="1202"/>
      <c r="J38" s="1203"/>
      <c r="K38" s="1199"/>
      <c r="L38" s="1199"/>
      <c r="M38" s="1199"/>
      <c r="N38" s="1202"/>
    </row>
    <row r="39" spans="1:14">
      <c r="A39" s="28">
        <v>9</v>
      </c>
      <c r="B39" s="27" t="s">
        <v>3760</v>
      </c>
      <c r="C39" s="1199"/>
      <c r="D39" s="1199"/>
      <c r="E39" s="1200"/>
      <c r="F39" s="1201"/>
      <c r="G39" s="1202"/>
      <c r="H39" s="1201"/>
      <c r="I39" s="1202"/>
      <c r="J39" s="1203"/>
      <c r="K39" s="1199"/>
      <c r="L39" s="1199"/>
      <c r="M39" s="1199"/>
      <c r="N39" s="1202"/>
    </row>
    <row r="40" spans="1:14">
      <c r="A40" s="1201"/>
      <c r="B40" s="1199"/>
      <c r="C40" s="1199" t="s">
        <v>1185</v>
      </c>
      <c r="D40" s="1199" t="s">
        <v>150</v>
      </c>
      <c r="E40" s="1200" t="str">
        <f>_xlfn.XLOOKUP(D40,'A0.LS'!E:E,'A0.LS'!F:F)</f>
        <v>Phải trả công nhân viên</v>
      </c>
      <c r="F40" s="1204">
        <v>31000000</v>
      </c>
      <c r="G40" s="1202"/>
      <c r="H40" s="1201"/>
      <c r="I40" s="1202"/>
      <c r="J40" s="1205">
        <f t="shared" ref="J40:J41" si="8">ROUND(SUM(F40:I40),0)</f>
        <v>31000000</v>
      </c>
      <c r="K40" s="1199" t="s">
        <v>3240</v>
      </c>
      <c r="L40" s="1199" t="s">
        <v>1199</v>
      </c>
      <c r="M40" s="1199"/>
      <c r="N40" s="1202"/>
    </row>
    <row r="41" spans="1:14">
      <c r="A41" s="1201"/>
      <c r="B41" s="1199"/>
      <c r="C41" s="1199" t="s">
        <v>1186</v>
      </c>
      <c r="D41" s="1199" t="s">
        <v>69</v>
      </c>
      <c r="E41" s="1200" t="str">
        <f>_xlfn.XLOOKUP(D41,'A0.LS'!E:E,'A0.LS'!F:F)</f>
        <v>Tạm ứng</v>
      </c>
      <c r="F41" s="1201"/>
      <c r="G41" s="1206">
        <f>-F40</f>
        <v>-31000000</v>
      </c>
      <c r="H41" s="1201"/>
      <c r="I41" s="1202"/>
      <c r="J41" s="1205">
        <f t="shared" si="8"/>
        <v>-31000000</v>
      </c>
      <c r="K41" s="1199" t="s">
        <v>3240</v>
      </c>
      <c r="L41" s="1199" t="s">
        <v>1199</v>
      </c>
      <c r="M41" s="1199"/>
      <c r="N41" s="1202"/>
    </row>
    <row r="42" spans="1:14">
      <c r="A42" s="1201"/>
      <c r="B42" s="1199"/>
      <c r="C42" s="1199"/>
      <c r="D42" s="1199"/>
      <c r="E42" s="1200"/>
      <c r="F42" s="1201"/>
      <c r="G42" s="1202"/>
      <c r="H42" s="1201"/>
      <c r="I42" s="1202"/>
      <c r="J42" s="1203"/>
      <c r="K42" s="1199"/>
      <c r="L42" s="1199"/>
      <c r="M42" s="1199"/>
      <c r="N42" s="1202"/>
    </row>
    <row r="43" spans="1:14">
      <c r="A43" s="28">
        <v>10</v>
      </c>
      <c r="B43" s="27" t="s">
        <v>3761</v>
      </c>
      <c r="C43" s="1199"/>
      <c r="D43" s="1199"/>
      <c r="E43" s="1200"/>
      <c r="F43" s="1201"/>
      <c r="G43" s="1202"/>
      <c r="H43" s="1201"/>
      <c r="I43" s="1202"/>
      <c r="J43" s="1203"/>
      <c r="K43" s="1199"/>
      <c r="L43" s="1199"/>
      <c r="M43" s="1199"/>
      <c r="N43" s="1202"/>
    </row>
    <row r="44" spans="1:14">
      <c r="A44" s="1201"/>
      <c r="B44" s="1199"/>
      <c r="C44" s="1199" t="s">
        <v>1185</v>
      </c>
      <c r="D44" s="1199" t="s">
        <v>350</v>
      </c>
      <c r="E44" s="1200" t="str">
        <f>_xlfn.XLOOKUP(D44,'A0.LS'!E:E,'A0.LS'!F:F)</f>
        <v>Chi phí branding</v>
      </c>
      <c r="F44" s="1201"/>
      <c r="G44" s="1202"/>
      <c r="H44" s="1204">
        <v>212500000</v>
      </c>
      <c r="I44" s="1202"/>
      <c r="J44" s="1205">
        <f t="shared" ref="J44:J45" si="9">ROUND(SUM(F44:I44),0)</f>
        <v>212500000</v>
      </c>
      <c r="K44" s="1199" t="s">
        <v>3240</v>
      </c>
      <c r="L44" s="1199" t="s">
        <v>1199</v>
      </c>
      <c r="M44" s="1199"/>
      <c r="N44" s="1202"/>
    </row>
    <row r="45" spans="1:14">
      <c r="A45" s="1201"/>
      <c r="B45" s="1199"/>
      <c r="C45" s="1199" t="s">
        <v>1186</v>
      </c>
      <c r="D45" s="1199" t="s">
        <v>125</v>
      </c>
      <c r="E45" s="1200" t="str">
        <f>_xlfn.XLOOKUP(D45,'A0.LS'!E:E,'A0.LS'!F:F)</f>
        <v>Phải trả cho người bán</v>
      </c>
      <c r="F45" s="1201"/>
      <c r="G45" s="1206">
        <f>-H44</f>
        <v>-212500000</v>
      </c>
      <c r="H45" s="1201"/>
      <c r="I45" s="1202"/>
      <c r="J45" s="1205">
        <f t="shared" si="9"/>
        <v>-212500000</v>
      </c>
      <c r="K45" s="1199" t="s">
        <v>3240</v>
      </c>
      <c r="L45" s="1199" t="s">
        <v>1199</v>
      </c>
      <c r="M45" s="1199"/>
      <c r="N45" s="1202"/>
    </row>
    <row r="46" spans="1:14">
      <c r="A46" s="1201"/>
      <c r="B46" s="1199"/>
      <c r="C46" s="1199"/>
      <c r="D46" s="1199"/>
      <c r="E46" s="1200"/>
      <c r="F46" s="1201"/>
      <c r="G46" s="1202"/>
      <c r="H46" s="1201"/>
      <c r="I46" s="1202"/>
      <c r="J46" s="1203"/>
      <c r="K46" s="1199"/>
      <c r="L46" s="1199"/>
      <c r="M46" s="1199"/>
      <c r="N46" s="1202"/>
    </row>
    <row r="47" spans="1:14">
      <c r="A47" s="28">
        <v>11</v>
      </c>
      <c r="B47" s="27" t="s">
        <v>3762</v>
      </c>
      <c r="C47" s="1199"/>
      <c r="D47" s="1199"/>
      <c r="E47" s="1200"/>
      <c r="F47" s="1201"/>
      <c r="G47" s="1202"/>
      <c r="H47" s="1201"/>
      <c r="I47" s="1202"/>
      <c r="J47" s="1203"/>
      <c r="K47" s="1199"/>
      <c r="L47" s="1199"/>
      <c r="M47" s="1199"/>
      <c r="N47" s="1202"/>
    </row>
    <row r="48" spans="1:14">
      <c r="A48" s="1201"/>
      <c r="B48" s="1199"/>
      <c r="C48" s="1199" t="s">
        <v>1185</v>
      </c>
      <c r="D48" s="1199" t="s">
        <v>51</v>
      </c>
      <c r="E48" s="1200" t="str">
        <f>_xlfn.XLOOKUP(D48,'A0.LS'!E:E,'A0.LS'!F:F)</f>
        <v>Thuế GTGT được khấu trừ của hàng hóa, dịch vụ</v>
      </c>
      <c r="F48" s="1204">
        <v>17000000</v>
      </c>
      <c r="G48" s="1202"/>
      <c r="H48" s="1201"/>
      <c r="I48" s="1202"/>
      <c r="J48" s="1205">
        <f t="shared" ref="J48:J49" si="10">ROUND(SUM(F48:I48),0)</f>
        <v>17000000</v>
      </c>
      <c r="K48" s="1199" t="s">
        <v>3240</v>
      </c>
      <c r="L48" s="1199" t="s">
        <v>1199</v>
      </c>
      <c r="M48" s="1199"/>
      <c r="N48" s="1202"/>
    </row>
    <row r="49" spans="1:14">
      <c r="A49" s="1201"/>
      <c r="B49" s="1199"/>
      <c r="C49" s="1199" t="s">
        <v>1186</v>
      </c>
      <c r="D49" s="1199" t="s">
        <v>125</v>
      </c>
      <c r="E49" s="1200" t="str">
        <f>_xlfn.XLOOKUP(D49,'A0.LS'!E:E,'A0.LS'!F:F)</f>
        <v>Phải trả cho người bán</v>
      </c>
      <c r="F49" s="1201"/>
      <c r="G49" s="1206">
        <f>-F48</f>
        <v>-17000000</v>
      </c>
      <c r="H49" s="1201"/>
      <c r="I49" s="1202"/>
      <c r="J49" s="1205">
        <f t="shared" si="10"/>
        <v>-17000000</v>
      </c>
      <c r="K49" s="1199" t="s">
        <v>3240</v>
      </c>
      <c r="L49" s="1199" t="s">
        <v>1199</v>
      </c>
      <c r="M49" s="1199"/>
      <c r="N49" s="1202"/>
    </row>
    <row r="50" spans="1:14">
      <c r="A50" s="1201"/>
      <c r="B50" s="1199"/>
      <c r="C50" s="1199"/>
      <c r="D50" s="1199"/>
      <c r="E50" s="1200"/>
      <c r="F50" s="1201"/>
      <c r="G50" s="1202"/>
      <c r="H50" s="1201"/>
      <c r="I50" s="1202"/>
      <c r="J50" s="1203"/>
      <c r="K50" s="1199"/>
      <c r="L50" s="1199"/>
      <c r="M50" s="1199"/>
      <c r="N50" s="1202"/>
    </row>
    <row r="51" spans="1:14">
      <c r="A51" s="28">
        <v>12</v>
      </c>
      <c r="B51" s="27" t="s">
        <v>3763</v>
      </c>
      <c r="C51" s="1199"/>
      <c r="D51" s="1199"/>
      <c r="E51" s="1200"/>
      <c r="F51" s="1201"/>
      <c r="G51" s="1202"/>
      <c r="H51" s="1201"/>
      <c r="I51" s="1202"/>
      <c r="J51" s="1203"/>
      <c r="K51" s="1199"/>
      <c r="L51" s="1199"/>
      <c r="M51" s="1199"/>
      <c r="N51" s="1202"/>
    </row>
    <row r="52" spans="1:14">
      <c r="A52" s="1201"/>
      <c r="B52" s="1199"/>
      <c r="C52" s="1199" t="s">
        <v>1185</v>
      </c>
      <c r="D52" s="1199" t="s">
        <v>350</v>
      </c>
      <c r="E52" s="1200" t="str">
        <f>_xlfn.XLOOKUP(D52,'A0.LS'!E:E,'A0.LS'!F:F)</f>
        <v>Chi phí branding</v>
      </c>
      <c r="F52" s="1201"/>
      <c r="G52" s="1202"/>
      <c r="H52" s="1204">
        <v>68333333</v>
      </c>
      <c r="I52" s="1202"/>
      <c r="J52" s="1205">
        <f t="shared" ref="J52:J53" si="11">ROUND(SUM(F52:I52),0)</f>
        <v>68333333</v>
      </c>
      <c r="K52" s="1199" t="s">
        <v>3240</v>
      </c>
      <c r="L52" s="1199" t="s">
        <v>1199</v>
      </c>
      <c r="M52" s="1199"/>
      <c r="N52" s="1202"/>
    </row>
    <row r="53" spans="1:14">
      <c r="A53" s="1201"/>
      <c r="B53" s="1199"/>
      <c r="C53" s="1199" t="s">
        <v>1186</v>
      </c>
      <c r="D53" s="1199" t="s">
        <v>125</v>
      </c>
      <c r="E53" s="1200" t="str">
        <f>_xlfn.XLOOKUP(D53,'A0.LS'!E:E,'A0.LS'!F:F)</f>
        <v>Phải trả cho người bán</v>
      </c>
      <c r="F53" s="1210"/>
      <c r="G53" s="1206">
        <f>-H52</f>
        <v>-68333333</v>
      </c>
      <c r="H53" s="1201"/>
      <c r="I53" s="1202"/>
      <c r="J53" s="1205">
        <f t="shared" si="11"/>
        <v>-68333333</v>
      </c>
      <c r="K53" s="1199" t="s">
        <v>3240</v>
      </c>
      <c r="L53" s="1199" t="s">
        <v>1199</v>
      </c>
      <c r="M53" s="1199"/>
      <c r="N53" s="1202"/>
    </row>
    <row r="54" spans="1:14">
      <c r="A54" s="1201"/>
      <c r="B54" s="1199"/>
      <c r="C54" s="1199"/>
      <c r="D54" s="1199"/>
      <c r="E54" s="1200"/>
      <c r="F54" s="1201"/>
      <c r="G54" s="1202"/>
      <c r="H54" s="1201"/>
      <c r="I54" s="1202"/>
      <c r="J54" s="1203"/>
      <c r="K54" s="1199"/>
      <c r="L54" s="1199"/>
      <c r="M54" s="1199"/>
      <c r="N54" s="1202"/>
    </row>
    <row r="55" spans="1:14">
      <c r="A55" s="28">
        <v>13</v>
      </c>
      <c r="B55" s="27" t="s">
        <v>3764</v>
      </c>
      <c r="C55" s="1199"/>
      <c r="D55" s="1199"/>
      <c r="E55" s="1200"/>
      <c r="F55" s="1201"/>
      <c r="G55" s="1202"/>
      <c r="H55" s="1201"/>
      <c r="I55" s="1202"/>
      <c r="J55" s="1203"/>
      <c r="K55" s="1199"/>
      <c r="L55" s="1199"/>
      <c r="M55" s="1199"/>
      <c r="N55" s="1202"/>
    </row>
    <row r="56" spans="1:14">
      <c r="A56" s="1201"/>
      <c r="B56" s="1199"/>
      <c r="C56" s="1199" t="s">
        <v>1185</v>
      </c>
      <c r="D56" s="1199" t="s">
        <v>51</v>
      </c>
      <c r="E56" s="1200" t="str">
        <f>_xlfn.XLOOKUP(D56,'A0.LS'!E:E,'A0.LS'!F:F)</f>
        <v>Thuế GTGT được khấu trừ của hàng hóa, dịch vụ</v>
      </c>
      <c r="F56" s="1204">
        <v>5466667</v>
      </c>
      <c r="G56" s="1202"/>
      <c r="H56" s="1201"/>
      <c r="I56" s="1202"/>
      <c r="J56" s="1205">
        <f t="shared" ref="J56:J57" si="12">ROUND(SUM(F56:I56),0)</f>
        <v>5466667</v>
      </c>
      <c r="K56" s="1199" t="s">
        <v>3240</v>
      </c>
      <c r="L56" s="1199" t="s">
        <v>1199</v>
      </c>
      <c r="M56" s="1199"/>
      <c r="N56" s="1202"/>
    </row>
    <row r="57" spans="1:14">
      <c r="A57" s="1201"/>
      <c r="B57" s="1199"/>
      <c r="C57" s="1199" t="s">
        <v>1186</v>
      </c>
      <c r="D57" s="1199" t="s">
        <v>125</v>
      </c>
      <c r="E57" s="1200" t="str">
        <f>_xlfn.XLOOKUP(D57,'A0.LS'!E:E,'A0.LS'!F:F)</f>
        <v>Phải trả cho người bán</v>
      </c>
      <c r="F57" s="1201"/>
      <c r="G57" s="1206">
        <f>-F56</f>
        <v>-5466667</v>
      </c>
      <c r="H57" s="1201"/>
      <c r="I57" s="1202"/>
      <c r="J57" s="1205">
        <f t="shared" si="12"/>
        <v>-5466667</v>
      </c>
      <c r="K57" s="1199" t="s">
        <v>3240</v>
      </c>
      <c r="L57" s="1199" t="s">
        <v>1199</v>
      </c>
      <c r="M57" s="1199"/>
      <c r="N57" s="1202"/>
    </row>
    <row r="58" spans="1:14">
      <c r="A58" s="1201"/>
      <c r="B58" s="1199"/>
      <c r="C58" s="1199"/>
      <c r="D58" s="1199"/>
      <c r="E58" s="1200"/>
      <c r="F58" s="1201"/>
      <c r="G58" s="1202"/>
      <c r="H58" s="1201"/>
      <c r="I58" s="1202"/>
      <c r="J58" s="1203"/>
      <c r="K58" s="1199"/>
      <c r="L58" s="1199"/>
      <c r="M58" s="1199"/>
      <c r="N58" s="1202"/>
    </row>
    <row r="59" spans="1:14">
      <c r="A59" s="28">
        <v>14</v>
      </c>
      <c r="B59" s="27" t="s">
        <v>3765</v>
      </c>
      <c r="C59" s="1199"/>
      <c r="D59" s="1199"/>
      <c r="E59" s="1200"/>
      <c r="F59" s="1201"/>
      <c r="G59" s="1202"/>
      <c r="H59" s="1201"/>
      <c r="I59" s="1202"/>
      <c r="J59" s="1203"/>
      <c r="K59" s="1199"/>
      <c r="L59" s="1199"/>
      <c r="M59" s="1199"/>
      <c r="N59" s="1202"/>
    </row>
    <row r="60" spans="1:14">
      <c r="A60" s="1201"/>
      <c r="B60" s="1199"/>
      <c r="C60" s="1199" t="s">
        <v>1185</v>
      </c>
      <c r="D60" s="1199" t="s">
        <v>348</v>
      </c>
      <c r="E60" s="1200" t="str">
        <f>_xlfn.XLOOKUP(D60,'A0.LS'!E:E,'A0.LS'!F:F)</f>
        <v>Phí quảng cáo</v>
      </c>
      <c r="F60" s="1201"/>
      <c r="G60" s="1202"/>
      <c r="H60" s="1204">
        <v>11000000</v>
      </c>
      <c r="I60" s="1202"/>
      <c r="J60" s="1205">
        <f t="shared" ref="J60:J61" si="13">ROUND(SUM(F60:I60),0)</f>
        <v>11000000</v>
      </c>
      <c r="K60" s="1199" t="s">
        <v>3240</v>
      </c>
      <c r="L60" s="1199" t="s">
        <v>1199</v>
      </c>
      <c r="M60" s="1199"/>
      <c r="N60" s="1202"/>
    </row>
    <row r="61" spans="1:14">
      <c r="A61" s="1201"/>
      <c r="B61" s="1199"/>
      <c r="C61" s="1199" t="s">
        <v>1186</v>
      </c>
      <c r="D61" s="1199" t="s">
        <v>125</v>
      </c>
      <c r="E61" s="1200" t="str">
        <f>_xlfn.XLOOKUP(D61,'A0.LS'!E:E,'A0.LS'!F:F)</f>
        <v>Phải trả cho người bán</v>
      </c>
      <c r="F61" s="1201"/>
      <c r="G61" s="1206">
        <f>-H60</f>
        <v>-11000000</v>
      </c>
      <c r="H61" s="1201"/>
      <c r="I61" s="1202"/>
      <c r="J61" s="1205">
        <f t="shared" si="13"/>
        <v>-11000000</v>
      </c>
      <c r="K61" s="1199" t="s">
        <v>3240</v>
      </c>
      <c r="L61" s="1199" t="s">
        <v>1199</v>
      </c>
      <c r="M61" s="1199"/>
      <c r="N61" s="1202"/>
    </row>
    <row r="62" spans="1:14">
      <c r="A62" s="1201"/>
      <c r="B62" s="1199"/>
      <c r="C62" s="1199"/>
      <c r="D62" s="1199"/>
      <c r="E62" s="1200"/>
      <c r="F62" s="1201"/>
      <c r="G62" s="1202"/>
      <c r="H62" s="1201"/>
      <c r="I62" s="1202"/>
      <c r="J62" s="1203"/>
      <c r="K62" s="1199"/>
      <c r="L62" s="1199"/>
      <c r="M62" s="1199"/>
      <c r="N62" s="1202"/>
    </row>
    <row r="63" spans="1:14">
      <c r="A63" s="28">
        <v>15</v>
      </c>
      <c r="B63" s="27" t="s">
        <v>3766</v>
      </c>
      <c r="C63" s="1199"/>
      <c r="D63" s="1199"/>
      <c r="E63" s="1200"/>
      <c r="F63" s="1201"/>
      <c r="G63" s="1202"/>
      <c r="H63" s="1201"/>
      <c r="I63" s="1202"/>
      <c r="J63" s="1203"/>
      <c r="K63" s="1199"/>
      <c r="L63" s="1199"/>
      <c r="M63" s="1199"/>
      <c r="N63" s="1202"/>
    </row>
    <row r="64" spans="1:14">
      <c r="A64" s="1201"/>
      <c r="B64" s="1199"/>
      <c r="C64" s="1199" t="s">
        <v>1185</v>
      </c>
      <c r="D64" s="1199" t="s">
        <v>51</v>
      </c>
      <c r="E64" s="1200" t="str">
        <f>_xlfn.XLOOKUP(D64,'A0.LS'!E:E,'A0.LS'!F:F)</f>
        <v>Thuế GTGT được khấu trừ của hàng hóa, dịch vụ</v>
      </c>
      <c r="F64" s="1204">
        <v>880000</v>
      </c>
      <c r="G64" s="1202"/>
      <c r="H64" s="1201"/>
      <c r="I64" s="1202"/>
      <c r="J64" s="1205">
        <f t="shared" ref="J64:J65" si="14">ROUND(SUM(F64:I64),0)</f>
        <v>880000</v>
      </c>
      <c r="K64" s="1199" t="s">
        <v>3240</v>
      </c>
      <c r="L64" s="1199" t="s">
        <v>1199</v>
      </c>
      <c r="M64" s="1199"/>
      <c r="N64" s="1202"/>
    </row>
    <row r="65" spans="1:14">
      <c r="A65" s="1201"/>
      <c r="B65" s="1199"/>
      <c r="C65" s="1199" t="s">
        <v>1186</v>
      </c>
      <c r="D65" s="1199" t="s">
        <v>125</v>
      </c>
      <c r="E65" s="1200" t="str">
        <f>_xlfn.XLOOKUP(D65,'A0.LS'!E:E,'A0.LS'!F:F)</f>
        <v>Phải trả cho người bán</v>
      </c>
      <c r="F65" s="1201"/>
      <c r="G65" s="1206">
        <f>-F64</f>
        <v>-880000</v>
      </c>
      <c r="H65" s="1201"/>
      <c r="I65" s="1202"/>
      <c r="J65" s="1205">
        <f t="shared" si="14"/>
        <v>-880000</v>
      </c>
      <c r="K65" s="1199" t="s">
        <v>3240</v>
      </c>
      <c r="L65" s="1199" t="s">
        <v>1199</v>
      </c>
      <c r="M65" s="1199"/>
      <c r="N65" s="1202"/>
    </row>
    <row r="66" spans="1:14">
      <c r="A66" s="1201"/>
      <c r="B66" s="1199"/>
      <c r="C66" s="1199"/>
      <c r="D66" s="1199"/>
      <c r="E66" s="1200"/>
      <c r="F66" s="1201"/>
      <c r="G66" s="1202"/>
      <c r="H66" s="1201"/>
      <c r="I66" s="1202"/>
      <c r="J66" s="1203"/>
      <c r="K66" s="1199"/>
      <c r="L66" s="1199"/>
      <c r="M66" s="1199"/>
      <c r="N66" s="1202"/>
    </row>
    <row r="67" spans="1:14">
      <c r="A67" s="28">
        <v>16</v>
      </c>
      <c r="B67" s="27" t="s">
        <v>3767</v>
      </c>
      <c r="C67" s="1199"/>
      <c r="D67" s="1199"/>
      <c r="E67" s="1200"/>
      <c r="F67" s="1201"/>
      <c r="G67" s="1202"/>
      <c r="H67" s="1201"/>
      <c r="I67" s="1202"/>
      <c r="J67" s="1203"/>
      <c r="K67" s="1199"/>
      <c r="L67" s="1199"/>
      <c r="M67" s="1199"/>
      <c r="N67" s="1202"/>
    </row>
    <row r="68" spans="1:14">
      <c r="A68" s="1201"/>
      <c r="B68" s="1199"/>
      <c r="C68" s="1199" t="s">
        <v>1185</v>
      </c>
      <c r="D68" s="1199" t="s">
        <v>154</v>
      </c>
      <c r="E68" s="1200" t="str">
        <f>_xlfn.XLOOKUP(D68,'A0.LS'!E:E,'A0.LS'!F:F)</f>
        <v>Chi phí phải trả</v>
      </c>
      <c r="F68" s="1204">
        <v>12281818</v>
      </c>
      <c r="G68" s="1202"/>
      <c r="H68" s="1201"/>
      <c r="I68" s="1202"/>
      <c r="J68" s="1205">
        <f t="shared" ref="J68:J69" si="15">ROUND(SUM(F68:I68),0)</f>
        <v>12281818</v>
      </c>
      <c r="K68" s="1199" t="s">
        <v>3240</v>
      </c>
      <c r="L68" s="1199" t="s">
        <v>1199</v>
      </c>
      <c r="M68" s="1199"/>
      <c r="N68" s="1202"/>
    </row>
    <row r="69" spans="1:14">
      <c r="A69" s="1201"/>
      <c r="B69" s="1199"/>
      <c r="C69" s="1199" t="s">
        <v>1186</v>
      </c>
      <c r="D69" s="1199" t="s">
        <v>415</v>
      </c>
      <c r="E69" s="1200" t="str">
        <f>_xlfn.XLOOKUP(D69,'A0.LS'!E:E,'A0.LS'!F:F)</f>
        <v>Chi phí gửi xe</v>
      </c>
      <c r="F69" s="1201"/>
      <c r="G69" s="1202"/>
      <c r="H69" s="1201"/>
      <c r="I69" s="1206">
        <f>-F68</f>
        <v>-12281818</v>
      </c>
      <c r="J69" s="1205">
        <f t="shared" si="15"/>
        <v>-12281818</v>
      </c>
      <c r="K69" s="1199" t="s">
        <v>3240</v>
      </c>
      <c r="L69" s="1199" t="s">
        <v>1199</v>
      </c>
      <c r="M69" s="1199"/>
      <c r="N69" s="1202"/>
    </row>
    <row r="70" spans="1:14">
      <c r="A70" s="1201"/>
      <c r="B70" s="1199"/>
      <c r="C70" s="1199"/>
      <c r="D70" s="1199"/>
      <c r="E70" s="1200"/>
      <c r="F70" s="1201"/>
      <c r="G70" s="1202"/>
      <c r="H70" s="1201"/>
      <c r="I70" s="1202"/>
      <c r="J70" s="1203"/>
      <c r="K70" s="1199"/>
      <c r="L70" s="1199"/>
      <c r="M70" s="1199"/>
      <c r="N70" s="1202"/>
    </row>
    <row r="71" spans="1:14">
      <c r="A71" s="28">
        <v>17</v>
      </c>
      <c r="B71" s="27" t="s">
        <v>3768</v>
      </c>
      <c r="C71" s="1199"/>
      <c r="D71" s="1199"/>
      <c r="E71" s="1200"/>
      <c r="F71" s="1201"/>
      <c r="G71" s="1202"/>
      <c r="H71" s="1201"/>
      <c r="I71" s="1202"/>
      <c r="J71" s="1203"/>
      <c r="K71" s="1199"/>
      <c r="L71" s="1199"/>
      <c r="M71" s="1199"/>
      <c r="N71" s="1202"/>
    </row>
    <row r="72" spans="1:14">
      <c r="A72" s="1201"/>
      <c r="B72" s="1199"/>
      <c r="C72" s="1211" t="s">
        <v>1185</v>
      </c>
      <c r="D72" s="1211" t="s">
        <v>154</v>
      </c>
      <c r="E72" s="1200" t="str">
        <f>_xlfn.XLOOKUP(D72,'A0.LS'!E:E,'A0.LS'!F:F)</f>
        <v>Chi phí phải trả</v>
      </c>
      <c r="F72" s="1204">
        <v>87609000</v>
      </c>
      <c r="G72" s="1202"/>
      <c r="H72" s="1201"/>
      <c r="I72" s="1202"/>
      <c r="J72" s="1205">
        <f t="shared" ref="J72:J73" si="16">ROUND(SUM(F72:I72),0)</f>
        <v>87609000</v>
      </c>
      <c r="K72" s="1199" t="s">
        <v>3240</v>
      </c>
      <c r="L72" s="1199" t="s">
        <v>1199</v>
      </c>
      <c r="M72" s="1199"/>
      <c r="N72" s="1202"/>
    </row>
    <row r="73" spans="1:14">
      <c r="A73" s="1201"/>
      <c r="B73" s="1199"/>
      <c r="C73" s="1199" t="s">
        <v>1186</v>
      </c>
      <c r="D73" s="1199" t="s">
        <v>299</v>
      </c>
      <c r="E73" s="1200" t="str">
        <f>_xlfn.XLOOKUP(D73,'A0.LS'!E:E,'A0.LS'!F:F)</f>
        <v>Chi phí cho hệ thống dữ liệu</v>
      </c>
      <c r="F73" s="1201"/>
      <c r="G73" s="1202"/>
      <c r="H73" s="1201"/>
      <c r="I73" s="1206">
        <f>-F72</f>
        <v>-87609000</v>
      </c>
      <c r="J73" s="1205">
        <f t="shared" si="16"/>
        <v>-87609000</v>
      </c>
      <c r="K73" s="1199" t="s">
        <v>3240</v>
      </c>
      <c r="L73" s="1199" t="s">
        <v>1199</v>
      </c>
      <c r="M73" s="1199"/>
      <c r="N73" s="1202"/>
    </row>
    <row r="74" spans="1:14">
      <c r="A74" s="1201"/>
      <c r="B74" s="1199"/>
      <c r="C74" s="1199"/>
      <c r="D74" s="1199"/>
      <c r="E74" s="1200"/>
      <c r="F74" s="1201"/>
      <c r="G74" s="1202"/>
      <c r="H74" s="1201"/>
      <c r="I74" s="1202"/>
      <c r="J74" s="1203"/>
      <c r="K74" s="1199"/>
      <c r="L74" s="1199"/>
      <c r="M74" s="1199"/>
      <c r="N74" s="1202"/>
    </row>
    <row r="75" spans="1:14">
      <c r="A75" s="28">
        <v>18</v>
      </c>
      <c r="B75" s="27" t="s">
        <v>3769</v>
      </c>
      <c r="C75" s="1199"/>
      <c r="D75" s="1199"/>
      <c r="E75" s="1200"/>
      <c r="F75" s="1201"/>
      <c r="G75" s="1202"/>
      <c r="H75" s="1201"/>
      <c r="I75" s="1202"/>
      <c r="J75" s="1203"/>
      <c r="K75" s="1199"/>
      <c r="L75" s="1199"/>
      <c r="M75" s="1199"/>
      <c r="N75" s="1202"/>
    </row>
    <row r="76" spans="1:14">
      <c r="A76" s="1201"/>
      <c r="B76" s="1199"/>
      <c r="C76" s="1199" t="s">
        <v>1185</v>
      </c>
      <c r="D76" s="1199" t="s">
        <v>391</v>
      </c>
      <c r="E76" s="1200" t="str">
        <f>_xlfn.XLOOKUP(D76,'A0.LS'!E:E,'A0.LS'!F:F)</f>
        <v>Phí chuyển phát</v>
      </c>
      <c r="F76" s="1201"/>
      <c r="G76" s="1202"/>
      <c r="H76" s="1204">
        <v>2900210</v>
      </c>
      <c r="I76" s="1202"/>
      <c r="J76" s="1205">
        <f t="shared" ref="J76:J77" si="17">ROUND(SUM(F76:I76),0)</f>
        <v>2900210</v>
      </c>
      <c r="K76" s="1199" t="s">
        <v>3240</v>
      </c>
      <c r="L76" s="1199" t="s">
        <v>1199</v>
      </c>
      <c r="M76" s="1199"/>
      <c r="N76" s="1202"/>
    </row>
    <row r="77" spans="1:14">
      <c r="A77" s="1201"/>
      <c r="B77" s="1199"/>
      <c r="C77" s="1199" t="s">
        <v>1186</v>
      </c>
      <c r="D77" s="1199" t="s">
        <v>154</v>
      </c>
      <c r="E77" s="1200" t="str">
        <f>_xlfn.XLOOKUP(D77,'A0.LS'!E:E,'A0.LS'!F:F)</f>
        <v>Chi phí phải trả</v>
      </c>
      <c r="F77" s="1201"/>
      <c r="G77" s="1206">
        <f>-H76</f>
        <v>-2900210</v>
      </c>
      <c r="H77" s="1201"/>
      <c r="I77" s="1202"/>
      <c r="J77" s="1205">
        <f t="shared" si="17"/>
        <v>-2900210</v>
      </c>
      <c r="K77" s="1199" t="s">
        <v>3240</v>
      </c>
      <c r="L77" s="1199" t="s">
        <v>1199</v>
      </c>
      <c r="M77" s="1199"/>
      <c r="N77" s="1202"/>
    </row>
    <row r="78" spans="1:14">
      <c r="A78" s="1201"/>
      <c r="B78" s="1199"/>
      <c r="C78" s="1199"/>
      <c r="D78" s="1199"/>
      <c r="E78" s="1200"/>
      <c r="F78" s="1201"/>
      <c r="G78" s="1202"/>
      <c r="H78" s="1201"/>
      <c r="I78" s="1202"/>
      <c r="J78" s="1203"/>
      <c r="K78" s="1199"/>
      <c r="L78" s="1199"/>
      <c r="M78" s="1199"/>
      <c r="N78" s="1202"/>
    </row>
    <row r="79" spans="1:14">
      <c r="A79" s="28">
        <v>19</v>
      </c>
      <c r="B79" s="27" t="s">
        <v>3770</v>
      </c>
      <c r="C79" s="1199"/>
      <c r="D79" s="1199"/>
      <c r="E79" s="1200"/>
      <c r="F79" s="1201"/>
      <c r="G79" s="1202"/>
      <c r="H79" s="1201"/>
      <c r="I79" s="1202"/>
      <c r="J79" s="1203"/>
      <c r="K79" s="1199"/>
      <c r="L79" s="1199"/>
      <c r="M79" s="1199"/>
      <c r="N79" s="1202"/>
    </row>
    <row r="80" spans="1:14">
      <c r="A80" s="1201"/>
      <c r="B80" s="1199"/>
      <c r="C80" s="1199" t="s">
        <v>1185</v>
      </c>
      <c r="D80" s="1199" t="s">
        <v>64</v>
      </c>
      <c r="E80" s="1212" t="str">
        <f>_xlfn.XLOOKUP(D80,'A0.LS'!E:E,'A0.LS'!F:F)</f>
        <v>Chênh lệch NAV CCQ</v>
      </c>
      <c r="F80" s="1204">
        <v>538268720</v>
      </c>
      <c r="G80" s="1202"/>
      <c r="H80" s="1201"/>
      <c r="I80" s="1202"/>
      <c r="J80" s="1205">
        <f t="shared" ref="J80:J81" si="18">ROUND(SUM(F80:I80),0)</f>
        <v>538268720</v>
      </c>
      <c r="K80" s="1199" t="s">
        <v>1198</v>
      </c>
      <c r="L80" s="1199" t="s">
        <v>1199</v>
      </c>
      <c r="M80" s="1199"/>
      <c r="N80" s="1202" t="s">
        <v>682</v>
      </c>
    </row>
    <row r="81" spans="1:14">
      <c r="A81" s="1201"/>
      <c r="B81" s="1199"/>
      <c r="C81" s="1199" t="s">
        <v>1186</v>
      </c>
      <c r="D81" s="1207" t="s">
        <v>444</v>
      </c>
      <c r="E81" s="1200" t="str">
        <f>_xlfn.XLOOKUP(D81,'A0.LS'!E:E,'A0.LS'!F:F)</f>
        <v>Chi phí khác</v>
      </c>
      <c r="F81" s="1201"/>
      <c r="G81" s="1202"/>
      <c r="H81" s="1201"/>
      <c r="I81" s="1206">
        <f>-F80</f>
        <v>-538268720</v>
      </c>
      <c r="J81" s="1205">
        <f t="shared" si="18"/>
        <v>-538268720</v>
      </c>
      <c r="K81" s="1199" t="s">
        <v>1198</v>
      </c>
      <c r="L81" s="1199" t="s">
        <v>1199</v>
      </c>
      <c r="M81" s="1199"/>
      <c r="N81" s="1202" t="s">
        <v>682</v>
      </c>
    </row>
    <row r="82" spans="1:14">
      <c r="A82" s="1201"/>
      <c r="B82" s="1199"/>
      <c r="C82" s="1199"/>
      <c r="D82" s="1199"/>
      <c r="E82" s="1200"/>
      <c r="F82" s="1201"/>
      <c r="G82" s="1202"/>
      <c r="H82" s="1201"/>
      <c r="I82" s="1202"/>
      <c r="J82" s="1203"/>
      <c r="K82" s="1199"/>
      <c r="L82" s="1199"/>
      <c r="M82" s="1199"/>
      <c r="N82" s="1202"/>
    </row>
    <row r="83" spans="1:14">
      <c r="A83" s="28">
        <v>20</v>
      </c>
      <c r="B83" s="27" t="s">
        <v>3771</v>
      </c>
      <c r="C83" s="1199"/>
      <c r="D83" s="1199"/>
      <c r="E83" s="1200"/>
      <c r="F83" s="1201"/>
      <c r="G83" s="1202"/>
      <c r="H83" s="1201"/>
      <c r="I83" s="1202"/>
      <c r="J83" s="1203"/>
      <c r="K83" s="1199"/>
      <c r="L83" s="1199"/>
      <c r="M83" s="1199"/>
      <c r="N83" s="1202"/>
    </row>
    <row r="84" spans="1:14">
      <c r="A84" s="1201"/>
      <c r="B84" s="1199"/>
      <c r="C84" s="1199" t="s">
        <v>1185</v>
      </c>
      <c r="D84" s="1199" t="s">
        <v>177</v>
      </c>
      <c r="E84" s="1200" t="str">
        <f>_xlfn.XLOOKUP(D84,'A0.LS'!E:E,'A0.LS'!F:F)</f>
        <v>Phải trả người dùng: Chứng khoán</v>
      </c>
      <c r="F84" s="1204">
        <v>9667</v>
      </c>
      <c r="G84" s="1202"/>
      <c r="H84" s="1201"/>
      <c r="I84" s="1202"/>
      <c r="J84" s="1205">
        <f t="shared" ref="J84:J85" si="19">ROUND(SUM(F84:I84),0)</f>
        <v>9667</v>
      </c>
      <c r="K84" s="1199" t="s">
        <v>1198</v>
      </c>
      <c r="L84" s="1199" t="s">
        <v>1199</v>
      </c>
      <c r="M84" s="1199"/>
      <c r="N84" s="1202" t="s">
        <v>682</v>
      </c>
    </row>
    <row r="85" spans="1:14">
      <c r="A85" s="1201"/>
      <c r="B85" s="1199"/>
      <c r="C85" s="1199" t="s">
        <v>1186</v>
      </c>
      <c r="D85" s="1207" t="s">
        <v>444</v>
      </c>
      <c r="E85" s="1200" t="str">
        <f>_xlfn.XLOOKUP(D85,'A0.LS'!E:E,'A0.LS'!F:F)</f>
        <v>Chi phí khác</v>
      </c>
      <c r="F85" s="1201"/>
      <c r="G85" s="1202"/>
      <c r="H85" s="1201"/>
      <c r="I85" s="1206">
        <f>-F84</f>
        <v>-9667</v>
      </c>
      <c r="J85" s="1205">
        <f t="shared" si="19"/>
        <v>-9667</v>
      </c>
      <c r="K85" s="1199" t="s">
        <v>1198</v>
      </c>
      <c r="L85" s="1199" t="s">
        <v>1199</v>
      </c>
      <c r="M85" s="1199"/>
      <c r="N85" s="1202" t="s">
        <v>682</v>
      </c>
    </row>
    <row r="86" spans="1:14">
      <c r="A86" s="1201"/>
      <c r="B86" s="1199"/>
      <c r="C86" s="1199"/>
      <c r="D86" s="1199"/>
      <c r="E86" s="1200"/>
      <c r="F86" s="1201"/>
      <c r="G86" s="1202"/>
      <c r="H86" s="1201"/>
      <c r="I86" s="1202"/>
      <c r="J86" s="1203"/>
      <c r="K86" s="1199"/>
      <c r="L86" s="1199"/>
      <c r="M86" s="1199"/>
      <c r="N86" s="1202"/>
    </row>
    <row r="87" spans="1:14">
      <c r="A87" s="28">
        <v>21</v>
      </c>
      <c r="B87" s="27" t="s">
        <v>3772</v>
      </c>
      <c r="C87" s="1199"/>
      <c r="D87" s="1199"/>
      <c r="E87" s="1200"/>
      <c r="F87" s="1201"/>
      <c r="G87" s="1202"/>
      <c r="H87" s="1201"/>
      <c r="I87" s="1202"/>
      <c r="J87" s="1203"/>
      <c r="K87" s="1199"/>
      <c r="L87" s="1199"/>
      <c r="M87" s="1199"/>
      <c r="N87" s="1202"/>
    </row>
    <row r="88" spans="1:14">
      <c r="A88" s="1201"/>
      <c r="B88" s="1199"/>
      <c r="C88" s="1199" t="s">
        <v>1185</v>
      </c>
      <c r="D88" s="1207" t="s">
        <v>442</v>
      </c>
      <c r="E88" s="1200" t="str">
        <f>_xlfn.XLOOKUP(D88,'A0.LS'!E:E,'A0.LS'!F:F)</f>
        <v>Doanh thu khác</v>
      </c>
      <c r="F88" s="1201"/>
      <c r="G88" s="1202"/>
      <c r="H88" s="1204">
        <v>776555531</v>
      </c>
      <c r="I88" s="1202"/>
      <c r="J88" s="1205">
        <f t="shared" ref="J88:J89" si="20">ROUND(SUM(F88:I88),0)</f>
        <v>776555531</v>
      </c>
      <c r="K88" s="1199" t="s">
        <v>1198</v>
      </c>
      <c r="L88" s="1199" t="s">
        <v>1199</v>
      </c>
      <c r="M88" s="1199"/>
      <c r="N88" s="1202" t="s">
        <v>682</v>
      </c>
    </row>
    <row r="89" spans="1:14">
      <c r="A89" s="1201"/>
      <c r="B89" s="1199"/>
      <c r="C89" s="1199" t="s">
        <v>1186</v>
      </c>
      <c r="D89" s="1199" t="s">
        <v>177</v>
      </c>
      <c r="E89" s="1200" t="str">
        <f>_xlfn.XLOOKUP(D89,'A0.LS'!E:E,'A0.LS'!F:F)</f>
        <v>Phải trả người dùng: Chứng khoán</v>
      </c>
      <c r="F89" s="1201"/>
      <c r="G89" s="1206">
        <f>-H88</f>
        <v>-776555531</v>
      </c>
      <c r="H89" s="1201"/>
      <c r="I89" s="1202"/>
      <c r="J89" s="1205">
        <f t="shared" si="20"/>
        <v>-776555531</v>
      </c>
      <c r="K89" s="1199" t="s">
        <v>1198</v>
      </c>
      <c r="L89" s="1199" t="s">
        <v>1199</v>
      </c>
      <c r="M89" s="1199"/>
      <c r="N89" s="1202" t="s">
        <v>682</v>
      </c>
    </row>
    <row r="90" spans="1:14">
      <c r="A90" s="1201"/>
      <c r="B90" s="1199"/>
      <c r="C90" s="1199"/>
      <c r="D90" s="1199"/>
      <c r="E90" s="1200"/>
      <c r="F90" s="1201"/>
      <c r="G90" s="1202"/>
      <c r="H90" s="1201"/>
      <c r="I90" s="1202"/>
      <c r="J90" s="1203"/>
      <c r="K90" s="1199"/>
      <c r="L90" s="1199"/>
      <c r="M90" s="1199"/>
      <c r="N90" s="1202"/>
    </row>
    <row r="91" spans="1:14">
      <c r="A91" s="28">
        <v>22</v>
      </c>
      <c r="B91" s="27" t="s">
        <v>3773</v>
      </c>
      <c r="C91" s="1199"/>
      <c r="D91" s="1199"/>
      <c r="E91" s="1200"/>
      <c r="F91" s="1201"/>
      <c r="G91" s="1202"/>
      <c r="H91" s="1201"/>
      <c r="I91" s="1202"/>
      <c r="J91" s="1203"/>
      <c r="K91" s="1199"/>
      <c r="L91" s="1199"/>
      <c r="M91" s="1199"/>
      <c r="N91" s="1202"/>
    </row>
    <row r="92" spans="1:14">
      <c r="A92" s="1201"/>
      <c r="B92" s="1199"/>
      <c r="C92" s="1199" t="s">
        <v>1185</v>
      </c>
      <c r="D92" s="1207" t="s">
        <v>305</v>
      </c>
      <c r="E92" s="1200" t="str">
        <f>_xlfn.XLOOKUP(D92,'A0.LS'!E:E,'A0.LS'!F:F)</f>
        <v>Chi phí tài chính</v>
      </c>
      <c r="F92" s="1201"/>
      <c r="G92" s="1202"/>
      <c r="H92" s="1204">
        <v>34113193</v>
      </c>
      <c r="I92" s="1202"/>
      <c r="J92" s="1205">
        <f t="shared" ref="J92:J93" si="21">ROUND(SUM(F92:I92),0)</f>
        <v>34113193</v>
      </c>
      <c r="K92" s="1199" t="s">
        <v>1198</v>
      </c>
      <c r="L92" s="1199" t="s">
        <v>1199</v>
      </c>
      <c r="M92" s="1199"/>
      <c r="N92" s="1202" t="s">
        <v>682</v>
      </c>
    </row>
    <row r="93" spans="1:14">
      <c r="A93" s="1201"/>
      <c r="B93" s="1199"/>
      <c r="C93" s="1199" t="s">
        <v>1186</v>
      </c>
      <c r="D93" s="1207" t="s">
        <v>102</v>
      </c>
      <c r="E93" s="1200" t="str">
        <f>_xlfn.XLOOKUP(D93,'A0.LS'!E:E,'A0.LS'!F:F)</f>
        <v>Dự phòng tổn thất chứng khoán kinh doanh</v>
      </c>
      <c r="F93" s="1201"/>
      <c r="G93" s="1206">
        <f>-H92</f>
        <v>-34113193</v>
      </c>
      <c r="H93" s="1201"/>
      <c r="I93" s="1202"/>
      <c r="J93" s="1205">
        <f t="shared" si="21"/>
        <v>-34113193</v>
      </c>
      <c r="K93" s="1199" t="s">
        <v>1198</v>
      </c>
      <c r="L93" s="1199" t="s">
        <v>1199</v>
      </c>
      <c r="M93" s="1199"/>
      <c r="N93" s="1202" t="s">
        <v>682</v>
      </c>
    </row>
    <row r="94" spans="1:14">
      <c r="A94" s="1201"/>
      <c r="B94" s="1199"/>
      <c r="C94" s="1199"/>
      <c r="D94" s="1199"/>
      <c r="E94" s="1200"/>
      <c r="F94" s="1201"/>
      <c r="G94" s="1202"/>
      <c r="H94" s="1201"/>
      <c r="I94" s="1202"/>
      <c r="J94" s="1203"/>
      <c r="K94" s="1199"/>
      <c r="L94" s="1199"/>
      <c r="M94" s="1199"/>
      <c r="N94" s="1202"/>
    </row>
    <row r="95" spans="1:14">
      <c r="A95" s="28">
        <v>23</v>
      </c>
      <c r="B95" s="27" t="s">
        <v>3774</v>
      </c>
      <c r="C95" s="1199"/>
      <c r="D95" s="1199"/>
      <c r="E95" s="1200"/>
      <c r="F95" s="1201"/>
      <c r="G95" s="1202"/>
      <c r="H95" s="1201"/>
      <c r="I95" s="1202"/>
      <c r="J95" s="1203"/>
      <c r="K95" s="1199"/>
      <c r="L95" s="1199"/>
      <c r="M95" s="1199"/>
      <c r="N95" s="1202"/>
    </row>
    <row r="96" spans="1:14">
      <c r="A96" s="1201"/>
      <c r="B96" s="1199"/>
      <c r="C96" s="1199" t="s">
        <v>1185</v>
      </c>
      <c r="D96" s="1199" t="s">
        <v>64</v>
      </c>
      <c r="E96" s="1200" t="str">
        <f>_xlfn.XLOOKUP(D96,'A0.LS'!E:E,'A0.LS'!F:F)</f>
        <v>Chênh lệch NAV CCQ</v>
      </c>
      <c r="F96" s="1204">
        <v>94781317916</v>
      </c>
      <c r="G96" s="1202"/>
      <c r="H96" s="1201"/>
      <c r="I96" s="1202"/>
      <c r="J96" s="1205">
        <f t="shared" ref="J96:J97" si="22">ROUND(SUM(F96:I96),0)</f>
        <v>94781317916</v>
      </c>
      <c r="K96" s="1199" t="s">
        <v>1198</v>
      </c>
      <c r="L96" s="1199" t="s">
        <v>1199</v>
      </c>
      <c r="M96" s="1199"/>
      <c r="N96" s="1202" t="s">
        <v>682</v>
      </c>
    </row>
    <row r="97" spans="1:14">
      <c r="A97" s="1201"/>
      <c r="B97" s="1199"/>
      <c r="C97" s="1199" t="s">
        <v>1186</v>
      </c>
      <c r="D97" s="1199" t="s">
        <v>2360</v>
      </c>
      <c r="E97" s="1200" t="str">
        <f>_xlfn.XLOOKUP(D97,'A0.LS'!E:E,'A0.LS'!F:F)</f>
        <v>Phải trả, phải nộp khác - 1388.NAV dư có</v>
      </c>
      <c r="F97" s="1201"/>
      <c r="G97" s="1206">
        <f>-F96</f>
        <v>-94781317916</v>
      </c>
      <c r="H97" s="1201"/>
      <c r="I97" s="1202"/>
      <c r="J97" s="1205">
        <f t="shared" si="22"/>
        <v>-94781317916</v>
      </c>
      <c r="K97" s="1199" t="s">
        <v>1198</v>
      </c>
      <c r="L97" s="1199" t="s">
        <v>1199</v>
      </c>
      <c r="M97" s="1199"/>
      <c r="N97" s="1202" t="s">
        <v>682</v>
      </c>
    </row>
    <row r="98" spans="1:14">
      <c r="A98" s="1201"/>
      <c r="B98" s="1199"/>
      <c r="C98" s="1199"/>
      <c r="D98" s="1199"/>
      <c r="E98" s="1200"/>
      <c r="F98" s="1201"/>
      <c r="G98" s="1202"/>
      <c r="H98" s="1201"/>
      <c r="I98" s="1202"/>
      <c r="J98" s="1203"/>
      <c r="K98" s="1199"/>
      <c r="L98" s="1199"/>
      <c r="M98" s="1199"/>
      <c r="N98" s="1202"/>
    </row>
    <row r="99" spans="1:14">
      <c r="A99" s="28">
        <v>24</v>
      </c>
      <c r="B99" s="27" t="s">
        <v>3775</v>
      </c>
      <c r="C99" s="1199"/>
      <c r="D99" s="1199"/>
      <c r="E99" s="1200"/>
      <c r="F99" s="1201"/>
      <c r="G99" s="1202"/>
      <c r="H99" s="1201"/>
      <c r="I99" s="1202"/>
      <c r="J99" s="1203"/>
      <c r="K99" s="1199"/>
      <c r="L99" s="1199"/>
      <c r="M99" s="1199"/>
      <c r="N99" s="1202"/>
    </row>
    <row r="100" spans="1:14">
      <c r="A100" s="1201"/>
      <c r="B100" s="1199"/>
      <c r="C100" s="1199" t="s">
        <v>1185</v>
      </c>
      <c r="D100" s="1207" t="s">
        <v>1250</v>
      </c>
      <c r="E100" s="1200" t="str">
        <f>_xlfn.XLOOKUP(D100,'A0.LS'!E:E,'A0.LS'!F:F)</f>
        <v>Phải thu khác - Sản phẩm vàng</v>
      </c>
      <c r="F100" s="1204">
        <v>225684117</v>
      </c>
      <c r="G100" s="1202"/>
      <c r="H100" s="1201"/>
      <c r="I100" s="1202"/>
      <c r="J100" s="1205">
        <f>ROUND(SUM(F100:I100),0)</f>
        <v>225684117</v>
      </c>
      <c r="K100" s="1199" t="s">
        <v>1198</v>
      </c>
      <c r="L100" s="1199" t="s">
        <v>1199</v>
      </c>
      <c r="M100" s="1199"/>
      <c r="N100" s="1202" t="s">
        <v>3282</v>
      </c>
    </row>
    <row r="101" spans="1:14">
      <c r="A101" s="1201"/>
      <c r="B101" s="1199"/>
      <c r="C101" s="1199" t="s">
        <v>1186</v>
      </c>
      <c r="D101" s="1207" t="s">
        <v>183</v>
      </c>
      <c r="E101" s="1200" t="str">
        <f>_xlfn.XLOOKUP(D101,'A0.LS'!E:E,'A0.LS'!F:F)</f>
        <v>Phải trả, phải nộp khác - Vàng</v>
      </c>
      <c r="F101" s="1201"/>
      <c r="G101" s="1206">
        <f>-F100</f>
        <v>-225684117</v>
      </c>
      <c r="H101" s="1201"/>
      <c r="I101" s="1202"/>
      <c r="J101" s="1205">
        <f t="shared" ref="J101" si="23">ROUND(SUM(F101:I101),0)</f>
        <v>-225684117</v>
      </c>
      <c r="K101" s="1199" t="s">
        <v>1198</v>
      </c>
      <c r="L101" s="1199" t="s">
        <v>1199</v>
      </c>
      <c r="M101" s="1199"/>
      <c r="N101" s="1202" t="s">
        <v>3282</v>
      </c>
    </row>
    <row r="102" spans="1:14">
      <c r="A102" s="1201"/>
      <c r="B102" s="1199"/>
      <c r="C102" s="1199"/>
      <c r="D102" s="1199"/>
      <c r="E102" s="1200"/>
      <c r="F102" s="1201"/>
      <c r="G102" s="1202"/>
      <c r="H102" s="1201"/>
      <c r="I102" s="1202"/>
      <c r="J102" s="1203"/>
      <c r="K102" s="1199"/>
      <c r="L102" s="1199"/>
      <c r="M102" s="1199"/>
      <c r="N102" s="1202"/>
    </row>
    <row r="103" spans="1:14">
      <c r="A103" s="28">
        <v>25</v>
      </c>
      <c r="B103" s="27" t="s">
        <v>3776</v>
      </c>
      <c r="C103" s="1199"/>
      <c r="D103" s="1199"/>
      <c r="E103" s="1200"/>
      <c r="F103" s="1201"/>
      <c r="G103" s="1202"/>
      <c r="H103" s="1201"/>
      <c r="I103" s="1202"/>
      <c r="J103" s="1203"/>
      <c r="K103" s="1199"/>
      <c r="L103" s="1199"/>
      <c r="M103" s="1199"/>
      <c r="N103" s="1202"/>
    </row>
    <row r="104" spans="1:14">
      <c r="A104" s="1201"/>
      <c r="B104" s="1199"/>
      <c r="C104" s="1199" t="s">
        <v>1185</v>
      </c>
      <c r="D104" s="1207" t="s">
        <v>1245</v>
      </c>
      <c r="E104" s="1200" t="str">
        <f>_xlfn.XLOOKUP(D104,'A0.LS'!E:E,'A0.LS'!F:F)</f>
        <v>Chi phí tài chính khác</v>
      </c>
      <c r="F104" s="1201"/>
      <c r="G104" s="1202"/>
      <c r="H104" s="1204">
        <v>2968281959</v>
      </c>
      <c r="I104" s="1202"/>
      <c r="J104" s="1205">
        <f t="shared" ref="J104:J105" si="24">ROUND(SUM(F104:I104),0)</f>
        <v>2968281959</v>
      </c>
      <c r="K104" s="1199" t="s">
        <v>1198</v>
      </c>
      <c r="L104" s="1199" t="s">
        <v>1199</v>
      </c>
      <c r="M104" s="1199"/>
      <c r="N104" s="1202" t="s">
        <v>3777</v>
      </c>
    </row>
    <row r="105" spans="1:14">
      <c r="A105" s="1201"/>
      <c r="B105" s="1199"/>
      <c r="C105" s="1199" t="s">
        <v>1186</v>
      </c>
      <c r="D105" s="1207" t="s">
        <v>323</v>
      </c>
      <c r="E105" s="1200" t="str">
        <f>_xlfn.XLOOKUP(D105,'A0.LS'!E:E,'A0.LS'!F:F)</f>
        <v>Lãi vay</v>
      </c>
      <c r="F105" s="1201"/>
      <c r="G105" s="1202"/>
      <c r="H105" s="1201"/>
      <c r="I105" s="1206">
        <f>-H104</f>
        <v>-2968281959</v>
      </c>
      <c r="J105" s="1205">
        <f t="shared" si="24"/>
        <v>-2968281959</v>
      </c>
      <c r="K105" s="1199" t="s">
        <v>1198</v>
      </c>
      <c r="L105" s="1199" t="s">
        <v>1199</v>
      </c>
      <c r="M105" s="1199"/>
      <c r="N105" s="1202" t="s">
        <v>3777</v>
      </c>
    </row>
    <row r="106" spans="1:14">
      <c r="A106" s="1201"/>
      <c r="B106" s="1199"/>
      <c r="C106" s="1199"/>
      <c r="D106" s="1199"/>
      <c r="E106" s="1200"/>
      <c r="F106" s="1201"/>
      <c r="G106" s="1202"/>
      <c r="H106" s="1201"/>
      <c r="I106" s="1202"/>
      <c r="J106" s="1203"/>
      <c r="K106" s="1199"/>
      <c r="L106" s="1199"/>
      <c r="M106" s="1199"/>
      <c r="N106" s="1202"/>
    </row>
    <row r="107" spans="1:14">
      <c r="A107" s="28">
        <v>26</v>
      </c>
      <c r="B107" s="27" t="s">
        <v>3778</v>
      </c>
      <c r="C107" s="1199"/>
      <c r="D107" s="1199"/>
      <c r="E107" s="1200"/>
      <c r="F107" s="1201"/>
      <c r="G107" s="1202"/>
      <c r="H107" s="1201"/>
      <c r="I107" s="1202"/>
      <c r="J107" s="1203"/>
      <c r="K107" s="1199"/>
      <c r="L107" s="1199"/>
      <c r="M107" s="1199"/>
      <c r="N107" s="1202"/>
    </row>
    <row r="108" spans="1:14">
      <c r="A108" s="1201"/>
      <c r="B108" s="1199"/>
      <c r="C108" s="1199" t="s">
        <v>1185</v>
      </c>
      <c r="D108" s="1207" t="s">
        <v>442</v>
      </c>
      <c r="E108" s="1200" t="str">
        <f>_xlfn.XLOOKUP(D108,'A0.LS'!E:E,'A0.LS'!F:F)</f>
        <v>Doanh thu khác</v>
      </c>
      <c r="F108" s="1201"/>
      <c r="G108" s="1202"/>
      <c r="H108" s="1204">
        <v>401913469835</v>
      </c>
      <c r="I108" s="1202"/>
      <c r="J108" s="1205">
        <f t="shared" ref="J108:J109" si="25">ROUND(SUM(F108:I108),0)</f>
        <v>401913469835</v>
      </c>
      <c r="K108" s="1199" t="s">
        <v>1198</v>
      </c>
      <c r="L108" s="1199" t="s">
        <v>1199</v>
      </c>
      <c r="M108" s="1199"/>
      <c r="N108" s="1202" t="s">
        <v>682</v>
      </c>
    </row>
    <row r="109" spans="1:14">
      <c r="A109" s="1201"/>
      <c r="B109" s="1199"/>
      <c r="C109" s="1199" t="s">
        <v>1186</v>
      </c>
      <c r="D109" s="1207" t="s">
        <v>444</v>
      </c>
      <c r="E109" s="1200" t="str">
        <f>_xlfn.XLOOKUP(D109,'A0.LS'!E:E,'A0.LS'!F:F)</f>
        <v>Chi phí khác</v>
      </c>
      <c r="F109" s="1201"/>
      <c r="G109" s="1202"/>
      <c r="H109" s="1201"/>
      <c r="I109" s="1206">
        <f>-H108</f>
        <v>-401913469835</v>
      </c>
      <c r="J109" s="1205">
        <f t="shared" si="25"/>
        <v>-401913469835</v>
      </c>
      <c r="K109" s="1199" t="s">
        <v>1198</v>
      </c>
      <c r="L109" s="1199" t="s">
        <v>1199</v>
      </c>
      <c r="M109" s="1199"/>
      <c r="N109" s="1202" t="s">
        <v>682</v>
      </c>
    </row>
    <row r="110" spans="1:14">
      <c r="A110" s="1201"/>
      <c r="B110" s="1199"/>
      <c r="C110" s="1199"/>
      <c r="D110" s="1199"/>
      <c r="E110" s="1200"/>
      <c r="F110" s="1201"/>
      <c r="G110" s="1202"/>
      <c r="H110" s="1201"/>
      <c r="I110" s="1202"/>
      <c r="J110" s="1203"/>
      <c r="K110" s="1199"/>
      <c r="L110" s="1199"/>
      <c r="M110" s="1199"/>
      <c r="N110" s="1202"/>
    </row>
    <row r="111" spans="1:14">
      <c r="A111" s="28">
        <v>27</v>
      </c>
      <c r="B111" s="27" t="s">
        <v>3779</v>
      </c>
      <c r="C111" s="1199"/>
      <c r="D111" s="1199"/>
      <c r="E111" s="1200"/>
      <c r="F111" s="1201"/>
      <c r="G111" s="1202"/>
      <c r="H111" s="1201"/>
      <c r="I111" s="1202"/>
      <c r="J111" s="1203"/>
      <c r="K111" s="1199"/>
      <c r="L111" s="1199"/>
      <c r="M111" s="1199"/>
      <c r="N111" s="1202"/>
    </row>
    <row r="112" spans="1:14">
      <c r="A112" s="1201"/>
      <c r="B112" s="1199"/>
      <c r="C112" s="1199" t="s">
        <v>1185</v>
      </c>
      <c r="D112" s="1199" t="s">
        <v>62</v>
      </c>
      <c r="E112" s="1200" t="str">
        <f>_xlfn.XLOOKUP(D112,'A0.LS'!E:E,'A0.LS'!F:F)</f>
        <v>Phải thu khác</v>
      </c>
      <c r="F112" s="1204">
        <v>910316112</v>
      </c>
      <c r="G112" s="1202"/>
      <c r="H112" s="1201"/>
      <c r="I112" s="1202"/>
      <c r="J112" s="1205">
        <f t="shared" ref="J112:J113" si="26">ROUND(SUM(F112:I112),0)</f>
        <v>910316112</v>
      </c>
      <c r="K112" s="1199" t="s">
        <v>1198</v>
      </c>
      <c r="L112" s="1199" t="s">
        <v>1199</v>
      </c>
      <c r="M112" s="1199"/>
      <c r="N112" s="1202" t="s">
        <v>679</v>
      </c>
    </row>
    <row r="113" spans="1:14">
      <c r="A113" s="1201"/>
      <c r="B113" s="1199"/>
      <c r="C113" s="1199" t="s">
        <v>1186</v>
      </c>
      <c r="D113" s="1199" t="s">
        <v>23</v>
      </c>
      <c r="E113" s="1200" t="str">
        <f>_xlfn.XLOOKUP(D113,'A0.LS'!E:E,'A0.LS'!F:F)</f>
        <v>Tiền đang chuyển: Người dùng nạp tiền đã khớp nhưng ngân hàng chưa ghi có tài khoản</v>
      </c>
      <c r="F113" s="1201"/>
      <c r="G113" s="1206">
        <f>-F112</f>
        <v>-910316112</v>
      </c>
      <c r="H113" s="1201"/>
      <c r="I113" s="1202"/>
      <c r="J113" s="1205">
        <f t="shared" si="26"/>
        <v>-910316112</v>
      </c>
      <c r="K113" s="1199" t="s">
        <v>1198</v>
      </c>
      <c r="L113" s="1199" t="s">
        <v>1199</v>
      </c>
      <c r="M113" s="1199"/>
      <c r="N113" s="1202" t="s">
        <v>679</v>
      </c>
    </row>
    <row r="114" spans="1:14">
      <c r="A114" s="1201"/>
      <c r="B114" s="1199"/>
      <c r="C114" s="1199"/>
      <c r="D114" s="1199"/>
      <c r="E114" s="1200"/>
      <c r="F114" s="1201"/>
      <c r="G114" s="1202"/>
      <c r="H114" s="1201"/>
      <c r="I114" s="1202"/>
      <c r="J114" s="1203"/>
      <c r="K114" s="1199"/>
      <c r="L114" s="1199"/>
      <c r="M114" s="1199"/>
      <c r="N114" s="1202"/>
    </row>
    <row r="115" spans="1:14">
      <c r="A115" s="28">
        <v>28</v>
      </c>
      <c r="B115" s="27" t="s">
        <v>3780</v>
      </c>
      <c r="C115" s="1199"/>
      <c r="D115" s="1199"/>
      <c r="E115" s="1200"/>
      <c r="F115" s="1201"/>
      <c r="G115" s="1202"/>
      <c r="H115" s="1201"/>
      <c r="I115" s="1202"/>
      <c r="J115" s="1203"/>
      <c r="K115" s="1199"/>
      <c r="L115" s="1199"/>
      <c r="M115" s="1199"/>
      <c r="N115" s="1202"/>
    </row>
    <row r="116" spans="1:14">
      <c r="A116" s="1201"/>
      <c r="B116" s="1199"/>
      <c r="C116" s="1199" t="s">
        <v>1185</v>
      </c>
      <c r="D116" s="1207" t="s">
        <v>521</v>
      </c>
      <c r="E116" s="1200" t="str">
        <f>_xlfn.XLOOKUP(D116,'A0.LS'!E:E,'A0.LS'!F:F)</f>
        <v>Các khoản tương đương tiền</v>
      </c>
      <c r="F116" s="1204">
        <v>140130273973</v>
      </c>
      <c r="G116" s="1202"/>
      <c r="H116" s="1201"/>
      <c r="I116" s="1202"/>
      <c r="J116" s="1205">
        <f t="shared" ref="J116:J117" si="27">ROUND(SUM(F116:I116),0)</f>
        <v>140130273973</v>
      </c>
      <c r="K116" s="1199" t="s">
        <v>1198</v>
      </c>
      <c r="L116" s="1199" t="s">
        <v>1199</v>
      </c>
      <c r="M116" s="1199"/>
      <c r="N116" s="1202" t="s">
        <v>682</v>
      </c>
    </row>
    <row r="117" spans="1:14">
      <c r="A117" s="1201"/>
      <c r="B117" s="1199"/>
      <c r="C117" s="1199" t="s">
        <v>1186</v>
      </c>
      <c r="D117" s="1207" t="s">
        <v>37</v>
      </c>
      <c r="E117" s="1200" t="str">
        <f>_xlfn.XLOOKUP(D117,'A0.LS'!E:E,'A0.LS'!F:F)</f>
        <v>Tiền gửi có kỳ hạn &lt; 3 tháng (Finhay)</v>
      </c>
      <c r="F117" s="1201"/>
      <c r="G117" s="1206">
        <f>-F116</f>
        <v>-140130273973</v>
      </c>
      <c r="H117" s="1201"/>
      <c r="I117" s="1202"/>
      <c r="J117" s="1205">
        <f t="shared" si="27"/>
        <v>-140130273973</v>
      </c>
      <c r="K117" s="1199" t="s">
        <v>1198</v>
      </c>
      <c r="L117" s="1199" t="s">
        <v>1199</v>
      </c>
      <c r="M117" s="1199"/>
      <c r="N117" s="1202" t="s">
        <v>682</v>
      </c>
    </row>
    <row r="118" spans="1:14">
      <c r="A118" s="1201"/>
      <c r="B118" s="1199"/>
      <c r="C118" s="1199"/>
      <c r="D118" s="1199"/>
      <c r="E118" s="1200"/>
      <c r="F118" s="1201"/>
      <c r="G118" s="1202"/>
      <c r="H118" s="1201"/>
      <c r="I118" s="1202"/>
      <c r="J118" s="1203"/>
      <c r="K118" s="1199"/>
      <c r="L118" s="1199"/>
      <c r="M118" s="1199"/>
      <c r="N118" s="1202"/>
    </row>
    <row r="119" spans="1:14">
      <c r="A119" s="28">
        <v>29</v>
      </c>
      <c r="B119" s="27" t="s">
        <v>3781</v>
      </c>
      <c r="C119" s="1199"/>
      <c r="D119" s="1199"/>
      <c r="E119" s="1200"/>
      <c r="F119" s="1201"/>
      <c r="G119" s="1202"/>
      <c r="H119" s="1201"/>
      <c r="I119" s="1202"/>
      <c r="J119" s="1203"/>
      <c r="K119" s="1199"/>
      <c r="L119" s="1199"/>
      <c r="M119" s="1199"/>
      <c r="N119" s="1202"/>
    </row>
    <row r="120" spans="1:14">
      <c r="A120" s="1201"/>
      <c r="B120" s="1199"/>
      <c r="C120" s="1199" t="s">
        <v>1185</v>
      </c>
      <c r="D120" s="1199" t="s">
        <v>2248</v>
      </c>
      <c r="E120" s="1200" t="str">
        <f>_xlfn.XLOOKUP(D120,'A0.LS'!E:E,'A0.LS'!F:F)</f>
        <v>Phải thu khác</v>
      </c>
      <c r="F120" s="1204">
        <v>5100861735</v>
      </c>
      <c r="G120" s="1202"/>
      <c r="H120" s="1201"/>
      <c r="I120" s="1202"/>
      <c r="J120" s="1205">
        <f t="shared" ref="J120:J122" si="28">ROUND(SUM(F120:I120),0)</f>
        <v>5100861735</v>
      </c>
      <c r="K120" s="1199" t="s">
        <v>1198</v>
      </c>
      <c r="L120" s="1199" t="s">
        <v>1199</v>
      </c>
      <c r="M120" s="1199"/>
      <c r="N120" s="1202" t="s">
        <v>682</v>
      </c>
    </row>
    <row r="121" spans="1:14">
      <c r="A121" s="1201"/>
      <c r="B121" s="1199"/>
      <c r="C121" s="1199" t="s">
        <v>1186</v>
      </c>
      <c r="D121" s="1199" t="s">
        <v>62</v>
      </c>
      <c r="E121" s="1200" t="str">
        <f>_xlfn.XLOOKUP(D121,'A0.LS'!E:E,'A0.LS'!F:F)</f>
        <v>Phải thu khác</v>
      </c>
      <c r="F121" s="1201"/>
      <c r="G121" s="1213">
        <v>-4446125424</v>
      </c>
      <c r="H121" s="1201"/>
      <c r="I121" s="1202"/>
      <c r="J121" s="1205">
        <f t="shared" si="28"/>
        <v>-4446125424</v>
      </c>
      <c r="K121" s="1199" t="s">
        <v>1198</v>
      </c>
      <c r="L121" s="1199" t="s">
        <v>1199</v>
      </c>
      <c r="M121" s="1199"/>
      <c r="N121" s="1202" t="s">
        <v>682</v>
      </c>
    </row>
    <row r="122" spans="1:14">
      <c r="A122" s="1201"/>
      <c r="B122" s="1199"/>
      <c r="C122" s="1199" t="s">
        <v>1186</v>
      </c>
      <c r="D122" s="1207" t="s">
        <v>31</v>
      </c>
      <c r="E122" s="1200" t="str">
        <f>_xlfn.XLOOKUP(D122,'A0.LS'!E:E,'A0.LS'!F:F)</f>
        <v>Chứng chỉ quỹ + Chứng khoán kinh doanh khác</v>
      </c>
      <c r="F122" s="1201"/>
      <c r="G122" s="1213">
        <v>-654736311</v>
      </c>
      <c r="H122" s="1201"/>
      <c r="I122" s="1202"/>
      <c r="J122" s="1205">
        <f t="shared" si="28"/>
        <v>-654736311</v>
      </c>
      <c r="K122" s="1199" t="s">
        <v>1198</v>
      </c>
      <c r="L122" s="1199" t="s">
        <v>1199</v>
      </c>
      <c r="M122" s="1199"/>
      <c r="N122" s="1202" t="s">
        <v>682</v>
      </c>
    </row>
    <row r="123" spans="1:14">
      <c r="A123" s="1201"/>
      <c r="B123" s="1199"/>
      <c r="C123" s="1199"/>
      <c r="D123" s="1199"/>
      <c r="E123" s="1200"/>
      <c r="F123" s="1201"/>
      <c r="G123" s="1202"/>
      <c r="H123" s="1201"/>
      <c r="I123" s="1202"/>
      <c r="J123" s="1203"/>
      <c r="K123" s="1199"/>
      <c r="L123" s="1199"/>
      <c r="M123" s="1199"/>
      <c r="N123" s="1202"/>
    </row>
    <row r="124" spans="1:14">
      <c r="A124" s="28">
        <v>30</v>
      </c>
      <c r="B124" s="27" t="s">
        <v>3782</v>
      </c>
      <c r="C124" s="1199"/>
      <c r="D124" s="1199"/>
      <c r="E124" s="1200"/>
      <c r="F124" s="1201"/>
      <c r="G124" s="1202"/>
      <c r="H124" s="1201"/>
      <c r="I124" s="1202"/>
      <c r="J124" s="1203"/>
      <c r="K124" s="1199"/>
      <c r="L124" s="1199"/>
      <c r="M124" s="1199"/>
      <c r="N124" s="1202"/>
    </row>
    <row r="125" spans="1:14">
      <c r="A125" s="1201"/>
      <c r="B125" s="1199"/>
      <c r="C125" s="1199" t="s">
        <v>1185</v>
      </c>
      <c r="D125" s="1199" t="s">
        <v>67</v>
      </c>
      <c r="E125" s="1200" t="str">
        <f>_xlfn.XLOOKUP(D125,'A0.LS'!E:E,'A0.LS'!F:F)</f>
        <v>Phải thu khác</v>
      </c>
      <c r="F125" s="1204">
        <v>550000</v>
      </c>
      <c r="G125" s="1202"/>
      <c r="H125" s="1201"/>
      <c r="I125" s="1202"/>
      <c r="J125" s="1205">
        <f t="shared" ref="J125:J126" si="29">ROUND(SUM(F125:I125),0)</f>
        <v>550000</v>
      </c>
      <c r="K125" s="1199" t="s">
        <v>3240</v>
      </c>
      <c r="L125" s="1199" t="s">
        <v>1199</v>
      </c>
      <c r="M125" s="1199"/>
      <c r="N125" s="1202"/>
    </row>
    <row r="126" spans="1:14">
      <c r="A126" s="1201"/>
      <c r="B126" s="1199"/>
      <c r="C126" s="1199" t="s">
        <v>1186</v>
      </c>
      <c r="D126" s="1199" t="s">
        <v>191</v>
      </c>
      <c r="E126" s="1200" t="str">
        <f>_xlfn.XLOOKUP(D126,'A0.LS'!E:E,'A0.LS'!F:F)</f>
        <v>Phải trả người dùng-Tiền nạp chưa khớp</v>
      </c>
      <c r="F126" s="1201"/>
      <c r="G126" s="1206">
        <f>-F125</f>
        <v>-550000</v>
      </c>
      <c r="H126" s="1201"/>
      <c r="I126" s="1202"/>
      <c r="J126" s="1205">
        <f t="shared" si="29"/>
        <v>-550000</v>
      </c>
      <c r="K126" s="1199" t="s">
        <v>3240</v>
      </c>
      <c r="L126" s="1199" t="s">
        <v>1199</v>
      </c>
      <c r="M126" s="1199"/>
      <c r="N126" s="1202"/>
    </row>
    <row r="127" spans="1:14">
      <c r="A127" s="1201"/>
      <c r="B127" s="1199"/>
      <c r="C127" s="1199"/>
      <c r="D127" s="1199"/>
      <c r="E127" s="1200"/>
      <c r="F127" s="1201"/>
      <c r="G127" s="1202"/>
      <c r="H127" s="1201"/>
      <c r="I127" s="1202"/>
      <c r="J127" s="1203"/>
      <c r="K127" s="1199"/>
      <c r="L127" s="1199"/>
      <c r="M127" s="1199"/>
      <c r="N127" s="1202"/>
    </row>
    <row r="128" spans="1:14">
      <c r="A128" s="28">
        <v>31</v>
      </c>
      <c r="B128" s="27" t="s">
        <v>3783</v>
      </c>
      <c r="C128" s="1199"/>
      <c r="D128" s="1199"/>
      <c r="E128" s="1200"/>
      <c r="F128" s="1201"/>
      <c r="G128" s="1202"/>
      <c r="H128" s="1201"/>
      <c r="I128" s="1202"/>
      <c r="J128" s="1203"/>
      <c r="K128" s="1199"/>
      <c r="L128" s="1199"/>
      <c r="M128" s="1199"/>
      <c r="N128" s="1202"/>
    </row>
    <row r="129" spans="1:14">
      <c r="A129" s="1201"/>
      <c r="B129" s="1199"/>
      <c r="C129" s="1199" t="s">
        <v>1185</v>
      </c>
      <c r="D129" s="1199" t="s">
        <v>104</v>
      </c>
      <c r="E129" s="1200" t="str">
        <f>_xlfn.XLOOKUP(D129,'A0.LS'!E:E,'A0.LS'!F:F)</f>
        <v>Dự phòng tổn thất đầu tư vào đơn vị khác</v>
      </c>
      <c r="F129" s="1204">
        <v>5503887161</v>
      </c>
      <c r="G129" s="1202"/>
      <c r="H129" s="1201"/>
      <c r="I129" s="1202"/>
      <c r="J129" s="1205">
        <f t="shared" ref="J129:J130" si="30">ROUND(SUM(F129:I129),0)</f>
        <v>5503887161</v>
      </c>
      <c r="K129" s="1199" t="s">
        <v>1198</v>
      </c>
      <c r="L129" s="1199" t="s">
        <v>1199</v>
      </c>
      <c r="M129" s="1199"/>
      <c r="N129" s="1202" t="s">
        <v>682</v>
      </c>
    </row>
    <row r="130" spans="1:14">
      <c r="A130" s="1201"/>
      <c r="B130" s="1199"/>
      <c r="C130" s="1199" t="s">
        <v>1186</v>
      </c>
      <c r="D130" s="1199" t="s">
        <v>305</v>
      </c>
      <c r="E130" s="1200" t="str">
        <f>_xlfn.XLOOKUP(D130,'A0.LS'!E:E,'A0.LS'!F:F)</f>
        <v>Chi phí tài chính</v>
      </c>
      <c r="F130" s="1201"/>
      <c r="G130" s="1202"/>
      <c r="H130" s="1201"/>
      <c r="I130" s="1206">
        <f>-F129</f>
        <v>-5503887161</v>
      </c>
      <c r="J130" s="1205">
        <f t="shared" si="30"/>
        <v>-5503887161</v>
      </c>
      <c r="K130" s="1199" t="s">
        <v>1198</v>
      </c>
      <c r="L130" s="1199" t="s">
        <v>1199</v>
      </c>
      <c r="M130" s="1199"/>
      <c r="N130" s="1202" t="s">
        <v>682</v>
      </c>
    </row>
    <row r="131" spans="1:14">
      <c r="A131" s="1201"/>
      <c r="B131" s="1199"/>
      <c r="C131" s="1199"/>
      <c r="D131" s="1199"/>
      <c r="E131" s="1200"/>
      <c r="F131" s="1201"/>
      <c r="G131" s="1202"/>
      <c r="H131" s="1201"/>
      <c r="I131" s="1202"/>
      <c r="J131" s="1203"/>
      <c r="K131" s="1199"/>
      <c r="L131" s="1199"/>
      <c r="M131" s="1199"/>
      <c r="N131" s="1202"/>
    </row>
    <row r="132" spans="1:14" ht="13.5" thickBot="1">
      <c r="A132" s="1214"/>
      <c r="B132" s="1215"/>
      <c r="C132" s="1215"/>
      <c r="D132" s="1215"/>
      <c r="E132" s="1216"/>
      <c r="F132" s="1214"/>
      <c r="G132" s="1217"/>
      <c r="H132" s="1214"/>
      <c r="I132" s="1217"/>
      <c r="J132" s="1218"/>
      <c r="K132" s="1215"/>
      <c r="L132" s="1215"/>
      <c r="M132" s="1215"/>
      <c r="N132" s="1217"/>
    </row>
    <row r="133" spans="1:14">
      <c r="A133" s="307"/>
      <c r="B133" s="307" t="s">
        <v>3784</v>
      </c>
      <c r="C133" s="307"/>
      <c r="D133" s="307"/>
      <c r="E133" s="307"/>
      <c r="F133" s="307"/>
      <c r="G133" s="307"/>
      <c r="H133" s="307"/>
      <c r="I133" s="307"/>
      <c r="J133" s="307"/>
      <c r="K133" s="307"/>
      <c r="L133" s="307"/>
      <c r="M133" s="307"/>
      <c r="N133" s="307"/>
    </row>
    <row r="134" spans="1:14">
      <c r="A134" s="19">
        <v>1</v>
      </c>
      <c r="B134" s="1" t="s">
        <v>3785</v>
      </c>
      <c r="C134" s="850"/>
      <c r="D134" s="850"/>
      <c r="E134" s="850"/>
      <c r="F134" s="850"/>
      <c r="G134" s="850"/>
      <c r="H134" s="850"/>
      <c r="I134" s="850"/>
      <c r="J134" s="850"/>
      <c r="K134" s="850"/>
      <c r="L134" s="850"/>
      <c r="M134" s="850"/>
      <c r="N134" s="850"/>
    </row>
    <row r="135" spans="1:14">
      <c r="A135" s="850"/>
      <c r="B135" s="850"/>
      <c r="C135" s="850" t="s">
        <v>1185</v>
      </c>
      <c r="D135" s="859" t="s">
        <v>378</v>
      </c>
      <c r="E135" s="850" t="str">
        <f>_xlfn.XLOOKUP(D135,'A0.LS'!E:E,'A0.LS'!F:F)</f>
        <v>Chi phí lương thưởng</v>
      </c>
      <c r="F135" s="850"/>
      <c r="G135" s="850"/>
      <c r="H135" s="848">
        <v>36508333</v>
      </c>
      <c r="I135" s="850"/>
      <c r="J135" s="848">
        <f>ROUND(SUM(F135:I135),0)</f>
        <v>36508333</v>
      </c>
      <c r="K135" s="850" t="s">
        <v>656</v>
      </c>
      <c r="L135" s="850" t="s">
        <v>1199</v>
      </c>
      <c r="M135" s="850"/>
      <c r="N135" s="850"/>
    </row>
    <row r="136" spans="1:14">
      <c r="A136" s="850"/>
      <c r="B136" s="850"/>
      <c r="C136" s="850" t="s">
        <v>1186</v>
      </c>
      <c r="D136" s="859" t="s">
        <v>150</v>
      </c>
      <c r="E136" s="1012" t="str">
        <f>_xlfn.XLOOKUP(D136,'A0.LS'!E:E,'A0.LS'!F:F)</f>
        <v>Phải trả công nhân viên</v>
      </c>
      <c r="F136" s="850"/>
      <c r="G136" s="857">
        <f>-H135</f>
        <v>-36508333</v>
      </c>
      <c r="H136" s="850"/>
      <c r="I136" s="850"/>
      <c r="J136" s="848">
        <f>ROUND(SUM(F136:I136),0)</f>
        <v>-36508333</v>
      </c>
      <c r="K136" s="850" t="s">
        <v>656</v>
      </c>
      <c r="L136" s="850" t="s">
        <v>1199</v>
      </c>
      <c r="M136" s="850"/>
      <c r="N136" s="850"/>
    </row>
    <row r="138" spans="1:14">
      <c r="A138" s="19">
        <v>2</v>
      </c>
      <c r="B138" s="1" t="s">
        <v>3786</v>
      </c>
      <c r="C138" s="850"/>
      <c r="D138" s="850"/>
      <c r="E138" s="850"/>
      <c r="F138" s="850"/>
      <c r="G138" s="850"/>
      <c r="H138" s="850"/>
      <c r="I138" s="850"/>
      <c r="J138" s="850"/>
      <c r="K138" s="850"/>
      <c r="L138" s="850"/>
      <c r="M138" s="850"/>
      <c r="N138" s="850"/>
    </row>
    <row r="139" spans="1:14">
      <c r="A139" s="850"/>
      <c r="B139" s="850"/>
      <c r="C139" s="850" t="s">
        <v>1185</v>
      </c>
      <c r="D139" s="859" t="s">
        <v>521</v>
      </c>
      <c r="E139" s="1012" t="str">
        <f>_xlfn.XLOOKUP(D139,'A0.LS'!E:E,'A0.LS'!F:F)</f>
        <v>Các khoản tương đương tiền</v>
      </c>
      <c r="F139" s="848">
        <v>9145280659</v>
      </c>
      <c r="G139" s="850"/>
      <c r="H139" s="850"/>
      <c r="I139" s="850"/>
      <c r="J139" s="848">
        <f t="shared" ref="J139:J140" si="31">ROUND(SUM(F139:I139),0)</f>
        <v>9145280659</v>
      </c>
      <c r="K139" s="850" t="s">
        <v>656</v>
      </c>
      <c r="L139" s="850" t="s">
        <v>1199</v>
      </c>
      <c r="M139" s="850"/>
      <c r="N139" s="850"/>
    </row>
    <row r="140" spans="1:14">
      <c r="A140" s="850"/>
      <c r="B140" s="850"/>
      <c r="C140" s="850" t="s">
        <v>1186</v>
      </c>
      <c r="D140" s="859" t="s">
        <v>37</v>
      </c>
      <c r="E140" s="1012" t="str">
        <f>_xlfn.XLOOKUP(D140,'A0.LS'!E:E,'A0.LS'!F:F)</f>
        <v>Tiền gửi có kỳ hạn &lt; 3 tháng (Finhay)</v>
      </c>
      <c r="F140" s="850"/>
      <c r="G140" s="857">
        <f>-F139</f>
        <v>-9145280659</v>
      </c>
      <c r="H140" s="850"/>
      <c r="I140" s="850"/>
      <c r="J140" s="848">
        <f t="shared" si="31"/>
        <v>-9145280659</v>
      </c>
      <c r="K140" s="850" t="s">
        <v>656</v>
      </c>
      <c r="L140" s="850" t="s">
        <v>1199</v>
      </c>
      <c r="M140" s="850"/>
      <c r="N140" s="850"/>
    </row>
    <row r="142" spans="1:14">
      <c r="A142" s="19">
        <v>3</v>
      </c>
      <c r="B142" s="1" t="s">
        <v>3787</v>
      </c>
      <c r="C142" s="850"/>
      <c r="D142" s="850"/>
      <c r="E142" s="850"/>
      <c r="F142" s="850"/>
      <c r="G142" s="850"/>
      <c r="H142" s="850"/>
      <c r="I142" s="850"/>
      <c r="J142" s="850"/>
      <c r="K142" s="850"/>
      <c r="L142" s="850"/>
      <c r="M142" s="850"/>
      <c r="N142" s="850"/>
    </row>
    <row r="143" spans="1:14">
      <c r="A143" s="850"/>
      <c r="B143" s="850"/>
      <c r="C143" s="850" t="s">
        <v>1185</v>
      </c>
      <c r="D143" s="850" t="s">
        <v>58</v>
      </c>
      <c r="E143" s="1012" t="str">
        <f>_xlfn.XLOOKUP(D143,'A0.LS'!E:E,'A0.LS'!F:F)</f>
        <v>Phải thu lãi từ HD tiền gửi</v>
      </c>
      <c r="F143" s="848">
        <v>30347680</v>
      </c>
      <c r="G143" s="850"/>
      <c r="H143" s="850"/>
      <c r="I143" s="850"/>
      <c r="J143" s="848">
        <f t="shared" ref="J143:J144" si="32">ROUND(SUM(F143:I143),0)</f>
        <v>30347680</v>
      </c>
      <c r="K143" s="850" t="s">
        <v>656</v>
      </c>
      <c r="L143" s="850" t="s">
        <v>1199</v>
      </c>
      <c r="M143" s="850"/>
      <c r="N143" s="850"/>
    </row>
    <row r="144" spans="1:14">
      <c r="A144" s="850"/>
      <c r="B144" s="850"/>
      <c r="C144" s="850" t="s">
        <v>1186</v>
      </c>
      <c r="D144" s="850" t="s">
        <v>62</v>
      </c>
      <c r="E144" s="1012" t="str">
        <f>_xlfn.XLOOKUP(D144,'A0.LS'!E:E,'A0.LS'!F:F)</f>
        <v>Phải thu khác</v>
      </c>
      <c r="F144" s="850"/>
      <c r="G144" s="857">
        <f>-F143</f>
        <v>-30347680</v>
      </c>
      <c r="H144" s="850"/>
      <c r="I144" s="850"/>
      <c r="J144" s="848">
        <f t="shared" si="32"/>
        <v>-30347680</v>
      </c>
      <c r="K144" s="850" t="s">
        <v>656</v>
      </c>
      <c r="L144" s="850" t="s">
        <v>1199</v>
      </c>
      <c r="M144" s="850"/>
      <c r="N144" s="850"/>
    </row>
    <row r="145" spans="1:14">
      <c r="A145" s="307"/>
      <c r="B145" s="307" t="s">
        <v>3788</v>
      </c>
      <c r="C145" s="307"/>
      <c r="D145" s="307"/>
      <c r="E145" s="307"/>
      <c r="F145" s="307"/>
      <c r="G145" s="307"/>
      <c r="H145" s="307"/>
      <c r="I145" s="307"/>
      <c r="J145" s="307"/>
      <c r="K145" s="307"/>
      <c r="L145" s="307"/>
      <c r="M145" s="307"/>
      <c r="N145" s="307"/>
    </row>
    <row r="146" spans="1:14">
      <c r="A146" s="19">
        <v>1</v>
      </c>
      <c r="B146" s="1" t="s">
        <v>3789</v>
      </c>
      <c r="C146" s="850"/>
      <c r="D146" s="850"/>
      <c r="E146" s="850"/>
      <c r="F146" s="850"/>
      <c r="G146" s="850"/>
      <c r="H146" s="850"/>
      <c r="I146" s="850"/>
      <c r="J146" s="850"/>
      <c r="K146" s="850"/>
      <c r="L146" s="850"/>
      <c r="M146" s="850"/>
      <c r="N146" s="850"/>
    </row>
    <row r="147" spans="1:14">
      <c r="A147" s="850"/>
      <c r="B147" s="850"/>
      <c r="C147" s="850" t="s">
        <v>1185</v>
      </c>
      <c r="D147" s="1012" t="s">
        <v>2248</v>
      </c>
      <c r="E147" s="1012" t="str">
        <f>_xlfn.XLOOKUP(D147,'A0.LS'!E:E,'A0.LS'!F:F)</f>
        <v>Phải thu khác</v>
      </c>
      <c r="F147" s="848">
        <v>582000</v>
      </c>
      <c r="G147" s="850"/>
      <c r="H147" s="850"/>
      <c r="I147" s="850"/>
      <c r="J147" s="848">
        <f t="shared" ref="J147" si="33">ROUND(SUM(F147:I147),0)</f>
        <v>582000</v>
      </c>
      <c r="K147" s="850" t="s">
        <v>530</v>
      </c>
      <c r="L147" s="850" t="s">
        <v>1199</v>
      </c>
      <c r="M147" s="850"/>
      <c r="N147" s="850"/>
    </row>
    <row r="148" spans="1:14">
      <c r="A148" s="850"/>
      <c r="B148" s="850"/>
      <c r="C148" s="850" t="s">
        <v>1186</v>
      </c>
      <c r="D148" s="1219" t="s">
        <v>160</v>
      </c>
      <c r="E148" s="1012" t="str">
        <f>_xlfn.XLOOKUP(D148,'A0.LS'!E:E,'A0.LS'!F:F)</f>
        <v>Bảo hiểm xã hội</v>
      </c>
      <c r="F148" s="850"/>
      <c r="G148" s="857">
        <f>-F147</f>
        <v>-582000</v>
      </c>
      <c r="H148" s="850"/>
      <c r="I148" s="850"/>
      <c r="J148" s="848">
        <f t="shared" ref="J148" si="34">ROUND(SUM(F148:I148),0)</f>
        <v>-582000</v>
      </c>
      <c r="K148" s="850" t="s">
        <v>530</v>
      </c>
      <c r="L148" s="850" t="s">
        <v>1199</v>
      </c>
      <c r="M148" s="850"/>
      <c r="N148" s="850"/>
    </row>
    <row r="149" spans="1:14">
      <c r="A149" s="850"/>
      <c r="B149" s="850"/>
      <c r="C149" s="850"/>
      <c r="D149" s="1219"/>
      <c r="E149" s="1012"/>
      <c r="F149" s="850"/>
      <c r="G149" s="857"/>
      <c r="H149" s="850"/>
      <c r="I149" s="850"/>
      <c r="J149" s="848"/>
      <c r="K149" s="850"/>
      <c r="L149" s="850"/>
      <c r="M149" s="850"/>
      <c r="N149" s="850"/>
    </row>
    <row r="150" spans="1:14">
      <c r="A150" s="19">
        <v>2</v>
      </c>
      <c r="B150" s="1" t="s">
        <v>3790</v>
      </c>
      <c r="C150" s="850"/>
      <c r="D150" s="850"/>
      <c r="E150" s="850"/>
      <c r="F150" s="850"/>
      <c r="G150" s="850"/>
      <c r="H150" s="850"/>
      <c r="I150" s="850"/>
      <c r="J150" s="850"/>
      <c r="K150" s="850"/>
      <c r="L150" s="850"/>
      <c r="M150" s="850"/>
      <c r="N150" s="850"/>
    </row>
    <row r="151" spans="1:14">
      <c r="A151" s="850"/>
      <c r="B151" s="850"/>
      <c r="C151" s="850" t="s">
        <v>1185</v>
      </c>
      <c r="D151" s="850" t="s">
        <v>58</v>
      </c>
      <c r="E151" s="1012" t="str">
        <f>_xlfn.XLOOKUP(D151,'A0.LS'!E:E,'A0.LS'!F:F)</f>
        <v>Phải thu lãi từ HD tiền gửi</v>
      </c>
      <c r="F151" s="848">
        <v>1537570122</v>
      </c>
      <c r="G151" s="850"/>
      <c r="H151" s="850"/>
      <c r="I151" s="850"/>
      <c r="J151" s="848">
        <f t="shared" ref="J151:J152" si="35">ROUND(SUM(F151:I151),0)</f>
        <v>1537570122</v>
      </c>
      <c r="K151" s="850" t="s">
        <v>530</v>
      </c>
      <c r="L151" s="850" t="s">
        <v>1199</v>
      </c>
      <c r="M151" s="850"/>
      <c r="N151" s="850"/>
    </row>
    <row r="152" spans="1:14">
      <c r="A152" s="850"/>
      <c r="B152" s="850"/>
      <c r="C152" s="850" t="s">
        <v>1186</v>
      </c>
      <c r="D152" s="850" t="s">
        <v>1221</v>
      </c>
      <c r="E152" s="1012" t="str">
        <f>_xlfn.XLOOKUP(D152,'A0.LS'!E:E,'A0.LS'!F:F)</f>
        <v>Lãi dự thu margin và UTTB của VNSC (có cả lãi CCTG, Trái phiếu nếu chưa vert)</v>
      </c>
      <c r="F152" s="850"/>
      <c r="G152" s="857">
        <f>-F151</f>
        <v>-1537570122</v>
      </c>
      <c r="H152" s="850"/>
      <c r="I152" s="850"/>
      <c r="J152" s="848">
        <f t="shared" si="35"/>
        <v>-1537570122</v>
      </c>
      <c r="K152" s="850" t="s">
        <v>530</v>
      </c>
      <c r="L152" s="850" t="s">
        <v>1199</v>
      </c>
      <c r="M152" s="850"/>
      <c r="N152" s="850"/>
    </row>
    <row r="153" spans="1:14">
      <c r="A153" s="307"/>
      <c r="B153" s="307" t="s">
        <v>3791</v>
      </c>
      <c r="C153" s="307"/>
      <c r="D153" s="307"/>
      <c r="E153" s="307"/>
      <c r="F153" s="307"/>
      <c r="G153" s="307"/>
      <c r="H153" s="307"/>
      <c r="I153" s="307"/>
      <c r="J153" s="307"/>
      <c r="K153" s="307"/>
      <c r="L153" s="307"/>
      <c r="M153" s="307"/>
      <c r="N153" s="307"/>
    </row>
    <row r="154" spans="1:14">
      <c r="A154" s="19">
        <v>1</v>
      </c>
      <c r="B154" s="1" t="s">
        <v>3792</v>
      </c>
      <c r="C154" s="850"/>
      <c r="D154" s="850"/>
      <c r="E154" s="850"/>
      <c r="F154" s="850"/>
      <c r="G154" s="850"/>
      <c r="H154" s="850"/>
      <c r="I154" s="850"/>
      <c r="J154" s="850"/>
      <c r="K154" s="850"/>
      <c r="L154" s="850"/>
      <c r="M154" s="850"/>
      <c r="N154" s="850"/>
    </row>
    <row r="155" spans="1:14">
      <c r="A155" s="850"/>
      <c r="B155" s="850"/>
      <c r="C155" s="850" t="s">
        <v>1185</v>
      </c>
      <c r="D155" s="859" t="s">
        <v>207</v>
      </c>
      <c r="E155" s="1012" t="str">
        <f>_xlfn.XLOOKUP(D155,'A0.LS'!E:E,'A0.LS'!F:F)</f>
        <v>Cổ phiếu phổ thông có quyền biểu quyết</v>
      </c>
      <c r="F155" s="848">
        <v>440000000000</v>
      </c>
      <c r="G155" s="848"/>
      <c r="H155" s="850"/>
      <c r="I155" s="850"/>
      <c r="J155" s="848">
        <f t="shared" ref="J155:J156" si="36">ROUND(SUM(F155:I155),0)</f>
        <v>440000000000</v>
      </c>
      <c r="K155" s="850" t="s">
        <v>1169</v>
      </c>
      <c r="L155" s="850" t="s">
        <v>1199</v>
      </c>
      <c r="M155" s="850"/>
      <c r="N155" s="850"/>
    </row>
    <row r="156" spans="1:14">
      <c r="A156" s="850"/>
      <c r="B156" s="850"/>
      <c r="C156" s="850" t="s">
        <v>1186</v>
      </c>
      <c r="D156" s="859" t="s">
        <v>95</v>
      </c>
      <c r="E156" s="1012" t="str">
        <f>_xlfn.XLOOKUP(D156,'A0.LS'!E:E,'A0.LS'!F:F)</f>
        <v>Đầu tư vào công ty con</v>
      </c>
      <c r="F156" s="848"/>
      <c r="G156" s="848">
        <f>-F155</f>
        <v>-440000000000</v>
      </c>
      <c r="H156" s="850"/>
      <c r="I156" s="850"/>
      <c r="J156" s="848">
        <f t="shared" si="36"/>
        <v>-440000000000</v>
      </c>
      <c r="K156" s="850" t="s">
        <v>1169</v>
      </c>
      <c r="L156" s="850" t="s">
        <v>1199</v>
      </c>
      <c r="M156" s="850"/>
      <c r="N156" s="850"/>
    </row>
    <row r="158" spans="1:14">
      <c r="A158" s="19">
        <v>2</v>
      </c>
      <c r="B158" s="1" t="s">
        <v>3793</v>
      </c>
      <c r="C158" s="850"/>
      <c r="D158" s="850"/>
      <c r="E158" s="850"/>
      <c r="F158" s="850"/>
      <c r="G158" s="850"/>
      <c r="H158" s="850"/>
      <c r="I158" s="850"/>
      <c r="J158" s="850"/>
      <c r="K158" s="850"/>
      <c r="L158" s="850"/>
      <c r="M158" s="850"/>
      <c r="N158" s="850"/>
    </row>
    <row r="159" spans="1:14">
      <c r="A159" s="850"/>
      <c r="B159" s="850"/>
      <c r="C159" s="850" t="s">
        <v>1185</v>
      </c>
      <c r="D159" s="850" t="s">
        <v>125</v>
      </c>
      <c r="E159" s="1012" t="str">
        <f>_xlfn.XLOOKUP(D159,'A0.LS'!E:E,'A0.LS'!F:F)</f>
        <v>Phải trả cho người bán</v>
      </c>
      <c r="F159" s="848">
        <v>5195431949</v>
      </c>
      <c r="G159" s="848"/>
      <c r="H159" s="850"/>
      <c r="I159" s="850"/>
      <c r="J159" s="848">
        <f t="shared" ref="J159:J160" si="37">ROUND(SUM(F159:I159),0)</f>
        <v>5195431949</v>
      </c>
      <c r="K159" s="850" t="s">
        <v>1169</v>
      </c>
      <c r="L159" s="850" t="s">
        <v>1199</v>
      </c>
      <c r="M159" s="850" t="s">
        <v>3794</v>
      </c>
      <c r="N159" s="850"/>
    </row>
    <row r="160" spans="1:14">
      <c r="A160" s="850"/>
      <c r="B160" s="850"/>
      <c r="C160" s="850" t="s">
        <v>1186</v>
      </c>
      <c r="D160" s="850" t="s">
        <v>1266</v>
      </c>
      <c r="E160" s="1012" t="str">
        <f>_xlfn.XLOOKUP(D160,'A0.LS'!E:E,'A0.LS'!F:F)</f>
        <v>Phải thu hoạt động nghiệp vụ chứng khoán</v>
      </c>
      <c r="F160" s="848"/>
      <c r="G160" s="848">
        <f>-F159</f>
        <v>-5195431949</v>
      </c>
      <c r="H160" s="850"/>
      <c r="I160" s="850"/>
      <c r="J160" s="848">
        <f t="shared" si="37"/>
        <v>-5195431949</v>
      </c>
      <c r="K160" s="850" t="s">
        <v>1169</v>
      </c>
      <c r="L160" s="850" t="s">
        <v>1199</v>
      </c>
      <c r="M160" s="850"/>
      <c r="N160" s="850"/>
    </row>
    <row r="162" spans="1:12">
      <c r="A162" s="19">
        <v>3</v>
      </c>
      <c r="B162" s="1" t="s">
        <v>3795</v>
      </c>
      <c r="C162" s="850"/>
      <c r="D162" s="850"/>
      <c r="E162" s="850"/>
      <c r="F162" s="850"/>
      <c r="G162" s="850"/>
      <c r="H162" s="850"/>
      <c r="I162" s="850"/>
      <c r="J162" s="850"/>
      <c r="K162" s="850"/>
      <c r="L162" s="850"/>
    </row>
    <row r="163" spans="1:12">
      <c r="A163" s="850"/>
      <c r="B163" s="850"/>
      <c r="C163" s="850" t="s">
        <v>1185</v>
      </c>
      <c r="D163" s="859" t="s">
        <v>720</v>
      </c>
      <c r="E163" s="1012" t="str">
        <f>_xlfn.XLOOKUP(D163,'A0.LS'!E:E,'A0.LS'!F:F)</f>
        <v>Doanh thu bán vàng (CTC)</v>
      </c>
      <c r="F163" s="850"/>
      <c r="G163" s="850"/>
      <c r="H163" s="848">
        <v>36077500</v>
      </c>
      <c r="I163" s="848"/>
      <c r="J163" s="848">
        <f t="shared" ref="J163:J164" si="38">ROUND(SUM(F163:I163),0)</f>
        <v>36077500</v>
      </c>
      <c r="K163" s="850" t="s">
        <v>1169</v>
      </c>
      <c r="L163" s="850" t="s">
        <v>1199</v>
      </c>
    </row>
    <row r="164" spans="1:12">
      <c r="A164" s="850"/>
      <c r="B164" s="850"/>
      <c r="C164" s="850" t="s">
        <v>1186</v>
      </c>
      <c r="D164" s="850" t="s">
        <v>372</v>
      </c>
      <c r="E164" s="1012" t="str">
        <f>_xlfn.XLOOKUP(D164,'A0.LS'!E:E,'A0.LS'!F:F)</f>
        <v>Quà tặng khách hàng</v>
      </c>
      <c r="F164" s="850"/>
      <c r="G164" s="850"/>
      <c r="H164" s="848"/>
      <c r="I164" s="848">
        <f>-H163</f>
        <v>-36077500</v>
      </c>
      <c r="J164" s="848">
        <f t="shared" si="38"/>
        <v>-36077500</v>
      </c>
      <c r="K164" s="850" t="s">
        <v>1169</v>
      </c>
      <c r="L164" s="850" t="s">
        <v>1199</v>
      </c>
    </row>
    <row r="166" spans="1:12">
      <c r="A166" s="19">
        <v>4</v>
      </c>
      <c r="B166" s="1" t="s">
        <v>3796</v>
      </c>
      <c r="C166" s="850"/>
      <c r="D166" s="850"/>
      <c r="E166" s="850"/>
      <c r="F166" s="850"/>
      <c r="G166" s="850"/>
      <c r="H166" s="850"/>
      <c r="I166" s="850"/>
      <c r="J166" s="850"/>
      <c r="K166" s="850"/>
      <c r="L166" s="850"/>
    </row>
    <row r="167" spans="1:12">
      <c r="A167" s="850"/>
      <c r="B167" s="850"/>
      <c r="C167" s="850" t="s">
        <v>1185</v>
      </c>
      <c r="D167" s="850" t="s">
        <v>125</v>
      </c>
      <c r="E167" s="1012" t="str">
        <f>_xlfn.XLOOKUP(D167,'A0.LS'!E:E,'A0.LS'!F:F)</f>
        <v>Phải trả cho người bán</v>
      </c>
      <c r="F167" s="848">
        <v>1100000</v>
      </c>
      <c r="G167" s="850"/>
      <c r="H167" s="850"/>
      <c r="I167" s="850"/>
      <c r="J167" s="848">
        <f t="shared" ref="J167:J168" si="39">ROUND(SUM(F167:I167),0)</f>
        <v>1100000</v>
      </c>
      <c r="K167" s="850" t="s">
        <v>1169</v>
      </c>
      <c r="L167" s="850" t="s">
        <v>1199</v>
      </c>
    </row>
    <row r="168" spans="1:12">
      <c r="A168" s="850"/>
      <c r="B168" s="850"/>
      <c r="C168" s="850" t="s">
        <v>1186</v>
      </c>
      <c r="D168" s="850" t="s">
        <v>47</v>
      </c>
      <c r="E168" s="1012" t="str">
        <f>_xlfn.XLOOKUP(D168,'A0.LS'!E:E,'A0.LS'!F:F)</f>
        <v>Phải thu của khách hàng</v>
      </c>
      <c r="F168" s="850"/>
      <c r="G168" s="857">
        <f>-F167</f>
        <v>-1100000</v>
      </c>
      <c r="H168" s="850"/>
      <c r="I168" s="850"/>
      <c r="J168" s="848">
        <f t="shared" si="39"/>
        <v>-1100000</v>
      </c>
      <c r="K168" s="850" t="s">
        <v>1169</v>
      </c>
      <c r="L168" s="850" t="s">
        <v>1199</v>
      </c>
    </row>
    <row r="170" spans="1:12">
      <c r="A170" s="19">
        <v>5</v>
      </c>
      <c r="B170" s="1" t="s">
        <v>3797</v>
      </c>
      <c r="C170" s="850"/>
      <c r="D170" s="850"/>
      <c r="E170" s="850"/>
      <c r="F170" s="850"/>
      <c r="G170" s="850"/>
      <c r="H170" s="850"/>
      <c r="I170" s="850"/>
      <c r="J170" s="850"/>
      <c r="K170" s="850"/>
      <c r="L170" s="850"/>
    </row>
    <row r="171" spans="1:12">
      <c r="A171" s="850"/>
      <c r="B171" s="850"/>
      <c r="C171" s="850" t="s">
        <v>1185</v>
      </c>
      <c r="D171" s="859" t="s">
        <v>249</v>
      </c>
      <c r="E171" s="1012" t="str">
        <f>_xlfn.XLOOKUP(D171,'A0.LS'!E:E,'A0.LS'!F:F)</f>
        <v>Doanh thu tài chính: Lãi đã nhận</v>
      </c>
      <c r="F171" s="850"/>
      <c r="G171" s="850"/>
      <c r="H171" s="848">
        <v>26414246</v>
      </c>
      <c r="I171" s="850"/>
      <c r="J171" s="848">
        <f t="shared" ref="J171:J172" si="40">ROUND(SUM(F171:I171),0)</f>
        <v>26414246</v>
      </c>
      <c r="K171" s="850" t="s">
        <v>1169</v>
      </c>
      <c r="L171" s="850" t="s">
        <v>1199</v>
      </c>
    </row>
    <row r="172" spans="1:12">
      <c r="A172" s="850"/>
      <c r="B172" s="850"/>
      <c r="C172" s="850" t="s">
        <v>1186</v>
      </c>
      <c r="D172" s="850" t="s">
        <v>323</v>
      </c>
      <c r="E172" s="1012" t="str">
        <f>_xlfn.XLOOKUP(D172,'A0.LS'!E:E,'A0.LS'!F:F)</f>
        <v>Lãi vay</v>
      </c>
      <c r="F172" s="850"/>
      <c r="G172" s="850"/>
      <c r="H172" s="850"/>
      <c r="I172" s="857">
        <f>-H171</f>
        <v>-26414246</v>
      </c>
      <c r="J172" s="848">
        <f t="shared" si="40"/>
        <v>-26414246</v>
      </c>
      <c r="K172" s="850" t="s">
        <v>1169</v>
      </c>
      <c r="L172" s="850" t="s">
        <v>1199</v>
      </c>
    </row>
    <row r="174" spans="1:12">
      <c r="A174" s="19">
        <v>6</v>
      </c>
      <c r="B174" s="1" t="s">
        <v>3798</v>
      </c>
      <c r="C174" s="850"/>
      <c r="D174" s="850"/>
      <c r="E174" s="850"/>
      <c r="F174" s="850"/>
      <c r="G174" s="850"/>
      <c r="H174" s="850"/>
      <c r="I174" s="850"/>
      <c r="J174" s="850"/>
      <c r="K174" s="850"/>
      <c r="L174" s="850"/>
    </row>
    <row r="175" spans="1:12">
      <c r="A175" s="850"/>
      <c r="B175" s="850"/>
      <c r="C175" s="850" t="s">
        <v>1185</v>
      </c>
      <c r="D175" s="850" t="s">
        <v>104</v>
      </c>
      <c r="E175" s="1012" t="str">
        <f>_xlfn.XLOOKUP(D175,'A0.LS'!E:E,'A0.LS'!F:F)</f>
        <v>Dự phòng tổn thất đầu tư vào đơn vị khác</v>
      </c>
      <c r="F175" s="848">
        <v>8848353821</v>
      </c>
      <c r="G175" s="848"/>
      <c r="H175" s="848"/>
      <c r="I175" s="848"/>
      <c r="J175" s="848">
        <f t="shared" ref="J175:J177" si="41">ROUND(SUM(F175:I175),0)</f>
        <v>8848353821</v>
      </c>
      <c r="K175" s="850" t="s">
        <v>1169</v>
      </c>
      <c r="L175" s="850" t="s">
        <v>1199</v>
      </c>
    </row>
    <row r="176" spans="1:12">
      <c r="A176" s="850"/>
      <c r="B176" s="850"/>
      <c r="C176" s="850" t="s">
        <v>1186</v>
      </c>
      <c r="D176" s="850" t="s">
        <v>305</v>
      </c>
      <c r="E176" s="1012" t="str">
        <f>_xlfn.XLOOKUP(D176,'A0.LS'!E:E,'A0.LS'!F:F)</f>
        <v>Chi phí tài chính</v>
      </c>
      <c r="F176" s="848"/>
      <c r="G176" s="848"/>
      <c r="H176" s="848"/>
      <c r="I176" s="848">
        <v>-6001497533</v>
      </c>
      <c r="J176" s="848">
        <f t="shared" si="41"/>
        <v>-6001497533</v>
      </c>
      <c r="K176" s="850" t="s">
        <v>1169</v>
      </c>
      <c r="L176" s="850" t="s">
        <v>1199</v>
      </c>
    </row>
    <row r="177" spans="1:12">
      <c r="A177" s="850"/>
      <c r="B177" s="850"/>
      <c r="C177" s="850" t="s">
        <v>1186</v>
      </c>
      <c r="D177" s="1219" t="s">
        <v>215</v>
      </c>
      <c r="E177" s="1012" t="str">
        <f>_xlfn.XLOOKUP(D177,'A0.LS'!E:E,'A0.LS'!F:F)</f>
        <v>Lợi nhuận sau thuế chưa phân phối năm trước</v>
      </c>
      <c r="F177" s="848"/>
      <c r="G177" s="848">
        <v>-2846856288</v>
      </c>
      <c r="H177" s="848"/>
      <c r="I177" s="848"/>
      <c r="J177" s="848">
        <f t="shared" si="41"/>
        <v>-2846856288</v>
      </c>
      <c r="K177" s="850" t="s">
        <v>1169</v>
      </c>
      <c r="L177" s="850" t="s">
        <v>1199</v>
      </c>
    </row>
    <row r="179" spans="1:12">
      <c r="A179" s="19">
        <v>7</v>
      </c>
      <c r="B179" s="1" t="s">
        <v>3799</v>
      </c>
      <c r="C179" s="850"/>
      <c r="D179" s="850"/>
      <c r="E179" s="850"/>
      <c r="F179" s="850"/>
      <c r="G179" s="850"/>
      <c r="H179" s="850"/>
      <c r="I179" s="850"/>
      <c r="J179" s="850"/>
      <c r="K179" s="850"/>
      <c r="L179" s="850"/>
    </row>
    <row r="180" spans="1:12">
      <c r="A180" s="850"/>
      <c r="B180" s="850"/>
      <c r="C180" s="850" t="s">
        <v>1185</v>
      </c>
      <c r="D180" s="850" t="s">
        <v>1197</v>
      </c>
      <c r="E180" s="1012" t="str">
        <f>_xlfn.XLOOKUP(D180,'A0.LS'!E:E,'A0.LS'!F:F)</f>
        <v>Lợi thế thương mại</v>
      </c>
      <c r="F180" s="848">
        <v>121294625652.79871</v>
      </c>
      <c r="G180" s="848"/>
      <c r="H180" s="850"/>
      <c r="I180" s="850"/>
      <c r="J180" s="848">
        <f t="shared" ref="J180:J184" si="42">ROUND(SUM(F180:I180),0)</f>
        <v>121294625653</v>
      </c>
      <c r="K180" s="850" t="s">
        <v>1169</v>
      </c>
      <c r="L180" s="850" t="s">
        <v>1199</v>
      </c>
    </row>
    <row r="181" spans="1:12">
      <c r="A181" s="850"/>
      <c r="B181" s="850"/>
      <c r="C181" s="850" t="s">
        <v>1185</v>
      </c>
      <c r="D181" s="850" t="s">
        <v>207</v>
      </c>
      <c r="E181" s="1012" t="str">
        <f>_xlfn.XLOOKUP(D181,'A0.LS'!E:E,'A0.LS'!F:F)</f>
        <v>Cổ phiếu phổ thông có quyền biểu quyết</v>
      </c>
      <c r="F181" s="848">
        <v>261473980000</v>
      </c>
      <c r="G181" s="848"/>
      <c r="H181" s="850"/>
      <c r="I181" s="850"/>
      <c r="J181" s="848">
        <f t="shared" si="42"/>
        <v>261473980000</v>
      </c>
      <c r="K181" s="850" t="s">
        <v>1169</v>
      </c>
      <c r="L181" s="850" t="s">
        <v>1199</v>
      </c>
    </row>
    <row r="182" spans="1:12">
      <c r="A182" s="850"/>
      <c r="B182" s="850"/>
      <c r="C182" s="850" t="s">
        <v>1185</v>
      </c>
      <c r="D182" s="850" t="s">
        <v>1201</v>
      </c>
      <c r="E182" s="1012" t="str">
        <f>_xlfn.XLOOKUP(D182,'A0.LS'!E:E,'A0.LS'!F:F)</f>
        <v>Dự trữ pháp định</v>
      </c>
      <c r="F182" s="848">
        <v>243696443.07737157</v>
      </c>
      <c r="G182" s="848"/>
      <c r="H182" s="850"/>
      <c r="I182" s="850"/>
      <c r="J182" s="848">
        <f t="shared" si="42"/>
        <v>243696443</v>
      </c>
      <c r="K182" s="850" t="s">
        <v>1169</v>
      </c>
      <c r="L182" s="850" t="s">
        <v>1199</v>
      </c>
    </row>
    <row r="183" spans="1:12">
      <c r="A183" s="850"/>
      <c r="B183" s="850"/>
      <c r="C183" s="850" t="s">
        <v>1186</v>
      </c>
      <c r="D183" s="850" t="s">
        <v>215</v>
      </c>
      <c r="E183" s="1012" t="str">
        <f>_xlfn.XLOOKUP(D183,'A0.LS'!E:E,'A0.LS'!F:F)</f>
        <v>Lợi nhuận sau thuế chưa phân phối năm trước</v>
      </c>
      <c r="F183" s="848"/>
      <c r="G183" s="848">
        <v>-250206972095.87604</v>
      </c>
      <c r="H183" s="850"/>
      <c r="I183" s="850"/>
      <c r="J183" s="848">
        <f t="shared" si="42"/>
        <v>-250206972096</v>
      </c>
      <c r="K183" s="850" t="s">
        <v>1169</v>
      </c>
      <c r="L183" s="850" t="s">
        <v>1199</v>
      </c>
    </row>
    <row r="184" spans="1:12">
      <c r="A184" s="850"/>
      <c r="B184" s="850"/>
      <c r="C184" s="850" t="s">
        <v>1186</v>
      </c>
      <c r="D184" s="850" t="s">
        <v>95</v>
      </c>
      <c r="E184" s="1012" t="str">
        <f>_xlfn.XLOOKUP(D184,'A0.LS'!E:E,'A0.LS'!F:F)</f>
        <v>Đầu tư vào công ty con</v>
      </c>
      <c r="F184" s="848"/>
      <c r="G184" s="848">
        <v>-132805330000</v>
      </c>
      <c r="H184" s="850"/>
      <c r="I184" s="850"/>
      <c r="J184" s="848">
        <f t="shared" si="42"/>
        <v>-132805330000</v>
      </c>
      <c r="K184" s="850" t="s">
        <v>1169</v>
      </c>
      <c r="L184" s="850" t="s">
        <v>1199</v>
      </c>
    </row>
    <row r="186" spans="1:12">
      <c r="A186" s="19">
        <v>8</v>
      </c>
      <c r="B186" s="1" t="s">
        <v>1202</v>
      </c>
      <c r="C186" s="850"/>
      <c r="D186" s="850"/>
      <c r="E186" s="850"/>
      <c r="F186" s="850"/>
      <c r="G186" s="850"/>
      <c r="H186" s="850"/>
      <c r="I186" s="850"/>
      <c r="J186" s="850"/>
      <c r="K186" s="850"/>
      <c r="L186" s="850"/>
    </row>
    <row r="187" spans="1:12">
      <c r="A187" s="850"/>
      <c r="B187" s="850"/>
      <c r="C187" s="850" t="s">
        <v>1185</v>
      </c>
      <c r="D187" s="850" t="s">
        <v>207</v>
      </c>
      <c r="E187" s="1012" t="str">
        <f>_xlfn.XLOOKUP(D187,'A0.LS'!E:E,'A0.LS'!F:F)</f>
        <v>Cổ phiếu phổ thông có quyền biểu quyết</v>
      </c>
      <c r="F187" s="848">
        <v>12126000000.000011</v>
      </c>
      <c r="G187" s="848"/>
      <c r="H187" s="850"/>
      <c r="I187" s="850"/>
      <c r="J187" s="848">
        <f t="shared" ref="J187:J192" si="43">ROUND(SUM(F187:I187),0)</f>
        <v>12126000000</v>
      </c>
      <c r="K187" s="850" t="s">
        <v>1169</v>
      </c>
      <c r="L187" s="850" t="s">
        <v>1199</v>
      </c>
    </row>
    <row r="188" spans="1:12">
      <c r="A188" s="850"/>
      <c r="B188" s="850"/>
      <c r="C188" s="850" t="s">
        <v>1185</v>
      </c>
      <c r="D188" s="850" t="s">
        <v>1201</v>
      </c>
      <c r="E188" s="1012" t="str">
        <f>_xlfn.XLOOKUP(D188,'A0.LS'!E:E,'A0.LS'!F:F)</f>
        <v>Dự trữ pháp định</v>
      </c>
      <c r="F188" s="848">
        <v>11301556.92262844</v>
      </c>
      <c r="G188" s="848"/>
      <c r="H188" s="850"/>
      <c r="I188" s="850"/>
      <c r="J188" s="848">
        <f t="shared" si="43"/>
        <v>11301557</v>
      </c>
      <c r="K188" s="850" t="s">
        <v>1169</v>
      </c>
      <c r="L188" s="850" t="s">
        <v>1199</v>
      </c>
    </row>
    <row r="189" spans="1:12">
      <c r="A189" s="850"/>
      <c r="B189" s="850"/>
      <c r="C189" s="850" t="s">
        <v>1186</v>
      </c>
      <c r="D189" s="850" t="s">
        <v>215</v>
      </c>
      <c r="E189" s="1012" t="str">
        <f>_xlfn.XLOOKUP(D189,'A0.LS'!E:E,'A0.LS'!F:F)</f>
        <v>Lợi nhuận sau thuế chưa phân phối năm trước</v>
      </c>
      <c r="F189" s="848"/>
      <c r="G189" s="848">
        <v>-11603486295.785896</v>
      </c>
      <c r="H189" s="850"/>
      <c r="I189" s="850"/>
      <c r="J189" s="848">
        <f t="shared" si="43"/>
        <v>-11603486296</v>
      </c>
      <c r="K189" s="850" t="s">
        <v>1169</v>
      </c>
      <c r="L189" s="850" t="s">
        <v>1199</v>
      </c>
    </row>
    <row r="190" spans="1:12">
      <c r="A190" s="850"/>
      <c r="B190" s="850"/>
      <c r="C190" s="850" t="s">
        <v>1186</v>
      </c>
      <c r="D190" s="850" t="s">
        <v>1203</v>
      </c>
      <c r="E190" s="1012" t="str">
        <f>_xlfn.XLOOKUP(D190,'A0.LS'!E:E,'A0.LS'!F:F)</f>
        <v>Lợi ích cổ đông không kiểm soát-BS</v>
      </c>
      <c r="F190" s="848"/>
      <c r="G190" s="848">
        <v>-533815261.13674164</v>
      </c>
      <c r="H190" s="850"/>
      <c r="I190" s="850"/>
      <c r="J190" s="848">
        <f t="shared" si="43"/>
        <v>-533815261</v>
      </c>
      <c r="K190" s="850" t="s">
        <v>1169</v>
      </c>
      <c r="L190" s="850" t="s">
        <v>1199</v>
      </c>
    </row>
    <row r="191" spans="1:12">
      <c r="A191" s="850"/>
      <c r="B191" s="850"/>
      <c r="C191" s="850" t="s">
        <v>1185</v>
      </c>
      <c r="D191" s="850" t="s">
        <v>1203</v>
      </c>
      <c r="E191" s="1012" t="str">
        <f>_xlfn.XLOOKUP(D191,'A0.LS'!E:E,'A0.LS'!F:F)</f>
        <v>Lợi ích cổ đông không kiểm soát-BS</v>
      </c>
      <c r="F191" s="848">
        <v>58798782.015537098</v>
      </c>
      <c r="G191" s="848"/>
      <c r="H191" s="850"/>
      <c r="I191" s="850"/>
      <c r="J191" s="848">
        <f t="shared" si="43"/>
        <v>58798782</v>
      </c>
      <c r="K191" s="850" t="s">
        <v>1169</v>
      </c>
      <c r="L191" s="850" t="s">
        <v>1199</v>
      </c>
    </row>
    <row r="192" spans="1:12">
      <c r="A192" s="850"/>
      <c r="B192" s="850"/>
      <c r="C192" s="850" t="s">
        <v>1186</v>
      </c>
      <c r="D192" s="850" t="s">
        <v>215</v>
      </c>
      <c r="E192" s="1012" t="str">
        <f>_xlfn.XLOOKUP(D192,'A0.LS'!E:E,'A0.LS'!F:F)</f>
        <v>Lợi nhuận sau thuế chưa phân phối năm trước</v>
      </c>
      <c r="F192" s="848"/>
      <c r="G192" s="848">
        <v>-58798782.015537098</v>
      </c>
      <c r="H192" s="850"/>
      <c r="I192" s="850"/>
      <c r="J192" s="848">
        <f t="shared" si="43"/>
        <v>-58798782</v>
      </c>
      <c r="K192" s="850" t="s">
        <v>1169</v>
      </c>
      <c r="L192" s="850" t="s">
        <v>1199</v>
      </c>
    </row>
    <row r="194" spans="1:14">
      <c r="A194" s="19">
        <v>9</v>
      </c>
      <c r="B194" s="1" t="s">
        <v>3800</v>
      </c>
      <c r="C194" s="850"/>
      <c r="D194" s="850"/>
      <c r="E194" s="850"/>
      <c r="F194" s="850"/>
      <c r="G194" s="850"/>
      <c r="H194" s="850"/>
      <c r="I194" s="850"/>
      <c r="J194" s="850"/>
      <c r="K194" s="850"/>
      <c r="L194" s="850"/>
      <c r="M194" s="850"/>
      <c r="N194" s="850"/>
    </row>
    <row r="195" spans="1:14">
      <c r="A195" s="850"/>
      <c r="B195" s="850"/>
      <c r="C195" s="850" t="s">
        <v>1185</v>
      </c>
      <c r="D195" s="850" t="s">
        <v>1209</v>
      </c>
      <c r="E195" s="1012" t="str">
        <f>_xlfn.XLOOKUP(D195,'A0.LS'!E:E,'A0.LS'!F:F)</f>
        <v>Chi phí phân bổ lợi thế thương mại</v>
      </c>
      <c r="F195" s="848"/>
      <c r="G195" s="848"/>
      <c r="H195" s="848">
        <v>12129462565.279871</v>
      </c>
      <c r="I195" s="848"/>
      <c r="J195" s="848">
        <f t="shared" ref="J195:J197" si="44">ROUND(SUM(F195:I195),0)</f>
        <v>12129462565</v>
      </c>
      <c r="K195" s="850" t="s">
        <v>1169</v>
      </c>
      <c r="L195" s="850" t="s">
        <v>1199</v>
      </c>
      <c r="M195" s="850"/>
      <c r="N195" s="850"/>
    </row>
    <row r="196" spans="1:14">
      <c r="A196" s="850"/>
      <c r="B196" s="850"/>
      <c r="C196" s="850" t="s">
        <v>1185</v>
      </c>
      <c r="D196" s="850" t="s">
        <v>215</v>
      </c>
      <c r="E196" s="1012" t="str">
        <f>_xlfn.XLOOKUP(D196,'A0.LS'!E:E,'A0.LS'!F:F)</f>
        <v>Lợi nhuận sau thuế chưa phân phối năm trước</v>
      </c>
      <c r="F196" s="848">
        <v>764322298.63407409</v>
      </c>
      <c r="G196" s="848"/>
      <c r="H196" s="848"/>
      <c r="I196" s="848"/>
      <c r="J196" s="848">
        <f t="shared" si="44"/>
        <v>764322299</v>
      </c>
      <c r="K196" s="850" t="s">
        <v>1169</v>
      </c>
      <c r="L196" s="850" t="s">
        <v>1199</v>
      </c>
      <c r="M196" s="850"/>
      <c r="N196" s="850"/>
    </row>
    <row r="197" spans="1:14">
      <c r="A197" s="850"/>
      <c r="B197" s="850"/>
      <c r="C197" s="850" t="s">
        <v>1186</v>
      </c>
      <c r="D197" s="850" t="s">
        <v>1197</v>
      </c>
      <c r="E197" s="1012" t="str">
        <f>_xlfn.XLOOKUP(D197,'A0.LS'!E:E,'A0.LS'!F:F)</f>
        <v>Lợi thế thương mại</v>
      </c>
      <c r="F197" s="848"/>
      <c r="G197" s="848">
        <v>-12893784863.913944</v>
      </c>
      <c r="H197" s="848"/>
      <c r="I197" s="848"/>
      <c r="J197" s="848">
        <f t="shared" si="44"/>
        <v>-12893784864</v>
      </c>
      <c r="K197" s="850" t="s">
        <v>1169</v>
      </c>
      <c r="L197" s="850" t="s">
        <v>1199</v>
      </c>
      <c r="M197" s="850"/>
      <c r="N197" s="850"/>
    </row>
    <row r="199" spans="1:14">
      <c r="A199" s="19">
        <v>10</v>
      </c>
      <c r="B199" s="1" t="s">
        <v>3801</v>
      </c>
      <c r="C199" s="850"/>
      <c r="D199" s="850"/>
      <c r="E199" s="850"/>
      <c r="F199" s="850"/>
      <c r="G199" s="850"/>
      <c r="H199" s="850"/>
      <c r="I199" s="850"/>
      <c r="J199" s="850"/>
      <c r="K199" s="850"/>
      <c r="L199" s="850"/>
      <c r="M199" s="850"/>
      <c r="N199" s="850"/>
    </row>
    <row r="200" spans="1:14">
      <c r="A200" s="850"/>
      <c r="B200" s="850"/>
      <c r="C200" s="850" t="s">
        <v>1185</v>
      </c>
      <c r="D200" s="850" t="s">
        <v>1217</v>
      </c>
      <c r="E200" s="1012" t="str">
        <f>_xlfn.XLOOKUP(D200,'A0.LS'!E:E,'A0.LS'!F:F)</f>
        <v>Lợi ích cổ đông không kiểm soát-PL</v>
      </c>
      <c r="F200" s="850"/>
      <c r="G200" s="850"/>
      <c r="H200" s="848">
        <v>87030229.459620848</v>
      </c>
      <c r="I200" s="850"/>
      <c r="J200" s="848">
        <f t="shared" ref="J200:J201" si="45">ROUND(SUM(F200:I200),0)</f>
        <v>87030229</v>
      </c>
      <c r="K200" s="850" t="s">
        <v>1169</v>
      </c>
      <c r="L200" s="850" t="s">
        <v>1199</v>
      </c>
      <c r="M200" s="850"/>
      <c r="N200" s="857">
        <f>H200*2</f>
        <v>174060458.9192417</v>
      </c>
    </row>
    <row r="201" spans="1:14">
      <c r="A201" s="850"/>
      <c r="B201" s="850"/>
      <c r="C201" s="850" t="s">
        <v>1186</v>
      </c>
      <c r="D201" s="850" t="s">
        <v>1203</v>
      </c>
      <c r="E201" s="1012" t="str">
        <f>_xlfn.XLOOKUP(D201,'A0.LS'!E:E,'A0.LS'!F:F)</f>
        <v>Lợi ích cổ đông không kiểm soát-BS</v>
      </c>
      <c r="F201" s="850"/>
      <c r="G201" s="857">
        <f>-H200</f>
        <v>-87030229.459620848</v>
      </c>
      <c r="H201" s="850"/>
      <c r="I201" s="850"/>
      <c r="J201" s="848">
        <f t="shared" si="45"/>
        <v>-87030229</v>
      </c>
      <c r="K201" s="850" t="s">
        <v>1169</v>
      </c>
      <c r="L201" s="850" t="s">
        <v>1199</v>
      </c>
      <c r="M201" s="850"/>
      <c r="N201" s="850"/>
    </row>
    <row r="203" spans="1:14">
      <c r="A203" s="19">
        <v>11</v>
      </c>
      <c r="B203" s="1" t="s">
        <v>3802</v>
      </c>
      <c r="C203" s="850"/>
      <c r="D203" s="850"/>
      <c r="E203" s="850"/>
      <c r="F203" s="850"/>
      <c r="G203" s="850"/>
      <c r="H203" s="850"/>
      <c r="I203" s="850"/>
      <c r="J203" s="850"/>
      <c r="K203" s="850"/>
      <c r="L203" s="850"/>
      <c r="M203" s="850"/>
      <c r="N203" s="850"/>
    </row>
    <row r="204" spans="1:14">
      <c r="A204" s="850"/>
      <c r="B204" s="850"/>
      <c r="C204" s="850" t="s">
        <v>1185</v>
      </c>
      <c r="D204" s="850" t="s">
        <v>104</v>
      </c>
      <c r="E204" s="1012" t="str">
        <f>_xlfn.XLOOKUP(D204,'A0.LS'!E:E,'A0.LS'!F:F)</f>
        <v>Dự phòng tổn thất đầu tư vào đơn vị khác</v>
      </c>
      <c r="F204" s="848">
        <v>259116389767</v>
      </c>
      <c r="G204" s="848"/>
      <c r="H204" s="848"/>
      <c r="I204" s="848"/>
      <c r="J204" s="848">
        <f t="shared" ref="J204:J207" si="46">ROUND(SUM(F204:I204),0)</f>
        <v>259116389767</v>
      </c>
      <c r="K204" s="850" t="s">
        <v>1169</v>
      </c>
      <c r="L204" s="850" t="s">
        <v>1199</v>
      </c>
      <c r="M204" s="850"/>
      <c r="N204" s="850"/>
    </row>
    <row r="205" spans="1:14">
      <c r="A205" s="850"/>
      <c r="B205" s="850"/>
      <c r="C205" s="850" t="s">
        <v>1186</v>
      </c>
      <c r="D205" s="850" t="s">
        <v>305</v>
      </c>
      <c r="E205" s="1012" t="str">
        <f>_xlfn.XLOOKUP(D205,'A0.LS'!E:E,'A0.LS'!F:F)</f>
        <v>Chi phí tài chính</v>
      </c>
      <c r="F205" s="848"/>
      <c r="G205" s="848"/>
      <c r="H205" s="848">
        <v>1147867436</v>
      </c>
      <c r="I205" s="848"/>
      <c r="J205" s="848">
        <f t="shared" si="46"/>
        <v>1147867436</v>
      </c>
      <c r="K205" s="850" t="s">
        <v>1169</v>
      </c>
      <c r="L205" s="850" t="s">
        <v>1199</v>
      </c>
      <c r="M205" s="850"/>
      <c r="N205" s="850"/>
    </row>
    <row r="206" spans="1:14">
      <c r="A206" s="850"/>
      <c r="B206" s="850"/>
      <c r="C206" s="850" t="s">
        <v>1186</v>
      </c>
      <c r="D206" s="850" t="s">
        <v>305</v>
      </c>
      <c r="E206" s="1012" t="str">
        <f>_xlfn.XLOOKUP(D206,'A0.LS'!E:E,'A0.LS'!F:F)</f>
        <v>Chi phí tài chính</v>
      </c>
      <c r="F206" s="848"/>
      <c r="G206" s="848"/>
      <c r="H206" s="848"/>
      <c r="I206" s="848">
        <v>-127458927203</v>
      </c>
      <c r="J206" s="848">
        <f t="shared" si="46"/>
        <v>-127458927203</v>
      </c>
      <c r="K206" s="850" t="s">
        <v>1169</v>
      </c>
      <c r="L206" s="850" t="s">
        <v>1199</v>
      </c>
      <c r="M206" s="850"/>
      <c r="N206" s="850"/>
    </row>
    <row r="207" spans="1:14">
      <c r="A207" s="850"/>
      <c r="B207" s="850"/>
      <c r="C207" s="850" t="s">
        <v>1186</v>
      </c>
      <c r="D207" s="850" t="s">
        <v>215</v>
      </c>
      <c r="E207" s="1012" t="str">
        <f>_xlfn.XLOOKUP(D207,'A0.LS'!E:E,'A0.LS'!F:F)</f>
        <v>Lợi nhuận sau thuế chưa phân phối năm trước</v>
      </c>
      <c r="F207" s="848"/>
      <c r="G207" s="848">
        <v>-132805330000</v>
      </c>
      <c r="H207" s="848"/>
      <c r="I207" s="848"/>
      <c r="J207" s="848">
        <f t="shared" si="46"/>
        <v>-132805330000</v>
      </c>
      <c r="K207" s="850" t="s">
        <v>1169</v>
      </c>
      <c r="L207" s="850" t="s">
        <v>1199</v>
      </c>
      <c r="M207" s="850"/>
      <c r="N207" s="850"/>
    </row>
    <row r="209" spans="1:12">
      <c r="A209" s="19">
        <v>12</v>
      </c>
      <c r="B209" s="1" t="s">
        <v>3803</v>
      </c>
      <c r="C209" s="850"/>
      <c r="D209" s="850"/>
      <c r="E209" s="850"/>
      <c r="F209" s="850"/>
      <c r="G209" s="850"/>
      <c r="H209" s="850"/>
      <c r="I209" s="850"/>
      <c r="J209" s="850"/>
      <c r="K209" s="850"/>
      <c r="L209" s="850"/>
    </row>
    <row r="210" spans="1:12">
      <c r="A210" s="850"/>
      <c r="B210" s="850"/>
      <c r="C210" s="850" t="s">
        <v>1185</v>
      </c>
      <c r="D210" s="850" t="s">
        <v>207</v>
      </c>
      <c r="E210" s="1012" t="str">
        <f>_xlfn.XLOOKUP(D210,'A0.LS'!E:E,'A0.LS'!F:F)</f>
        <v>Cổ phiếu phổ thông có quyền biểu quyết</v>
      </c>
      <c r="F210" s="848">
        <v>285000000000</v>
      </c>
      <c r="G210" s="850"/>
      <c r="H210" s="850"/>
      <c r="I210" s="850"/>
      <c r="J210" s="848">
        <f t="shared" ref="J210:J211" si="47">ROUND(SUM(F210:I210),0)</f>
        <v>285000000000</v>
      </c>
      <c r="K210" s="850" t="s">
        <v>1169</v>
      </c>
      <c r="L210" s="850" t="s">
        <v>1199</v>
      </c>
    </row>
    <row r="211" spans="1:12">
      <c r="A211" s="850"/>
      <c r="B211" s="850"/>
      <c r="C211" s="850" t="s">
        <v>1186</v>
      </c>
      <c r="D211" s="850" t="s">
        <v>95</v>
      </c>
      <c r="E211" s="1012" t="str">
        <f>_xlfn.XLOOKUP(D211,'A0.LS'!E:E,'A0.LS'!F:F)</f>
        <v>Đầu tư vào công ty con</v>
      </c>
      <c r="F211" s="850"/>
      <c r="G211" s="857">
        <f>-F210</f>
        <v>-285000000000</v>
      </c>
      <c r="H211" s="850"/>
      <c r="I211" s="850"/>
      <c r="J211" s="848">
        <f t="shared" si="47"/>
        <v>-285000000000</v>
      </c>
      <c r="K211" s="850" t="s">
        <v>1169</v>
      </c>
      <c r="L211" s="850" t="s">
        <v>1199</v>
      </c>
    </row>
    <row r="213" spans="1:12">
      <c r="A213" s="19">
        <v>13</v>
      </c>
      <c r="B213" s="1" t="s">
        <v>3804</v>
      </c>
      <c r="C213" s="850"/>
      <c r="D213" s="850"/>
      <c r="E213" s="850"/>
      <c r="F213" s="850"/>
      <c r="G213" s="850"/>
      <c r="H213" s="850"/>
      <c r="I213" s="850"/>
      <c r="J213" s="850"/>
      <c r="K213" s="850"/>
      <c r="L213" s="850"/>
    </row>
    <row r="214" spans="1:12">
      <c r="A214" s="850"/>
      <c r="B214" s="850"/>
      <c r="C214" s="850" t="s">
        <v>1185</v>
      </c>
      <c r="D214" s="850" t="s">
        <v>217</v>
      </c>
      <c r="E214" s="1012" t="str">
        <f>_xlfn.XLOOKUP(D214,'A0.LS'!E:E,'A0.LS'!F:F)</f>
        <v>Lợi nhuận sau thuế chưa phân phối năm nay</v>
      </c>
      <c r="F214" s="848">
        <v>5782060300.969511</v>
      </c>
      <c r="G214" s="850"/>
      <c r="H214" s="850"/>
      <c r="I214" s="850"/>
      <c r="J214" s="848">
        <f t="shared" ref="J214:J215" si="48">ROUND(SUM(F214:I214),0)</f>
        <v>5782060301</v>
      </c>
      <c r="K214" s="850" t="s">
        <v>1169</v>
      </c>
      <c r="L214" s="850" t="s">
        <v>1199</v>
      </c>
    </row>
    <row r="215" spans="1:12">
      <c r="A215" s="850"/>
      <c r="B215" s="850"/>
      <c r="C215" s="850" t="s">
        <v>1186</v>
      </c>
      <c r="D215" s="850" t="s">
        <v>1203</v>
      </c>
      <c r="E215" s="1012" t="str">
        <f>_xlfn.XLOOKUP(D215,'A0.LS'!E:E,'A0.LS'!F:F)</f>
        <v>Lợi ích cổ đông không kiểm soát-BS</v>
      </c>
      <c r="F215" s="850"/>
      <c r="G215" s="857">
        <f>-F214</f>
        <v>-5782060300.969511</v>
      </c>
      <c r="H215" s="850"/>
      <c r="I215" s="850"/>
      <c r="J215" s="848">
        <f t="shared" si="48"/>
        <v>-5782060301</v>
      </c>
      <c r="K215" s="850" t="s">
        <v>1169</v>
      </c>
      <c r="L215" s="850" t="s">
        <v>1199</v>
      </c>
    </row>
    <row r="217" spans="1:12">
      <c r="A217" s="19">
        <v>14</v>
      </c>
      <c r="B217" s="1" t="s">
        <v>3805</v>
      </c>
      <c r="C217" s="850"/>
      <c r="D217" s="850"/>
      <c r="E217" s="850"/>
      <c r="F217" s="850"/>
      <c r="G217" s="850"/>
      <c r="H217" s="850"/>
      <c r="I217" s="850"/>
      <c r="J217" s="850"/>
      <c r="K217" s="850"/>
      <c r="L217" s="850"/>
    </row>
    <row r="218" spans="1:12">
      <c r="A218" s="850"/>
      <c r="B218" s="850"/>
      <c r="C218" s="850" t="s">
        <v>1185</v>
      </c>
      <c r="D218" s="850" t="s">
        <v>1203</v>
      </c>
      <c r="E218" s="1012" t="str">
        <f>_xlfn.XLOOKUP(D218,'A0.LS'!E:E,'A0.LS'!F:F)</f>
        <v>Lợi ích cổ đông không kiểm soát-BS</v>
      </c>
      <c r="F218" s="848">
        <v>3730531542.1860185</v>
      </c>
      <c r="G218" s="850"/>
      <c r="H218" s="850"/>
      <c r="I218" s="850"/>
      <c r="J218" s="848">
        <f t="shared" ref="J218:J220" si="49">ROUND(SUM(F218:I218),0)</f>
        <v>3730531542</v>
      </c>
      <c r="K218" s="850" t="s">
        <v>1169</v>
      </c>
      <c r="L218" s="850" t="s">
        <v>1199</v>
      </c>
    </row>
    <row r="219" spans="1:12">
      <c r="A219" s="850"/>
      <c r="B219" s="850"/>
      <c r="C219" s="850" t="s">
        <v>1185</v>
      </c>
      <c r="D219" s="850" t="s">
        <v>217</v>
      </c>
      <c r="E219" s="1012" t="str">
        <f>_xlfn.XLOOKUP(D219,'A0.LS'!E:E,'A0.LS'!F:F)</f>
        <v>Lợi nhuận sau thuế chưa phân phối năm nay</v>
      </c>
      <c r="F219" s="848">
        <v>3969468457.8139815</v>
      </c>
      <c r="G219" s="850"/>
      <c r="H219" s="850"/>
      <c r="I219" s="850"/>
      <c r="J219" s="848">
        <f t="shared" si="49"/>
        <v>3969468458</v>
      </c>
      <c r="K219" s="850" t="s">
        <v>1169</v>
      </c>
      <c r="L219" s="850" t="s">
        <v>1199</v>
      </c>
    </row>
    <row r="220" spans="1:12">
      <c r="A220" s="850"/>
      <c r="B220" s="850"/>
      <c r="C220" s="850" t="s">
        <v>1186</v>
      </c>
      <c r="D220" s="859" t="s">
        <v>95</v>
      </c>
      <c r="E220" s="1012" t="str">
        <f>_xlfn.XLOOKUP(D220,'A0.LS'!E:E,'A0.LS'!F:F)</f>
        <v>Đầu tư vào công ty con</v>
      </c>
      <c r="F220" s="850"/>
      <c r="G220" s="857">
        <f>-F219-F218</f>
        <v>-7700000000</v>
      </c>
      <c r="H220" s="850"/>
      <c r="I220" s="850"/>
      <c r="J220" s="848">
        <f t="shared" si="49"/>
        <v>-7700000000</v>
      </c>
      <c r="K220" s="850" t="s">
        <v>1169</v>
      </c>
      <c r="L220" s="850" t="s">
        <v>1199</v>
      </c>
    </row>
    <row r="222" spans="1:12">
      <c r="A222" s="19">
        <v>15</v>
      </c>
      <c r="B222" s="1" t="s">
        <v>3806</v>
      </c>
      <c r="C222" s="850"/>
      <c r="D222" s="850"/>
      <c r="E222" s="850"/>
      <c r="F222" s="850"/>
      <c r="G222" s="850"/>
      <c r="H222" s="850"/>
      <c r="I222" s="850"/>
      <c r="J222" s="850"/>
      <c r="K222" s="850"/>
      <c r="L222" s="850"/>
    </row>
    <row r="223" spans="1:12">
      <c r="A223" s="850"/>
      <c r="B223" s="850"/>
      <c r="C223" s="850" t="s">
        <v>1185</v>
      </c>
      <c r="D223" s="859" t="s">
        <v>221</v>
      </c>
      <c r="E223" s="1012" t="str">
        <f>_xlfn.XLOOKUP(D223,'A0.LS'!E:E,'A0.LS'!F:F)</f>
        <v>Doanh thu cung cấp dịch vụ</v>
      </c>
      <c r="F223" s="850"/>
      <c r="G223" s="850"/>
      <c r="H223" s="848">
        <v>10678648775</v>
      </c>
      <c r="I223" s="848"/>
      <c r="J223" s="848">
        <f t="shared" ref="J223:J225" si="50">ROUND(SUM(F223:I223),0)</f>
        <v>10678648775</v>
      </c>
      <c r="K223" s="850" t="s">
        <v>1169</v>
      </c>
      <c r="L223" s="850" t="s">
        <v>1199</v>
      </c>
    </row>
    <row r="224" spans="1:12">
      <c r="A224" s="850"/>
      <c r="B224" s="850"/>
      <c r="C224" s="850" t="s">
        <v>1185</v>
      </c>
      <c r="D224" s="859" t="s">
        <v>2451</v>
      </c>
      <c r="E224" s="1012" t="str">
        <f>_xlfn.XLOOKUP(D224,'A0.LS'!E:E,'A0.LS'!F:F)</f>
        <v>Chi phí tư vấn đầu tư</v>
      </c>
      <c r="F224" s="850"/>
      <c r="G224" s="850"/>
      <c r="H224" s="848"/>
      <c r="I224" s="848">
        <v>-2700000000</v>
      </c>
      <c r="J224" s="848">
        <f t="shared" si="50"/>
        <v>-2700000000</v>
      </c>
      <c r="K224" s="850" t="s">
        <v>1169</v>
      </c>
      <c r="L224" s="850" t="s">
        <v>1199</v>
      </c>
    </row>
    <row r="225" spans="1:12">
      <c r="A225" s="850"/>
      <c r="B225" s="850"/>
      <c r="C225" s="850" t="s">
        <v>1186</v>
      </c>
      <c r="D225" s="859" t="s">
        <v>273</v>
      </c>
      <c r="E225" s="1012" t="str">
        <f>_xlfn.XLOOKUP(D225,'A0.LS'!E:E,'A0.LS'!F:F)</f>
        <v>Phí mua bán CCQ</v>
      </c>
      <c r="F225" s="850"/>
      <c r="G225" s="850"/>
      <c r="H225" s="848"/>
      <c r="I225" s="848">
        <v>-7978648775</v>
      </c>
      <c r="J225" s="848">
        <f t="shared" si="50"/>
        <v>-7978648775</v>
      </c>
      <c r="K225" s="850" t="s">
        <v>1169</v>
      </c>
      <c r="L225" s="850" t="s">
        <v>1199</v>
      </c>
    </row>
    <row r="227" spans="1:12">
      <c r="A227" s="19">
        <v>16</v>
      </c>
      <c r="B227" s="1" t="s">
        <v>3807</v>
      </c>
      <c r="C227" s="850"/>
      <c r="D227" s="850"/>
      <c r="E227" s="850"/>
      <c r="F227" s="850"/>
      <c r="G227" s="850"/>
      <c r="H227" s="850"/>
      <c r="I227" s="850"/>
      <c r="J227" s="850"/>
      <c r="K227" s="850"/>
      <c r="L227" s="850"/>
    </row>
    <row r="228" spans="1:12">
      <c r="A228" s="850"/>
      <c r="B228" s="850"/>
      <c r="C228" s="850" t="s">
        <v>1185</v>
      </c>
      <c r="D228" s="850" t="s">
        <v>233</v>
      </c>
      <c r="E228" s="1012" t="str">
        <f>_xlfn.XLOOKUP(D228,'A0.LS'!E:E,'A0.LS'!F:F)</f>
        <v>Doanh thu từ giao dịch mua, bán vàng</v>
      </c>
      <c r="F228" s="850"/>
      <c r="G228" s="850"/>
      <c r="H228" s="848">
        <v>62961000</v>
      </c>
      <c r="I228" s="848"/>
      <c r="J228" s="848">
        <f t="shared" ref="J228:J230" si="51">ROUND(SUM(F228:I228),0)</f>
        <v>62961000</v>
      </c>
      <c r="K228" s="850" t="s">
        <v>1169</v>
      </c>
      <c r="L228" s="850" t="s">
        <v>1199</v>
      </c>
    </row>
    <row r="229" spans="1:12">
      <c r="A229" s="850"/>
      <c r="B229" s="850"/>
      <c r="C229" s="850" t="s">
        <v>1185</v>
      </c>
      <c r="D229" s="850" t="s">
        <v>2407</v>
      </c>
      <c r="E229" s="1012" t="str">
        <f>_xlfn.XLOOKUP(D229,'A0.LS'!E:E,'A0.LS'!F:F)</f>
        <v>Doanh thu từ hợp tác kinh doanh với đối tác - GD bảo hiểm</v>
      </c>
      <c r="F229" s="850"/>
      <c r="G229" s="850"/>
      <c r="H229" s="848">
        <v>5401700</v>
      </c>
      <c r="I229" s="848"/>
      <c r="J229" s="848">
        <f t="shared" si="51"/>
        <v>5401700</v>
      </c>
      <c r="K229" s="850" t="s">
        <v>1169</v>
      </c>
      <c r="L229" s="850" t="s">
        <v>1199</v>
      </c>
    </row>
    <row r="230" spans="1:12">
      <c r="A230" s="850"/>
      <c r="B230" s="850"/>
      <c r="C230" s="850" t="s">
        <v>1186</v>
      </c>
      <c r="D230" s="859" t="s">
        <v>303</v>
      </c>
      <c r="E230" s="1012" t="str">
        <f>_xlfn.XLOOKUP(D230,'A0.LS'!E:E,'A0.LS'!F:F)</f>
        <v>Giá vốn hàng bán</v>
      </c>
      <c r="F230" s="850"/>
      <c r="G230" s="850"/>
      <c r="H230" s="848"/>
      <c r="I230" s="848">
        <v>-68362700</v>
      </c>
      <c r="J230" s="848">
        <f t="shared" si="51"/>
        <v>-68362700</v>
      </c>
      <c r="K230" s="850" t="s">
        <v>1169</v>
      </c>
      <c r="L230" s="850" t="s">
        <v>1199</v>
      </c>
    </row>
    <row r="232" spans="1:12">
      <c r="A232" s="19">
        <v>17</v>
      </c>
      <c r="B232" s="1" t="s">
        <v>3808</v>
      </c>
      <c r="C232" s="850"/>
      <c r="D232" s="850"/>
      <c r="E232" s="850"/>
      <c r="F232" s="850"/>
      <c r="G232" s="850"/>
      <c r="H232" s="850"/>
      <c r="I232" s="850"/>
      <c r="J232" s="850"/>
      <c r="K232" s="850"/>
      <c r="L232" s="850"/>
    </row>
    <row r="233" spans="1:12">
      <c r="A233" s="850"/>
      <c r="B233" s="850"/>
      <c r="C233" s="850" t="s">
        <v>1185</v>
      </c>
      <c r="D233" s="859" t="s">
        <v>217</v>
      </c>
      <c r="E233" s="1012" t="str">
        <f>_xlfn.XLOOKUP(D233,'A0.LS'!E:E,'A0.LS'!F:F)</f>
        <v>Lợi nhuận sau thuế chưa phân phối năm nay</v>
      </c>
      <c r="F233" s="848">
        <v>1600706414</v>
      </c>
      <c r="G233" s="850"/>
      <c r="H233" s="850"/>
      <c r="I233" s="850"/>
      <c r="J233" s="848">
        <f t="shared" ref="J233:J234" si="52">ROUND(SUM(F233:I233),0)</f>
        <v>1600706414</v>
      </c>
      <c r="K233" s="850" t="s">
        <v>1169</v>
      </c>
      <c r="L233" s="850" t="s">
        <v>1199</v>
      </c>
    </row>
    <row r="234" spans="1:12">
      <c r="A234" s="850"/>
      <c r="B234" s="850"/>
      <c r="C234" s="850" t="s">
        <v>1186</v>
      </c>
      <c r="D234" s="859" t="s">
        <v>215</v>
      </c>
      <c r="E234" s="1012" t="str">
        <f>_xlfn.XLOOKUP(D234,'A0.LS'!E:E,'A0.LS'!F:F)</f>
        <v>Lợi nhuận sau thuế chưa phân phối năm trước</v>
      </c>
      <c r="F234" s="850"/>
      <c r="G234" s="857">
        <f>-F233</f>
        <v>-1600706414</v>
      </c>
      <c r="H234" s="850"/>
      <c r="I234" s="850"/>
      <c r="J234" s="848">
        <f t="shared" si="52"/>
        <v>-1600706414</v>
      </c>
      <c r="K234" s="850" t="s">
        <v>1169</v>
      </c>
      <c r="L234" s="850" t="s">
        <v>1199</v>
      </c>
    </row>
    <row r="236" spans="1:12">
      <c r="A236" s="19">
        <v>18</v>
      </c>
      <c r="B236" s="1" t="s">
        <v>3809</v>
      </c>
      <c r="C236" s="850"/>
      <c r="D236" s="850"/>
      <c r="E236" s="850"/>
      <c r="F236" s="850"/>
      <c r="G236" s="850"/>
      <c r="H236" s="850"/>
      <c r="I236" s="850"/>
      <c r="J236" s="850"/>
      <c r="K236" s="850"/>
      <c r="L236" s="850"/>
    </row>
    <row r="237" spans="1:12">
      <c r="A237" s="850"/>
      <c r="B237" s="850"/>
      <c r="C237" s="850" t="s">
        <v>1185</v>
      </c>
      <c r="D237" s="850" t="s">
        <v>207</v>
      </c>
      <c r="E237" s="1012" t="str">
        <f>_xlfn.XLOOKUP(D237,'A0.LS'!E:E,'A0.LS'!F:F)</f>
        <v>Cổ phiếu phổ thông có quyền biểu quyết</v>
      </c>
      <c r="F237" s="848">
        <v>120000000</v>
      </c>
      <c r="G237" s="850"/>
      <c r="H237" s="850"/>
      <c r="I237" s="850"/>
      <c r="J237" s="848">
        <f t="shared" ref="J237:J239" si="53">ROUND(SUM(F237:I237),0)</f>
        <v>120000000</v>
      </c>
      <c r="K237" s="850" t="s">
        <v>1169</v>
      </c>
      <c r="L237" s="850" t="s">
        <v>1199</v>
      </c>
    </row>
    <row r="238" spans="1:12">
      <c r="A238" s="850"/>
      <c r="B238" s="850"/>
      <c r="C238" s="850" t="s">
        <v>1186</v>
      </c>
      <c r="D238" s="850" t="s">
        <v>95</v>
      </c>
      <c r="E238" s="1012" t="str">
        <f>_xlfn.XLOOKUP(D238,'A0.LS'!E:E,'A0.LS'!F:F)</f>
        <v>Đầu tư vào công ty con</v>
      </c>
      <c r="F238" s="850"/>
      <c r="G238" s="848">
        <v>-114000000</v>
      </c>
      <c r="H238" s="850"/>
      <c r="I238" s="850"/>
      <c r="J238" s="848">
        <f t="shared" si="53"/>
        <v>-114000000</v>
      </c>
      <c r="K238" s="850" t="s">
        <v>1169</v>
      </c>
      <c r="L238" s="850" t="s">
        <v>1199</v>
      </c>
    </row>
    <row r="239" spans="1:12">
      <c r="A239" s="850"/>
      <c r="B239" s="850"/>
      <c r="C239" s="850" t="s">
        <v>1186</v>
      </c>
      <c r="D239" s="850" t="s">
        <v>1203</v>
      </c>
      <c r="E239" s="1012" t="str">
        <f>_xlfn.XLOOKUP(D239,'A0.LS'!E:E,'A0.LS'!F:F)</f>
        <v>Lợi ích cổ đông không kiểm soát-BS</v>
      </c>
      <c r="F239" s="850"/>
      <c r="G239" s="848">
        <v>-6000000</v>
      </c>
      <c r="H239" s="850"/>
      <c r="I239" s="850"/>
      <c r="J239" s="848">
        <f t="shared" si="53"/>
        <v>-6000000</v>
      </c>
      <c r="K239" s="850" t="s">
        <v>1169</v>
      </c>
      <c r="L239" s="850" t="s">
        <v>1199</v>
      </c>
    </row>
    <row r="241" spans="1:12">
      <c r="A241" s="19">
        <v>19</v>
      </c>
      <c r="B241" s="1" t="s">
        <v>3810</v>
      </c>
      <c r="C241" s="850"/>
      <c r="D241" s="850"/>
      <c r="E241" s="850"/>
      <c r="F241" s="850"/>
      <c r="G241" s="850"/>
      <c r="H241" s="850"/>
      <c r="I241" s="850"/>
      <c r="J241" s="850"/>
      <c r="K241" s="850"/>
      <c r="L241" s="850"/>
    </row>
    <row r="242" spans="1:12">
      <c r="A242" s="850"/>
      <c r="B242" s="850"/>
      <c r="C242" s="850" t="s">
        <v>1185</v>
      </c>
      <c r="D242" s="850" t="s">
        <v>1203</v>
      </c>
      <c r="E242" s="1012" t="str">
        <f>_xlfn.XLOOKUP(D242,'A0.LS'!E:E,'A0.LS'!F:F)</f>
        <v>Lợi ích cổ đông không kiểm soát-BS</v>
      </c>
      <c r="F242" s="848">
        <v>369599.97000000032</v>
      </c>
      <c r="G242" s="850"/>
      <c r="H242" s="850"/>
      <c r="I242" s="850"/>
      <c r="J242" s="848">
        <f t="shared" ref="J242:J243" si="54">ROUND(SUM(F242:I242),0)</f>
        <v>369600</v>
      </c>
      <c r="K242" s="850" t="s">
        <v>1169</v>
      </c>
      <c r="L242" s="850" t="s">
        <v>1199</v>
      </c>
    </row>
    <row r="243" spans="1:12">
      <c r="A243" s="850"/>
      <c r="B243" s="850"/>
      <c r="C243" s="850" t="s">
        <v>1186</v>
      </c>
      <c r="D243" s="850" t="s">
        <v>1217</v>
      </c>
      <c r="E243" s="1012" t="str">
        <f>_xlfn.XLOOKUP(D243,'A0.LS'!E:E,'A0.LS'!F:F)</f>
        <v>Lợi ích cổ đông không kiểm soát-PL</v>
      </c>
      <c r="F243" s="850"/>
      <c r="G243" s="850"/>
      <c r="H243" s="850"/>
      <c r="I243" s="857">
        <f>-F242</f>
        <v>-369599.97000000032</v>
      </c>
      <c r="J243" s="848">
        <f t="shared" si="54"/>
        <v>-369600</v>
      </c>
      <c r="K243" s="850" t="s">
        <v>1169</v>
      </c>
      <c r="L243" s="850" t="s">
        <v>1199</v>
      </c>
    </row>
    <row r="245" spans="1:12">
      <c r="A245" s="19">
        <v>20</v>
      </c>
      <c r="B245" s="1" t="s">
        <v>3811</v>
      </c>
      <c r="C245" s="850"/>
      <c r="D245" s="850"/>
      <c r="E245" s="850"/>
      <c r="F245" s="850"/>
      <c r="G245" s="850"/>
      <c r="H245" s="850"/>
      <c r="I245" s="850"/>
      <c r="J245" s="850"/>
      <c r="K245" s="850"/>
      <c r="L245" s="850"/>
    </row>
    <row r="246" spans="1:12">
      <c r="A246" s="850"/>
      <c r="B246" s="850"/>
      <c r="C246" s="850" t="s">
        <v>1185</v>
      </c>
      <c r="D246" s="1141" t="s">
        <v>99</v>
      </c>
      <c r="E246" s="1133" t="str">
        <f>_xlfn.XLOOKUP(D246,'A0.LS'!E:E,'A0.LS'!F:F)</f>
        <v>Đầu tư khác</v>
      </c>
      <c r="F246" s="848">
        <v>1000000</v>
      </c>
      <c r="G246" s="850"/>
      <c r="H246" s="850"/>
      <c r="I246" s="850"/>
      <c r="J246" s="848">
        <f>ROUND(SUM(F246:I246),0)</f>
        <v>1000000</v>
      </c>
      <c r="K246" s="850" t="s">
        <v>1198</v>
      </c>
      <c r="L246" s="850" t="s">
        <v>1199</v>
      </c>
    </row>
    <row r="247" spans="1:12">
      <c r="A247" s="850"/>
      <c r="B247" s="850"/>
      <c r="C247" s="850" t="s">
        <v>1186</v>
      </c>
      <c r="D247" s="1141" t="s">
        <v>95</v>
      </c>
      <c r="E247" s="1133" t="str">
        <f>_xlfn.XLOOKUP(D247,'A0.LS'!E:E,'A0.LS'!F:F)</f>
        <v>Đầu tư vào công ty con</v>
      </c>
      <c r="F247" s="850"/>
      <c r="G247" s="857">
        <f>-F246</f>
        <v>-1000000</v>
      </c>
      <c r="H247" s="850"/>
      <c r="I247" s="850"/>
      <c r="J247" s="848">
        <f>ROUND(SUM(F247:I247),0)</f>
        <v>-1000000</v>
      </c>
      <c r="K247" s="850" t="s">
        <v>1198</v>
      </c>
      <c r="L247" s="850" t="s">
        <v>1199</v>
      </c>
    </row>
    <row r="250" spans="1:12">
      <c r="A250" s="850"/>
      <c r="B250" s="850"/>
      <c r="C250" s="850" t="s">
        <v>1185</v>
      </c>
      <c r="D250" s="1141" t="s">
        <v>95</v>
      </c>
      <c r="E250" s="1133" t="str">
        <f>_xlfn.XLOOKUP(D250,'A0.LS'!E:E,'A0.LS'!F:F)</f>
        <v>Đầu tư vào công ty con</v>
      </c>
      <c r="F250" s="857">
        <f>F246</f>
        <v>1000000</v>
      </c>
      <c r="G250" s="850"/>
      <c r="H250" s="850"/>
      <c r="I250" s="850"/>
      <c r="J250" s="848">
        <f>ROUND(SUM(F250:I250),0)</f>
        <v>1000000</v>
      </c>
      <c r="K250" s="850" t="s">
        <v>1169</v>
      </c>
      <c r="L250" s="850" t="s">
        <v>1199</v>
      </c>
    </row>
    <row r="251" spans="1:12">
      <c r="A251" s="850"/>
      <c r="B251" s="850"/>
      <c r="C251" s="850" t="s">
        <v>1186</v>
      </c>
      <c r="D251" s="1141" t="s">
        <v>99</v>
      </c>
      <c r="E251" s="1133" t="str">
        <f>_xlfn.XLOOKUP(D251,'A0.LS'!E:E,'A0.LS'!F:F)</f>
        <v>Đầu tư khác</v>
      </c>
      <c r="F251" s="850"/>
      <c r="G251" s="857">
        <f>-F250</f>
        <v>-1000000</v>
      </c>
      <c r="H251" s="850"/>
      <c r="I251" s="850"/>
      <c r="J251" s="848">
        <f>ROUND(SUM(F251:I251),0)</f>
        <v>-1000000</v>
      </c>
      <c r="K251" s="850" t="s">
        <v>1169</v>
      </c>
      <c r="L251" s="850" t="s">
        <v>1199</v>
      </c>
    </row>
  </sheetData>
  <autoFilter ref="A6:N132" xr:uid="{CE1BA51A-DB8B-42ED-B96B-05C95E21C558}"/>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914A8-A637-4E9A-8EDB-DDB2C5B5CB42}">
  <sheetPr codeName="Sheet32"/>
  <dimension ref="A3:L25"/>
  <sheetViews>
    <sheetView topLeftCell="B9" zoomScale="115" zoomScaleNormal="115" workbookViewId="0">
      <selection activeCell="B24" sqref="B24"/>
    </sheetView>
  </sheetViews>
  <sheetFormatPr defaultRowHeight="15"/>
  <cols>
    <col min="1" max="1" width="72.85546875" customWidth="1"/>
    <col min="2" max="2" width="24.140625" customWidth="1"/>
    <col min="3" max="3" width="30.140625" customWidth="1"/>
    <col min="4" max="4" width="18.42578125" customWidth="1"/>
    <col min="5" max="5" width="19.140625" customWidth="1"/>
    <col min="7" max="7" width="17" bestFit="1" customWidth="1"/>
    <col min="9" max="9" width="11.140625" bestFit="1" customWidth="1"/>
    <col min="10" max="10" width="38.42578125" bestFit="1" customWidth="1"/>
    <col min="11" max="11" width="15.85546875" bestFit="1" customWidth="1"/>
  </cols>
  <sheetData>
    <row r="3" spans="1:12">
      <c r="A3" s="248" t="s">
        <v>3812</v>
      </c>
    </row>
    <row r="4" spans="1:12" ht="15.75" thickBot="1"/>
    <row r="5" spans="1:12" ht="15.75" thickBot="1">
      <c r="I5" s="63" t="s">
        <v>3813</v>
      </c>
      <c r="J5" s="63" t="s">
        <v>775</v>
      </c>
      <c r="K5" s="63" t="s">
        <v>501</v>
      </c>
    </row>
    <row r="6" spans="1:12" ht="51.75" customHeight="1" thickBot="1">
      <c r="A6" s="385" t="s">
        <v>3814</v>
      </c>
      <c r="B6" s="376" t="s">
        <v>3815</v>
      </c>
      <c r="C6" s="374" t="s">
        <v>3816</v>
      </c>
      <c r="D6" s="376" t="s">
        <v>3815</v>
      </c>
      <c r="E6" s="375" t="s">
        <v>3817</v>
      </c>
      <c r="I6" s="362" t="s">
        <v>171</v>
      </c>
      <c r="J6" s="362" t="s">
        <v>2331</v>
      </c>
      <c r="K6" s="363">
        <f>_xlfn.XLOOKUP(I6,'A0.LS'!E:E,'A0.LS'!L:L)</f>
        <v>-2689262212</v>
      </c>
    </row>
    <row r="7" spans="1:12" s="229" customFormat="1" ht="40.35" customHeight="1">
      <c r="A7" s="381" t="s">
        <v>1855</v>
      </c>
      <c r="B7" s="378"/>
      <c r="C7" s="378"/>
      <c r="D7" s="373"/>
      <c r="E7" s="380"/>
      <c r="I7" s="364" t="s">
        <v>173</v>
      </c>
      <c r="J7" s="364" t="s">
        <v>174</v>
      </c>
      <c r="K7" s="363">
        <f>_xlfn.XLOOKUP(I7,'A0.LS'!E:E,'A0.LS'!L:L)</f>
        <v>-137785027275</v>
      </c>
      <c r="L7" s="229" t="s">
        <v>681</v>
      </c>
    </row>
    <row r="8" spans="1:12" ht="30">
      <c r="A8" s="1581" t="s">
        <v>2604</v>
      </c>
      <c r="B8" s="1582">
        <f>'A4.N2FS Singles'!F30</f>
        <v>41786977835</v>
      </c>
      <c r="C8" s="1583" t="s">
        <v>3818</v>
      </c>
      <c r="D8" s="1582">
        <f>-'A0.LS'!L146</f>
        <v>0</v>
      </c>
      <c r="E8" s="1584">
        <f>B8-D8</f>
        <v>41786977835</v>
      </c>
      <c r="I8" s="362" t="s">
        <v>177</v>
      </c>
      <c r="J8" s="362" t="s">
        <v>178</v>
      </c>
      <c r="K8" s="363">
        <f>_xlfn.XLOOKUP(I8,'A0.LS'!E:E,'A0.LS'!L:L)</f>
        <v>-40864322043</v>
      </c>
      <c r="L8" t="s">
        <v>681</v>
      </c>
    </row>
    <row r="9" spans="1:12" ht="30">
      <c r="A9" s="1581" t="s">
        <v>3819</v>
      </c>
      <c r="B9" s="1585">
        <f>'A4.N2FS Singles'!F156</f>
        <v>2329343846</v>
      </c>
      <c r="C9" s="1583" t="s">
        <v>3820</v>
      </c>
      <c r="D9" s="1585">
        <f>-('A0.LS'!L136+'A0.LS'!L144)</f>
        <v>20207521647</v>
      </c>
      <c r="E9" s="1584">
        <f>B9-D9</f>
        <v>-17878177801</v>
      </c>
      <c r="I9" s="362" t="s">
        <v>179</v>
      </c>
      <c r="J9" s="362" t="s">
        <v>180</v>
      </c>
      <c r="K9" s="363">
        <f>_xlfn.XLOOKUP(I9,'A0.LS'!E:E,'A0.LS'!L:L)</f>
        <v>-29308809</v>
      </c>
    </row>
    <row r="10" spans="1:12">
      <c r="A10" s="1581" t="s">
        <v>3821</v>
      </c>
      <c r="B10" s="1585">
        <f>'A1.BS'!G11</f>
        <v>30000000000</v>
      </c>
      <c r="C10" s="1586"/>
      <c r="D10" s="1586"/>
      <c r="E10" s="1584">
        <f t="shared" ref="E10:E12" si="0">B10-D10</f>
        <v>30000000000</v>
      </c>
      <c r="I10" s="362" t="s">
        <v>185</v>
      </c>
      <c r="J10" s="362" t="s">
        <v>2338</v>
      </c>
      <c r="K10" s="363">
        <f>_xlfn.XLOOKUP(I10,'A0.LS'!E:E,'A0.LS'!L:L)</f>
        <v>-187636993</v>
      </c>
    </row>
    <row r="11" spans="1:12">
      <c r="A11" s="1581" t="s">
        <v>36</v>
      </c>
      <c r="B11" s="1585">
        <f>'A4.N2FS Singles'!F81</f>
        <v>115382191780</v>
      </c>
      <c r="C11" s="1586"/>
      <c r="D11" s="1586"/>
      <c r="E11" s="1584">
        <f t="shared" si="0"/>
        <v>115382191780</v>
      </c>
      <c r="I11" s="362" t="s">
        <v>187</v>
      </c>
      <c r="J11" s="362" t="s">
        <v>188</v>
      </c>
      <c r="K11" s="363">
        <f>_xlfn.XLOOKUP(I11,'A0.LS'!E:E,'A0.LS'!L:L)</f>
        <v>-2112466</v>
      </c>
      <c r="L11" t="s">
        <v>681</v>
      </c>
    </row>
    <row r="12" spans="1:12">
      <c r="A12" s="1581" t="s">
        <v>3822</v>
      </c>
      <c r="B12" s="1585">
        <f>'A4.N2FS Singles'!F139</f>
        <v>2084520548</v>
      </c>
      <c r="C12" s="1586"/>
      <c r="D12" s="1586"/>
      <c r="E12" s="1584">
        <f t="shared" si="0"/>
        <v>2084520548</v>
      </c>
      <c r="I12" s="362" t="s">
        <v>195</v>
      </c>
      <c r="J12" s="362" t="s">
        <v>196</v>
      </c>
      <c r="K12" s="363">
        <f>_xlfn.XLOOKUP(I12,'A0.LS'!E:E,'A0.LS'!L:L)</f>
        <v>0</v>
      </c>
      <c r="L12" t="s">
        <v>681</v>
      </c>
    </row>
    <row r="13" spans="1:12" ht="15.75" thickBot="1">
      <c r="A13" s="1587"/>
      <c r="B13" s="1626"/>
      <c r="C13" s="1627"/>
      <c r="D13" s="1627"/>
      <c r="E13" s="1607"/>
      <c r="I13" s="362" t="s">
        <v>169</v>
      </c>
      <c r="J13" s="362" t="s">
        <v>2348</v>
      </c>
      <c r="K13" s="363">
        <f>_xlfn.XLOOKUP(I13,'A0.LS'!E:E,'A0.LS'!L:L)</f>
        <v>-166664306</v>
      </c>
    </row>
    <row r="14" spans="1:12">
      <c r="A14" s="369" t="s">
        <v>3823</v>
      </c>
      <c r="B14" s="367"/>
      <c r="C14" s="382"/>
      <c r="D14" s="382"/>
      <c r="E14" s="384"/>
      <c r="I14" s="362" t="s">
        <v>175</v>
      </c>
      <c r="J14" s="362" t="s">
        <v>2351</v>
      </c>
      <c r="K14" s="363">
        <f>_xlfn.XLOOKUP(I14,'A0.LS'!E:E,'A0.LS'!L:L)</f>
        <v>-20205409181</v>
      </c>
      <c r="L14" t="s">
        <v>681</v>
      </c>
    </row>
    <row r="15" spans="1:12">
      <c r="A15" s="1588" t="s">
        <v>28</v>
      </c>
      <c r="B15" s="1585">
        <f>'A4.N2FS Singles'!G47</f>
        <v>40938769494</v>
      </c>
      <c r="C15" s="1589" t="s">
        <v>3824</v>
      </c>
      <c r="D15" s="1585">
        <f>'A4.N2FS Singles'!F359</f>
        <v>40893630852</v>
      </c>
      <c r="E15" s="1584">
        <f>B15-D15</f>
        <v>45138642</v>
      </c>
      <c r="G15" s="258"/>
      <c r="I15" s="362" t="s">
        <v>2354</v>
      </c>
      <c r="J15" s="362" t="s">
        <v>190</v>
      </c>
      <c r="K15" s="363">
        <f>_xlfn.XLOOKUP(I15,'A0.LS'!E:E,'A0.LS'!L:L)</f>
        <v>0</v>
      </c>
      <c r="L15" t="s">
        <v>681</v>
      </c>
    </row>
    <row r="16" spans="1:12">
      <c r="A16" s="1588" t="s">
        <v>2618</v>
      </c>
      <c r="B16" s="1585">
        <f>'A4.N2FS Singles'!G48</f>
        <v>249170323793</v>
      </c>
      <c r="C16" s="1589" t="s">
        <v>3825</v>
      </c>
      <c r="D16" s="1585">
        <f>'A4.N2FS Singles'!F358</f>
        <v>137785027275</v>
      </c>
      <c r="E16" s="1584">
        <f t="shared" ref="E16:E21" si="1">B16-D16</f>
        <v>111385296518</v>
      </c>
      <c r="G16" s="258"/>
      <c r="I16" s="362" t="s">
        <v>193</v>
      </c>
      <c r="J16" s="362" t="s">
        <v>194</v>
      </c>
      <c r="K16" s="363">
        <f>_xlfn.XLOOKUP(I16,'A0.LS'!E:E,'A0.LS'!L:L)</f>
        <v>-18486592972</v>
      </c>
      <c r="L16" t="s">
        <v>681</v>
      </c>
    </row>
    <row r="17" spans="1:12" ht="45">
      <c r="A17" s="1588" t="s">
        <v>1455</v>
      </c>
      <c r="B17" s="1585">
        <f>'A4.N2FS Singles'!F50</f>
        <v>191057534240</v>
      </c>
      <c r="C17" s="1583" t="s">
        <v>3826</v>
      </c>
      <c r="D17" s="1585">
        <f>-('A0.LS'!L154+'A0.LS'!L141+'A0.LS'!L147)</f>
        <v>1183905730942</v>
      </c>
      <c r="E17" s="1584">
        <f t="shared" si="1"/>
        <v>-992848196702</v>
      </c>
      <c r="I17" s="362" t="s">
        <v>191</v>
      </c>
      <c r="J17" s="362" t="s">
        <v>2355</v>
      </c>
      <c r="K17" s="363">
        <f>_xlfn.XLOOKUP(I17,'A0.LS'!E:E,'A0.LS'!L:L)</f>
        <v>-6777557141</v>
      </c>
    </row>
    <row r="18" spans="1:12" ht="45">
      <c r="A18" s="1588" t="s">
        <v>30</v>
      </c>
      <c r="B18" s="1585">
        <f>'A4.N2FS Singles'!F49</f>
        <v>720766853337</v>
      </c>
      <c r="C18" s="1590" t="s">
        <v>3827</v>
      </c>
      <c r="D18" s="1582">
        <f>-('A0.LS'!L153+'A0.LS'!L148+'A0.LS'!L142+'A0.LS'!L133+'A0.LS'!L130)</f>
        <v>9662792468</v>
      </c>
      <c r="E18" s="1584">
        <f t="shared" si="1"/>
        <v>711104060869</v>
      </c>
      <c r="I18" s="362" t="s">
        <v>181</v>
      </c>
      <c r="J18" s="362" t="s">
        <v>182</v>
      </c>
      <c r="K18" s="363">
        <f>_xlfn.XLOOKUP(I18,'A0.LS'!E:E,'A0.LS'!L:L)</f>
        <v>0</v>
      </c>
    </row>
    <row r="19" spans="1:12" s="229" customFormat="1">
      <c r="A19" s="1588" t="s">
        <v>3828</v>
      </c>
      <c r="B19" s="1582">
        <f>'A0.LS'!L52</f>
        <v>56549028</v>
      </c>
      <c r="C19" s="1591"/>
      <c r="D19" s="1591"/>
      <c r="E19" s="1584">
        <f t="shared" si="1"/>
        <v>56549028</v>
      </c>
      <c r="I19" s="364" t="s">
        <v>197</v>
      </c>
      <c r="J19" s="364" t="s">
        <v>198</v>
      </c>
      <c r="K19" s="363">
        <f>_xlfn.XLOOKUP(I19,'A0.LS'!E:E,'A0.LS'!L:L)</f>
        <v>-1165419137970</v>
      </c>
      <c r="L19" s="229" t="s">
        <v>681</v>
      </c>
    </row>
    <row r="20" spans="1:12" s="229" customFormat="1">
      <c r="A20" s="1588" t="s">
        <v>3829</v>
      </c>
      <c r="B20" s="1592"/>
      <c r="C20" s="1590"/>
      <c r="D20" s="1582"/>
      <c r="E20" s="1584">
        <f t="shared" si="1"/>
        <v>0</v>
      </c>
      <c r="I20" s="365"/>
      <c r="J20" s="365"/>
      <c r="K20" s="366"/>
    </row>
    <row r="21" spans="1:12">
      <c r="A21" s="1588" t="s">
        <v>3830</v>
      </c>
      <c r="B21" s="1592">
        <f>'A4.N2FS Singles'!L396</f>
        <v>50192284929</v>
      </c>
      <c r="C21" s="1586"/>
      <c r="D21" s="1586"/>
      <c r="E21" s="1584">
        <f t="shared" si="1"/>
        <v>50192284929</v>
      </c>
    </row>
    <row r="22" spans="1:12">
      <c r="A22" s="386"/>
      <c r="B22" s="387"/>
      <c r="C22" s="388"/>
      <c r="D22" s="388"/>
      <c r="E22" s="389"/>
    </row>
    <row r="23" spans="1:12">
      <c r="A23" s="386" t="s">
        <v>3831</v>
      </c>
      <c r="B23" s="387"/>
      <c r="C23" s="388"/>
      <c r="D23" s="388"/>
      <c r="E23" s="389"/>
    </row>
    <row r="24" spans="1:12" ht="15.75" thickBot="1">
      <c r="A24" s="386" t="s">
        <v>3832</v>
      </c>
      <c r="B24" s="387">
        <f>'A4.N2FS Singles'!F152</f>
        <v>0</v>
      </c>
      <c r="C24" s="388"/>
      <c r="D24" s="388"/>
      <c r="E24" s="389"/>
    </row>
    <row r="25" spans="1:12" ht="15.75" thickBot="1">
      <c r="A25" s="383" t="s">
        <v>1137</v>
      </c>
      <c r="B25" s="379">
        <f>SUM(B8:B24)</f>
        <v>1443765348830</v>
      </c>
      <c r="C25" s="372" t="s">
        <v>1137</v>
      </c>
      <c r="D25" s="379">
        <f>SUM(D8:D24)</f>
        <v>1392454703184</v>
      </c>
      <c r="E25" s="368">
        <f>B25-D25</f>
        <v>51310645646</v>
      </c>
    </row>
  </sheetData>
  <autoFilter ref="I5:L19" xr:uid="{FE2914A8-A637-4E9A-8EDB-DDB2C5B5CB42}"/>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B8BD2-15E1-401D-9D9A-F94AB59AB9CD}">
  <sheetPr codeName="Sheet33">
    <tabColor rgb="FF7030A0"/>
  </sheetPr>
  <dimension ref="A1:P185"/>
  <sheetViews>
    <sheetView zoomScaleNormal="100" workbookViewId="0">
      <pane xSplit="1" ySplit="3" topLeftCell="B25" activePane="bottomRight" state="frozen"/>
      <selection pane="topRight" activeCell="A39" sqref="A39"/>
      <selection pane="bottomLeft" activeCell="A39" sqref="A39"/>
      <selection pane="bottomRight" activeCell="A39" sqref="A39"/>
    </sheetView>
  </sheetViews>
  <sheetFormatPr defaultRowHeight="15"/>
  <cols>
    <col min="1" max="1" width="15.5703125" style="410" bestFit="1" customWidth="1"/>
    <col min="2" max="2" width="10.5703125" style="409" bestFit="1" customWidth="1"/>
    <col min="3" max="3" width="65.42578125" style="409" customWidth="1"/>
    <col min="4" max="5" width="23.5703125" style="409" customWidth="1"/>
    <col min="6" max="7" width="25.5703125" style="409" customWidth="1"/>
    <col min="8" max="8" width="41.42578125" style="409" bestFit="1" customWidth="1"/>
    <col min="9" max="9" width="23.5703125" style="409" bestFit="1" customWidth="1"/>
    <col min="10" max="10" width="24.42578125" style="409" bestFit="1" customWidth="1"/>
    <col min="11" max="11" width="16.42578125" style="409" bestFit="1" customWidth="1"/>
    <col min="12" max="12" width="18.5703125" style="409" bestFit="1" customWidth="1"/>
    <col min="13" max="13" width="15.140625" style="409" bestFit="1" customWidth="1"/>
    <col min="14" max="14" width="15.5703125" style="409" bestFit="1" customWidth="1"/>
    <col min="15" max="15" width="18.42578125" style="409" bestFit="1" customWidth="1"/>
    <col min="16" max="16" width="14.42578125" style="409" bestFit="1" customWidth="1"/>
    <col min="17" max="257" width="8.85546875" style="409"/>
    <col min="258" max="258" width="10.5703125" style="409" bestFit="1" customWidth="1"/>
    <col min="259" max="259" width="88.5703125" style="409" bestFit="1" customWidth="1"/>
    <col min="260" max="261" width="18.42578125" style="409" bestFit="1" customWidth="1"/>
    <col min="262" max="263" width="20" style="409" bestFit="1" customWidth="1"/>
    <col min="264" max="265" width="18.42578125" style="409" bestFit="1" customWidth="1"/>
    <col min="266" max="513" width="8.85546875" style="409"/>
    <col min="514" max="514" width="10.5703125" style="409" bestFit="1" customWidth="1"/>
    <col min="515" max="515" width="88.5703125" style="409" bestFit="1" customWidth="1"/>
    <col min="516" max="517" width="18.42578125" style="409" bestFit="1" customWidth="1"/>
    <col min="518" max="519" width="20" style="409" bestFit="1" customWidth="1"/>
    <col min="520" max="521" width="18.42578125" style="409" bestFit="1" customWidth="1"/>
    <col min="522" max="769" width="8.85546875" style="409"/>
    <col min="770" max="770" width="10.5703125" style="409" bestFit="1" customWidth="1"/>
    <col min="771" max="771" width="88.5703125" style="409" bestFit="1" customWidth="1"/>
    <col min="772" max="773" width="18.42578125" style="409" bestFit="1" customWidth="1"/>
    <col min="774" max="775" width="20" style="409" bestFit="1" customWidth="1"/>
    <col min="776" max="777" width="18.42578125" style="409" bestFit="1" customWidth="1"/>
    <col min="778" max="1025" width="8.85546875" style="409"/>
    <col min="1026" max="1026" width="10.5703125" style="409" bestFit="1" customWidth="1"/>
    <col min="1027" max="1027" width="88.5703125" style="409" bestFit="1" customWidth="1"/>
    <col min="1028" max="1029" width="18.42578125" style="409" bestFit="1" customWidth="1"/>
    <col min="1030" max="1031" width="20" style="409" bestFit="1" customWidth="1"/>
    <col min="1032" max="1033" width="18.42578125" style="409" bestFit="1" customWidth="1"/>
    <col min="1034" max="1281" width="8.85546875" style="409"/>
    <col min="1282" max="1282" width="10.5703125" style="409" bestFit="1" customWidth="1"/>
    <col min="1283" max="1283" width="88.5703125" style="409" bestFit="1" customWidth="1"/>
    <col min="1284" max="1285" width="18.42578125" style="409" bestFit="1" customWidth="1"/>
    <col min="1286" max="1287" width="20" style="409" bestFit="1" customWidth="1"/>
    <col min="1288" max="1289" width="18.42578125" style="409" bestFit="1" customWidth="1"/>
    <col min="1290" max="1537" width="8.85546875" style="409"/>
    <col min="1538" max="1538" width="10.5703125" style="409" bestFit="1" customWidth="1"/>
    <col min="1539" max="1539" width="88.5703125" style="409" bestFit="1" customWidth="1"/>
    <col min="1540" max="1541" width="18.42578125" style="409" bestFit="1" customWidth="1"/>
    <col min="1542" max="1543" width="20" style="409" bestFit="1" customWidth="1"/>
    <col min="1544" max="1545" width="18.42578125" style="409" bestFit="1" customWidth="1"/>
    <col min="1546" max="1793" width="8.85546875" style="409"/>
    <col min="1794" max="1794" width="10.5703125" style="409" bestFit="1" customWidth="1"/>
    <col min="1795" max="1795" width="88.5703125" style="409" bestFit="1" customWidth="1"/>
    <col min="1796" max="1797" width="18.42578125" style="409" bestFit="1" customWidth="1"/>
    <col min="1798" max="1799" width="20" style="409" bestFit="1" customWidth="1"/>
    <col min="1800" max="1801" width="18.42578125" style="409" bestFit="1" customWidth="1"/>
    <col min="1802" max="2049" width="8.85546875" style="409"/>
    <col min="2050" max="2050" width="10.5703125" style="409" bestFit="1" customWidth="1"/>
    <col min="2051" max="2051" width="88.5703125" style="409" bestFit="1" customWidth="1"/>
    <col min="2052" max="2053" width="18.42578125" style="409" bestFit="1" customWidth="1"/>
    <col min="2054" max="2055" width="20" style="409" bestFit="1" customWidth="1"/>
    <col min="2056" max="2057" width="18.42578125" style="409" bestFit="1" customWidth="1"/>
    <col min="2058" max="2305" width="8.85546875" style="409"/>
    <col min="2306" max="2306" width="10.5703125" style="409" bestFit="1" customWidth="1"/>
    <col min="2307" max="2307" width="88.5703125" style="409" bestFit="1" customWidth="1"/>
    <col min="2308" max="2309" width="18.42578125" style="409" bestFit="1" customWidth="1"/>
    <col min="2310" max="2311" width="20" style="409" bestFit="1" customWidth="1"/>
    <col min="2312" max="2313" width="18.42578125" style="409" bestFit="1" customWidth="1"/>
    <col min="2314" max="2561" width="8.85546875" style="409"/>
    <col min="2562" max="2562" width="10.5703125" style="409" bestFit="1" customWidth="1"/>
    <col min="2563" max="2563" width="88.5703125" style="409" bestFit="1" customWidth="1"/>
    <col min="2564" max="2565" width="18.42578125" style="409" bestFit="1" customWidth="1"/>
    <col min="2566" max="2567" width="20" style="409" bestFit="1" customWidth="1"/>
    <col min="2568" max="2569" width="18.42578125" style="409" bestFit="1" customWidth="1"/>
    <col min="2570" max="2817" width="8.85546875" style="409"/>
    <col min="2818" max="2818" width="10.5703125" style="409" bestFit="1" customWidth="1"/>
    <col min="2819" max="2819" width="88.5703125" style="409" bestFit="1" customWidth="1"/>
    <col min="2820" max="2821" width="18.42578125" style="409" bestFit="1" customWidth="1"/>
    <col min="2822" max="2823" width="20" style="409" bestFit="1" customWidth="1"/>
    <col min="2824" max="2825" width="18.42578125" style="409" bestFit="1" customWidth="1"/>
    <col min="2826" max="3073" width="8.85546875" style="409"/>
    <col min="3074" max="3074" width="10.5703125" style="409" bestFit="1" customWidth="1"/>
    <col min="3075" max="3075" width="88.5703125" style="409" bestFit="1" customWidth="1"/>
    <col min="3076" max="3077" width="18.42578125" style="409" bestFit="1" customWidth="1"/>
    <col min="3078" max="3079" width="20" style="409" bestFit="1" customWidth="1"/>
    <col min="3080" max="3081" width="18.42578125" style="409" bestFit="1" customWidth="1"/>
    <col min="3082" max="3329" width="8.85546875" style="409"/>
    <col min="3330" max="3330" width="10.5703125" style="409" bestFit="1" customWidth="1"/>
    <col min="3331" max="3331" width="88.5703125" style="409" bestFit="1" customWidth="1"/>
    <col min="3332" max="3333" width="18.42578125" style="409" bestFit="1" customWidth="1"/>
    <col min="3334" max="3335" width="20" style="409" bestFit="1" customWidth="1"/>
    <col min="3336" max="3337" width="18.42578125" style="409" bestFit="1" customWidth="1"/>
    <col min="3338" max="3585" width="8.85546875" style="409"/>
    <col min="3586" max="3586" width="10.5703125" style="409" bestFit="1" customWidth="1"/>
    <col min="3587" max="3587" width="88.5703125" style="409" bestFit="1" customWidth="1"/>
    <col min="3588" max="3589" width="18.42578125" style="409" bestFit="1" customWidth="1"/>
    <col min="3590" max="3591" width="20" style="409" bestFit="1" customWidth="1"/>
    <col min="3592" max="3593" width="18.42578125" style="409" bestFit="1" customWidth="1"/>
    <col min="3594" max="3841" width="8.85546875" style="409"/>
    <col min="3842" max="3842" width="10.5703125" style="409" bestFit="1" customWidth="1"/>
    <col min="3843" max="3843" width="88.5703125" style="409" bestFit="1" customWidth="1"/>
    <col min="3844" max="3845" width="18.42578125" style="409" bestFit="1" customWidth="1"/>
    <col min="3846" max="3847" width="20" style="409" bestFit="1" customWidth="1"/>
    <col min="3848" max="3849" width="18.42578125" style="409" bestFit="1" customWidth="1"/>
    <col min="3850" max="4097" width="8.85546875" style="409"/>
    <col min="4098" max="4098" width="10.5703125" style="409" bestFit="1" customWidth="1"/>
    <col min="4099" max="4099" width="88.5703125" style="409" bestFit="1" customWidth="1"/>
    <col min="4100" max="4101" width="18.42578125" style="409" bestFit="1" customWidth="1"/>
    <col min="4102" max="4103" width="20" style="409" bestFit="1" customWidth="1"/>
    <col min="4104" max="4105" width="18.42578125" style="409" bestFit="1" customWidth="1"/>
    <col min="4106" max="4353" width="8.85546875" style="409"/>
    <col min="4354" max="4354" width="10.5703125" style="409" bestFit="1" customWidth="1"/>
    <col min="4355" max="4355" width="88.5703125" style="409" bestFit="1" customWidth="1"/>
    <col min="4356" max="4357" width="18.42578125" style="409" bestFit="1" customWidth="1"/>
    <col min="4358" max="4359" width="20" style="409" bestFit="1" customWidth="1"/>
    <col min="4360" max="4361" width="18.42578125" style="409" bestFit="1" customWidth="1"/>
    <col min="4362" max="4609" width="8.85546875" style="409"/>
    <col min="4610" max="4610" width="10.5703125" style="409" bestFit="1" customWidth="1"/>
    <col min="4611" max="4611" width="88.5703125" style="409" bestFit="1" customWidth="1"/>
    <col min="4612" max="4613" width="18.42578125" style="409" bestFit="1" customWidth="1"/>
    <col min="4614" max="4615" width="20" style="409" bestFit="1" customWidth="1"/>
    <col min="4616" max="4617" width="18.42578125" style="409" bestFit="1" customWidth="1"/>
    <col min="4618" max="4865" width="8.85546875" style="409"/>
    <col min="4866" max="4866" width="10.5703125" style="409" bestFit="1" customWidth="1"/>
    <col min="4867" max="4867" width="88.5703125" style="409" bestFit="1" customWidth="1"/>
    <col min="4868" max="4869" width="18.42578125" style="409" bestFit="1" customWidth="1"/>
    <col min="4870" max="4871" width="20" style="409" bestFit="1" customWidth="1"/>
    <col min="4872" max="4873" width="18.42578125" style="409" bestFit="1" customWidth="1"/>
    <col min="4874" max="5121" width="8.85546875" style="409"/>
    <col min="5122" max="5122" width="10.5703125" style="409" bestFit="1" customWidth="1"/>
    <col min="5123" max="5123" width="88.5703125" style="409" bestFit="1" customWidth="1"/>
    <col min="5124" max="5125" width="18.42578125" style="409" bestFit="1" customWidth="1"/>
    <col min="5126" max="5127" width="20" style="409" bestFit="1" customWidth="1"/>
    <col min="5128" max="5129" width="18.42578125" style="409" bestFit="1" customWidth="1"/>
    <col min="5130" max="5377" width="8.85546875" style="409"/>
    <col min="5378" max="5378" width="10.5703125" style="409" bestFit="1" customWidth="1"/>
    <col min="5379" max="5379" width="88.5703125" style="409" bestFit="1" customWidth="1"/>
    <col min="5380" max="5381" width="18.42578125" style="409" bestFit="1" customWidth="1"/>
    <col min="5382" max="5383" width="20" style="409" bestFit="1" customWidth="1"/>
    <col min="5384" max="5385" width="18.42578125" style="409" bestFit="1" customWidth="1"/>
    <col min="5386" max="5633" width="8.85546875" style="409"/>
    <col min="5634" max="5634" width="10.5703125" style="409" bestFit="1" customWidth="1"/>
    <col min="5635" max="5635" width="88.5703125" style="409" bestFit="1" customWidth="1"/>
    <col min="5636" max="5637" width="18.42578125" style="409" bestFit="1" customWidth="1"/>
    <col min="5638" max="5639" width="20" style="409" bestFit="1" customWidth="1"/>
    <col min="5640" max="5641" width="18.42578125" style="409" bestFit="1" customWidth="1"/>
    <col min="5642" max="5889" width="8.85546875" style="409"/>
    <col min="5890" max="5890" width="10.5703125" style="409" bestFit="1" customWidth="1"/>
    <col min="5891" max="5891" width="88.5703125" style="409" bestFit="1" customWidth="1"/>
    <col min="5892" max="5893" width="18.42578125" style="409" bestFit="1" customWidth="1"/>
    <col min="5894" max="5895" width="20" style="409" bestFit="1" customWidth="1"/>
    <col min="5896" max="5897" width="18.42578125" style="409" bestFit="1" customWidth="1"/>
    <col min="5898" max="6145" width="8.85546875" style="409"/>
    <col min="6146" max="6146" width="10.5703125" style="409" bestFit="1" customWidth="1"/>
    <col min="6147" max="6147" width="88.5703125" style="409" bestFit="1" customWidth="1"/>
    <col min="6148" max="6149" width="18.42578125" style="409" bestFit="1" customWidth="1"/>
    <col min="6150" max="6151" width="20" style="409" bestFit="1" customWidth="1"/>
    <col min="6152" max="6153" width="18.42578125" style="409" bestFit="1" customWidth="1"/>
    <col min="6154" max="6401" width="8.85546875" style="409"/>
    <col min="6402" max="6402" width="10.5703125" style="409" bestFit="1" customWidth="1"/>
    <col min="6403" max="6403" width="88.5703125" style="409" bestFit="1" customWidth="1"/>
    <col min="6404" max="6405" width="18.42578125" style="409" bestFit="1" customWidth="1"/>
    <col min="6406" max="6407" width="20" style="409" bestFit="1" customWidth="1"/>
    <col min="6408" max="6409" width="18.42578125" style="409" bestFit="1" customWidth="1"/>
    <col min="6410" max="6657" width="8.85546875" style="409"/>
    <col min="6658" max="6658" width="10.5703125" style="409" bestFit="1" customWidth="1"/>
    <col min="6659" max="6659" width="88.5703125" style="409" bestFit="1" customWidth="1"/>
    <col min="6660" max="6661" width="18.42578125" style="409" bestFit="1" customWidth="1"/>
    <col min="6662" max="6663" width="20" style="409" bestFit="1" customWidth="1"/>
    <col min="6664" max="6665" width="18.42578125" style="409" bestFit="1" customWidth="1"/>
    <col min="6666" max="6913" width="8.85546875" style="409"/>
    <col min="6914" max="6914" width="10.5703125" style="409" bestFit="1" customWidth="1"/>
    <col min="6915" max="6915" width="88.5703125" style="409" bestFit="1" customWidth="1"/>
    <col min="6916" max="6917" width="18.42578125" style="409" bestFit="1" customWidth="1"/>
    <col min="6918" max="6919" width="20" style="409" bestFit="1" customWidth="1"/>
    <col min="6920" max="6921" width="18.42578125" style="409" bestFit="1" customWidth="1"/>
    <col min="6922" max="7169" width="8.85546875" style="409"/>
    <col min="7170" max="7170" width="10.5703125" style="409" bestFit="1" customWidth="1"/>
    <col min="7171" max="7171" width="88.5703125" style="409" bestFit="1" customWidth="1"/>
    <col min="7172" max="7173" width="18.42578125" style="409" bestFit="1" customWidth="1"/>
    <col min="7174" max="7175" width="20" style="409" bestFit="1" customWidth="1"/>
    <col min="7176" max="7177" width="18.42578125" style="409" bestFit="1" customWidth="1"/>
    <col min="7178" max="7425" width="8.85546875" style="409"/>
    <col min="7426" max="7426" width="10.5703125" style="409" bestFit="1" customWidth="1"/>
    <col min="7427" max="7427" width="88.5703125" style="409" bestFit="1" customWidth="1"/>
    <col min="7428" max="7429" width="18.42578125" style="409" bestFit="1" customWidth="1"/>
    <col min="7430" max="7431" width="20" style="409" bestFit="1" customWidth="1"/>
    <col min="7432" max="7433" width="18.42578125" style="409" bestFit="1" customWidth="1"/>
    <col min="7434" max="7681" width="8.85546875" style="409"/>
    <col min="7682" max="7682" width="10.5703125" style="409" bestFit="1" customWidth="1"/>
    <col min="7683" max="7683" width="88.5703125" style="409" bestFit="1" customWidth="1"/>
    <col min="7684" max="7685" width="18.42578125" style="409" bestFit="1" customWidth="1"/>
    <col min="7686" max="7687" width="20" style="409" bestFit="1" customWidth="1"/>
    <col min="7688" max="7689" width="18.42578125" style="409" bestFit="1" customWidth="1"/>
    <col min="7690" max="7937" width="8.85546875" style="409"/>
    <col min="7938" max="7938" width="10.5703125" style="409" bestFit="1" customWidth="1"/>
    <col min="7939" max="7939" width="88.5703125" style="409" bestFit="1" customWidth="1"/>
    <col min="7940" max="7941" width="18.42578125" style="409" bestFit="1" customWidth="1"/>
    <col min="7942" max="7943" width="20" style="409" bestFit="1" customWidth="1"/>
    <col min="7944" max="7945" width="18.42578125" style="409" bestFit="1" customWidth="1"/>
    <col min="7946" max="8193" width="8.85546875" style="409"/>
    <col min="8194" max="8194" width="10.5703125" style="409" bestFit="1" customWidth="1"/>
    <col min="8195" max="8195" width="88.5703125" style="409" bestFit="1" customWidth="1"/>
    <col min="8196" max="8197" width="18.42578125" style="409" bestFit="1" customWidth="1"/>
    <col min="8198" max="8199" width="20" style="409" bestFit="1" customWidth="1"/>
    <col min="8200" max="8201" width="18.42578125" style="409" bestFit="1" customWidth="1"/>
    <col min="8202" max="8449" width="8.85546875" style="409"/>
    <col min="8450" max="8450" width="10.5703125" style="409" bestFit="1" customWidth="1"/>
    <col min="8451" max="8451" width="88.5703125" style="409" bestFit="1" customWidth="1"/>
    <col min="8452" max="8453" width="18.42578125" style="409" bestFit="1" customWidth="1"/>
    <col min="8454" max="8455" width="20" style="409" bestFit="1" customWidth="1"/>
    <col min="8456" max="8457" width="18.42578125" style="409" bestFit="1" customWidth="1"/>
    <col min="8458" max="8705" width="8.85546875" style="409"/>
    <col min="8706" max="8706" width="10.5703125" style="409" bestFit="1" customWidth="1"/>
    <col min="8707" max="8707" width="88.5703125" style="409" bestFit="1" customWidth="1"/>
    <col min="8708" max="8709" width="18.42578125" style="409" bestFit="1" customWidth="1"/>
    <col min="8710" max="8711" width="20" style="409" bestFit="1" customWidth="1"/>
    <col min="8712" max="8713" width="18.42578125" style="409" bestFit="1" customWidth="1"/>
    <col min="8714" max="8961" width="8.85546875" style="409"/>
    <col min="8962" max="8962" width="10.5703125" style="409" bestFit="1" customWidth="1"/>
    <col min="8963" max="8963" width="88.5703125" style="409" bestFit="1" customWidth="1"/>
    <col min="8964" max="8965" width="18.42578125" style="409" bestFit="1" customWidth="1"/>
    <col min="8966" max="8967" width="20" style="409" bestFit="1" customWidth="1"/>
    <col min="8968" max="8969" width="18.42578125" style="409" bestFit="1" customWidth="1"/>
    <col min="8970" max="9217" width="8.85546875" style="409"/>
    <col min="9218" max="9218" width="10.5703125" style="409" bestFit="1" customWidth="1"/>
    <col min="9219" max="9219" width="88.5703125" style="409" bestFit="1" customWidth="1"/>
    <col min="9220" max="9221" width="18.42578125" style="409" bestFit="1" customWidth="1"/>
    <col min="9222" max="9223" width="20" style="409" bestFit="1" customWidth="1"/>
    <col min="9224" max="9225" width="18.42578125" style="409" bestFit="1" customWidth="1"/>
    <col min="9226" max="9473" width="8.85546875" style="409"/>
    <col min="9474" max="9474" width="10.5703125" style="409" bestFit="1" customWidth="1"/>
    <col min="9475" max="9475" width="88.5703125" style="409" bestFit="1" customWidth="1"/>
    <col min="9476" max="9477" width="18.42578125" style="409" bestFit="1" customWidth="1"/>
    <col min="9478" max="9479" width="20" style="409" bestFit="1" customWidth="1"/>
    <col min="9480" max="9481" width="18.42578125" style="409" bestFit="1" customWidth="1"/>
    <col min="9482" max="9729" width="8.85546875" style="409"/>
    <col min="9730" max="9730" width="10.5703125" style="409" bestFit="1" customWidth="1"/>
    <col min="9731" max="9731" width="88.5703125" style="409" bestFit="1" customWidth="1"/>
    <col min="9732" max="9733" width="18.42578125" style="409" bestFit="1" customWidth="1"/>
    <col min="9734" max="9735" width="20" style="409" bestFit="1" customWidth="1"/>
    <col min="9736" max="9737" width="18.42578125" style="409" bestFit="1" customWidth="1"/>
    <col min="9738" max="9985" width="8.85546875" style="409"/>
    <col min="9986" max="9986" width="10.5703125" style="409" bestFit="1" customWidth="1"/>
    <col min="9987" max="9987" width="88.5703125" style="409" bestFit="1" customWidth="1"/>
    <col min="9988" max="9989" width="18.42578125" style="409" bestFit="1" customWidth="1"/>
    <col min="9990" max="9991" width="20" style="409" bestFit="1" customWidth="1"/>
    <col min="9992" max="9993" width="18.42578125" style="409" bestFit="1" customWidth="1"/>
    <col min="9994" max="10241" width="8.85546875" style="409"/>
    <col min="10242" max="10242" width="10.5703125" style="409" bestFit="1" customWidth="1"/>
    <col min="10243" max="10243" width="88.5703125" style="409" bestFit="1" customWidth="1"/>
    <col min="10244" max="10245" width="18.42578125" style="409" bestFit="1" customWidth="1"/>
    <col min="10246" max="10247" width="20" style="409" bestFit="1" customWidth="1"/>
    <col min="10248" max="10249" width="18.42578125" style="409" bestFit="1" customWidth="1"/>
    <col min="10250" max="10497" width="8.85546875" style="409"/>
    <col min="10498" max="10498" width="10.5703125" style="409" bestFit="1" customWidth="1"/>
    <col min="10499" max="10499" width="88.5703125" style="409" bestFit="1" customWidth="1"/>
    <col min="10500" max="10501" width="18.42578125" style="409" bestFit="1" customWidth="1"/>
    <col min="10502" max="10503" width="20" style="409" bestFit="1" customWidth="1"/>
    <col min="10504" max="10505" width="18.42578125" style="409" bestFit="1" customWidth="1"/>
    <col min="10506" max="10753" width="8.85546875" style="409"/>
    <col min="10754" max="10754" width="10.5703125" style="409" bestFit="1" customWidth="1"/>
    <col min="10755" max="10755" width="88.5703125" style="409" bestFit="1" customWidth="1"/>
    <col min="10756" max="10757" width="18.42578125" style="409" bestFit="1" customWidth="1"/>
    <col min="10758" max="10759" width="20" style="409" bestFit="1" customWidth="1"/>
    <col min="10760" max="10761" width="18.42578125" style="409" bestFit="1" customWidth="1"/>
    <col min="10762" max="11009" width="8.85546875" style="409"/>
    <col min="11010" max="11010" width="10.5703125" style="409" bestFit="1" customWidth="1"/>
    <col min="11011" max="11011" width="88.5703125" style="409" bestFit="1" customWidth="1"/>
    <col min="11012" max="11013" width="18.42578125" style="409" bestFit="1" customWidth="1"/>
    <col min="11014" max="11015" width="20" style="409" bestFit="1" customWidth="1"/>
    <col min="11016" max="11017" width="18.42578125" style="409" bestFit="1" customWidth="1"/>
    <col min="11018" max="11265" width="8.85546875" style="409"/>
    <col min="11266" max="11266" width="10.5703125" style="409" bestFit="1" customWidth="1"/>
    <col min="11267" max="11267" width="88.5703125" style="409" bestFit="1" customWidth="1"/>
    <col min="11268" max="11269" width="18.42578125" style="409" bestFit="1" customWidth="1"/>
    <col min="11270" max="11271" width="20" style="409" bestFit="1" customWidth="1"/>
    <col min="11272" max="11273" width="18.42578125" style="409" bestFit="1" customWidth="1"/>
    <col min="11274" max="11521" width="8.85546875" style="409"/>
    <col min="11522" max="11522" width="10.5703125" style="409" bestFit="1" customWidth="1"/>
    <col min="11523" max="11523" width="88.5703125" style="409" bestFit="1" customWidth="1"/>
    <col min="11524" max="11525" width="18.42578125" style="409" bestFit="1" customWidth="1"/>
    <col min="11526" max="11527" width="20" style="409" bestFit="1" customWidth="1"/>
    <col min="11528" max="11529" width="18.42578125" style="409" bestFit="1" customWidth="1"/>
    <col min="11530" max="11777" width="8.85546875" style="409"/>
    <col min="11778" max="11778" width="10.5703125" style="409" bestFit="1" customWidth="1"/>
    <col min="11779" max="11779" width="88.5703125" style="409" bestFit="1" customWidth="1"/>
    <col min="11780" max="11781" width="18.42578125" style="409" bestFit="1" customWidth="1"/>
    <col min="11782" max="11783" width="20" style="409" bestFit="1" customWidth="1"/>
    <col min="11784" max="11785" width="18.42578125" style="409" bestFit="1" customWidth="1"/>
    <col min="11786" max="12033" width="8.85546875" style="409"/>
    <col min="12034" max="12034" width="10.5703125" style="409" bestFit="1" customWidth="1"/>
    <col min="12035" max="12035" width="88.5703125" style="409" bestFit="1" customWidth="1"/>
    <col min="12036" max="12037" width="18.42578125" style="409" bestFit="1" customWidth="1"/>
    <col min="12038" max="12039" width="20" style="409" bestFit="1" customWidth="1"/>
    <col min="12040" max="12041" width="18.42578125" style="409" bestFit="1" customWidth="1"/>
    <col min="12042" max="12289" width="8.85546875" style="409"/>
    <col min="12290" max="12290" width="10.5703125" style="409" bestFit="1" customWidth="1"/>
    <col min="12291" max="12291" width="88.5703125" style="409" bestFit="1" customWidth="1"/>
    <col min="12292" max="12293" width="18.42578125" style="409" bestFit="1" customWidth="1"/>
    <col min="12294" max="12295" width="20" style="409" bestFit="1" customWidth="1"/>
    <col min="12296" max="12297" width="18.42578125" style="409" bestFit="1" customWidth="1"/>
    <col min="12298" max="12545" width="8.85546875" style="409"/>
    <col min="12546" max="12546" width="10.5703125" style="409" bestFit="1" customWidth="1"/>
    <col min="12547" max="12547" width="88.5703125" style="409" bestFit="1" customWidth="1"/>
    <col min="12548" max="12549" width="18.42578125" style="409" bestFit="1" customWidth="1"/>
    <col min="12550" max="12551" width="20" style="409" bestFit="1" customWidth="1"/>
    <col min="12552" max="12553" width="18.42578125" style="409" bestFit="1" customWidth="1"/>
    <col min="12554" max="12801" width="8.85546875" style="409"/>
    <col min="12802" max="12802" width="10.5703125" style="409" bestFit="1" customWidth="1"/>
    <col min="12803" max="12803" width="88.5703125" style="409" bestFit="1" customWidth="1"/>
    <col min="12804" max="12805" width="18.42578125" style="409" bestFit="1" customWidth="1"/>
    <col min="12806" max="12807" width="20" style="409" bestFit="1" customWidth="1"/>
    <col min="12808" max="12809" width="18.42578125" style="409" bestFit="1" customWidth="1"/>
    <col min="12810" max="13057" width="8.85546875" style="409"/>
    <col min="13058" max="13058" width="10.5703125" style="409" bestFit="1" customWidth="1"/>
    <col min="13059" max="13059" width="88.5703125" style="409" bestFit="1" customWidth="1"/>
    <col min="13060" max="13061" width="18.42578125" style="409" bestFit="1" customWidth="1"/>
    <col min="13062" max="13063" width="20" style="409" bestFit="1" customWidth="1"/>
    <col min="13064" max="13065" width="18.42578125" style="409" bestFit="1" customWidth="1"/>
    <col min="13066" max="13313" width="8.85546875" style="409"/>
    <col min="13314" max="13314" width="10.5703125" style="409" bestFit="1" customWidth="1"/>
    <col min="13315" max="13315" width="88.5703125" style="409" bestFit="1" customWidth="1"/>
    <col min="13316" max="13317" width="18.42578125" style="409" bestFit="1" customWidth="1"/>
    <col min="13318" max="13319" width="20" style="409" bestFit="1" customWidth="1"/>
    <col min="13320" max="13321" width="18.42578125" style="409" bestFit="1" customWidth="1"/>
    <col min="13322" max="13569" width="8.85546875" style="409"/>
    <col min="13570" max="13570" width="10.5703125" style="409" bestFit="1" customWidth="1"/>
    <col min="13571" max="13571" width="88.5703125" style="409" bestFit="1" customWidth="1"/>
    <col min="13572" max="13573" width="18.42578125" style="409" bestFit="1" customWidth="1"/>
    <col min="13574" max="13575" width="20" style="409" bestFit="1" customWidth="1"/>
    <col min="13576" max="13577" width="18.42578125" style="409" bestFit="1" customWidth="1"/>
    <col min="13578" max="13825" width="8.85546875" style="409"/>
    <col min="13826" max="13826" width="10.5703125" style="409" bestFit="1" customWidth="1"/>
    <col min="13827" max="13827" width="88.5703125" style="409" bestFit="1" customWidth="1"/>
    <col min="13828" max="13829" width="18.42578125" style="409" bestFit="1" customWidth="1"/>
    <col min="13830" max="13831" width="20" style="409" bestFit="1" customWidth="1"/>
    <col min="13832" max="13833" width="18.42578125" style="409" bestFit="1" customWidth="1"/>
    <col min="13834" max="14081" width="8.85546875" style="409"/>
    <col min="14082" max="14082" width="10.5703125" style="409" bestFit="1" customWidth="1"/>
    <col min="14083" max="14083" width="88.5703125" style="409" bestFit="1" customWidth="1"/>
    <col min="14084" max="14085" width="18.42578125" style="409" bestFit="1" customWidth="1"/>
    <col min="14086" max="14087" width="20" style="409" bestFit="1" customWidth="1"/>
    <col min="14088" max="14089" width="18.42578125" style="409" bestFit="1" customWidth="1"/>
    <col min="14090" max="14337" width="8.85546875" style="409"/>
    <col min="14338" max="14338" width="10.5703125" style="409" bestFit="1" customWidth="1"/>
    <col min="14339" max="14339" width="88.5703125" style="409" bestFit="1" customWidth="1"/>
    <col min="14340" max="14341" width="18.42578125" style="409" bestFit="1" customWidth="1"/>
    <col min="14342" max="14343" width="20" style="409" bestFit="1" customWidth="1"/>
    <col min="14344" max="14345" width="18.42578125" style="409" bestFit="1" customWidth="1"/>
    <col min="14346" max="14593" width="8.85546875" style="409"/>
    <col min="14594" max="14594" width="10.5703125" style="409" bestFit="1" customWidth="1"/>
    <col min="14595" max="14595" width="88.5703125" style="409" bestFit="1" customWidth="1"/>
    <col min="14596" max="14597" width="18.42578125" style="409" bestFit="1" customWidth="1"/>
    <col min="14598" max="14599" width="20" style="409" bestFit="1" customWidth="1"/>
    <col min="14600" max="14601" width="18.42578125" style="409" bestFit="1" customWidth="1"/>
    <col min="14602" max="14849" width="8.85546875" style="409"/>
    <col min="14850" max="14850" width="10.5703125" style="409" bestFit="1" customWidth="1"/>
    <col min="14851" max="14851" width="88.5703125" style="409" bestFit="1" customWidth="1"/>
    <col min="14852" max="14853" width="18.42578125" style="409" bestFit="1" customWidth="1"/>
    <col min="14854" max="14855" width="20" style="409" bestFit="1" customWidth="1"/>
    <col min="14856" max="14857" width="18.42578125" style="409" bestFit="1" customWidth="1"/>
    <col min="14858" max="15105" width="8.85546875" style="409"/>
    <col min="15106" max="15106" width="10.5703125" style="409" bestFit="1" customWidth="1"/>
    <col min="15107" max="15107" width="88.5703125" style="409" bestFit="1" customWidth="1"/>
    <col min="15108" max="15109" width="18.42578125" style="409" bestFit="1" customWidth="1"/>
    <col min="15110" max="15111" width="20" style="409" bestFit="1" customWidth="1"/>
    <col min="15112" max="15113" width="18.42578125" style="409" bestFit="1" customWidth="1"/>
    <col min="15114" max="15361" width="8.85546875" style="409"/>
    <col min="15362" max="15362" width="10.5703125" style="409" bestFit="1" customWidth="1"/>
    <col min="15363" max="15363" width="88.5703125" style="409" bestFit="1" customWidth="1"/>
    <col min="15364" max="15365" width="18.42578125" style="409" bestFit="1" customWidth="1"/>
    <col min="15366" max="15367" width="20" style="409" bestFit="1" customWidth="1"/>
    <col min="15368" max="15369" width="18.42578125" style="409" bestFit="1" customWidth="1"/>
    <col min="15370" max="15617" width="8.85546875" style="409"/>
    <col min="15618" max="15618" width="10.5703125" style="409" bestFit="1" customWidth="1"/>
    <col min="15619" max="15619" width="88.5703125" style="409" bestFit="1" customWidth="1"/>
    <col min="15620" max="15621" width="18.42578125" style="409" bestFit="1" customWidth="1"/>
    <col min="15622" max="15623" width="20" style="409" bestFit="1" customWidth="1"/>
    <col min="15624" max="15625" width="18.42578125" style="409" bestFit="1" customWidth="1"/>
    <col min="15626" max="15873" width="8.85546875" style="409"/>
    <col min="15874" max="15874" width="10.5703125" style="409" bestFit="1" customWidth="1"/>
    <col min="15875" max="15875" width="88.5703125" style="409" bestFit="1" customWidth="1"/>
    <col min="15876" max="15877" width="18.42578125" style="409" bestFit="1" customWidth="1"/>
    <col min="15878" max="15879" width="20" style="409" bestFit="1" customWidth="1"/>
    <col min="15880" max="15881" width="18.42578125" style="409" bestFit="1" customWidth="1"/>
    <col min="15882" max="16129" width="8.85546875" style="409"/>
    <col min="16130" max="16130" width="10.5703125" style="409" bestFit="1" customWidth="1"/>
    <col min="16131" max="16131" width="88.5703125" style="409" bestFit="1" customWidth="1"/>
    <col min="16132" max="16133" width="18.42578125" style="409" bestFit="1" customWidth="1"/>
    <col min="16134" max="16135" width="20" style="409" bestFit="1" customWidth="1"/>
    <col min="16136" max="16137" width="18.42578125" style="409" bestFit="1" customWidth="1"/>
    <col min="16138" max="16384" width="8.85546875" style="409"/>
  </cols>
  <sheetData>
    <row r="1" spans="1:14">
      <c r="A1" s="407" t="s">
        <v>3833</v>
      </c>
      <c r="B1" s="408"/>
      <c r="C1" s="408"/>
      <c r="D1" s="408"/>
      <c r="E1" s="408"/>
      <c r="F1" s="408"/>
      <c r="G1" s="408"/>
      <c r="H1" s="408"/>
      <c r="I1" s="408"/>
    </row>
    <row r="2" spans="1:14">
      <c r="B2" s="411" t="s">
        <v>3834</v>
      </c>
      <c r="C2" s="408"/>
      <c r="D2" s="408"/>
      <c r="E2" s="408"/>
      <c r="F2" s="408"/>
      <c r="G2" s="408"/>
      <c r="H2" s="408"/>
      <c r="I2" s="408"/>
      <c r="K2" s="412">
        <f>SUBTOTAL(9,K4:K120)</f>
        <v>0</v>
      </c>
    </row>
    <row r="3" spans="1:14" ht="28.35" customHeight="1">
      <c r="A3" s="1593" t="s">
        <v>519</v>
      </c>
      <c r="B3" s="1593" t="s">
        <v>456</v>
      </c>
      <c r="C3" s="1593" t="s">
        <v>5</v>
      </c>
      <c r="D3" s="1593" t="s">
        <v>3835</v>
      </c>
      <c r="E3" s="1593" t="s">
        <v>3836</v>
      </c>
      <c r="F3" s="1593" t="s">
        <v>3837</v>
      </c>
      <c r="G3" s="1593" t="s">
        <v>3838</v>
      </c>
      <c r="H3" s="1593" t="s">
        <v>3839</v>
      </c>
      <c r="I3" s="1593" t="s">
        <v>3840</v>
      </c>
      <c r="J3" s="409" t="s">
        <v>3841</v>
      </c>
      <c r="K3" s="409" t="s">
        <v>2907</v>
      </c>
      <c r="L3" s="409" t="s">
        <v>3842</v>
      </c>
      <c r="N3" s="1593" t="s">
        <v>519</v>
      </c>
    </row>
    <row r="4" spans="1:14">
      <c r="A4" s="409"/>
      <c r="B4" s="1594"/>
      <c r="C4" s="1595" t="s">
        <v>628</v>
      </c>
      <c r="D4" s="1596">
        <v>405903074727.96997</v>
      </c>
      <c r="E4" s="1596">
        <v>405903074727.96997</v>
      </c>
      <c r="F4" s="1596">
        <v>2275640708927.0498</v>
      </c>
      <c r="G4" s="1596">
        <v>2275640708927.0498</v>
      </c>
      <c r="H4" s="1596">
        <v>561514691650.96997</v>
      </c>
      <c r="I4" s="1596">
        <v>561514691650.96997</v>
      </c>
      <c r="J4" s="413">
        <f>H4-I4</f>
        <v>0</v>
      </c>
      <c r="K4" s="412">
        <v>0</v>
      </c>
      <c r="L4" s="412">
        <f>J4+K4</f>
        <v>0</v>
      </c>
      <c r="N4" s="414">
        <v>1211</v>
      </c>
    </row>
    <row r="5" spans="1:14">
      <c r="A5" s="409"/>
      <c r="B5" s="415"/>
      <c r="C5" s="416" t="s">
        <v>624</v>
      </c>
      <c r="D5" s="417"/>
      <c r="E5" s="417"/>
      <c r="F5" s="417"/>
      <c r="G5" s="417"/>
      <c r="H5" s="417"/>
      <c r="I5" s="417"/>
      <c r="J5" s="413">
        <f t="shared" ref="J5:J68" si="0">H5-I5</f>
        <v>0</v>
      </c>
      <c r="K5" s="412">
        <v>0</v>
      </c>
      <c r="L5" s="412">
        <f t="shared" ref="L5:L68" si="1">J5+K5</f>
        <v>0</v>
      </c>
      <c r="N5" s="414">
        <v>1218</v>
      </c>
    </row>
    <row r="6" spans="1:14">
      <c r="A6" s="409" t="s">
        <v>15</v>
      </c>
      <c r="B6" s="416" t="s">
        <v>3843</v>
      </c>
      <c r="C6" s="416" t="s">
        <v>14</v>
      </c>
      <c r="D6" s="417"/>
      <c r="E6" s="417"/>
      <c r="F6" s="417">
        <v>276720182</v>
      </c>
      <c r="G6" s="417">
        <v>276720182</v>
      </c>
      <c r="H6" s="417"/>
      <c r="I6" s="417"/>
      <c r="J6" s="413">
        <f t="shared" si="0"/>
        <v>0</v>
      </c>
      <c r="K6" s="412">
        <v>0</v>
      </c>
      <c r="L6" s="412">
        <f t="shared" si="1"/>
        <v>0</v>
      </c>
      <c r="N6" s="418">
        <v>1212</v>
      </c>
    </row>
    <row r="7" spans="1:14">
      <c r="A7" s="409">
        <v>0</v>
      </c>
      <c r="B7" s="419" t="s">
        <v>3844</v>
      </c>
      <c r="C7" s="419" t="s">
        <v>3845</v>
      </c>
      <c r="D7" s="420"/>
      <c r="E7" s="420"/>
      <c r="F7" s="420">
        <v>276720182</v>
      </c>
      <c r="G7" s="420">
        <v>276720182</v>
      </c>
      <c r="H7" s="420"/>
      <c r="I7" s="420"/>
      <c r="J7" s="413">
        <f t="shared" si="0"/>
        <v>0</v>
      </c>
      <c r="K7" s="412">
        <v>0</v>
      </c>
      <c r="L7" s="412">
        <f t="shared" si="1"/>
        <v>0</v>
      </c>
      <c r="N7" s="414">
        <v>1561</v>
      </c>
    </row>
    <row r="8" spans="1:14">
      <c r="A8" s="409">
        <v>0</v>
      </c>
      <c r="B8" s="416" t="s">
        <v>3846</v>
      </c>
      <c r="C8" s="416" t="s">
        <v>1302</v>
      </c>
      <c r="D8" s="417">
        <v>66379533391</v>
      </c>
      <c r="E8" s="417"/>
      <c r="F8" s="417">
        <v>1181720251789</v>
      </c>
      <c r="G8" s="417">
        <v>1243878473393</v>
      </c>
      <c r="H8" s="417">
        <v>4221311787</v>
      </c>
      <c r="I8" s="417"/>
      <c r="J8" s="421">
        <f t="shared" si="0"/>
        <v>4221311787</v>
      </c>
      <c r="K8" s="412">
        <v>0</v>
      </c>
      <c r="L8" s="412">
        <f t="shared" si="1"/>
        <v>4221311787</v>
      </c>
      <c r="N8" s="418">
        <v>5154</v>
      </c>
    </row>
    <row r="9" spans="1:14">
      <c r="A9" s="409" t="s">
        <v>19</v>
      </c>
      <c r="B9" s="419" t="s">
        <v>19</v>
      </c>
      <c r="C9" s="419" t="s">
        <v>3847</v>
      </c>
      <c r="D9" s="420">
        <v>66377950917</v>
      </c>
      <c r="E9" s="420"/>
      <c r="F9" s="420">
        <v>1181720251789</v>
      </c>
      <c r="G9" s="420">
        <v>1243876890919</v>
      </c>
      <c r="H9" s="420">
        <v>4221311787</v>
      </c>
      <c r="I9" s="420"/>
      <c r="J9" s="413">
        <f t="shared" si="0"/>
        <v>4221311787</v>
      </c>
      <c r="K9" s="412">
        <v>0</v>
      </c>
      <c r="L9" s="412">
        <f t="shared" si="1"/>
        <v>4221311787</v>
      </c>
      <c r="N9" s="414">
        <v>6354</v>
      </c>
    </row>
    <row r="10" spans="1:14">
      <c r="A10" s="409">
        <v>0</v>
      </c>
      <c r="B10" s="419" t="s">
        <v>3848</v>
      </c>
      <c r="C10" s="419" t="s">
        <v>3849</v>
      </c>
      <c r="D10" s="420">
        <v>6456148</v>
      </c>
      <c r="E10" s="420"/>
      <c r="F10" s="420"/>
      <c r="G10" s="420"/>
      <c r="H10" s="420">
        <v>6456148</v>
      </c>
      <c r="I10" s="420"/>
      <c r="J10" s="413">
        <f t="shared" si="0"/>
        <v>6456148</v>
      </c>
      <c r="K10" s="412">
        <v>0</v>
      </c>
      <c r="L10" s="412">
        <f t="shared" si="1"/>
        <v>6456148</v>
      </c>
      <c r="N10" s="414">
        <v>6354.02</v>
      </c>
    </row>
    <row r="11" spans="1:14">
      <c r="A11" s="409">
        <v>0</v>
      </c>
      <c r="B11" s="419" t="s">
        <v>3850</v>
      </c>
      <c r="C11" s="419" t="s">
        <v>3851</v>
      </c>
      <c r="D11" s="420">
        <v>6456148</v>
      </c>
      <c r="E11" s="420"/>
      <c r="F11" s="420"/>
      <c r="G11" s="420"/>
      <c r="H11" s="420">
        <v>6456148</v>
      </c>
      <c r="I11" s="420"/>
      <c r="J11" s="413">
        <f t="shared" si="0"/>
        <v>6456148</v>
      </c>
      <c r="K11" s="412">
        <v>0</v>
      </c>
      <c r="L11" s="412">
        <f t="shared" si="1"/>
        <v>6456148</v>
      </c>
      <c r="N11" s="422" t="s">
        <v>1197</v>
      </c>
    </row>
    <row r="12" spans="1:14">
      <c r="A12" s="409">
        <v>0</v>
      </c>
      <c r="B12" s="419" t="s">
        <v>3852</v>
      </c>
      <c r="C12" s="419" t="s">
        <v>3853</v>
      </c>
      <c r="D12" s="420">
        <v>65416841925</v>
      </c>
      <c r="E12" s="420"/>
      <c r="F12" s="420">
        <v>66157273769</v>
      </c>
      <c r="G12" s="420">
        <v>131574115694</v>
      </c>
      <c r="H12" s="420"/>
      <c r="I12" s="420"/>
      <c r="J12" s="413">
        <f t="shared" si="0"/>
        <v>0</v>
      </c>
      <c r="K12" s="412">
        <v>0</v>
      </c>
      <c r="L12" s="412">
        <f t="shared" si="1"/>
        <v>0</v>
      </c>
      <c r="N12" s="422" t="s">
        <v>1209</v>
      </c>
    </row>
    <row r="13" spans="1:14">
      <c r="A13" s="409">
        <v>0</v>
      </c>
      <c r="B13" s="419" t="s">
        <v>3854</v>
      </c>
      <c r="C13" s="419" t="s">
        <v>3855</v>
      </c>
      <c r="D13" s="420">
        <v>318176917</v>
      </c>
      <c r="E13" s="420"/>
      <c r="F13" s="420">
        <v>1238196487</v>
      </c>
      <c r="G13" s="420">
        <v>1556373404</v>
      </c>
      <c r="H13" s="420"/>
      <c r="I13" s="420"/>
      <c r="J13" s="413">
        <f t="shared" si="0"/>
        <v>0</v>
      </c>
      <c r="K13" s="412">
        <v>0</v>
      </c>
      <c r="L13" s="412">
        <f t="shared" si="1"/>
        <v>0</v>
      </c>
      <c r="N13" s="414">
        <v>4211</v>
      </c>
    </row>
    <row r="14" spans="1:14">
      <c r="A14" s="409">
        <v>0</v>
      </c>
      <c r="B14" s="419" t="s">
        <v>3856</v>
      </c>
      <c r="C14" s="419" t="s">
        <v>3857</v>
      </c>
      <c r="D14" s="420">
        <v>64926022789</v>
      </c>
      <c r="E14" s="420"/>
      <c r="F14" s="420">
        <v>64916423322</v>
      </c>
      <c r="G14" s="420">
        <v>129842446111</v>
      </c>
      <c r="H14" s="420"/>
      <c r="I14" s="420"/>
      <c r="J14" s="413">
        <f t="shared" si="0"/>
        <v>0</v>
      </c>
      <c r="K14" s="412">
        <v>0</v>
      </c>
      <c r="L14" s="412">
        <f t="shared" si="1"/>
        <v>0</v>
      </c>
      <c r="N14" s="422" t="s">
        <v>249</v>
      </c>
    </row>
    <row r="15" spans="1:14">
      <c r="A15" s="409">
        <v>0</v>
      </c>
      <c r="B15" s="419" t="s">
        <v>3858</v>
      </c>
      <c r="C15" s="419" t="s">
        <v>3859</v>
      </c>
      <c r="D15" s="420">
        <v>172642219</v>
      </c>
      <c r="E15" s="420"/>
      <c r="F15" s="420">
        <v>2653960</v>
      </c>
      <c r="G15" s="420">
        <v>175296179</v>
      </c>
      <c r="H15" s="420"/>
      <c r="I15" s="420"/>
      <c r="J15" s="413">
        <f t="shared" si="0"/>
        <v>0</v>
      </c>
      <c r="K15" s="412">
        <v>0</v>
      </c>
      <c r="L15" s="412">
        <f t="shared" si="1"/>
        <v>0</v>
      </c>
      <c r="N15" s="422" t="s">
        <v>251</v>
      </c>
    </row>
    <row r="16" spans="1:14">
      <c r="A16" s="409">
        <v>0</v>
      </c>
      <c r="B16" s="419" t="s">
        <v>3860</v>
      </c>
      <c r="C16" s="419" t="s">
        <v>3861</v>
      </c>
      <c r="D16" s="420">
        <v>925829842</v>
      </c>
      <c r="E16" s="420"/>
      <c r="F16" s="420">
        <v>450641934498</v>
      </c>
      <c r="G16" s="420">
        <v>451537064975</v>
      </c>
      <c r="H16" s="420">
        <v>30699365</v>
      </c>
      <c r="I16" s="420"/>
      <c r="J16" s="413">
        <f t="shared" si="0"/>
        <v>30699365</v>
      </c>
      <c r="K16" s="412">
        <v>0</v>
      </c>
      <c r="L16" s="412">
        <f t="shared" si="1"/>
        <v>30699365</v>
      </c>
      <c r="N16" s="422" t="s">
        <v>3862</v>
      </c>
    </row>
    <row r="17" spans="1:14">
      <c r="A17" s="409">
        <v>0</v>
      </c>
      <c r="B17" s="419" t="s">
        <v>3863</v>
      </c>
      <c r="C17" s="419" t="s">
        <v>3864</v>
      </c>
      <c r="D17" s="420">
        <v>925829842</v>
      </c>
      <c r="E17" s="420"/>
      <c r="F17" s="420">
        <v>200018950108</v>
      </c>
      <c r="G17" s="420">
        <v>200944779950</v>
      </c>
      <c r="H17" s="420"/>
      <c r="I17" s="420"/>
      <c r="J17" s="413">
        <f t="shared" si="0"/>
        <v>0</v>
      </c>
      <c r="K17" s="412">
        <v>0</v>
      </c>
      <c r="L17" s="412">
        <f t="shared" si="1"/>
        <v>0</v>
      </c>
      <c r="N17" s="422" t="s">
        <v>3865</v>
      </c>
    </row>
    <row r="18" spans="1:14">
      <c r="A18" s="409">
        <v>0</v>
      </c>
      <c r="B18" s="419" t="s">
        <v>3866</v>
      </c>
      <c r="C18" s="419" t="s">
        <v>3867</v>
      </c>
      <c r="D18" s="420"/>
      <c r="E18" s="420"/>
      <c r="F18" s="420">
        <v>200000000000</v>
      </c>
      <c r="G18" s="420">
        <v>200000000000</v>
      </c>
      <c r="H18" s="420"/>
      <c r="I18" s="420"/>
      <c r="J18" s="413">
        <f t="shared" si="0"/>
        <v>0</v>
      </c>
      <c r="K18" s="412">
        <v>0</v>
      </c>
      <c r="L18" s="412">
        <f t="shared" si="1"/>
        <v>0</v>
      </c>
      <c r="N18" s="422" t="s">
        <v>247</v>
      </c>
    </row>
    <row r="19" spans="1:14">
      <c r="A19" s="409">
        <v>0</v>
      </c>
      <c r="B19" s="419" t="s">
        <v>3868</v>
      </c>
      <c r="C19" s="419" t="s">
        <v>3869</v>
      </c>
      <c r="D19" s="420"/>
      <c r="E19" s="420"/>
      <c r="F19" s="420">
        <v>50622984390</v>
      </c>
      <c r="G19" s="420">
        <v>50592285025</v>
      </c>
      <c r="H19" s="420">
        <v>30699365</v>
      </c>
      <c r="I19" s="420"/>
      <c r="J19" s="413">
        <f t="shared" si="0"/>
        <v>30699365</v>
      </c>
      <c r="K19" s="412">
        <v>0</v>
      </c>
      <c r="L19" s="412">
        <f t="shared" si="1"/>
        <v>30699365</v>
      </c>
      <c r="N19" s="422" t="s">
        <v>257</v>
      </c>
    </row>
    <row r="20" spans="1:14">
      <c r="A20" s="409">
        <v>0</v>
      </c>
      <c r="B20" s="419" t="s">
        <v>3870</v>
      </c>
      <c r="C20" s="419" t="s">
        <v>3871</v>
      </c>
      <c r="D20" s="420"/>
      <c r="E20" s="420"/>
      <c r="F20" s="420">
        <v>5000466</v>
      </c>
      <c r="G20" s="420"/>
      <c r="H20" s="420">
        <v>5000466</v>
      </c>
      <c r="I20" s="420"/>
      <c r="J20" s="413">
        <f t="shared" si="0"/>
        <v>5000466</v>
      </c>
      <c r="K20" s="412">
        <v>0</v>
      </c>
      <c r="L20" s="412">
        <f t="shared" si="1"/>
        <v>5000466</v>
      </c>
      <c r="N20" s="422" t="s">
        <v>259</v>
      </c>
    </row>
    <row r="21" spans="1:14">
      <c r="A21" s="409">
        <v>0</v>
      </c>
      <c r="B21" s="419" t="s">
        <v>3872</v>
      </c>
      <c r="C21" s="419" t="s">
        <v>3873</v>
      </c>
      <c r="D21" s="420"/>
      <c r="E21" s="420"/>
      <c r="F21" s="420">
        <v>654243487355</v>
      </c>
      <c r="G21" s="420">
        <v>650230504870</v>
      </c>
      <c r="H21" s="420">
        <v>4012982485</v>
      </c>
      <c r="I21" s="420"/>
      <c r="J21" s="413">
        <f t="shared" si="0"/>
        <v>4012982485</v>
      </c>
      <c r="K21" s="412">
        <v>0</v>
      </c>
      <c r="L21" s="412">
        <f t="shared" si="1"/>
        <v>4012982485</v>
      </c>
      <c r="N21" s="422" t="s">
        <v>255</v>
      </c>
    </row>
    <row r="22" spans="1:14">
      <c r="A22" s="409">
        <v>0</v>
      </c>
      <c r="B22" s="419" t="s">
        <v>3874</v>
      </c>
      <c r="C22" s="419" t="s">
        <v>3875</v>
      </c>
      <c r="D22" s="420"/>
      <c r="E22" s="420"/>
      <c r="F22" s="420">
        <v>3328882566</v>
      </c>
      <c r="G22" s="420">
        <v>3324414610</v>
      </c>
      <c r="H22" s="420">
        <v>4467956</v>
      </c>
      <c r="I22" s="420"/>
      <c r="J22" s="413">
        <f t="shared" si="0"/>
        <v>4467956</v>
      </c>
      <c r="K22" s="412">
        <v>0</v>
      </c>
      <c r="L22" s="412">
        <f t="shared" si="1"/>
        <v>4467956</v>
      </c>
      <c r="N22" s="422" t="s">
        <v>313</v>
      </c>
    </row>
    <row r="23" spans="1:14">
      <c r="A23" s="409">
        <v>0</v>
      </c>
      <c r="B23" s="419" t="s">
        <v>3876</v>
      </c>
      <c r="C23" s="419" t="s">
        <v>3877</v>
      </c>
      <c r="D23" s="420">
        <v>462794</v>
      </c>
      <c r="E23" s="420"/>
      <c r="F23" s="420">
        <v>3312368714</v>
      </c>
      <c r="G23" s="420">
        <v>3209685427</v>
      </c>
      <c r="H23" s="420">
        <v>103146081</v>
      </c>
      <c r="I23" s="420"/>
      <c r="J23" s="413">
        <f t="shared" si="0"/>
        <v>103146081</v>
      </c>
      <c r="K23" s="412">
        <v>0</v>
      </c>
      <c r="L23" s="412">
        <f t="shared" si="1"/>
        <v>103146081</v>
      </c>
      <c r="N23" s="422" t="s">
        <v>317</v>
      </c>
    </row>
    <row r="24" spans="1:14">
      <c r="A24" s="409">
        <v>0</v>
      </c>
      <c r="B24" s="419" t="s">
        <v>3878</v>
      </c>
      <c r="C24" s="419" t="s">
        <v>3879</v>
      </c>
      <c r="D24" s="420">
        <v>462794</v>
      </c>
      <c r="E24" s="420"/>
      <c r="F24" s="420">
        <v>3312368714</v>
      </c>
      <c r="G24" s="420">
        <v>3209685427</v>
      </c>
      <c r="H24" s="420">
        <v>103146081</v>
      </c>
      <c r="I24" s="420"/>
      <c r="J24" s="413">
        <f t="shared" si="0"/>
        <v>103146081</v>
      </c>
      <c r="K24" s="412">
        <v>0</v>
      </c>
      <c r="L24" s="412">
        <f t="shared" si="1"/>
        <v>103146081</v>
      </c>
      <c r="N24" s="422" t="s">
        <v>745</v>
      </c>
    </row>
    <row r="25" spans="1:14">
      <c r="A25" s="409">
        <v>0</v>
      </c>
      <c r="B25" s="419" t="s">
        <v>3880</v>
      </c>
      <c r="C25" s="419" t="s">
        <v>3881</v>
      </c>
      <c r="D25" s="420">
        <v>28360208</v>
      </c>
      <c r="E25" s="420"/>
      <c r="F25" s="420">
        <v>4031304421</v>
      </c>
      <c r="G25" s="420">
        <v>4001105343</v>
      </c>
      <c r="H25" s="420">
        <v>58559286</v>
      </c>
      <c r="I25" s="420"/>
      <c r="J25" s="413">
        <f t="shared" si="0"/>
        <v>58559286</v>
      </c>
      <c r="K25" s="412">
        <v>0</v>
      </c>
      <c r="L25" s="412">
        <f t="shared" si="1"/>
        <v>58559286</v>
      </c>
      <c r="N25" s="422" t="s">
        <v>35</v>
      </c>
    </row>
    <row r="26" spans="1:14">
      <c r="A26" s="409" t="s">
        <v>2194</v>
      </c>
      <c r="B26" s="419" t="s">
        <v>3882</v>
      </c>
      <c r="C26" s="419" t="s">
        <v>3883</v>
      </c>
      <c r="D26" s="420">
        <v>1582474</v>
      </c>
      <c r="E26" s="420"/>
      <c r="F26" s="420"/>
      <c r="G26" s="420">
        <v>1582474</v>
      </c>
      <c r="H26" s="420"/>
      <c r="I26" s="420"/>
      <c r="J26" s="421">
        <f t="shared" si="0"/>
        <v>0</v>
      </c>
      <c r="K26" s="412">
        <v>0</v>
      </c>
      <c r="L26" s="412">
        <f t="shared" si="1"/>
        <v>0</v>
      </c>
      <c r="N26" s="422" t="s">
        <v>3884</v>
      </c>
    </row>
    <row r="27" spans="1:14">
      <c r="A27" s="409">
        <v>0</v>
      </c>
      <c r="B27" s="419" t="s">
        <v>3885</v>
      </c>
      <c r="C27" s="419" t="s">
        <v>3886</v>
      </c>
      <c r="D27" s="420">
        <v>1582474</v>
      </c>
      <c r="E27" s="420"/>
      <c r="F27" s="420"/>
      <c r="G27" s="420">
        <v>1582474</v>
      </c>
      <c r="H27" s="420"/>
      <c r="I27" s="420"/>
      <c r="J27" s="413">
        <f t="shared" si="0"/>
        <v>0</v>
      </c>
      <c r="K27" s="412">
        <v>0</v>
      </c>
      <c r="L27" s="412">
        <f t="shared" si="1"/>
        <v>0</v>
      </c>
      <c r="N27" s="422" t="s">
        <v>58</v>
      </c>
    </row>
    <row r="28" spans="1:14">
      <c r="A28" s="409">
        <v>0</v>
      </c>
      <c r="B28" s="419" t="s">
        <v>3887</v>
      </c>
      <c r="C28" s="419" t="s">
        <v>3888</v>
      </c>
      <c r="D28" s="420"/>
      <c r="E28" s="420"/>
      <c r="F28" s="420"/>
      <c r="G28" s="420"/>
      <c r="H28" s="420"/>
      <c r="I28" s="420"/>
      <c r="J28" s="413">
        <f t="shared" si="0"/>
        <v>0</v>
      </c>
      <c r="K28" s="412">
        <v>0</v>
      </c>
      <c r="L28" s="412">
        <f t="shared" si="1"/>
        <v>0</v>
      </c>
      <c r="N28" s="422" t="s">
        <v>62</v>
      </c>
    </row>
    <row r="29" spans="1:14">
      <c r="A29" s="409" t="s">
        <v>1364</v>
      </c>
      <c r="B29" s="416" t="s">
        <v>3889</v>
      </c>
      <c r="C29" s="416" t="s">
        <v>1363</v>
      </c>
      <c r="D29" s="417">
        <v>186563767</v>
      </c>
      <c r="E29" s="417"/>
      <c r="F29" s="417">
        <v>430492</v>
      </c>
      <c r="G29" s="417"/>
      <c r="H29" s="417">
        <v>186994259</v>
      </c>
      <c r="I29" s="417"/>
      <c r="J29" s="413">
        <f t="shared" si="0"/>
        <v>186994259</v>
      </c>
      <c r="K29" s="412">
        <v>0</v>
      </c>
      <c r="L29" s="412">
        <f t="shared" si="1"/>
        <v>186994259</v>
      </c>
      <c r="N29" s="422" t="s">
        <v>1221</v>
      </c>
    </row>
    <row r="30" spans="1:14">
      <c r="A30" s="409">
        <v>0</v>
      </c>
      <c r="B30" s="419" t="s">
        <v>3890</v>
      </c>
      <c r="C30" s="419" t="s">
        <v>3891</v>
      </c>
      <c r="D30" s="420">
        <v>46374074</v>
      </c>
      <c r="E30" s="420"/>
      <c r="F30" s="420">
        <v>430492</v>
      </c>
      <c r="G30" s="420"/>
      <c r="H30" s="420">
        <v>46804566</v>
      </c>
      <c r="I30" s="420"/>
      <c r="J30" s="413">
        <f t="shared" si="0"/>
        <v>46804566</v>
      </c>
      <c r="K30" s="412">
        <v>0</v>
      </c>
      <c r="L30" s="412">
        <f t="shared" si="1"/>
        <v>46804566</v>
      </c>
    </row>
    <row r="31" spans="1:14">
      <c r="A31" s="409">
        <v>0</v>
      </c>
      <c r="B31" s="419" t="s">
        <v>3892</v>
      </c>
      <c r="C31" s="419" t="s">
        <v>3893</v>
      </c>
      <c r="D31" s="420">
        <v>140189693</v>
      </c>
      <c r="E31" s="420"/>
      <c r="F31" s="420"/>
      <c r="G31" s="420"/>
      <c r="H31" s="420">
        <v>140189693</v>
      </c>
      <c r="I31" s="420"/>
      <c r="J31" s="413">
        <f t="shared" si="0"/>
        <v>140189693</v>
      </c>
      <c r="K31" s="412">
        <v>0</v>
      </c>
      <c r="L31" s="412">
        <f t="shared" si="1"/>
        <v>140189693</v>
      </c>
    </row>
    <row r="32" spans="1:14">
      <c r="A32" s="409">
        <v>1218</v>
      </c>
      <c r="B32" s="416" t="s">
        <v>3894</v>
      </c>
      <c r="C32" s="416" t="s">
        <v>1431</v>
      </c>
      <c r="D32" s="417"/>
      <c r="E32" s="417"/>
      <c r="F32" s="417">
        <v>412432992273</v>
      </c>
      <c r="G32" s="417">
        <v>252944959385</v>
      </c>
      <c r="H32" s="417">
        <v>159488032888</v>
      </c>
      <c r="I32" s="417"/>
      <c r="J32" s="421">
        <f t="shared" si="0"/>
        <v>159488032888</v>
      </c>
      <c r="K32" s="412">
        <v>0</v>
      </c>
      <c r="L32" s="412">
        <f t="shared" si="1"/>
        <v>159488032888</v>
      </c>
    </row>
    <row r="33" spans="1:12">
      <c r="A33" s="409">
        <v>0</v>
      </c>
      <c r="B33" s="419" t="s">
        <v>3895</v>
      </c>
      <c r="C33" s="419" t="s">
        <v>640</v>
      </c>
      <c r="D33" s="420"/>
      <c r="E33" s="420"/>
      <c r="F33" s="420">
        <v>412432992273</v>
      </c>
      <c r="G33" s="420">
        <v>252944959385</v>
      </c>
      <c r="H33" s="420">
        <v>159488032888</v>
      </c>
      <c r="I33" s="420"/>
      <c r="J33" s="413">
        <f t="shared" si="0"/>
        <v>159488032888</v>
      </c>
      <c r="K33" s="412">
        <v>0</v>
      </c>
      <c r="L33" s="412">
        <f t="shared" si="1"/>
        <v>159488032888</v>
      </c>
    </row>
    <row r="34" spans="1:12">
      <c r="A34" s="409">
        <v>0</v>
      </c>
      <c r="B34" s="419" t="s">
        <v>3896</v>
      </c>
      <c r="C34" s="419" t="s">
        <v>3897</v>
      </c>
      <c r="D34" s="420"/>
      <c r="E34" s="420"/>
      <c r="F34" s="420">
        <v>412432992273</v>
      </c>
      <c r="G34" s="420">
        <v>252944959385</v>
      </c>
      <c r="H34" s="420">
        <v>159488032888</v>
      </c>
      <c r="I34" s="420"/>
      <c r="J34" s="413">
        <f t="shared" si="0"/>
        <v>159488032888</v>
      </c>
      <c r="K34" s="412">
        <v>0</v>
      </c>
      <c r="L34" s="412">
        <f t="shared" si="1"/>
        <v>159488032888</v>
      </c>
    </row>
    <row r="35" spans="1:12">
      <c r="A35" s="409">
        <v>0</v>
      </c>
      <c r="B35" s="419" t="s">
        <v>3898</v>
      </c>
      <c r="C35" s="419" t="s">
        <v>3899</v>
      </c>
      <c r="D35" s="420"/>
      <c r="E35" s="420"/>
      <c r="F35" s="420">
        <v>412432992273</v>
      </c>
      <c r="G35" s="420">
        <v>252944959385</v>
      </c>
      <c r="H35" s="420">
        <v>159488032888</v>
      </c>
      <c r="I35" s="420"/>
      <c r="J35" s="413">
        <f t="shared" si="0"/>
        <v>159488032888</v>
      </c>
      <c r="K35" s="412">
        <v>0</v>
      </c>
      <c r="L35" s="412">
        <f t="shared" si="1"/>
        <v>159488032888</v>
      </c>
    </row>
    <row r="36" spans="1:12">
      <c r="A36" s="409">
        <v>0</v>
      </c>
      <c r="B36" s="416" t="s">
        <v>3900</v>
      </c>
      <c r="C36" s="416" t="s">
        <v>3901</v>
      </c>
      <c r="D36" s="417">
        <v>4000000000</v>
      </c>
      <c r="E36" s="417"/>
      <c r="F36" s="417">
        <v>397030946203</v>
      </c>
      <c r="G36" s="417">
        <v>285030946203</v>
      </c>
      <c r="H36" s="417">
        <v>116000000000</v>
      </c>
      <c r="I36" s="417"/>
      <c r="J36" s="421">
        <f t="shared" si="0"/>
        <v>116000000000</v>
      </c>
      <c r="K36" s="412">
        <v>0</v>
      </c>
      <c r="L36" s="412">
        <f t="shared" si="1"/>
        <v>116000000000</v>
      </c>
    </row>
    <row r="37" spans="1:12">
      <c r="A37" s="409">
        <v>0</v>
      </c>
      <c r="B37" s="419" t="s">
        <v>3902</v>
      </c>
      <c r="C37" s="419" t="s">
        <v>3903</v>
      </c>
      <c r="D37" s="420">
        <v>4000000000</v>
      </c>
      <c r="E37" s="420"/>
      <c r="F37" s="420">
        <v>397030946203</v>
      </c>
      <c r="G37" s="420">
        <v>285030946203</v>
      </c>
      <c r="H37" s="420">
        <v>116000000000</v>
      </c>
      <c r="I37" s="420"/>
      <c r="J37" s="413">
        <f t="shared" si="0"/>
        <v>116000000000</v>
      </c>
      <c r="K37" s="412">
        <v>0</v>
      </c>
      <c r="L37" s="412">
        <f t="shared" si="1"/>
        <v>116000000000</v>
      </c>
    </row>
    <row r="38" spans="1:12">
      <c r="A38" s="409" t="s">
        <v>35</v>
      </c>
      <c r="B38" s="419" t="s">
        <v>3904</v>
      </c>
      <c r="C38" s="419" t="s">
        <v>3905</v>
      </c>
      <c r="D38" s="420"/>
      <c r="E38" s="420"/>
      <c r="F38" s="420">
        <v>281030946203</v>
      </c>
      <c r="G38" s="420">
        <v>281030946203</v>
      </c>
      <c r="H38" s="420"/>
      <c r="I38" s="420"/>
      <c r="J38" s="413">
        <f t="shared" si="0"/>
        <v>0</v>
      </c>
      <c r="K38" s="412">
        <v>0</v>
      </c>
      <c r="L38" s="412">
        <f t="shared" si="1"/>
        <v>0</v>
      </c>
    </row>
    <row r="39" spans="1:12">
      <c r="A39" s="453" t="s">
        <v>521</v>
      </c>
      <c r="B39" s="419" t="s">
        <v>3906</v>
      </c>
      <c r="C39" s="419" t="s">
        <v>3907</v>
      </c>
      <c r="D39" s="420"/>
      <c r="E39" s="420"/>
      <c r="F39" s="420">
        <v>116000000000</v>
      </c>
      <c r="G39" s="420"/>
      <c r="H39" s="420">
        <v>116000000000</v>
      </c>
      <c r="I39" s="420"/>
      <c r="J39" s="413">
        <f t="shared" si="0"/>
        <v>116000000000</v>
      </c>
      <c r="K39" s="412">
        <v>0</v>
      </c>
      <c r="L39" s="412">
        <f t="shared" si="1"/>
        <v>116000000000</v>
      </c>
    </row>
    <row r="40" spans="1:12">
      <c r="A40" s="409" t="s">
        <v>3884</v>
      </c>
      <c r="B40" s="419" t="s">
        <v>3908</v>
      </c>
      <c r="C40" s="419" t="s">
        <v>3909</v>
      </c>
      <c r="D40" s="420">
        <v>4000000000</v>
      </c>
      <c r="E40" s="420"/>
      <c r="F40" s="420"/>
      <c r="G40" s="420">
        <v>4000000000</v>
      </c>
      <c r="H40" s="420"/>
      <c r="I40" s="420"/>
      <c r="J40" s="413">
        <f t="shared" si="0"/>
        <v>0</v>
      </c>
      <c r="K40" s="412">
        <v>0</v>
      </c>
      <c r="L40" s="412">
        <f t="shared" si="1"/>
        <v>0</v>
      </c>
    </row>
    <row r="41" spans="1:12">
      <c r="A41" s="409" t="s">
        <v>1221</v>
      </c>
      <c r="B41" s="416" t="s">
        <v>3910</v>
      </c>
      <c r="C41" s="416" t="s">
        <v>1515</v>
      </c>
      <c r="D41" s="417">
        <v>689219693</v>
      </c>
      <c r="E41" s="417">
        <v>659411477</v>
      </c>
      <c r="F41" s="417">
        <v>3289471689</v>
      </c>
      <c r="G41" s="417">
        <v>1743635648</v>
      </c>
      <c r="H41" s="417">
        <v>2235055734</v>
      </c>
      <c r="I41" s="417">
        <v>659411477</v>
      </c>
      <c r="J41" s="421">
        <f t="shared" si="0"/>
        <v>1575644257</v>
      </c>
      <c r="K41" s="412">
        <v>0</v>
      </c>
      <c r="L41" s="412">
        <f t="shared" si="1"/>
        <v>1575644257</v>
      </c>
    </row>
    <row r="42" spans="1:12">
      <c r="A42" s="409">
        <v>0</v>
      </c>
      <c r="B42" s="419" t="s">
        <v>3911</v>
      </c>
      <c r="C42" s="419" t="s">
        <v>3912</v>
      </c>
      <c r="D42" s="420">
        <v>689219693</v>
      </c>
      <c r="E42" s="420">
        <v>659411477</v>
      </c>
      <c r="F42" s="420">
        <v>3289471689</v>
      </c>
      <c r="G42" s="420">
        <v>1743635648</v>
      </c>
      <c r="H42" s="420">
        <v>2235055734</v>
      </c>
      <c r="I42" s="420">
        <v>659411477</v>
      </c>
      <c r="J42" s="413">
        <f t="shared" si="0"/>
        <v>1575644257</v>
      </c>
      <c r="K42" s="412">
        <v>0</v>
      </c>
      <c r="L42" s="412">
        <f t="shared" si="1"/>
        <v>1575644257</v>
      </c>
    </row>
    <row r="43" spans="1:12">
      <c r="A43" s="409">
        <v>0</v>
      </c>
      <c r="B43" s="419" t="s">
        <v>3913</v>
      </c>
      <c r="C43" s="419" t="s">
        <v>3914</v>
      </c>
      <c r="D43" s="420">
        <v>659411477</v>
      </c>
      <c r="E43" s="420">
        <v>659411477</v>
      </c>
      <c r="F43" s="420"/>
      <c r="G43" s="420"/>
      <c r="H43" s="420">
        <v>659411477</v>
      </c>
      <c r="I43" s="420">
        <v>659411477</v>
      </c>
      <c r="J43" s="413">
        <f t="shared" si="0"/>
        <v>0</v>
      </c>
      <c r="K43" s="412">
        <v>0</v>
      </c>
      <c r="L43" s="412">
        <f t="shared" si="1"/>
        <v>0</v>
      </c>
    </row>
    <row r="44" spans="1:12">
      <c r="A44" s="409">
        <v>0</v>
      </c>
      <c r="B44" s="419" t="s">
        <v>3915</v>
      </c>
      <c r="C44" s="419" t="s">
        <v>3916</v>
      </c>
      <c r="D44" s="420">
        <v>659411477</v>
      </c>
      <c r="E44" s="420">
        <v>659411477</v>
      </c>
      <c r="F44" s="420"/>
      <c r="G44" s="420"/>
      <c r="H44" s="420">
        <v>659411477</v>
      </c>
      <c r="I44" s="420">
        <v>659411477</v>
      </c>
      <c r="J44" s="413">
        <f t="shared" si="0"/>
        <v>0</v>
      </c>
      <c r="K44" s="412">
        <v>0</v>
      </c>
      <c r="L44" s="412">
        <f t="shared" si="1"/>
        <v>0</v>
      </c>
    </row>
    <row r="45" spans="1:12">
      <c r="A45" s="409">
        <v>0</v>
      </c>
      <c r="B45" s="419" t="s">
        <v>3917</v>
      </c>
      <c r="C45" s="419" t="s">
        <v>3918</v>
      </c>
      <c r="D45" s="420"/>
      <c r="E45" s="420"/>
      <c r="F45" s="420">
        <v>2529110075</v>
      </c>
      <c r="G45" s="420">
        <v>953465818</v>
      </c>
      <c r="H45" s="420">
        <v>1575644257</v>
      </c>
      <c r="I45" s="420"/>
      <c r="J45" s="413">
        <f t="shared" si="0"/>
        <v>1575644257</v>
      </c>
      <c r="K45" s="412">
        <v>0</v>
      </c>
      <c r="L45" s="412">
        <f t="shared" si="1"/>
        <v>1575644257</v>
      </c>
    </row>
    <row r="46" spans="1:12">
      <c r="A46" s="409">
        <v>0</v>
      </c>
      <c r="B46" s="419" t="s">
        <v>3919</v>
      </c>
      <c r="C46" s="419" t="s">
        <v>3920</v>
      </c>
      <c r="D46" s="420"/>
      <c r="E46" s="420"/>
      <c r="F46" s="420">
        <v>38074135</v>
      </c>
      <c r="G46" s="420"/>
      <c r="H46" s="420">
        <v>38074135</v>
      </c>
      <c r="I46" s="420"/>
      <c r="J46" s="413">
        <f t="shared" si="0"/>
        <v>38074135</v>
      </c>
      <c r="K46" s="412">
        <v>0</v>
      </c>
      <c r="L46" s="412">
        <f t="shared" si="1"/>
        <v>38074135</v>
      </c>
    </row>
    <row r="47" spans="1:12">
      <c r="A47" s="409">
        <v>0</v>
      </c>
      <c r="B47" s="419" t="s">
        <v>3921</v>
      </c>
      <c r="C47" s="419" t="s">
        <v>3922</v>
      </c>
      <c r="D47" s="420"/>
      <c r="E47" s="420"/>
      <c r="F47" s="420">
        <v>452712329</v>
      </c>
      <c r="G47" s="420"/>
      <c r="H47" s="420">
        <v>452712329</v>
      </c>
      <c r="I47" s="420"/>
      <c r="J47" s="413">
        <f t="shared" si="0"/>
        <v>452712329</v>
      </c>
      <c r="K47" s="412">
        <v>0</v>
      </c>
      <c r="L47" s="412">
        <f t="shared" si="1"/>
        <v>452712329</v>
      </c>
    </row>
    <row r="48" spans="1:12">
      <c r="A48" s="409">
        <v>0</v>
      </c>
      <c r="B48" s="419" t="s">
        <v>3923</v>
      </c>
      <c r="C48" s="419" t="s">
        <v>3924</v>
      </c>
      <c r="D48" s="420"/>
      <c r="E48" s="420"/>
      <c r="F48" s="420">
        <v>2038323611</v>
      </c>
      <c r="G48" s="420">
        <v>953465818</v>
      </c>
      <c r="H48" s="420">
        <v>1084857793</v>
      </c>
      <c r="I48" s="420"/>
      <c r="J48" s="413">
        <f t="shared" si="0"/>
        <v>1084857793</v>
      </c>
      <c r="K48" s="412">
        <v>0</v>
      </c>
      <c r="L48" s="412">
        <f t="shared" si="1"/>
        <v>1084857793</v>
      </c>
    </row>
    <row r="49" spans="1:12">
      <c r="A49" s="409">
        <v>0</v>
      </c>
      <c r="B49" s="419" t="s">
        <v>3925</v>
      </c>
      <c r="C49" s="419" t="s">
        <v>3926</v>
      </c>
      <c r="D49" s="420">
        <v>29808216</v>
      </c>
      <c r="E49" s="420"/>
      <c r="F49" s="420">
        <v>760361614</v>
      </c>
      <c r="G49" s="420">
        <v>790169830</v>
      </c>
      <c r="H49" s="420"/>
      <c r="I49" s="420"/>
      <c r="J49" s="413">
        <f t="shared" si="0"/>
        <v>0</v>
      </c>
      <c r="K49" s="412">
        <v>0</v>
      </c>
      <c r="L49" s="412">
        <f t="shared" si="1"/>
        <v>0</v>
      </c>
    </row>
    <row r="50" spans="1:12">
      <c r="A50" s="409">
        <v>0</v>
      </c>
      <c r="B50" s="419" t="s">
        <v>3927</v>
      </c>
      <c r="C50" s="419" t="s">
        <v>3922</v>
      </c>
      <c r="D50" s="420">
        <v>29808216</v>
      </c>
      <c r="E50" s="420"/>
      <c r="F50" s="420">
        <v>760361614</v>
      </c>
      <c r="G50" s="420">
        <v>790169830</v>
      </c>
      <c r="H50" s="420"/>
      <c r="I50" s="420"/>
      <c r="J50" s="413">
        <f t="shared" si="0"/>
        <v>0</v>
      </c>
      <c r="K50" s="412">
        <v>0</v>
      </c>
      <c r="L50" s="412">
        <f t="shared" si="1"/>
        <v>0</v>
      </c>
    </row>
    <row r="51" spans="1:12">
      <c r="A51" s="409">
        <v>0</v>
      </c>
      <c r="B51" s="416" t="s">
        <v>3928</v>
      </c>
      <c r="C51" s="416" t="s">
        <v>50</v>
      </c>
      <c r="D51" s="417">
        <v>667162967.04999995</v>
      </c>
      <c r="E51" s="417"/>
      <c r="F51" s="417">
        <v>245868003</v>
      </c>
      <c r="G51" s="417">
        <v>913030970.04999995</v>
      </c>
      <c r="H51" s="417"/>
      <c r="I51" s="417"/>
      <c r="J51" s="413">
        <f t="shared" si="0"/>
        <v>0</v>
      </c>
      <c r="K51" s="412">
        <v>0</v>
      </c>
      <c r="L51" s="412">
        <f t="shared" si="1"/>
        <v>0</v>
      </c>
    </row>
    <row r="52" spans="1:12">
      <c r="A52" s="409" t="s">
        <v>51</v>
      </c>
      <c r="B52" s="419" t="s">
        <v>51</v>
      </c>
      <c r="C52" s="419" t="s">
        <v>3929</v>
      </c>
      <c r="D52" s="420">
        <v>667162967.04999995</v>
      </c>
      <c r="E52" s="420"/>
      <c r="F52" s="420">
        <v>245868003</v>
      </c>
      <c r="G52" s="420">
        <v>913030970.04999995</v>
      </c>
      <c r="H52" s="420"/>
      <c r="I52" s="420"/>
      <c r="J52" s="413">
        <f t="shared" si="0"/>
        <v>0</v>
      </c>
      <c r="K52" s="412">
        <v>0</v>
      </c>
      <c r="L52" s="412">
        <f t="shared" si="1"/>
        <v>0</v>
      </c>
    </row>
    <row r="53" spans="1:12">
      <c r="A53" s="409" t="s">
        <v>1266</v>
      </c>
      <c r="B53" s="416" t="s">
        <v>3930</v>
      </c>
      <c r="C53" s="416" t="s">
        <v>1558</v>
      </c>
      <c r="D53" s="417"/>
      <c r="E53" s="417"/>
      <c r="F53" s="417">
        <v>10678648775</v>
      </c>
      <c r="G53" s="417">
        <v>5483216826</v>
      </c>
      <c r="H53" s="417">
        <v>5195431949</v>
      </c>
      <c r="I53" s="417"/>
      <c r="J53" s="421">
        <f t="shared" si="0"/>
        <v>5195431949</v>
      </c>
      <c r="K53" s="412">
        <v>0</v>
      </c>
      <c r="L53" s="412">
        <f t="shared" si="1"/>
        <v>5195431949</v>
      </c>
    </row>
    <row r="54" spans="1:12">
      <c r="A54" s="409">
        <v>0</v>
      </c>
      <c r="B54" s="419" t="s">
        <v>3931</v>
      </c>
      <c r="C54" s="419" t="s">
        <v>3932</v>
      </c>
      <c r="D54" s="420"/>
      <c r="E54" s="420"/>
      <c r="F54" s="420">
        <v>7978648775</v>
      </c>
      <c r="G54" s="420">
        <v>3683216826</v>
      </c>
      <c r="H54" s="420">
        <v>4295431949</v>
      </c>
      <c r="I54" s="420"/>
      <c r="J54" s="413">
        <f t="shared" si="0"/>
        <v>4295431949</v>
      </c>
      <c r="K54" s="412">
        <v>0</v>
      </c>
      <c r="L54" s="412">
        <f t="shared" si="1"/>
        <v>4295431949</v>
      </c>
    </row>
    <row r="55" spans="1:12">
      <c r="A55" s="409">
        <v>0</v>
      </c>
      <c r="B55" s="419" t="s">
        <v>3933</v>
      </c>
      <c r="C55" s="419" t="s">
        <v>3934</v>
      </c>
      <c r="D55" s="420"/>
      <c r="E55" s="420"/>
      <c r="F55" s="420">
        <v>2700000000</v>
      </c>
      <c r="G55" s="420">
        <v>1800000000</v>
      </c>
      <c r="H55" s="420">
        <v>900000000</v>
      </c>
      <c r="I55" s="420"/>
      <c r="J55" s="413">
        <f t="shared" si="0"/>
        <v>900000000</v>
      </c>
      <c r="K55" s="412">
        <v>0</v>
      </c>
      <c r="L55" s="412">
        <f t="shared" si="1"/>
        <v>900000000</v>
      </c>
    </row>
    <row r="56" spans="1:12">
      <c r="A56" s="409">
        <v>0</v>
      </c>
      <c r="B56" s="419" t="s">
        <v>3935</v>
      </c>
      <c r="C56" s="419" t="s">
        <v>3936</v>
      </c>
      <c r="D56" s="420"/>
      <c r="E56" s="420"/>
      <c r="F56" s="420">
        <v>2700000000</v>
      </c>
      <c r="G56" s="420">
        <v>1800000000</v>
      </c>
      <c r="H56" s="420">
        <v>900000000</v>
      </c>
      <c r="I56" s="420"/>
      <c r="J56" s="413">
        <f t="shared" si="0"/>
        <v>900000000</v>
      </c>
      <c r="K56" s="412">
        <v>0</v>
      </c>
      <c r="L56" s="412">
        <f t="shared" si="1"/>
        <v>900000000</v>
      </c>
    </row>
    <row r="57" spans="1:12">
      <c r="A57" s="409">
        <v>0</v>
      </c>
      <c r="B57" s="416" t="s">
        <v>3937</v>
      </c>
      <c r="C57" s="416" t="s">
        <v>56</v>
      </c>
      <c r="D57" s="417">
        <v>64932226420</v>
      </c>
      <c r="E57" s="417">
        <v>10705162</v>
      </c>
      <c r="F57" s="417">
        <v>51389708617</v>
      </c>
      <c r="G57" s="417">
        <v>116311229875</v>
      </c>
      <c r="H57" s="417"/>
      <c r="I57" s="417"/>
      <c r="J57" s="413">
        <f t="shared" si="0"/>
        <v>0</v>
      </c>
      <c r="K57" s="412">
        <v>0</v>
      </c>
      <c r="L57" s="412">
        <f t="shared" si="1"/>
        <v>0</v>
      </c>
    </row>
    <row r="58" spans="1:12">
      <c r="A58" s="409" t="s">
        <v>62</v>
      </c>
      <c r="B58" s="419" t="s">
        <v>57</v>
      </c>
      <c r="C58" s="419" t="s">
        <v>3938</v>
      </c>
      <c r="D58" s="420">
        <v>64932226420</v>
      </c>
      <c r="E58" s="420">
        <v>10705162</v>
      </c>
      <c r="F58" s="420">
        <v>51389708617</v>
      </c>
      <c r="G58" s="420">
        <v>116311229875</v>
      </c>
      <c r="H58" s="420"/>
      <c r="I58" s="420"/>
      <c r="J58" s="421">
        <f t="shared" si="0"/>
        <v>0</v>
      </c>
      <c r="K58" s="412">
        <v>0</v>
      </c>
      <c r="L58" s="412">
        <f t="shared" si="1"/>
        <v>0</v>
      </c>
    </row>
    <row r="59" spans="1:12">
      <c r="A59" s="409">
        <v>0</v>
      </c>
      <c r="B59" s="416" t="s">
        <v>3939</v>
      </c>
      <c r="C59" s="416" t="s">
        <v>3940</v>
      </c>
      <c r="D59" s="417"/>
      <c r="E59" s="417">
        <v>20529540</v>
      </c>
      <c r="F59" s="417">
        <v>20529540</v>
      </c>
      <c r="G59" s="417"/>
      <c r="H59" s="417"/>
      <c r="I59" s="417"/>
      <c r="J59" s="413">
        <f t="shared" si="0"/>
        <v>0</v>
      </c>
      <c r="K59" s="412">
        <v>0</v>
      </c>
      <c r="L59" s="412">
        <f t="shared" si="1"/>
        <v>0</v>
      </c>
    </row>
    <row r="60" spans="1:12">
      <c r="A60" s="409" t="s">
        <v>2258</v>
      </c>
      <c r="B60" s="419" t="s">
        <v>2258</v>
      </c>
      <c r="C60" s="419" t="s">
        <v>2259</v>
      </c>
      <c r="D60" s="420"/>
      <c r="E60" s="420">
        <v>20529540</v>
      </c>
      <c r="F60" s="420">
        <v>20529540</v>
      </c>
      <c r="G60" s="420"/>
      <c r="H60" s="420"/>
      <c r="I60" s="420"/>
      <c r="J60" s="413">
        <f t="shared" si="0"/>
        <v>0</v>
      </c>
      <c r="K60" s="412">
        <v>0</v>
      </c>
      <c r="L60" s="412">
        <f t="shared" si="1"/>
        <v>0</v>
      </c>
    </row>
    <row r="61" spans="1:12">
      <c r="A61" s="409" t="s">
        <v>69</v>
      </c>
      <c r="B61" s="416" t="s">
        <v>69</v>
      </c>
      <c r="C61" s="416" t="s">
        <v>70</v>
      </c>
      <c r="D61" s="417">
        <v>4185</v>
      </c>
      <c r="E61" s="417">
        <v>13572210</v>
      </c>
      <c r="F61" s="417">
        <v>76500000</v>
      </c>
      <c r="G61" s="417">
        <v>48931975</v>
      </c>
      <c r="H61" s="417">
        <v>14000000</v>
      </c>
      <c r="I61" s="417"/>
      <c r="J61" s="421">
        <f t="shared" si="0"/>
        <v>14000000</v>
      </c>
      <c r="K61" s="412">
        <v>0</v>
      </c>
      <c r="L61" s="412">
        <f t="shared" si="1"/>
        <v>14000000</v>
      </c>
    </row>
    <row r="62" spans="1:12">
      <c r="A62" s="409">
        <v>0</v>
      </c>
      <c r="B62" s="416" t="s">
        <v>3941</v>
      </c>
      <c r="C62" s="416" t="s">
        <v>3942</v>
      </c>
      <c r="D62" s="417"/>
      <c r="E62" s="417"/>
      <c r="F62" s="417">
        <v>28046000</v>
      </c>
      <c r="G62" s="417">
        <v>28046000</v>
      </c>
      <c r="H62" s="417"/>
      <c r="I62" s="417"/>
      <c r="J62" s="421">
        <f t="shared" si="0"/>
        <v>0</v>
      </c>
      <c r="K62" s="412">
        <v>0</v>
      </c>
      <c r="L62" s="412">
        <f t="shared" si="1"/>
        <v>0</v>
      </c>
    </row>
    <row r="63" spans="1:12">
      <c r="A63" s="409">
        <v>0</v>
      </c>
      <c r="B63" s="416" t="s">
        <v>3943</v>
      </c>
      <c r="C63" s="416" t="s">
        <v>78</v>
      </c>
      <c r="D63" s="417">
        <v>1816830000</v>
      </c>
      <c r="E63" s="417"/>
      <c r="F63" s="417">
        <v>6422694000</v>
      </c>
      <c r="G63" s="417"/>
      <c r="H63" s="417">
        <v>8239524000</v>
      </c>
      <c r="I63" s="417"/>
      <c r="J63" s="421">
        <f t="shared" si="0"/>
        <v>8239524000</v>
      </c>
      <c r="K63" s="412">
        <v>0</v>
      </c>
      <c r="L63" s="412">
        <f t="shared" si="1"/>
        <v>8239524000</v>
      </c>
    </row>
    <row r="64" spans="1:12">
      <c r="A64" s="409" t="s">
        <v>81</v>
      </c>
      <c r="B64" s="419" t="s">
        <v>81</v>
      </c>
      <c r="C64" s="419" t="s">
        <v>82</v>
      </c>
      <c r="D64" s="420">
        <v>1463809091</v>
      </c>
      <c r="E64" s="420"/>
      <c r="F64" s="420"/>
      <c r="G64" s="420"/>
      <c r="H64" s="420">
        <v>1463809091</v>
      </c>
      <c r="I64" s="420"/>
      <c r="J64" s="413">
        <f t="shared" si="0"/>
        <v>1463809091</v>
      </c>
      <c r="K64" s="412">
        <v>0</v>
      </c>
      <c r="L64" s="412">
        <f t="shared" si="1"/>
        <v>1463809091</v>
      </c>
    </row>
    <row r="65" spans="1:13">
      <c r="A65" s="409" t="s">
        <v>83</v>
      </c>
      <c r="B65" s="419" t="s">
        <v>83</v>
      </c>
      <c r="C65" s="419" t="s">
        <v>84</v>
      </c>
      <c r="D65" s="420">
        <v>353020909</v>
      </c>
      <c r="E65" s="420"/>
      <c r="F65" s="420">
        <v>6422694000</v>
      </c>
      <c r="G65" s="420"/>
      <c r="H65" s="420">
        <v>6775714909</v>
      </c>
      <c r="I65" s="420"/>
      <c r="J65" s="413">
        <f t="shared" si="0"/>
        <v>6775714909</v>
      </c>
      <c r="K65" s="412">
        <v>0</v>
      </c>
      <c r="L65" s="412">
        <f t="shared" si="1"/>
        <v>6775714909</v>
      </c>
    </row>
    <row r="66" spans="1:13">
      <c r="A66" s="409">
        <v>0</v>
      </c>
      <c r="B66" s="416" t="s">
        <v>3944</v>
      </c>
      <c r="C66" s="416" t="s">
        <v>86</v>
      </c>
      <c r="D66" s="417">
        <v>521680900</v>
      </c>
      <c r="E66" s="417"/>
      <c r="F66" s="417"/>
      <c r="G66" s="417"/>
      <c r="H66" s="417">
        <v>521680900</v>
      </c>
      <c r="I66" s="417"/>
      <c r="J66" s="421">
        <f t="shared" si="0"/>
        <v>521680900</v>
      </c>
      <c r="K66" s="412">
        <v>0</v>
      </c>
      <c r="L66" s="412">
        <f t="shared" si="1"/>
        <v>521680900</v>
      </c>
    </row>
    <row r="67" spans="1:13">
      <c r="A67" s="409" t="s">
        <v>87</v>
      </c>
      <c r="B67" s="419" t="s">
        <v>87</v>
      </c>
      <c r="C67" s="419" t="s">
        <v>88</v>
      </c>
      <c r="D67" s="420">
        <v>521680900</v>
      </c>
      <c r="E67" s="420"/>
      <c r="F67" s="420"/>
      <c r="G67" s="420"/>
      <c r="H67" s="420">
        <v>521680900</v>
      </c>
      <c r="I67" s="420"/>
      <c r="J67" s="413">
        <f t="shared" si="0"/>
        <v>521680900</v>
      </c>
      <c r="K67" s="412">
        <v>0</v>
      </c>
      <c r="L67" s="412">
        <f t="shared" si="1"/>
        <v>521680900</v>
      </c>
    </row>
    <row r="68" spans="1:13">
      <c r="A68" s="409">
        <v>0</v>
      </c>
      <c r="B68" s="416" t="s">
        <v>3945</v>
      </c>
      <c r="C68" s="416" t="s">
        <v>1592</v>
      </c>
      <c r="D68" s="417"/>
      <c r="E68" s="417">
        <v>741523789</v>
      </c>
      <c r="F68" s="417"/>
      <c r="G68" s="417">
        <v>460347489</v>
      </c>
      <c r="H68" s="417"/>
      <c r="I68" s="417">
        <v>1201871278</v>
      </c>
      <c r="J68" s="421">
        <f t="shared" si="0"/>
        <v>-1201871278</v>
      </c>
      <c r="K68" s="412">
        <v>0</v>
      </c>
      <c r="L68" s="412">
        <f t="shared" si="1"/>
        <v>-1201871278</v>
      </c>
    </row>
    <row r="69" spans="1:13">
      <c r="A69" s="409" t="s">
        <v>91</v>
      </c>
      <c r="B69" s="419" t="s">
        <v>3946</v>
      </c>
      <c r="C69" s="419" t="s">
        <v>92</v>
      </c>
      <c r="D69" s="420"/>
      <c r="E69" s="420">
        <v>470459969</v>
      </c>
      <c r="F69" s="420"/>
      <c r="G69" s="420">
        <v>339037197</v>
      </c>
      <c r="H69" s="420"/>
      <c r="I69" s="420">
        <v>809497166</v>
      </c>
      <c r="J69" s="413">
        <f t="shared" ref="J69:J133" si="2">H69-I69</f>
        <v>-809497166</v>
      </c>
      <c r="K69" s="412">
        <v>0</v>
      </c>
      <c r="L69" s="412">
        <f t="shared" ref="L69:L132" si="3">J69+K69</f>
        <v>-809497166</v>
      </c>
    </row>
    <row r="70" spans="1:13">
      <c r="A70" s="409">
        <v>0</v>
      </c>
      <c r="B70" s="419" t="s">
        <v>1596</v>
      </c>
      <c r="C70" s="419" t="s">
        <v>3947</v>
      </c>
      <c r="D70" s="420"/>
      <c r="E70" s="420">
        <v>304960225</v>
      </c>
      <c r="F70" s="420"/>
      <c r="G70" s="420">
        <v>146380908</v>
      </c>
      <c r="H70" s="420"/>
      <c r="I70" s="420">
        <v>451341133</v>
      </c>
      <c r="J70" s="413">
        <f t="shared" si="2"/>
        <v>-451341133</v>
      </c>
      <c r="K70" s="412">
        <v>0</v>
      </c>
      <c r="L70" s="412">
        <f t="shared" si="3"/>
        <v>-451341133</v>
      </c>
    </row>
    <row r="71" spans="1:13">
      <c r="A71" s="409">
        <v>0</v>
      </c>
      <c r="B71" s="419" t="s">
        <v>1598</v>
      </c>
      <c r="C71" s="419" t="s">
        <v>3948</v>
      </c>
      <c r="D71" s="420"/>
      <c r="E71" s="420">
        <v>165499744</v>
      </c>
      <c r="F71" s="420"/>
      <c r="G71" s="420">
        <v>192656289</v>
      </c>
      <c r="H71" s="420"/>
      <c r="I71" s="420">
        <v>358156033</v>
      </c>
      <c r="J71" s="413">
        <f t="shared" si="2"/>
        <v>-358156033</v>
      </c>
      <c r="K71" s="412">
        <v>0</v>
      </c>
      <c r="L71" s="412">
        <f t="shared" si="3"/>
        <v>-358156033</v>
      </c>
    </row>
    <row r="72" spans="1:13">
      <c r="A72" s="409" t="s">
        <v>93</v>
      </c>
      <c r="B72" s="419" t="s">
        <v>3949</v>
      </c>
      <c r="C72" s="419" t="s">
        <v>94</v>
      </c>
      <c r="D72" s="420"/>
      <c r="E72" s="420">
        <v>271063820</v>
      </c>
      <c r="F72" s="420"/>
      <c r="G72" s="420">
        <v>121310292</v>
      </c>
      <c r="H72" s="420"/>
      <c r="I72" s="420">
        <v>392374112</v>
      </c>
      <c r="J72" s="413">
        <f t="shared" si="2"/>
        <v>-392374112</v>
      </c>
      <c r="K72" s="412">
        <v>0</v>
      </c>
      <c r="L72" s="412">
        <f t="shared" si="3"/>
        <v>-392374112</v>
      </c>
    </row>
    <row r="73" spans="1:13">
      <c r="A73" s="409">
        <v>0</v>
      </c>
      <c r="B73" s="419" t="s">
        <v>1603</v>
      </c>
      <c r="C73" s="419" t="s">
        <v>3950</v>
      </c>
      <c r="D73" s="420"/>
      <c r="E73" s="420">
        <v>271063820</v>
      </c>
      <c r="F73" s="420"/>
      <c r="G73" s="420">
        <v>121310292</v>
      </c>
      <c r="H73" s="420"/>
      <c r="I73" s="420">
        <v>392374112</v>
      </c>
      <c r="J73" s="413">
        <f t="shared" si="2"/>
        <v>-392374112</v>
      </c>
      <c r="K73" s="412">
        <v>0</v>
      </c>
      <c r="L73" s="412">
        <f t="shared" si="3"/>
        <v>-392374112</v>
      </c>
    </row>
    <row r="74" spans="1:13">
      <c r="A74" s="409">
        <v>0</v>
      </c>
      <c r="B74" s="416" t="s">
        <v>3951</v>
      </c>
      <c r="C74" s="416" t="s">
        <v>113</v>
      </c>
      <c r="D74" s="417">
        <v>3445719042</v>
      </c>
      <c r="E74" s="417"/>
      <c r="F74" s="417">
        <v>2716274987</v>
      </c>
      <c r="G74" s="417">
        <v>5308093688</v>
      </c>
      <c r="H74" s="417">
        <v>853900341</v>
      </c>
      <c r="I74" s="417"/>
      <c r="J74" s="421">
        <f t="shared" si="2"/>
        <v>853900341</v>
      </c>
      <c r="K74" s="412">
        <v>0</v>
      </c>
      <c r="L74" s="412">
        <f t="shared" si="3"/>
        <v>853900341</v>
      </c>
    </row>
    <row r="75" spans="1:13">
      <c r="A75" s="577" t="s">
        <v>523</v>
      </c>
      <c r="B75" s="419" t="s">
        <v>1608</v>
      </c>
      <c r="C75" s="419" t="s">
        <v>3952</v>
      </c>
      <c r="D75" s="420"/>
      <c r="E75" s="420"/>
      <c r="F75" s="420">
        <v>1263658186</v>
      </c>
      <c r="G75" s="420">
        <v>466875346</v>
      </c>
      <c r="H75" s="420">
        <v>775748340</v>
      </c>
      <c r="I75" s="420"/>
      <c r="J75" s="413">
        <f t="shared" si="2"/>
        <v>775748340</v>
      </c>
      <c r="K75" s="412">
        <v>21034500</v>
      </c>
      <c r="L75" s="412">
        <f t="shared" si="3"/>
        <v>796782840</v>
      </c>
    </row>
    <row r="76" spans="1:13">
      <c r="A76" s="410" t="s">
        <v>1262</v>
      </c>
      <c r="B76" s="419" t="s">
        <v>3953</v>
      </c>
      <c r="C76" s="419" t="s">
        <v>3954</v>
      </c>
      <c r="D76" s="420">
        <v>3445719042</v>
      </c>
      <c r="E76" s="420"/>
      <c r="F76" s="420">
        <v>1452616801</v>
      </c>
      <c r="G76" s="420">
        <v>4841218342</v>
      </c>
      <c r="H76" s="420">
        <v>42485046</v>
      </c>
      <c r="I76" s="420"/>
      <c r="J76" s="413">
        <f t="shared" si="2"/>
        <v>42485046</v>
      </c>
      <c r="K76" s="412">
        <v>14632455</v>
      </c>
      <c r="L76" s="412">
        <f t="shared" si="3"/>
        <v>57117501</v>
      </c>
    </row>
    <row r="77" spans="1:13">
      <c r="A77" s="409">
        <v>0</v>
      </c>
      <c r="B77" s="419" t="s">
        <v>1613</v>
      </c>
      <c r="C77" s="419" t="s">
        <v>3955</v>
      </c>
      <c r="D77" s="420">
        <v>141458096</v>
      </c>
      <c r="E77" s="420"/>
      <c r="F77" s="420">
        <v>119607825</v>
      </c>
      <c r="G77" s="420">
        <v>261065921</v>
      </c>
      <c r="H77" s="420"/>
      <c r="I77" s="420"/>
      <c r="J77" s="413">
        <f t="shared" si="2"/>
        <v>0</v>
      </c>
      <c r="K77" s="412">
        <v>0</v>
      </c>
      <c r="L77" s="412">
        <f t="shared" si="3"/>
        <v>0</v>
      </c>
    </row>
    <row r="78" spans="1:13">
      <c r="A78" s="409">
        <v>0</v>
      </c>
      <c r="B78" s="419" t="s">
        <v>1615</v>
      </c>
      <c r="C78" s="419" t="s">
        <v>2293</v>
      </c>
      <c r="D78" s="420">
        <v>3304260946</v>
      </c>
      <c r="E78" s="420"/>
      <c r="F78" s="420">
        <v>1333008976</v>
      </c>
      <c r="G78" s="420">
        <v>4580152421</v>
      </c>
      <c r="H78" s="420">
        <v>42485046</v>
      </c>
      <c r="I78" s="420"/>
      <c r="J78" s="413">
        <f t="shared" si="2"/>
        <v>42485046</v>
      </c>
      <c r="K78" s="412">
        <v>0</v>
      </c>
      <c r="L78" s="412">
        <f t="shared" si="3"/>
        <v>42485046</v>
      </c>
    </row>
    <row r="79" spans="1:13" s="411" customFormat="1">
      <c r="A79" s="411">
        <v>244</v>
      </c>
      <c r="B79" s="416" t="s">
        <v>1619</v>
      </c>
      <c r="C79" s="416" t="s">
        <v>2257</v>
      </c>
      <c r="D79" s="417">
        <v>104500000</v>
      </c>
      <c r="E79" s="417"/>
      <c r="F79" s="417"/>
      <c r="G79" s="417">
        <v>66800000</v>
      </c>
      <c r="H79" s="417">
        <v>37700000</v>
      </c>
      <c r="I79" s="417"/>
      <c r="J79" s="421">
        <f t="shared" si="2"/>
        <v>37700000</v>
      </c>
      <c r="K79" s="412">
        <v>0</v>
      </c>
      <c r="L79" s="412">
        <f t="shared" si="3"/>
        <v>37700000</v>
      </c>
      <c r="M79" s="409"/>
    </row>
    <row r="80" spans="1:13" s="411" customFormat="1">
      <c r="A80" s="411" t="s">
        <v>1621</v>
      </c>
      <c r="B80" s="416" t="s">
        <v>1621</v>
      </c>
      <c r="C80" s="416" t="s">
        <v>2299</v>
      </c>
      <c r="D80" s="417"/>
      <c r="E80" s="417"/>
      <c r="F80" s="417">
        <v>429481089</v>
      </c>
      <c r="G80" s="417">
        <v>251840000</v>
      </c>
      <c r="H80" s="417">
        <v>177641089</v>
      </c>
      <c r="I80" s="417"/>
      <c r="J80" s="421">
        <f t="shared" si="2"/>
        <v>177641089</v>
      </c>
      <c r="K80" s="412">
        <v>0</v>
      </c>
      <c r="L80" s="412">
        <f t="shared" si="3"/>
        <v>177641089</v>
      </c>
      <c r="M80" s="409"/>
    </row>
    <row r="81" spans="1:12">
      <c r="A81" s="410">
        <v>244</v>
      </c>
      <c r="B81" s="416" t="s">
        <v>3956</v>
      </c>
      <c r="C81" s="416" t="s">
        <v>1624</v>
      </c>
      <c r="D81" s="417"/>
      <c r="E81" s="417"/>
      <c r="F81" s="417">
        <v>120000000</v>
      </c>
      <c r="G81" s="417"/>
      <c r="H81" s="417">
        <v>120000000</v>
      </c>
      <c r="I81" s="417"/>
      <c r="J81" s="413">
        <f t="shared" si="2"/>
        <v>120000000</v>
      </c>
      <c r="K81" s="412">
        <v>1622918</v>
      </c>
      <c r="L81" s="412">
        <f t="shared" si="3"/>
        <v>121622918</v>
      </c>
    </row>
    <row r="82" spans="1:12">
      <c r="A82" s="409">
        <v>0</v>
      </c>
      <c r="B82" s="419" t="s">
        <v>1625</v>
      </c>
      <c r="C82" s="419" t="s">
        <v>3957</v>
      </c>
      <c r="D82" s="420"/>
      <c r="E82" s="420"/>
      <c r="F82" s="420">
        <v>120000000</v>
      </c>
      <c r="G82" s="420"/>
      <c r="H82" s="420">
        <v>120000000</v>
      </c>
      <c r="I82" s="420"/>
      <c r="J82" s="413">
        <f t="shared" si="2"/>
        <v>120000000</v>
      </c>
      <c r="K82" s="412">
        <v>0</v>
      </c>
      <c r="L82" s="412">
        <f t="shared" si="3"/>
        <v>120000000</v>
      </c>
    </row>
    <row r="83" spans="1:12">
      <c r="A83" s="409" t="s">
        <v>201</v>
      </c>
      <c r="B83" s="416" t="s">
        <v>3958</v>
      </c>
      <c r="C83" s="416" t="s">
        <v>1632</v>
      </c>
      <c r="D83" s="417"/>
      <c r="E83" s="417"/>
      <c r="F83" s="417"/>
      <c r="G83" s="417"/>
      <c r="H83" s="417"/>
      <c r="I83" s="417"/>
      <c r="J83" s="413">
        <f t="shared" si="2"/>
        <v>0</v>
      </c>
      <c r="K83" s="412">
        <v>0</v>
      </c>
      <c r="L83" s="412">
        <f t="shared" si="3"/>
        <v>0</v>
      </c>
    </row>
    <row r="84" spans="1:12">
      <c r="A84" s="409">
        <v>0</v>
      </c>
      <c r="B84" s="419" t="s">
        <v>3959</v>
      </c>
      <c r="C84" s="419" t="s">
        <v>3960</v>
      </c>
      <c r="D84" s="420"/>
      <c r="E84" s="420"/>
      <c r="F84" s="420"/>
      <c r="G84" s="420"/>
      <c r="H84" s="420"/>
      <c r="I84" s="420"/>
      <c r="J84" s="413">
        <f t="shared" si="2"/>
        <v>0</v>
      </c>
      <c r="K84" s="412">
        <v>0</v>
      </c>
      <c r="L84" s="412">
        <f t="shared" si="3"/>
        <v>0</v>
      </c>
    </row>
    <row r="85" spans="1:12">
      <c r="A85" s="409" t="s">
        <v>3961</v>
      </c>
      <c r="B85" s="416" t="s">
        <v>3962</v>
      </c>
      <c r="C85" s="416" t="s">
        <v>1648</v>
      </c>
      <c r="D85" s="417"/>
      <c r="E85" s="417">
        <v>186563767</v>
      </c>
      <c r="F85" s="417"/>
      <c r="G85" s="417">
        <v>430492</v>
      </c>
      <c r="H85" s="417"/>
      <c r="I85" s="417">
        <v>186994259</v>
      </c>
      <c r="J85" s="421">
        <f t="shared" si="2"/>
        <v>-186994259</v>
      </c>
      <c r="K85" s="412">
        <v>0</v>
      </c>
      <c r="L85" s="412">
        <f t="shared" si="3"/>
        <v>-186994259</v>
      </c>
    </row>
    <row r="86" spans="1:12">
      <c r="A86" s="409">
        <v>0</v>
      </c>
      <c r="B86" s="419" t="s">
        <v>1649</v>
      </c>
      <c r="C86" s="419" t="s">
        <v>3963</v>
      </c>
      <c r="D86" s="420"/>
      <c r="E86" s="420">
        <v>186563767</v>
      </c>
      <c r="F86" s="420"/>
      <c r="G86" s="420">
        <v>430492</v>
      </c>
      <c r="H86" s="420"/>
      <c r="I86" s="420">
        <v>186994259</v>
      </c>
      <c r="J86" s="413">
        <f t="shared" si="2"/>
        <v>-186994259</v>
      </c>
      <c r="K86" s="412">
        <v>0</v>
      </c>
      <c r="L86" s="412">
        <f t="shared" si="3"/>
        <v>-186994259</v>
      </c>
    </row>
    <row r="87" spans="1:12">
      <c r="A87" s="577" t="s">
        <v>125</v>
      </c>
      <c r="B87" s="416" t="s">
        <v>3964</v>
      </c>
      <c r="C87" s="416" t="s">
        <v>124</v>
      </c>
      <c r="D87" s="420"/>
      <c r="E87" s="420"/>
      <c r="F87" s="420"/>
      <c r="G87" s="420"/>
      <c r="H87" s="420"/>
      <c r="I87" s="420"/>
      <c r="J87" s="413"/>
      <c r="K87" s="412">
        <v>-27500000</v>
      </c>
      <c r="L87" s="412">
        <f t="shared" si="3"/>
        <v>-27500000</v>
      </c>
    </row>
    <row r="88" spans="1:12">
      <c r="A88" s="577" t="s">
        <v>126</v>
      </c>
      <c r="B88" s="416" t="s">
        <v>3964</v>
      </c>
      <c r="C88" s="416" t="s">
        <v>124</v>
      </c>
      <c r="D88" s="417"/>
      <c r="E88" s="417">
        <v>47683003</v>
      </c>
      <c r="F88" s="417">
        <v>20973505709</v>
      </c>
      <c r="G88" s="417">
        <v>18441478506</v>
      </c>
      <c r="H88" s="417">
        <v>2484344200</v>
      </c>
      <c r="I88" s="417"/>
      <c r="J88" s="413">
        <f t="shared" si="2"/>
        <v>2484344200</v>
      </c>
      <c r="K88" s="412">
        <v>-27500000</v>
      </c>
      <c r="L88" s="412">
        <f t="shared" si="3"/>
        <v>2456844200</v>
      </c>
    </row>
    <row r="89" spans="1:12">
      <c r="A89" s="409">
        <v>0</v>
      </c>
      <c r="B89" s="419" t="s">
        <v>1673</v>
      </c>
      <c r="C89" s="419" t="s">
        <v>3965</v>
      </c>
      <c r="D89" s="420"/>
      <c r="E89" s="420"/>
      <c r="F89" s="420">
        <v>5600000000</v>
      </c>
      <c r="G89" s="420">
        <v>5600000000</v>
      </c>
      <c r="H89" s="420"/>
      <c r="I89" s="420"/>
      <c r="J89" s="413">
        <f t="shared" si="2"/>
        <v>0</v>
      </c>
      <c r="K89" s="412">
        <v>0</v>
      </c>
      <c r="L89" s="412">
        <f t="shared" si="3"/>
        <v>0</v>
      </c>
    </row>
    <row r="90" spans="1:12">
      <c r="A90" s="409">
        <v>0</v>
      </c>
      <c r="B90" s="419" t="s">
        <v>1677</v>
      </c>
      <c r="C90" s="419" t="s">
        <v>3966</v>
      </c>
      <c r="D90" s="420"/>
      <c r="E90" s="420">
        <v>47683003</v>
      </c>
      <c r="F90" s="420">
        <v>15373505709</v>
      </c>
      <c r="G90" s="420">
        <v>12841478506</v>
      </c>
      <c r="H90" s="420">
        <v>2484344200</v>
      </c>
      <c r="I90" s="420"/>
      <c r="J90" s="413">
        <f t="shared" si="2"/>
        <v>2484344200</v>
      </c>
      <c r="K90" s="412">
        <v>0</v>
      </c>
      <c r="L90" s="412">
        <f t="shared" si="3"/>
        <v>2484344200</v>
      </c>
    </row>
    <row r="91" spans="1:12">
      <c r="A91" s="409">
        <v>0</v>
      </c>
      <c r="B91" s="416" t="s">
        <v>3967</v>
      </c>
      <c r="C91" s="416" t="s">
        <v>1684</v>
      </c>
      <c r="D91" s="417">
        <v>22494000</v>
      </c>
      <c r="E91" s="417">
        <v>60364000</v>
      </c>
      <c r="F91" s="417">
        <v>535812200</v>
      </c>
      <c r="G91" s="417">
        <v>497360200</v>
      </c>
      <c r="H91" s="417">
        <v>582000</v>
      </c>
      <c r="I91" s="417"/>
      <c r="J91" s="421">
        <f t="shared" si="2"/>
        <v>582000</v>
      </c>
      <c r="K91" s="412">
        <v>0</v>
      </c>
      <c r="L91" s="412">
        <f t="shared" si="3"/>
        <v>582000</v>
      </c>
    </row>
    <row r="92" spans="1:12">
      <c r="A92" s="409" t="s">
        <v>160</v>
      </c>
      <c r="B92" s="419" t="s">
        <v>1685</v>
      </c>
      <c r="C92" s="419" t="s">
        <v>161</v>
      </c>
      <c r="D92" s="420">
        <v>22494000</v>
      </c>
      <c r="E92" s="420"/>
      <c r="F92" s="420">
        <v>475448200</v>
      </c>
      <c r="G92" s="420">
        <v>497360200</v>
      </c>
      <c r="H92" s="420">
        <v>582000</v>
      </c>
      <c r="I92" s="420"/>
      <c r="J92" s="413">
        <f t="shared" si="2"/>
        <v>582000</v>
      </c>
      <c r="K92" s="412">
        <v>0</v>
      </c>
      <c r="L92" s="412">
        <f t="shared" si="3"/>
        <v>582000</v>
      </c>
    </row>
    <row r="93" spans="1:12">
      <c r="A93" s="409" t="s">
        <v>162</v>
      </c>
      <c r="B93" s="419" t="s">
        <v>1687</v>
      </c>
      <c r="C93" s="419" t="s">
        <v>163</v>
      </c>
      <c r="D93" s="420"/>
      <c r="E93" s="420">
        <v>32313000</v>
      </c>
      <c r="F93" s="420">
        <v>32313000</v>
      </c>
      <c r="G93" s="420"/>
      <c r="H93" s="420"/>
      <c r="I93" s="420"/>
      <c r="J93" s="413">
        <f t="shared" si="2"/>
        <v>0</v>
      </c>
      <c r="K93" s="412">
        <v>0</v>
      </c>
      <c r="L93" s="412">
        <f t="shared" si="3"/>
        <v>0</v>
      </c>
    </row>
    <row r="94" spans="1:12">
      <c r="A94" s="409" t="s">
        <v>164</v>
      </c>
      <c r="B94" s="419" t="s">
        <v>1689</v>
      </c>
      <c r="C94" s="419" t="s">
        <v>165</v>
      </c>
      <c r="D94" s="420"/>
      <c r="E94" s="420">
        <v>28051000</v>
      </c>
      <c r="F94" s="420">
        <v>28051000</v>
      </c>
      <c r="G94" s="420"/>
      <c r="H94" s="420"/>
      <c r="I94" s="420"/>
      <c r="J94" s="413">
        <f t="shared" si="2"/>
        <v>0</v>
      </c>
      <c r="K94" s="412">
        <v>0</v>
      </c>
      <c r="L94" s="412">
        <f t="shared" si="3"/>
        <v>0</v>
      </c>
    </row>
    <row r="95" spans="1:12">
      <c r="A95" s="409">
        <v>0</v>
      </c>
      <c r="B95" s="416" t="s">
        <v>3968</v>
      </c>
      <c r="C95" s="416" t="s">
        <v>129</v>
      </c>
      <c r="D95" s="417"/>
      <c r="E95" s="417">
        <v>89956005</v>
      </c>
      <c r="F95" s="417">
        <v>774208610</v>
      </c>
      <c r="G95" s="417">
        <v>742577258</v>
      </c>
      <c r="H95" s="417"/>
      <c r="I95" s="417">
        <v>58324653</v>
      </c>
      <c r="J95" s="421">
        <f t="shared" si="2"/>
        <v>-58324653</v>
      </c>
      <c r="K95" s="412">
        <v>0</v>
      </c>
      <c r="L95" s="412">
        <f t="shared" si="3"/>
        <v>-58324653</v>
      </c>
    </row>
    <row r="96" spans="1:12">
      <c r="A96" s="409" t="s">
        <v>132</v>
      </c>
      <c r="B96" s="419" t="s">
        <v>3969</v>
      </c>
      <c r="C96" s="419" t="s">
        <v>3970</v>
      </c>
      <c r="D96" s="420"/>
      <c r="E96" s="420"/>
      <c r="F96" s="420">
        <v>1933527</v>
      </c>
      <c r="G96" s="420">
        <v>1933527</v>
      </c>
      <c r="H96" s="420"/>
      <c r="I96" s="420"/>
      <c r="J96" s="413">
        <f t="shared" si="2"/>
        <v>0</v>
      </c>
      <c r="K96" s="412">
        <v>0</v>
      </c>
      <c r="L96" s="412">
        <f t="shared" si="3"/>
        <v>0</v>
      </c>
    </row>
    <row r="97" spans="1:12">
      <c r="A97" s="409">
        <v>0</v>
      </c>
      <c r="B97" s="419" t="s">
        <v>132</v>
      </c>
      <c r="C97" s="419" t="s">
        <v>133</v>
      </c>
      <c r="D97" s="420"/>
      <c r="E97" s="420"/>
      <c r="F97" s="420">
        <v>1933527</v>
      </c>
      <c r="G97" s="420">
        <v>1933527</v>
      </c>
      <c r="H97" s="420"/>
      <c r="I97" s="420"/>
      <c r="J97" s="413">
        <f t="shared" si="2"/>
        <v>0</v>
      </c>
      <c r="K97" s="412">
        <v>0</v>
      </c>
      <c r="L97" s="412">
        <f t="shared" si="3"/>
        <v>0</v>
      </c>
    </row>
    <row r="98" spans="1:12">
      <c r="A98" s="409">
        <v>0</v>
      </c>
      <c r="B98" s="419" t="s">
        <v>3971</v>
      </c>
      <c r="C98" s="419" t="s">
        <v>135</v>
      </c>
      <c r="D98" s="420"/>
      <c r="E98" s="420">
        <v>89956005</v>
      </c>
      <c r="F98" s="420">
        <v>772275083</v>
      </c>
      <c r="G98" s="420">
        <v>740643731</v>
      </c>
      <c r="H98" s="420"/>
      <c r="I98" s="420">
        <v>59321338</v>
      </c>
      <c r="J98" s="413">
        <f t="shared" si="2"/>
        <v>-59321338</v>
      </c>
      <c r="K98" s="412">
        <v>0</v>
      </c>
      <c r="L98" s="412">
        <f t="shared" si="3"/>
        <v>-59321338</v>
      </c>
    </row>
    <row r="99" spans="1:12">
      <c r="A99" s="409">
        <v>0</v>
      </c>
      <c r="B99" s="419" t="s">
        <v>3972</v>
      </c>
      <c r="C99" s="419" t="s">
        <v>3973</v>
      </c>
      <c r="D99" s="420"/>
      <c r="E99" s="420">
        <v>86820122</v>
      </c>
      <c r="F99" s="420">
        <v>764535083</v>
      </c>
      <c r="G99" s="420">
        <v>732903731</v>
      </c>
      <c r="H99" s="420"/>
      <c r="I99" s="420">
        <f>I100</f>
        <v>56185455</v>
      </c>
      <c r="J99" s="413">
        <f t="shared" si="2"/>
        <v>-56185455</v>
      </c>
      <c r="K99" s="412">
        <v>0</v>
      </c>
      <c r="L99" s="412">
        <f t="shared" si="3"/>
        <v>-56185455</v>
      </c>
    </row>
    <row r="100" spans="1:12">
      <c r="A100" s="410" t="s">
        <v>136</v>
      </c>
      <c r="B100" s="419" t="s">
        <v>1698</v>
      </c>
      <c r="C100" s="419" t="s">
        <v>3973</v>
      </c>
      <c r="D100" s="420"/>
      <c r="E100" s="420">
        <v>68716200</v>
      </c>
      <c r="F100" s="420">
        <v>746431161</v>
      </c>
      <c r="G100" s="420">
        <v>732903731</v>
      </c>
      <c r="H100" s="420"/>
      <c r="I100" s="420">
        <f>I98-I102</f>
        <v>56185455</v>
      </c>
      <c r="J100" s="413">
        <f t="shared" si="2"/>
        <v>-56185455</v>
      </c>
      <c r="K100" s="412">
        <v>1144326</v>
      </c>
      <c r="L100" s="412">
        <f t="shared" si="3"/>
        <v>-55041129</v>
      </c>
    </row>
    <row r="101" spans="1:12">
      <c r="A101" s="409" t="s">
        <v>138</v>
      </c>
      <c r="B101" s="419" t="s">
        <v>1700</v>
      </c>
      <c r="C101" s="419" t="s">
        <v>3974</v>
      </c>
      <c r="D101" s="420"/>
      <c r="E101" s="420">
        <v>18103922</v>
      </c>
      <c r="F101" s="420">
        <v>18103922</v>
      </c>
      <c r="G101" s="420"/>
      <c r="H101" s="420"/>
      <c r="I101" s="420"/>
      <c r="J101" s="413">
        <f t="shared" si="2"/>
        <v>0</v>
      </c>
      <c r="K101" s="412">
        <v>0</v>
      </c>
      <c r="L101" s="412">
        <f t="shared" si="3"/>
        <v>0</v>
      </c>
    </row>
    <row r="102" spans="1:12">
      <c r="A102" s="409" t="s">
        <v>140</v>
      </c>
      <c r="B102" s="419" t="s">
        <v>3975</v>
      </c>
      <c r="C102" s="419" t="s">
        <v>3976</v>
      </c>
      <c r="D102" s="420"/>
      <c r="E102" s="420">
        <v>3135883</v>
      </c>
      <c r="F102" s="420"/>
      <c r="G102" s="420"/>
      <c r="H102" s="420"/>
      <c r="I102" s="420">
        <v>3135883</v>
      </c>
      <c r="J102" s="413">
        <f t="shared" si="2"/>
        <v>-3135883</v>
      </c>
      <c r="K102" s="412">
        <v>0</v>
      </c>
      <c r="L102" s="412">
        <f t="shared" si="3"/>
        <v>-3135883</v>
      </c>
    </row>
    <row r="103" spans="1:12">
      <c r="A103" s="409">
        <v>0</v>
      </c>
      <c r="B103" s="419" t="s">
        <v>3977</v>
      </c>
      <c r="C103" s="419" t="s">
        <v>3978</v>
      </c>
      <c r="D103" s="420"/>
      <c r="E103" s="420">
        <v>3135883</v>
      </c>
      <c r="F103" s="420"/>
      <c r="G103" s="420"/>
      <c r="H103" s="420"/>
      <c r="I103" s="420">
        <v>3135883</v>
      </c>
      <c r="J103" s="413">
        <f t="shared" si="2"/>
        <v>-3135883</v>
      </c>
      <c r="K103" s="412">
        <v>0</v>
      </c>
      <c r="L103" s="412">
        <f t="shared" si="3"/>
        <v>-3135883</v>
      </c>
    </row>
    <row r="104" spans="1:12">
      <c r="A104" s="409">
        <v>0</v>
      </c>
      <c r="B104" s="419" t="s">
        <v>3979</v>
      </c>
      <c r="C104" s="419" t="s">
        <v>3980</v>
      </c>
      <c r="D104" s="420"/>
      <c r="E104" s="420">
        <v>3135883</v>
      </c>
      <c r="F104" s="420"/>
      <c r="G104" s="420"/>
      <c r="H104" s="420"/>
      <c r="I104" s="420">
        <v>3135883</v>
      </c>
      <c r="J104" s="413">
        <f t="shared" si="2"/>
        <v>-3135883</v>
      </c>
      <c r="K104" s="412">
        <v>0</v>
      </c>
      <c r="L104" s="412">
        <f t="shared" si="3"/>
        <v>-3135883</v>
      </c>
    </row>
    <row r="105" spans="1:12">
      <c r="A105" s="409">
        <v>0</v>
      </c>
      <c r="B105" s="419" t="s">
        <v>3981</v>
      </c>
      <c r="C105" s="419" t="s">
        <v>3982</v>
      </c>
      <c r="D105" s="420"/>
      <c r="E105" s="420"/>
      <c r="F105" s="420">
        <v>7740000</v>
      </c>
      <c r="G105" s="420">
        <v>7740000</v>
      </c>
      <c r="H105" s="420"/>
      <c r="I105" s="420"/>
      <c r="J105" s="413">
        <f t="shared" si="2"/>
        <v>0</v>
      </c>
      <c r="K105" s="412">
        <v>0</v>
      </c>
      <c r="L105" s="412">
        <f t="shared" si="3"/>
        <v>0</v>
      </c>
    </row>
    <row r="106" spans="1:12">
      <c r="A106" s="409">
        <v>0</v>
      </c>
      <c r="B106" s="416" t="s">
        <v>3983</v>
      </c>
      <c r="C106" s="416" t="s">
        <v>149</v>
      </c>
      <c r="D106" s="417"/>
      <c r="E106" s="417">
        <v>456719924.97000003</v>
      </c>
      <c r="F106" s="417">
        <v>4907301283</v>
      </c>
      <c r="G106" s="417">
        <v>4988712121</v>
      </c>
      <c r="H106" s="417"/>
      <c r="I106" s="417">
        <v>552758212.97000003</v>
      </c>
      <c r="J106" s="421">
        <f t="shared" si="2"/>
        <v>-552758212.97000003</v>
      </c>
      <c r="K106" s="412">
        <v>0</v>
      </c>
      <c r="L106" s="412">
        <f t="shared" si="3"/>
        <v>-552758212.97000003</v>
      </c>
    </row>
    <row r="107" spans="1:12">
      <c r="A107" s="410" t="s">
        <v>150</v>
      </c>
      <c r="B107" s="419" t="s">
        <v>3984</v>
      </c>
      <c r="C107" s="419" t="s">
        <v>151</v>
      </c>
      <c r="D107" s="420"/>
      <c r="E107" s="420">
        <v>456719924.97000003</v>
      </c>
      <c r="F107" s="420">
        <v>4829901283</v>
      </c>
      <c r="G107" s="420">
        <v>4911312121</v>
      </c>
      <c r="H107" s="420"/>
      <c r="I107" s="420">
        <f>I106</f>
        <v>552758212.97000003</v>
      </c>
      <c r="J107" s="413">
        <f t="shared" si="2"/>
        <v>-552758212.97000003</v>
      </c>
      <c r="K107" s="412">
        <v>-4875444</v>
      </c>
      <c r="L107" s="412">
        <f t="shared" si="3"/>
        <v>-557633656.97000003</v>
      </c>
    </row>
    <row r="108" spans="1:12">
      <c r="A108" s="409">
        <v>0</v>
      </c>
      <c r="B108" s="419" t="s">
        <v>3985</v>
      </c>
      <c r="C108" s="419" t="s">
        <v>3986</v>
      </c>
      <c r="D108" s="420"/>
      <c r="E108" s="420">
        <v>456719924.97000003</v>
      </c>
      <c r="F108" s="420">
        <v>4829901283</v>
      </c>
      <c r="G108" s="420">
        <v>4911312121</v>
      </c>
      <c r="H108" s="420"/>
      <c r="I108" s="420">
        <f>I106</f>
        <v>552758212.97000003</v>
      </c>
      <c r="J108" s="413">
        <f t="shared" si="2"/>
        <v>-552758212.97000003</v>
      </c>
      <c r="K108" s="412">
        <v>0</v>
      </c>
      <c r="L108" s="412">
        <f t="shared" si="3"/>
        <v>-552758212.97000003</v>
      </c>
    </row>
    <row r="109" spans="1:12">
      <c r="A109" s="409">
        <v>0</v>
      </c>
      <c r="B109" s="419" t="s">
        <v>3987</v>
      </c>
      <c r="C109" s="419" t="s">
        <v>3988</v>
      </c>
      <c r="D109" s="420"/>
      <c r="E109" s="420"/>
      <c r="F109" s="420"/>
      <c r="G109" s="420"/>
      <c r="H109" s="420"/>
      <c r="I109" s="420"/>
      <c r="J109" s="413">
        <f t="shared" si="2"/>
        <v>0</v>
      </c>
      <c r="K109" s="412">
        <v>0</v>
      </c>
      <c r="L109" s="412">
        <f t="shared" si="3"/>
        <v>0</v>
      </c>
    </row>
    <row r="110" spans="1:12">
      <c r="A110" s="409">
        <v>0</v>
      </c>
      <c r="B110" s="419" t="s">
        <v>3989</v>
      </c>
      <c r="C110" s="419" t="s">
        <v>3990</v>
      </c>
      <c r="D110" s="420"/>
      <c r="E110" s="420"/>
      <c r="F110" s="420">
        <v>77400000</v>
      </c>
      <c r="G110" s="420">
        <v>77400000</v>
      </c>
      <c r="H110" s="420"/>
      <c r="I110" s="420"/>
      <c r="J110" s="413">
        <f t="shared" si="2"/>
        <v>0</v>
      </c>
      <c r="K110" s="412">
        <v>0</v>
      </c>
      <c r="L110" s="412">
        <f t="shared" si="3"/>
        <v>0</v>
      </c>
    </row>
    <row r="111" spans="1:12">
      <c r="A111" s="409">
        <v>0</v>
      </c>
      <c r="B111" s="416" t="s">
        <v>3991</v>
      </c>
      <c r="C111" s="416" t="s">
        <v>157</v>
      </c>
      <c r="D111" s="417"/>
      <c r="E111" s="417">
        <v>129761067850</v>
      </c>
      <c r="F111" s="417">
        <v>130407514948</v>
      </c>
      <c r="G111" s="417">
        <v>661428319</v>
      </c>
      <c r="H111" s="417"/>
      <c r="I111" s="417">
        <v>14981221</v>
      </c>
      <c r="J111" s="413">
        <f t="shared" si="2"/>
        <v>-14981221</v>
      </c>
      <c r="K111" s="412">
        <v>0</v>
      </c>
      <c r="L111" s="412">
        <f t="shared" si="3"/>
        <v>-14981221</v>
      </c>
    </row>
    <row r="112" spans="1:12">
      <c r="A112" s="409" t="s">
        <v>1729</v>
      </c>
      <c r="B112" s="419" t="s">
        <v>168</v>
      </c>
      <c r="C112" s="419" t="s">
        <v>157</v>
      </c>
      <c r="D112" s="420"/>
      <c r="E112" s="420">
        <v>129761067850</v>
      </c>
      <c r="F112" s="420">
        <v>130407514948</v>
      </c>
      <c r="G112" s="420">
        <v>661428319</v>
      </c>
      <c r="H112" s="420"/>
      <c r="I112" s="420">
        <v>14981221</v>
      </c>
      <c r="J112" s="413">
        <f t="shared" si="2"/>
        <v>-14981221</v>
      </c>
      <c r="K112" s="412">
        <v>0</v>
      </c>
      <c r="L112" s="412">
        <f t="shared" si="3"/>
        <v>-14981221</v>
      </c>
    </row>
    <row r="113" spans="1:16">
      <c r="A113" s="409">
        <v>0</v>
      </c>
      <c r="B113" s="416" t="s">
        <v>3992</v>
      </c>
      <c r="C113" s="416" t="s">
        <v>204</v>
      </c>
      <c r="D113" s="417"/>
      <c r="E113" s="417">
        <v>273599980000</v>
      </c>
      <c r="F113" s="417"/>
      <c r="G113" s="417">
        <v>285000000000</v>
      </c>
      <c r="H113" s="417"/>
      <c r="I113" s="417">
        <v>558599980000</v>
      </c>
      <c r="J113" s="421">
        <f t="shared" si="2"/>
        <v>-558599980000</v>
      </c>
      <c r="K113" s="412">
        <v>0</v>
      </c>
      <c r="L113" s="412">
        <f t="shared" si="3"/>
        <v>-558599980000</v>
      </c>
    </row>
    <row r="114" spans="1:16">
      <c r="A114" s="409">
        <v>0</v>
      </c>
      <c r="B114" s="419" t="s">
        <v>3993</v>
      </c>
      <c r="C114" s="419" t="s">
        <v>206</v>
      </c>
      <c r="D114" s="420"/>
      <c r="E114" s="420">
        <v>273599980000</v>
      </c>
      <c r="F114" s="420"/>
      <c r="G114" s="420">
        <v>285000000000</v>
      </c>
      <c r="H114" s="420"/>
      <c r="I114" s="420">
        <v>558599980000</v>
      </c>
      <c r="J114" s="413">
        <f t="shared" si="2"/>
        <v>-558599980000</v>
      </c>
      <c r="K114" s="412">
        <v>0</v>
      </c>
      <c r="L114" s="412">
        <f t="shared" si="3"/>
        <v>-558599980000</v>
      </c>
    </row>
    <row r="115" spans="1:16">
      <c r="A115" s="409" t="s">
        <v>207</v>
      </c>
      <c r="B115" s="419" t="s">
        <v>207</v>
      </c>
      <c r="C115" s="419" t="s">
        <v>208</v>
      </c>
      <c r="D115" s="420"/>
      <c r="E115" s="420">
        <v>273599980000</v>
      </c>
      <c r="F115" s="420"/>
      <c r="G115" s="420">
        <v>285000000000</v>
      </c>
      <c r="H115" s="420"/>
      <c r="I115" s="420">
        <v>558599980000</v>
      </c>
      <c r="J115" s="413">
        <f t="shared" si="2"/>
        <v>-558599980000</v>
      </c>
      <c r="K115" s="412">
        <v>0</v>
      </c>
      <c r="L115" s="412">
        <f t="shared" si="3"/>
        <v>-558599980000</v>
      </c>
    </row>
    <row r="116" spans="1:16">
      <c r="A116" s="409">
        <v>0</v>
      </c>
      <c r="B116" s="416" t="s">
        <v>3994</v>
      </c>
      <c r="C116" s="416" t="s">
        <v>1740</v>
      </c>
      <c r="D116" s="417"/>
      <c r="E116" s="417">
        <v>254998000</v>
      </c>
      <c r="F116" s="417"/>
      <c r="G116" s="417"/>
      <c r="H116" s="417"/>
      <c r="I116" s="417">
        <v>254998000</v>
      </c>
      <c r="J116" s="421">
        <f t="shared" si="2"/>
        <v>-254998000</v>
      </c>
      <c r="K116" s="412">
        <v>0</v>
      </c>
      <c r="L116" s="412">
        <f t="shared" si="3"/>
        <v>-254998000</v>
      </c>
    </row>
    <row r="117" spans="1:16">
      <c r="A117" s="409" t="s">
        <v>1201</v>
      </c>
      <c r="B117" s="419" t="s">
        <v>1201</v>
      </c>
      <c r="C117" s="419" t="s">
        <v>2373</v>
      </c>
      <c r="D117" s="420"/>
      <c r="E117" s="420">
        <v>254998000</v>
      </c>
      <c r="F117" s="420"/>
      <c r="G117" s="420"/>
      <c r="H117" s="420"/>
      <c r="I117" s="420">
        <v>254998000</v>
      </c>
      <c r="J117" s="413">
        <f t="shared" si="2"/>
        <v>-254998000</v>
      </c>
      <c r="K117" s="412">
        <v>0</v>
      </c>
      <c r="L117" s="412">
        <f t="shared" si="3"/>
        <v>-254998000</v>
      </c>
    </row>
    <row r="118" spans="1:16">
      <c r="A118" s="409">
        <v>0</v>
      </c>
      <c r="B118" s="416" t="s">
        <v>3995</v>
      </c>
      <c r="C118" s="416" t="s">
        <v>1742</v>
      </c>
      <c r="D118" s="417">
        <v>263137140362.92001</v>
      </c>
      <c r="E118" s="417"/>
      <c r="F118" s="417"/>
      <c r="G118" s="417">
        <v>1398647858.95</v>
      </c>
      <c r="H118" s="417">
        <f>H119+H120</f>
        <v>261789783594</v>
      </c>
      <c r="I118" s="417"/>
      <c r="J118" s="413">
        <f t="shared" si="2"/>
        <v>261789783594</v>
      </c>
      <c r="K118" s="412">
        <v>0</v>
      </c>
      <c r="L118" s="412">
        <f>L119+L120</f>
        <v>261811224839</v>
      </c>
      <c r="O118" s="413"/>
      <c r="P118" s="413"/>
    </row>
    <row r="119" spans="1:16">
      <c r="A119" s="410" t="s">
        <v>217</v>
      </c>
      <c r="B119" s="419" t="s">
        <v>215</v>
      </c>
      <c r="C119" s="419" t="s">
        <v>3996</v>
      </c>
      <c r="D119" s="420">
        <v>161888109415</v>
      </c>
      <c r="E119" s="420"/>
      <c r="F119" s="420"/>
      <c r="G119" s="420"/>
      <c r="H119" s="420">
        <v>161888109415</v>
      </c>
      <c r="I119" s="420"/>
      <c r="J119" s="413">
        <f>H119-I119-(H119-G175)</f>
        <v>-2926621932.9500122</v>
      </c>
      <c r="K119" s="412"/>
      <c r="L119" s="412">
        <f t="shared" si="3"/>
        <v>-2926621932.9500122</v>
      </c>
      <c r="O119" s="413"/>
    </row>
    <row r="120" spans="1:16">
      <c r="A120" s="410" t="s">
        <v>215</v>
      </c>
      <c r="B120" s="419" t="s">
        <v>3997</v>
      </c>
      <c r="C120" s="419" t="s">
        <v>3998</v>
      </c>
      <c r="D120" s="420">
        <v>101249030947.92</v>
      </c>
      <c r="E120" s="420"/>
      <c r="F120" s="420"/>
      <c r="G120" s="420">
        <v>1398647858.95</v>
      </c>
      <c r="H120" s="420">
        <v>99901674179</v>
      </c>
      <c r="I120" s="420"/>
      <c r="J120" s="413">
        <f>H120-I120+(H119-G175)</f>
        <v>264716405526.95001</v>
      </c>
      <c r="K120" s="412">
        <v>21441245</v>
      </c>
      <c r="L120" s="412">
        <f>J120+K120</f>
        <v>264737846771.95001</v>
      </c>
      <c r="N120" s="413"/>
      <c r="O120" s="412"/>
      <c r="P120" s="413"/>
    </row>
    <row r="121" spans="1:16">
      <c r="A121" s="409">
        <v>0</v>
      </c>
      <c r="B121" s="419" t="s">
        <v>3999</v>
      </c>
      <c r="C121" s="419" t="s">
        <v>4000</v>
      </c>
      <c r="D121" s="420">
        <v>9564093101</v>
      </c>
      <c r="E121" s="420"/>
      <c r="F121" s="420"/>
      <c r="G121" s="420"/>
      <c r="H121" s="420">
        <v>9564093101</v>
      </c>
      <c r="I121" s="420"/>
      <c r="J121" s="413">
        <f t="shared" si="2"/>
        <v>9564093101</v>
      </c>
      <c r="K121" s="412">
        <v>0</v>
      </c>
      <c r="L121" s="412">
        <f t="shared" si="3"/>
        <v>9564093101</v>
      </c>
    </row>
    <row r="122" spans="1:16">
      <c r="A122" s="409">
        <v>0</v>
      </c>
      <c r="B122" s="419" t="s">
        <v>1005</v>
      </c>
      <c r="C122" s="419" t="s">
        <v>821</v>
      </c>
      <c r="D122" s="420">
        <v>91684937846.919998</v>
      </c>
      <c r="E122" s="420"/>
      <c r="F122" s="420"/>
      <c r="G122" s="420">
        <v>1398647858.95</v>
      </c>
      <c r="H122" s="420">
        <v>90286289987.970001</v>
      </c>
      <c r="I122" s="420"/>
      <c r="J122" s="413">
        <f t="shared" si="2"/>
        <v>90286289987.970001</v>
      </c>
      <c r="K122" s="412">
        <v>0</v>
      </c>
      <c r="L122" s="412">
        <f t="shared" si="3"/>
        <v>90286289987.970001</v>
      </c>
    </row>
    <row r="123" spans="1:16">
      <c r="A123" s="409">
        <v>0</v>
      </c>
      <c r="B123" s="416" t="s">
        <v>4001</v>
      </c>
      <c r="C123" s="416" t="s">
        <v>1746</v>
      </c>
      <c r="D123" s="417"/>
      <c r="E123" s="417"/>
      <c r="F123" s="417">
        <v>17015815560</v>
      </c>
      <c r="G123" s="417">
        <v>17015815560</v>
      </c>
      <c r="H123" s="417"/>
      <c r="I123" s="417"/>
      <c r="J123" s="413">
        <f t="shared" si="2"/>
        <v>0</v>
      </c>
      <c r="K123" s="412">
        <v>0</v>
      </c>
      <c r="L123" s="412">
        <f t="shared" si="3"/>
        <v>0</v>
      </c>
    </row>
    <row r="124" spans="1:16">
      <c r="A124" s="409">
        <v>0</v>
      </c>
      <c r="B124" s="419" t="s">
        <v>4002</v>
      </c>
      <c r="C124" s="419" t="s">
        <v>4003</v>
      </c>
      <c r="D124" s="420"/>
      <c r="E124" s="420"/>
      <c r="F124" s="420">
        <v>6337166785</v>
      </c>
      <c r="G124" s="420">
        <v>6337166785</v>
      </c>
      <c r="H124" s="420"/>
      <c r="I124" s="420"/>
      <c r="J124" s="413">
        <f t="shared" si="2"/>
        <v>0</v>
      </c>
      <c r="K124" s="412">
        <v>0</v>
      </c>
      <c r="L124" s="412">
        <f t="shared" si="3"/>
        <v>0</v>
      </c>
    </row>
    <row r="125" spans="1:16">
      <c r="A125" s="409">
        <v>0</v>
      </c>
      <c r="B125" s="419" t="s">
        <v>4004</v>
      </c>
      <c r="C125" s="419" t="s">
        <v>4005</v>
      </c>
      <c r="D125" s="420"/>
      <c r="E125" s="420"/>
      <c r="F125" s="420">
        <v>6337166785</v>
      </c>
      <c r="G125" s="420">
        <v>6337166785</v>
      </c>
      <c r="H125" s="420"/>
      <c r="I125" s="420"/>
      <c r="J125" s="413">
        <f t="shared" si="2"/>
        <v>0</v>
      </c>
      <c r="K125" s="412">
        <v>0</v>
      </c>
      <c r="L125" s="412">
        <f t="shared" si="3"/>
        <v>0</v>
      </c>
    </row>
    <row r="126" spans="1:16">
      <c r="A126" s="409">
        <v>0</v>
      </c>
      <c r="B126" s="419" t="s">
        <v>4006</v>
      </c>
      <c r="C126" s="419" t="s">
        <v>4007</v>
      </c>
      <c r="D126" s="420"/>
      <c r="E126" s="420"/>
      <c r="F126" s="420">
        <v>6337166785</v>
      </c>
      <c r="G126" s="420">
        <v>6337166785</v>
      </c>
      <c r="H126" s="420"/>
      <c r="I126" s="420"/>
      <c r="J126" s="413">
        <f t="shared" si="2"/>
        <v>0</v>
      </c>
      <c r="K126" s="412">
        <v>0</v>
      </c>
      <c r="L126" s="412">
        <f t="shared" si="3"/>
        <v>0</v>
      </c>
    </row>
    <row r="127" spans="1:16">
      <c r="A127" s="409">
        <v>5151</v>
      </c>
      <c r="B127" s="419" t="s">
        <v>4008</v>
      </c>
      <c r="C127" s="419" t="s">
        <v>4009</v>
      </c>
      <c r="D127" s="420"/>
      <c r="E127" s="420"/>
      <c r="F127" s="420">
        <v>269761535</v>
      </c>
      <c r="G127" s="420">
        <v>269761535</v>
      </c>
      <c r="H127" s="420"/>
      <c r="I127" s="420"/>
      <c r="J127" s="413">
        <f t="shared" si="2"/>
        <v>0</v>
      </c>
      <c r="K127" s="412">
        <v>-1622918</v>
      </c>
      <c r="L127" s="412">
        <f t="shared" si="3"/>
        <v>-1622918</v>
      </c>
    </row>
    <row r="128" spans="1:16">
      <c r="A128" s="409" t="s">
        <v>249</v>
      </c>
      <c r="B128" s="419" t="s">
        <v>4010</v>
      </c>
      <c r="C128" s="419" t="s">
        <v>974</v>
      </c>
      <c r="D128" s="420"/>
      <c r="E128" s="420"/>
      <c r="F128" s="420">
        <v>3114363445</v>
      </c>
      <c r="G128" s="420">
        <v>3114363445</v>
      </c>
      <c r="H128" s="420"/>
      <c r="I128" s="420"/>
      <c r="J128" s="413">
        <f t="shared" si="2"/>
        <v>0</v>
      </c>
      <c r="K128" s="412">
        <v>-1622918</v>
      </c>
      <c r="L128" s="412">
        <f t="shared" si="3"/>
        <v>-1622918</v>
      </c>
    </row>
    <row r="129" spans="1:12">
      <c r="A129" s="409">
        <v>5151</v>
      </c>
      <c r="B129" s="419" t="s">
        <v>4011</v>
      </c>
      <c r="C129" s="419" t="s">
        <v>4012</v>
      </c>
      <c r="D129" s="420"/>
      <c r="E129" s="420"/>
      <c r="F129" s="420">
        <v>2953041805</v>
      </c>
      <c r="G129" s="420">
        <v>2953041805</v>
      </c>
      <c r="H129" s="420"/>
      <c r="I129" s="420"/>
      <c r="J129" s="413">
        <f t="shared" si="2"/>
        <v>0</v>
      </c>
      <c r="K129" s="412">
        <v>-1622918</v>
      </c>
      <c r="L129" s="412">
        <f t="shared" si="3"/>
        <v>-1622918</v>
      </c>
    </row>
    <row r="130" spans="1:12">
      <c r="A130" s="409">
        <v>5113</v>
      </c>
      <c r="B130" s="419" t="s">
        <v>4013</v>
      </c>
      <c r="C130" s="419" t="s">
        <v>4014</v>
      </c>
      <c r="D130" s="420"/>
      <c r="E130" s="420"/>
      <c r="F130" s="420">
        <v>7978648775</v>
      </c>
      <c r="G130" s="420">
        <v>7978648775</v>
      </c>
      <c r="H130" s="420"/>
      <c r="I130" s="420"/>
      <c r="J130" s="413">
        <f t="shared" si="2"/>
        <v>0</v>
      </c>
      <c r="K130" s="412">
        <v>0</v>
      </c>
      <c r="L130" s="412">
        <f t="shared" si="3"/>
        <v>0</v>
      </c>
    </row>
    <row r="131" spans="1:12">
      <c r="A131" s="409">
        <v>0</v>
      </c>
      <c r="B131" s="419" t="s">
        <v>4015</v>
      </c>
      <c r="C131" s="419" t="s">
        <v>945</v>
      </c>
      <c r="D131" s="420"/>
      <c r="E131" s="420"/>
      <c r="F131" s="420">
        <v>7978648775</v>
      </c>
      <c r="G131" s="420">
        <v>7978648775</v>
      </c>
      <c r="H131" s="420"/>
      <c r="I131" s="420"/>
      <c r="J131" s="413">
        <f t="shared" si="2"/>
        <v>0</v>
      </c>
      <c r="K131" s="412">
        <v>0</v>
      </c>
      <c r="L131" s="412">
        <f t="shared" si="3"/>
        <v>0</v>
      </c>
    </row>
    <row r="132" spans="1:12">
      <c r="A132" s="409">
        <v>5113</v>
      </c>
      <c r="B132" s="419" t="s">
        <v>4016</v>
      </c>
      <c r="C132" s="419" t="s">
        <v>4017</v>
      </c>
      <c r="D132" s="420"/>
      <c r="E132" s="420"/>
      <c r="F132" s="420">
        <v>2700000000</v>
      </c>
      <c r="G132" s="420">
        <v>2700000000</v>
      </c>
      <c r="H132" s="420"/>
      <c r="I132" s="420"/>
      <c r="J132" s="413">
        <f t="shared" si="2"/>
        <v>0</v>
      </c>
      <c r="K132" s="412">
        <v>0</v>
      </c>
      <c r="L132" s="412">
        <f t="shared" si="3"/>
        <v>0</v>
      </c>
    </row>
    <row r="133" spans="1:12">
      <c r="A133" s="409">
        <v>0</v>
      </c>
      <c r="B133" s="416" t="s">
        <v>4018</v>
      </c>
      <c r="C133" s="416" t="s">
        <v>248</v>
      </c>
      <c r="D133" s="417"/>
      <c r="E133" s="417"/>
      <c r="F133" s="417">
        <v>43904564</v>
      </c>
      <c r="G133" s="417">
        <v>43904564</v>
      </c>
      <c r="H133" s="417"/>
      <c r="I133" s="417"/>
      <c r="J133" s="413">
        <f t="shared" si="2"/>
        <v>0</v>
      </c>
      <c r="K133" s="412">
        <v>0</v>
      </c>
      <c r="L133" s="412">
        <f t="shared" ref="L133:L177" si="4">J133+K133</f>
        <v>0</v>
      </c>
    </row>
    <row r="134" spans="1:12">
      <c r="A134" s="409">
        <v>0</v>
      </c>
      <c r="B134" s="419" t="s">
        <v>4019</v>
      </c>
      <c r="C134" s="419" t="s">
        <v>4020</v>
      </c>
      <c r="D134" s="420"/>
      <c r="E134" s="420"/>
      <c r="F134" s="420">
        <v>4187137</v>
      </c>
      <c r="G134" s="420">
        <v>4187137</v>
      </c>
      <c r="H134" s="420"/>
      <c r="I134" s="420"/>
      <c r="J134" s="413">
        <f t="shared" ref="J134:J177" si="5">H134-I134</f>
        <v>0</v>
      </c>
      <c r="K134" s="412">
        <v>0</v>
      </c>
      <c r="L134" s="412">
        <f t="shared" si="4"/>
        <v>0</v>
      </c>
    </row>
    <row r="135" spans="1:12">
      <c r="A135" s="409" t="s">
        <v>2467</v>
      </c>
      <c r="B135" s="419" t="s">
        <v>4021</v>
      </c>
      <c r="C135" s="419" t="s">
        <v>2468</v>
      </c>
      <c r="D135" s="420"/>
      <c r="E135" s="420"/>
      <c r="F135" s="420">
        <v>4187137</v>
      </c>
      <c r="G135" s="420">
        <v>4187137</v>
      </c>
      <c r="H135" s="420"/>
      <c r="I135" s="420"/>
      <c r="J135" s="413">
        <f t="shared" si="5"/>
        <v>0</v>
      </c>
      <c r="K135" s="412">
        <v>0</v>
      </c>
      <c r="L135" s="412">
        <f t="shared" si="4"/>
        <v>0</v>
      </c>
    </row>
    <row r="136" spans="1:12">
      <c r="A136" s="409" t="s">
        <v>251</v>
      </c>
      <c r="B136" s="419" t="s">
        <v>251</v>
      </c>
      <c r="C136" s="419" t="s">
        <v>783</v>
      </c>
      <c r="D136" s="420"/>
      <c r="E136" s="420"/>
      <c r="F136" s="420">
        <v>39717427</v>
      </c>
      <c r="G136" s="420">
        <v>39717427</v>
      </c>
      <c r="H136" s="420"/>
      <c r="I136" s="420"/>
      <c r="J136" s="413">
        <f t="shared" si="5"/>
        <v>0</v>
      </c>
      <c r="K136" s="412">
        <v>0</v>
      </c>
      <c r="L136" s="412">
        <f t="shared" si="4"/>
        <v>0</v>
      </c>
    </row>
    <row r="137" spans="1:12">
      <c r="A137" s="409" t="e">
        <v>#N/A</v>
      </c>
      <c r="B137" s="416" t="s">
        <v>4022</v>
      </c>
      <c r="C137" s="416" t="s">
        <v>1785</v>
      </c>
      <c r="D137" s="417"/>
      <c r="E137" s="417"/>
      <c r="F137" s="417">
        <v>733603840</v>
      </c>
      <c r="G137" s="417">
        <v>733603840</v>
      </c>
      <c r="H137" s="417"/>
      <c r="I137" s="417"/>
      <c r="J137" s="413">
        <f t="shared" si="5"/>
        <v>0</v>
      </c>
      <c r="K137" s="412">
        <v>0</v>
      </c>
      <c r="L137" s="412">
        <f t="shared" si="4"/>
        <v>0</v>
      </c>
    </row>
    <row r="138" spans="1:12">
      <c r="A138" s="409" t="e">
        <v>#N/A</v>
      </c>
      <c r="B138" s="419" t="s">
        <v>4023</v>
      </c>
      <c r="C138" s="419" t="s">
        <v>4024</v>
      </c>
      <c r="D138" s="420"/>
      <c r="E138" s="420"/>
      <c r="F138" s="420">
        <v>723603840</v>
      </c>
      <c r="G138" s="420">
        <v>723603840</v>
      </c>
      <c r="H138" s="420"/>
      <c r="I138" s="420"/>
      <c r="J138" s="413">
        <f t="shared" si="5"/>
        <v>0</v>
      </c>
      <c r="K138" s="412">
        <v>0</v>
      </c>
      <c r="L138" s="412">
        <f t="shared" si="4"/>
        <v>0</v>
      </c>
    </row>
    <row r="139" spans="1:12">
      <c r="A139" s="409" t="e">
        <v>#N/A</v>
      </c>
      <c r="B139" s="419" t="s">
        <v>4025</v>
      </c>
      <c r="C139" s="419" t="s">
        <v>4026</v>
      </c>
      <c r="D139" s="420"/>
      <c r="E139" s="420"/>
      <c r="F139" s="420">
        <v>723603840</v>
      </c>
      <c r="G139" s="420">
        <v>723603840</v>
      </c>
      <c r="H139" s="420"/>
      <c r="I139" s="420"/>
      <c r="J139" s="413">
        <f t="shared" si="5"/>
        <v>0</v>
      </c>
      <c r="K139" s="412">
        <v>0</v>
      </c>
      <c r="L139" s="412">
        <f t="shared" si="4"/>
        <v>0</v>
      </c>
    </row>
    <row r="140" spans="1:12">
      <c r="A140" s="409" t="e">
        <v>#N/A</v>
      </c>
      <c r="B140" s="419" t="s">
        <v>4027</v>
      </c>
      <c r="C140" s="419" t="s">
        <v>4028</v>
      </c>
      <c r="D140" s="420"/>
      <c r="E140" s="420"/>
      <c r="F140" s="420">
        <v>723603840</v>
      </c>
      <c r="G140" s="420">
        <v>723603840</v>
      </c>
      <c r="H140" s="420"/>
      <c r="I140" s="420"/>
      <c r="J140" s="413">
        <f t="shared" si="5"/>
        <v>0</v>
      </c>
      <c r="K140" s="412">
        <v>0</v>
      </c>
      <c r="L140" s="412">
        <f t="shared" si="4"/>
        <v>0</v>
      </c>
    </row>
    <row r="141" spans="1:12">
      <c r="A141" s="409" t="e">
        <v>#N/A</v>
      </c>
      <c r="B141" s="419" t="s">
        <v>4029</v>
      </c>
      <c r="C141" s="419" t="s">
        <v>4030</v>
      </c>
      <c r="D141" s="420"/>
      <c r="E141" s="420"/>
      <c r="F141" s="420">
        <v>723603840</v>
      </c>
      <c r="G141" s="420">
        <v>723603840</v>
      </c>
      <c r="H141" s="420"/>
      <c r="I141" s="420"/>
      <c r="J141" s="413">
        <f t="shared" si="5"/>
        <v>0</v>
      </c>
      <c r="K141" s="412">
        <v>0</v>
      </c>
      <c r="L141" s="412">
        <f t="shared" si="4"/>
        <v>0</v>
      </c>
    </row>
    <row r="142" spans="1:12">
      <c r="A142" s="409" t="e">
        <v>#N/A</v>
      </c>
      <c r="B142" s="419" t="s">
        <v>4031</v>
      </c>
      <c r="C142" s="419" t="s">
        <v>829</v>
      </c>
      <c r="D142" s="420"/>
      <c r="E142" s="420"/>
      <c r="F142" s="420">
        <v>10000000</v>
      </c>
      <c r="G142" s="420">
        <v>10000000</v>
      </c>
      <c r="H142" s="420"/>
      <c r="I142" s="420"/>
      <c r="J142" s="413">
        <f t="shared" si="5"/>
        <v>0</v>
      </c>
      <c r="K142" s="412">
        <v>0</v>
      </c>
      <c r="L142" s="412">
        <f t="shared" si="4"/>
        <v>0</v>
      </c>
    </row>
    <row r="143" spans="1:12">
      <c r="A143" s="409">
        <v>0</v>
      </c>
      <c r="B143" s="416" t="s">
        <v>4032</v>
      </c>
      <c r="C143" s="416" t="s">
        <v>1807</v>
      </c>
      <c r="D143" s="417"/>
      <c r="E143" s="417"/>
      <c r="F143" s="417">
        <v>80000000</v>
      </c>
      <c r="G143" s="417">
        <v>80000000</v>
      </c>
      <c r="H143" s="417"/>
      <c r="I143" s="417"/>
      <c r="J143" s="413">
        <f t="shared" si="5"/>
        <v>0</v>
      </c>
      <c r="K143" s="412">
        <v>0</v>
      </c>
      <c r="L143" s="412">
        <f t="shared" si="4"/>
        <v>0</v>
      </c>
    </row>
    <row r="144" spans="1:12">
      <c r="A144" s="409">
        <v>0</v>
      </c>
      <c r="B144" s="419" t="s">
        <v>4033</v>
      </c>
      <c r="C144" s="419" t="s">
        <v>4034</v>
      </c>
      <c r="D144" s="420"/>
      <c r="E144" s="420"/>
      <c r="F144" s="420">
        <v>80000000</v>
      </c>
      <c r="G144" s="420">
        <v>80000000</v>
      </c>
      <c r="H144" s="420"/>
      <c r="I144" s="420"/>
      <c r="J144" s="413">
        <f t="shared" si="5"/>
        <v>0</v>
      </c>
      <c r="K144" s="412">
        <v>0</v>
      </c>
      <c r="L144" s="412">
        <f t="shared" si="4"/>
        <v>0</v>
      </c>
    </row>
    <row r="145" spans="1:12">
      <c r="A145" s="409">
        <v>0</v>
      </c>
      <c r="B145" s="419" t="s">
        <v>4035</v>
      </c>
      <c r="C145" s="419" t="s">
        <v>4036</v>
      </c>
      <c r="D145" s="420"/>
      <c r="E145" s="420"/>
      <c r="F145" s="420">
        <v>80000000</v>
      </c>
      <c r="G145" s="420">
        <v>80000000</v>
      </c>
      <c r="H145" s="420"/>
      <c r="I145" s="420"/>
      <c r="J145" s="413">
        <f t="shared" si="5"/>
        <v>0</v>
      </c>
      <c r="K145" s="412">
        <v>0</v>
      </c>
      <c r="L145" s="412">
        <f t="shared" si="4"/>
        <v>0</v>
      </c>
    </row>
    <row r="146" spans="1:12">
      <c r="A146" s="409" t="s">
        <v>383</v>
      </c>
      <c r="B146" s="419" t="s">
        <v>4037</v>
      </c>
      <c r="C146" s="419" t="s">
        <v>4038</v>
      </c>
      <c r="D146" s="420"/>
      <c r="E146" s="420"/>
      <c r="F146" s="420">
        <v>80000000</v>
      </c>
      <c r="G146" s="420">
        <v>80000000</v>
      </c>
      <c r="H146" s="420"/>
      <c r="I146" s="420"/>
      <c r="J146" s="413">
        <f t="shared" si="5"/>
        <v>0</v>
      </c>
      <c r="K146" s="412">
        <v>0</v>
      </c>
      <c r="L146" s="412">
        <f t="shared" si="4"/>
        <v>0</v>
      </c>
    </row>
    <row r="147" spans="1:12">
      <c r="A147" s="409">
        <v>0</v>
      </c>
      <c r="B147" s="416" t="s">
        <v>4039</v>
      </c>
      <c r="C147" s="416" t="s">
        <v>1828</v>
      </c>
      <c r="D147" s="417"/>
      <c r="E147" s="417"/>
      <c r="F147" s="417">
        <v>13645681009.049999</v>
      </c>
      <c r="G147" s="417">
        <v>13645681009.049999</v>
      </c>
      <c r="H147" s="417"/>
      <c r="I147" s="417"/>
      <c r="J147" s="413">
        <f t="shared" si="5"/>
        <v>0</v>
      </c>
      <c r="K147" s="412">
        <v>0</v>
      </c>
      <c r="L147" s="412">
        <f t="shared" si="4"/>
        <v>0</v>
      </c>
    </row>
    <row r="148" spans="1:12">
      <c r="A148" s="409">
        <v>0</v>
      </c>
      <c r="B148" s="419" t="s">
        <v>4040</v>
      </c>
      <c r="C148" s="419" t="s">
        <v>377</v>
      </c>
      <c r="D148" s="420"/>
      <c r="E148" s="420"/>
      <c r="F148" s="420">
        <v>7420246465</v>
      </c>
      <c r="G148" s="420">
        <v>7420246465</v>
      </c>
      <c r="H148" s="420"/>
      <c r="I148" s="420"/>
      <c r="J148" s="413">
        <f t="shared" si="5"/>
        <v>0</v>
      </c>
      <c r="K148" s="412">
        <v>0</v>
      </c>
      <c r="L148" s="412">
        <f t="shared" si="4"/>
        <v>0</v>
      </c>
    </row>
    <row r="149" spans="1:12">
      <c r="A149" s="409" t="s">
        <v>378</v>
      </c>
      <c r="B149" s="419" t="s">
        <v>378</v>
      </c>
      <c r="C149" s="419" t="s">
        <v>865</v>
      </c>
      <c r="D149" s="420"/>
      <c r="E149" s="420"/>
      <c r="F149" s="420">
        <v>7088656278</v>
      </c>
      <c r="G149" s="420">
        <v>7088656278</v>
      </c>
      <c r="H149" s="420"/>
      <c r="I149" s="420"/>
      <c r="J149" s="413">
        <f t="shared" si="5"/>
        <v>0</v>
      </c>
      <c r="K149" s="412">
        <v>0</v>
      </c>
      <c r="L149" s="412">
        <f t="shared" si="4"/>
        <v>0</v>
      </c>
    </row>
    <row r="150" spans="1:12">
      <c r="A150" s="409" t="s">
        <v>379</v>
      </c>
      <c r="B150" s="419" t="s">
        <v>379</v>
      </c>
      <c r="C150" s="419" t="s">
        <v>4041</v>
      </c>
      <c r="D150" s="420"/>
      <c r="E150" s="420"/>
      <c r="F150" s="420">
        <v>318469642</v>
      </c>
      <c r="G150" s="420">
        <v>318469642</v>
      </c>
      <c r="H150" s="420"/>
      <c r="I150" s="420"/>
      <c r="J150" s="413">
        <f t="shared" si="5"/>
        <v>0</v>
      </c>
      <c r="K150" s="412">
        <v>0</v>
      </c>
      <c r="L150" s="412">
        <f t="shared" si="4"/>
        <v>0</v>
      </c>
    </row>
    <row r="151" spans="1:12">
      <c r="A151" s="409" t="e">
        <v>#N/A</v>
      </c>
      <c r="B151" s="419" t="s">
        <v>4042</v>
      </c>
      <c r="C151" s="419" t="s">
        <v>2941</v>
      </c>
      <c r="D151" s="420"/>
      <c r="E151" s="420"/>
      <c r="F151" s="420">
        <v>13120545</v>
      </c>
      <c r="G151" s="420">
        <v>13120545</v>
      </c>
      <c r="H151" s="420"/>
      <c r="I151" s="420"/>
      <c r="J151" s="413">
        <f t="shared" si="5"/>
        <v>0</v>
      </c>
      <c r="K151" s="412">
        <v>0</v>
      </c>
      <c r="L151" s="412">
        <f t="shared" si="4"/>
        <v>0</v>
      </c>
    </row>
    <row r="152" spans="1:12">
      <c r="A152" s="409" t="s">
        <v>411</v>
      </c>
      <c r="B152" s="419" t="s">
        <v>505</v>
      </c>
      <c r="C152" s="419" t="s">
        <v>792</v>
      </c>
      <c r="D152" s="420"/>
      <c r="E152" s="420"/>
      <c r="F152" s="420">
        <v>37919461</v>
      </c>
      <c r="G152" s="420">
        <v>37919461</v>
      </c>
      <c r="H152" s="420"/>
      <c r="I152" s="420"/>
      <c r="J152" s="413">
        <f t="shared" si="5"/>
        <v>0</v>
      </c>
      <c r="K152" s="412">
        <v>0</v>
      </c>
      <c r="L152" s="412">
        <f t="shared" si="4"/>
        <v>0</v>
      </c>
    </row>
    <row r="153" spans="1:12">
      <c r="A153" s="409" t="s">
        <v>381</v>
      </c>
      <c r="B153" s="419" t="s">
        <v>381</v>
      </c>
      <c r="C153" s="419" t="s">
        <v>2922</v>
      </c>
      <c r="D153" s="420"/>
      <c r="E153" s="420"/>
      <c r="F153" s="420">
        <v>505039600</v>
      </c>
      <c r="G153" s="420">
        <v>505039600</v>
      </c>
      <c r="H153" s="420"/>
      <c r="I153" s="420"/>
      <c r="J153" s="413">
        <f t="shared" si="5"/>
        <v>0</v>
      </c>
      <c r="K153" s="412">
        <v>0</v>
      </c>
      <c r="L153" s="412">
        <f t="shared" si="4"/>
        <v>0</v>
      </c>
    </row>
    <row r="154" spans="1:12">
      <c r="A154" s="409" t="s">
        <v>383</v>
      </c>
      <c r="B154" s="419" t="s">
        <v>4043</v>
      </c>
      <c r="C154" s="419" t="s">
        <v>4044</v>
      </c>
      <c r="D154" s="420"/>
      <c r="E154" s="420"/>
      <c r="F154" s="420">
        <v>368995910</v>
      </c>
      <c r="G154" s="420">
        <v>368995910</v>
      </c>
      <c r="H154" s="420"/>
      <c r="I154" s="420"/>
      <c r="J154" s="413">
        <f t="shared" si="5"/>
        <v>0</v>
      </c>
      <c r="K154" s="412">
        <v>0</v>
      </c>
      <c r="L154" s="412">
        <f t="shared" si="4"/>
        <v>0</v>
      </c>
    </row>
    <row r="155" spans="1:12">
      <c r="A155" s="409" t="s">
        <v>383</v>
      </c>
      <c r="B155" s="419" t="s">
        <v>4045</v>
      </c>
      <c r="C155" s="419" t="s">
        <v>4046</v>
      </c>
      <c r="D155" s="420"/>
      <c r="E155" s="420"/>
      <c r="F155" s="420">
        <v>66502791</v>
      </c>
      <c r="G155" s="420">
        <v>66502791</v>
      </c>
      <c r="H155" s="420"/>
      <c r="I155" s="420"/>
      <c r="J155" s="413">
        <f t="shared" si="5"/>
        <v>0</v>
      </c>
      <c r="K155" s="412">
        <v>0</v>
      </c>
      <c r="L155" s="412">
        <f t="shared" si="4"/>
        <v>0</v>
      </c>
    </row>
    <row r="156" spans="1:12">
      <c r="A156" s="409" t="e">
        <v>#N/A</v>
      </c>
      <c r="B156" s="419" t="s">
        <v>384</v>
      </c>
      <c r="C156" s="419" t="s">
        <v>385</v>
      </c>
      <c r="D156" s="420"/>
      <c r="E156" s="420"/>
      <c r="F156" s="420">
        <v>6758500</v>
      </c>
      <c r="G156" s="420">
        <v>6758500</v>
      </c>
      <c r="H156" s="420"/>
      <c r="I156" s="420"/>
      <c r="J156" s="413">
        <f t="shared" si="5"/>
        <v>0</v>
      </c>
      <c r="K156" s="412">
        <v>0</v>
      </c>
      <c r="L156" s="412">
        <f t="shared" si="4"/>
        <v>0</v>
      </c>
    </row>
    <row r="157" spans="1:12">
      <c r="A157" s="409" t="e">
        <v>#N/A</v>
      </c>
      <c r="B157" s="419" t="s">
        <v>4047</v>
      </c>
      <c r="C157" s="419" t="s">
        <v>272</v>
      </c>
      <c r="D157" s="420"/>
      <c r="E157" s="420"/>
      <c r="F157" s="420">
        <v>36659228</v>
      </c>
      <c r="G157" s="420">
        <v>36659228</v>
      </c>
      <c r="H157" s="420"/>
      <c r="I157" s="420"/>
      <c r="J157" s="413">
        <f t="shared" si="5"/>
        <v>0</v>
      </c>
      <c r="K157" s="412">
        <v>0</v>
      </c>
      <c r="L157" s="412">
        <f t="shared" si="4"/>
        <v>0</v>
      </c>
    </row>
    <row r="158" spans="1:12">
      <c r="A158" s="409" t="s">
        <v>413</v>
      </c>
      <c r="B158" s="419" t="s">
        <v>4048</v>
      </c>
      <c r="C158" s="419" t="s">
        <v>4049</v>
      </c>
      <c r="D158" s="420"/>
      <c r="E158" s="420"/>
      <c r="F158" s="420">
        <v>222243836</v>
      </c>
      <c r="G158" s="420">
        <v>222243836</v>
      </c>
      <c r="H158" s="420"/>
      <c r="I158" s="420"/>
      <c r="J158" s="413">
        <f t="shared" si="5"/>
        <v>0</v>
      </c>
      <c r="K158" s="412">
        <v>0</v>
      </c>
      <c r="L158" s="412">
        <f t="shared" si="4"/>
        <v>0</v>
      </c>
    </row>
    <row r="159" spans="1:12">
      <c r="A159" s="409" t="s">
        <v>424</v>
      </c>
      <c r="B159" s="419" t="s">
        <v>4050</v>
      </c>
      <c r="C159" s="419" t="s">
        <v>4051</v>
      </c>
      <c r="D159" s="420"/>
      <c r="E159" s="420"/>
      <c r="F159" s="420">
        <v>483671375</v>
      </c>
      <c r="G159" s="420">
        <v>483671375</v>
      </c>
      <c r="H159" s="420"/>
      <c r="I159" s="420"/>
      <c r="J159" s="413">
        <f t="shared" si="5"/>
        <v>0</v>
      </c>
      <c r="K159" s="412">
        <v>0</v>
      </c>
      <c r="L159" s="412">
        <f t="shared" si="4"/>
        <v>0</v>
      </c>
    </row>
    <row r="160" spans="1:12">
      <c r="A160" s="409" t="s">
        <v>407</v>
      </c>
      <c r="B160" s="419" t="s">
        <v>4052</v>
      </c>
      <c r="C160" s="419" t="s">
        <v>4053</v>
      </c>
      <c r="D160" s="420"/>
      <c r="E160" s="420"/>
      <c r="F160" s="420">
        <v>977272731</v>
      </c>
      <c r="G160" s="420">
        <v>977272731</v>
      </c>
      <c r="H160" s="420"/>
      <c r="I160" s="420"/>
      <c r="J160" s="413">
        <f t="shared" si="5"/>
        <v>0</v>
      </c>
      <c r="K160" s="412">
        <v>0</v>
      </c>
      <c r="L160" s="412">
        <f t="shared" si="4"/>
        <v>0</v>
      </c>
    </row>
    <row r="161" spans="1:12">
      <c r="A161" s="409" t="e">
        <v>#N/A</v>
      </c>
      <c r="B161" s="419" t="s">
        <v>4054</v>
      </c>
      <c r="C161" s="419" t="s">
        <v>4055</v>
      </c>
      <c r="D161" s="420"/>
      <c r="E161" s="420"/>
      <c r="F161" s="420">
        <v>30480146</v>
      </c>
      <c r="G161" s="420">
        <v>30480146</v>
      </c>
      <c r="H161" s="420"/>
      <c r="I161" s="420"/>
      <c r="J161" s="413">
        <f t="shared" si="5"/>
        <v>0</v>
      </c>
      <c r="K161" s="412">
        <v>0</v>
      </c>
      <c r="L161" s="412">
        <f t="shared" si="4"/>
        <v>0</v>
      </c>
    </row>
    <row r="162" spans="1:12">
      <c r="A162" s="409" t="e">
        <v>#N/A</v>
      </c>
      <c r="B162" s="419" t="s">
        <v>4056</v>
      </c>
      <c r="C162" s="419" t="s">
        <v>364</v>
      </c>
      <c r="D162" s="420"/>
      <c r="E162" s="420"/>
      <c r="F162" s="420">
        <v>49648154</v>
      </c>
      <c r="G162" s="420">
        <v>49648154</v>
      </c>
      <c r="H162" s="420"/>
      <c r="I162" s="420"/>
      <c r="J162" s="413">
        <f t="shared" si="5"/>
        <v>0</v>
      </c>
      <c r="K162" s="412">
        <v>0</v>
      </c>
      <c r="L162" s="412">
        <f t="shared" si="4"/>
        <v>0</v>
      </c>
    </row>
    <row r="163" spans="1:12">
      <c r="A163" s="409" t="s">
        <v>435</v>
      </c>
      <c r="B163" s="419" t="s">
        <v>4057</v>
      </c>
      <c r="C163" s="419" t="s">
        <v>4058</v>
      </c>
      <c r="D163" s="420"/>
      <c r="E163" s="420"/>
      <c r="F163" s="420">
        <v>52048392</v>
      </c>
      <c r="G163" s="420">
        <v>52048392</v>
      </c>
      <c r="H163" s="420"/>
      <c r="I163" s="420"/>
      <c r="J163" s="413">
        <f t="shared" si="5"/>
        <v>0</v>
      </c>
      <c r="K163" s="412">
        <v>0</v>
      </c>
      <c r="L163" s="412">
        <f t="shared" si="4"/>
        <v>0</v>
      </c>
    </row>
    <row r="164" spans="1:12">
      <c r="A164" s="409" t="s">
        <v>395</v>
      </c>
      <c r="B164" s="419" t="s">
        <v>4059</v>
      </c>
      <c r="C164" s="419" t="s">
        <v>4060</v>
      </c>
      <c r="D164" s="420"/>
      <c r="E164" s="420"/>
      <c r="F164" s="420">
        <v>20972821</v>
      </c>
      <c r="G164" s="420">
        <v>20972821</v>
      </c>
      <c r="H164" s="420"/>
      <c r="I164" s="420"/>
      <c r="J164" s="413">
        <f t="shared" si="5"/>
        <v>0</v>
      </c>
      <c r="K164" s="412">
        <v>0</v>
      </c>
      <c r="L164" s="412">
        <f t="shared" si="4"/>
        <v>0</v>
      </c>
    </row>
    <row r="165" spans="1:12">
      <c r="A165" s="409" t="s">
        <v>401</v>
      </c>
      <c r="B165" s="419" t="s">
        <v>4061</v>
      </c>
      <c r="C165" s="419" t="s">
        <v>4062</v>
      </c>
      <c r="D165" s="420"/>
      <c r="E165" s="420"/>
      <c r="F165" s="420">
        <v>9470100</v>
      </c>
      <c r="G165" s="420">
        <v>9470100</v>
      </c>
      <c r="H165" s="420"/>
      <c r="I165" s="420"/>
      <c r="J165" s="413">
        <f t="shared" si="5"/>
        <v>0</v>
      </c>
      <c r="K165" s="412">
        <v>0</v>
      </c>
      <c r="L165" s="412">
        <f t="shared" si="4"/>
        <v>0</v>
      </c>
    </row>
    <row r="166" spans="1:12">
      <c r="A166" s="409" t="s">
        <v>393</v>
      </c>
      <c r="B166" s="419" t="s">
        <v>4063</v>
      </c>
      <c r="C166" s="419" t="s">
        <v>4064</v>
      </c>
      <c r="D166" s="420"/>
      <c r="E166" s="420"/>
      <c r="F166" s="420">
        <v>3345246</v>
      </c>
      <c r="G166" s="420">
        <v>3345246</v>
      </c>
      <c r="H166" s="420"/>
      <c r="I166" s="420"/>
      <c r="J166" s="413">
        <f t="shared" si="5"/>
        <v>0</v>
      </c>
      <c r="K166" s="412">
        <v>0</v>
      </c>
      <c r="L166" s="412">
        <f t="shared" si="4"/>
        <v>0</v>
      </c>
    </row>
    <row r="167" spans="1:12">
      <c r="A167" s="410" t="s">
        <v>437</v>
      </c>
      <c r="B167" s="419" t="s">
        <v>4065</v>
      </c>
      <c r="C167" s="419" t="s">
        <v>445</v>
      </c>
      <c r="D167" s="420"/>
      <c r="E167" s="420"/>
      <c r="F167" s="420">
        <v>3277006253.0500002</v>
      </c>
      <c r="G167" s="420">
        <v>3277006253.0500002</v>
      </c>
      <c r="H167" s="420"/>
      <c r="I167" s="420"/>
      <c r="J167" s="413">
        <f t="shared" si="5"/>
        <v>0</v>
      </c>
      <c r="K167" s="412"/>
      <c r="L167" s="412">
        <f t="shared" si="4"/>
        <v>0</v>
      </c>
    </row>
    <row r="168" spans="1:12">
      <c r="A168" s="409" t="e">
        <v>#N/A</v>
      </c>
      <c r="B168" s="419" t="s">
        <v>440</v>
      </c>
      <c r="C168" s="419" t="s">
        <v>4066</v>
      </c>
      <c r="D168" s="420"/>
      <c r="E168" s="420"/>
      <c r="F168" s="420">
        <v>77400000</v>
      </c>
      <c r="G168" s="420">
        <v>77400000</v>
      </c>
      <c r="H168" s="420"/>
      <c r="I168" s="420"/>
      <c r="J168" s="413">
        <f t="shared" si="5"/>
        <v>0</v>
      </c>
      <c r="K168" s="412">
        <v>0</v>
      </c>
      <c r="L168" s="412">
        <f t="shared" si="4"/>
        <v>0</v>
      </c>
    </row>
    <row r="169" spans="1:12">
      <c r="A169" s="409">
        <v>0</v>
      </c>
      <c r="B169" s="416" t="s">
        <v>4067</v>
      </c>
      <c r="C169" s="416" t="s">
        <v>443</v>
      </c>
      <c r="D169" s="417"/>
      <c r="E169" s="417"/>
      <c r="F169" s="417">
        <v>19335259</v>
      </c>
      <c r="G169" s="417">
        <v>19335259</v>
      </c>
      <c r="H169" s="417"/>
      <c r="I169" s="417"/>
      <c r="J169" s="413">
        <f t="shared" si="5"/>
        <v>0</v>
      </c>
      <c r="K169" s="412">
        <v>0</v>
      </c>
      <c r="L169" s="412">
        <f t="shared" si="4"/>
        <v>0</v>
      </c>
    </row>
    <row r="170" spans="1:12">
      <c r="A170" s="409" t="s">
        <v>442</v>
      </c>
      <c r="B170" s="419" t="s">
        <v>4068</v>
      </c>
      <c r="C170" s="419" t="s">
        <v>4069</v>
      </c>
      <c r="D170" s="420"/>
      <c r="E170" s="420"/>
      <c r="F170" s="420">
        <v>19335259</v>
      </c>
      <c r="G170" s="420">
        <v>19335259</v>
      </c>
      <c r="H170" s="420"/>
      <c r="I170" s="420"/>
      <c r="J170" s="413">
        <f t="shared" si="5"/>
        <v>0</v>
      </c>
      <c r="K170" s="412">
        <v>0</v>
      </c>
      <c r="L170" s="412">
        <f t="shared" si="4"/>
        <v>0</v>
      </c>
    </row>
    <row r="171" spans="1:12">
      <c r="A171" s="409">
        <v>0</v>
      </c>
      <c r="B171" s="416" t="s">
        <v>4070</v>
      </c>
      <c r="C171" s="416" t="s">
        <v>445</v>
      </c>
      <c r="D171" s="417"/>
      <c r="E171" s="417"/>
      <c r="F171" s="417">
        <v>2526410643</v>
      </c>
      <c r="G171" s="417">
        <v>2526410643</v>
      </c>
      <c r="H171" s="417"/>
      <c r="I171" s="417"/>
      <c r="J171" s="413">
        <f t="shared" si="5"/>
        <v>0</v>
      </c>
      <c r="K171" s="412">
        <v>0</v>
      </c>
      <c r="L171" s="412">
        <f t="shared" si="4"/>
        <v>0</v>
      </c>
    </row>
    <row r="172" spans="1:12">
      <c r="A172" s="410" t="s">
        <v>444</v>
      </c>
      <c r="B172" s="419" t="s">
        <v>4071</v>
      </c>
      <c r="C172" s="419" t="s">
        <v>4072</v>
      </c>
      <c r="D172" s="420"/>
      <c r="E172" s="420"/>
      <c r="F172" s="420">
        <v>19335259</v>
      </c>
      <c r="G172" s="420">
        <v>19335259</v>
      </c>
      <c r="H172" s="420"/>
      <c r="I172" s="420"/>
      <c r="J172" s="413">
        <f t="shared" si="5"/>
        <v>0</v>
      </c>
      <c r="K172" s="412">
        <v>0</v>
      </c>
      <c r="L172" s="412">
        <f t="shared" si="4"/>
        <v>0</v>
      </c>
    </row>
    <row r="173" spans="1:12">
      <c r="A173" s="410" t="s">
        <v>444</v>
      </c>
      <c r="B173" s="419" t="s">
        <v>4073</v>
      </c>
      <c r="C173" s="419" t="s">
        <v>445</v>
      </c>
      <c r="D173" s="420"/>
      <c r="E173" s="420"/>
      <c r="F173" s="420">
        <v>2507075384</v>
      </c>
      <c r="G173" s="420">
        <v>2507075384</v>
      </c>
      <c r="H173" s="420"/>
      <c r="I173" s="420"/>
      <c r="J173" s="413">
        <f t="shared" si="5"/>
        <v>0</v>
      </c>
      <c r="K173" s="412"/>
      <c r="L173" s="412">
        <f t="shared" si="4"/>
        <v>0</v>
      </c>
    </row>
    <row r="174" spans="1:12">
      <c r="A174" s="409">
        <v>0</v>
      </c>
      <c r="B174" s="416" t="s">
        <v>4074</v>
      </c>
      <c r="C174" s="416" t="s">
        <v>447</v>
      </c>
      <c r="D174" s="417"/>
      <c r="E174" s="417"/>
      <c r="F174" s="417">
        <f>F175</f>
        <v>2926621932.9499998</v>
      </c>
      <c r="G174" s="417">
        <f>G175</f>
        <v>-2926621932.9499998</v>
      </c>
      <c r="H174" s="417"/>
      <c r="I174" s="417"/>
      <c r="J174" s="413">
        <f t="shared" si="5"/>
        <v>0</v>
      </c>
      <c r="K174" s="412">
        <v>0</v>
      </c>
      <c r="L174" s="412">
        <f t="shared" si="4"/>
        <v>0</v>
      </c>
    </row>
    <row r="175" spans="1:12">
      <c r="A175" s="409" t="s">
        <v>446</v>
      </c>
      <c r="B175" s="419" t="s">
        <v>769</v>
      </c>
      <c r="C175" s="419" t="s">
        <v>4075</v>
      </c>
      <c r="D175" s="420"/>
      <c r="E175" s="420"/>
      <c r="F175" s="420">
        <v>2926621932.9499998</v>
      </c>
      <c r="G175" s="420">
        <f>-F175</f>
        <v>-2926621932.9499998</v>
      </c>
      <c r="H175" s="420"/>
      <c r="I175" s="420"/>
      <c r="J175" s="413">
        <f t="shared" si="5"/>
        <v>0</v>
      </c>
      <c r="K175" s="412">
        <v>0</v>
      </c>
      <c r="L175" s="412">
        <f t="shared" si="4"/>
        <v>0</v>
      </c>
    </row>
    <row r="176" spans="1:12">
      <c r="A176" s="409"/>
      <c r="B176" s="415"/>
      <c r="C176" s="416" t="s">
        <v>4076</v>
      </c>
      <c r="D176" s="417"/>
      <c r="E176" s="417"/>
      <c r="F176" s="417"/>
      <c r="G176" s="417"/>
      <c r="H176" s="417"/>
      <c r="I176" s="417"/>
      <c r="J176" s="413">
        <f t="shared" si="5"/>
        <v>0</v>
      </c>
      <c r="K176" s="412">
        <v>0</v>
      </c>
      <c r="L176" s="412">
        <f t="shared" si="4"/>
        <v>0</v>
      </c>
    </row>
    <row r="177" spans="1:12">
      <c r="A177" s="409"/>
      <c r="B177" s="423"/>
      <c r="C177" s="423"/>
      <c r="D177" s="424"/>
      <c r="E177" s="424"/>
      <c r="F177" s="424"/>
      <c r="G177" s="424"/>
      <c r="H177" s="424"/>
      <c r="I177" s="424"/>
      <c r="J177" s="413">
        <f t="shared" si="5"/>
        <v>0</v>
      </c>
      <c r="K177" s="412">
        <v>0</v>
      </c>
      <c r="L177" s="412">
        <f t="shared" si="4"/>
        <v>0</v>
      </c>
    </row>
    <row r="179" spans="1:12">
      <c r="H179" s="425" t="s">
        <v>4077</v>
      </c>
    </row>
    <row r="180" spans="1:12">
      <c r="H180" s="426" t="s">
        <v>4078</v>
      </c>
    </row>
    <row r="185" spans="1:12">
      <c r="H185" s="426" t="s">
        <v>4079</v>
      </c>
    </row>
  </sheetData>
  <autoFilter ref="A3:P177" xr:uid="{DB505CEA-C68F-42A2-AB57-C3AAFCE49552}"/>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DB6F4-2FB3-410C-93CA-DD3D156CB670}">
  <sheetPr codeName="Sheet34">
    <tabColor rgb="FF7030A0"/>
  </sheetPr>
  <dimension ref="A1:I9"/>
  <sheetViews>
    <sheetView zoomScale="108" workbookViewId="0">
      <selection activeCell="H16" sqref="H16"/>
    </sheetView>
  </sheetViews>
  <sheetFormatPr defaultColWidth="8.85546875" defaultRowHeight="12.75"/>
  <cols>
    <col min="1" max="1" width="10.42578125" style="2" bestFit="1" customWidth="1"/>
    <col min="2" max="2" width="16.85546875" style="2" bestFit="1" customWidth="1"/>
    <col min="3" max="3" width="16.140625" style="2" customWidth="1"/>
    <col min="4" max="4" width="13.42578125" style="2" customWidth="1"/>
    <col min="5" max="5" width="10.140625" style="2" customWidth="1"/>
    <col min="6" max="6" width="13.140625" style="2" customWidth="1"/>
    <col min="7" max="7" width="9" style="2" bestFit="1" customWidth="1"/>
    <col min="8" max="8" width="14" style="2" bestFit="1" customWidth="1"/>
    <col min="9" max="16384" width="8.85546875" style="2"/>
  </cols>
  <sheetData>
    <row r="1" spans="1:9">
      <c r="A1" s="1" t="s">
        <v>0</v>
      </c>
      <c r="B1" s="850" t="s">
        <v>1</v>
      </c>
      <c r="C1" s="850"/>
      <c r="D1" s="850"/>
      <c r="E1" s="850"/>
      <c r="F1" s="850"/>
      <c r="G1" s="850"/>
      <c r="H1" s="850"/>
      <c r="I1" s="850"/>
    </row>
    <row r="2" spans="1:9">
      <c r="A2" s="1" t="s">
        <v>2</v>
      </c>
      <c r="B2" s="852">
        <v>45291</v>
      </c>
      <c r="C2" s="850"/>
      <c r="D2" s="850"/>
      <c r="E2" s="850"/>
      <c r="F2" s="850"/>
      <c r="G2" s="850"/>
      <c r="H2" s="850"/>
      <c r="I2" s="850"/>
    </row>
    <row r="3" spans="1:9">
      <c r="A3" s="3" t="s">
        <v>4080</v>
      </c>
      <c r="B3" s="850"/>
      <c r="C3" s="850"/>
      <c r="D3" s="850"/>
      <c r="E3" s="850"/>
      <c r="F3" s="850"/>
      <c r="G3" s="850"/>
      <c r="H3" s="850"/>
      <c r="I3" s="850"/>
    </row>
    <row r="7" spans="1:9" ht="38.25">
      <c r="A7" s="598" t="s">
        <v>4081</v>
      </c>
      <c r="B7" s="599" t="s">
        <v>4082</v>
      </c>
      <c r="C7" s="599" t="s">
        <v>4083</v>
      </c>
      <c r="D7" s="598" t="s">
        <v>4084</v>
      </c>
      <c r="E7" s="599" t="s">
        <v>4085</v>
      </c>
      <c r="F7" s="599" t="s">
        <v>4086</v>
      </c>
      <c r="G7" s="598" t="s">
        <v>4087</v>
      </c>
      <c r="H7" s="598" t="s">
        <v>4088</v>
      </c>
      <c r="I7" s="598" t="s">
        <v>777</v>
      </c>
    </row>
    <row r="8" spans="1:9">
      <c r="A8" s="856">
        <v>44926</v>
      </c>
      <c r="B8" s="848">
        <f>'A1.BS'!V121</f>
        <v>134641110000</v>
      </c>
      <c r="C8" s="850"/>
      <c r="D8" s="857">
        <f>B8/10000</f>
        <v>13464111</v>
      </c>
      <c r="E8" s="856">
        <v>44927</v>
      </c>
      <c r="F8" s="856">
        <v>44966</v>
      </c>
      <c r="G8" s="850">
        <f>F8-E8+1</f>
        <v>40</v>
      </c>
      <c r="H8" s="848"/>
      <c r="I8" s="850"/>
    </row>
    <row r="9" spans="1:9">
      <c r="A9" s="850"/>
      <c r="B9" s="848">
        <f>'A1.BS'!R122</f>
        <v>134641110000</v>
      </c>
      <c r="C9" s="857">
        <f>D9-D8</f>
        <v>0</v>
      </c>
      <c r="D9" s="857">
        <f>B9/10000</f>
        <v>13464111</v>
      </c>
      <c r="E9" s="856">
        <v>44967</v>
      </c>
      <c r="F9" s="856">
        <v>45291</v>
      </c>
      <c r="G9" s="850">
        <f>F9-E9+1</f>
        <v>325</v>
      </c>
      <c r="H9" s="848">
        <f>D8+C9*G9/365</f>
        <v>13464111</v>
      </c>
      <c r="I9" s="850"/>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0EE52-29D6-4DD9-9129-740793DC7F92}">
  <sheetPr codeName="Sheet36">
    <tabColor rgb="FF7030A0"/>
  </sheetPr>
  <dimension ref="A1:U220"/>
  <sheetViews>
    <sheetView workbookViewId="0">
      <selection activeCell="V6" sqref="V6"/>
    </sheetView>
  </sheetViews>
  <sheetFormatPr defaultColWidth="8.85546875" defaultRowHeight="12.75"/>
  <cols>
    <col min="1" max="2" width="8.42578125" style="8" bestFit="1" customWidth="1"/>
    <col min="3" max="3" width="8.5703125" style="8" bestFit="1" customWidth="1"/>
    <col min="4" max="4" width="25.42578125" style="8" bestFit="1" customWidth="1"/>
    <col min="5" max="5" width="34.5703125" style="8" bestFit="1" customWidth="1"/>
    <col min="6" max="6" width="7.42578125" style="8" bestFit="1" customWidth="1"/>
    <col min="7" max="7" width="7.5703125" style="8" bestFit="1" customWidth="1"/>
    <col min="8" max="8" width="7.5703125" style="8" customWidth="1"/>
    <col min="9" max="10" width="11.42578125" style="8" bestFit="1" customWidth="1"/>
    <col min="11" max="11" width="5.42578125" style="8" bestFit="1" customWidth="1"/>
    <col min="12" max="12" width="5.5703125" style="8" bestFit="1" customWidth="1"/>
    <col min="13" max="13" width="7.42578125" style="8" bestFit="1" customWidth="1"/>
    <col min="14" max="14" width="9.42578125" style="8" bestFit="1" customWidth="1"/>
    <col min="15" max="17" width="8.85546875" style="8"/>
    <col min="18" max="18" width="13" style="8" bestFit="1" customWidth="1"/>
    <col min="19" max="20" width="18.5703125" style="8" bestFit="1" customWidth="1"/>
    <col min="21" max="21" width="16.5703125" style="8" bestFit="1" customWidth="1"/>
    <col min="22" max="16384" width="8.85546875" style="8"/>
  </cols>
  <sheetData>
    <row r="1" spans="1:21">
      <c r="A1" s="8" t="s">
        <v>4089</v>
      </c>
    </row>
    <row r="2" spans="1:21" ht="31.5">
      <c r="A2" s="433" t="s">
        <v>449</v>
      </c>
      <c r="B2" s="433" t="s">
        <v>450</v>
      </c>
      <c r="C2" s="434" t="s">
        <v>451</v>
      </c>
      <c r="D2" s="434" t="s">
        <v>454</v>
      </c>
      <c r="E2" s="434" t="s">
        <v>455</v>
      </c>
      <c r="F2" s="434" t="s">
        <v>456</v>
      </c>
      <c r="G2" s="434" t="s">
        <v>457</v>
      </c>
      <c r="H2" s="434" t="s">
        <v>749</v>
      </c>
      <c r="I2" s="435" t="s">
        <v>459</v>
      </c>
      <c r="J2" s="435" t="s">
        <v>460</v>
      </c>
      <c r="K2" s="434" t="s">
        <v>461</v>
      </c>
      <c r="L2" s="434" t="s">
        <v>462</v>
      </c>
      <c r="M2" s="434" t="s">
        <v>464</v>
      </c>
      <c r="N2" s="434" t="s">
        <v>466</v>
      </c>
    </row>
    <row r="3" spans="1:21">
      <c r="A3" s="437">
        <v>44592</v>
      </c>
      <c r="B3" s="437">
        <v>44592</v>
      </c>
      <c r="C3" s="438" t="s">
        <v>4090</v>
      </c>
      <c r="D3" s="438" t="s">
        <v>4091</v>
      </c>
      <c r="E3" s="438" t="s">
        <v>468</v>
      </c>
      <c r="F3" s="438" t="s">
        <v>446</v>
      </c>
      <c r="G3" s="438" t="s">
        <v>720</v>
      </c>
      <c r="H3" s="438" t="str">
        <f>LEFT(G3,3)</f>
        <v>511</v>
      </c>
      <c r="I3" s="439">
        <v>0</v>
      </c>
      <c r="J3" s="439">
        <v>6840013692</v>
      </c>
      <c r="K3" s="438"/>
      <c r="L3" s="438"/>
      <c r="M3" s="438"/>
      <c r="N3" s="438" t="s">
        <v>488</v>
      </c>
    </row>
    <row r="4" spans="1:21">
      <c r="A4" s="437">
        <v>44592</v>
      </c>
      <c r="B4" s="437">
        <v>44592</v>
      </c>
      <c r="C4" s="438" t="s">
        <v>4090</v>
      </c>
      <c r="D4" s="438" t="s">
        <v>4091</v>
      </c>
      <c r="E4" s="438" t="s">
        <v>468</v>
      </c>
      <c r="F4" s="438" t="s">
        <v>446</v>
      </c>
      <c r="G4" s="438" t="s">
        <v>221</v>
      </c>
      <c r="H4" s="438" t="str">
        <f t="shared" ref="H4:H67" si="0">LEFT(G4,3)</f>
        <v>511</v>
      </c>
      <c r="I4" s="439">
        <v>0</v>
      </c>
      <c r="J4" s="439">
        <v>3176550</v>
      </c>
      <c r="K4" s="438"/>
      <c r="L4" s="438"/>
      <c r="M4" s="438"/>
      <c r="N4" s="438" t="s">
        <v>488</v>
      </c>
      <c r="R4" s="8" t="s">
        <v>469</v>
      </c>
      <c r="S4" s="8" t="s">
        <v>470</v>
      </c>
      <c r="T4" s="8" t="s">
        <v>471</v>
      </c>
    </row>
    <row r="5" spans="1:21">
      <c r="A5" s="437">
        <v>44592</v>
      </c>
      <c r="B5" s="437">
        <v>44592</v>
      </c>
      <c r="C5" s="438" t="s">
        <v>4090</v>
      </c>
      <c r="D5" s="438" t="s">
        <v>4091</v>
      </c>
      <c r="E5" s="438" t="s">
        <v>472</v>
      </c>
      <c r="F5" s="438" t="s">
        <v>446</v>
      </c>
      <c r="G5" s="438">
        <v>5152</v>
      </c>
      <c r="H5" s="438" t="str">
        <f t="shared" si="0"/>
        <v>515</v>
      </c>
      <c r="I5" s="439">
        <v>0</v>
      </c>
      <c r="J5" s="439">
        <v>20199662</v>
      </c>
      <c r="K5" s="438"/>
      <c r="L5" s="438"/>
      <c r="M5" s="438"/>
      <c r="N5" s="438" t="s">
        <v>488</v>
      </c>
      <c r="R5" s="14" t="s">
        <v>217</v>
      </c>
      <c r="S5" s="13">
        <v>1939962405</v>
      </c>
      <c r="T5" s="13">
        <v>127800286501</v>
      </c>
    </row>
    <row r="6" spans="1:21">
      <c r="A6" s="437">
        <v>44592</v>
      </c>
      <c r="B6" s="437">
        <v>44592</v>
      </c>
      <c r="C6" s="438" t="s">
        <v>4090</v>
      </c>
      <c r="D6" s="438" t="s">
        <v>4091</v>
      </c>
      <c r="E6" s="438" t="s">
        <v>473</v>
      </c>
      <c r="F6" s="438" t="s">
        <v>446</v>
      </c>
      <c r="G6" s="438" t="s">
        <v>303</v>
      </c>
      <c r="H6" s="438" t="str">
        <f t="shared" si="0"/>
        <v>632</v>
      </c>
      <c r="I6" s="439">
        <v>6713372943</v>
      </c>
      <c r="J6" s="439">
        <v>0</v>
      </c>
      <c r="K6" s="438"/>
      <c r="L6" s="438"/>
      <c r="M6" s="438"/>
      <c r="N6" s="438" t="s">
        <v>488</v>
      </c>
      <c r="R6" s="14" t="s">
        <v>720</v>
      </c>
      <c r="S6" s="13">
        <v>0</v>
      </c>
      <c r="T6" s="13">
        <v>154539190198</v>
      </c>
      <c r="U6" s="13">
        <f>S6-T6</f>
        <v>-154539190198</v>
      </c>
    </row>
    <row r="7" spans="1:21">
      <c r="A7" s="437">
        <v>44592</v>
      </c>
      <c r="B7" s="437">
        <v>44592</v>
      </c>
      <c r="C7" s="438" t="s">
        <v>4090</v>
      </c>
      <c r="D7" s="438" t="s">
        <v>4091</v>
      </c>
      <c r="E7" s="438" t="s">
        <v>475</v>
      </c>
      <c r="F7" s="438" t="s">
        <v>446</v>
      </c>
      <c r="G7" s="438" t="s">
        <v>831</v>
      </c>
      <c r="H7" s="438" t="str">
        <f t="shared" si="0"/>
        <v>641</v>
      </c>
      <c r="I7" s="439">
        <v>22300000</v>
      </c>
      <c r="J7" s="439">
        <v>0</v>
      </c>
      <c r="K7" s="438"/>
      <c r="L7" s="438"/>
      <c r="M7" s="438"/>
      <c r="N7" s="438" t="s">
        <v>488</v>
      </c>
      <c r="R7" s="14" t="s">
        <v>221</v>
      </c>
      <c r="S7" s="13">
        <v>0</v>
      </c>
      <c r="T7" s="13">
        <v>10438836</v>
      </c>
      <c r="U7" s="13">
        <f t="shared" ref="U7:U31" si="1">S7-T7</f>
        <v>-10438836</v>
      </c>
    </row>
    <row r="8" spans="1:21">
      <c r="A8" s="437">
        <v>44592</v>
      </c>
      <c r="B8" s="437">
        <v>44592</v>
      </c>
      <c r="C8" s="438" t="s">
        <v>4090</v>
      </c>
      <c r="D8" s="438" t="s">
        <v>4091</v>
      </c>
      <c r="E8" s="438" t="s">
        <v>475</v>
      </c>
      <c r="F8" s="438" t="s">
        <v>446</v>
      </c>
      <c r="G8" s="438" t="s">
        <v>837</v>
      </c>
      <c r="H8" s="438" t="str">
        <f t="shared" si="0"/>
        <v>641</v>
      </c>
      <c r="I8" s="439">
        <v>1056000</v>
      </c>
      <c r="J8" s="439">
        <v>0</v>
      </c>
      <c r="K8" s="438"/>
      <c r="L8" s="438"/>
      <c r="M8" s="438"/>
      <c r="N8" s="438" t="s">
        <v>488</v>
      </c>
      <c r="R8" s="14" t="s">
        <v>303</v>
      </c>
      <c r="S8" s="13">
        <v>153392839350</v>
      </c>
      <c r="T8" s="13">
        <v>0</v>
      </c>
      <c r="U8" s="13">
        <f t="shared" si="1"/>
        <v>153392839350</v>
      </c>
    </row>
    <row r="9" spans="1:21">
      <c r="A9" s="437">
        <v>44592</v>
      </c>
      <c r="B9" s="437">
        <v>44592</v>
      </c>
      <c r="C9" s="438" t="s">
        <v>4090</v>
      </c>
      <c r="D9" s="438" t="s">
        <v>4091</v>
      </c>
      <c r="E9" s="438" t="s">
        <v>475</v>
      </c>
      <c r="F9" s="438" t="s">
        <v>446</v>
      </c>
      <c r="G9" s="438" t="s">
        <v>347</v>
      </c>
      <c r="H9" s="438" t="str">
        <f t="shared" si="0"/>
        <v>641</v>
      </c>
      <c r="I9" s="439">
        <v>26385470</v>
      </c>
      <c r="J9" s="439">
        <v>0</v>
      </c>
      <c r="K9" s="438"/>
      <c r="L9" s="438"/>
      <c r="M9" s="438"/>
      <c r="N9" s="438" t="s">
        <v>488</v>
      </c>
      <c r="R9" s="14" t="s">
        <v>305</v>
      </c>
      <c r="S9" s="13">
        <v>127426520518</v>
      </c>
      <c r="T9" s="13">
        <v>1115460751</v>
      </c>
      <c r="U9" s="13">
        <f t="shared" si="1"/>
        <v>126311059767</v>
      </c>
    </row>
    <row r="10" spans="1:21">
      <c r="A10" s="437">
        <v>44592</v>
      </c>
      <c r="B10" s="437">
        <v>44592</v>
      </c>
      <c r="C10" s="438" t="s">
        <v>4090</v>
      </c>
      <c r="D10" s="438" t="s">
        <v>4091</v>
      </c>
      <c r="E10" s="438" t="s">
        <v>475</v>
      </c>
      <c r="F10" s="438" t="s">
        <v>446</v>
      </c>
      <c r="G10" s="438" t="s">
        <v>350</v>
      </c>
      <c r="H10" s="438" t="str">
        <f t="shared" si="0"/>
        <v>641</v>
      </c>
      <c r="I10" s="439">
        <v>8042504</v>
      </c>
      <c r="J10" s="439">
        <v>0</v>
      </c>
      <c r="K10" s="438"/>
      <c r="L10" s="438"/>
      <c r="M10" s="438"/>
      <c r="N10" s="438" t="s">
        <v>488</v>
      </c>
      <c r="R10" s="14" t="s">
        <v>831</v>
      </c>
      <c r="S10" s="13">
        <v>92978571</v>
      </c>
      <c r="T10" s="13">
        <v>0</v>
      </c>
      <c r="U10" s="13">
        <f t="shared" si="1"/>
        <v>92978571</v>
      </c>
    </row>
    <row r="11" spans="1:21">
      <c r="A11" s="437">
        <v>44592</v>
      </c>
      <c r="B11" s="437">
        <v>44592</v>
      </c>
      <c r="C11" s="438" t="s">
        <v>4090</v>
      </c>
      <c r="D11" s="438" t="s">
        <v>4091</v>
      </c>
      <c r="E11" s="438" t="s">
        <v>475</v>
      </c>
      <c r="F11" s="438" t="s">
        <v>446</v>
      </c>
      <c r="G11" s="438" t="s">
        <v>369</v>
      </c>
      <c r="H11" s="438" t="str">
        <f t="shared" si="0"/>
        <v>641</v>
      </c>
      <c r="I11" s="439">
        <v>13142447</v>
      </c>
      <c r="J11" s="439">
        <v>0</v>
      </c>
      <c r="K11" s="438"/>
      <c r="L11" s="438"/>
      <c r="M11" s="438"/>
      <c r="N11" s="438" t="s">
        <v>488</v>
      </c>
      <c r="R11" s="14" t="s">
        <v>837</v>
      </c>
      <c r="S11" s="13">
        <v>6336000</v>
      </c>
      <c r="T11" s="13">
        <v>0</v>
      </c>
      <c r="U11" s="13">
        <f t="shared" si="1"/>
        <v>6336000</v>
      </c>
    </row>
    <row r="12" spans="1:21">
      <c r="A12" s="437">
        <v>44592</v>
      </c>
      <c r="B12" s="437">
        <v>44592</v>
      </c>
      <c r="C12" s="438" t="s">
        <v>4090</v>
      </c>
      <c r="D12" s="438" t="s">
        <v>4091</v>
      </c>
      <c r="E12" s="438" t="s">
        <v>476</v>
      </c>
      <c r="F12" s="438" t="s">
        <v>446</v>
      </c>
      <c r="G12" s="438" t="s">
        <v>721</v>
      </c>
      <c r="H12" s="438" t="str">
        <f t="shared" si="0"/>
        <v>642</v>
      </c>
      <c r="I12" s="439">
        <v>71290724</v>
      </c>
      <c r="J12" s="439">
        <v>0</v>
      </c>
      <c r="K12" s="438"/>
      <c r="L12" s="438"/>
      <c r="M12" s="438"/>
      <c r="N12" s="438" t="s">
        <v>488</v>
      </c>
      <c r="R12" s="14" t="s">
        <v>2520</v>
      </c>
      <c r="S12" s="13">
        <v>1170000</v>
      </c>
      <c r="T12" s="13">
        <v>0</v>
      </c>
      <c r="U12" s="13">
        <f t="shared" si="1"/>
        <v>1170000</v>
      </c>
    </row>
    <row r="13" spans="1:21">
      <c r="A13" s="437">
        <v>44592</v>
      </c>
      <c r="B13" s="437">
        <v>44592</v>
      </c>
      <c r="C13" s="438" t="s">
        <v>4090</v>
      </c>
      <c r="D13" s="438" t="s">
        <v>4091</v>
      </c>
      <c r="E13" s="438" t="s">
        <v>476</v>
      </c>
      <c r="F13" s="438" t="s">
        <v>446</v>
      </c>
      <c r="G13" s="438" t="s">
        <v>722</v>
      </c>
      <c r="H13" s="438" t="str">
        <f t="shared" si="0"/>
        <v>642</v>
      </c>
      <c r="I13" s="439">
        <v>3696000</v>
      </c>
      <c r="J13" s="439">
        <v>0</v>
      </c>
      <c r="K13" s="438"/>
      <c r="L13" s="438"/>
      <c r="M13" s="438"/>
      <c r="N13" s="438" t="s">
        <v>488</v>
      </c>
      <c r="R13" s="14" t="s">
        <v>347</v>
      </c>
      <c r="S13" s="13">
        <v>297279484</v>
      </c>
      <c r="T13" s="13">
        <v>138542800</v>
      </c>
      <c r="U13" s="13">
        <f t="shared" si="1"/>
        <v>158736684</v>
      </c>
    </row>
    <row r="14" spans="1:21">
      <c r="A14" s="437">
        <v>44592</v>
      </c>
      <c r="B14" s="437">
        <v>44592</v>
      </c>
      <c r="C14" s="438" t="s">
        <v>4090</v>
      </c>
      <c r="D14" s="438" t="s">
        <v>4091</v>
      </c>
      <c r="E14" s="438" t="s">
        <v>476</v>
      </c>
      <c r="F14" s="438" t="s">
        <v>446</v>
      </c>
      <c r="G14" s="438" t="s">
        <v>381</v>
      </c>
      <c r="H14" s="438" t="str">
        <f t="shared" si="0"/>
        <v>642</v>
      </c>
      <c r="I14" s="439">
        <v>2066264</v>
      </c>
      <c r="J14" s="439">
        <v>0</v>
      </c>
      <c r="K14" s="438"/>
      <c r="L14" s="438"/>
      <c r="M14" s="438"/>
      <c r="N14" s="438" t="s">
        <v>488</v>
      </c>
      <c r="R14" s="14" t="s">
        <v>348</v>
      </c>
      <c r="S14" s="13">
        <v>3350000</v>
      </c>
      <c r="T14" s="13">
        <v>3350000</v>
      </c>
      <c r="U14" s="13">
        <f t="shared" si="1"/>
        <v>0</v>
      </c>
    </row>
    <row r="15" spans="1:21">
      <c r="A15" s="437">
        <v>44592</v>
      </c>
      <c r="B15" s="437">
        <v>44592</v>
      </c>
      <c r="C15" s="438" t="s">
        <v>4090</v>
      </c>
      <c r="D15" s="438" t="s">
        <v>4091</v>
      </c>
      <c r="E15" s="438" t="s">
        <v>476</v>
      </c>
      <c r="F15" s="438" t="s">
        <v>446</v>
      </c>
      <c r="G15" s="438" t="s">
        <v>384</v>
      </c>
      <c r="H15" s="438" t="str">
        <f t="shared" si="0"/>
        <v>642</v>
      </c>
      <c r="I15" s="439">
        <v>3000000</v>
      </c>
      <c r="J15" s="439">
        <v>0</v>
      </c>
      <c r="K15" s="438"/>
      <c r="L15" s="438"/>
      <c r="M15" s="438"/>
      <c r="N15" s="438" t="s">
        <v>488</v>
      </c>
      <c r="R15" s="14" t="s">
        <v>350</v>
      </c>
      <c r="S15" s="13">
        <v>88467544</v>
      </c>
      <c r="T15" s="13">
        <v>40212520</v>
      </c>
      <c r="U15" s="13">
        <f t="shared" si="1"/>
        <v>48255024</v>
      </c>
    </row>
    <row r="16" spans="1:21">
      <c r="A16" s="437">
        <v>44592</v>
      </c>
      <c r="B16" s="437">
        <v>44592</v>
      </c>
      <c r="C16" s="438" t="s">
        <v>4090</v>
      </c>
      <c r="D16" s="438" t="s">
        <v>4091</v>
      </c>
      <c r="E16" s="438" t="s">
        <v>476</v>
      </c>
      <c r="F16" s="438" t="s">
        <v>446</v>
      </c>
      <c r="G16" s="438" t="s">
        <v>387</v>
      </c>
      <c r="H16" s="438" t="str">
        <f t="shared" si="0"/>
        <v>642</v>
      </c>
      <c r="I16" s="439">
        <v>1032797</v>
      </c>
      <c r="J16" s="439">
        <v>0</v>
      </c>
      <c r="K16" s="438"/>
      <c r="L16" s="438"/>
      <c r="M16" s="438"/>
      <c r="N16" s="438" t="s">
        <v>488</v>
      </c>
      <c r="R16" s="14" t="s">
        <v>369</v>
      </c>
      <c r="S16" s="13">
        <v>153893832</v>
      </c>
      <c r="T16" s="13">
        <v>0</v>
      </c>
      <c r="U16" s="13">
        <f t="shared" si="1"/>
        <v>153893832</v>
      </c>
    </row>
    <row r="17" spans="1:21">
      <c r="A17" s="437">
        <v>44592</v>
      </c>
      <c r="B17" s="437">
        <v>44592</v>
      </c>
      <c r="C17" s="438" t="s">
        <v>4090</v>
      </c>
      <c r="D17" s="438" t="s">
        <v>4091</v>
      </c>
      <c r="E17" s="438" t="s">
        <v>476</v>
      </c>
      <c r="F17" s="438" t="s">
        <v>446</v>
      </c>
      <c r="G17" s="438" t="s">
        <v>389</v>
      </c>
      <c r="H17" s="438" t="str">
        <f t="shared" si="0"/>
        <v>642</v>
      </c>
      <c r="I17" s="439">
        <v>4446576</v>
      </c>
      <c r="J17" s="439">
        <v>0</v>
      </c>
      <c r="K17" s="438"/>
      <c r="L17" s="438"/>
      <c r="M17" s="438"/>
      <c r="N17" s="438" t="s">
        <v>488</v>
      </c>
      <c r="R17" s="14" t="s">
        <v>721</v>
      </c>
      <c r="S17" s="13">
        <v>472263773</v>
      </c>
      <c r="T17" s="13">
        <v>0</v>
      </c>
      <c r="U17" s="13">
        <f t="shared" si="1"/>
        <v>472263773</v>
      </c>
    </row>
    <row r="18" spans="1:21">
      <c r="A18" s="437">
        <v>44592</v>
      </c>
      <c r="B18" s="437">
        <v>44592</v>
      </c>
      <c r="C18" s="438" t="s">
        <v>4090</v>
      </c>
      <c r="D18" s="438" t="s">
        <v>4091</v>
      </c>
      <c r="E18" s="438" t="s">
        <v>476</v>
      </c>
      <c r="F18" s="438" t="s">
        <v>446</v>
      </c>
      <c r="G18" s="438" t="s">
        <v>395</v>
      </c>
      <c r="H18" s="438" t="str">
        <f t="shared" si="0"/>
        <v>642</v>
      </c>
      <c r="I18" s="439">
        <v>26385470</v>
      </c>
      <c r="J18" s="439">
        <v>0</v>
      </c>
      <c r="K18" s="438"/>
      <c r="L18" s="438"/>
      <c r="M18" s="438"/>
      <c r="N18" s="438" t="s">
        <v>488</v>
      </c>
      <c r="R18" s="14" t="s">
        <v>722</v>
      </c>
      <c r="S18" s="13">
        <v>29034000</v>
      </c>
      <c r="T18" s="13">
        <v>0</v>
      </c>
      <c r="U18" s="13">
        <f t="shared" si="1"/>
        <v>29034000</v>
      </c>
    </row>
    <row r="19" spans="1:21">
      <c r="A19" s="437">
        <v>44592</v>
      </c>
      <c r="B19" s="437">
        <v>44592</v>
      </c>
      <c r="C19" s="438" t="s">
        <v>4090</v>
      </c>
      <c r="D19" s="438" t="s">
        <v>4091</v>
      </c>
      <c r="E19" s="438" t="s">
        <v>476</v>
      </c>
      <c r="F19" s="438" t="s">
        <v>446</v>
      </c>
      <c r="G19" s="438" t="s">
        <v>397</v>
      </c>
      <c r="H19" s="438" t="str">
        <f t="shared" si="0"/>
        <v>642</v>
      </c>
      <c r="I19" s="439">
        <v>507908351</v>
      </c>
      <c r="J19" s="439">
        <v>0</v>
      </c>
      <c r="K19" s="438"/>
      <c r="L19" s="438"/>
      <c r="M19" s="438"/>
      <c r="N19" s="438" t="s">
        <v>488</v>
      </c>
      <c r="R19" s="14" t="s">
        <v>724</v>
      </c>
      <c r="S19" s="13">
        <v>6918500</v>
      </c>
      <c r="T19" s="13">
        <v>0</v>
      </c>
      <c r="U19" s="13">
        <f t="shared" si="1"/>
        <v>6918500</v>
      </c>
    </row>
    <row r="20" spans="1:21">
      <c r="A20" s="437">
        <v>44592</v>
      </c>
      <c r="B20" s="437">
        <v>44592</v>
      </c>
      <c r="C20" s="438" t="s">
        <v>4090</v>
      </c>
      <c r="D20" s="438" t="s">
        <v>4091</v>
      </c>
      <c r="E20" s="438" t="s">
        <v>476</v>
      </c>
      <c r="F20" s="438" t="s">
        <v>446</v>
      </c>
      <c r="G20" s="438" t="s">
        <v>398</v>
      </c>
      <c r="H20" s="438" t="str">
        <f t="shared" si="0"/>
        <v>642</v>
      </c>
      <c r="I20" s="439">
        <v>8042506</v>
      </c>
      <c r="J20" s="439">
        <v>0</v>
      </c>
      <c r="K20" s="438"/>
      <c r="L20" s="438"/>
      <c r="M20" s="438"/>
      <c r="N20" s="438" t="s">
        <v>488</v>
      </c>
      <c r="R20" s="14" t="s">
        <v>381</v>
      </c>
      <c r="S20" s="13">
        <v>21195172</v>
      </c>
      <c r="T20" s="13">
        <v>0</v>
      </c>
      <c r="U20" s="13">
        <f t="shared" si="1"/>
        <v>21195172</v>
      </c>
    </row>
    <row r="21" spans="1:21">
      <c r="A21" s="437">
        <v>44592</v>
      </c>
      <c r="B21" s="437">
        <v>44592</v>
      </c>
      <c r="C21" s="438" t="s">
        <v>4090</v>
      </c>
      <c r="D21" s="438" t="s">
        <v>4091</v>
      </c>
      <c r="E21" s="438" t="s">
        <v>476</v>
      </c>
      <c r="F21" s="438" t="s">
        <v>446</v>
      </c>
      <c r="G21" s="438" t="s">
        <v>434</v>
      </c>
      <c r="H21" s="438" t="str">
        <f t="shared" si="0"/>
        <v>642</v>
      </c>
      <c r="I21" s="439">
        <v>3175522</v>
      </c>
      <c r="J21" s="439">
        <v>0</v>
      </c>
      <c r="K21" s="438"/>
      <c r="L21" s="438"/>
      <c r="M21" s="438"/>
      <c r="N21" s="438" t="s">
        <v>488</v>
      </c>
      <c r="R21" s="14" t="s">
        <v>384</v>
      </c>
      <c r="S21" s="13">
        <v>3000000</v>
      </c>
      <c r="T21" s="13">
        <v>0</v>
      </c>
      <c r="U21" s="13">
        <f t="shared" si="1"/>
        <v>3000000</v>
      </c>
    </row>
    <row r="22" spans="1:21">
      <c r="A22" s="437">
        <v>44592</v>
      </c>
      <c r="B22" s="437">
        <v>44592</v>
      </c>
      <c r="C22" s="438" t="s">
        <v>4090</v>
      </c>
      <c r="D22" s="438" t="s">
        <v>4091</v>
      </c>
      <c r="E22" s="438" t="s">
        <v>478</v>
      </c>
      <c r="F22" s="438" t="s">
        <v>446</v>
      </c>
      <c r="G22" s="438" t="s">
        <v>444</v>
      </c>
      <c r="H22" s="438" t="str">
        <f t="shared" si="0"/>
        <v>811</v>
      </c>
      <c r="I22" s="439">
        <v>991688</v>
      </c>
      <c r="J22" s="439">
        <v>0</v>
      </c>
      <c r="K22" s="438"/>
      <c r="L22" s="438"/>
      <c r="M22" s="438"/>
      <c r="N22" s="438" t="s">
        <v>488</v>
      </c>
      <c r="R22" s="14" t="s">
        <v>387</v>
      </c>
      <c r="S22" s="13">
        <v>2275797</v>
      </c>
      <c r="T22" s="13">
        <v>0</v>
      </c>
      <c r="U22" s="13">
        <f t="shared" si="1"/>
        <v>2275797</v>
      </c>
    </row>
    <row r="23" spans="1:21">
      <c r="A23" s="437">
        <v>44592</v>
      </c>
      <c r="B23" s="437">
        <v>44592</v>
      </c>
      <c r="C23" s="438" t="s">
        <v>4090</v>
      </c>
      <c r="D23" s="438" t="s">
        <v>4091</v>
      </c>
      <c r="E23" s="438" t="s">
        <v>479</v>
      </c>
      <c r="F23" s="438" t="s">
        <v>446</v>
      </c>
      <c r="G23" s="438" t="s">
        <v>217</v>
      </c>
      <c r="H23" s="438" t="str">
        <f t="shared" si="0"/>
        <v>421</v>
      </c>
      <c r="I23" s="439">
        <v>0</v>
      </c>
      <c r="J23" s="439">
        <v>552945358</v>
      </c>
      <c r="K23" s="438"/>
      <c r="L23" s="438"/>
      <c r="M23" s="438"/>
      <c r="N23" s="438" t="s">
        <v>488</v>
      </c>
      <c r="R23" s="14" t="s">
        <v>389</v>
      </c>
      <c r="S23" s="13">
        <v>91719936</v>
      </c>
      <c r="T23" s="13">
        <v>0</v>
      </c>
      <c r="U23" s="13">
        <f t="shared" si="1"/>
        <v>91719936</v>
      </c>
    </row>
    <row r="24" spans="1:21">
      <c r="A24" s="437">
        <v>44620</v>
      </c>
      <c r="B24" s="437">
        <v>44620</v>
      </c>
      <c r="C24" s="438" t="s">
        <v>4092</v>
      </c>
      <c r="D24" s="438" t="s">
        <v>4093</v>
      </c>
      <c r="E24" s="438" t="s">
        <v>468</v>
      </c>
      <c r="F24" s="438" t="s">
        <v>446</v>
      </c>
      <c r="G24" s="438" t="s">
        <v>720</v>
      </c>
      <c r="H24" s="438" t="str">
        <f t="shared" si="0"/>
        <v>511</v>
      </c>
      <c r="I24" s="439">
        <v>0</v>
      </c>
      <c r="J24" s="439">
        <v>17321010054</v>
      </c>
      <c r="K24" s="438"/>
      <c r="L24" s="438"/>
      <c r="M24" s="438"/>
      <c r="N24" s="438" t="s">
        <v>488</v>
      </c>
      <c r="R24" s="14" t="s">
        <v>395</v>
      </c>
      <c r="S24" s="13">
        <v>491332835</v>
      </c>
      <c r="T24" s="13">
        <v>0</v>
      </c>
      <c r="U24" s="13">
        <f t="shared" si="1"/>
        <v>491332835</v>
      </c>
    </row>
    <row r="25" spans="1:21">
      <c r="A25" s="437">
        <v>44620</v>
      </c>
      <c r="B25" s="437">
        <v>44620</v>
      </c>
      <c r="C25" s="438" t="s">
        <v>4092</v>
      </c>
      <c r="D25" s="438" t="s">
        <v>4093</v>
      </c>
      <c r="E25" s="438" t="s">
        <v>468</v>
      </c>
      <c r="F25" s="438" t="s">
        <v>446</v>
      </c>
      <c r="G25" s="438" t="s">
        <v>221</v>
      </c>
      <c r="H25" s="438" t="str">
        <f t="shared" si="0"/>
        <v>511</v>
      </c>
      <c r="I25" s="439">
        <v>0</v>
      </c>
      <c r="J25" s="439">
        <v>2865477</v>
      </c>
      <c r="K25" s="438"/>
      <c r="L25" s="438"/>
      <c r="M25" s="438"/>
      <c r="N25" s="438" t="s">
        <v>488</v>
      </c>
      <c r="R25" s="14" t="s">
        <v>397</v>
      </c>
      <c r="S25" s="13">
        <v>555003967</v>
      </c>
      <c r="T25" s="13">
        <v>0</v>
      </c>
      <c r="U25" s="13">
        <f t="shared" si="1"/>
        <v>555003967</v>
      </c>
    </row>
    <row r="26" spans="1:21">
      <c r="A26" s="437">
        <v>44620</v>
      </c>
      <c r="B26" s="437">
        <v>44620</v>
      </c>
      <c r="C26" s="438" t="s">
        <v>4092</v>
      </c>
      <c r="D26" s="438" t="s">
        <v>4093</v>
      </c>
      <c r="E26" s="438" t="s">
        <v>472</v>
      </c>
      <c r="F26" s="438" t="s">
        <v>446</v>
      </c>
      <c r="G26" s="438">
        <v>5152</v>
      </c>
      <c r="H26" s="438" t="str">
        <f t="shared" si="0"/>
        <v>515</v>
      </c>
      <c r="I26" s="439">
        <v>0</v>
      </c>
      <c r="J26" s="439">
        <v>13911365</v>
      </c>
      <c r="K26" s="438"/>
      <c r="L26" s="438"/>
      <c r="M26" s="438"/>
      <c r="N26" s="438" t="s">
        <v>488</v>
      </c>
      <c r="R26" s="14" t="s">
        <v>398</v>
      </c>
      <c r="S26" s="13">
        <v>144765096</v>
      </c>
      <c r="T26" s="13">
        <v>0</v>
      </c>
      <c r="U26" s="13">
        <f t="shared" si="1"/>
        <v>144765096</v>
      </c>
    </row>
    <row r="27" spans="1:21">
      <c r="A27" s="437">
        <v>44620</v>
      </c>
      <c r="B27" s="437">
        <v>44620</v>
      </c>
      <c r="C27" s="438" t="s">
        <v>4092</v>
      </c>
      <c r="D27" s="438" t="s">
        <v>4093</v>
      </c>
      <c r="E27" s="438" t="s">
        <v>473</v>
      </c>
      <c r="F27" s="438" t="s">
        <v>446</v>
      </c>
      <c r="G27" s="438" t="s">
        <v>303</v>
      </c>
      <c r="H27" s="438" t="str">
        <f t="shared" si="0"/>
        <v>632</v>
      </c>
      <c r="I27" s="439">
        <v>17036712039</v>
      </c>
      <c r="J27" s="439">
        <v>0</v>
      </c>
      <c r="K27" s="438"/>
      <c r="L27" s="438"/>
      <c r="M27" s="438"/>
      <c r="N27" s="438" t="s">
        <v>488</v>
      </c>
      <c r="R27" s="14" t="s">
        <v>422</v>
      </c>
      <c r="S27" s="13">
        <v>400000</v>
      </c>
      <c r="T27" s="13">
        <v>0</v>
      </c>
      <c r="U27" s="13">
        <f t="shared" si="1"/>
        <v>400000</v>
      </c>
    </row>
    <row r="28" spans="1:21">
      <c r="A28" s="437">
        <v>44620</v>
      </c>
      <c r="B28" s="437">
        <v>44620</v>
      </c>
      <c r="C28" s="438" t="s">
        <v>4092</v>
      </c>
      <c r="D28" s="438" t="s">
        <v>4093</v>
      </c>
      <c r="E28" s="438" t="s">
        <v>475</v>
      </c>
      <c r="F28" s="438" t="s">
        <v>446</v>
      </c>
      <c r="G28" s="438" t="s">
        <v>831</v>
      </c>
      <c r="H28" s="438" t="str">
        <f t="shared" si="0"/>
        <v>641</v>
      </c>
      <c r="I28" s="439">
        <v>15000000</v>
      </c>
      <c r="J28" s="439">
        <v>0</v>
      </c>
      <c r="K28" s="438"/>
      <c r="L28" s="438"/>
      <c r="M28" s="438"/>
      <c r="N28" s="438" t="s">
        <v>488</v>
      </c>
      <c r="R28" s="14" t="s">
        <v>434</v>
      </c>
      <c r="S28" s="13">
        <v>8964410</v>
      </c>
      <c r="T28" s="13">
        <v>0</v>
      </c>
      <c r="U28" s="13">
        <f t="shared" si="1"/>
        <v>8964410</v>
      </c>
    </row>
    <row r="29" spans="1:21">
      <c r="A29" s="437">
        <v>44620</v>
      </c>
      <c r="B29" s="437">
        <v>44620</v>
      </c>
      <c r="C29" s="438" t="s">
        <v>4092</v>
      </c>
      <c r="D29" s="438" t="s">
        <v>4093</v>
      </c>
      <c r="E29" s="438" t="s">
        <v>475</v>
      </c>
      <c r="F29" s="438" t="s">
        <v>446</v>
      </c>
      <c r="G29" s="438" t="s">
        <v>837</v>
      </c>
      <c r="H29" s="438" t="str">
        <f t="shared" si="0"/>
        <v>641</v>
      </c>
      <c r="I29" s="439">
        <v>1056000</v>
      </c>
      <c r="J29" s="439">
        <v>0</v>
      </c>
      <c r="K29" s="438"/>
      <c r="L29" s="438"/>
      <c r="M29" s="438"/>
      <c r="N29" s="438" t="s">
        <v>488</v>
      </c>
      <c r="R29" s="14" t="s">
        <v>442</v>
      </c>
      <c r="S29" s="13">
        <v>0</v>
      </c>
      <c r="T29" s="13">
        <v>14631</v>
      </c>
      <c r="U29" s="13">
        <f t="shared" si="1"/>
        <v>-14631</v>
      </c>
    </row>
    <row r="30" spans="1:21">
      <c r="A30" s="437">
        <v>44620</v>
      </c>
      <c r="B30" s="437">
        <v>44620</v>
      </c>
      <c r="C30" s="438" t="s">
        <v>4092</v>
      </c>
      <c r="D30" s="438" t="s">
        <v>4093</v>
      </c>
      <c r="E30" s="438" t="s">
        <v>475</v>
      </c>
      <c r="F30" s="438" t="s">
        <v>446</v>
      </c>
      <c r="G30" s="438" t="s">
        <v>347</v>
      </c>
      <c r="H30" s="438" t="str">
        <f t="shared" si="0"/>
        <v>641</v>
      </c>
      <c r="I30" s="439">
        <v>26385470</v>
      </c>
      <c r="J30" s="439">
        <v>0</v>
      </c>
      <c r="K30" s="438"/>
      <c r="L30" s="438"/>
      <c r="M30" s="438"/>
      <c r="N30" s="438" t="s">
        <v>488</v>
      </c>
      <c r="R30" s="14" t="s">
        <v>444</v>
      </c>
      <c r="S30" s="13">
        <v>494443904</v>
      </c>
      <c r="T30" s="13">
        <v>0</v>
      </c>
      <c r="U30" s="13">
        <f t="shared" si="1"/>
        <v>494443904</v>
      </c>
    </row>
    <row r="31" spans="1:21">
      <c r="A31" s="437">
        <v>44620</v>
      </c>
      <c r="B31" s="437">
        <v>44620</v>
      </c>
      <c r="C31" s="438" t="s">
        <v>4092</v>
      </c>
      <c r="D31" s="438" t="s">
        <v>4093</v>
      </c>
      <c r="E31" s="438" t="s">
        <v>475</v>
      </c>
      <c r="F31" s="438" t="s">
        <v>446</v>
      </c>
      <c r="G31" s="438" t="s">
        <v>350</v>
      </c>
      <c r="H31" s="438" t="str">
        <f t="shared" si="0"/>
        <v>641</v>
      </c>
      <c r="I31" s="439">
        <v>8042504</v>
      </c>
      <c r="J31" s="439">
        <v>0</v>
      </c>
      <c r="K31" s="438"/>
      <c r="L31" s="438"/>
      <c r="M31" s="438"/>
      <c r="N31" s="438" t="s">
        <v>488</v>
      </c>
      <c r="R31" s="14">
        <v>5152</v>
      </c>
      <c r="S31" s="13">
        <v>0</v>
      </c>
      <c r="T31" s="13">
        <v>2076618857</v>
      </c>
      <c r="U31" s="13">
        <f t="shared" si="1"/>
        <v>-2076618857</v>
      </c>
    </row>
    <row r="32" spans="1:21">
      <c r="A32" s="437">
        <v>44620</v>
      </c>
      <c r="B32" s="437">
        <v>44620</v>
      </c>
      <c r="C32" s="438" t="s">
        <v>4092</v>
      </c>
      <c r="D32" s="438" t="s">
        <v>4093</v>
      </c>
      <c r="E32" s="438" t="s">
        <v>475</v>
      </c>
      <c r="F32" s="438" t="s">
        <v>446</v>
      </c>
      <c r="G32" s="438" t="s">
        <v>369</v>
      </c>
      <c r="H32" s="438" t="str">
        <f t="shared" si="0"/>
        <v>641</v>
      </c>
      <c r="I32" s="439">
        <v>44872058</v>
      </c>
      <c r="J32" s="439">
        <v>0</v>
      </c>
      <c r="K32" s="438"/>
      <c r="L32" s="438"/>
      <c r="M32" s="438"/>
      <c r="N32" s="438" t="s">
        <v>488</v>
      </c>
      <c r="R32" s="14" t="s">
        <v>481</v>
      </c>
      <c r="S32" s="13">
        <v>285724115094</v>
      </c>
      <c r="T32" s="13">
        <v>285724115094</v>
      </c>
    </row>
    <row r="33" spans="1:14">
      <c r="A33" s="437">
        <v>44620</v>
      </c>
      <c r="B33" s="437">
        <v>44620</v>
      </c>
      <c r="C33" s="438" t="s">
        <v>4092</v>
      </c>
      <c r="D33" s="438" t="s">
        <v>4093</v>
      </c>
      <c r="E33" s="438" t="s">
        <v>476</v>
      </c>
      <c r="F33" s="438" t="s">
        <v>446</v>
      </c>
      <c r="G33" s="438" t="s">
        <v>721</v>
      </c>
      <c r="H33" s="438" t="str">
        <f t="shared" si="0"/>
        <v>642</v>
      </c>
      <c r="I33" s="439">
        <v>50950000</v>
      </c>
      <c r="J33" s="439">
        <v>0</v>
      </c>
      <c r="K33" s="438"/>
      <c r="L33" s="438"/>
      <c r="M33" s="438"/>
      <c r="N33" s="438" t="s">
        <v>488</v>
      </c>
    </row>
    <row r="34" spans="1:14">
      <c r="A34" s="437">
        <v>44620</v>
      </c>
      <c r="B34" s="437">
        <v>44620</v>
      </c>
      <c r="C34" s="438" t="s">
        <v>4092</v>
      </c>
      <c r="D34" s="438" t="s">
        <v>4093</v>
      </c>
      <c r="E34" s="438" t="s">
        <v>476</v>
      </c>
      <c r="F34" s="438" t="s">
        <v>446</v>
      </c>
      <c r="G34" s="438" t="s">
        <v>722</v>
      </c>
      <c r="H34" s="438" t="str">
        <f t="shared" si="0"/>
        <v>642</v>
      </c>
      <c r="I34" s="439">
        <v>3696000</v>
      </c>
      <c r="J34" s="439">
        <v>0</v>
      </c>
      <c r="K34" s="438"/>
      <c r="L34" s="438"/>
      <c r="M34" s="438"/>
      <c r="N34" s="438" t="s">
        <v>488</v>
      </c>
    </row>
    <row r="35" spans="1:14">
      <c r="A35" s="437">
        <v>44620</v>
      </c>
      <c r="B35" s="437">
        <v>44620</v>
      </c>
      <c r="C35" s="438" t="s">
        <v>4092</v>
      </c>
      <c r="D35" s="438" t="s">
        <v>4093</v>
      </c>
      <c r="E35" s="438" t="s">
        <v>476</v>
      </c>
      <c r="F35" s="438" t="s">
        <v>446</v>
      </c>
      <c r="G35" s="438" t="s">
        <v>381</v>
      </c>
      <c r="H35" s="438" t="str">
        <f t="shared" si="0"/>
        <v>642</v>
      </c>
      <c r="I35" s="439">
        <v>2066264</v>
      </c>
      <c r="J35" s="439">
        <v>0</v>
      </c>
      <c r="K35" s="438"/>
      <c r="L35" s="438"/>
      <c r="M35" s="438"/>
      <c r="N35" s="438" t="s">
        <v>488</v>
      </c>
    </row>
    <row r="36" spans="1:14">
      <c r="A36" s="437">
        <v>44620</v>
      </c>
      <c r="B36" s="437">
        <v>44620</v>
      </c>
      <c r="C36" s="438" t="s">
        <v>4092</v>
      </c>
      <c r="D36" s="438" t="s">
        <v>4093</v>
      </c>
      <c r="E36" s="438" t="s">
        <v>476</v>
      </c>
      <c r="F36" s="438" t="s">
        <v>446</v>
      </c>
      <c r="G36" s="438" t="s">
        <v>389</v>
      </c>
      <c r="H36" s="438" t="str">
        <f t="shared" si="0"/>
        <v>642</v>
      </c>
      <c r="I36" s="439">
        <v>3353000</v>
      </c>
      <c r="J36" s="439">
        <v>0</v>
      </c>
      <c r="K36" s="438"/>
      <c r="L36" s="438"/>
      <c r="M36" s="438"/>
      <c r="N36" s="438" t="s">
        <v>488</v>
      </c>
    </row>
    <row r="37" spans="1:14">
      <c r="A37" s="437">
        <v>44620</v>
      </c>
      <c r="B37" s="437">
        <v>44620</v>
      </c>
      <c r="C37" s="438" t="s">
        <v>4092</v>
      </c>
      <c r="D37" s="438" t="s">
        <v>4093</v>
      </c>
      <c r="E37" s="438" t="s">
        <v>476</v>
      </c>
      <c r="F37" s="438" t="s">
        <v>446</v>
      </c>
      <c r="G37" s="438" t="s">
        <v>395</v>
      </c>
      <c r="H37" s="438" t="str">
        <f t="shared" si="0"/>
        <v>642</v>
      </c>
      <c r="I37" s="439">
        <v>26385470</v>
      </c>
      <c r="J37" s="439">
        <v>0</v>
      </c>
      <c r="K37" s="438"/>
      <c r="L37" s="438"/>
      <c r="M37" s="438"/>
      <c r="N37" s="438" t="s">
        <v>488</v>
      </c>
    </row>
    <row r="38" spans="1:14">
      <c r="A38" s="437">
        <v>44620</v>
      </c>
      <c r="B38" s="437">
        <v>44620</v>
      </c>
      <c r="C38" s="438" t="s">
        <v>4092</v>
      </c>
      <c r="D38" s="438" t="s">
        <v>4093</v>
      </c>
      <c r="E38" s="438" t="s">
        <v>476</v>
      </c>
      <c r="F38" s="438" t="s">
        <v>446</v>
      </c>
      <c r="G38" s="438" t="s">
        <v>397</v>
      </c>
      <c r="H38" s="438" t="str">
        <f t="shared" si="0"/>
        <v>642</v>
      </c>
      <c r="I38" s="439">
        <v>2829541</v>
      </c>
      <c r="J38" s="439">
        <v>0</v>
      </c>
      <c r="K38" s="438"/>
      <c r="L38" s="438"/>
      <c r="M38" s="438"/>
      <c r="N38" s="438" t="s">
        <v>488</v>
      </c>
    </row>
    <row r="39" spans="1:14">
      <c r="A39" s="437">
        <v>44620</v>
      </c>
      <c r="B39" s="437">
        <v>44620</v>
      </c>
      <c r="C39" s="438" t="s">
        <v>4092</v>
      </c>
      <c r="D39" s="438" t="s">
        <v>4093</v>
      </c>
      <c r="E39" s="438" t="s">
        <v>476</v>
      </c>
      <c r="F39" s="438" t="s">
        <v>446</v>
      </c>
      <c r="G39" s="438" t="s">
        <v>398</v>
      </c>
      <c r="H39" s="438" t="str">
        <f t="shared" si="0"/>
        <v>642</v>
      </c>
      <c r="I39" s="439">
        <v>8042506</v>
      </c>
      <c r="J39" s="439">
        <v>0</v>
      </c>
      <c r="K39" s="438"/>
      <c r="L39" s="438"/>
      <c r="M39" s="438"/>
      <c r="N39" s="438" t="s">
        <v>488</v>
      </c>
    </row>
    <row r="40" spans="1:14">
      <c r="A40" s="437">
        <v>44620</v>
      </c>
      <c r="B40" s="437">
        <v>44620</v>
      </c>
      <c r="C40" s="438" t="s">
        <v>4092</v>
      </c>
      <c r="D40" s="438" t="s">
        <v>4093</v>
      </c>
      <c r="E40" s="438" t="s">
        <v>478</v>
      </c>
      <c r="F40" s="438" t="s">
        <v>446</v>
      </c>
      <c r="G40" s="438" t="s">
        <v>444</v>
      </c>
      <c r="H40" s="438" t="str">
        <f t="shared" si="0"/>
        <v>811</v>
      </c>
      <c r="I40" s="439">
        <v>492990606</v>
      </c>
      <c r="J40" s="439">
        <v>0</v>
      </c>
      <c r="K40" s="438"/>
      <c r="L40" s="438"/>
      <c r="M40" s="438"/>
      <c r="N40" s="438" t="s">
        <v>488</v>
      </c>
    </row>
    <row r="41" spans="1:14">
      <c r="A41" s="437">
        <v>44620</v>
      </c>
      <c r="B41" s="437">
        <v>44620</v>
      </c>
      <c r="C41" s="438" t="s">
        <v>4092</v>
      </c>
      <c r="D41" s="438" t="s">
        <v>4093</v>
      </c>
      <c r="E41" s="438" t="s">
        <v>479</v>
      </c>
      <c r="F41" s="438" t="s">
        <v>446</v>
      </c>
      <c r="G41" s="438" t="s">
        <v>217</v>
      </c>
      <c r="H41" s="438" t="str">
        <f t="shared" si="0"/>
        <v>421</v>
      </c>
      <c r="I41" s="439">
        <v>0</v>
      </c>
      <c r="J41" s="439">
        <v>384594562</v>
      </c>
      <c r="K41" s="438"/>
      <c r="L41" s="438"/>
      <c r="M41" s="438"/>
      <c r="N41" s="438" t="s">
        <v>488</v>
      </c>
    </row>
    <row r="42" spans="1:14">
      <c r="A42" s="437">
        <v>44651</v>
      </c>
      <c r="B42" s="437">
        <v>44651</v>
      </c>
      <c r="C42" s="438" t="s">
        <v>4094</v>
      </c>
      <c r="D42" s="438" t="s">
        <v>4095</v>
      </c>
      <c r="E42" s="438" t="s">
        <v>468</v>
      </c>
      <c r="F42" s="438" t="s">
        <v>446</v>
      </c>
      <c r="G42" s="438" t="s">
        <v>720</v>
      </c>
      <c r="H42" s="438" t="str">
        <f t="shared" si="0"/>
        <v>511</v>
      </c>
      <c r="I42" s="439">
        <v>0</v>
      </c>
      <c r="J42" s="439">
        <v>18156631068</v>
      </c>
      <c r="K42" s="438"/>
      <c r="L42" s="438"/>
      <c r="M42" s="438"/>
      <c r="N42" s="438" t="s">
        <v>488</v>
      </c>
    </row>
    <row r="43" spans="1:14">
      <c r="A43" s="437">
        <v>44651</v>
      </c>
      <c r="B43" s="437">
        <v>44651</v>
      </c>
      <c r="C43" s="438" t="s">
        <v>4094</v>
      </c>
      <c r="D43" s="438" t="s">
        <v>4095</v>
      </c>
      <c r="E43" s="438" t="s">
        <v>468</v>
      </c>
      <c r="F43" s="438" t="s">
        <v>446</v>
      </c>
      <c r="G43" s="438" t="s">
        <v>221</v>
      </c>
      <c r="H43" s="438" t="str">
        <f t="shared" si="0"/>
        <v>511</v>
      </c>
      <c r="I43" s="439">
        <v>0</v>
      </c>
      <c r="J43" s="439">
        <v>2373500</v>
      </c>
      <c r="K43" s="438"/>
      <c r="L43" s="438"/>
      <c r="M43" s="438"/>
      <c r="N43" s="438" t="s">
        <v>488</v>
      </c>
    </row>
    <row r="44" spans="1:14">
      <c r="A44" s="437">
        <v>44651</v>
      </c>
      <c r="B44" s="437">
        <v>44651</v>
      </c>
      <c r="C44" s="438" t="s">
        <v>4094</v>
      </c>
      <c r="D44" s="438" t="s">
        <v>4095</v>
      </c>
      <c r="E44" s="438" t="s">
        <v>472</v>
      </c>
      <c r="F44" s="438" t="s">
        <v>446</v>
      </c>
      <c r="G44" s="438">
        <v>5152</v>
      </c>
      <c r="H44" s="438" t="str">
        <f>LEFT(G44,3)</f>
        <v>515</v>
      </c>
      <c r="I44" s="439">
        <v>0</v>
      </c>
      <c r="J44" s="439">
        <v>27928560</v>
      </c>
      <c r="K44" s="438"/>
      <c r="L44" s="438"/>
      <c r="M44" s="438"/>
      <c r="N44" s="438" t="s">
        <v>488</v>
      </c>
    </row>
    <row r="45" spans="1:14">
      <c r="A45" s="437">
        <v>44651</v>
      </c>
      <c r="B45" s="437">
        <v>44651</v>
      </c>
      <c r="C45" s="438" t="s">
        <v>4094</v>
      </c>
      <c r="D45" s="438" t="s">
        <v>4095</v>
      </c>
      <c r="E45" s="438" t="s">
        <v>473</v>
      </c>
      <c r="F45" s="438" t="s">
        <v>446</v>
      </c>
      <c r="G45" s="438" t="s">
        <v>303</v>
      </c>
      <c r="H45" s="438" t="str">
        <f t="shared" si="0"/>
        <v>632</v>
      </c>
      <c r="I45" s="439">
        <v>17886233231</v>
      </c>
      <c r="J45" s="439">
        <v>0</v>
      </c>
      <c r="K45" s="438"/>
      <c r="L45" s="438"/>
      <c r="M45" s="438"/>
      <c r="N45" s="438" t="s">
        <v>488</v>
      </c>
    </row>
    <row r="46" spans="1:14">
      <c r="A46" s="437">
        <v>44651</v>
      </c>
      <c r="B46" s="437">
        <v>44651</v>
      </c>
      <c r="C46" s="438" t="s">
        <v>4094</v>
      </c>
      <c r="D46" s="438" t="s">
        <v>4095</v>
      </c>
      <c r="E46" s="438" t="s">
        <v>474</v>
      </c>
      <c r="F46" s="438" t="s">
        <v>446</v>
      </c>
      <c r="G46" s="438" t="s">
        <v>305</v>
      </c>
      <c r="H46" s="438" t="str">
        <f t="shared" si="0"/>
        <v>635</v>
      </c>
      <c r="I46" s="439">
        <v>85000000000</v>
      </c>
      <c r="J46" s="439">
        <v>0</v>
      </c>
      <c r="K46" s="438"/>
      <c r="L46" s="438"/>
      <c r="M46" s="438"/>
      <c r="N46" s="438" t="s">
        <v>488</v>
      </c>
    </row>
    <row r="47" spans="1:14">
      <c r="A47" s="437">
        <v>44651</v>
      </c>
      <c r="B47" s="437">
        <v>44651</v>
      </c>
      <c r="C47" s="438" t="s">
        <v>4094</v>
      </c>
      <c r="D47" s="438" t="s">
        <v>4095</v>
      </c>
      <c r="E47" s="438" t="s">
        <v>475</v>
      </c>
      <c r="F47" s="438" t="s">
        <v>446</v>
      </c>
      <c r="G47" s="438" t="s">
        <v>831</v>
      </c>
      <c r="H47" s="438" t="str">
        <f t="shared" si="0"/>
        <v>641</v>
      </c>
      <c r="I47" s="439">
        <v>15000000</v>
      </c>
      <c r="J47" s="439">
        <v>0</v>
      </c>
      <c r="K47" s="438"/>
      <c r="L47" s="438"/>
      <c r="M47" s="438"/>
      <c r="N47" s="438" t="s">
        <v>488</v>
      </c>
    </row>
    <row r="48" spans="1:14">
      <c r="A48" s="437">
        <v>44651</v>
      </c>
      <c r="B48" s="437">
        <v>44651</v>
      </c>
      <c r="C48" s="438" t="s">
        <v>4094</v>
      </c>
      <c r="D48" s="438" t="s">
        <v>4095</v>
      </c>
      <c r="E48" s="438" t="s">
        <v>475</v>
      </c>
      <c r="F48" s="438" t="s">
        <v>446</v>
      </c>
      <c r="G48" s="438" t="s">
        <v>837</v>
      </c>
      <c r="H48" s="438" t="str">
        <f t="shared" si="0"/>
        <v>641</v>
      </c>
      <c r="I48" s="439">
        <v>1056000</v>
      </c>
      <c r="J48" s="439">
        <v>0</v>
      </c>
      <c r="K48" s="438"/>
      <c r="L48" s="438"/>
      <c r="M48" s="438"/>
      <c r="N48" s="438" t="s">
        <v>488</v>
      </c>
    </row>
    <row r="49" spans="1:14">
      <c r="A49" s="437">
        <v>44651</v>
      </c>
      <c r="B49" s="437">
        <v>44651</v>
      </c>
      <c r="C49" s="438" t="s">
        <v>4094</v>
      </c>
      <c r="D49" s="438" t="s">
        <v>4095</v>
      </c>
      <c r="E49" s="438" t="s">
        <v>475</v>
      </c>
      <c r="F49" s="438" t="s">
        <v>446</v>
      </c>
      <c r="G49" s="438" t="s">
        <v>2520</v>
      </c>
      <c r="H49" s="438" t="str">
        <f t="shared" si="0"/>
        <v>641</v>
      </c>
      <c r="I49" s="439">
        <v>1170000</v>
      </c>
      <c r="J49" s="439">
        <v>0</v>
      </c>
      <c r="K49" s="438"/>
      <c r="L49" s="438"/>
      <c r="M49" s="438"/>
      <c r="N49" s="438" t="s">
        <v>488</v>
      </c>
    </row>
    <row r="50" spans="1:14">
      <c r="A50" s="437">
        <v>44651</v>
      </c>
      <c r="B50" s="437">
        <v>44651</v>
      </c>
      <c r="C50" s="438" t="s">
        <v>4094</v>
      </c>
      <c r="D50" s="438" t="s">
        <v>4095</v>
      </c>
      <c r="E50" s="438" t="s">
        <v>475</v>
      </c>
      <c r="F50" s="438" t="s">
        <v>446</v>
      </c>
      <c r="G50" s="438" t="s">
        <v>347</v>
      </c>
      <c r="H50" s="438" t="str">
        <f t="shared" si="0"/>
        <v>641</v>
      </c>
      <c r="I50" s="439">
        <v>26385470</v>
      </c>
      <c r="J50" s="439">
        <v>0</v>
      </c>
      <c r="K50" s="438"/>
      <c r="L50" s="438"/>
      <c r="M50" s="438"/>
      <c r="N50" s="438" t="s">
        <v>488</v>
      </c>
    </row>
    <row r="51" spans="1:14">
      <c r="A51" s="437">
        <v>44651</v>
      </c>
      <c r="B51" s="437">
        <v>44651</v>
      </c>
      <c r="C51" s="438" t="s">
        <v>4094</v>
      </c>
      <c r="D51" s="438" t="s">
        <v>4095</v>
      </c>
      <c r="E51" s="438" t="s">
        <v>475</v>
      </c>
      <c r="F51" s="438" t="s">
        <v>446</v>
      </c>
      <c r="G51" s="438" t="s">
        <v>350</v>
      </c>
      <c r="H51" s="438" t="str">
        <f t="shared" si="0"/>
        <v>641</v>
      </c>
      <c r="I51" s="439">
        <v>8042504</v>
      </c>
      <c r="J51" s="439">
        <v>0</v>
      </c>
      <c r="K51" s="438"/>
      <c r="L51" s="438"/>
      <c r="M51" s="438"/>
      <c r="N51" s="438" t="s">
        <v>488</v>
      </c>
    </row>
    <row r="52" spans="1:14">
      <c r="A52" s="437">
        <v>44651</v>
      </c>
      <c r="B52" s="437">
        <v>44651</v>
      </c>
      <c r="C52" s="438" t="s">
        <v>4094</v>
      </c>
      <c r="D52" s="438" t="s">
        <v>4095</v>
      </c>
      <c r="E52" s="438" t="s">
        <v>475</v>
      </c>
      <c r="F52" s="438" t="s">
        <v>446</v>
      </c>
      <c r="G52" s="438" t="s">
        <v>369</v>
      </c>
      <c r="H52" s="438" t="str">
        <f t="shared" si="0"/>
        <v>641</v>
      </c>
      <c r="I52" s="439">
        <v>32565809</v>
      </c>
      <c r="J52" s="439">
        <v>0</v>
      </c>
      <c r="K52" s="438"/>
      <c r="L52" s="438"/>
      <c r="M52" s="438"/>
      <c r="N52" s="438" t="s">
        <v>488</v>
      </c>
    </row>
    <row r="53" spans="1:14">
      <c r="A53" s="437">
        <v>44651</v>
      </c>
      <c r="B53" s="437">
        <v>44651</v>
      </c>
      <c r="C53" s="438" t="s">
        <v>4094</v>
      </c>
      <c r="D53" s="438" t="s">
        <v>4095</v>
      </c>
      <c r="E53" s="438" t="s">
        <v>476</v>
      </c>
      <c r="F53" s="438" t="s">
        <v>446</v>
      </c>
      <c r="G53" s="438" t="s">
        <v>721</v>
      </c>
      <c r="H53" s="438" t="str">
        <f t="shared" si="0"/>
        <v>642</v>
      </c>
      <c r="I53" s="439">
        <v>47236957</v>
      </c>
      <c r="J53" s="439">
        <v>0</v>
      </c>
      <c r="K53" s="438"/>
      <c r="L53" s="438"/>
      <c r="M53" s="438"/>
      <c r="N53" s="438" t="s">
        <v>488</v>
      </c>
    </row>
    <row r="54" spans="1:14">
      <c r="A54" s="437">
        <v>44651</v>
      </c>
      <c r="B54" s="437">
        <v>44651</v>
      </c>
      <c r="C54" s="438" t="s">
        <v>4094</v>
      </c>
      <c r="D54" s="438" t="s">
        <v>4095</v>
      </c>
      <c r="E54" s="438" t="s">
        <v>476</v>
      </c>
      <c r="F54" s="438" t="s">
        <v>446</v>
      </c>
      <c r="G54" s="438" t="s">
        <v>722</v>
      </c>
      <c r="H54" s="438" t="str">
        <f t="shared" si="0"/>
        <v>642</v>
      </c>
      <c r="I54" s="439">
        <v>3696000</v>
      </c>
      <c r="J54" s="439">
        <v>0</v>
      </c>
      <c r="K54" s="438"/>
      <c r="L54" s="438"/>
      <c r="M54" s="438"/>
      <c r="N54" s="438" t="s">
        <v>488</v>
      </c>
    </row>
    <row r="55" spans="1:14">
      <c r="A55" s="437">
        <v>44651</v>
      </c>
      <c r="B55" s="437">
        <v>44651</v>
      </c>
      <c r="C55" s="438" t="s">
        <v>4094</v>
      </c>
      <c r="D55" s="438" t="s">
        <v>4095</v>
      </c>
      <c r="E55" s="438" t="s">
        <v>476</v>
      </c>
      <c r="F55" s="438" t="s">
        <v>446</v>
      </c>
      <c r="G55" s="438" t="s">
        <v>724</v>
      </c>
      <c r="H55" s="438" t="str">
        <f t="shared" si="0"/>
        <v>642</v>
      </c>
      <c r="I55" s="439">
        <v>3510000</v>
      </c>
      <c r="J55" s="439">
        <v>0</v>
      </c>
      <c r="K55" s="438"/>
      <c r="L55" s="438"/>
      <c r="M55" s="438"/>
      <c r="N55" s="438" t="s">
        <v>488</v>
      </c>
    </row>
    <row r="56" spans="1:14">
      <c r="A56" s="437">
        <v>44651</v>
      </c>
      <c r="B56" s="437">
        <v>44651</v>
      </c>
      <c r="C56" s="438" t="s">
        <v>4094</v>
      </c>
      <c r="D56" s="438" t="s">
        <v>4095</v>
      </c>
      <c r="E56" s="438" t="s">
        <v>476</v>
      </c>
      <c r="F56" s="438" t="s">
        <v>446</v>
      </c>
      <c r="G56" s="438" t="s">
        <v>381</v>
      </c>
      <c r="H56" s="438" t="str">
        <f t="shared" si="0"/>
        <v>642</v>
      </c>
      <c r="I56" s="439">
        <v>2066264</v>
      </c>
      <c r="J56" s="439">
        <v>0</v>
      </c>
      <c r="K56" s="438"/>
      <c r="L56" s="438"/>
      <c r="M56" s="438"/>
      <c r="N56" s="438" t="s">
        <v>488</v>
      </c>
    </row>
    <row r="57" spans="1:14">
      <c r="A57" s="437">
        <v>44651</v>
      </c>
      <c r="B57" s="437">
        <v>44651</v>
      </c>
      <c r="C57" s="438" t="s">
        <v>4094</v>
      </c>
      <c r="D57" s="438" t="s">
        <v>4095</v>
      </c>
      <c r="E57" s="438" t="s">
        <v>476</v>
      </c>
      <c r="F57" s="438" t="s">
        <v>446</v>
      </c>
      <c r="G57" s="438" t="s">
        <v>387</v>
      </c>
      <c r="H57" s="438" t="str">
        <f t="shared" si="0"/>
        <v>642</v>
      </c>
      <c r="I57" s="439">
        <v>220000</v>
      </c>
      <c r="J57" s="439">
        <v>0</v>
      </c>
      <c r="K57" s="438"/>
      <c r="L57" s="438"/>
      <c r="M57" s="438"/>
      <c r="N57" s="438" t="s">
        <v>488</v>
      </c>
    </row>
    <row r="58" spans="1:14">
      <c r="A58" s="437">
        <v>44651</v>
      </c>
      <c r="B58" s="437">
        <v>44651</v>
      </c>
      <c r="C58" s="438" t="s">
        <v>4094</v>
      </c>
      <c r="D58" s="438" t="s">
        <v>4095</v>
      </c>
      <c r="E58" s="438" t="s">
        <v>476</v>
      </c>
      <c r="F58" s="438" t="s">
        <v>446</v>
      </c>
      <c r="G58" s="438" t="s">
        <v>389</v>
      </c>
      <c r="H58" s="438" t="str">
        <f t="shared" si="0"/>
        <v>642</v>
      </c>
      <c r="I58" s="439">
        <v>3715632</v>
      </c>
      <c r="J58" s="439">
        <v>0</v>
      </c>
      <c r="K58" s="438"/>
      <c r="L58" s="438"/>
      <c r="M58" s="438"/>
      <c r="N58" s="438" t="s">
        <v>488</v>
      </c>
    </row>
    <row r="59" spans="1:14">
      <c r="A59" s="437">
        <v>44651</v>
      </c>
      <c r="B59" s="437">
        <v>44651</v>
      </c>
      <c r="C59" s="438" t="s">
        <v>4094</v>
      </c>
      <c r="D59" s="438" t="s">
        <v>4095</v>
      </c>
      <c r="E59" s="438" t="s">
        <v>476</v>
      </c>
      <c r="F59" s="438" t="s">
        <v>446</v>
      </c>
      <c r="G59" s="438" t="s">
        <v>395</v>
      </c>
      <c r="H59" s="438" t="str">
        <f t="shared" si="0"/>
        <v>642</v>
      </c>
      <c r="I59" s="439">
        <v>26385471</v>
      </c>
      <c r="J59" s="439">
        <v>0</v>
      </c>
      <c r="K59" s="438"/>
      <c r="L59" s="438"/>
      <c r="M59" s="438"/>
      <c r="N59" s="438" t="s">
        <v>488</v>
      </c>
    </row>
    <row r="60" spans="1:14">
      <c r="A60" s="437">
        <v>44651</v>
      </c>
      <c r="B60" s="437">
        <v>44651</v>
      </c>
      <c r="C60" s="438" t="s">
        <v>4094</v>
      </c>
      <c r="D60" s="438" t="s">
        <v>4095</v>
      </c>
      <c r="E60" s="438" t="s">
        <v>476</v>
      </c>
      <c r="F60" s="438" t="s">
        <v>446</v>
      </c>
      <c r="G60" s="438" t="s">
        <v>397</v>
      </c>
      <c r="H60" s="438" t="str">
        <f t="shared" si="0"/>
        <v>642</v>
      </c>
      <c r="I60" s="439">
        <v>2829541</v>
      </c>
      <c r="J60" s="439">
        <v>0</v>
      </c>
      <c r="K60" s="438"/>
      <c r="L60" s="438"/>
      <c r="M60" s="438"/>
      <c r="N60" s="438" t="s">
        <v>488</v>
      </c>
    </row>
    <row r="61" spans="1:14">
      <c r="A61" s="437">
        <v>44651</v>
      </c>
      <c r="B61" s="437">
        <v>44651</v>
      </c>
      <c r="C61" s="438" t="s">
        <v>4094</v>
      </c>
      <c r="D61" s="438" t="s">
        <v>4095</v>
      </c>
      <c r="E61" s="438" t="s">
        <v>476</v>
      </c>
      <c r="F61" s="438" t="s">
        <v>446</v>
      </c>
      <c r="G61" s="438" t="s">
        <v>398</v>
      </c>
      <c r="H61" s="438" t="str">
        <f t="shared" si="0"/>
        <v>642</v>
      </c>
      <c r="I61" s="439">
        <v>8042506</v>
      </c>
      <c r="J61" s="439">
        <v>0</v>
      </c>
      <c r="K61" s="438"/>
      <c r="L61" s="438"/>
      <c r="M61" s="438"/>
      <c r="N61" s="438" t="s">
        <v>488</v>
      </c>
    </row>
    <row r="62" spans="1:14">
      <c r="A62" s="437">
        <v>44651</v>
      </c>
      <c r="B62" s="437">
        <v>44651</v>
      </c>
      <c r="C62" s="438" t="s">
        <v>4094</v>
      </c>
      <c r="D62" s="438" t="s">
        <v>4095</v>
      </c>
      <c r="E62" s="438" t="s">
        <v>479</v>
      </c>
      <c r="F62" s="438" t="s">
        <v>446</v>
      </c>
      <c r="G62" s="438" t="s">
        <v>217</v>
      </c>
      <c r="H62" s="438" t="str">
        <f t="shared" si="0"/>
        <v>421</v>
      </c>
      <c r="I62" s="439">
        <v>0</v>
      </c>
      <c r="J62" s="439">
        <v>84881222257</v>
      </c>
      <c r="K62" s="438"/>
      <c r="L62" s="438"/>
      <c r="M62" s="438"/>
      <c r="N62" s="438" t="s">
        <v>488</v>
      </c>
    </row>
    <row r="63" spans="1:14">
      <c r="A63" s="437">
        <v>44681</v>
      </c>
      <c r="B63" s="437">
        <v>44681</v>
      </c>
      <c r="C63" s="438" t="s">
        <v>4096</v>
      </c>
      <c r="D63" s="438" t="s">
        <v>4097</v>
      </c>
      <c r="E63" s="438" t="s">
        <v>468</v>
      </c>
      <c r="F63" s="438" t="s">
        <v>446</v>
      </c>
      <c r="G63" s="438" t="s">
        <v>720</v>
      </c>
      <c r="H63" s="438" t="str">
        <f t="shared" si="0"/>
        <v>511</v>
      </c>
      <c r="I63" s="439">
        <v>0</v>
      </c>
      <c r="J63" s="439">
        <v>8221383352</v>
      </c>
      <c r="K63" s="438"/>
      <c r="L63" s="438"/>
      <c r="M63" s="438"/>
      <c r="N63" s="438" t="s">
        <v>488</v>
      </c>
    </row>
    <row r="64" spans="1:14">
      <c r="A64" s="437">
        <v>44681</v>
      </c>
      <c r="B64" s="437">
        <v>44681</v>
      </c>
      <c r="C64" s="438" t="s">
        <v>4096</v>
      </c>
      <c r="D64" s="438" t="s">
        <v>4097</v>
      </c>
      <c r="E64" s="438" t="s">
        <v>468</v>
      </c>
      <c r="F64" s="438" t="s">
        <v>446</v>
      </c>
      <c r="G64" s="438" t="s">
        <v>221</v>
      </c>
      <c r="H64" s="438" t="str">
        <f t="shared" si="0"/>
        <v>511</v>
      </c>
      <c r="I64" s="439">
        <v>0</v>
      </c>
      <c r="J64" s="439">
        <v>1231945</v>
      </c>
      <c r="K64" s="438"/>
      <c r="L64" s="438"/>
      <c r="M64" s="438"/>
      <c r="N64" s="438" t="s">
        <v>488</v>
      </c>
    </row>
    <row r="65" spans="1:14">
      <c r="A65" s="437">
        <v>44681</v>
      </c>
      <c r="B65" s="437">
        <v>44681</v>
      </c>
      <c r="C65" s="438" t="s">
        <v>4096</v>
      </c>
      <c r="D65" s="438" t="s">
        <v>4097</v>
      </c>
      <c r="E65" s="438" t="s">
        <v>472</v>
      </c>
      <c r="F65" s="438" t="s">
        <v>446</v>
      </c>
      <c r="G65" s="438">
        <v>5152</v>
      </c>
      <c r="H65" s="438" t="str">
        <f t="shared" si="0"/>
        <v>515</v>
      </c>
      <c r="I65" s="439">
        <v>0</v>
      </c>
      <c r="J65" s="439">
        <v>77847358</v>
      </c>
      <c r="K65" s="438"/>
      <c r="L65" s="438"/>
      <c r="M65" s="438"/>
      <c r="N65" s="438" t="s">
        <v>488</v>
      </c>
    </row>
    <row r="66" spans="1:14">
      <c r="A66" s="437">
        <v>44681</v>
      </c>
      <c r="B66" s="437">
        <v>44681</v>
      </c>
      <c r="C66" s="438" t="s">
        <v>4096</v>
      </c>
      <c r="D66" s="438" t="s">
        <v>4097</v>
      </c>
      <c r="E66" s="438" t="s">
        <v>473</v>
      </c>
      <c r="F66" s="438" t="s">
        <v>446</v>
      </c>
      <c r="G66" s="438" t="s">
        <v>303</v>
      </c>
      <c r="H66" s="438" t="str">
        <f t="shared" si="0"/>
        <v>632</v>
      </c>
      <c r="I66" s="439">
        <v>8103248630</v>
      </c>
      <c r="J66" s="439">
        <v>0</v>
      </c>
      <c r="K66" s="438"/>
      <c r="L66" s="438"/>
      <c r="M66" s="438"/>
      <c r="N66" s="438" t="s">
        <v>488</v>
      </c>
    </row>
    <row r="67" spans="1:14">
      <c r="A67" s="437">
        <v>44681</v>
      </c>
      <c r="B67" s="437">
        <v>44681</v>
      </c>
      <c r="C67" s="438" t="s">
        <v>4096</v>
      </c>
      <c r="D67" s="438" t="s">
        <v>4097</v>
      </c>
      <c r="E67" s="438" t="s">
        <v>475</v>
      </c>
      <c r="F67" s="438" t="s">
        <v>446</v>
      </c>
      <c r="G67" s="438" t="s">
        <v>831</v>
      </c>
      <c r="H67" s="438" t="str">
        <f t="shared" si="0"/>
        <v>641</v>
      </c>
      <c r="I67" s="439">
        <v>14428571</v>
      </c>
      <c r="J67" s="439">
        <v>0</v>
      </c>
      <c r="K67" s="438"/>
      <c r="L67" s="438"/>
      <c r="M67" s="438"/>
      <c r="N67" s="438" t="s">
        <v>488</v>
      </c>
    </row>
    <row r="68" spans="1:14">
      <c r="A68" s="437">
        <v>44681</v>
      </c>
      <c r="B68" s="437">
        <v>44681</v>
      </c>
      <c r="C68" s="438" t="s">
        <v>4096</v>
      </c>
      <c r="D68" s="438" t="s">
        <v>4097</v>
      </c>
      <c r="E68" s="438" t="s">
        <v>475</v>
      </c>
      <c r="F68" s="438" t="s">
        <v>446</v>
      </c>
      <c r="G68" s="438" t="s">
        <v>837</v>
      </c>
      <c r="H68" s="438" t="str">
        <f t="shared" ref="H68:H131" si="2">LEFT(G68,3)</f>
        <v>641</v>
      </c>
      <c r="I68" s="439">
        <v>1056000</v>
      </c>
      <c r="J68" s="439">
        <v>0</v>
      </c>
      <c r="K68" s="438"/>
      <c r="L68" s="438"/>
      <c r="M68" s="438"/>
      <c r="N68" s="438" t="s">
        <v>488</v>
      </c>
    </row>
    <row r="69" spans="1:14">
      <c r="A69" s="437">
        <v>44681</v>
      </c>
      <c r="B69" s="437">
        <v>44681</v>
      </c>
      <c r="C69" s="438" t="s">
        <v>4096</v>
      </c>
      <c r="D69" s="438" t="s">
        <v>4097</v>
      </c>
      <c r="E69" s="438" t="s">
        <v>475</v>
      </c>
      <c r="F69" s="438" t="s">
        <v>446</v>
      </c>
      <c r="G69" s="438" t="s">
        <v>347</v>
      </c>
      <c r="H69" s="438" t="str">
        <f t="shared" si="2"/>
        <v>641</v>
      </c>
      <c r="I69" s="439">
        <v>26526758</v>
      </c>
      <c r="J69" s="439">
        <v>0</v>
      </c>
      <c r="K69" s="438"/>
      <c r="L69" s="438"/>
      <c r="M69" s="438"/>
      <c r="N69" s="438" t="s">
        <v>488</v>
      </c>
    </row>
    <row r="70" spans="1:14">
      <c r="A70" s="437">
        <v>44681</v>
      </c>
      <c r="B70" s="437">
        <v>44681</v>
      </c>
      <c r="C70" s="438" t="s">
        <v>4096</v>
      </c>
      <c r="D70" s="438" t="s">
        <v>4097</v>
      </c>
      <c r="E70" s="438" t="s">
        <v>475</v>
      </c>
      <c r="F70" s="438" t="s">
        <v>446</v>
      </c>
      <c r="G70" s="438" t="s">
        <v>350</v>
      </c>
      <c r="H70" s="438" t="str">
        <f t="shared" si="2"/>
        <v>641</v>
      </c>
      <c r="I70" s="439">
        <v>8042504</v>
      </c>
      <c r="J70" s="439">
        <v>0</v>
      </c>
      <c r="K70" s="438"/>
      <c r="L70" s="438"/>
      <c r="M70" s="438"/>
      <c r="N70" s="438" t="s">
        <v>488</v>
      </c>
    </row>
    <row r="71" spans="1:14">
      <c r="A71" s="437">
        <v>44681</v>
      </c>
      <c r="B71" s="437">
        <v>44681</v>
      </c>
      <c r="C71" s="438" t="s">
        <v>4096</v>
      </c>
      <c r="D71" s="438" t="s">
        <v>4097</v>
      </c>
      <c r="E71" s="438" t="s">
        <v>475</v>
      </c>
      <c r="F71" s="438" t="s">
        <v>446</v>
      </c>
      <c r="G71" s="438" t="s">
        <v>369</v>
      </c>
      <c r="H71" s="438" t="str">
        <f t="shared" si="2"/>
        <v>641</v>
      </c>
      <c r="I71" s="439">
        <v>14847599</v>
      </c>
      <c r="J71" s="439">
        <v>0</v>
      </c>
      <c r="K71" s="438"/>
      <c r="L71" s="438"/>
      <c r="M71" s="438"/>
      <c r="N71" s="438" t="s">
        <v>488</v>
      </c>
    </row>
    <row r="72" spans="1:14">
      <c r="A72" s="437">
        <v>44681</v>
      </c>
      <c r="B72" s="437">
        <v>44681</v>
      </c>
      <c r="C72" s="438" t="s">
        <v>4096</v>
      </c>
      <c r="D72" s="438" t="s">
        <v>4097</v>
      </c>
      <c r="E72" s="438" t="s">
        <v>476</v>
      </c>
      <c r="F72" s="438" t="s">
        <v>446</v>
      </c>
      <c r="G72" s="438" t="s">
        <v>721</v>
      </c>
      <c r="H72" s="438" t="str">
        <f t="shared" si="2"/>
        <v>642</v>
      </c>
      <c r="I72" s="439">
        <v>43500000</v>
      </c>
      <c r="J72" s="439">
        <v>0</v>
      </c>
      <c r="K72" s="438"/>
      <c r="L72" s="438"/>
      <c r="M72" s="438"/>
      <c r="N72" s="438" t="s">
        <v>488</v>
      </c>
    </row>
    <row r="73" spans="1:14">
      <c r="A73" s="437">
        <v>44681</v>
      </c>
      <c r="B73" s="437">
        <v>44681</v>
      </c>
      <c r="C73" s="438" t="s">
        <v>4096</v>
      </c>
      <c r="D73" s="438" t="s">
        <v>4097</v>
      </c>
      <c r="E73" s="438" t="s">
        <v>476</v>
      </c>
      <c r="F73" s="438" t="s">
        <v>446</v>
      </c>
      <c r="G73" s="438" t="s">
        <v>722</v>
      </c>
      <c r="H73" s="438" t="str">
        <f t="shared" si="2"/>
        <v>642</v>
      </c>
      <c r="I73" s="439">
        <v>2640000</v>
      </c>
      <c r="J73" s="439">
        <v>0</v>
      </c>
      <c r="K73" s="438"/>
      <c r="L73" s="438"/>
      <c r="M73" s="438"/>
      <c r="N73" s="438" t="s">
        <v>488</v>
      </c>
    </row>
    <row r="74" spans="1:14">
      <c r="A74" s="437">
        <v>44681</v>
      </c>
      <c r="B74" s="437">
        <v>44681</v>
      </c>
      <c r="C74" s="438" t="s">
        <v>4096</v>
      </c>
      <c r="D74" s="438" t="s">
        <v>4097</v>
      </c>
      <c r="E74" s="438" t="s">
        <v>476</v>
      </c>
      <c r="F74" s="438" t="s">
        <v>446</v>
      </c>
      <c r="G74" s="438" t="s">
        <v>381</v>
      </c>
      <c r="H74" s="438" t="str">
        <f t="shared" si="2"/>
        <v>642</v>
      </c>
      <c r="I74" s="439">
        <v>2066264</v>
      </c>
      <c r="J74" s="439">
        <v>0</v>
      </c>
      <c r="K74" s="438"/>
      <c r="L74" s="438"/>
      <c r="M74" s="438"/>
      <c r="N74" s="438" t="s">
        <v>488</v>
      </c>
    </row>
    <row r="75" spans="1:14">
      <c r="A75" s="437">
        <v>44681</v>
      </c>
      <c r="B75" s="437">
        <v>44681</v>
      </c>
      <c r="C75" s="438" t="s">
        <v>4096</v>
      </c>
      <c r="D75" s="438" t="s">
        <v>4097</v>
      </c>
      <c r="E75" s="438" t="s">
        <v>476</v>
      </c>
      <c r="F75" s="438" t="s">
        <v>446</v>
      </c>
      <c r="G75" s="438" t="s">
        <v>389</v>
      </c>
      <c r="H75" s="438" t="str">
        <f t="shared" si="2"/>
        <v>642</v>
      </c>
      <c r="I75" s="439">
        <v>7719976</v>
      </c>
      <c r="J75" s="439">
        <v>0</v>
      </c>
      <c r="K75" s="438"/>
      <c r="L75" s="438"/>
      <c r="M75" s="438"/>
      <c r="N75" s="438" t="s">
        <v>488</v>
      </c>
    </row>
    <row r="76" spans="1:14">
      <c r="A76" s="437">
        <v>44681</v>
      </c>
      <c r="B76" s="437">
        <v>44681</v>
      </c>
      <c r="C76" s="438" t="s">
        <v>4096</v>
      </c>
      <c r="D76" s="438" t="s">
        <v>4097</v>
      </c>
      <c r="E76" s="438" t="s">
        <v>476</v>
      </c>
      <c r="F76" s="438" t="s">
        <v>446</v>
      </c>
      <c r="G76" s="438" t="s">
        <v>395</v>
      </c>
      <c r="H76" s="438" t="str">
        <f t="shared" si="2"/>
        <v>642</v>
      </c>
      <c r="I76" s="439">
        <v>26526759</v>
      </c>
      <c r="J76" s="439">
        <v>0</v>
      </c>
      <c r="K76" s="438"/>
      <c r="L76" s="438"/>
      <c r="M76" s="438"/>
      <c r="N76" s="438" t="s">
        <v>488</v>
      </c>
    </row>
    <row r="77" spans="1:14">
      <c r="A77" s="437">
        <v>44681</v>
      </c>
      <c r="B77" s="437">
        <v>44681</v>
      </c>
      <c r="C77" s="438" t="s">
        <v>4096</v>
      </c>
      <c r="D77" s="438" t="s">
        <v>4097</v>
      </c>
      <c r="E77" s="438" t="s">
        <v>476</v>
      </c>
      <c r="F77" s="438" t="s">
        <v>446</v>
      </c>
      <c r="G77" s="438" t="s">
        <v>397</v>
      </c>
      <c r="H77" s="438" t="str">
        <f t="shared" si="2"/>
        <v>642</v>
      </c>
      <c r="I77" s="439">
        <v>4566116</v>
      </c>
      <c r="J77" s="439">
        <v>0</v>
      </c>
      <c r="K77" s="438"/>
      <c r="L77" s="438"/>
      <c r="M77" s="438"/>
      <c r="N77" s="438" t="s">
        <v>488</v>
      </c>
    </row>
    <row r="78" spans="1:14">
      <c r="A78" s="437">
        <v>44681</v>
      </c>
      <c r="B78" s="437">
        <v>44681</v>
      </c>
      <c r="C78" s="438" t="s">
        <v>4096</v>
      </c>
      <c r="D78" s="438" t="s">
        <v>4097</v>
      </c>
      <c r="E78" s="438" t="s">
        <v>476</v>
      </c>
      <c r="F78" s="438" t="s">
        <v>446</v>
      </c>
      <c r="G78" s="438" t="s">
        <v>398</v>
      </c>
      <c r="H78" s="438" t="str">
        <f t="shared" si="2"/>
        <v>642</v>
      </c>
      <c r="I78" s="439">
        <v>8042506</v>
      </c>
      <c r="J78" s="439">
        <v>0</v>
      </c>
      <c r="K78" s="438"/>
      <c r="L78" s="438"/>
      <c r="M78" s="438"/>
      <c r="N78" s="438" t="s">
        <v>488</v>
      </c>
    </row>
    <row r="79" spans="1:14">
      <c r="A79" s="437">
        <v>44681</v>
      </c>
      <c r="B79" s="437">
        <v>44681</v>
      </c>
      <c r="C79" s="438" t="s">
        <v>4096</v>
      </c>
      <c r="D79" s="438" t="s">
        <v>4097</v>
      </c>
      <c r="E79" s="438" t="s">
        <v>479</v>
      </c>
      <c r="F79" s="438" t="s">
        <v>446</v>
      </c>
      <c r="G79" s="438" t="s">
        <v>217</v>
      </c>
      <c r="H79" s="438" t="str">
        <f t="shared" si="2"/>
        <v>421</v>
      </c>
      <c r="I79" s="439">
        <v>37250972</v>
      </c>
      <c r="J79" s="439">
        <v>0</v>
      </c>
      <c r="K79" s="438"/>
      <c r="L79" s="438"/>
      <c r="M79" s="438"/>
      <c r="N79" s="438" t="s">
        <v>488</v>
      </c>
    </row>
    <row r="80" spans="1:14">
      <c r="A80" s="437">
        <v>44712</v>
      </c>
      <c r="B80" s="437">
        <v>44712</v>
      </c>
      <c r="C80" s="438" t="s">
        <v>4098</v>
      </c>
      <c r="D80" s="438" t="s">
        <v>4099</v>
      </c>
      <c r="E80" s="438" t="s">
        <v>468</v>
      </c>
      <c r="F80" s="438" t="s">
        <v>446</v>
      </c>
      <c r="G80" s="438" t="s">
        <v>720</v>
      </c>
      <c r="H80" s="438" t="str">
        <f t="shared" si="2"/>
        <v>511</v>
      </c>
      <c r="I80" s="439">
        <v>0</v>
      </c>
      <c r="J80" s="439">
        <v>8141124327</v>
      </c>
      <c r="K80" s="438"/>
      <c r="L80" s="438"/>
      <c r="M80" s="438"/>
      <c r="N80" s="438" t="s">
        <v>488</v>
      </c>
    </row>
    <row r="81" spans="1:14">
      <c r="A81" s="437">
        <v>44712</v>
      </c>
      <c r="B81" s="437">
        <v>44712</v>
      </c>
      <c r="C81" s="438" t="s">
        <v>4098</v>
      </c>
      <c r="D81" s="438" t="s">
        <v>4099</v>
      </c>
      <c r="E81" s="438" t="s">
        <v>468</v>
      </c>
      <c r="F81" s="438" t="s">
        <v>446</v>
      </c>
      <c r="G81" s="438" t="s">
        <v>221</v>
      </c>
      <c r="H81" s="438" t="str">
        <f t="shared" si="2"/>
        <v>511</v>
      </c>
      <c r="I81" s="439">
        <v>0</v>
      </c>
      <c r="J81" s="439">
        <v>791364</v>
      </c>
      <c r="K81" s="438"/>
      <c r="L81" s="438"/>
      <c r="M81" s="438"/>
      <c r="N81" s="438" t="s">
        <v>488</v>
      </c>
    </row>
    <row r="82" spans="1:14">
      <c r="A82" s="437">
        <v>44712</v>
      </c>
      <c r="B82" s="437">
        <v>44712</v>
      </c>
      <c r="C82" s="438" t="s">
        <v>4098</v>
      </c>
      <c r="D82" s="438" t="s">
        <v>4099</v>
      </c>
      <c r="E82" s="438" t="s">
        <v>472</v>
      </c>
      <c r="F82" s="438" t="s">
        <v>446</v>
      </c>
      <c r="G82" s="438">
        <v>5152</v>
      </c>
      <c r="H82" s="438" t="str">
        <f t="shared" si="2"/>
        <v>515</v>
      </c>
      <c r="I82" s="439">
        <v>0</v>
      </c>
      <c r="J82" s="439">
        <v>80909688</v>
      </c>
      <c r="K82" s="438"/>
      <c r="L82" s="438"/>
      <c r="M82" s="438"/>
      <c r="N82" s="438" t="s">
        <v>488</v>
      </c>
    </row>
    <row r="83" spans="1:14">
      <c r="A83" s="437">
        <v>44712</v>
      </c>
      <c r="B83" s="437">
        <v>44712</v>
      </c>
      <c r="C83" s="438" t="s">
        <v>4098</v>
      </c>
      <c r="D83" s="438" t="s">
        <v>4099</v>
      </c>
      <c r="E83" s="438" t="s">
        <v>473</v>
      </c>
      <c r="F83" s="438" t="s">
        <v>446</v>
      </c>
      <c r="G83" s="438" t="s">
        <v>303</v>
      </c>
      <c r="H83" s="438" t="str">
        <f t="shared" si="2"/>
        <v>632</v>
      </c>
      <c r="I83" s="439">
        <v>8026585281</v>
      </c>
      <c r="J83" s="439">
        <v>0</v>
      </c>
      <c r="K83" s="438"/>
      <c r="L83" s="438"/>
      <c r="M83" s="438"/>
      <c r="N83" s="438" t="s">
        <v>488</v>
      </c>
    </row>
    <row r="84" spans="1:14">
      <c r="A84" s="437">
        <v>44712</v>
      </c>
      <c r="B84" s="437">
        <v>44712</v>
      </c>
      <c r="C84" s="438" t="s">
        <v>4098</v>
      </c>
      <c r="D84" s="438" t="s">
        <v>4099</v>
      </c>
      <c r="E84" s="438" t="s">
        <v>475</v>
      </c>
      <c r="F84" s="438" t="s">
        <v>446</v>
      </c>
      <c r="G84" s="438" t="s">
        <v>831</v>
      </c>
      <c r="H84" s="438" t="str">
        <f t="shared" si="2"/>
        <v>641</v>
      </c>
      <c r="I84" s="439">
        <v>13977273</v>
      </c>
      <c r="J84" s="439">
        <v>0</v>
      </c>
      <c r="K84" s="438"/>
      <c r="L84" s="438"/>
      <c r="M84" s="438"/>
      <c r="N84" s="438" t="s">
        <v>488</v>
      </c>
    </row>
    <row r="85" spans="1:14">
      <c r="A85" s="437">
        <v>44712</v>
      </c>
      <c r="B85" s="437">
        <v>44712</v>
      </c>
      <c r="C85" s="438" t="s">
        <v>4098</v>
      </c>
      <c r="D85" s="438" t="s">
        <v>4099</v>
      </c>
      <c r="E85" s="438" t="s">
        <v>475</v>
      </c>
      <c r="F85" s="438" t="s">
        <v>446</v>
      </c>
      <c r="G85" s="438" t="s">
        <v>837</v>
      </c>
      <c r="H85" s="438" t="str">
        <f t="shared" si="2"/>
        <v>641</v>
      </c>
      <c r="I85" s="439">
        <v>1056000</v>
      </c>
      <c r="J85" s="439">
        <v>0</v>
      </c>
      <c r="K85" s="438"/>
      <c r="L85" s="438"/>
      <c r="M85" s="438"/>
      <c r="N85" s="438" t="s">
        <v>488</v>
      </c>
    </row>
    <row r="86" spans="1:14">
      <c r="A86" s="437">
        <v>44712</v>
      </c>
      <c r="B86" s="437">
        <v>44712</v>
      </c>
      <c r="C86" s="438" t="s">
        <v>4098</v>
      </c>
      <c r="D86" s="438" t="s">
        <v>4099</v>
      </c>
      <c r="E86" s="438" t="s">
        <v>475</v>
      </c>
      <c r="F86" s="438" t="s">
        <v>446</v>
      </c>
      <c r="G86" s="438" t="s">
        <v>347</v>
      </c>
      <c r="H86" s="438" t="str">
        <f t="shared" si="2"/>
        <v>641</v>
      </c>
      <c r="I86" s="439">
        <v>26526758</v>
      </c>
      <c r="J86" s="439">
        <v>0</v>
      </c>
      <c r="K86" s="438"/>
      <c r="L86" s="438"/>
      <c r="M86" s="438"/>
      <c r="N86" s="438" t="s">
        <v>488</v>
      </c>
    </row>
    <row r="87" spans="1:14">
      <c r="A87" s="437">
        <v>44712</v>
      </c>
      <c r="B87" s="437">
        <v>44712</v>
      </c>
      <c r="C87" s="438" t="s">
        <v>4098</v>
      </c>
      <c r="D87" s="438" t="s">
        <v>4099</v>
      </c>
      <c r="E87" s="438" t="s">
        <v>475</v>
      </c>
      <c r="F87" s="438" t="s">
        <v>446</v>
      </c>
      <c r="G87" s="438" t="s">
        <v>350</v>
      </c>
      <c r="H87" s="438" t="str">
        <f t="shared" si="2"/>
        <v>641</v>
      </c>
      <c r="I87" s="439">
        <v>8042504</v>
      </c>
      <c r="J87" s="439">
        <v>0</v>
      </c>
      <c r="K87" s="438"/>
      <c r="L87" s="438"/>
      <c r="M87" s="438"/>
      <c r="N87" s="438" t="s">
        <v>488</v>
      </c>
    </row>
    <row r="88" spans="1:14">
      <c r="A88" s="437">
        <v>44712</v>
      </c>
      <c r="B88" s="437">
        <v>44712</v>
      </c>
      <c r="C88" s="438" t="s">
        <v>4098</v>
      </c>
      <c r="D88" s="438" t="s">
        <v>4099</v>
      </c>
      <c r="E88" s="438" t="s">
        <v>475</v>
      </c>
      <c r="F88" s="438" t="s">
        <v>446</v>
      </c>
      <c r="G88" s="438" t="s">
        <v>369</v>
      </c>
      <c r="H88" s="438" t="str">
        <f t="shared" si="2"/>
        <v>641</v>
      </c>
      <c r="I88" s="439">
        <v>15810747</v>
      </c>
      <c r="J88" s="439">
        <v>0</v>
      </c>
      <c r="K88" s="438"/>
      <c r="L88" s="438"/>
      <c r="M88" s="438"/>
      <c r="N88" s="438" t="s">
        <v>488</v>
      </c>
    </row>
    <row r="89" spans="1:14">
      <c r="A89" s="437">
        <v>44712</v>
      </c>
      <c r="B89" s="437">
        <v>44712</v>
      </c>
      <c r="C89" s="438" t="s">
        <v>4098</v>
      </c>
      <c r="D89" s="438" t="s">
        <v>4099</v>
      </c>
      <c r="E89" s="438" t="s">
        <v>476</v>
      </c>
      <c r="F89" s="438" t="s">
        <v>446</v>
      </c>
      <c r="G89" s="438" t="s">
        <v>721</v>
      </c>
      <c r="H89" s="438" t="str">
        <f t="shared" si="2"/>
        <v>642</v>
      </c>
      <c r="I89" s="439">
        <v>35872727</v>
      </c>
      <c r="J89" s="439">
        <v>0</v>
      </c>
      <c r="K89" s="438"/>
      <c r="L89" s="438"/>
      <c r="M89" s="438"/>
      <c r="N89" s="438" t="s">
        <v>488</v>
      </c>
    </row>
    <row r="90" spans="1:14">
      <c r="A90" s="437">
        <v>44712</v>
      </c>
      <c r="B90" s="437">
        <v>44712</v>
      </c>
      <c r="C90" s="438" t="s">
        <v>4098</v>
      </c>
      <c r="D90" s="438" t="s">
        <v>4099</v>
      </c>
      <c r="E90" s="438" t="s">
        <v>476</v>
      </c>
      <c r="F90" s="438" t="s">
        <v>446</v>
      </c>
      <c r="G90" s="438" t="s">
        <v>722</v>
      </c>
      <c r="H90" s="438" t="str">
        <f t="shared" si="2"/>
        <v>642</v>
      </c>
      <c r="I90" s="439">
        <v>2640000</v>
      </c>
      <c r="J90" s="439">
        <v>0</v>
      </c>
      <c r="K90" s="438"/>
      <c r="L90" s="438"/>
      <c r="M90" s="438"/>
      <c r="N90" s="438" t="s">
        <v>488</v>
      </c>
    </row>
    <row r="91" spans="1:14">
      <c r="A91" s="437">
        <v>44712</v>
      </c>
      <c r="B91" s="437">
        <v>44712</v>
      </c>
      <c r="C91" s="438" t="s">
        <v>4098</v>
      </c>
      <c r="D91" s="438" t="s">
        <v>4099</v>
      </c>
      <c r="E91" s="438" t="s">
        <v>476</v>
      </c>
      <c r="F91" s="438" t="s">
        <v>446</v>
      </c>
      <c r="G91" s="438" t="s">
        <v>724</v>
      </c>
      <c r="H91" s="438" t="str">
        <f t="shared" si="2"/>
        <v>642</v>
      </c>
      <c r="I91" s="439">
        <v>3408500</v>
      </c>
      <c r="J91" s="439">
        <v>0</v>
      </c>
      <c r="K91" s="438"/>
      <c r="L91" s="438"/>
      <c r="M91" s="438"/>
      <c r="N91" s="438" t="s">
        <v>488</v>
      </c>
    </row>
    <row r="92" spans="1:14">
      <c r="A92" s="437">
        <v>44712</v>
      </c>
      <c r="B92" s="437">
        <v>44712</v>
      </c>
      <c r="C92" s="438" t="s">
        <v>4098</v>
      </c>
      <c r="D92" s="438" t="s">
        <v>4099</v>
      </c>
      <c r="E92" s="438" t="s">
        <v>476</v>
      </c>
      <c r="F92" s="438" t="s">
        <v>446</v>
      </c>
      <c r="G92" s="438" t="s">
        <v>381</v>
      </c>
      <c r="H92" s="438" t="str">
        <f t="shared" si="2"/>
        <v>642</v>
      </c>
      <c r="I92" s="439">
        <v>2066264</v>
      </c>
      <c r="J92" s="439">
        <v>0</v>
      </c>
      <c r="K92" s="438"/>
      <c r="L92" s="438"/>
      <c r="M92" s="438"/>
      <c r="N92" s="438" t="s">
        <v>488</v>
      </c>
    </row>
    <row r="93" spans="1:14">
      <c r="A93" s="437">
        <v>44712</v>
      </c>
      <c r="B93" s="437">
        <v>44712</v>
      </c>
      <c r="C93" s="438" t="s">
        <v>4098</v>
      </c>
      <c r="D93" s="438" t="s">
        <v>4099</v>
      </c>
      <c r="E93" s="438" t="s">
        <v>476</v>
      </c>
      <c r="F93" s="438" t="s">
        <v>446</v>
      </c>
      <c r="G93" s="438" t="s">
        <v>387</v>
      </c>
      <c r="H93" s="438" t="str">
        <f t="shared" si="2"/>
        <v>642</v>
      </c>
      <c r="I93" s="439">
        <v>154000</v>
      </c>
      <c r="J93" s="439">
        <v>0</v>
      </c>
      <c r="K93" s="438"/>
      <c r="L93" s="438"/>
      <c r="M93" s="438"/>
      <c r="N93" s="438" t="s">
        <v>488</v>
      </c>
    </row>
    <row r="94" spans="1:14">
      <c r="A94" s="437">
        <v>44712</v>
      </c>
      <c r="B94" s="437">
        <v>44712</v>
      </c>
      <c r="C94" s="438" t="s">
        <v>4098</v>
      </c>
      <c r="D94" s="438" t="s">
        <v>4099</v>
      </c>
      <c r="E94" s="438" t="s">
        <v>476</v>
      </c>
      <c r="F94" s="438" t="s">
        <v>446</v>
      </c>
      <c r="G94" s="438" t="s">
        <v>389</v>
      </c>
      <c r="H94" s="438" t="str">
        <f t="shared" si="2"/>
        <v>642</v>
      </c>
      <c r="I94" s="439">
        <v>17949019</v>
      </c>
      <c r="J94" s="439">
        <v>0</v>
      </c>
      <c r="K94" s="438"/>
      <c r="L94" s="438"/>
      <c r="M94" s="438"/>
      <c r="N94" s="438" t="s">
        <v>488</v>
      </c>
    </row>
    <row r="95" spans="1:14">
      <c r="A95" s="437">
        <v>44712</v>
      </c>
      <c r="B95" s="437">
        <v>44712</v>
      </c>
      <c r="C95" s="438" t="s">
        <v>4098</v>
      </c>
      <c r="D95" s="438" t="s">
        <v>4099</v>
      </c>
      <c r="E95" s="438" t="s">
        <v>476</v>
      </c>
      <c r="F95" s="438" t="s">
        <v>446</v>
      </c>
      <c r="G95" s="438" t="s">
        <v>395</v>
      </c>
      <c r="H95" s="438" t="str">
        <f t="shared" si="2"/>
        <v>642</v>
      </c>
      <c r="I95" s="439">
        <v>26526759</v>
      </c>
      <c r="J95" s="439">
        <v>0</v>
      </c>
      <c r="K95" s="438"/>
      <c r="L95" s="438"/>
      <c r="M95" s="438"/>
      <c r="N95" s="438" t="s">
        <v>488</v>
      </c>
    </row>
    <row r="96" spans="1:14">
      <c r="A96" s="437">
        <v>44712</v>
      </c>
      <c r="B96" s="437">
        <v>44712</v>
      </c>
      <c r="C96" s="438" t="s">
        <v>4098</v>
      </c>
      <c r="D96" s="438" t="s">
        <v>4099</v>
      </c>
      <c r="E96" s="438" t="s">
        <v>476</v>
      </c>
      <c r="F96" s="438" t="s">
        <v>446</v>
      </c>
      <c r="G96" s="438" t="s">
        <v>397</v>
      </c>
      <c r="H96" s="438" t="str">
        <f t="shared" si="2"/>
        <v>642</v>
      </c>
      <c r="I96" s="439">
        <v>2829541</v>
      </c>
      <c r="J96" s="439">
        <v>0</v>
      </c>
      <c r="K96" s="438"/>
      <c r="L96" s="438"/>
      <c r="M96" s="438"/>
      <c r="N96" s="438" t="s">
        <v>488</v>
      </c>
    </row>
    <row r="97" spans="1:14">
      <c r="A97" s="437">
        <v>44712</v>
      </c>
      <c r="B97" s="437">
        <v>44712</v>
      </c>
      <c r="C97" s="438" t="s">
        <v>4098</v>
      </c>
      <c r="D97" s="438" t="s">
        <v>4099</v>
      </c>
      <c r="E97" s="438" t="s">
        <v>476</v>
      </c>
      <c r="F97" s="438" t="s">
        <v>446</v>
      </c>
      <c r="G97" s="438" t="s">
        <v>398</v>
      </c>
      <c r="H97" s="438" t="str">
        <f t="shared" si="2"/>
        <v>642</v>
      </c>
      <c r="I97" s="439">
        <v>8042506</v>
      </c>
      <c r="J97" s="439">
        <v>0</v>
      </c>
      <c r="K97" s="438"/>
      <c r="L97" s="438"/>
      <c r="M97" s="438"/>
      <c r="N97" s="438" t="s">
        <v>488</v>
      </c>
    </row>
    <row r="98" spans="1:14">
      <c r="A98" s="437">
        <v>44712</v>
      </c>
      <c r="B98" s="437">
        <v>44712</v>
      </c>
      <c r="C98" s="438" t="s">
        <v>4098</v>
      </c>
      <c r="D98" s="438" t="s">
        <v>4099</v>
      </c>
      <c r="E98" s="438" t="s">
        <v>479</v>
      </c>
      <c r="F98" s="438" t="s">
        <v>446</v>
      </c>
      <c r="G98" s="438" t="s">
        <v>217</v>
      </c>
      <c r="H98" s="438" t="str">
        <f t="shared" si="2"/>
        <v>421</v>
      </c>
      <c r="I98" s="439">
        <v>31337500</v>
      </c>
      <c r="J98" s="439">
        <v>0</v>
      </c>
      <c r="K98" s="438"/>
      <c r="L98" s="438"/>
      <c r="M98" s="438"/>
      <c r="N98" s="438" t="s">
        <v>488</v>
      </c>
    </row>
    <row r="99" spans="1:14">
      <c r="A99" s="437">
        <v>44742</v>
      </c>
      <c r="B99" s="437">
        <v>44742</v>
      </c>
      <c r="C99" s="438" t="s">
        <v>4100</v>
      </c>
      <c r="D99" s="438" t="s">
        <v>4101</v>
      </c>
      <c r="E99" s="438" t="s">
        <v>468</v>
      </c>
      <c r="F99" s="438" t="s">
        <v>446</v>
      </c>
      <c r="G99" s="438" t="s">
        <v>720</v>
      </c>
      <c r="H99" s="438" t="str">
        <f t="shared" si="2"/>
        <v>511</v>
      </c>
      <c r="I99" s="439">
        <v>0</v>
      </c>
      <c r="J99" s="439">
        <v>12107402705</v>
      </c>
      <c r="K99" s="438"/>
      <c r="L99" s="438"/>
      <c r="M99" s="438"/>
      <c r="N99" s="438" t="s">
        <v>488</v>
      </c>
    </row>
    <row r="100" spans="1:14">
      <c r="A100" s="437">
        <v>44742</v>
      </c>
      <c r="B100" s="437">
        <v>44742</v>
      </c>
      <c r="C100" s="438" t="s">
        <v>4100</v>
      </c>
      <c r="D100" s="438" t="s">
        <v>4101</v>
      </c>
      <c r="E100" s="438" t="s">
        <v>472</v>
      </c>
      <c r="F100" s="438" t="s">
        <v>446</v>
      </c>
      <c r="G100" s="438">
        <v>5152</v>
      </c>
      <c r="H100" s="438" t="str">
        <f t="shared" si="2"/>
        <v>515</v>
      </c>
      <c r="I100" s="439">
        <v>0</v>
      </c>
      <c r="J100" s="439">
        <v>67762269</v>
      </c>
      <c r="K100" s="438"/>
      <c r="L100" s="438"/>
      <c r="M100" s="438"/>
      <c r="N100" s="438" t="s">
        <v>488</v>
      </c>
    </row>
    <row r="101" spans="1:14">
      <c r="A101" s="437">
        <v>44742</v>
      </c>
      <c r="B101" s="437">
        <v>44742</v>
      </c>
      <c r="C101" s="438" t="s">
        <v>4100</v>
      </c>
      <c r="D101" s="438" t="s">
        <v>4101</v>
      </c>
      <c r="E101" s="438" t="s">
        <v>473</v>
      </c>
      <c r="F101" s="438" t="s">
        <v>446</v>
      </c>
      <c r="G101" s="438" t="s">
        <v>303</v>
      </c>
      <c r="H101" s="438" t="str">
        <f t="shared" si="2"/>
        <v>632</v>
      </c>
      <c r="I101" s="439">
        <v>12016045298</v>
      </c>
      <c r="J101" s="439">
        <v>0</v>
      </c>
      <c r="K101" s="438"/>
      <c r="L101" s="438"/>
      <c r="M101" s="438"/>
      <c r="N101" s="438" t="s">
        <v>488</v>
      </c>
    </row>
    <row r="102" spans="1:14">
      <c r="A102" s="437">
        <v>44742</v>
      </c>
      <c r="B102" s="437">
        <v>44742</v>
      </c>
      <c r="C102" s="438" t="s">
        <v>4100</v>
      </c>
      <c r="D102" s="438" t="s">
        <v>4101</v>
      </c>
      <c r="E102" s="438" t="s">
        <v>475</v>
      </c>
      <c r="F102" s="438" t="s">
        <v>446</v>
      </c>
      <c r="G102" s="438" t="s">
        <v>831</v>
      </c>
      <c r="H102" s="438" t="str">
        <f t="shared" si="2"/>
        <v>641</v>
      </c>
      <c r="I102" s="439">
        <v>12272727</v>
      </c>
      <c r="J102" s="439">
        <v>0</v>
      </c>
      <c r="K102" s="438"/>
      <c r="L102" s="438"/>
      <c r="M102" s="438"/>
      <c r="N102" s="438" t="s">
        <v>488</v>
      </c>
    </row>
    <row r="103" spans="1:14">
      <c r="A103" s="437">
        <v>44742</v>
      </c>
      <c r="B103" s="437">
        <v>44742</v>
      </c>
      <c r="C103" s="438" t="s">
        <v>4100</v>
      </c>
      <c r="D103" s="438" t="s">
        <v>4101</v>
      </c>
      <c r="E103" s="438" t="s">
        <v>475</v>
      </c>
      <c r="F103" s="438" t="s">
        <v>446</v>
      </c>
      <c r="G103" s="438" t="s">
        <v>837</v>
      </c>
      <c r="H103" s="438" t="str">
        <f t="shared" si="2"/>
        <v>641</v>
      </c>
      <c r="I103" s="439">
        <v>1056000</v>
      </c>
      <c r="J103" s="439">
        <v>0</v>
      </c>
      <c r="K103" s="438"/>
      <c r="L103" s="438"/>
      <c r="M103" s="438"/>
      <c r="N103" s="438" t="s">
        <v>488</v>
      </c>
    </row>
    <row r="104" spans="1:14">
      <c r="A104" s="437">
        <v>44742</v>
      </c>
      <c r="B104" s="437">
        <v>44742</v>
      </c>
      <c r="C104" s="438" t="s">
        <v>4100</v>
      </c>
      <c r="D104" s="438" t="s">
        <v>4101</v>
      </c>
      <c r="E104" s="438" t="s">
        <v>475</v>
      </c>
      <c r="F104" s="438" t="s">
        <v>446</v>
      </c>
      <c r="G104" s="438" t="s">
        <v>347</v>
      </c>
      <c r="H104" s="438" t="str">
        <f t="shared" si="2"/>
        <v>641</v>
      </c>
      <c r="I104" s="439">
        <v>26526758</v>
      </c>
      <c r="J104" s="439">
        <v>0</v>
      </c>
      <c r="K104" s="438"/>
      <c r="L104" s="438"/>
      <c r="M104" s="438"/>
      <c r="N104" s="438" t="s">
        <v>488</v>
      </c>
    </row>
    <row r="105" spans="1:14">
      <c r="A105" s="437">
        <v>44742</v>
      </c>
      <c r="B105" s="437">
        <v>44742</v>
      </c>
      <c r="C105" s="438" t="s">
        <v>4100</v>
      </c>
      <c r="D105" s="438" t="s">
        <v>4101</v>
      </c>
      <c r="E105" s="438" t="s">
        <v>475</v>
      </c>
      <c r="F105" s="438" t="s">
        <v>446</v>
      </c>
      <c r="G105" s="438" t="s">
        <v>350</v>
      </c>
      <c r="H105" s="438" t="str">
        <f t="shared" si="2"/>
        <v>641</v>
      </c>
      <c r="I105" s="439">
        <v>8042504</v>
      </c>
      <c r="J105" s="439">
        <v>0</v>
      </c>
      <c r="K105" s="438"/>
      <c r="L105" s="438"/>
      <c r="M105" s="438"/>
      <c r="N105" s="438" t="s">
        <v>488</v>
      </c>
    </row>
    <row r="106" spans="1:14">
      <c r="A106" s="437">
        <v>44742</v>
      </c>
      <c r="B106" s="437">
        <v>44742</v>
      </c>
      <c r="C106" s="438" t="s">
        <v>4100</v>
      </c>
      <c r="D106" s="438" t="s">
        <v>4101</v>
      </c>
      <c r="E106" s="438" t="s">
        <v>475</v>
      </c>
      <c r="F106" s="438" t="s">
        <v>446</v>
      </c>
      <c r="G106" s="438" t="s">
        <v>369</v>
      </c>
      <c r="H106" s="438" t="str">
        <f t="shared" si="2"/>
        <v>641</v>
      </c>
      <c r="I106" s="439">
        <v>4075798</v>
      </c>
      <c r="J106" s="439">
        <v>0</v>
      </c>
      <c r="K106" s="438"/>
      <c r="L106" s="438"/>
      <c r="M106" s="438"/>
      <c r="N106" s="438" t="s">
        <v>488</v>
      </c>
    </row>
    <row r="107" spans="1:14">
      <c r="A107" s="437">
        <v>44742</v>
      </c>
      <c r="B107" s="437">
        <v>44742</v>
      </c>
      <c r="C107" s="438" t="s">
        <v>4100</v>
      </c>
      <c r="D107" s="438" t="s">
        <v>4101</v>
      </c>
      <c r="E107" s="438" t="s">
        <v>476</v>
      </c>
      <c r="F107" s="438" t="s">
        <v>446</v>
      </c>
      <c r="G107" s="438" t="s">
        <v>721</v>
      </c>
      <c r="H107" s="438" t="str">
        <f t="shared" si="2"/>
        <v>642</v>
      </c>
      <c r="I107" s="439">
        <v>22309091</v>
      </c>
      <c r="J107" s="439">
        <v>0</v>
      </c>
      <c r="K107" s="438"/>
      <c r="L107" s="438"/>
      <c r="M107" s="438"/>
      <c r="N107" s="438" t="s">
        <v>488</v>
      </c>
    </row>
    <row r="108" spans="1:14">
      <c r="A108" s="437">
        <v>44742</v>
      </c>
      <c r="B108" s="437">
        <v>44742</v>
      </c>
      <c r="C108" s="438" t="s">
        <v>4100</v>
      </c>
      <c r="D108" s="438" t="s">
        <v>4101</v>
      </c>
      <c r="E108" s="438" t="s">
        <v>476</v>
      </c>
      <c r="F108" s="438" t="s">
        <v>446</v>
      </c>
      <c r="G108" s="438" t="s">
        <v>722</v>
      </c>
      <c r="H108" s="438" t="str">
        <f t="shared" si="2"/>
        <v>642</v>
      </c>
      <c r="I108" s="439">
        <v>1320000</v>
      </c>
      <c r="J108" s="439">
        <v>0</v>
      </c>
      <c r="K108" s="438"/>
      <c r="L108" s="438"/>
      <c r="M108" s="438"/>
      <c r="N108" s="438" t="s">
        <v>488</v>
      </c>
    </row>
    <row r="109" spans="1:14">
      <c r="A109" s="437">
        <v>44742</v>
      </c>
      <c r="B109" s="437">
        <v>44742</v>
      </c>
      <c r="C109" s="438" t="s">
        <v>4100</v>
      </c>
      <c r="D109" s="438" t="s">
        <v>4101</v>
      </c>
      <c r="E109" s="438" t="s">
        <v>476</v>
      </c>
      <c r="F109" s="438" t="s">
        <v>446</v>
      </c>
      <c r="G109" s="438" t="s">
        <v>381</v>
      </c>
      <c r="H109" s="438" t="str">
        <f t="shared" si="2"/>
        <v>642</v>
      </c>
      <c r="I109" s="439">
        <v>2066268</v>
      </c>
      <c r="J109" s="439">
        <v>0</v>
      </c>
      <c r="K109" s="438"/>
      <c r="L109" s="438"/>
      <c r="M109" s="438"/>
      <c r="N109" s="438" t="s">
        <v>488</v>
      </c>
    </row>
    <row r="110" spans="1:14">
      <c r="A110" s="437">
        <v>44742</v>
      </c>
      <c r="B110" s="437">
        <v>44742</v>
      </c>
      <c r="C110" s="438" t="s">
        <v>4100</v>
      </c>
      <c r="D110" s="438" t="s">
        <v>4101</v>
      </c>
      <c r="E110" s="438" t="s">
        <v>476</v>
      </c>
      <c r="F110" s="438" t="s">
        <v>446</v>
      </c>
      <c r="G110" s="438" t="s">
        <v>387</v>
      </c>
      <c r="H110" s="438" t="str">
        <f t="shared" si="2"/>
        <v>642</v>
      </c>
      <c r="I110" s="439">
        <v>99000</v>
      </c>
      <c r="J110" s="439">
        <v>0</v>
      </c>
      <c r="K110" s="438"/>
      <c r="L110" s="438"/>
      <c r="M110" s="438"/>
      <c r="N110" s="438" t="s">
        <v>488</v>
      </c>
    </row>
    <row r="111" spans="1:14">
      <c r="A111" s="437">
        <v>44742</v>
      </c>
      <c r="B111" s="437">
        <v>44742</v>
      </c>
      <c r="C111" s="438" t="s">
        <v>4100</v>
      </c>
      <c r="D111" s="438" t="s">
        <v>4101</v>
      </c>
      <c r="E111" s="438" t="s">
        <v>476</v>
      </c>
      <c r="F111" s="438" t="s">
        <v>446</v>
      </c>
      <c r="G111" s="438" t="s">
        <v>389</v>
      </c>
      <c r="H111" s="438" t="str">
        <f t="shared" si="2"/>
        <v>642</v>
      </c>
      <c r="I111" s="439">
        <v>2045730</v>
      </c>
      <c r="J111" s="439">
        <v>0</v>
      </c>
      <c r="K111" s="438"/>
      <c r="L111" s="438"/>
      <c r="M111" s="438"/>
      <c r="N111" s="438" t="s">
        <v>488</v>
      </c>
    </row>
    <row r="112" spans="1:14">
      <c r="A112" s="437">
        <v>44742</v>
      </c>
      <c r="B112" s="437">
        <v>44742</v>
      </c>
      <c r="C112" s="438" t="s">
        <v>4100</v>
      </c>
      <c r="D112" s="438" t="s">
        <v>4101</v>
      </c>
      <c r="E112" s="438" t="s">
        <v>476</v>
      </c>
      <c r="F112" s="438" t="s">
        <v>446</v>
      </c>
      <c r="G112" s="438" t="s">
        <v>395</v>
      </c>
      <c r="H112" s="438" t="str">
        <f t="shared" si="2"/>
        <v>642</v>
      </c>
      <c r="I112" s="439">
        <v>26526759</v>
      </c>
      <c r="J112" s="439">
        <v>0</v>
      </c>
      <c r="K112" s="438"/>
      <c r="L112" s="438"/>
      <c r="M112" s="438"/>
      <c r="N112" s="438" t="s">
        <v>488</v>
      </c>
    </row>
    <row r="113" spans="1:14">
      <c r="A113" s="437">
        <v>44742</v>
      </c>
      <c r="B113" s="437">
        <v>44742</v>
      </c>
      <c r="C113" s="438" t="s">
        <v>4100</v>
      </c>
      <c r="D113" s="438" t="s">
        <v>4101</v>
      </c>
      <c r="E113" s="438" t="s">
        <v>476</v>
      </c>
      <c r="F113" s="438" t="s">
        <v>446</v>
      </c>
      <c r="G113" s="438" t="s">
        <v>397</v>
      </c>
      <c r="H113" s="438" t="str">
        <f t="shared" si="2"/>
        <v>642</v>
      </c>
      <c r="I113" s="439">
        <v>2829537</v>
      </c>
      <c r="J113" s="439">
        <v>0</v>
      </c>
      <c r="K113" s="438"/>
      <c r="L113" s="438"/>
      <c r="M113" s="438"/>
      <c r="N113" s="438" t="s">
        <v>488</v>
      </c>
    </row>
    <row r="114" spans="1:14">
      <c r="A114" s="437">
        <v>44742</v>
      </c>
      <c r="B114" s="437">
        <v>44742</v>
      </c>
      <c r="C114" s="438" t="s">
        <v>4100</v>
      </c>
      <c r="D114" s="438" t="s">
        <v>4101</v>
      </c>
      <c r="E114" s="438" t="s">
        <v>476</v>
      </c>
      <c r="F114" s="438" t="s">
        <v>446</v>
      </c>
      <c r="G114" s="438" t="s">
        <v>398</v>
      </c>
      <c r="H114" s="438" t="str">
        <f t="shared" si="2"/>
        <v>642</v>
      </c>
      <c r="I114" s="439">
        <v>8042506</v>
      </c>
      <c r="J114" s="439">
        <v>0</v>
      </c>
      <c r="K114" s="438"/>
      <c r="L114" s="438"/>
      <c r="M114" s="438"/>
      <c r="N114" s="438" t="s">
        <v>488</v>
      </c>
    </row>
    <row r="115" spans="1:14">
      <c r="A115" s="437">
        <v>44742</v>
      </c>
      <c r="B115" s="437">
        <v>44742</v>
      </c>
      <c r="C115" s="438" t="s">
        <v>4100</v>
      </c>
      <c r="D115" s="438" t="s">
        <v>4101</v>
      </c>
      <c r="E115" s="438" t="s">
        <v>477</v>
      </c>
      <c r="F115" s="438" t="s">
        <v>446</v>
      </c>
      <c r="G115" s="438" t="s">
        <v>442</v>
      </c>
      <c r="H115" s="438" t="str">
        <f t="shared" si="2"/>
        <v>711</v>
      </c>
      <c r="I115" s="439">
        <v>0</v>
      </c>
      <c r="J115" s="439">
        <v>600</v>
      </c>
      <c r="K115" s="438"/>
      <c r="L115" s="438"/>
      <c r="M115" s="438"/>
      <c r="N115" s="438" t="s">
        <v>488</v>
      </c>
    </row>
    <row r="116" spans="1:14">
      <c r="A116" s="437">
        <v>44742</v>
      </c>
      <c r="B116" s="437">
        <v>44742</v>
      </c>
      <c r="C116" s="438" t="s">
        <v>4100</v>
      </c>
      <c r="D116" s="438" t="s">
        <v>4101</v>
      </c>
      <c r="E116" s="438" t="s">
        <v>479</v>
      </c>
      <c r="F116" s="438" t="s">
        <v>446</v>
      </c>
      <c r="G116" s="438" t="s">
        <v>217</v>
      </c>
      <c r="H116" s="438" t="str">
        <f t="shared" si="2"/>
        <v>421</v>
      </c>
      <c r="I116" s="439">
        <v>41907598</v>
      </c>
      <c r="J116" s="439">
        <v>0</v>
      </c>
      <c r="K116" s="438"/>
      <c r="L116" s="438"/>
      <c r="M116" s="438"/>
      <c r="N116" s="438" t="s">
        <v>488</v>
      </c>
    </row>
    <row r="117" spans="1:14">
      <c r="A117" s="437">
        <v>44773</v>
      </c>
      <c r="B117" s="437">
        <v>44773</v>
      </c>
      <c r="C117" s="438" t="s">
        <v>4102</v>
      </c>
      <c r="D117" s="438" t="s">
        <v>4103</v>
      </c>
      <c r="E117" s="438" t="s">
        <v>468</v>
      </c>
      <c r="F117" s="438" t="s">
        <v>446</v>
      </c>
      <c r="G117" s="438" t="s">
        <v>720</v>
      </c>
      <c r="H117" s="438" t="str">
        <f t="shared" si="2"/>
        <v>511</v>
      </c>
      <c r="I117" s="439">
        <v>0</v>
      </c>
      <c r="J117" s="439">
        <v>31699600614</v>
      </c>
      <c r="K117" s="438"/>
      <c r="L117" s="438"/>
      <c r="M117" s="438"/>
      <c r="N117" s="438" t="s">
        <v>488</v>
      </c>
    </row>
    <row r="118" spans="1:14">
      <c r="A118" s="437">
        <v>44773</v>
      </c>
      <c r="B118" s="437">
        <v>44773</v>
      </c>
      <c r="C118" s="438" t="s">
        <v>4102</v>
      </c>
      <c r="D118" s="438" t="s">
        <v>4103</v>
      </c>
      <c r="E118" s="438" t="s">
        <v>472</v>
      </c>
      <c r="F118" s="438" t="s">
        <v>446</v>
      </c>
      <c r="G118" s="438">
        <v>5152</v>
      </c>
      <c r="H118" s="438" t="str">
        <f t="shared" si="2"/>
        <v>515</v>
      </c>
      <c r="I118" s="439">
        <v>0</v>
      </c>
      <c r="J118" s="439">
        <v>159352623</v>
      </c>
      <c r="K118" s="438"/>
      <c r="L118" s="438"/>
      <c r="M118" s="438"/>
      <c r="N118" s="438" t="s">
        <v>488</v>
      </c>
    </row>
    <row r="119" spans="1:14">
      <c r="A119" s="437">
        <v>44773</v>
      </c>
      <c r="B119" s="437">
        <v>44773</v>
      </c>
      <c r="C119" s="438" t="s">
        <v>4102</v>
      </c>
      <c r="D119" s="438" t="s">
        <v>4103</v>
      </c>
      <c r="E119" s="438" t="s">
        <v>473</v>
      </c>
      <c r="F119" s="438" t="s">
        <v>446</v>
      </c>
      <c r="G119" s="438" t="s">
        <v>303</v>
      </c>
      <c r="H119" s="438" t="str">
        <f t="shared" si="2"/>
        <v>632</v>
      </c>
      <c r="I119" s="439">
        <v>31615202732</v>
      </c>
      <c r="J119" s="439">
        <v>0</v>
      </c>
      <c r="K119" s="438"/>
      <c r="L119" s="438"/>
      <c r="M119" s="438"/>
      <c r="N119" s="438" t="s">
        <v>488</v>
      </c>
    </row>
    <row r="120" spans="1:14">
      <c r="A120" s="437">
        <v>44773</v>
      </c>
      <c r="B120" s="437">
        <v>44773</v>
      </c>
      <c r="C120" s="438" t="s">
        <v>4102</v>
      </c>
      <c r="D120" s="438" t="s">
        <v>4103</v>
      </c>
      <c r="E120" s="438" t="s">
        <v>475</v>
      </c>
      <c r="F120" s="438" t="s">
        <v>446</v>
      </c>
      <c r="G120" s="438" t="s">
        <v>347</v>
      </c>
      <c r="H120" s="438" t="str">
        <f t="shared" si="2"/>
        <v>641</v>
      </c>
      <c r="I120" s="439">
        <v>27677418</v>
      </c>
      <c r="J120" s="439">
        <v>0</v>
      </c>
      <c r="K120" s="438"/>
      <c r="L120" s="438"/>
      <c r="M120" s="438"/>
      <c r="N120" s="438" t="s">
        <v>488</v>
      </c>
    </row>
    <row r="121" spans="1:14">
      <c r="A121" s="437">
        <v>44773</v>
      </c>
      <c r="B121" s="437">
        <v>44773</v>
      </c>
      <c r="C121" s="438" t="s">
        <v>4102</v>
      </c>
      <c r="D121" s="438" t="s">
        <v>4103</v>
      </c>
      <c r="E121" s="438" t="s">
        <v>475</v>
      </c>
      <c r="F121" s="438" t="s">
        <v>446</v>
      </c>
      <c r="G121" s="438" t="s">
        <v>348</v>
      </c>
      <c r="H121" s="438" t="str">
        <f t="shared" si="2"/>
        <v>641</v>
      </c>
      <c r="I121" s="439">
        <v>670000</v>
      </c>
      <c r="J121" s="439">
        <v>0</v>
      </c>
      <c r="K121" s="438"/>
      <c r="L121" s="438"/>
      <c r="M121" s="438"/>
      <c r="N121" s="438" t="s">
        <v>488</v>
      </c>
    </row>
    <row r="122" spans="1:14">
      <c r="A122" s="437">
        <v>44773</v>
      </c>
      <c r="B122" s="437">
        <v>44773</v>
      </c>
      <c r="C122" s="438" t="s">
        <v>4102</v>
      </c>
      <c r="D122" s="438" t="s">
        <v>4103</v>
      </c>
      <c r="E122" s="438" t="s">
        <v>475</v>
      </c>
      <c r="F122" s="438" t="s">
        <v>446</v>
      </c>
      <c r="G122" s="438" t="s">
        <v>350</v>
      </c>
      <c r="H122" s="438" t="str">
        <f t="shared" si="2"/>
        <v>641</v>
      </c>
      <c r="I122" s="439">
        <v>8042504</v>
      </c>
      <c r="J122" s="439">
        <v>0</v>
      </c>
      <c r="K122" s="438"/>
      <c r="L122" s="438"/>
      <c r="M122" s="438"/>
      <c r="N122" s="438" t="s">
        <v>488</v>
      </c>
    </row>
    <row r="123" spans="1:14">
      <c r="A123" s="437">
        <v>44773</v>
      </c>
      <c r="B123" s="437">
        <v>44773</v>
      </c>
      <c r="C123" s="438" t="s">
        <v>4102</v>
      </c>
      <c r="D123" s="438" t="s">
        <v>4103</v>
      </c>
      <c r="E123" s="438" t="s">
        <v>475</v>
      </c>
      <c r="F123" s="438" t="s">
        <v>446</v>
      </c>
      <c r="G123" s="438" t="s">
        <v>369</v>
      </c>
      <c r="H123" s="438" t="str">
        <f t="shared" si="2"/>
        <v>641</v>
      </c>
      <c r="I123" s="439">
        <v>4125000</v>
      </c>
      <c r="J123" s="439">
        <v>0</v>
      </c>
      <c r="K123" s="438"/>
      <c r="L123" s="438"/>
      <c r="M123" s="438"/>
      <c r="N123" s="438" t="s">
        <v>488</v>
      </c>
    </row>
    <row r="124" spans="1:14">
      <c r="A124" s="437">
        <v>44773</v>
      </c>
      <c r="B124" s="437">
        <v>44773</v>
      </c>
      <c r="C124" s="438" t="s">
        <v>4102</v>
      </c>
      <c r="D124" s="438" t="s">
        <v>4103</v>
      </c>
      <c r="E124" s="438" t="s">
        <v>476</v>
      </c>
      <c r="F124" s="438" t="s">
        <v>446</v>
      </c>
      <c r="G124" s="438" t="s">
        <v>721</v>
      </c>
      <c r="H124" s="438" t="str">
        <f t="shared" si="2"/>
        <v>642</v>
      </c>
      <c r="I124" s="439">
        <v>24300000</v>
      </c>
      <c r="J124" s="439">
        <v>0</v>
      </c>
      <c r="K124" s="438"/>
      <c r="L124" s="438"/>
      <c r="M124" s="438"/>
      <c r="N124" s="438" t="s">
        <v>488</v>
      </c>
    </row>
    <row r="125" spans="1:14">
      <c r="A125" s="437">
        <v>44773</v>
      </c>
      <c r="B125" s="437">
        <v>44773</v>
      </c>
      <c r="C125" s="438" t="s">
        <v>4102</v>
      </c>
      <c r="D125" s="438" t="s">
        <v>4103</v>
      </c>
      <c r="E125" s="438" t="s">
        <v>476</v>
      </c>
      <c r="F125" s="438" t="s">
        <v>446</v>
      </c>
      <c r="G125" s="438" t="s">
        <v>722</v>
      </c>
      <c r="H125" s="438" t="str">
        <f t="shared" si="2"/>
        <v>642</v>
      </c>
      <c r="I125" s="439">
        <v>1620000</v>
      </c>
      <c r="J125" s="439">
        <v>0</v>
      </c>
      <c r="K125" s="438"/>
      <c r="L125" s="438"/>
      <c r="M125" s="438"/>
      <c r="N125" s="438" t="s">
        <v>488</v>
      </c>
    </row>
    <row r="126" spans="1:14">
      <c r="A126" s="437">
        <v>44773</v>
      </c>
      <c r="B126" s="437">
        <v>44773</v>
      </c>
      <c r="C126" s="438" t="s">
        <v>4102</v>
      </c>
      <c r="D126" s="438" t="s">
        <v>4103</v>
      </c>
      <c r="E126" s="438" t="s">
        <v>476</v>
      </c>
      <c r="F126" s="438" t="s">
        <v>446</v>
      </c>
      <c r="G126" s="438" t="s">
        <v>381</v>
      </c>
      <c r="H126" s="438" t="str">
        <f t="shared" si="2"/>
        <v>642</v>
      </c>
      <c r="I126" s="439">
        <v>1466264</v>
      </c>
      <c r="J126" s="439">
        <v>0</v>
      </c>
      <c r="K126" s="438"/>
      <c r="L126" s="438"/>
      <c r="M126" s="438"/>
      <c r="N126" s="438" t="s">
        <v>488</v>
      </c>
    </row>
    <row r="127" spans="1:14">
      <c r="A127" s="437">
        <v>44773</v>
      </c>
      <c r="B127" s="437">
        <v>44773</v>
      </c>
      <c r="C127" s="438" t="s">
        <v>4102</v>
      </c>
      <c r="D127" s="438" t="s">
        <v>4103</v>
      </c>
      <c r="E127" s="438" t="s">
        <v>476</v>
      </c>
      <c r="F127" s="438" t="s">
        <v>446</v>
      </c>
      <c r="G127" s="438" t="s">
        <v>387</v>
      </c>
      <c r="H127" s="438" t="str">
        <f t="shared" si="2"/>
        <v>642</v>
      </c>
      <c r="I127" s="439">
        <v>88000</v>
      </c>
      <c r="J127" s="439">
        <v>0</v>
      </c>
      <c r="K127" s="438"/>
      <c r="L127" s="438"/>
      <c r="M127" s="438"/>
      <c r="N127" s="438" t="s">
        <v>488</v>
      </c>
    </row>
    <row r="128" spans="1:14">
      <c r="A128" s="437">
        <v>44773</v>
      </c>
      <c r="B128" s="437">
        <v>44773</v>
      </c>
      <c r="C128" s="438" t="s">
        <v>4102</v>
      </c>
      <c r="D128" s="438" t="s">
        <v>4103</v>
      </c>
      <c r="E128" s="438" t="s">
        <v>476</v>
      </c>
      <c r="F128" s="438" t="s">
        <v>446</v>
      </c>
      <c r="G128" s="438" t="s">
        <v>389</v>
      </c>
      <c r="H128" s="438" t="str">
        <f t="shared" si="2"/>
        <v>642</v>
      </c>
      <c r="I128" s="439">
        <v>11569930</v>
      </c>
      <c r="J128" s="439">
        <v>0</v>
      </c>
      <c r="K128" s="438"/>
      <c r="L128" s="438"/>
      <c r="M128" s="438"/>
      <c r="N128" s="438" t="s">
        <v>488</v>
      </c>
    </row>
    <row r="129" spans="1:14">
      <c r="A129" s="437">
        <v>44773</v>
      </c>
      <c r="B129" s="437">
        <v>44773</v>
      </c>
      <c r="C129" s="438" t="s">
        <v>4102</v>
      </c>
      <c r="D129" s="438" t="s">
        <v>4103</v>
      </c>
      <c r="E129" s="438" t="s">
        <v>476</v>
      </c>
      <c r="F129" s="438" t="s">
        <v>446</v>
      </c>
      <c r="G129" s="438" t="s">
        <v>395</v>
      </c>
      <c r="H129" s="438" t="str">
        <f t="shared" si="2"/>
        <v>642</v>
      </c>
      <c r="I129" s="439">
        <v>27677418</v>
      </c>
      <c r="J129" s="439">
        <v>0</v>
      </c>
      <c r="K129" s="438"/>
      <c r="L129" s="438"/>
      <c r="M129" s="438"/>
      <c r="N129" s="438" t="s">
        <v>488</v>
      </c>
    </row>
    <row r="130" spans="1:14">
      <c r="A130" s="437">
        <v>44773</v>
      </c>
      <c r="B130" s="437">
        <v>44773</v>
      </c>
      <c r="C130" s="438" t="s">
        <v>4102</v>
      </c>
      <c r="D130" s="438" t="s">
        <v>4103</v>
      </c>
      <c r="E130" s="438" t="s">
        <v>476</v>
      </c>
      <c r="F130" s="438" t="s">
        <v>446</v>
      </c>
      <c r="G130" s="438" t="s">
        <v>397</v>
      </c>
      <c r="H130" s="438" t="str">
        <f t="shared" si="2"/>
        <v>642</v>
      </c>
      <c r="I130" s="439">
        <v>3031890</v>
      </c>
      <c r="J130" s="439">
        <v>0</v>
      </c>
      <c r="K130" s="438"/>
      <c r="L130" s="438"/>
      <c r="M130" s="438"/>
      <c r="N130" s="438" t="s">
        <v>488</v>
      </c>
    </row>
    <row r="131" spans="1:14">
      <c r="A131" s="437">
        <v>44773</v>
      </c>
      <c r="B131" s="437">
        <v>44773</v>
      </c>
      <c r="C131" s="438" t="s">
        <v>4102</v>
      </c>
      <c r="D131" s="438" t="s">
        <v>4103</v>
      </c>
      <c r="E131" s="438" t="s">
        <v>476</v>
      </c>
      <c r="F131" s="438" t="s">
        <v>446</v>
      </c>
      <c r="G131" s="438" t="s">
        <v>398</v>
      </c>
      <c r="H131" s="438" t="str">
        <f t="shared" si="2"/>
        <v>642</v>
      </c>
      <c r="I131" s="439">
        <v>8042506</v>
      </c>
      <c r="J131" s="439">
        <v>0</v>
      </c>
      <c r="K131" s="438"/>
      <c r="L131" s="438"/>
      <c r="M131" s="438"/>
      <c r="N131" s="438" t="s">
        <v>488</v>
      </c>
    </row>
    <row r="132" spans="1:14">
      <c r="A132" s="437">
        <v>44773</v>
      </c>
      <c r="B132" s="437">
        <v>44773</v>
      </c>
      <c r="C132" s="438" t="s">
        <v>4102</v>
      </c>
      <c r="D132" s="438" t="s">
        <v>4103</v>
      </c>
      <c r="E132" s="438" t="s">
        <v>479</v>
      </c>
      <c r="F132" s="438" t="s">
        <v>446</v>
      </c>
      <c r="G132" s="438" t="s">
        <v>217</v>
      </c>
      <c r="H132" s="438" t="str">
        <f t="shared" ref="H132:H195" si="3">LEFT(G132,3)</f>
        <v>421</v>
      </c>
      <c r="I132" s="439">
        <v>125439575</v>
      </c>
      <c r="J132" s="439">
        <v>0</v>
      </c>
      <c r="K132" s="438"/>
      <c r="L132" s="438"/>
      <c r="M132" s="438"/>
      <c r="N132" s="438" t="s">
        <v>488</v>
      </c>
    </row>
    <row r="133" spans="1:14">
      <c r="A133" s="437">
        <v>44804</v>
      </c>
      <c r="B133" s="437">
        <v>44804</v>
      </c>
      <c r="C133" s="438" t="s">
        <v>4104</v>
      </c>
      <c r="D133" s="438" t="s">
        <v>4105</v>
      </c>
      <c r="E133" s="438" t="s">
        <v>468</v>
      </c>
      <c r="F133" s="438" t="s">
        <v>446</v>
      </c>
      <c r="G133" s="438" t="s">
        <v>720</v>
      </c>
      <c r="H133" s="438" t="str">
        <f t="shared" si="3"/>
        <v>511</v>
      </c>
      <c r="I133" s="439">
        <v>0</v>
      </c>
      <c r="J133" s="439">
        <v>22308474130</v>
      </c>
      <c r="K133" s="438"/>
      <c r="L133" s="438"/>
      <c r="M133" s="438"/>
      <c r="N133" s="438" t="s">
        <v>488</v>
      </c>
    </row>
    <row r="134" spans="1:14">
      <c r="A134" s="437">
        <v>44804</v>
      </c>
      <c r="B134" s="437">
        <v>44804</v>
      </c>
      <c r="C134" s="438" t="s">
        <v>4104</v>
      </c>
      <c r="D134" s="438" t="s">
        <v>4105</v>
      </c>
      <c r="E134" s="438" t="s">
        <v>472</v>
      </c>
      <c r="F134" s="438" t="s">
        <v>446</v>
      </c>
      <c r="G134" s="438">
        <v>5152</v>
      </c>
      <c r="H134" s="438" t="str">
        <f t="shared" si="3"/>
        <v>515</v>
      </c>
      <c r="I134" s="439">
        <v>0</v>
      </c>
      <c r="J134" s="439">
        <v>749192254</v>
      </c>
      <c r="K134" s="438"/>
      <c r="L134" s="438"/>
      <c r="M134" s="438"/>
      <c r="N134" s="438" t="s">
        <v>488</v>
      </c>
    </row>
    <row r="135" spans="1:14">
      <c r="A135" s="437">
        <v>44804</v>
      </c>
      <c r="B135" s="437">
        <v>44804</v>
      </c>
      <c r="C135" s="438" t="s">
        <v>4104</v>
      </c>
      <c r="D135" s="438" t="s">
        <v>4105</v>
      </c>
      <c r="E135" s="438" t="s">
        <v>473</v>
      </c>
      <c r="F135" s="438" t="s">
        <v>446</v>
      </c>
      <c r="G135" s="438" t="s">
        <v>303</v>
      </c>
      <c r="H135" s="438" t="str">
        <f t="shared" si="3"/>
        <v>632</v>
      </c>
      <c r="I135" s="439">
        <v>22257305547</v>
      </c>
      <c r="J135" s="439">
        <v>0</v>
      </c>
      <c r="K135" s="438"/>
      <c r="L135" s="438"/>
      <c r="M135" s="438"/>
      <c r="N135" s="438" t="s">
        <v>488</v>
      </c>
    </row>
    <row r="136" spans="1:14">
      <c r="A136" s="437">
        <v>44804</v>
      </c>
      <c r="B136" s="437">
        <v>44804</v>
      </c>
      <c r="C136" s="438" t="s">
        <v>4104</v>
      </c>
      <c r="D136" s="438" t="s">
        <v>4105</v>
      </c>
      <c r="E136" s="438" t="s">
        <v>475</v>
      </c>
      <c r="F136" s="438" t="s">
        <v>446</v>
      </c>
      <c r="G136" s="438" t="s">
        <v>347</v>
      </c>
      <c r="H136" s="438" t="str">
        <f t="shared" si="3"/>
        <v>641</v>
      </c>
      <c r="I136" s="439">
        <v>27677418</v>
      </c>
      <c r="J136" s="439">
        <v>0</v>
      </c>
      <c r="K136" s="438"/>
      <c r="L136" s="438"/>
      <c r="M136" s="438"/>
      <c r="N136" s="438" t="s">
        <v>488</v>
      </c>
    </row>
    <row r="137" spans="1:14">
      <c r="A137" s="437">
        <v>44804</v>
      </c>
      <c r="B137" s="437">
        <v>44804</v>
      </c>
      <c r="C137" s="438" t="s">
        <v>4104</v>
      </c>
      <c r="D137" s="438" t="s">
        <v>4105</v>
      </c>
      <c r="E137" s="438" t="s">
        <v>475</v>
      </c>
      <c r="F137" s="438" t="s">
        <v>446</v>
      </c>
      <c r="G137" s="438" t="s">
        <v>348</v>
      </c>
      <c r="H137" s="438" t="str">
        <f t="shared" si="3"/>
        <v>641</v>
      </c>
      <c r="I137" s="439">
        <v>670000</v>
      </c>
      <c r="J137" s="439">
        <v>0</v>
      </c>
      <c r="K137" s="438"/>
      <c r="L137" s="438"/>
      <c r="M137" s="438"/>
      <c r="N137" s="438" t="s">
        <v>488</v>
      </c>
    </row>
    <row r="138" spans="1:14">
      <c r="A138" s="437">
        <v>44804</v>
      </c>
      <c r="B138" s="437">
        <v>44804</v>
      </c>
      <c r="C138" s="438" t="s">
        <v>4104</v>
      </c>
      <c r="D138" s="438" t="s">
        <v>4105</v>
      </c>
      <c r="E138" s="438" t="s">
        <v>475</v>
      </c>
      <c r="F138" s="438" t="s">
        <v>446</v>
      </c>
      <c r="G138" s="438" t="s">
        <v>350</v>
      </c>
      <c r="H138" s="438" t="str">
        <f t="shared" si="3"/>
        <v>641</v>
      </c>
      <c r="I138" s="439">
        <v>8042504</v>
      </c>
      <c r="J138" s="439">
        <v>0</v>
      </c>
      <c r="K138" s="438"/>
      <c r="L138" s="438"/>
      <c r="M138" s="438"/>
      <c r="N138" s="438" t="s">
        <v>488</v>
      </c>
    </row>
    <row r="139" spans="1:14">
      <c r="A139" s="437">
        <v>44804</v>
      </c>
      <c r="B139" s="437">
        <v>44804</v>
      </c>
      <c r="C139" s="438" t="s">
        <v>4104</v>
      </c>
      <c r="D139" s="438" t="s">
        <v>4105</v>
      </c>
      <c r="E139" s="438" t="s">
        <v>475</v>
      </c>
      <c r="F139" s="438" t="s">
        <v>446</v>
      </c>
      <c r="G139" s="438" t="s">
        <v>369</v>
      </c>
      <c r="H139" s="438" t="str">
        <f t="shared" si="3"/>
        <v>641</v>
      </c>
      <c r="I139" s="439">
        <v>6911861</v>
      </c>
      <c r="J139" s="439">
        <v>0</v>
      </c>
      <c r="K139" s="438"/>
      <c r="L139" s="438"/>
      <c r="M139" s="438"/>
      <c r="N139" s="438" t="s">
        <v>488</v>
      </c>
    </row>
    <row r="140" spans="1:14">
      <c r="A140" s="437">
        <v>44804</v>
      </c>
      <c r="B140" s="437">
        <v>44804</v>
      </c>
      <c r="C140" s="438" t="s">
        <v>4104</v>
      </c>
      <c r="D140" s="438" t="s">
        <v>4105</v>
      </c>
      <c r="E140" s="438" t="s">
        <v>476</v>
      </c>
      <c r="F140" s="438" t="s">
        <v>446</v>
      </c>
      <c r="G140" s="438" t="s">
        <v>721</v>
      </c>
      <c r="H140" s="438" t="str">
        <f t="shared" si="3"/>
        <v>642</v>
      </c>
      <c r="I140" s="439">
        <v>30458044</v>
      </c>
      <c r="J140" s="439">
        <v>0</v>
      </c>
      <c r="K140" s="438"/>
      <c r="L140" s="438"/>
      <c r="M140" s="438"/>
      <c r="N140" s="438" t="s">
        <v>488</v>
      </c>
    </row>
    <row r="141" spans="1:14">
      <c r="A141" s="437">
        <v>44804</v>
      </c>
      <c r="B141" s="437">
        <v>44804</v>
      </c>
      <c r="C141" s="438" t="s">
        <v>4104</v>
      </c>
      <c r="D141" s="438" t="s">
        <v>4105</v>
      </c>
      <c r="E141" s="438" t="s">
        <v>476</v>
      </c>
      <c r="F141" s="438" t="s">
        <v>446</v>
      </c>
      <c r="G141" s="438" t="s">
        <v>722</v>
      </c>
      <c r="H141" s="438" t="str">
        <f t="shared" si="3"/>
        <v>642</v>
      </c>
      <c r="I141" s="439">
        <v>1620000</v>
      </c>
      <c r="J141" s="439">
        <v>0</v>
      </c>
      <c r="K141" s="438"/>
      <c r="L141" s="438"/>
      <c r="M141" s="438"/>
      <c r="N141" s="438" t="s">
        <v>488</v>
      </c>
    </row>
    <row r="142" spans="1:14">
      <c r="A142" s="437">
        <v>44804</v>
      </c>
      <c r="B142" s="437">
        <v>44804</v>
      </c>
      <c r="C142" s="438" t="s">
        <v>4104</v>
      </c>
      <c r="D142" s="438" t="s">
        <v>4105</v>
      </c>
      <c r="E142" s="438" t="s">
        <v>476</v>
      </c>
      <c r="F142" s="438" t="s">
        <v>446</v>
      </c>
      <c r="G142" s="438" t="s">
        <v>381</v>
      </c>
      <c r="H142" s="438" t="str">
        <f t="shared" si="3"/>
        <v>642</v>
      </c>
      <c r="I142" s="439">
        <v>1466264</v>
      </c>
      <c r="J142" s="439">
        <v>0</v>
      </c>
      <c r="K142" s="438"/>
      <c r="L142" s="438"/>
      <c r="M142" s="438"/>
      <c r="N142" s="438" t="s">
        <v>488</v>
      </c>
    </row>
    <row r="143" spans="1:14">
      <c r="A143" s="437">
        <v>44804</v>
      </c>
      <c r="B143" s="437">
        <v>44804</v>
      </c>
      <c r="C143" s="438" t="s">
        <v>4104</v>
      </c>
      <c r="D143" s="438" t="s">
        <v>4105</v>
      </c>
      <c r="E143" s="438" t="s">
        <v>476</v>
      </c>
      <c r="F143" s="438" t="s">
        <v>446</v>
      </c>
      <c r="G143" s="438" t="s">
        <v>387</v>
      </c>
      <c r="H143" s="438" t="str">
        <f t="shared" si="3"/>
        <v>642</v>
      </c>
      <c r="I143" s="439">
        <v>308000</v>
      </c>
      <c r="J143" s="439">
        <v>0</v>
      </c>
      <c r="K143" s="438"/>
      <c r="L143" s="438"/>
      <c r="M143" s="438"/>
      <c r="N143" s="438" t="s">
        <v>488</v>
      </c>
    </row>
    <row r="144" spans="1:14">
      <c r="A144" s="437">
        <v>44804</v>
      </c>
      <c r="B144" s="437">
        <v>44804</v>
      </c>
      <c r="C144" s="438" t="s">
        <v>4104</v>
      </c>
      <c r="D144" s="438" t="s">
        <v>4105</v>
      </c>
      <c r="E144" s="438" t="s">
        <v>476</v>
      </c>
      <c r="F144" s="438" t="s">
        <v>446</v>
      </c>
      <c r="G144" s="438" t="s">
        <v>389</v>
      </c>
      <c r="H144" s="438" t="str">
        <f t="shared" si="3"/>
        <v>642</v>
      </c>
      <c r="I144" s="439">
        <v>14016765</v>
      </c>
      <c r="J144" s="439">
        <v>0</v>
      </c>
      <c r="K144" s="438"/>
      <c r="L144" s="438"/>
      <c r="M144" s="438"/>
      <c r="N144" s="438" t="s">
        <v>488</v>
      </c>
    </row>
    <row r="145" spans="1:14">
      <c r="A145" s="437">
        <v>44804</v>
      </c>
      <c r="B145" s="437">
        <v>44804</v>
      </c>
      <c r="C145" s="438" t="s">
        <v>4104</v>
      </c>
      <c r="D145" s="438" t="s">
        <v>4105</v>
      </c>
      <c r="E145" s="438" t="s">
        <v>476</v>
      </c>
      <c r="F145" s="438" t="s">
        <v>446</v>
      </c>
      <c r="G145" s="438" t="s">
        <v>395</v>
      </c>
      <c r="H145" s="438" t="str">
        <f t="shared" si="3"/>
        <v>642</v>
      </c>
      <c r="I145" s="439">
        <v>27677418</v>
      </c>
      <c r="J145" s="439">
        <v>0</v>
      </c>
      <c r="K145" s="438"/>
      <c r="L145" s="438"/>
      <c r="M145" s="438"/>
      <c r="N145" s="438" t="s">
        <v>488</v>
      </c>
    </row>
    <row r="146" spans="1:14">
      <c r="A146" s="437">
        <v>44804</v>
      </c>
      <c r="B146" s="437">
        <v>44804</v>
      </c>
      <c r="C146" s="438" t="s">
        <v>4104</v>
      </c>
      <c r="D146" s="438" t="s">
        <v>4105</v>
      </c>
      <c r="E146" s="438" t="s">
        <v>476</v>
      </c>
      <c r="F146" s="438" t="s">
        <v>446</v>
      </c>
      <c r="G146" s="438" t="s">
        <v>397</v>
      </c>
      <c r="H146" s="438" t="str">
        <f t="shared" si="3"/>
        <v>642</v>
      </c>
      <c r="I146" s="439">
        <v>3031890</v>
      </c>
      <c r="J146" s="439">
        <v>0</v>
      </c>
      <c r="K146" s="438"/>
      <c r="L146" s="438"/>
      <c r="M146" s="438"/>
      <c r="N146" s="438" t="s">
        <v>488</v>
      </c>
    </row>
    <row r="147" spans="1:14">
      <c r="A147" s="437">
        <v>44804</v>
      </c>
      <c r="B147" s="437">
        <v>44804</v>
      </c>
      <c r="C147" s="438" t="s">
        <v>4104</v>
      </c>
      <c r="D147" s="438" t="s">
        <v>4105</v>
      </c>
      <c r="E147" s="438" t="s">
        <v>476</v>
      </c>
      <c r="F147" s="438" t="s">
        <v>446</v>
      </c>
      <c r="G147" s="438" t="s">
        <v>398</v>
      </c>
      <c r="H147" s="438" t="str">
        <f t="shared" si="3"/>
        <v>642</v>
      </c>
      <c r="I147" s="439">
        <v>8042506</v>
      </c>
      <c r="J147" s="439">
        <v>0</v>
      </c>
      <c r="K147" s="438"/>
      <c r="L147" s="438"/>
      <c r="M147" s="438"/>
      <c r="N147" s="438" t="s">
        <v>488</v>
      </c>
    </row>
    <row r="148" spans="1:14">
      <c r="A148" s="437">
        <v>44804</v>
      </c>
      <c r="B148" s="437">
        <v>44804</v>
      </c>
      <c r="C148" s="438" t="s">
        <v>4104</v>
      </c>
      <c r="D148" s="438" t="s">
        <v>4105</v>
      </c>
      <c r="E148" s="438" t="s">
        <v>477</v>
      </c>
      <c r="F148" s="438" t="s">
        <v>446</v>
      </c>
      <c r="G148" s="438" t="s">
        <v>442</v>
      </c>
      <c r="H148" s="438" t="str">
        <f t="shared" si="3"/>
        <v>711</v>
      </c>
      <c r="I148" s="439">
        <v>0</v>
      </c>
      <c r="J148" s="439">
        <v>14030</v>
      </c>
      <c r="K148" s="438"/>
      <c r="L148" s="438"/>
      <c r="M148" s="438"/>
      <c r="N148" s="438" t="s">
        <v>488</v>
      </c>
    </row>
    <row r="149" spans="1:14">
      <c r="A149" s="437">
        <v>44804</v>
      </c>
      <c r="B149" s="437">
        <v>44804</v>
      </c>
      <c r="C149" s="438" t="s">
        <v>4104</v>
      </c>
      <c r="D149" s="438" t="s">
        <v>4105</v>
      </c>
      <c r="E149" s="438" t="s">
        <v>478</v>
      </c>
      <c r="F149" s="438" t="s">
        <v>446</v>
      </c>
      <c r="G149" s="438" t="s">
        <v>444</v>
      </c>
      <c r="H149" s="438" t="str">
        <f t="shared" si="3"/>
        <v>811</v>
      </c>
      <c r="I149" s="439">
        <v>461608</v>
      </c>
      <c r="J149" s="439">
        <v>0</v>
      </c>
      <c r="K149" s="438"/>
      <c r="L149" s="438"/>
      <c r="M149" s="438"/>
      <c r="N149" s="438" t="s">
        <v>488</v>
      </c>
    </row>
    <row r="150" spans="1:14">
      <c r="A150" s="437">
        <v>44804</v>
      </c>
      <c r="B150" s="437">
        <v>44804</v>
      </c>
      <c r="C150" s="438" t="s">
        <v>4104</v>
      </c>
      <c r="D150" s="438" t="s">
        <v>4105</v>
      </c>
      <c r="E150" s="438" t="s">
        <v>479</v>
      </c>
      <c r="F150" s="438" t="s">
        <v>446</v>
      </c>
      <c r="G150" s="438" t="s">
        <v>217</v>
      </c>
      <c r="H150" s="438" t="str">
        <f t="shared" si="3"/>
        <v>421</v>
      </c>
      <c r="I150" s="439">
        <v>669990589</v>
      </c>
      <c r="J150" s="439">
        <v>0</v>
      </c>
      <c r="K150" s="438"/>
      <c r="L150" s="438"/>
      <c r="M150" s="438"/>
      <c r="N150" s="438" t="s">
        <v>488</v>
      </c>
    </row>
    <row r="151" spans="1:14">
      <c r="A151" s="437">
        <v>44834</v>
      </c>
      <c r="B151" s="437">
        <v>44834</v>
      </c>
      <c r="C151" s="438" t="s">
        <v>4106</v>
      </c>
      <c r="D151" s="438" t="s">
        <v>4107</v>
      </c>
      <c r="E151" s="438" t="s">
        <v>468</v>
      </c>
      <c r="F151" s="438" t="s">
        <v>446</v>
      </c>
      <c r="G151" s="438" t="s">
        <v>720</v>
      </c>
      <c r="H151" s="438" t="str">
        <f t="shared" si="3"/>
        <v>511</v>
      </c>
      <c r="I151" s="439">
        <v>0</v>
      </c>
      <c r="J151" s="439">
        <v>9505977476</v>
      </c>
      <c r="K151" s="438"/>
      <c r="L151" s="438"/>
      <c r="M151" s="438"/>
      <c r="N151" s="438" t="s">
        <v>488</v>
      </c>
    </row>
    <row r="152" spans="1:14">
      <c r="A152" s="437">
        <v>44834</v>
      </c>
      <c r="B152" s="437">
        <v>44834</v>
      </c>
      <c r="C152" s="438" t="s">
        <v>4106</v>
      </c>
      <c r="D152" s="438" t="s">
        <v>4107</v>
      </c>
      <c r="E152" s="438" t="s">
        <v>472</v>
      </c>
      <c r="F152" s="438" t="s">
        <v>446</v>
      </c>
      <c r="G152" s="438">
        <v>5152</v>
      </c>
      <c r="H152" s="438" t="str">
        <f t="shared" si="3"/>
        <v>515</v>
      </c>
      <c r="I152" s="439">
        <v>0</v>
      </c>
      <c r="J152" s="439">
        <v>660170350</v>
      </c>
      <c r="K152" s="438"/>
      <c r="L152" s="438"/>
      <c r="M152" s="438"/>
      <c r="N152" s="438" t="s">
        <v>488</v>
      </c>
    </row>
    <row r="153" spans="1:14">
      <c r="A153" s="437">
        <v>44834</v>
      </c>
      <c r="B153" s="437">
        <v>44834</v>
      </c>
      <c r="C153" s="438" t="s">
        <v>4106</v>
      </c>
      <c r="D153" s="438" t="s">
        <v>4107</v>
      </c>
      <c r="E153" s="438" t="s">
        <v>473</v>
      </c>
      <c r="F153" s="438" t="s">
        <v>446</v>
      </c>
      <c r="G153" s="438" t="s">
        <v>303</v>
      </c>
      <c r="H153" s="438" t="str">
        <f t="shared" si="3"/>
        <v>632</v>
      </c>
      <c r="I153" s="439">
        <v>9488437448</v>
      </c>
      <c r="J153" s="439">
        <v>0</v>
      </c>
      <c r="K153" s="438"/>
      <c r="L153" s="438"/>
      <c r="M153" s="438"/>
      <c r="N153" s="438" t="s">
        <v>488</v>
      </c>
    </row>
    <row r="154" spans="1:14">
      <c r="A154" s="437">
        <v>44834</v>
      </c>
      <c r="B154" s="437">
        <v>44834</v>
      </c>
      <c r="C154" s="438" t="s">
        <v>4106</v>
      </c>
      <c r="D154" s="438" t="s">
        <v>4107</v>
      </c>
      <c r="E154" s="438" t="s">
        <v>474</v>
      </c>
      <c r="F154" s="438" t="s">
        <v>446</v>
      </c>
      <c r="G154" s="438" t="s">
        <v>305</v>
      </c>
      <c r="H154" s="438" t="str">
        <f t="shared" si="3"/>
        <v>635</v>
      </c>
      <c r="I154" s="439">
        <v>42426520518</v>
      </c>
      <c r="J154" s="439">
        <v>0</v>
      </c>
      <c r="K154" s="438"/>
      <c r="L154" s="438"/>
      <c r="M154" s="438"/>
      <c r="N154" s="438" t="s">
        <v>488</v>
      </c>
    </row>
    <row r="155" spans="1:14">
      <c r="A155" s="437">
        <v>44834</v>
      </c>
      <c r="B155" s="437">
        <v>44834</v>
      </c>
      <c r="C155" s="438" t="s">
        <v>4106</v>
      </c>
      <c r="D155" s="438" t="s">
        <v>4107</v>
      </c>
      <c r="E155" s="438" t="s">
        <v>475</v>
      </c>
      <c r="F155" s="438" t="s">
        <v>446</v>
      </c>
      <c r="G155" s="438" t="s">
        <v>347</v>
      </c>
      <c r="H155" s="438" t="str">
        <f t="shared" si="3"/>
        <v>641</v>
      </c>
      <c r="I155" s="439">
        <v>27677418</v>
      </c>
      <c r="J155" s="439">
        <v>0</v>
      </c>
      <c r="K155" s="438"/>
      <c r="L155" s="438"/>
      <c r="M155" s="438"/>
      <c r="N155" s="438" t="s">
        <v>488</v>
      </c>
    </row>
    <row r="156" spans="1:14">
      <c r="A156" s="437">
        <v>44834</v>
      </c>
      <c r="B156" s="437">
        <v>44834</v>
      </c>
      <c r="C156" s="438" t="s">
        <v>4106</v>
      </c>
      <c r="D156" s="438" t="s">
        <v>4107</v>
      </c>
      <c r="E156" s="438" t="s">
        <v>475</v>
      </c>
      <c r="F156" s="438" t="s">
        <v>446</v>
      </c>
      <c r="G156" s="438" t="s">
        <v>348</v>
      </c>
      <c r="H156" s="438" t="str">
        <f t="shared" si="3"/>
        <v>641</v>
      </c>
      <c r="I156" s="439">
        <v>670000</v>
      </c>
      <c r="J156" s="439">
        <v>0</v>
      </c>
      <c r="K156" s="438"/>
      <c r="L156" s="438"/>
      <c r="M156" s="438"/>
      <c r="N156" s="438" t="s">
        <v>488</v>
      </c>
    </row>
    <row r="157" spans="1:14">
      <c r="A157" s="437">
        <v>44834</v>
      </c>
      <c r="B157" s="437">
        <v>44834</v>
      </c>
      <c r="C157" s="438" t="s">
        <v>4106</v>
      </c>
      <c r="D157" s="438" t="s">
        <v>4107</v>
      </c>
      <c r="E157" s="438" t="s">
        <v>475</v>
      </c>
      <c r="F157" s="438" t="s">
        <v>446</v>
      </c>
      <c r="G157" s="438" t="s">
        <v>350</v>
      </c>
      <c r="H157" s="438" t="str">
        <f t="shared" si="3"/>
        <v>641</v>
      </c>
      <c r="I157" s="439">
        <v>8042504</v>
      </c>
      <c r="J157" s="439">
        <v>0</v>
      </c>
      <c r="K157" s="438"/>
      <c r="L157" s="438"/>
      <c r="M157" s="438"/>
      <c r="N157" s="438" t="s">
        <v>488</v>
      </c>
    </row>
    <row r="158" spans="1:14">
      <c r="A158" s="437">
        <v>44834</v>
      </c>
      <c r="B158" s="437">
        <v>44834</v>
      </c>
      <c r="C158" s="438" t="s">
        <v>4106</v>
      </c>
      <c r="D158" s="438" t="s">
        <v>4107</v>
      </c>
      <c r="E158" s="438" t="s">
        <v>475</v>
      </c>
      <c r="F158" s="438" t="s">
        <v>446</v>
      </c>
      <c r="G158" s="438" t="s">
        <v>369</v>
      </c>
      <c r="H158" s="438" t="str">
        <f t="shared" si="3"/>
        <v>641</v>
      </c>
      <c r="I158" s="439">
        <v>5167513</v>
      </c>
      <c r="J158" s="439">
        <v>0</v>
      </c>
      <c r="K158" s="438"/>
      <c r="L158" s="438"/>
      <c r="M158" s="438"/>
      <c r="N158" s="438" t="s">
        <v>488</v>
      </c>
    </row>
    <row r="159" spans="1:14">
      <c r="A159" s="437">
        <v>44834</v>
      </c>
      <c r="B159" s="437">
        <v>44834</v>
      </c>
      <c r="C159" s="438" t="s">
        <v>4106</v>
      </c>
      <c r="D159" s="438" t="s">
        <v>4107</v>
      </c>
      <c r="E159" s="438" t="s">
        <v>476</v>
      </c>
      <c r="F159" s="438" t="s">
        <v>446</v>
      </c>
      <c r="G159" s="438" t="s">
        <v>721</v>
      </c>
      <c r="H159" s="438" t="str">
        <f t="shared" si="3"/>
        <v>642</v>
      </c>
      <c r="I159" s="439">
        <v>32370369</v>
      </c>
      <c r="J159" s="439">
        <v>0</v>
      </c>
      <c r="K159" s="438"/>
      <c r="L159" s="438"/>
      <c r="M159" s="438"/>
      <c r="N159" s="438" t="s">
        <v>488</v>
      </c>
    </row>
    <row r="160" spans="1:14">
      <c r="A160" s="437">
        <v>44834</v>
      </c>
      <c r="B160" s="437">
        <v>44834</v>
      </c>
      <c r="C160" s="438" t="s">
        <v>4106</v>
      </c>
      <c r="D160" s="438" t="s">
        <v>4107</v>
      </c>
      <c r="E160" s="438" t="s">
        <v>476</v>
      </c>
      <c r="F160" s="438" t="s">
        <v>446</v>
      </c>
      <c r="G160" s="438" t="s">
        <v>722</v>
      </c>
      <c r="H160" s="438" t="str">
        <f t="shared" si="3"/>
        <v>642</v>
      </c>
      <c r="I160" s="439">
        <v>1620000</v>
      </c>
      <c r="J160" s="439">
        <v>0</v>
      </c>
      <c r="K160" s="438"/>
      <c r="L160" s="438"/>
      <c r="M160" s="438"/>
      <c r="N160" s="438" t="s">
        <v>488</v>
      </c>
    </row>
    <row r="161" spans="1:14">
      <c r="A161" s="437">
        <v>44834</v>
      </c>
      <c r="B161" s="437">
        <v>44834</v>
      </c>
      <c r="C161" s="438" t="s">
        <v>4106</v>
      </c>
      <c r="D161" s="438" t="s">
        <v>4107</v>
      </c>
      <c r="E161" s="438" t="s">
        <v>476</v>
      </c>
      <c r="F161" s="438" t="s">
        <v>446</v>
      </c>
      <c r="G161" s="438" t="s">
        <v>381</v>
      </c>
      <c r="H161" s="438" t="str">
        <f t="shared" si="3"/>
        <v>642</v>
      </c>
      <c r="I161" s="439">
        <v>1466264</v>
      </c>
      <c r="J161" s="439">
        <v>0</v>
      </c>
      <c r="K161" s="438"/>
      <c r="L161" s="438"/>
      <c r="M161" s="438"/>
      <c r="N161" s="438" t="s">
        <v>488</v>
      </c>
    </row>
    <row r="162" spans="1:14">
      <c r="A162" s="437">
        <v>44834</v>
      </c>
      <c r="B162" s="437">
        <v>44834</v>
      </c>
      <c r="C162" s="438" t="s">
        <v>4106</v>
      </c>
      <c r="D162" s="438" t="s">
        <v>4107</v>
      </c>
      <c r="E162" s="438" t="s">
        <v>476</v>
      </c>
      <c r="F162" s="438" t="s">
        <v>446</v>
      </c>
      <c r="G162" s="438" t="s">
        <v>387</v>
      </c>
      <c r="H162" s="438" t="str">
        <f t="shared" si="3"/>
        <v>642</v>
      </c>
      <c r="I162" s="439">
        <v>44000</v>
      </c>
      <c r="J162" s="439">
        <v>0</v>
      </c>
      <c r="K162" s="438"/>
      <c r="L162" s="438"/>
      <c r="M162" s="438"/>
      <c r="N162" s="438" t="s">
        <v>488</v>
      </c>
    </row>
    <row r="163" spans="1:14">
      <c r="A163" s="437">
        <v>44834</v>
      </c>
      <c r="B163" s="437">
        <v>44834</v>
      </c>
      <c r="C163" s="438" t="s">
        <v>4106</v>
      </c>
      <c r="D163" s="438" t="s">
        <v>4107</v>
      </c>
      <c r="E163" s="438" t="s">
        <v>476</v>
      </c>
      <c r="F163" s="438" t="s">
        <v>446</v>
      </c>
      <c r="G163" s="438" t="s">
        <v>389</v>
      </c>
      <c r="H163" s="438" t="str">
        <f t="shared" si="3"/>
        <v>642</v>
      </c>
      <c r="I163" s="439">
        <v>9094923</v>
      </c>
      <c r="J163" s="439">
        <v>0</v>
      </c>
      <c r="K163" s="438"/>
      <c r="L163" s="438"/>
      <c r="M163" s="438"/>
      <c r="N163" s="438" t="s">
        <v>488</v>
      </c>
    </row>
    <row r="164" spans="1:14">
      <c r="A164" s="437">
        <v>44834</v>
      </c>
      <c r="B164" s="437">
        <v>44834</v>
      </c>
      <c r="C164" s="438" t="s">
        <v>4106</v>
      </c>
      <c r="D164" s="438" t="s">
        <v>4107</v>
      </c>
      <c r="E164" s="438" t="s">
        <v>476</v>
      </c>
      <c r="F164" s="438" t="s">
        <v>446</v>
      </c>
      <c r="G164" s="438" t="s">
        <v>395</v>
      </c>
      <c r="H164" s="438" t="str">
        <f t="shared" si="3"/>
        <v>642</v>
      </c>
      <c r="I164" s="439">
        <v>27677419</v>
      </c>
      <c r="J164" s="439">
        <v>0</v>
      </c>
      <c r="K164" s="438"/>
      <c r="L164" s="438"/>
      <c r="M164" s="438"/>
      <c r="N164" s="438" t="s">
        <v>488</v>
      </c>
    </row>
    <row r="165" spans="1:14">
      <c r="A165" s="437">
        <v>44834</v>
      </c>
      <c r="B165" s="437">
        <v>44834</v>
      </c>
      <c r="C165" s="438" t="s">
        <v>4106</v>
      </c>
      <c r="D165" s="438" t="s">
        <v>4107</v>
      </c>
      <c r="E165" s="438" t="s">
        <v>476</v>
      </c>
      <c r="F165" s="438" t="s">
        <v>446</v>
      </c>
      <c r="G165" s="438" t="s">
        <v>397</v>
      </c>
      <c r="H165" s="438" t="str">
        <f t="shared" si="3"/>
        <v>642</v>
      </c>
      <c r="I165" s="439">
        <v>3031890</v>
      </c>
      <c r="J165" s="439">
        <v>0</v>
      </c>
      <c r="K165" s="438"/>
      <c r="L165" s="438"/>
      <c r="M165" s="438"/>
      <c r="N165" s="438" t="s">
        <v>488</v>
      </c>
    </row>
    <row r="166" spans="1:14">
      <c r="A166" s="437">
        <v>44834</v>
      </c>
      <c r="B166" s="437">
        <v>44834</v>
      </c>
      <c r="C166" s="438" t="s">
        <v>4106</v>
      </c>
      <c r="D166" s="438" t="s">
        <v>4107</v>
      </c>
      <c r="E166" s="438" t="s">
        <v>476</v>
      </c>
      <c r="F166" s="438" t="s">
        <v>446</v>
      </c>
      <c r="G166" s="438" t="s">
        <v>398</v>
      </c>
      <c r="H166" s="438" t="str">
        <f t="shared" si="3"/>
        <v>642</v>
      </c>
      <c r="I166" s="439">
        <v>8042506</v>
      </c>
      <c r="J166" s="439">
        <v>0</v>
      </c>
      <c r="K166" s="438"/>
      <c r="L166" s="438"/>
      <c r="M166" s="438"/>
      <c r="N166" s="438" t="s">
        <v>488</v>
      </c>
    </row>
    <row r="167" spans="1:14">
      <c r="A167" s="437">
        <v>44834</v>
      </c>
      <c r="B167" s="437">
        <v>44834</v>
      </c>
      <c r="C167" s="438" t="s">
        <v>4106</v>
      </c>
      <c r="D167" s="438" t="s">
        <v>4107</v>
      </c>
      <c r="E167" s="438" t="s">
        <v>477</v>
      </c>
      <c r="F167" s="438" t="s">
        <v>446</v>
      </c>
      <c r="G167" s="438" t="s">
        <v>442</v>
      </c>
      <c r="H167" s="438" t="str">
        <f t="shared" si="3"/>
        <v>711</v>
      </c>
      <c r="I167" s="439">
        <v>0</v>
      </c>
      <c r="J167" s="439">
        <v>1</v>
      </c>
      <c r="K167" s="438"/>
      <c r="L167" s="438"/>
      <c r="M167" s="438"/>
      <c r="N167" s="438" t="s">
        <v>488</v>
      </c>
    </row>
    <row r="168" spans="1:14">
      <c r="A168" s="437">
        <v>44834</v>
      </c>
      <c r="B168" s="437">
        <v>44834</v>
      </c>
      <c r="C168" s="438" t="s">
        <v>4106</v>
      </c>
      <c r="D168" s="438" t="s">
        <v>4107</v>
      </c>
      <c r="E168" s="438" t="s">
        <v>478</v>
      </c>
      <c r="F168" s="438" t="s">
        <v>446</v>
      </c>
      <c r="G168" s="438" t="s">
        <v>444</v>
      </c>
      <c r="H168" s="438" t="str">
        <f t="shared" si="3"/>
        <v>811</v>
      </c>
      <c r="I168" s="439">
        <v>2</v>
      </c>
      <c r="J168" s="439">
        <v>0</v>
      </c>
      <c r="K168" s="438"/>
      <c r="L168" s="438"/>
      <c r="M168" s="438"/>
      <c r="N168" s="438" t="s">
        <v>488</v>
      </c>
    </row>
    <row r="169" spans="1:14">
      <c r="A169" s="437">
        <v>44834</v>
      </c>
      <c r="B169" s="437">
        <v>44834</v>
      </c>
      <c r="C169" s="438" t="s">
        <v>4106</v>
      </c>
      <c r="D169" s="438" t="s">
        <v>4107</v>
      </c>
      <c r="E169" s="438" t="s">
        <v>479</v>
      </c>
      <c r="F169" s="438" t="s">
        <v>446</v>
      </c>
      <c r="G169" s="438" t="s">
        <v>217</v>
      </c>
      <c r="H169" s="438" t="str">
        <f t="shared" si="3"/>
        <v>421</v>
      </c>
      <c r="I169" s="439">
        <v>0</v>
      </c>
      <c r="J169" s="439">
        <v>41873714947</v>
      </c>
      <c r="K169" s="438"/>
      <c r="L169" s="438"/>
      <c r="M169" s="438"/>
      <c r="N169" s="438" t="s">
        <v>488</v>
      </c>
    </row>
    <row r="170" spans="1:14">
      <c r="A170" s="437">
        <v>44865</v>
      </c>
      <c r="B170" s="437">
        <v>44865</v>
      </c>
      <c r="C170" s="438" t="s">
        <v>4108</v>
      </c>
      <c r="D170" s="438" t="s">
        <v>4109</v>
      </c>
      <c r="E170" s="438" t="s">
        <v>468</v>
      </c>
      <c r="F170" s="438" t="s">
        <v>446</v>
      </c>
      <c r="G170" s="438" t="s">
        <v>720</v>
      </c>
      <c r="H170" s="438" t="str">
        <f t="shared" si="3"/>
        <v>511</v>
      </c>
      <c r="I170" s="439">
        <v>0</v>
      </c>
      <c r="J170" s="439">
        <v>9959942784</v>
      </c>
      <c r="K170" s="438"/>
      <c r="L170" s="438"/>
      <c r="M170" s="438"/>
      <c r="N170" s="438" t="s">
        <v>488</v>
      </c>
    </row>
    <row r="171" spans="1:14">
      <c r="A171" s="437">
        <v>44865</v>
      </c>
      <c r="B171" s="437">
        <v>44865</v>
      </c>
      <c r="C171" s="438" t="s">
        <v>4108</v>
      </c>
      <c r="D171" s="438" t="s">
        <v>4109</v>
      </c>
      <c r="E171" s="438" t="s">
        <v>472</v>
      </c>
      <c r="F171" s="438" t="s">
        <v>446</v>
      </c>
      <c r="G171" s="438">
        <v>5152</v>
      </c>
      <c r="H171" s="438" t="str">
        <f t="shared" si="3"/>
        <v>515</v>
      </c>
      <c r="I171" s="439">
        <v>0</v>
      </c>
      <c r="J171" s="439">
        <v>78549108</v>
      </c>
      <c r="K171" s="438"/>
      <c r="L171" s="438"/>
      <c r="M171" s="438"/>
      <c r="N171" s="438" t="s">
        <v>488</v>
      </c>
    </row>
    <row r="172" spans="1:14">
      <c r="A172" s="437">
        <v>44865</v>
      </c>
      <c r="B172" s="437">
        <v>44865</v>
      </c>
      <c r="C172" s="438" t="s">
        <v>4108</v>
      </c>
      <c r="D172" s="438" t="s">
        <v>4109</v>
      </c>
      <c r="E172" s="438" t="s">
        <v>473</v>
      </c>
      <c r="F172" s="438" t="s">
        <v>446</v>
      </c>
      <c r="G172" s="438" t="s">
        <v>303</v>
      </c>
      <c r="H172" s="438" t="str">
        <f t="shared" si="3"/>
        <v>632</v>
      </c>
      <c r="I172" s="439">
        <v>9979391730</v>
      </c>
      <c r="J172" s="439">
        <v>0</v>
      </c>
      <c r="K172" s="438"/>
      <c r="L172" s="438"/>
      <c r="M172" s="438"/>
      <c r="N172" s="438" t="s">
        <v>488</v>
      </c>
    </row>
    <row r="173" spans="1:14">
      <c r="A173" s="437">
        <v>44865</v>
      </c>
      <c r="B173" s="437">
        <v>44865</v>
      </c>
      <c r="C173" s="438" t="s">
        <v>4108</v>
      </c>
      <c r="D173" s="438" t="s">
        <v>4109</v>
      </c>
      <c r="E173" s="438" t="s">
        <v>475</v>
      </c>
      <c r="F173" s="438" t="s">
        <v>446</v>
      </c>
      <c r="G173" s="438" t="s">
        <v>347</v>
      </c>
      <c r="H173" s="438" t="str">
        <f t="shared" si="3"/>
        <v>641</v>
      </c>
      <c r="I173" s="439">
        <v>27755273</v>
      </c>
      <c r="J173" s="439">
        <v>0</v>
      </c>
      <c r="K173" s="438"/>
      <c r="L173" s="438"/>
      <c r="M173" s="438"/>
      <c r="N173" s="438" t="s">
        <v>488</v>
      </c>
    </row>
    <row r="174" spans="1:14">
      <c r="A174" s="437">
        <v>44865</v>
      </c>
      <c r="B174" s="437">
        <v>44865</v>
      </c>
      <c r="C174" s="438" t="s">
        <v>4108</v>
      </c>
      <c r="D174" s="438" t="s">
        <v>4109</v>
      </c>
      <c r="E174" s="438" t="s">
        <v>475</v>
      </c>
      <c r="F174" s="438" t="s">
        <v>446</v>
      </c>
      <c r="G174" s="438" t="s">
        <v>348</v>
      </c>
      <c r="H174" s="438" t="str">
        <f t="shared" si="3"/>
        <v>641</v>
      </c>
      <c r="I174" s="439">
        <v>670000</v>
      </c>
      <c r="J174" s="439">
        <v>0</v>
      </c>
      <c r="K174" s="438"/>
      <c r="L174" s="438"/>
      <c r="M174" s="438"/>
      <c r="N174" s="438" t="s">
        <v>488</v>
      </c>
    </row>
    <row r="175" spans="1:14">
      <c r="A175" s="437">
        <v>44865</v>
      </c>
      <c r="B175" s="437">
        <v>44865</v>
      </c>
      <c r="C175" s="438" t="s">
        <v>4108</v>
      </c>
      <c r="D175" s="438" t="s">
        <v>4109</v>
      </c>
      <c r="E175" s="438" t="s">
        <v>475</v>
      </c>
      <c r="F175" s="438" t="s">
        <v>446</v>
      </c>
      <c r="G175" s="438" t="s">
        <v>350</v>
      </c>
      <c r="H175" s="438" t="str">
        <f t="shared" si="3"/>
        <v>641</v>
      </c>
      <c r="I175" s="439">
        <v>8042504</v>
      </c>
      <c r="J175" s="439">
        <v>0</v>
      </c>
      <c r="K175" s="438"/>
      <c r="L175" s="438"/>
      <c r="M175" s="438"/>
      <c r="N175" s="438" t="s">
        <v>488</v>
      </c>
    </row>
    <row r="176" spans="1:14">
      <c r="A176" s="437">
        <v>44865</v>
      </c>
      <c r="B176" s="437">
        <v>44865</v>
      </c>
      <c r="C176" s="438" t="s">
        <v>4108</v>
      </c>
      <c r="D176" s="438" t="s">
        <v>4109</v>
      </c>
      <c r="E176" s="438" t="s">
        <v>475</v>
      </c>
      <c r="F176" s="438" t="s">
        <v>446</v>
      </c>
      <c r="G176" s="438" t="s">
        <v>369</v>
      </c>
      <c r="H176" s="438" t="str">
        <f t="shared" si="3"/>
        <v>641</v>
      </c>
      <c r="I176" s="439">
        <v>4125000</v>
      </c>
      <c r="J176" s="439">
        <v>0</v>
      </c>
      <c r="K176" s="438"/>
      <c r="L176" s="438"/>
      <c r="M176" s="438"/>
      <c r="N176" s="438" t="s">
        <v>488</v>
      </c>
    </row>
    <row r="177" spans="1:14">
      <c r="A177" s="437">
        <v>44865</v>
      </c>
      <c r="B177" s="437">
        <v>44865</v>
      </c>
      <c r="C177" s="438" t="s">
        <v>4108</v>
      </c>
      <c r="D177" s="438" t="s">
        <v>4109</v>
      </c>
      <c r="E177" s="438" t="s">
        <v>476</v>
      </c>
      <c r="F177" s="438" t="s">
        <v>446</v>
      </c>
      <c r="G177" s="438" t="s">
        <v>721</v>
      </c>
      <c r="H177" s="438" t="str">
        <f t="shared" si="3"/>
        <v>642</v>
      </c>
      <c r="I177" s="439">
        <v>30080497</v>
      </c>
      <c r="J177" s="439">
        <v>0</v>
      </c>
      <c r="K177" s="438"/>
      <c r="L177" s="438"/>
      <c r="M177" s="438"/>
      <c r="N177" s="438" t="s">
        <v>488</v>
      </c>
    </row>
    <row r="178" spans="1:14">
      <c r="A178" s="437">
        <v>44865</v>
      </c>
      <c r="B178" s="437">
        <v>44865</v>
      </c>
      <c r="C178" s="438" t="s">
        <v>4108</v>
      </c>
      <c r="D178" s="438" t="s">
        <v>4109</v>
      </c>
      <c r="E178" s="438" t="s">
        <v>476</v>
      </c>
      <c r="F178" s="438" t="s">
        <v>446</v>
      </c>
      <c r="G178" s="438" t="s">
        <v>722</v>
      </c>
      <c r="H178" s="438" t="str">
        <f t="shared" si="3"/>
        <v>642</v>
      </c>
      <c r="I178" s="439">
        <v>1692000</v>
      </c>
      <c r="J178" s="439">
        <v>0</v>
      </c>
      <c r="K178" s="438"/>
      <c r="L178" s="438"/>
      <c r="M178" s="438"/>
      <c r="N178" s="438" t="s">
        <v>488</v>
      </c>
    </row>
    <row r="179" spans="1:14">
      <c r="A179" s="437">
        <v>44865</v>
      </c>
      <c r="B179" s="437">
        <v>44865</v>
      </c>
      <c r="C179" s="438" t="s">
        <v>4108</v>
      </c>
      <c r="D179" s="438" t="s">
        <v>4109</v>
      </c>
      <c r="E179" s="438" t="s">
        <v>476</v>
      </c>
      <c r="F179" s="438" t="s">
        <v>446</v>
      </c>
      <c r="G179" s="438" t="s">
        <v>381</v>
      </c>
      <c r="H179" s="438" t="str">
        <f t="shared" si="3"/>
        <v>642</v>
      </c>
      <c r="I179" s="439">
        <v>1466264</v>
      </c>
      <c r="J179" s="439">
        <v>0</v>
      </c>
      <c r="K179" s="438"/>
      <c r="L179" s="438"/>
      <c r="M179" s="438"/>
      <c r="N179" s="438" t="s">
        <v>488</v>
      </c>
    </row>
    <row r="180" spans="1:14">
      <c r="A180" s="437">
        <v>44865</v>
      </c>
      <c r="B180" s="437">
        <v>44865</v>
      </c>
      <c r="C180" s="438" t="s">
        <v>4108</v>
      </c>
      <c r="D180" s="438" t="s">
        <v>4109</v>
      </c>
      <c r="E180" s="438" t="s">
        <v>476</v>
      </c>
      <c r="F180" s="438" t="s">
        <v>446</v>
      </c>
      <c r="G180" s="438" t="s">
        <v>387</v>
      </c>
      <c r="H180" s="438" t="str">
        <f t="shared" si="3"/>
        <v>642</v>
      </c>
      <c r="I180" s="439">
        <v>88000</v>
      </c>
      <c r="J180" s="439">
        <v>0</v>
      </c>
      <c r="K180" s="438"/>
      <c r="L180" s="438"/>
      <c r="M180" s="438"/>
      <c r="N180" s="438" t="s">
        <v>488</v>
      </c>
    </row>
    <row r="181" spans="1:14">
      <c r="A181" s="437">
        <v>44865</v>
      </c>
      <c r="B181" s="437">
        <v>44865</v>
      </c>
      <c r="C181" s="438" t="s">
        <v>4108</v>
      </c>
      <c r="D181" s="438" t="s">
        <v>4109</v>
      </c>
      <c r="E181" s="438" t="s">
        <v>476</v>
      </c>
      <c r="F181" s="438" t="s">
        <v>446</v>
      </c>
      <c r="G181" s="438" t="s">
        <v>389</v>
      </c>
      <c r="H181" s="438" t="str">
        <f t="shared" si="3"/>
        <v>642</v>
      </c>
      <c r="I181" s="439">
        <v>10088550</v>
      </c>
      <c r="J181" s="439">
        <v>0</v>
      </c>
      <c r="K181" s="438"/>
      <c r="L181" s="438"/>
      <c r="M181" s="438"/>
      <c r="N181" s="438" t="s">
        <v>488</v>
      </c>
    </row>
    <row r="182" spans="1:14">
      <c r="A182" s="437">
        <v>44865</v>
      </c>
      <c r="B182" s="437">
        <v>44865</v>
      </c>
      <c r="C182" s="438" t="s">
        <v>4108</v>
      </c>
      <c r="D182" s="438" t="s">
        <v>4109</v>
      </c>
      <c r="E182" s="438" t="s">
        <v>476</v>
      </c>
      <c r="F182" s="438" t="s">
        <v>446</v>
      </c>
      <c r="G182" s="438" t="s">
        <v>395</v>
      </c>
      <c r="H182" s="438" t="str">
        <f t="shared" si="3"/>
        <v>642</v>
      </c>
      <c r="I182" s="439">
        <v>27755273</v>
      </c>
      <c r="J182" s="439">
        <v>0</v>
      </c>
      <c r="K182" s="438"/>
      <c r="L182" s="438"/>
      <c r="M182" s="438"/>
      <c r="N182" s="438" t="s">
        <v>488</v>
      </c>
    </row>
    <row r="183" spans="1:14">
      <c r="A183" s="437">
        <v>44865</v>
      </c>
      <c r="B183" s="437">
        <v>44865</v>
      </c>
      <c r="C183" s="438" t="s">
        <v>4108</v>
      </c>
      <c r="D183" s="438" t="s">
        <v>4109</v>
      </c>
      <c r="E183" s="438" t="s">
        <v>476</v>
      </c>
      <c r="F183" s="438" t="s">
        <v>446</v>
      </c>
      <c r="G183" s="438" t="s">
        <v>397</v>
      </c>
      <c r="H183" s="438" t="str">
        <f t="shared" si="3"/>
        <v>642</v>
      </c>
      <c r="I183" s="439">
        <v>11365222</v>
      </c>
      <c r="J183" s="439">
        <v>0</v>
      </c>
      <c r="K183" s="438"/>
      <c r="L183" s="438"/>
      <c r="M183" s="438"/>
      <c r="N183" s="438" t="s">
        <v>488</v>
      </c>
    </row>
    <row r="184" spans="1:14">
      <c r="A184" s="437">
        <v>44865</v>
      </c>
      <c r="B184" s="437">
        <v>44865</v>
      </c>
      <c r="C184" s="438" t="s">
        <v>4108</v>
      </c>
      <c r="D184" s="438" t="s">
        <v>4109</v>
      </c>
      <c r="E184" s="438" t="s">
        <v>476</v>
      </c>
      <c r="F184" s="438" t="s">
        <v>446</v>
      </c>
      <c r="G184" s="438" t="s">
        <v>398</v>
      </c>
      <c r="H184" s="438" t="str">
        <f t="shared" si="3"/>
        <v>642</v>
      </c>
      <c r="I184" s="439">
        <v>8042506</v>
      </c>
      <c r="J184" s="439">
        <v>0</v>
      </c>
      <c r="K184" s="438"/>
      <c r="L184" s="438"/>
      <c r="M184" s="438"/>
      <c r="N184" s="438" t="s">
        <v>488</v>
      </c>
    </row>
    <row r="185" spans="1:14">
      <c r="A185" s="437">
        <v>44865</v>
      </c>
      <c r="B185" s="437">
        <v>44865</v>
      </c>
      <c r="C185" s="438" t="s">
        <v>4108</v>
      </c>
      <c r="D185" s="438" t="s">
        <v>4109</v>
      </c>
      <c r="E185" s="438" t="s">
        <v>476</v>
      </c>
      <c r="F185" s="438" t="s">
        <v>446</v>
      </c>
      <c r="G185" s="438" t="s">
        <v>422</v>
      </c>
      <c r="H185" s="438" t="str">
        <f t="shared" si="3"/>
        <v>642</v>
      </c>
      <c r="I185" s="439">
        <v>400000</v>
      </c>
      <c r="J185" s="439">
        <v>0</v>
      </c>
      <c r="K185" s="438"/>
      <c r="L185" s="438"/>
      <c r="M185" s="438"/>
      <c r="N185" s="438" t="s">
        <v>488</v>
      </c>
    </row>
    <row r="186" spans="1:14">
      <c r="A186" s="437">
        <v>44865</v>
      </c>
      <c r="B186" s="437">
        <v>44865</v>
      </c>
      <c r="C186" s="438" t="s">
        <v>4108</v>
      </c>
      <c r="D186" s="438" t="s">
        <v>4109</v>
      </c>
      <c r="E186" s="438" t="s">
        <v>479</v>
      </c>
      <c r="F186" s="438" t="s">
        <v>446</v>
      </c>
      <c r="G186" s="438" t="s">
        <v>217</v>
      </c>
      <c r="H186" s="438" t="str">
        <f t="shared" si="3"/>
        <v>421</v>
      </c>
      <c r="I186" s="439">
        <v>0</v>
      </c>
      <c r="J186" s="439">
        <v>72470927</v>
      </c>
      <c r="K186" s="438"/>
      <c r="L186" s="438"/>
      <c r="M186" s="438"/>
      <c r="N186" s="438" t="s">
        <v>488</v>
      </c>
    </row>
    <row r="187" spans="1:14">
      <c r="A187" s="437">
        <v>44895</v>
      </c>
      <c r="B187" s="437">
        <v>44895</v>
      </c>
      <c r="C187" s="438" t="s">
        <v>4110</v>
      </c>
      <c r="D187" s="438" t="s">
        <v>4111</v>
      </c>
      <c r="E187" s="438" t="s">
        <v>468</v>
      </c>
      <c r="F187" s="438" t="s">
        <v>446</v>
      </c>
      <c r="G187" s="438" t="s">
        <v>720</v>
      </c>
      <c r="H187" s="438" t="str">
        <f t="shared" si="3"/>
        <v>511</v>
      </c>
      <c r="I187" s="439">
        <v>0</v>
      </c>
      <c r="J187" s="439">
        <v>6735984546</v>
      </c>
      <c r="K187" s="438"/>
      <c r="L187" s="438"/>
      <c r="M187" s="438"/>
      <c r="N187" s="438" t="s">
        <v>488</v>
      </c>
    </row>
    <row r="188" spans="1:14">
      <c r="A188" s="437">
        <v>44895</v>
      </c>
      <c r="B188" s="437">
        <v>44895</v>
      </c>
      <c r="C188" s="438" t="s">
        <v>4110</v>
      </c>
      <c r="D188" s="438" t="s">
        <v>4111</v>
      </c>
      <c r="E188" s="438" t="s">
        <v>472</v>
      </c>
      <c r="F188" s="438" t="s">
        <v>446</v>
      </c>
      <c r="G188" s="438">
        <v>5152</v>
      </c>
      <c r="H188" s="438" t="str">
        <f t="shared" si="3"/>
        <v>515</v>
      </c>
      <c r="I188" s="439">
        <v>0</v>
      </c>
      <c r="J188" s="439">
        <v>83726257</v>
      </c>
      <c r="K188" s="438"/>
      <c r="L188" s="438"/>
      <c r="M188" s="438"/>
      <c r="N188" s="438" t="s">
        <v>488</v>
      </c>
    </row>
    <row r="189" spans="1:14">
      <c r="A189" s="437">
        <v>44895</v>
      </c>
      <c r="B189" s="437">
        <v>44895</v>
      </c>
      <c r="C189" s="438" t="s">
        <v>4110</v>
      </c>
      <c r="D189" s="438" t="s">
        <v>4111</v>
      </c>
      <c r="E189" s="438" t="s">
        <v>473</v>
      </c>
      <c r="F189" s="438" t="s">
        <v>446</v>
      </c>
      <c r="G189" s="438" t="s">
        <v>303</v>
      </c>
      <c r="H189" s="438" t="str">
        <f t="shared" si="3"/>
        <v>632</v>
      </c>
      <c r="I189" s="439">
        <v>6739291727</v>
      </c>
      <c r="J189" s="439">
        <v>0</v>
      </c>
      <c r="K189" s="438"/>
      <c r="L189" s="438"/>
      <c r="M189" s="438"/>
      <c r="N189" s="438" t="s">
        <v>488</v>
      </c>
    </row>
    <row r="190" spans="1:14">
      <c r="A190" s="437">
        <v>44895</v>
      </c>
      <c r="B190" s="437">
        <v>44895</v>
      </c>
      <c r="C190" s="438" t="s">
        <v>4110</v>
      </c>
      <c r="D190" s="438" t="s">
        <v>4111</v>
      </c>
      <c r="E190" s="438" t="s">
        <v>475</v>
      </c>
      <c r="F190" s="438" t="s">
        <v>446</v>
      </c>
      <c r="G190" s="438" t="s">
        <v>347</v>
      </c>
      <c r="H190" s="438" t="str">
        <f t="shared" si="3"/>
        <v>641</v>
      </c>
      <c r="I190" s="439">
        <v>27755273</v>
      </c>
      <c r="J190" s="439">
        <v>0</v>
      </c>
      <c r="K190" s="438"/>
      <c r="L190" s="438"/>
      <c r="M190" s="438"/>
      <c r="N190" s="438" t="s">
        <v>488</v>
      </c>
    </row>
    <row r="191" spans="1:14">
      <c r="A191" s="437">
        <v>44895</v>
      </c>
      <c r="B191" s="437">
        <v>44895</v>
      </c>
      <c r="C191" s="438" t="s">
        <v>4110</v>
      </c>
      <c r="D191" s="438" t="s">
        <v>4111</v>
      </c>
      <c r="E191" s="438" t="s">
        <v>475</v>
      </c>
      <c r="F191" s="438" t="s">
        <v>446</v>
      </c>
      <c r="G191" s="438" t="s">
        <v>348</v>
      </c>
      <c r="H191" s="438" t="str">
        <f t="shared" si="3"/>
        <v>641</v>
      </c>
      <c r="I191" s="439">
        <v>670000</v>
      </c>
      <c r="J191" s="439">
        <v>0</v>
      </c>
      <c r="K191" s="438"/>
      <c r="L191" s="438"/>
      <c r="M191" s="438"/>
      <c r="N191" s="438" t="s">
        <v>488</v>
      </c>
    </row>
    <row r="192" spans="1:14">
      <c r="A192" s="437">
        <v>44895</v>
      </c>
      <c r="B192" s="437">
        <v>44895</v>
      </c>
      <c r="C192" s="438" t="s">
        <v>4110</v>
      </c>
      <c r="D192" s="438" t="s">
        <v>4111</v>
      </c>
      <c r="E192" s="438" t="s">
        <v>475</v>
      </c>
      <c r="F192" s="438" t="s">
        <v>446</v>
      </c>
      <c r="G192" s="438" t="s">
        <v>350</v>
      </c>
      <c r="H192" s="438" t="str">
        <f t="shared" si="3"/>
        <v>641</v>
      </c>
      <c r="I192" s="439">
        <v>8042504</v>
      </c>
      <c r="J192" s="439">
        <v>0</v>
      </c>
      <c r="K192" s="438"/>
      <c r="L192" s="438"/>
      <c r="M192" s="438"/>
      <c r="N192" s="438" t="s">
        <v>488</v>
      </c>
    </row>
    <row r="193" spans="1:14">
      <c r="A193" s="437">
        <v>44895</v>
      </c>
      <c r="B193" s="437">
        <v>44895</v>
      </c>
      <c r="C193" s="438" t="s">
        <v>4110</v>
      </c>
      <c r="D193" s="438" t="s">
        <v>4111</v>
      </c>
      <c r="E193" s="438" t="s">
        <v>475</v>
      </c>
      <c r="F193" s="438" t="s">
        <v>446</v>
      </c>
      <c r="G193" s="438" t="s">
        <v>369</v>
      </c>
      <c r="H193" s="438" t="str">
        <f t="shared" si="3"/>
        <v>641</v>
      </c>
      <c r="I193" s="439">
        <v>4125000</v>
      </c>
      <c r="J193" s="439">
        <v>0</v>
      </c>
      <c r="K193" s="438"/>
      <c r="L193" s="438"/>
      <c r="M193" s="438"/>
      <c r="N193" s="438" t="s">
        <v>488</v>
      </c>
    </row>
    <row r="194" spans="1:14">
      <c r="A194" s="437">
        <v>44895</v>
      </c>
      <c r="B194" s="437">
        <v>44895</v>
      </c>
      <c r="C194" s="438" t="s">
        <v>4110</v>
      </c>
      <c r="D194" s="438" t="s">
        <v>4111</v>
      </c>
      <c r="E194" s="438" t="s">
        <v>476</v>
      </c>
      <c r="F194" s="438" t="s">
        <v>446</v>
      </c>
      <c r="G194" s="438" t="s">
        <v>721</v>
      </c>
      <c r="H194" s="438" t="str">
        <f t="shared" si="3"/>
        <v>642</v>
      </c>
      <c r="I194" s="439">
        <v>27625000</v>
      </c>
      <c r="J194" s="439">
        <v>0</v>
      </c>
      <c r="K194" s="438"/>
      <c r="L194" s="438"/>
      <c r="M194" s="438"/>
      <c r="N194" s="438" t="s">
        <v>488</v>
      </c>
    </row>
    <row r="195" spans="1:14">
      <c r="A195" s="437">
        <v>44895</v>
      </c>
      <c r="B195" s="437">
        <v>44895</v>
      </c>
      <c r="C195" s="438" t="s">
        <v>4110</v>
      </c>
      <c r="D195" s="438" t="s">
        <v>4111</v>
      </c>
      <c r="E195" s="438" t="s">
        <v>476</v>
      </c>
      <c r="F195" s="438" t="s">
        <v>446</v>
      </c>
      <c r="G195" s="438" t="s">
        <v>722</v>
      </c>
      <c r="H195" s="438" t="str">
        <f t="shared" si="3"/>
        <v>642</v>
      </c>
      <c r="I195" s="439">
        <v>1692000</v>
      </c>
      <c r="J195" s="439">
        <v>0</v>
      </c>
      <c r="K195" s="438"/>
      <c r="L195" s="438"/>
      <c r="M195" s="438"/>
      <c r="N195" s="438" t="s">
        <v>488</v>
      </c>
    </row>
    <row r="196" spans="1:14">
      <c r="A196" s="437">
        <v>44895</v>
      </c>
      <c r="B196" s="437">
        <v>44895</v>
      </c>
      <c r="C196" s="438" t="s">
        <v>4110</v>
      </c>
      <c r="D196" s="438" t="s">
        <v>4111</v>
      </c>
      <c r="E196" s="438" t="s">
        <v>476</v>
      </c>
      <c r="F196" s="438" t="s">
        <v>446</v>
      </c>
      <c r="G196" s="438" t="s">
        <v>381</v>
      </c>
      <c r="H196" s="438" t="str">
        <f t="shared" ref="H196:H220" si="4">LEFT(G196,3)</f>
        <v>642</v>
      </c>
      <c r="I196" s="439">
        <v>1466264</v>
      </c>
      <c r="J196" s="439">
        <v>0</v>
      </c>
      <c r="K196" s="438"/>
      <c r="L196" s="438"/>
      <c r="M196" s="438"/>
      <c r="N196" s="438" t="s">
        <v>488</v>
      </c>
    </row>
    <row r="197" spans="1:14">
      <c r="A197" s="437">
        <v>44895</v>
      </c>
      <c r="B197" s="437">
        <v>44895</v>
      </c>
      <c r="C197" s="438" t="s">
        <v>4110</v>
      </c>
      <c r="D197" s="438" t="s">
        <v>4111</v>
      </c>
      <c r="E197" s="438" t="s">
        <v>476</v>
      </c>
      <c r="F197" s="438" t="s">
        <v>446</v>
      </c>
      <c r="G197" s="438" t="s">
        <v>387</v>
      </c>
      <c r="H197" s="438" t="str">
        <f t="shared" si="4"/>
        <v>642</v>
      </c>
      <c r="I197" s="439">
        <v>44000</v>
      </c>
      <c r="J197" s="439">
        <v>0</v>
      </c>
      <c r="K197" s="438"/>
      <c r="L197" s="438"/>
      <c r="M197" s="438"/>
      <c r="N197" s="438" t="s">
        <v>488</v>
      </c>
    </row>
    <row r="198" spans="1:14">
      <c r="A198" s="437">
        <v>44895</v>
      </c>
      <c r="B198" s="437">
        <v>44895</v>
      </c>
      <c r="C198" s="438" t="s">
        <v>4110</v>
      </c>
      <c r="D198" s="438" t="s">
        <v>4111</v>
      </c>
      <c r="E198" s="438" t="s">
        <v>476</v>
      </c>
      <c r="F198" s="438" t="s">
        <v>446</v>
      </c>
      <c r="G198" s="438" t="s">
        <v>389</v>
      </c>
      <c r="H198" s="438" t="str">
        <f t="shared" si="4"/>
        <v>642</v>
      </c>
      <c r="I198" s="439">
        <v>5507816</v>
      </c>
      <c r="J198" s="439">
        <v>0</v>
      </c>
      <c r="K198" s="438"/>
      <c r="L198" s="438"/>
      <c r="M198" s="438"/>
      <c r="N198" s="438" t="s">
        <v>488</v>
      </c>
    </row>
    <row r="199" spans="1:14">
      <c r="A199" s="437">
        <v>44895</v>
      </c>
      <c r="B199" s="437">
        <v>44895</v>
      </c>
      <c r="C199" s="438" t="s">
        <v>4110</v>
      </c>
      <c r="D199" s="438" t="s">
        <v>4111</v>
      </c>
      <c r="E199" s="438" t="s">
        <v>476</v>
      </c>
      <c r="F199" s="438" t="s">
        <v>446</v>
      </c>
      <c r="G199" s="438" t="s">
        <v>395</v>
      </c>
      <c r="H199" s="438" t="str">
        <f t="shared" si="4"/>
        <v>642</v>
      </c>
      <c r="I199" s="439">
        <v>27755273</v>
      </c>
      <c r="J199" s="439">
        <v>0</v>
      </c>
      <c r="K199" s="438"/>
      <c r="L199" s="438"/>
      <c r="M199" s="438"/>
      <c r="N199" s="438" t="s">
        <v>488</v>
      </c>
    </row>
    <row r="200" spans="1:14">
      <c r="A200" s="437">
        <v>44895</v>
      </c>
      <c r="B200" s="437">
        <v>44895</v>
      </c>
      <c r="C200" s="438" t="s">
        <v>4110</v>
      </c>
      <c r="D200" s="438" t="s">
        <v>4111</v>
      </c>
      <c r="E200" s="438" t="s">
        <v>476</v>
      </c>
      <c r="F200" s="438" t="s">
        <v>446</v>
      </c>
      <c r="G200" s="438" t="s">
        <v>397</v>
      </c>
      <c r="H200" s="438" t="str">
        <f t="shared" si="4"/>
        <v>642</v>
      </c>
      <c r="I200" s="439">
        <v>3031890</v>
      </c>
      <c r="J200" s="439">
        <v>0</v>
      </c>
      <c r="K200" s="438"/>
      <c r="L200" s="438"/>
      <c r="M200" s="438"/>
      <c r="N200" s="438" t="s">
        <v>488</v>
      </c>
    </row>
    <row r="201" spans="1:14">
      <c r="A201" s="437">
        <v>44895</v>
      </c>
      <c r="B201" s="437">
        <v>44895</v>
      </c>
      <c r="C201" s="438" t="s">
        <v>4110</v>
      </c>
      <c r="D201" s="438" t="s">
        <v>4111</v>
      </c>
      <c r="E201" s="438" t="s">
        <v>476</v>
      </c>
      <c r="F201" s="438" t="s">
        <v>446</v>
      </c>
      <c r="G201" s="438" t="s">
        <v>398</v>
      </c>
      <c r="H201" s="438" t="str">
        <f t="shared" si="4"/>
        <v>642</v>
      </c>
      <c r="I201" s="439">
        <v>8042506</v>
      </c>
      <c r="J201" s="439">
        <v>0</v>
      </c>
      <c r="K201" s="438"/>
      <c r="L201" s="438"/>
      <c r="M201" s="438"/>
      <c r="N201" s="438" t="s">
        <v>488</v>
      </c>
    </row>
    <row r="202" spans="1:14">
      <c r="A202" s="437">
        <v>44895</v>
      </c>
      <c r="B202" s="437">
        <v>44895</v>
      </c>
      <c r="C202" s="438" t="s">
        <v>4110</v>
      </c>
      <c r="D202" s="438" t="s">
        <v>4111</v>
      </c>
      <c r="E202" s="438" t="s">
        <v>479</v>
      </c>
      <c r="F202" s="438" t="s">
        <v>446</v>
      </c>
      <c r="G202" s="438" t="s">
        <v>217</v>
      </c>
      <c r="H202" s="438" t="str">
        <f t="shared" si="4"/>
        <v>421</v>
      </c>
      <c r="I202" s="439">
        <v>0</v>
      </c>
      <c r="J202" s="439">
        <v>35338450</v>
      </c>
      <c r="K202" s="438"/>
      <c r="L202" s="438"/>
      <c r="M202" s="438"/>
      <c r="N202" s="438" t="s">
        <v>488</v>
      </c>
    </row>
    <row r="203" spans="1:14">
      <c r="A203" s="437">
        <v>44926</v>
      </c>
      <c r="B203" s="437">
        <v>44926</v>
      </c>
      <c r="C203" s="438" t="s">
        <v>4112</v>
      </c>
      <c r="D203" s="438" t="s">
        <v>4113</v>
      </c>
      <c r="E203" s="438" t="s">
        <v>468</v>
      </c>
      <c r="F203" s="438" t="s">
        <v>446</v>
      </c>
      <c r="G203" s="438" t="s">
        <v>720</v>
      </c>
      <c r="H203" s="438" t="str">
        <f t="shared" si="4"/>
        <v>511</v>
      </c>
      <c r="I203" s="439">
        <v>0</v>
      </c>
      <c r="J203" s="439">
        <v>3541645450</v>
      </c>
      <c r="K203" s="438"/>
      <c r="L203" s="438"/>
      <c r="M203" s="438"/>
      <c r="N203" s="438" t="s">
        <v>488</v>
      </c>
    </row>
    <row r="204" spans="1:14">
      <c r="A204" s="437">
        <v>44926</v>
      </c>
      <c r="B204" s="437">
        <v>44926</v>
      </c>
      <c r="C204" s="438" t="s">
        <v>4112</v>
      </c>
      <c r="D204" s="438" t="s">
        <v>4113</v>
      </c>
      <c r="E204" s="438" t="s">
        <v>472</v>
      </c>
      <c r="F204" s="438" t="s">
        <v>446</v>
      </c>
      <c r="G204" s="438">
        <v>5152</v>
      </c>
      <c r="H204" s="438" t="str">
        <f t="shared" si="4"/>
        <v>515</v>
      </c>
      <c r="I204" s="439">
        <v>0</v>
      </c>
      <c r="J204" s="439">
        <v>57069363</v>
      </c>
      <c r="K204" s="438"/>
      <c r="L204" s="438"/>
      <c r="M204" s="438"/>
      <c r="N204" s="438" t="s">
        <v>488</v>
      </c>
    </row>
    <row r="205" spans="1:14">
      <c r="A205" s="437">
        <v>44926</v>
      </c>
      <c r="B205" s="437">
        <v>44926</v>
      </c>
      <c r="C205" s="438" t="s">
        <v>4112</v>
      </c>
      <c r="D205" s="438" t="s">
        <v>4113</v>
      </c>
      <c r="E205" s="438" t="s">
        <v>473</v>
      </c>
      <c r="F205" s="438" t="s">
        <v>446</v>
      </c>
      <c r="G205" s="438" t="s">
        <v>303</v>
      </c>
      <c r="H205" s="438" t="str">
        <f t="shared" si="4"/>
        <v>632</v>
      </c>
      <c r="I205" s="439">
        <v>3531012744</v>
      </c>
      <c r="J205" s="439">
        <v>0</v>
      </c>
      <c r="K205" s="438"/>
      <c r="L205" s="438"/>
      <c r="M205" s="438"/>
      <c r="N205" s="438" t="s">
        <v>488</v>
      </c>
    </row>
    <row r="206" spans="1:14">
      <c r="A206" s="437">
        <v>44926</v>
      </c>
      <c r="B206" s="437">
        <v>44926</v>
      </c>
      <c r="C206" s="438" t="s">
        <v>4112</v>
      </c>
      <c r="D206" s="438" t="s">
        <v>4113</v>
      </c>
      <c r="E206" s="438" t="s">
        <v>474</v>
      </c>
      <c r="F206" s="438" t="s">
        <v>446</v>
      </c>
      <c r="G206" s="438" t="s">
        <v>305</v>
      </c>
      <c r="H206" s="438" t="str">
        <f t="shared" si="4"/>
        <v>635</v>
      </c>
      <c r="I206" s="439">
        <v>0</v>
      </c>
      <c r="J206" s="439">
        <v>1115460751</v>
      </c>
      <c r="K206" s="438"/>
      <c r="L206" s="438"/>
      <c r="M206" s="438"/>
      <c r="N206" s="438" t="s">
        <v>488</v>
      </c>
    </row>
    <row r="207" spans="1:14">
      <c r="A207" s="437">
        <v>44926</v>
      </c>
      <c r="B207" s="437">
        <v>44926</v>
      </c>
      <c r="C207" s="438" t="s">
        <v>4112</v>
      </c>
      <c r="D207" s="438" t="s">
        <v>4113</v>
      </c>
      <c r="E207" s="438" t="s">
        <v>475</v>
      </c>
      <c r="F207" s="438" t="s">
        <v>446</v>
      </c>
      <c r="G207" s="438" t="s">
        <v>347</v>
      </c>
      <c r="H207" s="438" t="str">
        <f t="shared" si="4"/>
        <v>641</v>
      </c>
      <c r="I207" s="439">
        <v>0</v>
      </c>
      <c r="J207" s="439">
        <v>138542800</v>
      </c>
      <c r="K207" s="438"/>
      <c r="L207" s="438"/>
      <c r="M207" s="438"/>
      <c r="N207" s="438" t="s">
        <v>488</v>
      </c>
    </row>
    <row r="208" spans="1:14">
      <c r="A208" s="437">
        <v>44926</v>
      </c>
      <c r="B208" s="437">
        <v>44926</v>
      </c>
      <c r="C208" s="438" t="s">
        <v>4112</v>
      </c>
      <c r="D208" s="438" t="s">
        <v>4113</v>
      </c>
      <c r="E208" s="438" t="s">
        <v>475</v>
      </c>
      <c r="F208" s="438" t="s">
        <v>446</v>
      </c>
      <c r="G208" s="438" t="s">
        <v>348</v>
      </c>
      <c r="H208" s="438" t="str">
        <f t="shared" si="4"/>
        <v>641</v>
      </c>
      <c r="I208" s="439">
        <v>0</v>
      </c>
      <c r="J208" s="439">
        <v>3350000</v>
      </c>
      <c r="K208" s="438"/>
      <c r="L208" s="438"/>
      <c r="M208" s="438"/>
      <c r="N208" s="438" t="s">
        <v>488</v>
      </c>
    </row>
    <row r="209" spans="1:14">
      <c r="A209" s="437">
        <v>44926</v>
      </c>
      <c r="B209" s="437">
        <v>44926</v>
      </c>
      <c r="C209" s="438" t="s">
        <v>4112</v>
      </c>
      <c r="D209" s="438" t="s">
        <v>4113</v>
      </c>
      <c r="E209" s="438" t="s">
        <v>475</v>
      </c>
      <c r="F209" s="438" t="s">
        <v>446</v>
      </c>
      <c r="G209" s="438" t="s">
        <v>350</v>
      </c>
      <c r="H209" s="438" t="str">
        <f t="shared" si="4"/>
        <v>641</v>
      </c>
      <c r="I209" s="439">
        <v>0</v>
      </c>
      <c r="J209" s="439">
        <v>40212520</v>
      </c>
      <c r="K209" s="438"/>
      <c r="L209" s="438"/>
      <c r="M209" s="438"/>
      <c r="N209" s="438" t="s">
        <v>488</v>
      </c>
    </row>
    <row r="210" spans="1:14">
      <c r="A210" s="437">
        <v>44926</v>
      </c>
      <c r="B210" s="437">
        <v>44926</v>
      </c>
      <c r="C210" s="438" t="s">
        <v>4112</v>
      </c>
      <c r="D210" s="438" t="s">
        <v>4113</v>
      </c>
      <c r="E210" s="438" t="s">
        <v>475</v>
      </c>
      <c r="F210" s="438" t="s">
        <v>446</v>
      </c>
      <c r="G210" s="438" t="s">
        <v>369</v>
      </c>
      <c r="H210" s="438" t="str">
        <f t="shared" si="4"/>
        <v>641</v>
      </c>
      <c r="I210" s="439">
        <v>4125000</v>
      </c>
      <c r="J210" s="439">
        <v>0</v>
      </c>
      <c r="K210" s="438"/>
      <c r="L210" s="438"/>
      <c r="M210" s="438"/>
      <c r="N210" s="438" t="s">
        <v>488</v>
      </c>
    </row>
    <row r="211" spans="1:14">
      <c r="A211" s="437">
        <v>44926</v>
      </c>
      <c r="B211" s="437">
        <v>44926</v>
      </c>
      <c r="C211" s="438" t="s">
        <v>4112</v>
      </c>
      <c r="D211" s="438" t="s">
        <v>4113</v>
      </c>
      <c r="E211" s="438" t="s">
        <v>476</v>
      </c>
      <c r="F211" s="438" t="s">
        <v>446</v>
      </c>
      <c r="G211" s="438" t="s">
        <v>721</v>
      </c>
      <c r="H211" s="438" t="str">
        <f t="shared" si="4"/>
        <v>642</v>
      </c>
      <c r="I211" s="439">
        <v>56270364</v>
      </c>
      <c r="J211" s="439">
        <v>0</v>
      </c>
      <c r="K211" s="438"/>
      <c r="L211" s="438"/>
      <c r="M211" s="438"/>
      <c r="N211" s="438" t="s">
        <v>488</v>
      </c>
    </row>
    <row r="212" spans="1:14">
      <c r="A212" s="437">
        <v>44926</v>
      </c>
      <c r="B212" s="437">
        <v>44926</v>
      </c>
      <c r="C212" s="438" t="s">
        <v>4112</v>
      </c>
      <c r="D212" s="438" t="s">
        <v>4113</v>
      </c>
      <c r="E212" s="438" t="s">
        <v>476</v>
      </c>
      <c r="F212" s="438" t="s">
        <v>446</v>
      </c>
      <c r="G212" s="438" t="s">
        <v>722</v>
      </c>
      <c r="H212" s="438" t="str">
        <f t="shared" si="4"/>
        <v>642</v>
      </c>
      <c r="I212" s="439">
        <v>3102000</v>
      </c>
      <c r="J212" s="439">
        <v>0</v>
      </c>
      <c r="K212" s="438"/>
      <c r="L212" s="438"/>
      <c r="M212" s="438"/>
      <c r="N212" s="438" t="s">
        <v>488</v>
      </c>
    </row>
    <row r="213" spans="1:14">
      <c r="A213" s="437">
        <v>44926</v>
      </c>
      <c r="B213" s="437">
        <v>44926</v>
      </c>
      <c r="C213" s="438" t="s">
        <v>4112</v>
      </c>
      <c r="D213" s="438" t="s">
        <v>4113</v>
      </c>
      <c r="E213" s="438" t="s">
        <v>476</v>
      </c>
      <c r="F213" s="438" t="s">
        <v>446</v>
      </c>
      <c r="G213" s="438" t="s">
        <v>381</v>
      </c>
      <c r="H213" s="438" t="str">
        <f t="shared" si="4"/>
        <v>642</v>
      </c>
      <c r="I213" s="439">
        <v>1466264</v>
      </c>
      <c r="J213" s="439">
        <v>0</v>
      </c>
      <c r="K213" s="438"/>
      <c r="L213" s="438"/>
      <c r="M213" s="438"/>
      <c r="N213" s="438" t="s">
        <v>488</v>
      </c>
    </row>
    <row r="214" spans="1:14">
      <c r="A214" s="437">
        <v>44926</v>
      </c>
      <c r="B214" s="437">
        <v>44926</v>
      </c>
      <c r="C214" s="438" t="s">
        <v>4112</v>
      </c>
      <c r="D214" s="438" t="s">
        <v>4113</v>
      </c>
      <c r="E214" s="438" t="s">
        <v>476</v>
      </c>
      <c r="F214" s="438" t="s">
        <v>446</v>
      </c>
      <c r="G214" s="438" t="s">
        <v>387</v>
      </c>
      <c r="H214" s="438" t="str">
        <f t="shared" si="4"/>
        <v>642</v>
      </c>
      <c r="I214" s="439">
        <v>198000</v>
      </c>
      <c r="J214" s="439">
        <v>0</v>
      </c>
      <c r="K214" s="438"/>
      <c r="L214" s="438"/>
      <c r="M214" s="438"/>
      <c r="N214" s="438" t="s">
        <v>488</v>
      </c>
    </row>
    <row r="215" spans="1:14">
      <c r="A215" s="437">
        <v>44926</v>
      </c>
      <c r="B215" s="437">
        <v>44926</v>
      </c>
      <c r="C215" s="438" t="s">
        <v>4112</v>
      </c>
      <c r="D215" s="438" t="s">
        <v>4113</v>
      </c>
      <c r="E215" s="438" t="s">
        <v>476</v>
      </c>
      <c r="F215" s="438" t="s">
        <v>446</v>
      </c>
      <c r="G215" s="438" t="s">
        <v>389</v>
      </c>
      <c r="H215" s="438" t="str">
        <f t="shared" si="4"/>
        <v>642</v>
      </c>
      <c r="I215" s="439">
        <v>2212019</v>
      </c>
      <c r="J215" s="439">
        <v>0</v>
      </c>
      <c r="K215" s="438"/>
      <c r="L215" s="438"/>
      <c r="M215" s="438"/>
      <c r="N215" s="438" t="s">
        <v>488</v>
      </c>
    </row>
    <row r="216" spans="1:14">
      <c r="A216" s="437">
        <v>44926</v>
      </c>
      <c r="B216" s="437">
        <v>44926</v>
      </c>
      <c r="C216" s="438" t="s">
        <v>4112</v>
      </c>
      <c r="D216" s="438" t="s">
        <v>4113</v>
      </c>
      <c r="E216" s="438" t="s">
        <v>476</v>
      </c>
      <c r="F216" s="438" t="s">
        <v>446</v>
      </c>
      <c r="G216" s="438" t="s">
        <v>395</v>
      </c>
      <c r="H216" s="438" t="str">
        <f t="shared" si="4"/>
        <v>642</v>
      </c>
      <c r="I216" s="439">
        <v>194053346</v>
      </c>
      <c r="J216" s="439">
        <v>0</v>
      </c>
      <c r="K216" s="438"/>
      <c r="L216" s="438"/>
      <c r="M216" s="438"/>
      <c r="N216" s="438" t="s">
        <v>488</v>
      </c>
    </row>
    <row r="217" spans="1:14">
      <c r="A217" s="437">
        <v>44926</v>
      </c>
      <c r="B217" s="437">
        <v>44926</v>
      </c>
      <c r="C217" s="438" t="s">
        <v>4112</v>
      </c>
      <c r="D217" s="438" t="s">
        <v>4113</v>
      </c>
      <c r="E217" s="438" t="s">
        <v>476</v>
      </c>
      <c r="F217" s="438" t="s">
        <v>446</v>
      </c>
      <c r="G217" s="438" t="s">
        <v>397</v>
      </c>
      <c r="H217" s="438" t="str">
        <f t="shared" si="4"/>
        <v>642</v>
      </c>
      <c r="I217" s="439">
        <v>7718558</v>
      </c>
      <c r="J217" s="439">
        <v>0</v>
      </c>
      <c r="K217" s="438"/>
      <c r="L217" s="438"/>
      <c r="M217" s="438"/>
      <c r="N217" s="438" t="s">
        <v>488</v>
      </c>
    </row>
    <row r="218" spans="1:14">
      <c r="A218" s="437">
        <v>44926</v>
      </c>
      <c r="B218" s="437">
        <v>44926</v>
      </c>
      <c r="C218" s="438" t="s">
        <v>4112</v>
      </c>
      <c r="D218" s="438" t="s">
        <v>4113</v>
      </c>
      <c r="E218" s="438" t="s">
        <v>476</v>
      </c>
      <c r="F218" s="438" t="s">
        <v>446</v>
      </c>
      <c r="G218" s="438" t="s">
        <v>398</v>
      </c>
      <c r="H218" s="438" t="str">
        <f t="shared" si="4"/>
        <v>642</v>
      </c>
      <c r="I218" s="439">
        <v>56297530</v>
      </c>
      <c r="J218" s="439">
        <v>0</v>
      </c>
      <c r="K218" s="438"/>
      <c r="L218" s="438"/>
      <c r="M218" s="438"/>
      <c r="N218" s="438" t="s">
        <v>488</v>
      </c>
    </row>
    <row r="219" spans="1:14">
      <c r="A219" s="437">
        <v>44926</v>
      </c>
      <c r="B219" s="437">
        <v>44926</v>
      </c>
      <c r="C219" s="438" t="s">
        <v>4112</v>
      </c>
      <c r="D219" s="438" t="s">
        <v>4113</v>
      </c>
      <c r="E219" s="438" t="s">
        <v>476</v>
      </c>
      <c r="F219" s="438" t="s">
        <v>446</v>
      </c>
      <c r="G219" s="438" t="s">
        <v>434</v>
      </c>
      <c r="H219" s="438" t="str">
        <f t="shared" si="4"/>
        <v>642</v>
      </c>
      <c r="I219" s="439">
        <v>5788888</v>
      </c>
      <c r="J219" s="439">
        <v>0</v>
      </c>
      <c r="K219" s="438"/>
      <c r="L219" s="438"/>
      <c r="M219" s="438"/>
      <c r="N219" s="438" t="s">
        <v>488</v>
      </c>
    </row>
    <row r="220" spans="1:14">
      <c r="A220" s="437">
        <v>44926</v>
      </c>
      <c r="B220" s="437">
        <v>44926</v>
      </c>
      <c r="C220" s="438" t="s">
        <v>4112</v>
      </c>
      <c r="D220" s="438" t="s">
        <v>4113</v>
      </c>
      <c r="E220" s="438" t="s">
        <v>479</v>
      </c>
      <c r="F220" s="438" t="s">
        <v>446</v>
      </c>
      <c r="G220" s="438" t="s">
        <v>217</v>
      </c>
      <c r="H220" s="438" t="str">
        <f t="shared" si="4"/>
        <v>421</v>
      </c>
      <c r="I220" s="439">
        <v>1034036171</v>
      </c>
      <c r="J220" s="439">
        <v>0</v>
      </c>
      <c r="K220" s="438"/>
      <c r="L220" s="438"/>
      <c r="M220" s="438"/>
      <c r="N220" s="438" t="s">
        <v>488</v>
      </c>
    </row>
  </sheetData>
  <autoFilter ref="A2:U220" xr:uid="{7E449D18-CEF9-422C-BD03-D3B1D5F082BF}"/>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06CDB-11DD-4BE6-8ACE-21B628276672}">
  <sheetPr codeName="Sheet37">
    <tabColor rgb="FF7030A0"/>
  </sheetPr>
  <dimension ref="A1:Q135"/>
  <sheetViews>
    <sheetView topLeftCell="A11" workbookViewId="0">
      <selection activeCell="V6" sqref="V6"/>
    </sheetView>
  </sheetViews>
  <sheetFormatPr defaultRowHeight="12.75"/>
  <cols>
    <col min="1" max="1" width="8.5703125" style="402" customWidth="1"/>
    <col min="2" max="2" width="31.5703125" style="402" customWidth="1"/>
    <col min="3" max="3" width="3.42578125" style="402" customWidth="1"/>
    <col min="4" max="4" width="13.42578125" style="402" customWidth="1"/>
    <col min="5" max="6" width="16.42578125" style="402" customWidth="1"/>
    <col min="7" max="7" width="4.5703125" style="402" customWidth="1"/>
    <col min="8" max="8" width="0.5703125" style="402" customWidth="1"/>
    <col min="9" max="9" width="0.42578125" style="402" customWidth="1"/>
    <col min="10" max="10" width="6.42578125" style="402" customWidth="1"/>
    <col min="11" max="11" width="0.42578125" style="402" customWidth="1"/>
    <col min="12" max="12" width="4.5703125" style="402" customWidth="1"/>
    <col min="13" max="13" width="13.42578125" style="402" customWidth="1"/>
    <col min="14" max="14" width="3.42578125" style="402" customWidth="1"/>
    <col min="15" max="15" width="16.42578125" style="402" customWidth="1"/>
    <col min="16" max="16" width="0.42578125" style="402" customWidth="1"/>
    <col min="17" max="17" width="15.5703125" style="402" bestFit="1" customWidth="1"/>
    <col min="18" max="256" width="8.85546875" style="402"/>
    <col min="257" max="257" width="8.5703125" style="402" customWidth="1"/>
    <col min="258" max="258" width="31.5703125" style="402" customWidth="1"/>
    <col min="259" max="259" width="3.42578125" style="402" customWidth="1"/>
    <col min="260" max="260" width="13.42578125" style="402" customWidth="1"/>
    <col min="261" max="262" width="16.42578125" style="402" customWidth="1"/>
    <col min="263" max="263" width="4.5703125" style="402" customWidth="1"/>
    <col min="264" max="264" width="0.5703125" style="402" customWidth="1"/>
    <col min="265" max="265" width="0.42578125" style="402" customWidth="1"/>
    <col min="266" max="266" width="6.42578125" style="402" customWidth="1"/>
    <col min="267" max="267" width="0.42578125" style="402" customWidth="1"/>
    <col min="268" max="268" width="4.5703125" style="402" customWidth="1"/>
    <col min="269" max="269" width="13.42578125" style="402" customWidth="1"/>
    <col min="270" max="270" width="3.42578125" style="402" customWidth="1"/>
    <col min="271" max="271" width="16.42578125" style="402" customWidth="1"/>
    <col min="272" max="272" width="0.42578125" style="402" customWidth="1"/>
    <col min="273" max="512" width="8.85546875" style="402"/>
    <col min="513" max="513" width="8.5703125" style="402" customWidth="1"/>
    <col min="514" max="514" width="31.5703125" style="402" customWidth="1"/>
    <col min="515" max="515" width="3.42578125" style="402" customWidth="1"/>
    <col min="516" max="516" width="13.42578125" style="402" customWidth="1"/>
    <col min="517" max="518" width="16.42578125" style="402" customWidth="1"/>
    <col min="519" max="519" width="4.5703125" style="402" customWidth="1"/>
    <col min="520" max="520" width="0.5703125" style="402" customWidth="1"/>
    <col min="521" max="521" width="0.42578125" style="402" customWidth="1"/>
    <col min="522" max="522" width="6.42578125" style="402" customWidth="1"/>
    <col min="523" max="523" width="0.42578125" style="402" customWidth="1"/>
    <col min="524" max="524" width="4.5703125" style="402" customWidth="1"/>
    <col min="525" max="525" width="13.42578125" style="402" customWidth="1"/>
    <col min="526" max="526" width="3.42578125" style="402" customWidth="1"/>
    <col min="527" max="527" width="16.42578125" style="402" customWidth="1"/>
    <col min="528" max="528" width="0.42578125" style="402" customWidth="1"/>
    <col min="529" max="768" width="8.85546875" style="402"/>
    <col min="769" max="769" width="8.5703125" style="402" customWidth="1"/>
    <col min="770" max="770" width="31.5703125" style="402" customWidth="1"/>
    <col min="771" max="771" width="3.42578125" style="402" customWidth="1"/>
    <col min="772" max="772" width="13.42578125" style="402" customWidth="1"/>
    <col min="773" max="774" width="16.42578125" style="402" customWidth="1"/>
    <col min="775" max="775" width="4.5703125" style="402" customWidth="1"/>
    <col min="776" max="776" width="0.5703125" style="402" customWidth="1"/>
    <col min="777" max="777" width="0.42578125" style="402" customWidth="1"/>
    <col min="778" max="778" width="6.42578125" style="402" customWidth="1"/>
    <col min="779" max="779" width="0.42578125" style="402" customWidth="1"/>
    <col min="780" max="780" width="4.5703125" style="402" customWidth="1"/>
    <col min="781" max="781" width="13.42578125" style="402" customWidth="1"/>
    <col min="782" max="782" width="3.42578125" style="402" customWidth="1"/>
    <col min="783" max="783" width="16.42578125" style="402" customWidth="1"/>
    <col min="784" max="784" width="0.42578125" style="402" customWidth="1"/>
    <col min="785" max="1024" width="8.85546875" style="402"/>
    <col min="1025" max="1025" width="8.5703125" style="402" customWidth="1"/>
    <col min="1026" max="1026" width="31.5703125" style="402" customWidth="1"/>
    <col min="1027" max="1027" width="3.42578125" style="402" customWidth="1"/>
    <col min="1028" max="1028" width="13.42578125" style="402" customWidth="1"/>
    <col min="1029" max="1030" width="16.42578125" style="402" customWidth="1"/>
    <col min="1031" max="1031" width="4.5703125" style="402" customWidth="1"/>
    <col min="1032" max="1032" width="0.5703125" style="402" customWidth="1"/>
    <col min="1033" max="1033" width="0.42578125" style="402" customWidth="1"/>
    <col min="1034" max="1034" width="6.42578125" style="402" customWidth="1"/>
    <col min="1035" max="1035" width="0.42578125" style="402" customWidth="1"/>
    <col min="1036" max="1036" width="4.5703125" style="402" customWidth="1"/>
    <col min="1037" max="1037" width="13.42578125" style="402" customWidth="1"/>
    <col min="1038" max="1038" width="3.42578125" style="402" customWidth="1"/>
    <col min="1039" max="1039" width="16.42578125" style="402" customWidth="1"/>
    <col min="1040" max="1040" width="0.42578125" style="402" customWidth="1"/>
    <col min="1041" max="1280" width="8.85546875" style="402"/>
    <col min="1281" max="1281" width="8.5703125" style="402" customWidth="1"/>
    <col min="1282" max="1282" width="31.5703125" style="402" customWidth="1"/>
    <col min="1283" max="1283" width="3.42578125" style="402" customWidth="1"/>
    <col min="1284" max="1284" width="13.42578125" style="402" customWidth="1"/>
    <col min="1285" max="1286" width="16.42578125" style="402" customWidth="1"/>
    <col min="1287" max="1287" width="4.5703125" style="402" customWidth="1"/>
    <col min="1288" max="1288" width="0.5703125" style="402" customWidth="1"/>
    <col min="1289" max="1289" width="0.42578125" style="402" customWidth="1"/>
    <col min="1290" max="1290" width="6.42578125" style="402" customWidth="1"/>
    <col min="1291" max="1291" width="0.42578125" style="402" customWidth="1"/>
    <col min="1292" max="1292" width="4.5703125" style="402" customWidth="1"/>
    <col min="1293" max="1293" width="13.42578125" style="402" customWidth="1"/>
    <col min="1294" max="1294" width="3.42578125" style="402" customWidth="1"/>
    <col min="1295" max="1295" width="16.42578125" style="402" customWidth="1"/>
    <col min="1296" max="1296" width="0.42578125" style="402" customWidth="1"/>
    <col min="1297" max="1536" width="8.85546875" style="402"/>
    <col min="1537" max="1537" width="8.5703125" style="402" customWidth="1"/>
    <col min="1538" max="1538" width="31.5703125" style="402" customWidth="1"/>
    <col min="1539" max="1539" width="3.42578125" style="402" customWidth="1"/>
    <col min="1540" max="1540" width="13.42578125" style="402" customWidth="1"/>
    <col min="1541" max="1542" width="16.42578125" style="402" customWidth="1"/>
    <col min="1543" max="1543" width="4.5703125" style="402" customWidth="1"/>
    <col min="1544" max="1544" width="0.5703125" style="402" customWidth="1"/>
    <col min="1545" max="1545" width="0.42578125" style="402" customWidth="1"/>
    <col min="1546" max="1546" width="6.42578125" style="402" customWidth="1"/>
    <col min="1547" max="1547" width="0.42578125" style="402" customWidth="1"/>
    <col min="1548" max="1548" width="4.5703125" style="402" customWidth="1"/>
    <col min="1549" max="1549" width="13.42578125" style="402" customWidth="1"/>
    <col min="1550" max="1550" width="3.42578125" style="402" customWidth="1"/>
    <col min="1551" max="1551" width="16.42578125" style="402" customWidth="1"/>
    <col min="1552" max="1552" width="0.42578125" style="402" customWidth="1"/>
    <col min="1553" max="1792" width="8.85546875" style="402"/>
    <col min="1793" max="1793" width="8.5703125" style="402" customWidth="1"/>
    <col min="1794" max="1794" width="31.5703125" style="402" customWidth="1"/>
    <col min="1795" max="1795" width="3.42578125" style="402" customWidth="1"/>
    <col min="1796" max="1796" width="13.42578125" style="402" customWidth="1"/>
    <col min="1797" max="1798" width="16.42578125" style="402" customWidth="1"/>
    <col min="1799" max="1799" width="4.5703125" style="402" customWidth="1"/>
    <col min="1800" max="1800" width="0.5703125" style="402" customWidth="1"/>
    <col min="1801" max="1801" width="0.42578125" style="402" customWidth="1"/>
    <col min="1802" max="1802" width="6.42578125" style="402" customWidth="1"/>
    <col min="1803" max="1803" width="0.42578125" style="402" customWidth="1"/>
    <col min="1804" max="1804" width="4.5703125" style="402" customWidth="1"/>
    <col min="1805" max="1805" width="13.42578125" style="402" customWidth="1"/>
    <col min="1806" max="1806" width="3.42578125" style="402" customWidth="1"/>
    <col min="1807" max="1807" width="16.42578125" style="402" customWidth="1"/>
    <col min="1808" max="1808" width="0.42578125" style="402" customWidth="1"/>
    <col min="1809" max="2048" width="8.85546875" style="402"/>
    <col min="2049" max="2049" width="8.5703125" style="402" customWidth="1"/>
    <col min="2050" max="2050" width="31.5703125" style="402" customWidth="1"/>
    <col min="2051" max="2051" width="3.42578125" style="402" customWidth="1"/>
    <col min="2052" max="2052" width="13.42578125" style="402" customWidth="1"/>
    <col min="2053" max="2054" width="16.42578125" style="402" customWidth="1"/>
    <col min="2055" max="2055" width="4.5703125" style="402" customWidth="1"/>
    <col min="2056" max="2056" width="0.5703125" style="402" customWidth="1"/>
    <col min="2057" max="2057" width="0.42578125" style="402" customWidth="1"/>
    <col min="2058" max="2058" width="6.42578125" style="402" customWidth="1"/>
    <col min="2059" max="2059" width="0.42578125" style="402" customWidth="1"/>
    <col min="2060" max="2060" width="4.5703125" style="402" customWidth="1"/>
    <col min="2061" max="2061" width="13.42578125" style="402" customWidth="1"/>
    <col min="2062" max="2062" width="3.42578125" style="402" customWidth="1"/>
    <col min="2063" max="2063" width="16.42578125" style="402" customWidth="1"/>
    <col min="2064" max="2064" width="0.42578125" style="402" customWidth="1"/>
    <col min="2065" max="2304" width="8.85546875" style="402"/>
    <col min="2305" max="2305" width="8.5703125" style="402" customWidth="1"/>
    <col min="2306" max="2306" width="31.5703125" style="402" customWidth="1"/>
    <col min="2307" max="2307" width="3.42578125" style="402" customWidth="1"/>
    <col min="2308" max="2308" width="13.42578125" style="402" customWidth="1"/>
    <col min="2309" max="2310" width="16.42578125" style="402" customWidth="1"/>
    <col min="2311" max="2311" width="4.5703125" style="402" customWidth="1"/>
    <col min="2312" max="2312" width="0.5703125" style="402" customWidth="1"/>
    <col min="2313" max="2313" width="0.42578125" style="402" customWidth="1"/>
    <col min="2314" max="2314" width="6.42578125" style="402" customWidth="1"/>
    <col min="2315" max="2315" width="0.42578125" style="402" customWidth="1"/>
    <col min="2316" max="2316" width="4.5703125" style="402" customWidth="1"/>
    <col min="2317" max="2317" width="13.42578125" style="402" customWidth="1"/>
    <col min="2318" max="2318" width="3.42578125" style="402" customWidth="1"/>
    <col min="2319" max="2319" width="16.42578125" style="402" customWidth="1"/>
    <col min="2320" max="2320" width="0.42578125" style="402" customWidth="1"/>
    <col min="2321" max="2560" width="8.85546875" style="402"/>
    <col min="2561" max="2561" width="8.5703125" style="402" customWidth="1"/>
    <col min="2562" max="2562" width="31.5703125" style="402" customWidth="1"/>
    <col min="2563" max="2563" width="3.42578125" style="402" customWidth="1"/>
    <col min="2564" max="2564" width="13.42578125" style="402" customWidth="1"/>
    <col min="2565" max="2566" width="16.42578125" style="402" customWidth="1"/>
    <col min="2567" max="2567" width="4.5703125" style="402" customWidth="1"/>
    <col min="2568" max="2568" width="0.5703125" style="402" customWidth="1"/>
    <col min="2569" max="2569" width="0.42578125" style="402" customWidth="1"/>
    <col min="2570" max="2570" width="6.42578125" style="402" customWidth="1"/>
    <col min="2571" max="2571" width="0.42578125" style="402" customWidth="1"/>
    <col min="2572" max="2572" width="4.5703125" style="402" customWidth="1"/>
    <col min="2573" max="2573" width="13.42578125" style="402" customWidth="1"/>
    <col min="2574" max="2574" width="3.42578125" style="402" customWidth="1"/>
    <col min="2575" max="2575" width="16.42578125" style="402" customWidth="1"/>
    <col min="2576" max="2576" width="0.42578125" style="402" customWidth="1"/>
    <col min="2577" max="2816" width="8.85546875" style="402"/>
    <col min="2817" max="2817" width="8.5703125" style="402" customWidth="1"/>
    <col min="2818" max="2818" width="31.5703125" style="402" customWidth="1"/>
    <col min="2819" max="2819" width="3.42578125" style="402" customWidth="1"/>
    <col min="2820" max="2820" width="13.42578125" style="402" customWidth="1"/>
    <col min="2821" max="2822" width="16.42578125" style="402" customWidth="1"/>
    <col min="2823" max="2823" width="4.5703125" style="402" customWidth="1"/>
    <col min="2824" max="2824" width="0.5703125" style="402" customWidth="1"/>
    <col min="2825" max="2825" width="0.42578125" style="402" customWidth="1"/>
    <col min="2826" max="2826" width="6.42578125" style="402" customWidth="1"/>
    <col min="2827" max="2827" width="0.42578125" style="402" customWidth="1"/>
    <col min="2828" max="2828" width="4.5703125" style="402" customWidth="1"/>
    <col min="2829" max="2829" width="13.42578125" style="402" customWidth="1"/>
    <col min="2830" max="2830" width="3.42578125" style="402" customWidth="1"/>
    <col min="2831" max="2831" width="16.42578125" style="402" customWidth="1"/>
    <col min="2832" max="2832" width="0.42578125" style="402" customWidth="1"/>
    <col min="2833" max="3072" width="8.85546875" style="402"/>
    <col min="3073" max="3073" width="8.5703125" style="402" customWidth="1"/>
    <col min="3074" max="3074" width="31.5703125" style="402" customWidth="1"/>
    <col min="3075" max="3075" width="3.42578125" style="402" customWidth="1"/>
    <col min="3076" max="3076" width="13.42578125" style="402" customWidth="1"/>
    <col min="3077" max="3078" width="16.42578125" style="402" customWidth="1"/>
    <col min="3079" max="3079" width="4.5703125" style="402" customWidth="1"/>
    <col min="3080" max="3080" width="0.5703125" style="402" customWidth="1"/>
    <col min="3081" max="3081" width="0.42578125" style="402" customWidth="1"/>
    <col min="3082" max="3082" width="6.42578125" style="402" customWidth="1"/>
    <col min="3083" max="3083" width="0.42578125" style="402" customWidth="1"/>
    <col min="3084" max="3084" width="4.5703125" style="402" customWidth="1"/>
    <col min="3085" max="3085" width="13.42578125" style="402" customWidth="1"/>
    <col min="3086" max="3086" width="3.42578125" style="402" customWidth="1"/>
    <col min="3087" max="3087" width="16.42578125" style="402" customWidth="1"/>
    <col min="3088" max="3088" width="0.42578125" style="402" customWidth="1"/>
    <col min="3089" max="3328" width="8.85546875" style="402"/>
    <col min="3329" max="3329" width="8.5703125" style="402" customWidth="1"/>
    <col min="3330" max="3330" width="31.5703125" style="402" customWidth="1"/>
    <col min="3331" max="3331" width="3.42578125" style="402" customWidth="1"/>
    <col min="3332" max="3332" width="13.42578125" style="402" customWidth="1"/>
    <col min="3333" max="3334" width="16.42578125" style="402" customWidth="1"/>
    <col min="3335" max="3335" width="4.5703125" style="402" customWidth="1"/>
    <col min="3336" max="3336" width="0.5703125" style="402" customWidth="1"/>
    <col min="3337" max="3337" width="0.42578125" style="402" customWidth="1"/>
    <col min="3338" max="3338" width="6.42578125" style="402" customWidth="1"/>
    <col min="3339" max="3339" width="0.42578125" style="402" customWidth="1"/>
    <col min="3340" max="3340" width="4.5703125" style="402" customWidth="1"/>
    <col min="3341" max="3341" width="13.42578125" style="402" customWidth="1"/>
    <col min="3342" max="3342" width="3.42578125" style="402" customWidth="1"/>
    <col min="3343" max="3343" width="16.42578125" style="402" customWidth="1"/>
    <col min="3344" max="3344" width="0.42578125" style="402" customWidth="1"/>
    <col min="3345" max="3584" width="8.85546875" style="402"/>
    <col min="3585" max="3585" width="8.5703125" style="402" customWidth="1"/>
    <col min="3586" max="3586" width="31.5703125" style="402" customWidth="1"/>
    <col min="3587" max="3587" width="3.42578125" style="402" customWidth="1"/>
    <col min="3588" max="3588" width="13.42578125" style="402" customWidth="1"/>
    <col min="3589" max="3590" width="16.42578125" style="402" customWidth="1"/>
    <col min="3591" max="3591" width="4.5703125" style="402" customWidth="1"/>
    <col min="3592" max="3592" width="0.5703125" style="402" customWidth="1"/>
    <col min="3593" max="3593" width="0.42578125" style="402" customWidth="1"/>
    <col min="3594" max="3594" width="6.42578125" style="402" customWidth="1"/>
    <col min="3595" max="3595" width="0.42578125" style="402" customWidth="1"/>
    <col min="3596" max="3596" width="4.5703125" style="402" customWidth="1"/>
    <col min="3597" max="3597" width="13.42578125" style="402" customWidth="1"/>
    <col min="3598" max="3598" width="3.42578125" style="402" customWidth="1"/>
    <col min="3599" max="3599" width="16.42578125" style="402" customWidth="1"/>
    <col min="3600" max="3600" width="0.42578125" style="402" customWidth="1"/>
    <col min="3601" max="3840" width="8.85546875" style="402"/>
    <col min="3841" max="3841" width="8.5703125" style="402" customWidth="1"/>
    <col min="3842" max="3842" width="31.5703125" style="402" customWidth="1"/>
    <col min="3843" max="3843" width="3.42578125" style="402" customWidth="1"/>
    <col min="3844" max="3844" width="13.42578125" style="402" customWidth="1"/>
    <col min="3845" max="3846" width="16.42578125" style="402" customWidth="1"/>
    <col min="3847" max="3847" width="4.5703125" style="402" customWidth="1"/>
    <col min="3848" max="3848" width="0.5703125" style="402" customWidth="1"/>
    <col min="3849" max="3849" width="0.42578125" style="402" customWidth="1"/>
    <col min="3850" max="3850" width="6.42578125" style="402" customWidth="1"/>
    <col min="3851" max="3851" width="0.42578125" style="402" customWidth="1"/>
    <col min="3852" max="3852" width="4.5703125" style="402" customWidth="1"/>
    <col min="3853" max="3853" width="13.42578125" style="402" customWidth="1"/>
    <col min="3854" max="3854" width="3.42578125" style="402" customWidth="1"/>
    <col min="3855" max="3855" width="16.42578125" style="402" customWidth="1"/>
    <col min="3856" max="3856" width="0.42578125" style="402" customWidth="1"/>
    <col min="3857" max="4096" width="8.85546875" style="402"/>
    <col min="4097" max="4097" width="8.5703125" style="402" customWidth="1"/>
    <col min="4098" max="4098" width="31.5703125" style="402" customWidth="1"/>
    <col min="4099" max="4099" width="3.42578125" style="402" customWidth="1"/>
    <col min="4100" max="4100" width="13.42578125" style="402" customWidth="1"/>
    <col min="4101" max="4102" width="16.42578125" style="402" customWidth="1"/>
    <col min="4103" max="4103" width="4.5703125" style="402" customWidth="1"/>
    <col min="4104" max="4104" width="0.5703125" style="402" customWidth="1"/>
    <col min="4105" max="4105" width="0.42578125" style="402" customWidth="1"/>
    <col min="4106" max="4106" width="6.42578125" style="402" customWidth="1"/>
    <col min="4107" max="4107" width="0.42578125" style="402" customWidth="1"/>
    <col min="4108" max="4108" width="4.5703125" style="402" customWidth="1"/>
    <col min="4109" max="4109" width="13.42578125" style="402" customWidth="1"/>
    <col min="4110" max="4110" width="3.42578125" style="402" customWidth="1"/>
    <col min="4111" max="4111" width="16.42578125" style="402" customWidth="1"/>
    <col min="4112" max="4112" width="0.42578125" style="402" customWidth="1"/>
    <col min="4113" max="4352" width="8.85546875" style="402"/>
    <col min="4353" max="4353" width="8.5703125" style="402" customWidth="1"/>
    <col min="4354" max="4354" width="31.5703125" style="402" customWidth="1"/>
    <col min="4355" max="4355" width="3.42578125" style="402" customWidth="1"/>
    <col min="4356" max="4356" width="13.42578125" style="402" customWidth="1"/>
    <col min="4357" max="4358" width="16.42578125" style="402" customWidth="1"/>
    <col min="4359" max="4359" width="4.5703125" style="402" customWidth="1"/>
    <col min="4360" max="4360" width="0.5703125" style="402" customWidth="1"/>
    <col min="4361" max="4361" width="0.42578125" style="402" customWidth="1"/>
    <col min="4362" max="4362" width="6.42578125" style="402" customWidth="1"/>
    <col min="4363" max="4363" width="0.42578125" style="402" customWidth="1"/>
    <col min="4364" max="4364" width="4.5703125" style="402" customWidth="1"/>
    <col min="4365" max="4365" width="13.42578125" style="402" customWidth="1"/>
    <col min="4366" max="4366" width="3.42578125" style="402" customWidth="1"/>
    <col min="4367" max="4367" width="16.42578125" style="402" customWidth="1"/>
    <col min="4368" max="4368" width="0.42578125" style="402" customWidth="1"/>
    <col min="4369" max="4608" width="8.85546875" style="402"/>
    <col min="4609" max="4609" width="8.5703125" style="402" customWidth="1"/>
    <col min="4610" max="4610" width="31.5703125" style="402" customWidth="1"/>
    <col min="4611" max="4611" width="3.42578125" style="402" customWidth="1"/>
    <col min="4612" max="4612" width="13.42578125" style="402" customWidth="1"/>
    <col min="4613" max="4614" width="16.42578125" style="402" customWidth="1"/>
    <col min="4615" max="4615" width="4.5703125" style="402" customWidth="1"/>
    <col min="4616" max="4616" width="0.5703125" style="402" customWidth="1"/>
    <col min="4617" max="4617" width="0.42578125" style="402" customWidth="1"/>
    <col min="4618" max="4618" width="6.42578125" style="402" customWidth="1"/>
    <col min="4619" max="4619" width="0.42578125" style="402" customWidth="1"/>
    <col min="4620" max="4620" width="4.5703125" style="402" customWidth="1"/>
    <col min="4621" max="4621" width="13.42578125" style="402" customWidth="1"/>
    <col min="4622" max="4622" width="3.42578125" style="402" customWidth="1"/>
    <col min="4623" max="4623" width="16.42578125" style="402" customWidth="1"/>
    <col min="4624" max="4624" width="0.42578125" style="402" customWidth="1"/>
    <col min="4625" max="4864" width="8.85546875" style="402"/>
    <col min="4865" max="4865" width="8.5703125" style="402" customWidth="1"/>
    <col min="4866" max="4866" width="31.5703125" style="402" customWidth="1"/>
    <col min="4867" max="4867" width="3.42578125" style="402" customWidth="1"/>
    <col min="4868" max="4868" width="13.42578125" style="402" customWidth="1"/>
    <col min="4869" max="4870" width="16.42578125" style="402" customWidth="1"/>
    <col min="4871" max="4871" width="4.5703125" style="402" customWidth="1"/>
    <col min="4872" max="4872" width="0.5703125" style="402" customWidth="1"/>
    <col min="4873" max="4873" width="0.42578125" style="402" customWidth="1"/>
    <col min="4874" max="4874" width="6.42578125" style="402" customWidth="1"/>
    <col min="4875" max="4875" width="0.42578125" style="402" customWidth="1"/>
    <col min="4876" max="4876" width="4.5703125" style="402" customWidth="1"/>
    <col min="4877" max="4877" width="13.42578125" style="402" customWidth="1"/>
    <col min="4878" max="4878" width="3.42578125" style="402" customWidth="1"/>
    <col min="4879" max="4879" width="16.42578125" style="402" customWidth="1"/>
    <col min="4880" max="4880" width="0.42578125" style="402" customWidth="1"/>
    <col min="4881" max="5120" width="8.85546875" style="402"/>
    <col min="5121" max="5121" width="8.5703125" style="402" customWidth="1"/>
    <col min="5122" max="5122" width="31.5703125" style="402" customWidth="1"/>
    <col min="5123" max="5123" width="3.42578125" style="402" customWidth="1"/>
    <col min="5124" max="5124" width="13.42578125" style="402" customWidth="1"/>
    <col min="5125" max="5126" width="16.42578125" style="402" customWidth="1"/>
    <col min="5127" max="5127" width="4.5703125" style="402" customWidth="1"/>
    <col min="5128" max="5128" width="0.5703125" style="402" customWidth="1"/>
    <col min="5129" max="5129" width="0.42578125" style="402" customWidth="1"/>
    <col min="5130" max="5130" width="6.42578125" style="402" customWidth="1"/>
    <col min="5131" max="5131" width="0.42578125" style="402" customWidth="1"/>
    <col min="5132" max="5132" width="4.5703125" style="402" customWidth="1"/>
    <col min="5133" max="5133" width="13.42578125" style="402" customWidth="1"/>
    <col min="5134" max="5134" width="3.42578125" style="402" customWidth="1"/>
    <col min="5135" max="5135" width="16.42578125" style="402" customWidth="1"/>
    <col min="5136" max="5136" width="0.42578125" style="402" customWidth="1"/>
    <col min="5137" max="5376" width="8.85546875" style="402"/>
    <col min="5377" max="5377" width="8.5703125" style="402" customWidth="1"/>
    <col min="5378" max="5378" width="31.5703125" style="402" customWidth="1"/>
    <col min="5379" max="5379" width="3.42578125" style="402" customWidth="1"/>
    <col min="5380" max="5380" width="13.42578125" style="402" customWidth="1"/>
    <col min="5381" max="5382" width="16.42578125" style="402" customWidth="1"/>
    <col min="5383" max="5383" width="4.5703125" style="402" customWidth="1"/>
    <col min="5384" max="5384" width="0.5703125" style="402" customWidth="1"/>
    <col min="5385" max="5385" width="0.42578125" style="402" customWidth="1"/>
    <col min="5386" max="5386" width="6.42578125" style="402" customWidth="1"/>
    <col min="5387" max="5387" width="0.42578125" style="402" customWidth="1"/>
    <col min="5388" max="5388" width="4.5703125" style="402" customWidth="1"/>
    <col min="5389" max="5389" width="13.42578125" style="402" customWidth="1"/>
    <col min="5390" max="5390" width="3.42578125" style="402" customWidth="1"/>
    <col min="5391" max="5391" width="16.42578125" style="402" customWidth="1"/>
    <col min="5392" max="5392" width="0.42578125" style="402" customWidth="1"/>
    <col min="5393" max="5632" width="8.85546875" style="402"/>
    <col min="5633" max="5633" width="8.5703125" style="402" customWidth="1"/>
    <col min="5634" max="5634" width="31.5703125" style="402" customWidth="1"/>
    <col min="5635" max="5635" width="3.42578125" style="402" customWidth="1"/>
    <col min="5636" max="5636" width="13.42578125" style="402" customWidth="1"/>
    <col min="5637" max="5638" width="16.42578125" style="402" customWidth="1"/>
    <col min="5639" max="5639" width="4.5703125" style="402" customWidth="1"/>
    <col min="5640" max="5640" width="0.5703125" style="402" customWidth="1"/>
    <col min="5641" max="5641" width="0.42578125" style="402" customWidth="1"/>
    <col min="5642" max="5642" width="6.42578125" style="402" customWidth="1"/>
    <col min="5643" max="5643" width="0.42578125" style="402" customWidth="1"/>
    <col min="5644" max="5644" width="4.5703125" style="402" customWidth="1"/>
    <col min="5645" max="5645" width="13.42578125" style="402" customWidth="1"/>
    <col min="5646" max="5646" width="3.42578125" style="402" customWidth="1"/>
    <col min="5647" max="5647" width="16.42578125" style="402" customWidth="1"/>
    <col min="5648" max="5648" width="0.42578125" style="402" customWidth="1"/>
    <col min="5649" max="5888" width="8.85546875" style="402"/>
    <col min="5889" max="5889" width="8.5703125" style="402" customWidth="1"/>
    <col min="5890" max="5890" width="31.5703125" style="402" customWidth="1"/>
    <col min="5891" max="5891" width="3.42578125" style="402" customWidth="1"/>
    <col min="5892" max="5892" width="13.42578125" style="402" customWidth="1"/>
    <col min="5893" max="5894" width="16.42578125" style="402" customWidth="1"/>
    <col min="5895" max="5895" width="4.5703125" style="402" customWidth="1"/>
    <col min="5896" max="5896" width="0.5703125" style="402" customWidth="1"/>
    <col min="5897" max="5897" width="0.42578125" style="402" customWidth="1"/>
    <col min="5898" max="5898" width="6.42578125" style="402" customWidth="1"/>
    <col min="5899" max="5899" width="0.42578125" style="402" customWidth="1"/>
    <col min="5900" max="5900" width="4.5703125" style="402" customWidth="1"/>
    <col min="5901" max="5901" width="13.42578125" style="402" customWidth="1"/>
    <col min="5902" max="5902" width="3.42578125" style="402" customWidth="1"/>
    <col min="5903" max="5903" width="16.42578125" style="402" customWidth="1"/>
    <col min="5904" max="5904" width="0.42578125" style="402" customWidth="1"/>
    <col min="5905" max="6144" width="8.85546875" style="402"/>
    <col min="6145" max="6145" width="8.5703125" style="402" customWidth="1"/>
    <col min="6146" max="6146" width="31.5703125" style="402" customWidth="1"/>
    <col min="6147" max="6147" width="3.42578125" style="402" customWidth="1"/>
    <col min="6148" max="6148" width="13.42578125" style="402" customWidth="1"/>
    <col min="6149" max="6150" width="16.42578125" style="402" customWidth="1"/>
    <col min="6151" max="6151" width="4.5703125" style="402" customWidth="1"/>
    <col min="6152" max="6152" width="0.5703125" style="402" customWidth="1"/>
    <col min="6153" max="6153" width="0.42578125" style="402" customWidth="1"/>
    <col min="6154" max="6154" width="6.42578125" style="402" customWidth="1"/>
    <col min="6155" max="6155" width="0.42578125" style="402" customWidth="1"/>
    <col min="6156" max="6156" width="4.5703125" style="402" customWidth="1"/>
    <col min="6157" max="6157" width="13.42578125" style="402" customWidth="1"/>
    <col min="6158" max="6158" width="3.42578125" style="402" customWidth="1"/>
    <col min="6159" max="6159" width="16.42578125" style="402" customWidth="1"/>
    <col min="6160" max="6160" width="0.42578125" style="402" customWidth="1"/>
    <col min="6161" max="6400" width="8.85546875" style="402"/>
    <col min="6401" max="6401" width="8.5703125" style="402" customWidth="1"/>
    <col min="6402" max="6402" width="31.5703125" style="402" customWidth="1"/>
    <col min="6403" max="6403" width="3.42578125" style="402" customWidth="1"/>
    <col min="6404" max="6404" width="13.42578125" style="402" customWidth="1"/>
    <col min="6405" max="6406" width="16.42578125" style="402" customWidth="1"/>
    <col min="6407" max="6407" width="4.5703125" style="402" customWidth="1"/>
    <col min="6408" max="6408" width="0.5703125" style="402" customWidth="1"/>
    <col min="6409" max="6409" width="0.42578125" style="402" customWidth="1"/>
    <col min="6410" max="6410" width="6.42578125" style="402" customWidth="1"/>
    <col min="6411" max="6411" width="0.42578125" style="402" customWidth="1"/>
    <col min="6412" max="6412" width="4.5703125" style="402" customWidth="1"/>
    <col min="6413" max="6413" width="13.42578125" style="402" customWidth="1"/>
    <col min="6414" max="6414" width="3.42578125" style="402" customWidth="1"/>
    <col min="6415" max="6415" width="16.42578125" style="402" customWidth="1"/>
    <col min="6416" max="6416" width="0.42578125" style="402" customWidth="1"/>
    <col min="6417" max="6656" width="8.85546875" style="402"/>
    <col min="6657" max="6657" width="8.5703125" style="402" customWidth="1"/>
    <col min="6658" max="6658" width="31.5703125" style="402" customWidth="1"/>
    <col min="6659" max="6659" width="3.42578125" style="402" customWidth="1"/>
    <col min="6660" max="6660" width="13.42578125" style="402" customWidth="1"/>
    <col min="6661" max="6662" width="16.42578125" style="402" customWidth="1"/>
    <col min="6663" max="6663" width="4.5703125" style="402" customWidth="1"/>
    <col min="6664" max="6664" width="0.5703125" style="402" customWidth="1"/>
    <col min="6665" max="6665" width="0.42578125" style="402" customWidth="1"/>
    <col min="6666" max="6666" width="6.42578125" style="402" customWidth="1"/>
    <col min="6667" max="6667" width="0.42578125" style="402" customWidth="1"/>
    <col min="6668" max="6668" width="4.5703125" style="402" customWidth="1"/>
    <col min="6669" max="6669" width="13.42578125" style="402" customWidth="1"/>
    <col min="6670" max="6670" width="3.42578125" style="402" customWidth="1"/>
    <col min="6671" max="6671" width="16.42578125" style="402" customWidth="1"/>
    <col min="6672" max="6672" width="0.42578125" style="402" customWidth="1"/>
    <col min="6673" max="6912" width="8.85546875" style="402"/>
    <col min="6913" max="6913" width="8.5703125" style="402" customWidth="1"/>
    <col min="6914" max="6914" width="31.5703125" style="402" customWidth="1"/>
    <col min="6915" max="6915" width="3.42578125" style="402" customWidth="1"/>
    <col min="6916" max="6916" width="13.42578125" style="402" customWidth="1"/>
    <col min="6917" max="6918" width="16.42578125" style="402" customWidth="1"/>
    <col min="6919" max="6919" width="4.5703125" style="402" customWidth="1"/>
    <col min="6920" max="6920" width="0.5703125" style="402" customWidth="1"/>
    <col min="6921" max="6921" width="0.42578125" style="402" customWidth="1"/>
    <col min="6922" max="6922" width="6.42578125" style="402" customWidth="1"/>
    <col min="6923" max="6923" width="0.42578125" style="402" customWidth="1"/>
    <col min="6924" max="6924" width="4.5703125" style="402" customWidth="1"/>
    <col min="6925" max="6925" width="13.42578125" style="402" customWidth="1"/>
    <col min="6926" max="6926" width="3.42578125" style="402" customWidth="1"/>
    <col min="6927" max="6927" width="16.42578125" style="402" customWidth="1"/>
    <col min="6928" max="6928" width="0.42578125" style="402" customWidth="1"/>
    <col min="6929" max="7168" width="8.85546875" style="402"/>
    <col min="7169" max="7169" width="8.5703125" style="402" customWidth="1"/>
    <col min="7170" max="7170" width="31.5703125" style="402" customWidth="1"/>
    <col min="7171" max="7171" width="3.42578125" style="402" customWidth="1"/>
    <col min="7172" max="7172" width="13.42578125" style="402" customWidth="1"/>
    <col min="7173" max="7174" width="16.42578125" style="402" customWidth="1"/>
    <col min="7175" max="7175" width="4.5703125" style="402" customWidth="1"/>
    <col min="7176" max="7176" width="0.5703125" style="402" customWidth="1"/>
    <col min="7177" max="7177" width="0.42578125" style="402" customWidth="1"/>
    <col min="7178" max="7178" width="6.42578125" style="402" customWidth="1"/>
    <col min="7179" max="7179" width="0.42578125" style="402" customWidth="1"/>
    <col min="7180" max="7180" width="4.5703125" style="402" customWidth="1"/>
    <col min="7181" max="7181" width="13.42578125" style="402" customWidth="1"/>
    <col min="7182" max="7182" width="3.42578125" style="402" customWidth="1"/>
    <col min="7183" max="7183" width="16.42578125" style="402" customWidth="1"/>
    <col min="7184" max="7184" width="0.42578125" style="402" customWidth="1"/>
    <col min="7185" max="7424" width="8.85546875" style="402"/>
    <col min="7425" max="7425" width="8.5703125" style="402" customWidth="1"/>
    <col min="7426" max="7426" width="31.5703125" style="402" customWidth="1"/>
    <col min="7427" max="7427" width="3.42578125" style="402" customWidth="1"/>
    <col min="7428" max="7428" width="13.42578125" style="402" customWidth="1"/>
    <col min="7429" max="7430" width="16.42578125" style="402" customWidth="1"/>
    <col min="7431" max="7431" width="4.5703125" style="402" customWidth="1"/>
    <col min="7432" max="7432" width="0.5703125" style="402" customWidth="1"/>
    <col min="7433" max="7433" width="0.42578125" style="402" customWidth="1"/>
    <col min="7434" max="7434" width="6.42578125" style="402" customWidth="1"/>
    <col min="7435" max="7435" width="0.42578125" style="402" customWidth="1"/>
    <col min="7436" max="7436" width="4.5703125" style="402" customWidth="1"/>
    <col min="7437" max="7437" width="13.42578125" style="402" customWidth="1"/>
    <col min="7438" max="7438" width="3.42578125" style="402" customWidth="1"/>
    <col min="7439" max="7439" width="16.42578125" style="402" customWidth="1"/>
    <col min="7440" max="7440" width="0.42578125" style="402" customWidth="1"/>
    <col min="7441" max="7680" width="8.85546875" style="402"/>
    <col min="7681" max="7681" width="8.5703125" style="402" customWidth="1"/>
    <col min="7682" max="7682" width="31.5703125" style="402" customWidth="1"/>
    <col min="7683" max="7683" width="3.42578125" style="402" customWidth="1"/>
    <col min="7684" max="7684" width="13.42578125" style="402" customWidth="1"/>
    <col min="7685" max="7686" width="16.42578125" style="402" customWidth="1"/>
    <col min="7687" max="7687" width="4.5703125" style="402" customWidth="1"/>
    <col min="7688" max="7688" width="0.5703125" style="402" customWidth="1"/>
    <col min="7689" max="7689" width="0.42578125" style="402" customWidth="1"/>
    <col min="7690" max="7690" width="6.42578125" style="402" customWidth="1"/>
    <col min="7691" max="7691" width="0.42578125" style="402" customWidth="1"/>
    <col min="7692" max="7692" width="4.5703125" style="402" customWidth="1"/>
    <col min="7693" max="7693" width="13.42578125" style="402" customWidth="1"/>
    <col min="7694" max="7694" width="3.42578125" style="402" customWidth="1"/>
    <col min="7695" max="7695" width="16.42578125" style="402" customWidth="1"/>
    <col min="7696" max="7696" width="0.42578125" style="402" customWidth="1"/>
    <col min="7697" max="7936" width="8.85546875" style="402"/>
    <col min="7937" max="7937" width="8.5703125" style="402" customWidth="1"/>
    <col min="7938" max="7938" width="31.5703125" style="402" customWidth="1"/>
    <col min="7939" max="7939" width="3.42578125" style="402" customWidth="1"/>
    <col min="7940" max="7940" width="13.42578125" style="402" customWidth="1"/>
    <col min="7941" max="7942" width="16.42578125" style="402" customWidth="1"/>
    <col min="7943" max="7943" width="4.5703125" style="402" customWidth="1"/>
    <col min="7944" max="7944" width="0.5703125" style="402" customWidth="1"/>
    <col min="7945" max="7945" width="0.42578125" style="402" customWidth="1"/>
    <col min="7946" max="7946" width="6.42578125" style="402" customWidth="1"/>
    <col min="7947" max="7947" width="0.42578125" style="402" customWidth="1"/>
    <col min="7948" max="7948" width="4.5703125" style="402" customWidth="1"/>
    <col min="7949" max="7949" width="13.42578125" style="402" customWidth="1"/>
    <col min="7950" max="7950" width="3.42578125" style="402" customWidth="1"/>
    <col min="7951" max="7951" width="16.42578125" style="402" customWidth="1"/>
    <col min="7952" max="7952" width="0.42578125" style="402" customWidth="1"/>
    <col min="7953" max="8192" width="8.85546875" style="402"/>
    <col min="8193" max="8193" width="8.5703125" style="402" customWidth="1"/>
    <col min="8194" max="8194" width="31.5703125" style="402" customWidth="1"/>
    <col min="8195" max="8195" width="3.42578125" style="402" customWidth="1"/>
    <col min="8196" max="8196" width="13.42578125" style="402" customWidth="1"/>
    <col min="8197" max="8198" width="16.42578125" style="402" customWidth="1"/>
    <col min="8199" max="8199" width="4.5703125" style="402" customWidth="1"/>
    <col min="8200" max="8200" width="0.5703125" style="402" customWidth="1"/>
    <col min="8201" max="8201" width="0.42578125" style="402" customWidth="1"/>
    <col min="8202" max="8202" width="6.42578125" style="402" customWidth="1"/>
    <col min="8203" max="8203" width="0.42578125" style="402" customWidth="1"/>
    <col min="8204" max="8204" width="4.5703125" style="402" customWidth="1"/>
    <col min="8205" max="8205" width="13.42578125" style="402" customWidth="1"/>
    <col min="8206" max="8206" width="3.42578125" style="402" customWidth="1"/>
    <col min="8207" max="8207" width="16.42578125" style="402" customWidth="1"/>
    <col min="8208" max="8208" width="0.42578125" style="402" customWidth="1"/>
    <col min="8209" max="8448" width="8.85546875" style="402"/>
    <col min="8449" max="8449" width="8.5703125" style="402" customWidth="1"/>
    <col min="8450" max="8450" width="31.5703125" style="402" customWidth="1"/>
    <col min="8451" max="8451" width="3.42578125" style="402" customWidth="1"/>
    <col min="8452" max="8452" width="13.42578125" style="402" customWidth="1"/>
    <col min="8453" max="8454" width="16.42578125" style="402" customWidth="1"/>
    <col min="8455" max="8455" width="4.5703125" style="402" customWidth="1"/>
    <col min="8456" max="8456" width="0.5703125" style="402" customWidth="1"/>
    <col min="8457" max="8457" width="0.42578125" style="402" customWidth="1"/>
    <col min="8458" max="8458" width="6.42578125" style="402" customWidth="1"/>
    <col min="8459" max="8459" width="0.42578125" style="402" customWidth="1"/>
    <col min="8460" max="8460" width="4.5703125" style="402" customWidth="1"/>
    <col min="8461" max="8461" width="13.42578125" style="402" customWidth="1"/>
    <col min="8462" max="8462" width="3.42578125" style="402" customWidth="1"/>
    <col min="8463" max="8463" width="16.42578125" style="402" customWidth="1"/>
    <col min="8464" max="8464" width="0.42578125" style="402" customWidth="1"/>
    <col min="8465" max="8704" width="8.85546875" style="402"/>
    <col min="8705" max="8705" width="8.5703125" style="402" customWidth="1"/>
    <col min="8706" max="8706" width="31.5703125" style="402" customWidth="1"/>
    <col min="8707" max="8707" width="3.42578125" style="402" customWidth="1"/>
    <col min="8708" max="8708" width="13.42578125" style="402" customWidth="1"/>
    <col min="8709" max="8710" width="16.42578125" style="402" customWidth="1"/>
    <col min="8711" max="8711" width="4.5703125" style="402" customWidth="1"/>
    <col min="8712" max="8712" width="0.5703125" style="402" customWidth="1"/>
    <col min="8713" max="8713" width="0.42578125" style="402" customWidth="1"/>
    <col min="8714" max="8714" width="6.42578125" style="402" customWidth="1"/>
    <col min="8715" max="8715" width="0.42578125" style="402" customWidth="1"/>
    <col min="8716" max="8716" width="4.5703125" style="402" customWidth="1"/>
    <col min="8717" max="8717" width="13.42578125" style="402" customWidth="1"/>
    <col min="8718" max="8718" width="3.42578125" style="402" customWidth="1"/>
    <col min="8719" max="8719" width="16.42578125" style="402" customWidth="1"/>
    <col min="8720" max="8720" width="0.42578125" style="402" customWidth="1"/>
    <col min="8721" max="8960" width="8.85546875" style="402"/>
    <col min="8961" max="8961" width="8.5703125" style="402" customWidth="1"/>
    <col min="8962" max="8962" width="31.5703125" style="402" customWidth="1"/>
    <col min="8963" max="8963" width="3.42578125" style="402" customWidth="1"/>
    <col min="8964" max="8964" width="13.42578125" style="402" customWidth="1"/>
    <col min="8965" max="8966" width="16.42578125" style="402" customWidth="1"/>
    <col min="8967" max="8967" width="4.5703125" style="402" customWidth="1"/>
    <col min="8968" max="8968" width="0.5703125" style="402" customWidth="1"/>
    <col min="8969" max="8969" width="0.42578125" style="402" customWidth="1"/>
    <col min="8970" max="8970" width="6.42578125" style="402" customWidth="1"/>
    <col min="8971" max="8971" width="0.42578125" style="402" customWidth="1"/>
    <col min="8972" max="8972" width="4.5703125" style="402" customWidth="1"/>
    <col min="8973" max="8973" width="13.42578125" style="402" customWidth="1"/>
    <col min="8974" max="8974" width="3.42578125" style="402" customWidth="1"/>
    <col min="8975" max="8975" width="16.42578125" style="402" customWidth="1"/>
    <col min="8976" max="8976" width="0.42578125" style="402" customWidth="1"/>
    <col min="8977" max="9216" width="8.85546875" style="402"/>
    <col min="9217" max="9217" width="8.5703125" style="402" customWidth="1"/>
    <col min="9218" max="9218" width="31.5703125" style="402" customWidth="1"/>
    <col min="9219" max="9219" width="3.42578125" style="402" customWidth="1"/>
    <col min="9220" max="9220" width="13.42578125" style="402" customWidth="1"/>
    <col min="9221" max="9222" width="16.42578125" style="402" customWidth="1"/>
    <col min="9223" max="9223" width="4.5703125" style="402" customWidth="1"/>
    <col min="9224" max="9224" width="0.5703125" style="402" customWidth="1"/>
    <col min="9225" max="9225" width="0.42578125" style="402" customWidth="1"/>
    <col min="9226" max="9226" width="6.42578125" style="402" customWidth="1"/>
    <col min="9227" max="9227" width="0.42578125" style="402" customWidth="1"/>
    <col min="9228" max="9228" width="4.5703125" style="402" customWidth="1"/>
    <col min="9229" max="9229" width="13.42578125" style="402" customWidth="1"/>
    <col min="9230" max="9230" width="3.42578125" style="402" customWidth="1"/>
    <col min="9231" max="9231" width="16.42578125" style="402" customWidth="1"/>
    <col min="9232" max="9232" width="0.42578125" style="402" customWidth="1"/>
    <col min="9233" max="9472" width="8.85546875" style="402"/>
    <col min="9473" max="9473" width="8.5703125" style="402" customWidth="1"/>
    <col min="9474" max="9474" width="31.5703125" style="402" customWidth="1"/>
    <col min="9475" max="9475" width="3.42578125" style="402" customWidth="1"/>
    <col min="9476" max="9476" width="13.42578125" style="402" customWidth="1"/>
    <col min="9477" max="9478" width="16.42578125" style="402" customWidth="1"/>
    <col min="9479" max="9479" width="4.5703125" style="402" customWidth="1"/>
    <col min="9480" max="9480" width="0.5703125" style="402" customWidth="1"/>
    <col min="9481" max="9481" width="0.42578125" style="402" customWidth="1"/>
    <col min="9482" max="9482" width="6.42578125" style="402" customWidth="1"/>
    <col min="9483" max="9483" width="0.42578125" style="402" customWidth="1"/>
    <col min="9484" max="9484" width="4.5703125" style="402" customWidth="1"/>
    <col min="9485" max="9485" width="13.42578125" style="402" customWidth="1"/>
    <col min="9486" max="9486" width="3.42578125" style="402" customWidth="1"/>
    <col min="9487" max="9487" width="16.42578125" style="402" customWidth="1"/>
    <col min="9488" max="9488" width="0.42578125" style="402" customWidth="1"/>
    <col min="9489" max="9728" width="8.85546875" style="402"/>
    <col min="9729" max="9729" width="8.5703125" style="402" customWidth="1"/>
    <col min="9730" max="9730" width="31.5703125" style="402" customWidth="1"/>
    <col min="9731" max="9731" width="3.42578125" style="402" customWidth="1"/>
    <col min="9732" max="9732" width="13.42578125" style="402" customWidth="1"/>
    <col min="9733" max="9734" width="16.42578125" style="402" customWidth="1"/>
    <col min="9735" max="9735" width="4.5703125" style="402" customWidth="1"/>
    <col min="9736" max="9736" width="0.5703125" style="402" customWidth="1"/>
    <col min="9737" max="9737" width="0.42578125" style="402" customWidth="1"/>
    <col min="9738" max="9738" width="6.42578125" style="402" customWidth="1"/>
    <col min="9739" max="9739" width="0.42578125" style="402" customWidth="1"/>
    <col min="9740" max="9740" width="4.5703125" style="402" customWidth="1"/>
    <col min="9741" max="9741" width="13.42578125" style="402" customWidth="1"/>
    <col min="9742" max="9742" width="3.42578125" style="402" customWidth="1"/>
    <col min="9743" max="9743" width="16.42578125" style="402" customWidth="1"/>
    <col min="9744" max="9744" width="0.42578125" style="402" customWidth="1"/>
    <col min="9745" max="9984" width="8.85546875" style="402"/>
    <col min="9985" max="9985" width="8.5703125" style="402" customWidth="1"/>
    <col min="9986" max="9986" width="31.5703125" style="402" customWidth="1"/>
    <col min="9987" max="9987" width="3.42578125" style="402" customWidth="1"/>
    <col min="9988" max="9988" width="13.42578125" style="402" customWidth="1"/>
    <col min="9989" max="9990" width="16.42578125" style="402" customWidth="1"/>
    <col min="9991" max="9991" width="4.5703125" style="402" customWidth="1"/>
    <col min="9992" max="9992" width="0.5703125" style="402" customWidth="1"/>
    <col min="9993" max="9993" width="0.42578125" style="402" customWidth="1"/>
    <col min="9994" max="9994" width="6.42578125" style="402" customWidth="1"/>
    <col min="9995" max="9995" width="0.42578125" style="402" customWidth="1"/>
    <col min="9996" max="9996" width="4.5703125" style="402" customWidth="1"/>
    <col min="9997" max="9997" width="13.42578125" style="402" customWidth="1"/>
    <col min="9998" max="9998" width="3.42578125" style="402" customWidth="1"/>
    <col min="9999" max="9999" width="16.42578125" style="402" customWidth="1"/>
    <col min="10000" max="10000" width="0.42578125" style="402" customWidth="1"/>
    <col min="10001" max="10240" width="8.85546875" style="402"/>
    <col min="10241" max="10241" width="8.5703125" style="402" customWidth="1"/>
    <col min="10242" max="10242" width="31.5703125" style="402" customWidth="1"/>
    <col min="10243" max="10243" width="3.42578125" style="402" customWidth="1"/>
    <col min="10244" max="10244" width="13.42578125" style="402" customWidth="1"/>
    <col min="10245" max="10246" width="16.42578125" style="402" customWidth="1"/>
    <col min="10247" max="10247" width="4.5703125" style="402" customWidth="1"/>
    <col min="10248" max="10248" width="0.5703125" style="402" customWidth="1"/>
    <col min="10249" max="10249" width="0.42578125" style="402" customWidth="1"/>
    <col min="10250" max="10250" width="6.42578125" style="402" customWidth="1"/>
    <col min="10251" max="10251" width="0.42578125" style="402" customWidth="1"/>
    <col min="10252" max="10252" width="4.5703125" style="402" customWidth="1"/>
    <col min="10253" max="10253" width="13.42578125" style="402" customWidth="1"/>
    <col min="10254" max="10254" width="3.42578125" style="402" customWidth="1"/>
    <col min="10255" max="10255" width="16.42578125" style="402" customWidth="1"/>
    <col min="10256" max="10256" width="0.42578125" style="402" customWidth="1"/>
    <col min="10257" max="10496" width="8.85546875" style="402"/>
    <col min="10497" max="10497" width="8.5703125" style="402" customWidth="1"/>
    <col min="10498" max="10498" width="31.5703125" style="402" customWidth="1"/>
    <col min="10499" max="10499" width="3.42578125" style="402" customWidth="1"/>
    <col min="10500" max="10500" width="13.42578125" style="402" customWidth="1"/>
    <col min="10501" max="10502" width="16.42578125" style="402" customWidth="1"/>
    <col min="10503" max="10503" width="4.5703125" style="402" customWidth="1"/>
    <col min="10504" max="10504" width="0.5703125" style="402" customWidth="1"/>
    <col min="10505" max="10505" width="0.42578125" style="402" customWidth="1"/>
    <col min="10506" max="10506" width="6.42578125" style="402" customWidth="1"/>
    <col min="10507" max="10507" width="0.42578125" style="402" customWidth="1"/>
    <col min="10508" max="10508" width="4.5703125" style="402" customWidth="1"/>
    <col min="10509" max="10509" width="13.42578125" style="402" customWidth="1"/>
    <col min="10510" max="10510" width="3.42578125" style="402" customWidth="1"/>
    <col min="10511" max="10511" width="16.42578125" style="402" customWidth="1"/>
    <col min="10512" max="10512" width="0.42578125" style="402" customWidth="1"/>
    <col min="10513" max="10752" width="8.85546875" style="402"/>
    <col min="10753" max="10753" width="8.5703125" style="402" customWidth="1"/>
    <col min="10754" max="10754" width="31.5703125" style="402" customWidth="1"/>
    <col min="10755" max="10755" width="3.42578125" style="402" customWidth="1"/>
    <col min="10756" max="10756" width="13.42578125" style="402" customWidth="1"/>
    <col min="10757" max="10758" width="16.42578125" style="402" customWidth="1"/>
    <col min="10759" max="10759" width="4.5703125" style="402" customWidth="1"/>
    <col min="10760" max="10760" width="0.5703125" style="402" customWidth="1"/>
    <col min="10761" max="10761" width="0.42578125" style="402" customWidth="1"/>
    <col min="10762" max="10762" width="6.42578125" style="402" customWidth="1"/>
    <col min="10763" max="10763" width="0.42578125" style="402" customWidth="1"/>
    <col min="10764" max="10764" width="4.5703125" style="402" customWidth="1"/>
    <col min="10765" max="10765" width="13.42578125" style="402" customWidth="1"/>
    <col min="10766" max="10766" width="3.42578125" style="402" customWidth="1"/>
    <col min="10767" max="10767" width="16.42578125" style="402" customWidth="1"/>
    <col min="10768" max="10768" width="0.42578125" style="402" customWidth="1"/>
    <col min="10769" max="11008" width="8.85546875" style="402"/>
    <col min="11009" max="11009" width="8.5703125" style="402" customWidth="1"/>
    <col min="11010" max="11010" width="31.5703125" style="402" customWidth="1"/>
    <col min="11011" max="11011" width="3.42578125" style="402" customWidth="1"/>
    <col min="11012" max="11012" width="13.42578125" style="402" customWidth="1"/>
    <col min="11013" max="11014" width="16.42578125" style="402" customWidth="1"/>
    <col min="11015" max="11015" width="4.5703125" style="402" customWidth="1"/>
    <col min="11016" max="11016" width="0.5703125" style="402" customWidth="1"/>
    <col min="11017" max="11017" width="0.42578125" style="402" customWidth="1"/>
    <col min="11018" max="11018" width="6.42578125" style="402" customWidth="1"/>
    <col min="11019" max="11019" width="0.42578125" style="402" customWidth="1"/>
    <col min="11020" max="11020" width="4.5703125" style="402" customWidth="1"/>
    <col min="11021" max="11021" width="13.42578125" style="402" customWidth="1"/>
    <col min="11022" max="11022" width="3.42578125" style="402" customWidth="1"/>
    <col min="11023" max="11023" width="16.42578125" style="402" customWidth="1"/>
    <col min="11024" max="11024" width="0.42578125" style="402" customWidth="1"/>
    <col min="11025" max="11264" width="8.85546875" style="402"/>
    <col min="11265" max="11265" width="8.5703125" style="402" customWidth="1"/>
    <col min="11266" max="11266" width="31.5703125" style="402" customWidth="1"/>
    <col min="11267" max="11267" width="3.42578125" style="402" customWidth="1"/>
    <col min="11268" max="11268" width="13.42578125" style="402" customWidth="1"/>
    <col min="11269" max="11270" width="16.42578125" style="402" customWidth="1"/>
    <col min="11271" max="11271" width="4.5703125" style="402" customWidth="1"/>
    <col min="11272" max="11272" width="0.5703125" style="402" customWidth="1"/>
    <col min="11273" max="11273" width="0.42578125" style="402" customWidth="1"/>
    <col min="11274" max="11274" width="6.42578125" style="402" customWidth="1"/>
    <col min="11275" max="11275" width="0.42578125" style="402" customWidth="1"/>
    <col min="11276" max="11276" width="4.5703125" style="402" customWidth="1"/>
    <col min="11277" max="11277" width="13.42578125" style="402" customWidth="1"/>
    <col min="11278" max="11278" width="3.42578125" style="402" customWidth="1"/>
    <col min="11279" max="11279" width="16.42578125" style="402" customWidth="1"/>
    <col min="11280" max="11280" width="0.42578125" style="402" customWidth="1"/>
    <col min="11281" max="11520" width="8.85546875" style="402"/>
    <col min="11521" max="11521" width="8.5703125" style="402" customWidth="1"/>
    <col min="11522" max="11522" width="31.5703125" style="402" customWidth="1"/>
    <col min="11523" max="11523" width="3.42578125" style="402" customWidth="1"/>
    <col min="11524" max="11524" width="13.42578125" style="402" customWidth="1"/>
    <col min="11525" max="11526" width="16.42578125" style="402" customWidth="1"/>
    <col min="11527" max="11527" width="4.5703125" style="402" customWidth="1"/>
    <col min="11528" max="11528" width="0.5703125" style="402" customWidth="1"/>
    <col min="11529" max="11529" width="0.42578125" style="402" customWidth="1"/>
    <col min="11530" max="11530" width="6.42578125" style="402" customWidth="1"/>
    <col min="11531" max="11531" width="0.42578125" style="402" customWidth="1"/>
    <col min="11532" max="11532" width="4.5703125" style="402" customWidth="1"/>
    <col min="11533" max="11533" width="13.42578125" style="402" customWidth="1"/>
    <col min="11534" max="11534" width="3.42578125" style="402" customWidth="1"/>
    <col min="11535" max="11535" width="16.42578125" style="402" customWidth="1"/>
    <col min="11536" max="11536" width="0.42578125" style="402" customWidth="1"/>
    <col min="11537" max="11776" width="8.85546875" style="402"/>
    <col min="11777" max="11777" width="8.5703125" style="402" customWidth="1"/>
    <col min="11778" max="11778" width="31.5703125" style="402" customWidth="1"/>
    <col min="11779" max="11779" width="3.42578125" style="402" customWidth="1"/>
    <col min="11780" max="11780" width="13.42578125" style="402" customWidth="1"/>
    <col min="11781" max="11782" width="16.42578125" style="402" customWidth="1"/>
    <col min="11783" max="11783" width="4.5703125" style="402" customWidth="1"/>
    <col min="11784" max="11784" width="0.5703125" style="402" customWidth="1"/>
    <col min="11785" max="11785" width="0.42578125" style="402" customWidth="1"/>
    <col min="11786" max="11786" width="6.42578125" style="402" customWidth="1"/>
    <col min="11787" max="11787" width="0.42578125" style="402" customWidth="1"/>
    <col min="11788" max="11788" width="4.5703125" style="402" customWidth="1"/>
    <col min="11789" max="11789" width="13.42578125" style="402" customWidth="1"/>
    <col min="11790" max="11790" width="3.42578125" style="402" customWidth="1"/>
    <col min="11791" max="11791" width="16.42578125" style="402" customWidth="1"/>
    <col min="11792" max="11792" width="0.42578125" style="402" customWidth="1"/>
    <col min="11793" max="12032" width="8.85546875" style="402"/>
    <col min="12033" max="12033" width="8.5703125" style="402" customWidth="1"/>
    <col min="12034" max="12034" width="31.5703125" style="402" customWidth="1"/>
    <col min="12035" max="12035" width="3.42578125" style="402" customWidth="1"/>
    <col min="12036" max="12036" width="13.42578125" style="402" customWidth="1"/>
    <col min="12037" max="12038" width="16.42578125" style="402" customWidth="1"/>
    <col min="12039" max="12039" width="4.5703125" style="402" customWidth="1"/>
    <col min="12040" max="12040" width="0.5703125" style="402" customWidth="1"/>
    <col min="12041" max="12041" width="0.42578125" style="402" customWidth="1"/>
    <col min="12042" max="12042" width="6.42578125" style="402" customWidth="1"/>
    <col min="12043" max="12043" width="0.42578125" style="402" customWidth="1"/>
    <col min="12044" max="12044" width="4.5703125" style="402" customWidth="1"/>
    <col min="12045" max="12045" width="13.42578125" style="402" customWidth="1"/>
    <col min="12046" max="12046" width="3.42578125" style="402" customWidth="1"/>
    <col min="12047" max="12047" width="16.42578125" style="402" customWidth="1"/>
    <col min="12048" max="12048" width="0.42578125" style="402" customWidth="1"/>
    <col min="12049" max="12288" width="8.85546875" style="402"/>
    <col min="12289" max="12289" width="8.5703125" style="402" customWidth="1"/>
    <col min="12290" max="12290" width="31.5703125" style="402" customWidth="1"/>
    <col min="12291" max="12291" width="3.42578125" style="402" customWidth="1"/>
    <col min="12292" max="12292" width="13.42578125" style="402" customWidth="1"/>
    <col min="12293" max="12294" width="16.42578125" style="402" customWidth="1"/>
    <col min="12295" max="12295" width="4.5703125" style="402" customWidth="1"/>
    <col min="12296" max="12296" width="0.5703125" style="402" customWidth="1"/>
    <col min="12297" max="12297" width="0.42578125" style="402" customWidth="1"/>
    <col min="12298" max="12298" width="6.42578125" style="402" customWidth="1"/>
    <col min="12299" max="12299" width="0.42578125" style="402" customWidth="1"/>
    <col min="12300" max="12300" width="4.5703125" style="402" customWidth="1"/>
    <col min="12301" max="12301" width="13.42578125" style="402" customWidth="1"/>
    <col min="12302" max="12302" width="3.42578125" style="402" customWidth="1"/>
    <col min="12303" max="12303" width="16.42578125" style="402" customWidth="1"/>
    <col min="12304" max="12304" width="0.42578125" style="402" customWidth="1"/>
    <col min="12305" max="12544" width="8.85546875" style="402"/>
    <col min="12545" max="12545" width="8.5703125" style="402" customWidth="1"/>
    <col min="12546" max="12546" width="31.5703125" style="402" customWidth="1"/>
    <col min="12547" max="12547" width="3.42578125" style="402" customWidth="1"/>
    <col min="12548" max="12548" width="13.42578125" style="402" customWidth="1"/>
    <col min="12549" max="12550" width="16.42578125" style="402" customWidth="1"/>
    <col min="12551" max="12551" width="4.5703125" style="402" customWidth="1"/>
    <col min="12552" max="12552" width="0.5703125" style="402" customWidth="1"/>
    <col min="12553" max="12553" width="0.42578125" style="402" customWidth="1"/>
    <col min="12554" max="12554" width="6.42578125" style="402" customWidth="1"/>
    <col min="12555" max="12555" width="0.42578125" style="402" customWidth="1"/>
    <col min="12556" max="12556" width="4.5703125" style="402" customWidth="1"/>
    <col min="12557" max="12557" width="13.42578125" style="402" customWidth="1"/>
    <col min="12558" max="12558" width="3.42578125" style="402" customWidth="1"/>
    <col min="12559" max="12559" width="16.42578125" style="402" customWidth="1"/>
    <col min="12560" max="12560" width="0.42578125" style="402" customWidth="1"/>
    <col min="12561" max="12800" width="8.85546875" style="402"/>
    <col min="12801" max="12801" width="8.5703125" style="402" customWidth="1"/>
    <col min="12802" max="12802" width="31.5703125" style="402" customWidth="1"/>
    <col min="12803" max="12803" width="3.42578125" style="402" customWidth="1"/>
    <col min="12804" max="12804" width="13.42578125" style="402" customWidth="1"/>
    <col min="12805" max="12806" width="16.42578125" style="402" customWidth="1"/>
    <col min="12807" max="12807" width="4.5703125" style="402" customWidth="1"/>
    <col min="12808" max="12808" width="0.5703125" style="402" customWidth="1"/>
    <col min="12809" max="12809" width="0.42578125" style="402" customWidth="1"/>
    <col min="12810" max="12810" width="6.42578125" style="402" customWidth="1"/>
    <col min="12811" max="12811" width="0.42578125" style="402" customWidth="1"/>
    <col min="12812" max="12812" width="4.5703125" style="402" customWidth="1"/>
    <col min="12813" max="12813" width="13.42578125" style="402" customWidth="1"/>
    <col min="12814" max="12814" width="3.42578125" style="402" customWidth="1"/>
    <col min="12815" max="12815" width="16.42578125" style="402" customWidth="1"/>
    <col min="12816" max="12816" width="0.42578125" style="402" customWidth="1"/>
    <col min="12817" max="13056" width="8.85546875" style="402"/>
    <col min="13057" max="13057" width="8.5703125" style="402" customWidth="1"/>
    <col min="13058" max="13058" width="31.5703125" style="402" customWidth="1"/>
    <col min="13059" max="13059" width="3.42578125" style="402" customWidth="1"/>
    <col min="13060" max="13060" width="13.42578125" style="402" customWidth="1"/>
    <col min="13061" max="13062" width="16.42578125" style="402" customWidth="1"/>
    <col min="13063" max="13063" width="4.5703125" style="402" customWidth="1"/>
    <col min="13064" max="13064" width="0.5703125" style="402" customWidth="1"/>
    <col min="13065" max="13065" width="0.42578125" style="402" customWidth="1"/>
    <col min="13066" max="13066" width="6.42578125" style="402" customWidth="1"/>
    <col min="13067" max="13067" width="0.42578125" style="402" customWidth="1"/>
    <col min="13068" max="13068" width="4.5703125" style="402" customWidth="1"/>
    <col min="13069" max="13069" width="13.42578125" style="402" customWidth="1"/>
    <col min="13070" max="13070" width="3.42578125" style="402" customWidth="1"/>
    <col min="13071" max="13071" width="16.42578125" style="402" customWidth="1"/>
    <col min="13072" max="13072" width="0.42578125" style="402" customWidth="1"/>
    <col min="13073" max="13312" width="8.85546875" style="402"/>
    <col min="13313" max="13313" width="8.5703125" style="402" customWidth="1"/>
    <col min="13314" max="13314" width="31.5703125" style="402" customWidth="1"/>
    <col min="13315" max="13315" width="3.42578125" style="402" customWidth="1"/>
    <col min="13316" max="13316" width="13.42578125" style="402" customWidth="1"/>
    <col min="13317" max="13318" width="16.42578125" style="402" customWidth="1"/>
    <col min="13319" max="13319" width="4.5703125" style="402" customWidth="1"/>
    <col min="13320" max="13320" width="0.5703125" style="402" customWidth="1"/>
    <col min="13321" max="13321" width="0.42578125" style="402" customWidth="1"/>
    <col min="13322" max="13322" width="6.42578125" style="402" customWidth="1"/>
    <col min="13323" max="13323" width="0.42578125" style="402" customWidth="1"/>
    <col min="13324" max="13324" width="4.5703125" style="402" customWidth="1"/>
    <col min="13325" max="13325" width="13.42578125" style="402" customWidth="1"/>
    <col min="13326" max="13326" width="3.42578125" style="402" customWidth="1"/>
    <col min="13327" max="13327" width="16.42578125" style="402" customWidth="1"/>
    <col min="13328" max="13328" width="0.42578125" style="402" customWidth="1"/>
    <col min="13329" max="13568" width="8.85546875" style="402"/>
    <col min="13569" max="13569" width="8.5703125" style="402" customWidth="1"/>
    <col min="13570" max="13570" width="31.5703125" style="402" customWidth="1"/>
    <col min="13571" max="13571" width="3.42578125" style="402" customWidth="1"/>
    <col min="13572" max="13572" width="13.42578125" style="402" customWidth="1"/>
    <col min="13573" max="13574" width="16.42578125" style="402" customWidth="1"/>
    <col min="13575" max="13575" width="4.5703125" style="402" customWidth="1"/>
    <col min="13576" max="13576" width="0.5703125" style="402" customWidth="1"/>
    <col min="13577" max="13577" width="0.42578125" style="402" customWidth="1"/>
    <col min="13578" max="13578" width="6.42578125" style="402" customWidth="1"/>
    <col min="13579" max="13579" width="0.42578125" style="402" customWidth="1"/>
    <col min="13580" max="13580" width="4.5703125" style="402" customWidth="1"/>
    <col min="13581" max="13581" width="13.42578125" style="402" customWidth="1"/>
    <col min="13582" max="13582" width="3.42578125" style="402" customWidth="1"/>
    <col min="13583" max="13583" width="16.42578125" style="402" customWidth="1"/>
    <col min="13584" max="13584" width="0.42578125" style="402" customWidth="1"/>
    <col min="13585" max="13824" width="8.85546875" style="402"/>
    <col min="13825" max="13825" width="8.5703125" style="402" customWidth="1"/>
    <col min="13826" max="13826" width="31.5703125" style="402" customWidth="1"/>
    <col min="13827" max="13827" width="3.42578125" style="402" customWidth="1"/>
    <col min="13828" max="13828" width="13.42578125" style="402" customWidth="1"/>
    <col min="13829" max="13830" width="16.42578125" style="402" customWidth="1"/>
    <col min="13831" max="13831" width="4.5703125" style="402" customWidth="1"/>
    <col min="13832" max="13832" width="0.5703125" style="402" customWidth="1"/>
    <col min="13833" max="13833" width="0.42578125" style="402" customWidth="1"/>
    <col min="13834" max="13834" width="6.42578125" style="402" customWidth="1"/>
    <col min="13835" max="13835" width="0.42578125" style="402" customWidth="1"/>
    <col min="13836" max="13836" width="4.5703125" style="402" customWidth="1"/>
    <col min="13837" max="13837" width="13.42578125" style="402" customWidth="1"/>
    <col min="13838" max="13838" width="3.42578125" style="402" customWidth="1"/>
    <col min="13839" max="13839" width="16.42578125" style="402" customWidth="1"/>
    <col min="13840" max="13840" width="0.42578125" style="402" customWidth="1"/>
    <col min="13841" max="14080" width="8.85546875" style="402"/>
    <col min="14081" max="14081" width="8.5703125" style="402" customWidth="1"/>
    <col min="14082" max="14082" width="31.5703125" style="402" customWidth="1"/>
    <col min="14083" max="14083" width="3.42578125" style="402" customWidth="1"/>
    <col min="14084" max="14084" width="13.42578125" style="402" customWidth="1"/>
    <col min="14085" max="14086" width="16.42578125" style="402" customWidth="1"/>
    <col min="14087" max="14087" width="4.5703125" style="402" customWidth="1"/>
    <col min="14088" max="14088" width="0.5703125" style="402" customWidth="1"/>
    <col min="14089" max="14089" width="0.42578125" style="402" customWidth="1"/>
    <col min="14090" max="14090" width="6.42578125" style="402" customWidth="1"/>
    <col min="14091" max="14091" width="0.42578125" style="402" customWidth="1"/>
    <col min="14092" max="14092" width="4.5703125" style="402" customWidth="1"/>
    <col min="14093" max="14093" width="13.42578125" style="402" customWidth="1"/>
    <col min="14094" max="14094" width="3.42578125" style="402" customWidth="1"/>
    <col min="14095" max="14095" width="16.42578125" style="402" customWidth="1"/>
    <col min="14096" max="14096" width="0.42578125" style="402" customWidth="1"/>
    <col min="14097" max="14336" width="8.85546875" style="402"/>
    <col min="14337" max="14337" width="8.5703125" style="402" customWidth="1"/>
    <col min="14338" max="14338" width="31.5703125" style="402" customWidth="1"/>
    <col min="14339" max="14339" width="3.42578125" style="402" customWidth="1"/>
    <col min="14340" max="14340" width="13.42578125" style="402" customWidth="1"/>
    <col min="14341" max="14342" width="16.42578125" style="402" customWidth="1"/>
    <col min="14343" max="14343" width="4.5703125" style="402" customWidth="1"/>
    <col min="14344" max="14344" width="0.5703125" style="402" customWidth="1"/>
    <col min="14345" max="14345" width="0.42578125" style="402" customWidth="1"/>
    <col min="14346" max="14346" width="6.42578125" style="402" customWidth="1"/>
    <col min="14347" max="14347" width="0.42578125" style="402" customWidth="1"/>
    <col min="14348" max="14348" width="4.5703125" style="402" customWidth="1"/>
    <col min="14349" max="14349" width="13.42578125" style="402" customWidth="1"/>
    <col min="14350" max="14350" width="3.42578125" style="402" customWidth="1"/>
    <col min="14351" max="14351" width="16.42578125" style="402" customWidth="1"/>
    <col min="14352" max="14352" width="0.42578125" style="402" customWidth="1"/>
    <col min="14353" max="14592" width="8.85546875" style="402"/>
    <col min="14593" max="14593" width="8.5703125" style="402" customWidth="1"/>
    <col min="14594" max="14594" width="31.5703125" style="402" customWidth="1"/>
    <col min="14595" max="14595" width="3.42578125" style="402" customWidth="1"/>
    <col min="14596" max="14596" width="13.42578125" style="402" customWidth="1"/>
    <col min="14597" max="14598" width="16.42578125" style="402" customWidth="1"/>
    <col min="14599" max="14599" width="4.5703125" style="402" customWidth="1"/>
    <col min="14600" max="14600" width="0.5703125" style="402" customWidth="1"/>
    <col min="14601" max="14601" width="0.42578125" style="402" customWidth="1"/>
    <col min="14602" max="14602" width="6.42578125" style="402" customWidth="1"/>
    <col min="14603" max="14603" width="0.42578125" style="402" customWidth="1"/>
    <col min="14604" max="14604" width="4.5703125" style="402" customWidth="1"/>
    <col min="14605" max="14605" width="13.42578125" style="402" customWidth="1"/>
    <col min="14606" max="14606" width="3.42578125" style="402" customWidth="1"/>
    <col min="14607" max="14607" width="16.42578125" style="402" customWidth="1"/>
    <col min="14608" max="14608" width="0.42578125" style="402" customWidth="1"/>
    <col min="14609" max="14848" width="8.85546875" style="402"/>
    <col min="14849" max="14849" width="8.5703125" style="402" customWidth="1"/>
    <col min="14850" max="14850" width="31.5703125" style="402" customWidth="1"/>
    <col min="14851" max="14851" width="3.42578125" style="402" customWidth="1"/>
    <col min="14852" max="14852" width="13.42578125" style="402" customWidth="1"/>
    <col min="14853" max="14854" width="16.42578125" style="402" customWidth="1"/>
    <col min="14855" max="14855" width="4.5703125" style="402" customWidth="1"/>
    <col min="14856" max="14856" width="0.5703125" style="402" customWidth="1"/>
    <col min="14857" max="14857" width="0.42578125" style="402" customWidth="1"/>
    <col min="14858" max="14858" width="6.42578125" style="402" customWidth="1"/>
    <col min="14859" max="14859" width="0.42578125" style="402" customWidth="1"/>
    <col min="14860" max="14860" width="4.5703125" style="402" customWidth="1"/>
    <col min="14861" max="14861" width="13.42578125" style="402" customWidth="1"/>
    <col min="14862" max="14862" width="3.42578125" style="402" customWidth="1"/>
    <col min="14863" max="14863" width="16.42578125" style="402" customWidth="1"/>
    <col min="14864" max="14864" width="0.42578125" style="402" customWidth="1"/>
    <col min="14865" max="15104" width="8.85546875" style="402"/>
    <col min="15105" max="15105" width="8.5703125" style="402" customWidth="1"/>
    <col min="15106" max="15106" width="31.5703125" style="402" customWidth="1"/>
    <col min="15107" max="15107" width="3.42578125" style="402" customWidth="1"/>
    <col min="15108" max="15108" width="13.42578125" style="402" customWidth="1"/>
    <col min="15109" max="15110" width="16.42578125" style="402" customWidth="1"/>
    <col min="15111" max="15111" width="4.5703125" style="402" customWidth="1"/>
    <col min="15112" max="15112" width="0.5703125" style="402" customWidth="1"/>
    <col min="15113" max="15113" width="0.42578125" style="402" customWidth="1"/>
    <col min="15114" max="15114" width="6.42578125" style="402" customWidth="1"/>
    <col min="15115" max="15115" width="0.42578125" style="402" customWidth="1"/>
    <col min="15116" max="15116" width="4.5703125" style="402" customWidth="1"/>
    <col min="15117" max="15117" width="13.42578125" style="402" customWidth="1"/>
    <col min="15118" max="15118" width="3.42578125" style="402" customWidth="1"/>
    <col min="15119" max="15119" width="16.42578125" style="402" customWidth="1"/>
    <col min="15120" max="15120" width="0.42578125" style="402" customWidth="1"/>
    <col min="15121" max="15360" width="8.85546875" style="402"/>
    <col min="15361" max="15361" width="8.5703125" style="402" customWidth="1"/>
    <col min="15362" max="15362" width="31.5703125" style="402" customWidth="1"/>
    <col min="15363" max="15363" width="3.42578125" style="402" customWidth="1"/>
    <col min="15364" max="15364" width="13.42578125" style="402" customWidth="1"/>
    <col min="15365" max="15366" width="16.42578125" style="402" customWidth="1"/>
    <col min="15367" max="15367" width="4.5703125" style="402" customWidth="1"/>
    <col min="15368" max="15368" width="0.5703125" style="402" customWidth="1"/>
    <col min="15369" max="15369" width="0.42578125" style="402" customWidth="1"/>
    <col min="15370" max="15370" width="6.42578125" style="402" customWidth="1"/>
    <col min="15371" max="15371" width="0.42578125" style="402" customWidth="1"/>
    <col min="15372" max="15372" width="4.5703125" style="402" customWidth="1"/>
    <col min="15373" max="15373" width="13.42578125" style="402" customWidth="1"/>
    <col min="15374" max="15374" width="3.42578125" style="402" customWidth="1"/>
    <col min="15375" max="15375" width="16.42578125" style="402" customWidth="1"/>
    <col min="15376" max="15376" width="0.42578125" style="402" customWidth="1"/>
    <col min="15377" max="15616" width="8.85546875" style="402"/>
    <col min="15617" max="15617" width="8.5703125" style="402" customWidth="1"/>
    <col min="15618" max="15618" width="31.5703125" style="402" customWidth="1"/>
    <col min="15619" max="15619" width="3.42578125" style="402" customWidth="1"/>
    <col min="15620" max="15620" width="13.42578125" style="402" customWidth="1"/>
    <col min="15621" max="15622" width="16.42578125" style="402" customWidth="1"/>
    <col min="15623" max="15623" width="4.5703125" style="402" customWidth="1"/>
    <col min="15624" max="15624" width="0.5703125" style="402" customWidth="1"/>
    <col min="15625" max="15625" width="0.42578125" style="402" customWidth="1"/>
    <col min="15626" max="15626" width="6.42578125" style="402" customWidth="1"/>
    <col min="15627" max="15627" width="0.42578125" style="402" customWidth="1"/>
    <col min="15628" max="15628" width="4.5703125" style="402" customWidth="1"/>
    <col min="15629" max="15629" width="13.42578125" style="402" customWidth="1"/>
    <col min="15630" max="15630" width="3.42578125" style="402" customWidth="1"/>
    <col min="15631" max="15631" width="16.42578125" style="402" customWidth="1"/>
    <col min="15632" max="15632" width="0.42578125" style="402" customWidth="1"/>
    <col min="15633" max="15872" width="8.85546875" style="402"/>
    <col min="15873" max="15873" width="8.5703125" style="402" customWidth="1"/>
    <col min="15874" max="15874" width="31.5703125" style="402" customWidth="1"/>
    <col min="15875" max="15875" width="3.42578125" style="402" customWidth="1"/>
    <col min="15876" max="15876" width="13.42578125" style="402" customWidth="1"/>
    <col min="15877" max="15878" width="16.42578125" style="402" customWidth="1"/>
    <col min="15879" max="15879" width="4.5703125" style="402" customWidth="1"/>
    <col min="15880" max="15880" width="0.5703125" style="402" customWidth="1"/>
    <col min="15881" max="15881" width="0.42578125" style="402" customWidth="1"/>
    <col min="15882" max="15882" width="6.42578125" style="402" customWidth="1"/>
    <col min="15883" max="15883" width="0.42578125" style="402" customWidth="1"/>
    <col min="15884" max="15884" width="4.5703125" style="402" customWidth="1"/>
    <col min="15885" max="15885" width="13.42578125" style="402" customWidth="1"/>
    <col min="15886" max="15886" width="3.42578125" style="402" customWidth="1"/>
    <col min="15887" max="15887" width="16.42578125" style="402" customWidth="1"/>
    <col min="15888" max="15888" width="0.42578125" style="402" customWidth="1"/>
    <col min="15889" max="16128" width="8.85546875" style="402"/>
    <col min="16129" max="16129" width="8.5703125" style="402" customWidth="1"/>
    <col min="16130" max="16130" width="31.5703125" style="402" customWidth="1"/>
    <col min="16131" max="16131" width="3.42578125" style="402" customWidth="1"/>
    <col min="16132" max="16132" width="13.42578125" style="402" customWidth="1"/>
    <col min="16133" max="16134" width="16.42578125" style="402" customWidth="1"/>
    <col min="16135" max="16135" width="4.5703125" style="402" customWidth="1"/>
    <col min="16136" max="16136" width="0.5703125" style="402" customWidth="1"/>
    <col min="16137" max="16137" width="0.42578125" style="402" customWidth="1"/>
    <col min="16138" max="16138" width="6.42578125" style="402" customWidth="1"/>
    <col min="16139" max="16139" width="0.42578125" style="402" customWidth="1"/>
    <col min="16140" max="16140" width="4.5703125" style="402" customWidth="1"/>
    <col min="16141" max="16141" width="13.42578125" style="402" customWidth="1"/>
    <col min="16142" max="16142" width="3.42578125" style="402" customWidth="1"/>
    <col min="16143" max="16143" width="16.42578125" style="402" customWidth="1"/>
    <col min="16144" max="16144" width="0.42578125" style="402" customWidth="1"/>
    <col min="16145" max="16384" width="8.85546875" style="402"/>
  </cols>
  <sheetData>
    <row r="1" spans="1:17" ht="5.85" customHeight="1">
      <c r="A1" s="1682" t="s">
        <v>3711</v>
      </c>
      <c r="B1" s="1682"/>
      <c r="C1" s="1682"/>
      <c r="D1" s="1682"/>
      <c r="E1" s="1682"/>
      <c r="F1" s="1682"/>
      <c r="G1" s="1682"/>
      <c r="H1" s="1682"/>
      <c r="I1" s="1682"/>
      <c r="J1" s="1682"/>
    </row>
    <row r="2" spans="1:17" ht="8.85" customHeight="1">
      <c r="A2" s="1682"/>
      <c r="B2" s="1682"/>
      <c r="C2" s="1682"/>
      <c r="D2" s="1682"/>
      <c r="E2" s="1682"/>
      <c r="F2" s="1682"/>
      <c r="G2" s="1682"/>
      <c r="H2" s="1682"/>
      <c r="I2" s="1682"/>
      <c r="J2" s="1682"/>
    </row>
    <row r="3" spans="1:17" ht="8.1" customHeight="1">
      <c r="A3" s="1682" t="s">
        <v>4114</v>
      </c>
      <c r="B3" s="1682"/>
      <c r="C3" s="1682"/>
      <c r="D3" s="1682"/>
      <c r="E3" s="1682"/>
      <c r="F3" s="1682"/>
      <c r="G3" s="1682"/>
      <c r="H3" s="1682"/>
      <c r="I3" s="1682"/>
      <c r="J3" s="1682"/>
    </row>
    <row r="4" spans="1:17" ht="5.85" customHeight="1">
      <c r="A4" s="1682"/>
      <c r="B4" s="1682"/>
      <c r="C4" s="1682"/>
      <c r="D4" s="1682"/>
      <c r="E4" s="1682"/>
      <c r="F4" s="1682"/>
      <c r="G4" s="1682"/>
      <c r="H4" s="1682"/>
      <c r="I4" s="1682"/>
      <c r="J4" s="1682"/>
    </row>
    <row r="5" spans="1:17" ht="23.85" customHeight="1"/>
    <row r="6" spans="1:17" ht="2.85" customHeight="1"/>
    <row r="7" spans="1:17" ht="2.85" customHeight="1"/>
    <row r="8" spans="1:17" ht="26.1" customHeight="1">
      <c r="A8" s="1683" t="s">
        <v>4115</v>
      </c>
      <c r="B8" s="1683"/>
      <c r="C8" s="1683"/>
      <c r="D8" s="1683"/>
      <c r="E8" s="1683"/>
      <c r="F8" s="1683"/>
      <c r="G8" s="1683"/>
      <c r="H8" s="1683"/>
      <c r="I8" s="1683"/>
      <c r="J8" s="1683"/>
      <c r="K8" s="1683"/>
      <c r="L8" s="1683"/>
      <c r="M8" s="1683"/>
      <c r="N8" s="1683"/>
      <c r="O8" s="1683"/>
    </row>
    <row r="9" spans="1:17" ht="15.6" customHeight="1">
      <c r="A9" s="1684" t="s">
        <v>4116</v>
      </c>
      <c r="B9" s="1684"/>
      <c r="C9" s="1684"/>
      <c r="D9" s="1684"/>
      <c r="E9" s="1684"/>
      <c r="F9" s="1684"/>
      <c r="G9" s="1684"/>
      <c r="H9" s="1684"/>
      <c r="I9" s="1684"/>
      <c r="J9" s="1684"/>
      <c r="K9" s="1684"/>
      <c r="L9" s="1684"/>
      <c r="M9" s="1684"/>
      <c r="N9" s="1684"/>
      <c r="O9" s="1684"/>
    </row>
    <row r="10" spans="1:17" ht="2.25" customHeight="1"/>
    <row r="11" spans="1:17" ht="17.100000000000001" customHeight="1">
      <c r="N11" s="1673" t="s">
        <v>4117</v>
      </c>
      <c r="O11" s="1673"/>
    </row>
    <row r="12" spans="1:17" ht="2.85" customHeight="1">
      <c r="A12" s="403"/>
      <c r="B12" s="403"/>
      <c r="C12" s="403"/>
      <c r="D12" s="403"/>
      <c r="E12" s="403"/>
      <c r="F12" s="403"/>
      <c r="G12" s="403"/>
      <c r="H12" s="403"/>
      <c r="I12" s="403"/>
      <c r="J12" s="403"/>
      <c r="K12" s="403"/>
      <c r="L12" s="403"/>
      <c r="M12" s="403"/>
      <c r="N12" s="403"/>
      <c r="O12" s="403"/>
    </row>
    <row r="13" spans="1:17" ht="17.850000000000001" customHeight="1">
      <c r="A13" s="1675" t="s">
        <v>4</v>
      </c>
      <c r="B13" s="1675" t="s">
        <v>5</v>
      </c>
      <c r="C13" s="1681" t="s">
        <v>6</v>
      </c>
      <c r="D13" s="1681"/>
      <c r="E13" s="1681"/>
      <c r="F13" s="1681" t="s">
        <v>7</v>
      </c>
      <c r="G13" s="1681"/>
      <c r="H13" s="1681"/>
      <c r="I13" s="1681"/>
      <c r="J13" s="1681"/>
      <c r="K13" s="1681"/>
      <c r="L13" s="1681"/>
      <c r="M13" s="1681" t="s">
        <v>8</v>
      </c>
      <c r="N13" s="1681"/>
      <c r="O13" s="1681"/>
      <c r="P13" s="404"/>
    </row>
    <row r="14" spans="1:17" ht="17.850000000000001" customHeight="1">
      <c r="A14" s="1675"/>
      <c r="B14" s="1675"/>
      <c r="C14" s="1681" t="s">
        <v>11</v>
      </c>
      <c r="D14" s="1681"/>
      <c r="E14" s="1628" t="s">
        <v>12</v>
      </c>
      <c r="F14" s="1628" t="s">
        <v>11</v>
      </c>
      <c r="G14" s="1681" t="s">
        <v>12</v>
      </c>
      <c r="H14" s="1681"/>
      <c r="I14" s="1681"/>
      <c r="J14" s="1681"/>
      <c r="K14" s="1681"/>
      <c r="L14" s="1681"/>
      <c r="M14" s="1681" t="s">
        <v>11</v>
      </c>
      <c r="N14" s="1681"/>
      <c r="O14" s="1628" t="s">
        <v>12</v>
      </c>
      <c r="P14" s="404"/>
    </row>
    <row r="15" spans="1:17" ht="17.100000000000001" customHeight="1">
      <c r="A15" s="1629" t="s">
        <v>13</v>
      </c>
      <c r="B15" s="1630" t="s">
        <v>14</v>
      </c>
      <c r="C15" s="1676">
        <v>0</v>
      </c>
      <c r="D15" s="1676"/>
      <c r="E15" s="1631">
        <v>0</v>
      </c>
      <c r="F15" s="1631">
        <v>9000000</v>
      </c>
      <c r="G15" s="1676">
        <v>9000000</v>
      </c>
      <c r="H15" s="1676"/>
      <c r="I15" s="1676"/>
      <c r="J15" s="1676"/>
      <c r="K15" s="1676"/>
      <c r="L15" s="1676"/>
      <c r="M15" s="1676">
        <v>0</v>
      </c>
      <c r="N15" s="1676"/>
      <c r="O15" s="1631">
        <v>0</v>
      </c>
      <c r="P15" s="404"/>
      <c r="Q15" s="405">
        <f>M15-O15</f>
        <v>0</v>
      </c>
    </row>
    <row r="16" spans="1:17" ht="17.850000000000001" customHeight="1">
      <c r="A16" s="1632" t="s">
        <v>15</v>
      </c>
      <c r="B16" s="1633" t="s">
        <v>16</v>
      </c>
      <c r="C16" s="1680">
        <v>0</v>
      </c>
      <c r="D16" s="1680"/>
      <c r="E16" s="1634">
        <v>0</v>
      </c>
      <c r="F16" s="1634">
        <v>9000000</v>
      </c>
      <c r="G16" s="1680">
        <v>9000000</v>
      </c>
      <c r="H16" s="1680"/>
      <c r="I16" s="1680"/>
      <c r="J16" s="1680"/>
      <c r="K16" s="1680"/>
      <c r="L16" s="1680"/>
      <c r="M16" s="1680">
        <v>0</v>
      </c>
      <c r="N16" s="1680"/>
      <c r="O16" s="1634">
        <v>0</v>
      </c>
      <c r="P16" s="404"/>
      <c r="Q16" s="405">
        <f t="shared" ref="Q16:Q79" si="0">M16-O16</f>
        <v>0</v>
      </c>
    </row>
    <row r="17" spans="1:17" ht="17.100000000000001" customHeight="1">
      <c r="A17" s="1629" t="s">
        <v>17</v>
      </c>
      <c r="B17" s="1630" t="s">
        <v>18</v>
      </c>
      <c r="C17" s="1676">
        <v>6024602803</v>
      </c>
      <c r="D17" s="1676"/>
      <c r="E17" s="1631">
        <v>0</v>
      </c>
      <c r="F17" s="1631">
        <v>1064246022193</v>
      </c>
      <c r="G17" s="1676">
        <v>1068164380048</v>
      </c>
      <c r="H17" s="1676"/>
      <c r="I17" s="1676"/>
      <c r="J17" s="1676"/>
      <c r="K17" s="1676"/>
      <c r="L17" s="1676"/>
      <c r="M17" s="1676">
        <v>2106244948</v>
      </c>
      <c r="N17" s="1676"/>
      <c r="O17" s="1631">
        <v>0</v>
      </c>
      <c r="P17" s="404"/>
      <c r="Q17" s="405">
        <f t="shared" si="0"/>
        <v>2106244948</v>
      </c>
    </row>
    <row r="18" spans="1:17" ht="17.850000000000001" customHeight="1">
      <c r="A18" s="1632" t="s">
        <v>19</v>
      </c>
      <c r="B18" s="1633" t="s">
        <v>16</v>
      </c>
      <c r="C18" s="1680">
        <v>6024602803</v>
      </c>
      <c r="D18" s="1680"/>
      <c r="E18" s="1634">
        <v>0</v>
      </c>
      <c r="F18" s="1634">
        <v>1064246022193</v>
      </c>
      <c r="G18" s="1680">
        <v>1068164380048</v>
      </c>
      <c r="H18" s="1680"/>
      <c r="I18" s="1680"/>
      <c r="J18" s="1680"/>
      <c r="K18" s="1680"/>
      <c r="L18" s="1680"/>
      <c r="M18" s="1680">
        <v>2106244948</v>
      </c>
      <c r="N18" s="1680"/>
      <c r="O18" s="1634">
        <v>0</v>
      </c>
      <c r="P18" s="404"/>
      <c r="Q18" s="405">
        <f t="shared" si="0"/>
        <v>2106244948</v>
      </c>
    </row>
    <row r="19" spans="1:17" ht="17.850000000000001" customHeight="1">
      <c r="A19" s="1629" t="s">
        <v>33</v>
      </c>
      <c r="B19" s="1630" t="s">
        <v>34</v>
      </c>
      <c r="C19" s="1676">
        <v>4000000000</v>
      </c>
      <c r="D19" s="1676"/>
      <c r="E19" s="1631">
        <v>0</v>
      </c>
      <c r="F19" s="1631">
        <v>253125217662</v>
      </c>
      <c r="G19" s="1676">
        <v>247979937003</v>
      </c>
      <c r="H19" s="1676"/>
      <c r="I19" s="1676"/>
      <c r="J19" s="1676"/>
      <c r="K19" s="1676"/>
      <c r="L19" s="1676"/>
      <c r="M19" s="1676">
        <v>9145280659</v>
      </c>
      <c r="N19" s="1676"/>
      <c r="O19" s="1631">
        <v>0</v>
      </c>
      <c r="P19" s="404"/>
      <c r="Q19" s="405">
        <f t="shared" si="0"/>
        <v>9145280659</v>
      </c>
    </row>
    <row r="20" spans="1:17" ht="17.100000000000001" customHeight="1">
      <c r="A20" s="1629" t="s">
        <v>35</v>
      </c>
      <c r="B20" s="1630" t="s">
        <v>36</v>
      </c>
      <c r="C20" s="1676">
        <v>0</v>
      </c>
      <c r="D20" s="1676"/>
      <c r="E20" s="1631">
        <v>0</v>
      </c>
      <c r="F20" s="1631">
        <v>245625217662</v>
      </c>
      <c r="G20" s="1676">
        <v>236479937003</v>
      </c>
      <c r="H20" s="1676"/>
      <c r="I20" s="1676"/>
      <c r="J20" s="1676"/>
      <c r="K20" s="1676"/>
      <c r="L20" s="1676"/>
      <c r="M20" s="1676">
        <v>9145280659</v>
      </c>
      <c r="N20" s="1676"/>
      <c r="O20" s="1631">
        <v>0</v>
      </c>
      <c r="P20" s="404"/>
      <c r="Q20" s="405">
        <f t="shared" si="0"/>
        <v>9145280659</v>
      </c>
    </row>
    <row r="21" spans="1:17" ht="17.850000000000001" customHeight="1">
      <c r="A21" s="1632" t="s">
        <v>37</v>
      </c>
      <c r="B21" s="1633" t="s">
        <v>4118</v>
      </c>
      <c r="C21" s="1680">
        <v>0</v>
      </c>
      <c r="D21" s="1680"/>
      <c r="E21" s="1634">
        <v>0</v>
      </c>
      <c r="F21" s="1634">
        <v>245625217662</v>
      </c>
      <c r="G21" s="1680">
        <v>236479937003</v>
      </c>
      <c r="H21" s="1680"/>
      <c r="I21" s="1680"/>
      <c r="J21" s="1680"/>
      <c r="K21" s="1680"/>
      <c r="L21" s="1680"/>
      <c r="M21" s="1680">
        <v>9145280659</v>
      </c>
      <c r="N21" s="1680"/>
      <c r="O21" s="1634">
        <v>0</v>
      </c>
      <c r="P21" s="404"/>
      <c r="Q21" s="405">
        <f t="shared" si="0"/>
        <v>9145280659</v>
      </c>
    </row>
    <row r="22" spans="1:17" ht="17.850000000000001" customHeight="1">
      <c r="A22" s="1632" t="s">
        <v>45</v>
      </c>
      <c r="B22" s="1633" t="s">
        <v>46</v>
      </c>
      <c r="C22" s="1680">
        <v>4000000000</v>
      </c>
      <c r="D22" s="1680"/>
      <c r="E22" s="1634">
        <v>0</v>
      </c>
      <c r="F22" s="1634">
        <v>7500000000</v>
      </c>
      <c r="G22" s="1680">
        <v>11500000000</v>
      </c>
      <c r="H22" s="1680"/>
      <c r="I22" s="1680"/>
      <c r="J22" s="1680"/>
      <c r="K22" s="1680"/>
      <c r="L22" s="1680"/>
      <c r="M22" s="1680">
        <v>0</v>
      </c>
      <c r="N22" s="1680"/>
      <c r="O22" s="1634">
        <v>0</v>
      </c>
      <c r="P22" s="404"/>
      <c r="Q22" s="405">
        <f t="shared" si="0"/>
        <v>0</v>
      </c>
    </row>
    <row r="23" spans="1:17" ht="17.100000000000001" customHeight="1">
      <c r="A23" s="1629" t="s">
        <v>47</v>
      </c>
      <c r="B23" s="1630" t="s">
        <v>48</v>
      </c>
      <c r="C23" s="1676">
        <v>125000000</v>
      </c>
      <c r="D23" s="1676"/>
      <c r="E23" s="1631">
        <v>0</v>
      </c>
      <c r="F23" s="1631">
        <v>154690839006</v>
      </c>
      <c r="G23" s="1676">
        <v>154815839006</v>
      </c>
      <c r="H23" s="1676"/>
      <c r="I23" s="1676"/>
      <c r="J23" s="1676"/>
      <c r="K23" s="1676"/>
      <c r="L23" s="1676"/>
      <c r="M23" s="1676">
        <v>0</v>
      </c>
      <c r="N23" s="1676"/>
      <c r="O23" s="1631">
        <v>0</v>
      </c>
      <c r="P23" s="404"/>
      <c r="Q23" s="405">
        <f t="shared" si="0"/>
        <v>0</v>
      </c>
    </row>
    <row r="24" spans="1:17" ht="17.850000000000001" customHeight="1">
      <c r="A24" s="1629" t="s">
        <v>49</v>
      </c>
      <c r="B24" s="1630" t="s">
        <v>50</v>
      </c>
      <c r="C24" s="1676">
        <v>2165249</v>
      </c>
      <c r="D24" s="1676"/>
      <c r="E24" s="1631">
        <v>0</v>
      </c>
      <c r="F24" s="1631">
        <v>126952619</v>
      </c>
      <c r="G24" s="1676">
        <v>122156719</v>
      </c>
      <c r="H24" s="1676"/>
      <c r="I24" s="1676"/>
      <c r="J24" s="1676"/>
      <c r="K24" s="1676"/>
      <c r="L24" s="1676"/>
      <c r="M24" s="1676">
        <v>6961149</v>
      </c>
      <c r="N24" s="1676"/>
      <c r="O24" s="1631">
        <v>0</v>
      </c>
      <c r="P24" s="404"/>
      <c r="Q24" s="405">
        <f t="shared" si="0"/>
        <v>6961149</v>
      </c>
    </row>
    <row r="25" spans="1:17" ht="25.35" customHeight="1">
      <c r="A25" s="1632" t="s">
        <v>51</v>
      </c>
      <c r="B25" s="1633" t="s">
        <v>52</v>
      </c>
      <c r="C25" s="1680">
        <v>2165249</v>
      </c>
      <c r="D25" s="1680"/>
      <c r="E25" s="1634">
        <v>0</v>
      </c>
      <c r="F25" s="1634">
        <v>126952619</v>
      </c>
      <c r="G25" s="1680">
        <v>122156719</v>
      </c>
      <c r="H25" s="1680"/>
      <c r="I25" s="1680"/>
      <c r="J25" s="1680"/>
      <c r="K25" s="1680"/>
      <c r="L25" s="1680"/>
      <c r="M25" s="1680">
        <v>6961149</v>
      </c>
      <c r="N25" s="1680"/>
      <c r="O25" s="1634">
        <v>0</v>
      </c>
      <c r="P25" s="404"/>
      <c r="Q25" s="405">
        <f t="shared" si="0"/>
        <v>6961149</v>
      </c>
    </row>
    <row r="26" spans="1:17" ht="17.850000000000001" customHeight="1">
      <c r="A26" s="1629" t="s">
        <v>55</v>
      </c>
      <c r="B26" s="1630" t="s">
        <v>56</v>
      </c>
      <c r="C26" s="1676">
        <v>3379681086</v>
      </c>
      <c r="D26" s="1676"/>
      <c r="E26" s="1631">
        <v>215630475</v>
      </c>
      <c r="F26" s="1631">
        <v>161454268897</v>
      </c>
      <c r="G26" s="1676">
        <v>164813655961</v>
      </c>
      <c r="H26" s="1676"/>
      <c r="I26" s="1676"/>
      <c r="J26" s="1676"/>
      <c r="K26" s="1676"/>
      <c r="L26" s="1676"/>
      <c r="M26" s="1676">
        <v>30347680</v>
      </c>
      <c r="N26" s="1676"/>
      <c r="O26" s="1631">
        <v>225684133</v>
      </c>
      <c r="P26" s="404"/>
      <c r="Q26" s="405">
        <f t="shared" si="0"/>
        <v>-195336453</v>
      </c>
    </row>
    <row r="27" spans="1:17" ht="17.100000000000001" customHeight="1">
      <c r="A27" s="1629" t="s">
        <v>57</v>
      </c>
      <c r="B27" s="1630" t="s">
        <v>56</v>
      </c>
      <c r="C27" s="1676">
        <v>3379681086</v>
      </c>
      <c r="D27" s="1676"/>
      <c r="E27" s="1631">
        <v>215630475</v>
      </c>
      <c r="F27" s="1631">
        <v>161454268897</v>
      </c>
      <c r="G27" s="1676">
        <v>164813655961</v>
      </c>
      <c r="H27" s="1676"/>
      <c r="I27" s="1676"/>
      <c r="J27" s="1676"/>
      <c r="K27" s="1676"/>
      <c r="L27" s="1676"/>
      <c r="M27" s="1676">
        <v>30347680</v>
      </c>
      <c r="N27" s="1676"/>
      <c r="O27" s="1631">
        <v>225684133</v>
      </c>
      <c r="P27" s="404"/>
      <c r="Q27" s="405">
        <f t="shared" si="0"/>
        <v>-195336453</v>
      </c>
    </row>
    <row r="28" spans="1:17" ht="17.850000000000001" customHeight="1">
      <c r="A28" s="1632" t="s">
        <v>1250</v>
      </c>
      <c r="B28" s="1633" t="s">
        <v>3713</v>
      </c>
      <c r="C28" s="1680">
        <v>0</v>
      </c>
      <c r="D28" s="1680"/>
      <c r="E28" s="1634">
        <v>215630475</v>
      </c>
      <c r="F28" s="1634">
        <v>152968289356</v>
      </c>
      <c r="G28" s="1680">
        <v>152978343014</v>
      </c>
      <c r="H28" s="1680"/>
      <c r="I28" s="1680"/>
      <c r="J28" s="1680"/>
      <c r="K28" s="1680"/>
      <c r="L28" s="1680"/>
      <c r="M28" s="1680">
        <v>0</v>
      </c>
      <c r="N28" s="1680"/>
      <c r="O28" s="1634">
        <v>225684133</v>
      </c>
      <c r="P28" s="404"/>
      <c r="Q28" s="405">
        <f t="shared" si="0"/>
        <v>-225684133</v>
      </c>
    </row>
    <row r="29" spans="1:17" ht="17.850000000000001" customHeight="1">
      <c r="A29" s="1632" t="s">
        <v>62</v>
      </c>
      <c r="B29" s="1633" t="s">
        <v>56</v>
      </c>
      <c r="C29" s="1680">
        <v>3379561000</v>
      </c>
      <c r="D29" s="1680"/>
      <c r="E29" s="1634">
        <v>0</v>
      </c>
      <c r="F29" s="1634">
        <v>8485979471</v>
      </c>
      <c r="G29" s="1680">
        <v>11835192791</v>
      </c>
      <c r="H29" s="1680"/>
      <c r="I29" s="1680"/>
      <c r="J29" s="1680"/>
      <c r="K29" s="1680"/>
      <c r="L29" s="1680"/>
      <c r="M29" s="1680">
        <v>30347680</v>
      </c>
      <c r="N29" s="1680"/>
      <c r="O29" s="1634">
        <v>0</v>
      </c>
      <c r="P29" s="404"/>
      <c r="Q29" s="405">
        <f t="shared" si="0"/>
        <v>30347680</v>
      </c>
    </row>
    <row r="30" spans="1:17" ht="25.35" customHeight="1">
      <c r="A30" s="1632" t="s">
        <v>2238</v>
      </c>
      <c r="B30" s="1633" t="s">
        <v>4119</v>
      </c>
      <c r="C30" s="1680">
        <v>120086</v>
      </c>
      <c r="D30" s="1680"/>
      <c r="E30" s="1634">
        <v>0</v>
      </c>
      <c r="F30" s="1634">
        <v>70</v>
      </c>
      <c r="G30" s="1680">
        <v>120156</v>
      </c>
      <c r="H30" s="1680"/>
      <c r="I30" s="1680"/>
      <c r="J30" s="1680"/>
      <c r="K30" s="1680"/>
      <c r="L30" s="1680"/>
      <c r="M30" s="1680">
        <v>0</v>
      </c>
      <c r="N30" s="1680"/>
      <c r="O30" s="1634">
        <v>0</v>
      </c>
      <c r="P30" s="404"/>
      <c r="Q30" s="405">
        <f t="shared" si="0"/>
        <v>0</v>
      </c>
    </row>
    <row r="31" spans="1:17" ht="17.850000000000001" customHeight="1">
      <c r="A31" s="1629" t="s">
        <v>73</v>
      </c>
      <c r="B31" s="1630" t="s">
        <v>74</v>
      </c>
      <c r="C31" s="1676">
        <v>796887578</v>
      </c>
      <c r="D31" s="1676"/>
      <c r="E31" s="1631">
        <v>0</v>
      </c>
      <c r="F31" s="1631">
        <v>155296497249</v>
      </c>
      <c r="G31" s="1676">
        <v>153350801688</v>
      </c>
      <c r="H31" s="1676"/>
      <c r="I31" s="1676"/>
      <c r="J31" s="1676"/>
      <c r="K31" s="1676"/>
      <c r="L31" s="1676"/>
      <c r="M31" s="1676">
        <v>2742583139</v>
      </c>
      <c r="N31" s="1676"/>
      <c r="O31" s="1631">
        <v>0</v>
      </c>
      <c r="P31" s="404"/>
      <c r="Q31" s="405">
        <f t="shared" si="0"/>
        <v>2742583139</v>
      </c>
    </row>
    <row r="32" spans="1:17" ht="17.100000000000001" customHeight="1">
      <c r="A32" s="1632" t="s">
        <v>75</v>
      </c>
      <c r="B32" s="1633" t="s">
        <v>76</v>
      </c>
      <c r="C32" s="1680">
        <v>796887578</v>
      </c>
      <c r="D32" s="1680"/>
      <c r="E32" s="1634">
        <v>0</v>
      </c>
      <c r="F32" s="1634">
        <v>155296497249</v>
      </c>
      <c r="G32" s="1680">
        <v>153350801688</v>
      </c>
      <c r="H32" s="1680"/>
      <c r="I32" s="1680"/>
      <c r="J32" s="1680"/>
      <c r="K32" s="1680"/>
      <c r="L32" s="1680"/>
      <c r="M32" s="1680">
        <v>2742583139</v>
      </c>
      <c r="N32" s="1680"/>
      <c r="O32" s="1634">
        <v>0</v>
      </c>
      <c r="P32" s="404"/>
      <c r="Q32" s="406">
        <f t="shared" si="0"/>
        <v>2742583139</v>
      </c>
    </row>
    <row r="33" spans="1:17" ht="17.850000000000001" customHeight="1">
      <c r="A33" s="1629" t="s">
        <v>95</v>
      </c>
      <c r="B33" s="1630" t="s">
        <v>96</v>
      </c>
      <c r="C33" s="1676">
        <v>132805330000</v>
      </c>
      <c r="D33" s="1676"/>
      <c r="E33" s="1631">
        <v>0</v>
      </c>
      <c r="F33" s="1631">
        <v>292803000000</v>
      </c>
      <c r="G33" s="1676">
        <v>0</v>
      </c>
      <c r="H33" s="1676"/>
      <c r="I33" s="1676"/>
      <c r="J33" s="1676"/>
      <c r="K33" s="1676"/>
      <c r="L33" s="1676"/>
      <c r="M33" s="1676">
        <v>425608330000</v>
      </c>
      <c r="N33" s="1676"/>
      <c r="O33" s="1631">
        <v>0</v>
      </c>
      <c r="P33" s="404"/>
      <c r="Q33" s="405">
        <f t="shared" si="0"/>
        <v>425608330000</v>
      </c>
    </row>
    <row r="34" spans="1:17" ht="17.100000000000001" customHeight="1">
      <c r="A34" s="1629" t="s">
        <v>100</v>
      </c>
      <c r="B34" s="1630" t="s">
        <v>101</v>
      </c>
      <c r="C34" s="1676">
        <v>0</v>
      </c>
      <c r="D34" s="1676"/>
      <c r="E34" s="1631">
        <v>132805330000</v>
      </c>
      <c r="F34" s="1631">
        <v>1147867436</v>
      </c>
      <c r="G34" s="1676">
        <v>127458927203</v>
      </c>
      <c r="H34" s="1676"/>
      <c r="I34" s="1676"/>
      <c r="J34" s="1676"/>
      <c r="K34" s="1676"/>
      <c r="L34" s="1676"/>
      <c r="M34" s="1676">
        <v>0</v>
      </c>
      <c r="N34" s="1676"/>
      <c r="O34" s="1631">
        <v>259116389767</v>
      </c>
      <c r="P34" s="404"/>
      <c r="Q34" s="405">
        <f t="shared" si="0"/>
        <v>-259116389767</v>
      </c>
    </row>
    <row r="35" spans="1:17" ht="17.850000000000001" customHeight="1">
      <c r="A35" s="1632" t="s">
        <v>104</v>
      </c>
      <c r="B35" s="1633" t="s">
        <v>105</v>
      </c>
      <c r="C35" s="1680">
        <v>0</v>
      </c>
      <c r="D35" s="1680"/>
      <c r="E35" s="1634">
        <v>132805330000</v>
      </c>
      <c r="F35" s="1634">
        <v>1147867436</v>
      </c>
      <c r="G35" s="1680">
        <v>127458927203</v>
      </c>
      <c r="H35" s="1680"/>
      <c r="I35" s="1680"/>
      <c r="J35" s="1680"/>
      <c r="K35" s="1680"/>
      <c r="L35" s="1680"/>
      <c r="M35" s="1680">
        <v>0</v>
      </c>
      <c r="N35" s="1680"/>
      <c r="O35" s="1634">
        <v>259116389767</v>
      </c>
      <c r="P35" s="404"/>
      <c r="Q35" s="406">
        <f t="shared" si="0"/>
        <v>-259116389767</v>
      </c>
    </row>
    <row r="36" spans="1:17" ht="17.850000000000001" customHeight="1">
      <c r="A36" s="1629" t="s">
        <v>112</v>
      </c>
      <c r="B36" s="1630" t="s">
        <v>113</v>
      </c>
      <c r="C36" s="1676">
        <v>360080591</v>
      </c>
      <c r="D36" s="1676"/>
      <c r="E36" s="1631">
        <v>0</v>
      </c>
      <c r="F36" s="1631">
        <v>704552719</v>
      </c>
      <c r="G36" s="1676">
        <v>932348393</v>
      </c>
      <c r="H36" s="1676"/>
      <c r="I36" s="1676"/>
      <c r="J36" s="1676"/>
      <c r="K36" s="1676"/>
      <c r="L36" s="1676"/>
      <c r="M36" s="1676">
        <v>132284917</v>
      </c>
      <c r="N36" s="1676"/>
      <c r="O36" s="1631">
        <v>0</v>
      </c>
      <c r="P36" s="404"/>
      <c r="Q36" s="405">
        <f t="shared" si="0"/>
        <v>132284917</v>
      </c>
    </row>
    <row r="37" spans="1:17" ht="7.35" customHeight="1">
      <c r="A37" s="1635"/>
      <c r="B37" s="1635"/>
      <c r="C37" s="1635"/>
      <c r="D37" s="1635"/>
      <c r="E37" s="1635"/>
      <c r="F37" s="1635"/>
      <c r="G37" s="1635"/>
      <c r="H37" s="1635"/>
      <c r="I37" s="1635"/>
      <c r="J37" s="1635"/>
      <c r="K37" s="1635"/>
      <c r="L37" s="1635"/>
      <c r="M37" s="1635"/>
      <c r="N37" s="1635"/>
      <c r="O37" s="1635"/>
      <c r="Q37" s="405">
        <f t="shared" si="0"/>
        <v>0</v>
      </c>
    </row>
    <row r="38" spans="1:17" ht="17.100000000000001" customHeight="1">
      <c r="K38" s="1674" t="s">
        <v>4120</v>
      </c>
      <c r="L38" s="1674"/>
      <c r="M38" s="1674"/>
      <c r="N38" s="1674"/>
      <c r="O38" s="1674"/>
      <c r="Q38" s="405">
        <f t="shared" si="0"/>
        <v>0</v>
      </c>
    </row>
    <row r="39" spans="1:17" ht="14.85" customHeight="1">
      <c r="A39" s="1682" t="s">
        <v>3711</v>
      </c>
      <c r="B39" s="1682"/>
      <c r="C39" s="1682"/>
      <c r="D39" s="1682"/>
      <c r="E39" s="1682"/>
      <c r="F39" s="1682"/>
      <c r="G39" s="1682"/>
      <c r="H39" s="1682"/>
      <c r="I39" s="1682"/>
      <c r="J39" s="1682"/>
      <c r="Q39" s="405">
        <f t="shared" si="0"/>
        <v>0</v>
      </c>
    </row>
    <row r="40" spans="1:17" ht="14.85" customHeight="1">
      <c r="A40" s="1682" t="s">
        <v>4114</v>
      </c>
      <c r="B40" s="1682"/>
      <c r="C40" s="1682"/>
      <c r="D40" s="1682"/>
      <c r="E40" s="1682"/>
      <c r="F40" s="1682"/>
      <c r="G40" s="1682"/>
      <c r="H40" s="1682"/>
      <c r="I40" s="1682"/>
      <c r="J40" s="1682"/>
      <c r="Q40" s="405">
        <f t="shared" si="0"/>
        <v>0</v>
      </c>
    </row>
    <row r="41" spans="1:17" ht="2.85" customHeight="1">
      <c r="A41" s="403"/>
      <c r="B41" s="403"/>
      <c r="C41" s="403"/>
      <c r="D41" s="403"/>
      <c r="E41" s="403"/>
      <c r="F41" s="403"/>
      <c r="G41" s="403"/>
      <c r="H41" s="403"/>
      <c r="I41" s="403"/>
      <c r="J41" s="403"/>
      <c r="K41" s="403"/>
      <c r="L41" s="403"/>
      <c r="M41" s="403"/>
      <c r="N41" s="403"/>
      <c r="O41" s="403"/>
      <c r="Q41" s="405">
        <f t="shared" si="0"/>
        <v>0</v>
      </c>
    </row>
    <row r="42" spans="1:17" ht="17.100000000000001" customHeight="1">
      <c r="A42" s="1675" t="s">
        <v>4</v>
      </c>
      <c r="B42" s="1675" t="s">
        <v>5</v>
      </c>
      <c r="C42" s="1681" t="s">
        <v>6</v>
      </c>
      <c r="D42" s="1681"/>
      <c r="E42" s="1681"/>
      <c r="F42" s="1681" t="s">
        <v>7</v>
      </c>
      <c r="G42" s="1681"/>
      <c r="H42" s="1681"/>
      <c r="I42" s="1681"/>
      <c r="J42" s="1681"/>
      <c r="K42" s="1681"/>
      <c r="L42" s="1681"/>
      <c r="M42" s="1681" t="s">
        <v>8</v>
      </c>
      <c r="N42" s="1681"/>
      <c r="O42" s="1681"/>
      <c r="P42" s="404"/>
      <c r="Q42" s="405" t="e">
        <f t="shared" si="0"/>
        <v>#VALUE!</v>
      </c>
    </row>
    <row r="43" spans="1:17" ht="17.850000000000001" customHeight="1">
      <c r="A43" s="1675"/>
      <c r="B43" s="1675"/>
      <c r="C43" s="1681" t="s">
        <v>11</v>
      </c>
      <c r="D43" s="1681"/>
      <c r="E43" s="1628" t="s">
        <v>12</v>
      </c>
      <c r="F43" s="1628" t="s">
        <v>11</v>
      </c>
      <c r="G43" s="1681" t="s">
        <v>12</v>
      </c>
      <c r="H43" s="1681"/>
      <c r="I43" s="1681"/>
      <c r="J43" s="1681"/>
      <c r="K43" s="1681"/>
      <c r="L43" s="1681"/>
      <c r="M43" s="1681" t="s">
        <v>11</v>
      </c>
      <c r="N43" s="1681"/>
      <c r="O43" s="1628" t="s">
        <v>12</v>
      </c>
      <c r="P43" s="404"/>
      <c r="Q43" s="405" t="e">
        <f t="shared" si="0"/>
        <v>#VALUE!</v>
      </c>
    </row>
    <row r="44" spans="1:17" ht="17.850000000000001" customHeight="1">
      <c r="A44" s="1632" t="s">
        <v>523</v>
      </c>
      <c r="B44" s="1633" t="s">
        <v>115</v>
      </c>
      <c r="C44" s="1680">
        <v>42054729</v>
      </c>
      <c r="D44" s="1680"/>
      <c r="E44" s="1634">
        <v>0</v>
      </c>
      <c r="F44" s="1634">
        <v>0</v>
      </c>
      <c r="G44" s="1680">
        <v>26447668</v>
      </c>
      <c r="H44" s="1680"/>
      <c r="I44" s="1680"/>
      <c r="J44" s="1680"/>
      <c r="K44" s="1680"/>
      <c r="L44" s="1680"/>
      <c r="M44" s="1680">
        <v>15607061</v>
      </c>
      <c r="N44" s="1680"/>
      <c r="O44" s="1634">
        <v>0</v>
      </c>
      <c r="P44" s="404"/>
      <c r="Q44" s="405">
        <f t="shared" si="0"/>
        <v>15607061</v>
      </c>
    </row>
    <row r="45" spans="1:17" ht="17.100000000000001" customHeight="1">
      <c r="A45" s="1629" t="s">
        <v>116</v>
      </c>
      <c r="B45" s="1630" t="s">
        <v>113</v>
      </c>
      <c r="C45" s="1676">
        <v>318025862</v>
      </c>
      <c r="D45" s="1676"/>
      <c r="E45" s="1631">
        <v>0</v>
      </c>
      <c r="F45" s="1631">
        <v>704552719</v>
      </c>
      <c r="G45" s="1676">
        <v>905900725</v>
      </c>
      <c r="H45" s="1676"/>
      <c r="I45" s="1676"/>
      <c r="J45" s="1676"/>
      <c r="K45" s="1676"/>
      <c r="L45" s="1676"/>
      <c r="M45" s="1676">
        <v>116677856</v>
      </c>
      <c r="N45" s="1676"/>
      <c r="O45" s="1631">
        <v>0</v>
      </c>
      <c r="P45" s="404"/>
      <c r="Q45" s="405">
        <f t="shared" si="0"/>
        <v>116677856</v>
      </c>
    </row>
    <row r="46" spans="1:17" ht="17.850000000000001" customHeight="1">
      <c r="A46" s="1632" t="s">
        <v>117</v>
      </c>
      <c r="B46" s="1633" t="s">
        <v>118</v>
      </c>
      <c r="C46" s="1680">
        <v>1500000</v>
      </c>
      <c r="D46" s="1680"/>
      <c r="E46" s="1634">
        <v>0</v>
      </c>
      <c r="F46" s="1634">
        <v>704552719</v>
      </c>
      <c r="G46" s="1680">
        <v>689123615</v>
      </c>
      <c r="H46" s="1680"/>
      <c r="I46" s="1680"/>
      <c r="J46" s="1680"/>
      <c r="K46" s="1680"/>
      <c r="L46" s="1680"/>
      <c r="M46" s="1680">
        <v>16929104</v>
      </c>
      <c r="N46" s="1680"/>
      <c r="O46" s="1634">
        <v>0</v>
      </c>
      <c r="P46" s="404"/>
      <c r="Q46" s="406">
        <f t="shared" si="0"/>
        <v>16929104</v>
      </c>
    </row>
    <row r="47" spans="1:17" ht="17.100000000000001" customHeight="1">
      <c r="A47" s="1632" t="s">
        <v>119</v>
      </c>
      <c r="B47" s="1633" t="s">
        <v>120</v>
      </c>
      <c r="C47" s="1680">
        <v>316525862</v>
      </c>
      <c r="D47" s="1680"/>
      <c r="E47" s="1634">
        <v>0</v>
      </c>
      <c r="F47" s="1634">
        <v>0</v>
      </c>
      <c r="G47" s="1680">
        <v>216777110</v>
      </c>
      <c r="H47" s="1680"/>
      <c r="I47" s="1680"/>
      <c r="J47" s="1680"/>
      <c r="K47" s="1680"/>
      <c r="L47" s="1680"/>
      <c r="M47" s="1680">
        <v>99748752</v>
      </c>
      <c r="N47" s="1680"/>
      <c r="O47" s="1634">
        <v>0</v>
      </c>
      <c r="P47" s="404"/>
      <c r="Q47" s="406">
        <f t="shared" si="0"/>
        <v>99748752</v>
      </c>
    </row>
    <row r="48" spans="1:17" ht="17.850000000000001" customHeight="1">
      <c r="A48" s="1629" t="s">
        <v>121</v>
      </c>
      <c r="B48" s="1630" t="s">
        <v>122</v>
      </c>
      <c r="C48" s="1676">
        <v>159291132</v>
      </c>
      <c r="D48" s="1676"/>
      <c r="E48" s="1631">
        <v>0</v>
      </c>
      <c r="F48" s="1631">
        <v>0</v>
      </c>
      <c r="G48" s="1676">
        <v>0</v>
      </c>
      <c r="H48" s="1676"/>
      <c r="I48" s="1676"/>
      <c r="J48" s="1676"/>
      <c r="K48" s="1676"/>
      <c r="L48" s="1676"/>
      <c r="M48" s="1676">
        <v>159291132</v>
      </c>
      <c r="N48" s="1676"/>
      <c r="O48" s="1631">
        <v>0</v>
      </c>
      <c r="P48" s="404"/>
      <c r="Q48" s="405">
        <f t="shared" si="0"/>
        <v>159291132</v>
      </c>
    </row>
    <row r="49" spans="1:17" ht="17.850000000000001" customHeight="1">
      <c r="A49" s="1629" t="s">
        <v>123</v>
      </c>
      <c r="B49" s="1630" t="s">
        <v>124</v>
      </c>
      <c r="C49" s="1676">
        <v>9240000</v>
      </c>
      <c r="D49" s="1676"/>
      <c r="E49" s="1631">
        <v>5535970</v>
      </c>
      <c r="F49" s="1631">
        <v>22706917943</v>
      </c>
      <c r="G49" s="1676">
        <v>22715089341</v>
      </c>
      <c r="H49" s="1676"/>
      <c r="I49" s="1676"/>
      <c r="J49" s="1676"/>
      <c r="K49" s="1676"/>
      <c r="L49" s="1676"/>
      <c r="M49" s="1676">
        <v>0</v>
      </c>
      <c r="N49" s="1676"/>
      <c r="O49" s="1631">
        <v>4467368</v>
      </c>
      <c r="P49" s="404"/>
      <c r="Q49" s="405">
        <f t="shared" si="0"/>
        <v>-4467368</v>
      </c>
    </row>
    <row r="50" spans="1:17" ht="17.100000000000001" customHeight="1">
      <c r="A50" s="1632" t="s">
        <v>125</v>
      </c>
      <c r="B50" s="1633" t="s">
        <v>124</v>
      </c>
      <c r="C50" s="1680">
        <v>0</v>
      </c>
      <c r="D50" s="1680"/>
      <c r="E50" s="1634">
        <v>5535970</v>
      </c>
      <c r="F50" s="1634">
        <v>22706917943</v>
      </c>
      <c r="G50" s="1680">
        <v>22705849341</v>
      </c>
      <c r="H50" s="1680"/>
      <c r="I50" s="1680"/>
      <c r="J50" s="1680"/>
      <c r="K50" s="1680"/>
      <c r="L50" s="1680"/>
      <c r="M50" s="1680">
        <v>0</v>
      </c>
      <c r="N50" s="1680"/>
      <c r="O50" s="1634">
        <v>4467368</v>
      </c>
      <c r="P50" s="404"/>
      <c r="Q50" s="405">
        <f t="shared" si="0"/>
        <v>-4467368</v>
      </c>
    </row>
    <row r="51" spans="1:17" ht="17.850000000000001" customHeight="1">
      <c r="A51" s="1632" t="s">
        <v>126</v>
      </c>
      <c r="B51" s="1633" t="s">
        <v>127</v>
      </c>
      <c r="C51" s="1680">
        <v>9240000</v>
      </c>
      <c r="D51" s="1680"/>
      <c r="E51" s="1634">
        <v>0</v>
      </c>
      <c r="F51" s="1634">
        <v>0</v>
      </c>
      <c r="G51" s="1680">
        <v>9240000</v>
      </c>
      <c r="H51" s="1680"/>
      <c r="I51" s="1680"/>
      <c r="J51" s="1680"/>
      <c r="K51" s="1680"/>
      <c r="L51" s="1680"/>
      <c r="M51" s="1680">
        <v>0</v>
      </c>
      <c r="N51" s="1680"/>
      <c r="O51" s="1634">
        <v>0</v>
      </c>
      <c r="P51" s="404"/>
      <c r="Q51" s="405">
        <f t="shared" si="0"/>
        <v>0</v>
      </c>
    </row>
    <row r="52" spans="1:17" ht="17.850000000000001" customHeight="1">
      <c r="A52" s="1629" t="s">
        <v>128</v>
      </c>
      <c r="B52" s="1630" t="s">
        <v>129</v>
      </c>
      <c r="C52" s="1676">
        <v>0</v>
      </c>
      <c r="D52" s="1676"/>
      <c r="E52" s="1631">
        <v>110258744</v>
      </c>
      <c r="F52" s="1631">
        <v>259475636</v>
      </c>
      <c r="G52" s="1676">
        <v>152152884</v>
      </c>
      <c r="H52" s="1676"/>
      <c r="I52" s="1676"/>
      <c r="J52" s="1676"/>
      <c r="K52" s="1676"/>
      <c r="L52" s="1676"/>
      <c r="M52" s="1676">
        <v>0</v>
      </c>
      <c r="N52" s="1676"/>
      <c r="O52" s="1631">
        <v>2935992</v>
      </c>
      <c r="P52" s="404"/>
      <c r="Q52" s="405">
        <f t="shared" si="0"/>
        <v>-2935992</v>
      </c>
    </row>
    <row r="53" spans="1:17" ht="17.100000000000001" customHeight="1">
      <c r="A53" s="1629" t="s">
        <v>130</v>
      </c>
      <c r="B53" s="1630" t="s">
        <v>131</v>
      </c>
      <c r="C53" s="1676">
        <v>0</v>
      </c>
      <c r="D53" s="1676"/>
      <c r="E53" s="1631">
        <v>105329388</v>
      </c>
      <c r="F53" s="1631">
        <v>241997260</v>
      </c>
      <c r="G53" s="1676">
        <v>136667872</v>
      </c>
      <c r="H53" s="1676"/>
      <c r="I53" s="1676"/>
      <c r="J53" s="1676"/>
      <c r="K53" s="1676"/>
      <c r="L53" s="1676"/>
      <c r="M53" s="1676">
        <v>0</v>
      </c>
      <c r="N53" s="1676"/>
      <c r="O53" s="1631">
        <v>0</v>
      </c>
      <c r="P53" s="404"/>
      <c r="Q53" s="405">
        <f t="shared" si="0"/>
        <v>0</v>
      </c>
    </row>
    <row r="54" spans="1:17" ht="17.850000000000001" customHeight="1">
      <c r="A54" s="1632" t="s">
        <v>132</v>
      </c>
      <c r="B54" s="1633" t="s">
        <v>133</v>
      </c>
      <c r="C54" s="1680">
        <v>0</v>
      </c>
      <c r="D54" s="1680"/>
      <c r="E54" s="1634">
        <v>105329388</v>
      </c>
      <c r="F54" s="1634">
        <v>241997260</v>
      </c>
      <c r="G54" s="1680">
        <v>136667872</v>
      </c>
      <c r="H54" s="1680"/>
      <c r="I54" s="1680"/>
      <c r="J54" s="1680"/>
      <c r="K54" s="1680"/>
      <c r="L54" s="1680"/>
      <c r="M54" s="1680">
        <v>0</v>
      </c>
      <c r="N54" s="1680"/>
      <c r="O54" s="1634">
        <v>0</v>
      </c>
      <c r="P54" s="404"/>
      <c r="Q54" s="405">
        <f t="shared" si="0"/>
        <v>0</v>
      </c>
    </row>
    <row r="55" spans="1:17" ht="17.100000000000001" customHeight="1">
      <c r="A55" s="1629" t="s">
        <v>134</v>
      </c>
      <c r="B55" s="1630" t="s">
        <v>135</v>
      </c>
      <c r="C55" s="1676">
        <v>0</v>
      </c>
      <c r="D55" s="1676"/>
      <c r="E55" s="1631">
        <v>4929356</v>
      </c>
      <c r="F55" s="1631">
        <v>14478376</v>
      </c>
      <c r="G55" s="1676">
        <v>12485012</v>
      </c>
      <c r="H55" s="1676"/>
      <c r="I55" s="1676"/>
      <c r="J55" s="1676"/>
      <c r="K55" s="1676"/>
      <c r="L55" s="1676"/>
      <c r="M55" s="1676">
        <v>0</v>
      </c>
      <c r="N55" s="1676"/>
      <c r="O55" s="1631">
        <v>2935992</v>
      </c>
      <c r="P55" s="404"/>
      <c r="Q55" s="405">
        <f t="shared" si="0"/>
        <v>-2935992</v>
      </c>
    </row>
    <row r="56" spans="1:17" ht="17.850000000000001" customHeight="1">
      <c r="A56" s="1632" t="s">
        <v>526</v>
      </c>
      <c r="B56" s="1633" t="s">
        <v>135</v>
      </c>
      <c r="C56" s="1680">
        <v>0</v>
      </c>
      <c r="D56" s="1680"/>
      <c r="E56" s="1634">
        <v>4929356</v>
      </c>
      <c r="F56" s="1634">
        <v>14478376</v>
      </c>
      <c r="G56" s="1680">
        <v>11906124</v>
      </c>
      <c r="H56" s="1680"/>
      <c r="I56" s="1680"/>
      <c r="J56" s="1680"/>
      <c r="K56" s="1680"/>
      <c r="L56" s="1680"/>
      <c r="M56" s="1680">
        <v>0</v>
      </c>
      <c r="N56" s="1680"/>
      <c r="O56" s="1634">
        <v>2357104</v>
      </c>
      <c r="P56" s="404"/>
      <c r="Q56" s="405">
        <f t="shared" si="0"/>
        <v>-2357104</v>
      </c>
    </row>
    <row r="57" spans="1:17" ht="17.850000000000001" customHeight="1">
      <c r="A57" s="1632" t="s">
        <v>138</v>
      </c>
      <c r="B57" s="1633" t="s">
        <v>4121</v>
      </c>
      <c r="C57" s="1680">
        <v>0</v>
      </c>
      <c r="D57" s="1680"/>
      <c r="E57" s="1634">
        <v>0</v>
      </c>
      <c r="F57" s="1634">
        <v>0</v>
      </c>
      <c r="G57" s="1680">
        <v>578888</v>
      </c>
      <c r="H57" s="1680"/>
      <c r="I57" s="1680"/>
      <c r="J57" s="1680"/>
      <c r="K57" s="1680"/>
      <c r="L57" s="1680"/>
      <c r="M57" s="1680">
        <v>0</v>
      </c>
      <c r="N57" s="1680"/>
      <c r="O57" s="1634">
        <v>578888</v>
      </c>
      <c r="P57" s="404"/>
      <c r="Q57" s="405">
        <f t="shared" si="0"/>
        <v>-578888</v>
      </c>
    </row>
    <row r="58" spans="1:17" ht="17.100000000000001" customHeight="1">
      <c r="A58" s="1632" t="s">
        <v>146</v>
      </c>
      <c r="B58" s="1633" t="s">
        <v>147</v>
      </c>
      <c r="C58" s="1680">
        <v>0</v>
      </c>
      <c r="D58" s="1680"/>
      <c r="E58" s="1634">
        <v>0</v>
      </c>
      <c r="F58" s="1634">
        <v>3000000</v>
      </c>
      <c r="G58" s="1680">
        <v>3000000</v>
      </c>
      <c r="H58" s="1680"/>
      <c r="I58" s="1680"/>
      <c r="J58" s="1680"/>
      <c r="K58" s="1680"/>
      <c r="L58" s="1680"/>
      <c r="M58" s="1680">
        <v>0</v>
      </c>
      <c r="N58" s="1680"/>
      <c r="O58" s="1634">
        <v>0</v>
      </c>
      <c r="P58" s="404"/>
      <c r="Q58" s="405">
        <f t="shared" si="0"/>
        <v>0</v>
      </c>
    </row>
    <row r="59" spans="1:17" ht="17.850000000000001" customHeight="1">
      <c r="A59" s="1629" t="s">
        <v>148</v>
      </c>
      <c r="B59" s="1630" t="s">
        <v>149</v>
      </c>
      <c r="C59" s="1676">
        <v>0</v>
      </c>
      <c r="D59" s="1676"/>
      <c r="E59" s="1631">
        <v>61561700</v>
      </c>
      <c r="F59" s="1631">
        <v>586419961</v>
      </c>
      <c r="G59" s="1676">
        <v>586181521</v>
      </c>
      <c r="H59" s="1676"/>
      <c r="I59" s="1676"/>
      <c r="J59" s="1676"/>
      <c r="K59" s="1676"/>
      <c r="L59" s="1676"/>
      <c r="M59" s="1676">
        <v>0</v>
      </c>
      <c r="N59" s="1676"/>
      <c r="O59" s="1631">
        <v>61323260</v>
      </c>
      <c r="P59" s="404"/>
      <c r="Q59" s="405">
        <f t="shared" si="0"/>
        <v>-61323260</v>
      </c>
    </row>
    <row r="60" spans="1:17" ht="17.850000000000001" customHeight="1">
      <c r="A60" s="1632" t="s">
        <v>150</v>
      </c>
      <c r="B60" s="1633" t="s">
        <v>151</v>
      </c>
      <c r="C60" s="1680">
        <v>0</v>
      </c>
      <c r="D60" s="1680"/>
      <c r="E60" s="1634">
        <v>61561700</v>
      </c>
      <c r="F60" s="1634">
        <v>566631073</v>
      </c>
      <c r="G60" s="1680">
        <v>566392633</v>
      </c>
      <c r="H60" s="1680"/>
      <c r="I60" s="1680"/>
      <c r="J60" s="1680"/>
      <c r="K60" s="1680"/>
      <c r="L60" s="1680"/>
      <c r="M60" s="1680">
        <v>0</v>
      </c>
      <c r="N60" s="1680"/>
      <c r="O60" s="1634">
        <v>61323260</v>
      </c>
      <c r="P60" s="404"/>
      <c r="Q60" s="405">
        <f t="shared" si="0"/>
        <v>-61323260</v>
      </c>
    </row>
    <row r="61" spans="1:17" ht="17.100000000000001" customHeight="1">
      <c r="A61" s="1632" t="s">
        <v>152</v>
      </c>
      <c r="B61" s="1633" t="s">
        <v>153</v>
      </c>
      <c r="C61" s="1680">
        <v>0</v>
      </c>
      <c r="D61" s="1680"/>
      <c r="E61" s="1634">
        <v>0</v>
      </c>
      <c r="F61" s="1634">
        <v>19788888</v>
      </c>
      <c r="G61" s="1680">
        <v>19788888</v>
      </c>
      <c r="H61" s="1680"/>
      <c r="I61" s="1680"/>
      <c r="J61" s="1680"/>
      <c r="K61" s="1680"/>
      <c r="L61" s="1680"/>
      <c r="M61" s="1680">
        <v>0</v>
      </c>
      <c r="N61" s="1680"/>
      <c r="O61" s="1634">
        <v>0</v>
      </c>
      <c r="P61" s="404"/>
      <c r="Q61" s="405">
        <f t="shared" si="0"/>
        <v>0</v>
      </c>
    </row>
    <row r="62" spans="1:17" ht="17.850000000000001" customHeight="1">
      <c r="A62" s="1629" t="s">
        <v>154</v>
      </c>
      <c r="B62" s="1630" t="s">
        <v>155</v>
      </c>
      <c r="C62" s="1676">
        <v>0</v>
      </c>
      <c r="D62" s="1676"/>
      <c r="E62" s="1631">
        <v>11700</v>
      </c>
      <c r="F62" s="1631">
        <v>174212519</v>
      </c>
      <c r="G62" s="1676">
        <v>174200819</v>
      </c>
      <c r="H62" s="1676"/>
      <c r="I62" s="1676"/>
      <c r="J62" s="1676"/>
      <c r="K62" s="1676"/>
      <c r="L62" s="1676"/>
      <c r="M62" s="1676">
        <v>0</v>
      </c>
      <c r="N62" s="1676"/>
      <c r="O62" s="1631">
        <v>0</v>
      </c>
      <c r="P62" s="404"/>
      <c r="Q62" s="405">
        <f t="shared" si="0"/>
        <v>0</v>
      </c>
    </row>
    <row r="63" spans="1:17" ht="17.100000000000001" customHeight="1">
      <c r="A63" s="1629" t="s">
        <v>156</v>
      </c>
      <c r="B63" s="1630" t="s">
        <v>157</v>
      </c>
      <c r="C63" s="1676">
        <v>0</v>
      </c>
      <c r="D63" s="1676"/>
      <c r="E63" s="1631">
        <v>68083930650</v>
      </c>
      <c r="F63" s="1631">
        <v>78307368878</v>
      </c>
      <c r="G63" s="1676">
        <v>10224266228</v>
      </c>
      <c r="H63" s="1676"/>
      <c r="I63" s="1676"/>
      <c r="J63" s="1676"/>
      <c r="K63" s="1676"/>
      <c r="L63" s="1676"/>
      <c r="M63" s="1676">
        <v>0</v>
      </c>
      <c r="N63" s="1676"/>
      <c r="O63" s="1631">
        <v>828000</v>
      </c>
      <c r="P63" s="404"/>
      <c r="Q63" s="405">
        <f t="shared" si="0"/>
        <v>-828000</v>
      </c>
    </row>
    <row r="64" spans="1:17" ht="17.850000000000001" customHeight="1">
      <c r="A64" s="1632" t="s">
        <v>158</v>
      </c>
      <c r="B64" s="1633" t="s">
        <v>159</v>
      </c>
      <c r="C64" s="1680">
        <v>0</v>
      </c>
      <c r="D64" s="1680"/>
      <c r="E64" s="1634">
        <v>1296000</v>
      </c>
      <c r="F64" s="1634">
        <v>5220000</v>
      </c>
      <c r="G64" s="1680">
        <v>4752000</v>
      </c>
      <c r="H64" s="1680"/>
      <c r="I64" s="1680"/>
      <c r="J64" s="1680"/>
      <c r="K64" s="1680"/>
      <c r="L64" s="1680"/>
      <c r="M64" s="1680">
        <v>0</v>
      </c>
      <c r="N64" s="1680"/>
      <c r="O64" s="1634">
        <v>828000</v>
      </c>
      <c r="P64" s="404"/>
      <c r="Q64" s="405">
        <f t="shared" si="0"/>
        <v>-828000</v>
      </c>
    </row>
    <row r="65" spans="1:17" ht="17.850000000000001" customHeight="1">
      <c r="A65" s="1632" t="s">
        <v>160</v>
      </c>
      <c r="B65" s="1633" t="s">
        <v>161</v>
      </c>
      <c r="C65" s="1680">
        <v>0</v>
      </c>
      <c r="D65" s="1680"/>
      <c r="E65" s="1634">
        <v>0</v>
      </c>
      <c r="F65" s="1634">
        <v>39846000</v>
      </c>
      <c r="G65" s="1680">
        <v>39846000</v>
      </c>
      <c r="H65" s="1680"/>
      <c r="I65" s="1680"/>
      <c r="J65" s="1680"/>
      <c r="K65" s="1680"/>
      <c r="L65" s="1680"/>
      <c r="M65" s="1680">
        <v>0</v>
      </c>
      <c r="N65" s="1680"/>
      <c r="O65" s="1634">
        <v>0</v>
      </c>
      <c r="P65" s="404"/>
      <c r="Q65" s="405">
        <f t="shared" si="0"/>
        <v>0</v>
      </c>
    </row>
    <row r="66" spans="1:17" ht="17.100000000000001" customHeight="1">
      <c r="A66" s="1632" t="s">
        <v>162</v>
      </c>
      <c r="B66" s="1633" t="s">
        <v>163</v>
      </c>
      <c r="C66" s="1680">
        <v>0</v>
      </c>
      <c r="D66" s="1680"/>
      <c r="E66" s="1634">
        <v>0</v>
      </c>
      <c r="F66" s="1634">
        <v>7128000</v>
      </c>
      <c r="G66" s="1680">
        <v>7128000</v>
      </c>
      <c r="H66" s="1680"/>
      <c r="I66" s="1680"/>
      <c r="J66" s="1680"/>
      <c r="K66" s="1680"/>
      <c r="L66" s="1680"/>
      <c r="M66" s="1680">
        <v>0</v>
      </c>
      <c r="N66" s="1680"/>
      <c r="O66" s="1634">
        <v>0</v>
      </c>
      <c r="P66" s="404"/>
      <c r="Q66" s="405">
        <f t="shared" si="0"/>
        <v>0</v>
      </c>
    </row>
    <row r="67" spans="1:17" ht="17.850000000000001" customHeight="1">
      <c r="A67" s="1632" t="s">
        <v>164</v>
      </c>
      <c r="B67" s="1633" t="s">
        <v>165</v>
      </c>
      <c r="C67" s="1680">
        <v>0</v>
      </c>
      <c r="D67" s="1680"/>
      <c r="E67" s="1634">
        <v>0</v>
      </c>
      <c r="F67" s="1634">
        <v>1860000</v>
      </c>
      <c r="G67" s="1680">
        <v>1860000</v>
      </c>
      <c r="H67" s="1680"/>
      <c r="I67" s="1680"/>
      <c r="J67" s="1680"/>
      <c r="K67" s="1680"/>
      <c r="L67" s="1680"/>
      <c r="M67" s="1680">
        <v>0</v>
      </c>
      <c r="N67" s="1680"/>
      <c r="O67" s="1634">
        <v>0</v>
      </c>
      <c r="P67" s="404"/>
      <c r="Q67" s="405">
        <f t="shared" si="0"/>
        <v>0</v>
      </c>
    </row>
    <row r="68" spans="1:17" ht="17.850000000000001" customHeight="1">
      <c r="A68" s="1629" t="s">
        <v>168</v>
      </c>
      <c r="B68" s="1630" t="s">
        <v>157</v>
      </c>
      <c r="C68" s="1676">
        <v>0</v>
      </c>
      <c r="D68" s="1676"/>
      <c r="E68" s="1631">
        <v>68082634650</v>
      </c>
      <c r="F68" s="1631">
        <v>78253314878</v>
      </c>
      <c r="G68" s="1676">
        <v>10170680228</v>
      </c>
      <c r="H68" s="1676"/>
      <c r="I68" s="1676"/>
      <c r="J68" s="1676"/>
      <c r="K68" s="1676"/>
      <c r="L68" s="1676"/>
      <c r="M68" s="1676">
        <v>0</v>
      </c>
      <c r="N68" s="1676"/>
      <c r="O68" s="1631">
        <v>0</v>
      </c>
      <c r="P68" s="404"/>
      <c r="Q68" s="405">
        <f t="shared" si="0"/>
        <v>0</v>
      </c>
    </row>
    <row r="69" spans="1:17" ht="17.100000000000001" customHeight="1">
      <c r="A69" s="1632" t="s">
        <v>185</v>
      </c>
      <c r="B69" s="1633" t="s">
        <v>157</v>
      </c>
      <c r="C69" s="1680">
        <v>0</v>
      </c>
      <c r="D69" s="1680"/>
      <c r="E69" s="1634">
        <v>68082634650</v>
      </c>
      <c r="F69" s="1634">
        <v>78253314878</v>
      </c>
      <c r="G69" s="1680">
        <v>10170680228</v>
      </c>
      <c r="H69" s="1680"/>
      <c r="I69" s="1680"/>
      <c r="J69" s="1680"/>
      <c r="K69" s="1680"/>
      <c r="L69" s="1680"/>
      <c r="M69" s="1680">
        <v>0</v>
      </c>
      <c r="N69" s="1680"/>
      <c r="O69" s="1634">
        <v>0</v>
      </c>
      <c r="P69" s="404"/>
      <c r="Q69" s="405">
        <f t="shared" si="0"/>
        <v>0</v>
      </c>
    </row>
    <row r="70" spans="1:17" ht="17.850000000000001" customHeight="1">
      <c r="A70" s="1629" t="s">
        <v>203</v>
      </c>
      <c r="B70" s="1630" t="s">
        <v>204</v>
      </c>
      <c r="C70" s="1676">
        <v>0</v>
      </c>
      <c r="D70" s="1676"/>
      <c r="E70" s="1631">
        <v>80000000000</v>
      </c>
      <c r="F70" s="1631">
        <v>0</v>
      </c>
      <c r="G70" s="1676">
        <v>360000000000</v>
      </c>
      <c r="H70" s="1676"/>
      <c r="I70" s="1676"/>
      <c r="J70" s="1676"/>
      <c r="K70" s="1676"/>
      <c r="L70" s="1676"/>
      <c r="M70" s="1676">
        <v>0</v>
      </c>
      <c r="N70" s="1676"/>
      <c r="O70" s="1631">
        <v>440000000000</v>
      </c>
      <c r="P70" s="404"/>
      <c r="Q70" s="405">
        <f t="shared" si="0"/>
        <v>-440000000000</v>
      </c>
    </row>
    <row r="71" spans="1:17" ht="17.100000000000001" customHeight="1">
      <c r="A71" s="1629" t="s">
        <v>205</v>
      </c>
      <c r="B71" s="1630" t="s">
        <v>206</v>
      </c>
      <c r="C71" s="1676">
        <v>0</v>
      </c>
      <c r="D71" s="1676"/>
      <c r="E71" s="1631">
        <v>80000000000</v>
      </c>
      <c r="F71" s="1631">
        <v>0</v>
      </c>
      <c r="G71" s="1676">
        <v>360000000000</v>
      </c>
      <c r="H71" s="1676"/>
      <c r="I71" s="1676"/>
      <c r="J71" s="1676"/>
      <c r="K71" s="1676"/>
      <c r="L71" s="1676"/>
      <c r="M71" s="1676">
        <v>0</v>
      </c>
      <c r="N71" s="1676"/>
      <c r="O71" s="1631">
        <v>440000000000</v>
      </c>
      <c r="P71" s="404"/>
      <c r="Q71" s="405">
        <f t="shared" si="0"/>
        <v>-440000000000</v>
      </c>
    </row>
    <row r="72" spans="1:17" ht="8.85" customHeight="1">
      <c r="A72" s="1635"/>
      <c r="B72" s="1635"/>
      <c r="C72" s="1635"/>
      <c r="D72" s="1635"/>
      <c r="E72" s="1635"/>
      <c r="F72" s="1635"/>
      <c r="G72" s="1635"/>
      <c r="H72" s="1635"/>
      <c r="I72" s="1635"/>
      <c r="J72" s="1635"/>
      <c r="K72" s="1635"/>
      <c r="L72" s="1635"/>
      <c r="M72" s="1635"/>
      <c r="N72" s="1635"/>
      <c r="O72" s="1635"/>
      <c r="Q72" s="405">
        <f t="shared" si="0"/>
        <v>0</v>
      </c>
    </row>
    <row r="73" spans="1:17" ht="17.850000000000001" customHeight="1">
      <c r="K73" s="1674" t="s">
        <v>4122</v>
      </c>
      <c r="L73" s="1674"/>
      <c r="M73" s="1674"/>
      <c r="N73" s="1674"/>
      <c r="O73" s="1674"/>
      <c r="Q73" s="405">
        <f t="shared" si="0"/>
        <v>0</v>
      </c>
    </row>
    <row r="74" spans="1:17" ht="14.1" customHeight="1">
      <c r="A74" s="1682" t="s">
        <v>3711</v>
      </c>
      <c r="B74" s="1682"/>
      <c r="C74" s="1682"/>
      <c r="D74" s="1682"/>
      <c r="E74" s="1682"/>
      <c r="F74" s="1682"/>
      <c r="G74" s="1682"/>
      <c r="H74" s="1682"/>
      <c r="I74" s="1682"/>
      <c r="J74" s="1682"/>
      <c r="Q74" s="405">
        <f t="shared" si="0"/>
        <v>0</v>
      </c>
    </row>
    <row r="75" spans="1:17" ht="14.85" customHeight="1">
      <c r="A75" s="1682" t="s">
        <v>4114</v>
      </c>
      <c r="B75" s="1682"/>
      <c r="C75" s="1682"/>
      <c r="D75" s="1682"/>
      <c r="E75" s="1682"/>
      <c r="F75" s="1682"/>
      <c r="G75" s="1682"/>
      <c r="H75" s="1682"/>
      <c r="I75" s="1682"/>
      <c r="J75" s="1682"/>
      <c r="Q75" s="405">
        <f t="shared" si="0"/>
        <v>0</v>
      </c>
    </row>
    <row r="76" spans="1:17" ht="2.85" customHeight="1">
      <c r="A76" s="403"/>
      <c r="B76" s="403"/>
      <c r="C76" s="403"/>
      <c r="D76" s="403"/>
      <c r="E76" s="403"/>
      <c r="F76" s="403"/>
      <c r="G76" s="403"/>
      <c r="H76" s="403"/>
      <c r="I76" s="403"/>
      <c r="J76" s="403"/>
      <c r="K76" s="403"/>
      <c r="L76" s="403"/>
      <c r="M76" s="403"/>
      <c r="N76" s="403"/>
      <c r="O76" s="403"/>
      <c r="Q76" s="405">
        <f t="shared" si="0"/>
        <v>0</v>
      </c>
    </row>
    <row r="77" spans="1:17" ht="17.850000000000001" customHeight="1">
      <c r="A77" s="1675" t="s">
        <v>4</v>
      </c>
      <c r="B77" s="1675" t="s">
        <v>5</v>
      </c>
      <c r="C77" s="1681" t="s">
        <v>6</v>
      </c>
      <c r="D77" s="1681"/>
      <c r="E77" s="1681"/>
      <c r="F77" s="1681" t="s">
        <v>7</v>
      </c>
      <c r="G77" s="1681"/>
      <c r="H77" s="1681"/>
      <c r="I77" s="1681"/>
      <c r="J77" s="1681"/>
      <c r="K77" s="1681"/>
      <c r="L77" s="1681"/>
      <c r="M77" s="1681" t="s">
        <v>8</v>
      </c>
      <c r="N77" s="1681"/>
      <c r="O77" s="1681"/>
      <c r="P77" s="404"/>
      <c r="Q77" s="405" t="e">
        <f t="shared" si="0"/>
        <v>#VALUE!</v>
      </c>
    </row>
    <row r="78" spans="1:17" ht="17.100000000000001" customHeight="1">
      <c r="A78" s="1675"/>
      <c r="B78" s="1675"/>
      <c r="C78" s="1681" t="s">
        <v>11</v>
      </c>
      <c r="D78" s="1681"/>
      <c r="E78" s="1628" t="s">
        <v>12</v>
      </c>
      <c r="F78" s="1628" t="s">
        <v>11</v>
      </c>
      <c r="G78" s="1681" t="s">
        <v>12</v>
      </c>
      <c r="H78" s="1681"/>
      <c r="I78" s="1681"/>
      <c r="J78" s="1681"/>
      <c r="K78" s="1681"/>
      <c r="L78" s="1681"/>
      <c r="M78" s="1681" t="s">
        <v>11</v>
      </c>
      <c r="N78" s="1681"/>
      <c r="O78" s="1628" t="s">
        <v>12</v>
      </c>
      <c r="P78" s="404"/>
      <c r="Q78" s="405" t="e">
        <f t="shared" si="0"/>
        <v>#VALUE!</v>
      </c>
    </row>
    <row r="79" spans="1:17" ht="17.850000000000001" customHeight="1">
      <c r="A79" s="1632" t="s">
        <v>207</v>
      </c>
      <c r="B79" s="1633" t="s">
        <v>208</v>
      </c>
      <c r="C79" s="1680">
        <v>0</v>
      </c>
      <c r="D79" s="1680"/>
      <c r="E79" s="1634">
        <v>80000000000</v>
      </c>
      <c r="F79" s="1634">
        <v>0</v>
      </c>
      <c r="G79" s="1680">
        <v>360000000000</v>
      </c>
      <c r="H79" s="1680"/>
      <c r="I79" s="1680"/>
      <c r="J79" s="1680"/>
      <c r="K79" s="1680"/>
      <c r="L79" s="1680"/>
      <c r="M79" s="1680">
        <v>0</v>
      </c>
      <c r="N79" s="1680"/>
      <c r="O79" s="1634">
        <v>440000000000</v>
      </c>
      <c r="P79" s="404"/>
      <c r="Q79" s="405">
        <f t="shared" si="0"/>
        <v>-440000000000</v>
      </c>
    </row>
    <row r="80" spans="1:17" ht="17.850000000000001" customHeight="1">
      <c r="A80" s="1629" t="s">
        <v>213</v>
      </c>
      <c r="B80" s="1630" t="s">
        <v>214</v>
      </c>
      <c r="C80" s="1676">
        <v>133619980800</v>
      </c>
      <c r="D80" s="1676"/>
      <c r="E80" s="1631">
        <v>0</v>
      </c>
      <c r="F80" s="1631">
        <v>260443659668</v>
      </c>
      <c r="G80" s="1676">
        <v>134583335572</v>
      </c>
      <c r="H80" s="1676"/>
      <c r="I80" s="1676"/>
      <c r="J80" s="1676"/>
      <c r="K80" s="1676"/>
      <c r="L80" s="1676"/>
      <c r="M80" s="1676">
        <v>259480304896</v>
      </c>
      <c r="N80" s="1676"/>
      <c r="O80" s="1631">
        <v>0</v>
      </c>
      <c r="P80" s="404"/>
      <c r="Q80" s="405">
        <f t="shared" ref="Q80:Q124" si="1">M80-O80</f>
        <v>259480304896</v>
      </c>
    </row>
    <row r="81" spans="1:17" ht="25.35" customHeight="1">
      <c r="A81" s="1632" t="s">
        <v>215</v>
      </c>
      <c r="B81" s="1633" t="s">
        <v>216</v>
      </c>
      <c r="C81" s="1680">
        <v>976607633</v>
      </c>
      <c r="D81" s="1680"/>
      <c r="E81" s="1634">
        <v>0</v>
      </c>
      <c r="F81" s="1634">
        <v>132643373167</v>
      </c>
      <c r="G81" s="1680">
        <v>0</v>
      </c>
      <c r="H81" s="1680"/>
      <c r="I81" s="1680"/>
      <c r="J81" s="1680"/>
      <c r="K81" s="1680"/>
      <c r="L81" s="1680"/>
      <c r="M81" s="1680">
        <v>133619980800</v>
      </c>
      <c r="N81" s="1680"/>
      <c r="O81" s="1634">
        <v>0</v>
      </c>
      <c r="P81" s="404"/>
      <c r="Q81" s="405">
        <f t="shared" si="1"/>
        <v>133619980800</v>
      </c>
    </row>
    <row r="82" spans="1:17" ht="17.850000000000001" customHeight="1">
      <c r="A82" s="1632" t="s">
        <v>217</v>
      </c>
      <c r="B82" s="1633" t="s">
        <v>218</v>
      </c>
      <c r="C82" s="1680">
        <v>132643373167</v>
      </c>
      <c r="D82" s="1680"/>
      <c r="E82" s="1634">
        <v>0</v>
      </c>
      <c r="F82" s="1634">
        <v>127800286501</v>
      </c>
      <c r="G82" s="1680">
        <v>134583335572</v>
      </c>
      <c r="H82" s="1680"/>
      <c r="I82" s="1680"/>
      <c r="J82" s="1680"/>
      <c r="K82" s="1680"/>
      <c r="L82" s="1680"/>
      <c r="M82" s="1680">
        <v>125860324096</v>
      </c>
      <c r="N82" s="1680"/>
      <c r="O82" s="1634">
        <v>0</v>
      </c>
      <c r="P82" s="404"/>
      <c r="Q82" s="405">
        <f t="shared" si="1"/>
        <v>125860324096</v>
      </c>
    </row>
    <row r="83" spans="1:17" ht="17.100000000000001" customHeight="1">
      <c r="A83" s="1629" t="s">
        <v>219</v>
      </c>
      <c r="B83" s="1630" t="s">
        <v>220</v>
      </c>
      <c r="C83" s="1676">
        <v>0</v>
      </c>
      <c r="D83" s="1676"/>
      <c r="E83" s="1631">
        <v>0</v>
      </c>
      <c r="F83" s="1631">
        <v>154685607374</v>
      </c>
      <c r="G83" s="1676">
        <v>154685607374</v>
      </c>
      <c r="H83" s="1676"/>
      <c r="I83" s="1676"/>
      <c r="J83" s="1676"/>
      <c r="K83" s="1676"/>
      <c r="L83" s="1676"/>
      <c r="M83" s="1676">
        <v>0</v>
      </c>
      <c r="N83" s="1676"/>
      <c r="O83" s="1631">
        <v>0</v>
      </c>
      <c r="P83" s="404"/>
      <c r="Q83" s="405">
        <f t="shared" si="1"/>
        <v>0</v>
      </c>
    </row>
    <row r="84" spans="1:17" ht="17.850000000000001" customHeight="1">
      <c r="A84" s="1632" t="s">
        <v>720</v>
      </c>
      <c r="B84" s="1633" t="s">
        <v>744</v>
      </c>
      <c r="C84" s="1680">
        <v>0</v>
      </c>
      <c r="D84" s="1680"/>
      <c r="E84" s="1634">
        <v>0</v>
      </c>
      <c r="F84" s="1634">
        <v>154675168538</v>
      </c>
      <c r="G84" s="1680">
        <v>154675168538</v>
      </c>
      <c r="H84" s="1680"/>
      <c r="I84" s="1680"/>
      <c r="J84" s="1680"/>
      <c r="K84" s="1680"/>
      <c r="L84" s="1680"/>
      <c r="M84" s="1680">
        <v>0</v>
      </c>
      <c r="N84" s="1680"/>
      <c r="O84" s="1634">
        <v>0</v>
      </c>
      <c r="P84" s="404"/>
      <c r="Q84" s="405">
        <f t="shared" si="1"/>
        <v>0</v>
      </c>
    </row>
    <row r="85" spans="1:17" ht="17.100000000000001" customHeight="1">
      <c r="A85" s="1632" t="s">
        <v>221</v>
      </c>
      <c r="B85" s="1633" t="s">
        <v>222</v>
      </c>
      <c r="C85" s="1680">
        <v>0</v>
      </c>
      <c r="D85" s="1680"/>
      <c r="E85" s="1634">
        <v>0</v>
      </c>
      <c r="F85" s="1634">
        <v>10438836</v>
      </c>
      <c r="G85" s="1680">
        <v>10438836</v>
      </c>
      <c r="H85" s="1680"/>
      <c r="I85" s="1680"/>
      <c r="J85" s="1680"/>
      <c r="K85" s="1680"/>
      <c r="L85" s="1680"/>
      <c r="M85" s="1680">
        <v>0</v>
      </c>
      <c r="N85" s="1680"/>
      <c r="O85" s="1634">
        <v>0</v>
      </c>
      <c r="P85" s="404"/>
      <c r="Q85" s="405">
        <f t="shared" si="1"/>
        <v>0</v>
      </c>
    </row>
    <row r="86" spans="1:17" ht="17.850000000000001" customHeight="1">
      <c r="A86" s="1629" t="s">
        <v>247</v>
      </c>
      <c r="B86" s="1630" t="s">
        <v>248</v>
      </c>
      <c r="C86" s="1676">
        <v>0</v>
      </c>
      <c r="D86" s="1676"/>
      <c r="E86" s="1631">
        <v>0</v>
      </c>
      <c r="F86" s="1631">
        <v>2757028169</v>
      </c>
      <c r="G86" s="1676">
        <v>2757028169</v>
      </c>
      <c r="H86" s="1676"/>
      <c r="I86" s="1676"/>
      <c r="J86" s="1676"/>
      <c r="K86" s="1676"/>
      <c r="L86" s="1676"/>
      <c r="M86" s="1676">
        <v>0</v>
      </c>
      <c r="N86" s="1676"/>
      <c r="O86" s="1631">
        <v>0</v>
      </c>
      <c r="P86" s="404"/>
      <c r="Q86" s="405">
        <f t="shared" si="1"/>
        <v>0</v>
      </c>
    </row>
    <row r="87" spans="1:17" ht="17.850000000000001" customHeight="1">
      <c r="A87" s="1629" t="s">
        <v>303</v>
      </c>
      <c r="B87" s="1630" t="s">
        <v>304</v>
      </c>
      <c r="C87" s="1676">
        <v>0</v>
      </c>
      <c r="D87" s="1676"/>
      <c r="E87" s="1631">
        <v>0</v>
      </c>
      <c r="F87" s="1631">
        <v>153392839350</v>
      </c>
      <c r="G87" s="1676">
        <v>153392839350</v>
      </c>
      <c r="H87" s="1676"/>
      <c r="I87" s="1676"/>
      <c r="J87" s="1676"/>
      <c r="K87" s="1676"/>
      <c r="L87" s="1676"/>
      <c r="M87" s="1676">
        <v>0</v>
      </c>
      <c r="N87" s="1676"/>
      <c r="O87" s="1631">
        <v>0</v>
      </c>
      <c r="P87" s="404"/>
      <c r="Q87" s="405">
        <f t="shared" si="1"/>
        <v>0</v>
      </c>
    </row>
    <row r="88" spans="1:17" ht="17.100000000000001" customHeight="1">
      <c r="A88" s="1629" t="s">
        <v>305</v>
      </c>
      <c r="B88" s="1630" t="s">
        <v>306</v>
      </c>
      <c r="C88" s="1676">
        <v>0</v>
      </c>
      <c r="D88" s="1676"/>
      <c r="E88" s="1631">
        <v>0</v>
      </c>
      <c r="F88" s="1631">
        <v>128574399654</v>
      </c>
      <c r="G88" s="1676">
        <v>128574399654</v>
      </c>
      <c r="H88" s="1676"/>
      <c r="I88" s="1676"/>
      <c r="J88" s="1676"/>
      <c r="K88" s="1676"/>
      <c r="L88" s="1676"/>
      <c r="M88" s="1676">
        <v>0</v>
      </c>
      <c r="N88" s="1676"/>
      <c r="O88" s="1631">
        <v>0</v>
      </c>
      <c r="P88" s="404"/>
      <c r="Q88" s="405">
        <f t="shared" si="1"/>
        <v>0</v>
      </c>
    </row>
    <row r="89" spans="1:17" ht="17.850000000000001" customHeight="1">
      <c r="A89" s="1629" t="s">
        <v>333</v>
      </c>
      <c r="B89" s="1630" t="s">
        <v>334</v>
      </c>
      <c r="C89" s="1676">
        <v>0</v>
      </c>
      <c r="D89" s="1676"/>
      <c r="E89" s="1631">
        <v>0</v>
      </c>
      <c r="F89" s="1631">
        <v>954451231</v>
      </c>
      <c r="G89" s="1676">
        <v>954451231</v>
      </c>
      <c r="H89" s="1676"/>
      <c r="I89" s="1676"/>
      <c r="J89" s="1676"/>
      <c r="K89" s="1676"/>
      <c r="L89" s="1676"/>
      <c r="M89" s="1676">
        <v>0</v>
      </c>
      <c r="N89" s="1676"/>
      <c r="O89" s="1631">
        <v>0</v>
      </c>
      <c r="P89" s="404"/>
      <c r="Q89" s="405">
        <f t="shared" si="1"/>
        <v>0</v>
      </c>
    </row>
    <row r="90" spans="1:17" ht="17.100000000000001" customHeight="1">
      <c r="A90" s="1629" t="s">
        <v>335</v>
      </c>
      <c r="B90" s="1630" t="s">
        <v>336</v>
      </c>
      <c r="C90" s="1676">
        <v>0</v>
      </c>
      <c r="D90" s="1676"/>
      <c r="E90" s="1631">
        <v>0</v>
      </c>
      <c r="F90" s="1631">
        <v>100484571</v>
      </c>
      <c r="G90" s="1676">
        <v>100484571</v>
      </c>
      <c r="H90" s="1676"/>
      <c r="I90" s="1676"/>
      <c r="J90" s="1676"/>
      <c r="K90" s="1676"/>
      <c r="L90" s="1676"/>
      <c r="M90" s="1676">
        <v>0</v>
      </c>
      <c r="N90" s="1676"/>
      <c r="O90" s="1631">
        <v>0</v>
      </c>
      <c r="P90" s="404"/>
      <c r="Q90" s="405">
        <f t="shared" si="1"/>
        <v>0</v>
      </c>
    </row>
    <row r="91" spans="1:17" ht="17.850000000000001" customHeight="1">
      <c r="A91" s="1632" t="s">
        <v>831</v>
      </c>
      <c r="B91" s="1633" t="s">
        <v>2515</v>
      </c>
      <c r="C91" s="1680">
        <v>0</v>
      </c>
      <c r="D91" s="1680"/>
      <c r="E91" s="1634">
        <v>0</v>
      </c>
      <c r="F91" s="1634">
        <v>92978571</v>
      </c>
      <c r="G91" s="1680">
        <v>92978571</v>
      </c>
      <c r="H91" s="1680"/>
      <c r="I91" s="1680"/>
      <c r="J91" s="1680"/>
      <c r="K91" s="1680"/>
      <c r="L91" s="1680"/>
      <c r="M91" s="1680">
        <v>0</v>
      </c>
      <c r="N91" s="1680"/>
      <c r="O91" s="1634">
        <v>0</v>
      </c>
      <c r="P91" s="404"/>
      <c r="Q91" s="405">
        <f t="shared" si="1"/>
        <v>0</v>
      </c>
    </row>
    <row r="92" spans="1:17" ht="17.850000000000001" customHeight="1">
      <c r="A92" s="1632" t="s">
        <v>837</v>
      </c>
      <c r="B92" s="1633" t="s">
        <v>2518</v>
      </c>
      <c r="C92" s="1680">
        <v>0</v>
      </c>
      <c r="D92" s="1680"/>
      <c r="E92" s="1634">
        <v>0</v>
      </c>
      <c r="F92" s="1634">
        <v>6336000</v>
      </c>
      <c r="G92" s="1680">
        <v>6336000</v>
      </c>
      <c r="H92" s="1680"/>
      <c r="I92" s="1680"/>
      <c r="J92" s="1680"/>
      <c r="K92" s="1680"/>
      <c r="L92" s="1680"/>
      <c r="M92" s="1680">
        <v>0</v>
      </c>
      <c r="N92" s="1680"/>
      <c r="O92" s="1634">
        <v>0</v>
      </c>
      <c r="P92" s="404"/>
      <c r="Q92" s="405">
        <f t="shared" si="1"/>
        <v>0</v>
      </c>
    </row>
    <row r="93" spans="1:17" ht="17.100000000000001" customHeight="1">
      <c r="A93" s="1632" t="s">
        <v>2520</v>
      </c>
      <c r="B93" s="1633" t="s">
        <v>2521</v>
      </c>
      <c r="C93" s="1680">
        <v>0</v>
      </c>
      <c r="D93" s="1680"/>
      <c r="E93" s="1634">
        <v>0</v>
      </c>
      <c r="F93" s="1634">
        <v>1170000</v>
      </c>
      <c r="G93" s="1680">
        <v>1170000</v>
      </c>
      <c r="H93" s="1680"/>
      <c r="I93" s="1680"/>
      <c r="J93" s="1680"/>
      <c r="K93" s="1680"/>
      <c r="L93" s="1680"/>
      <c r="M93" s="1680">
        <v>0</v>
      </c>
      <c r="N93" s="1680"/>
      <c r="O93" s="1634">
        <v>0</v>
      </c>
      <c r="P93" s="404"/>
      <c r="Q93" s="405">
        <f t="shared" si="1"/>
        <v>0</v>
      </c>
    </row>
    <row r="94" spans="1:17" ht="17.850000000000001" customHeight="1">
      <c r="A94" s="1629" t="s">
        <v>346</v>
      </c>
      <c r="B94" s="1630" t="s">
        <v>272</v>
      </c>
      <c r="C94" s="1676">
        <v>0</v>
      </c>
      <c r="D94" s="1676"/>
      <c r="E94" s="1631">
        <v>0</v>
      </c>
      <c r="F94" s="1631">
        <v>607670125</v>
      </c>
      <c r="G94" s="1676">
        <v>607670125</v>
      </c>
      <c r="H94" s="1676"/>
      <c r="I94" s="1676"/>
      <c r="J94" s="1676"/>
      <c r="K94" s="1676"/>
      <c r="L94" s="1676"/>
      <c r="M94" s="1676">
        <v>0</v>
      </c>
      <c r="N94" s="1676"/>
      <c r="O94" s="1631">
        <v>0</v>
      </c>
      <c r="P94" s="404"/>
      <c r="Q94" s="405">
        <f t="shared" si="1"/>
        <v>0</v>
      </c>
    </row>
    <row r="95" spans="1:17" ht="17.850000000000001" customHeight="1">
      <c r="A95" s="1632" t="s">
        <v>347</v>
      </c>
      <c r="B95" s="1633" t="s">
        <v>288</v>
      </c>
      <c r="C95" s="1680">
        <v>0</v>
      </c>
      <c r="D95" s="1680"/>
      <c r="E95" s="1634">
        <v>0</v>
      </c>
      <c r="F95" s="1634">
        <v>463577557</v>
      </c>
      <c r="G95" s="1680">
        <v>463577557</v>
      </c>
      <c r="H95" s="1680"/>
      <c r="I95" s="1680"/>
      <c r="J95" s="1680"/>
      <c r="K95" s="1680"/>
      <c r="L95" s="1680"/>
      <c r="M95" s="1680">
        <v>0</v>
      </c>
      <c r="N95" s="1680"/>
      <c r="O95" s="1634">
        <v>0</v>
      </c>
      <c r="P95" s="404"/>
      <c r="Q95" s="405">
        <f t="shared" si="1"/>
        <v>0</v>
      </c>
    </row>
    <row r="96" spans="1:17" ht="17.100000000000001" customHeight="1">
      <c r="A96" s="1632" t="s">
        <v>348</v>
      </c>
      <c r="B96" s="1633" t="s">
        <v>364</v>
      </c>
      <c r="C96" s="1680">
        <v>0</v>
      </c>
      <c r="D96" s="1680"/>
      <c r="E96" s="1634">
        <v>0</v>
      </c>
      <c r="F96" s="1634">
        <v>7370000</v>
      </c>
      <c r="G96" s="1680">
        <v>7370000</v>
      </c>
      <c r="H96" s="1680"/>
      <c r="I96" s="1680"/>
      <c r="J96" s="1680"/>
      <c r="K96" s="1680"/>
      <c r="L96" s="1680"/>
      <c r="M96" s="1680">
        <v>0</v>
      </c>
      <c r="N96" s="1680"/>
      <c r="O96" s="1634">
        <v>0</v>
      </c>
      <c r="P96" s="404"/>
      <c r="Q96" s="405">
        <f t="shared" si="1"/>
        <v>0</v>
      </c>
    </row>
    <row r="97" spans="1:17" ht="17.850000000000001" customHeight="1">
      <c r="A97" s="1632" t="s">
        <v>350</v>
      </c>
      <c r="B97" s="1633" t="s">
        <v>290</v>
      </c>
      <c r="C97" s="1680">
        <v>0</v>
      </c>
      <c r="D97" s="1680"/>
      <c r="E97" s="1634">
        <v>0</v>
      </c>
      <c r="F97" s="1634">
        <v>136722568</v>
      </c>
      <c r="G97" s="1680">
        <v>136722568</v>
      </c>
      <c r="H97" s="1680"/>
      <c r="I97" s="1680"/>
      <c r="J97" s="1680"/>
      <c r="K97" s="1680"/>
      <c r="L97" s="1680"/>
      <c r="M97" s="1680">
        <v>0</v>
      </c>
      <c r="N97" s="1680"/>
      <c r="O97" s="1634">
        <v>0</v>
      </c>
      <c r="P97" s="404"/>
      <c r="Q97" s="405">
        <f t="shared" si="1"/>
        <v>0</v>
      </c>
    </row>
    <row r="98" spans="1:17" ht="17.100000000000001" customHeight="1">
      <c r="A98" s="1632" t="s">
        <v>369</v>
      </c>
      <c r="B98" s="1633" t="s">
        <v>302</v>
      </c>
      <c r="C98" s="1680">
        <v>0</v>
      </c>
      <c r="D98" s="1680"/>
      <c r="E98" s="1634">
        <v>0</v>
      </c>
      <c r="F98" s="1634">
        <v>246296535</v>
      </c>
      <c r="G98" s="1680">
        <v>246296535</v>
      </c>
      <c r="H98" s="1680"/>
      <c r="I98" s="1680"/>
      <c r="J98" s="1680"/>
      <c r="K98" s="1680"/>
      <c r="L98" s="1680"/>
      <c r="M98" s="1680">
        <v>0</v>
      </c>
      <c r="N98" s="1680"/>
      <c r="O98" s="1634">
        <v>0</v>
      </c>
      <c r="P98" s="404"/>
      <c r="Q98" s="405">
        <f t="shared" si="1"/>
        <v>0</v>
      </c>
    </row>
    <row r="99" spans="1:17" ht="17.850000000000001" customHeight="1">
      <c r="A99" s="1629" t="s">
        <v>374</v>
      </c>
      <c r="B99" s="1630" t="s">
        <v>375</v>
      </c>
      <c r="C99" s="1676">
        <v>0</v>
      </c>
      <c r="D99" s="1676"/>
      <c r="E99" s="1631">
        <v>0</v>
      </c>
      <c r="F99" s="1631">
        <v>1908671602</v>
      </c>
      <c r="G99" s="1676">
        <v>1908671602</v>
      </c>
      <c r="H99" s="1676"/>
      <c r="I99" s="1676"/>
      <c r="J99" s="1676"/>
      <c r="K99" s="1676"/>
      <c r="L99" s="1676"/>
      <c r="M99" s="1676">
        <v>0</v>
      </c>
      <c r="N99" s="1676"/>
      <c r="O99" s="1631">
        <v>0</v>
      </c>
      <c r="P99" s="404"/>
      <c r="Q99" s="405">
        <f t="shared" si="1"/>
        <v>0</v>
      </c>
    </row>
    <row r="100" spans="1:17" ht="17.850000000000001" customHeight="1">
      <c r="A100" s="1629" t="s">
        <v>376</v>
      </c>
      <c r="B100" s="1630" t="s">
        <v>377</v>
      </c>
      <c r="C100" s="1676">
        <v>0</v>
      </c>
      <c r="D100" s="1676"/>
      <c r="E100" s="1631">
        <v>0</v>
      </c>
      <c r="F100" s="1631">
        <v>508216273</v>
      </c>
      <c r="G100" s="1676">
        <v>508216273</v>
      </c>
      <c r="H100" s="1676"/>
      <c r="I100" s="1676"/>
      <c r="J100" s="1676"/>
      <c r="K100" s="1676"/>
      <c r="L100" s="1676"/>
      <c r="M100" s="1676">
        <v>0</v>
      </c>
      <c r="N100" s="1676"/>
      <c r="O100" s="1631">
        <v>0</v>
      </c>
      <c r="P100" s="404"/>
      <c r="Q100" s="405">
        <f t="shared" si="1"/>
        <v>0</v>
      </c>
    </row>
    <row r="101" spans="1:17" ht="17.100000000000001" customHeight="1">
      <c r="A101" s="1632" t="s">
        <v>721</v>
      </c>
      <c r="B101" s="1633" t="s">
        <v>2515</v>
      </c>
      <c r="C101" s="1680">
        <v>0</v>
      </c>
      <c r="D101" s="1680"/>
      <c r="E101" s="1634">
        <v>0</v>
      </c>
      <c r="F101" s="1634">
        <v>472263773</v>
      </c>
      <c r="G101" s="1680">
        <v>472263773</v>
      </c>
      <c r="H101" s="1680"/>
      <c r="I101" s="1680"/>
      <c r="J101" s="1680"/>
      <c r="K101" s="1680"/>
      <c r="L101" s="1680"/>
      <c r="M101" s="1680">
        <v>0</v>
      </c>
      <c r="N101" s="1680"/>
      <c r="O101" s="1634">
        <v>0</v>
      </c>
      <c r="P101" s="404"/>
      <c r="Q101" s="405">
        <f t="shared" si="1"/>
        <v>0</v>
      </c>
    </row>
    <row r="102" spans="1:17" ht="17.850000000000001" customHeight="1">
      <c r="A102" s="1632" t="s">
        <v>722</v>
      </c>
      <c r="B102" s="1633" t="s">
        <v>2518</v>
      </c>
      <c r="C102" s="1680">
        <v>0</v>
      </c>
      <c r="D102" s="1680"/>
      <c r="E102" s="1634">
        <v>0</v>
      </c>
      <c r="F102" s="1634">
        <v>29034000</v>
      </c>
      <c r="G102" s="1680">
        <v>29034000</v>
      </c>
      <c r="H102" s="1680"/>
      <c r="I102" s="1680"/>
      <c r="J102" s="1680"/>
      <c r="K102" s="1680"/>
      <c r="L102" s="1680"/>
      <c r="M102" s="1680">
        <v>0</v>
      </c>
      <c r="N102" s="1680"/>
      <c r="O102" s="1634">
        <v>0</v>
      </c>
      <c r="P102" s="404"/>
      <c r="Q102" s="405">
        <f t="shared" si="1"/>
        <v>0</v>
      </c>
    </row>
    <row r="103" spans="1:17" ht="17.850000000000001" customHeight="1">
      <c r="A103" s="1632" t="s">
        <v>724</v>
      </c>
      <c r="B103" s="1633" t="s">
        <v>2542</v>
      </c>
      <c r="C103" s="1680">
        <v>0</v>
      </c>
      <c r="D103" s="1680"/>
      <c r="E103" s="1634">
        <v>0</v>
      </c>
      <c r="F103" s="1634">
        <v>6918500</v>
      </c>
      <c r="G103" s="1680">
        <v>6918500</v>
      </c>
      <c r="H103" s="1680"/>
      <c r="I103" s="1680"/>
      <c r="J103" s="1680"/>
      <c r="K103" s="1680"/>
      <c r="L103" s="1680"/>
      <c r="M103" s="1680">
        <v>0</v>
      </c>
      <c r="N103" s="1680"/>
      <c r="O103" s="1634">
        <v>0</v>
      </c>
      <c r="P103" s="404"/>
      <c r="Q103" s="405">
        <f t="shared" si="1"/>
        <v>0</v>
      </c>
    </row>
    <row r="104" spans="1:17" ht="17.100000000000001" customHeight="1">
      <c r="A104" s="1632" t="s">
        <v>381</v>
      </c>
      <c r="B104" s="1633" t="s">
        <v>382</v>
      </c>
      <c r="C104" s="1680">
        <v>0</v>
      </c>
      <c r="D104" s="1680"/>
      <c r="E104" s="1634">
        <v>0</v>
      </c>
      <c r="F104" s="1634">
        <v>21195172</v>
      </c>
      <c r="G104" s="1680">
        <v>21195172</v>
      </c>
      <c r="H104" s="1680"/>
      <c r="I104" s="1680"/>
      <c r="J104" s="1680"/>
      <c r="K104" s="1680"/>
      <c r="L104" s="1680"/>
      <c r="M104" s="1680">
        <v>0</v>
      </c>
      <c r="N104" s="1680"/>
      <c r="O104" s="1634">
        <v>0</v>
      </c>
      <c r="P104" s="404"/>
      <c r="Q104" s="405">
        <f t="shared" si="1"/>
        <v>0</v>
      </c>
    </row>
    <row r="105" spans="1:17" ht="17.850000000000001" customHeight="1">
      <c r="A105" s="1632" t="s">
        <v>384</v>
      </c>
      <c r="B105" s="1633" t="s">
        <v>385</v>
      </c>
      <c r="C105" s="1680">
        <v>0</v>
      </c>
      <c r="D105" s="1680"/>
      <c r="E105" s="1634">
        <v>0</v>
      </c>
      <c r="F105" s="1634">
        <v>3000000</v>
      </c>
      <c r="G105" s="1680">
        <v>3000000</v>
      </c>
      <c r="H105" s="1680"/>
      <c r="I105" s="1680"/>
      <c r="J105" s="1680"/>
      <c r="K105" s="1680"/>
      <c r="L105" s="1680"/>
      <c r="M105" s="1680">
        <v>0</v>
      </c>
      <c r="N105" s="1680"/>
      <c r="O105" s="1634">
        <v>0</v>
      </c>
      <c r="P105" s="404"/>
      <c r="Q105" s="405">
        <f t="shared" si="1"/>
        <v>0</v>
      </c>
    </row>
    <row r="106" spans="1:17" ht="17.100000000000001" customHeight="1">
      <c r="A106" s="1629" t="s">
        <v>386</v>
      </c>
      <c r="B106" s="1630" t="s">
        <v>272</v>
      </c>
      <c r="C106" s="1676">
        <v>0</v>
      </c>
      <c r="D106" s="1676"/>
      <c r="E106" s="1631">
        <v>0</v>
      </c>
      <c r="F106" s="1631">
        <v>1367295747</v>
      </c>
      <c r="G106" s="1676">
        <v>1367295747</v>
      </c>
      <c r="H106" s="1676"/>
      <c r="I106" s="1676"/>
      <c r="J106" s="1676"/>
      <c r="K106" s="1676"/>
      <c r="L106" s="1676"/>
      <c r="M106" s="1676">
        <v>0</v>
      </c>
      <c r="N106" s="1676"/>
      <c r="O106" s="1631">
        <v>0</v>
      </c>
      <c r="P106" s="404"/>
      <c r="Q106" s="405">
        <f t="shared" si="1"/>
        <v>0</v>
      </c>
    </row>
    <row r="107" spans="1:17" ht="1.5" customHeight="1">
      <c r="A107" s="1635"/>
      <c r="B107" s="1635"/>
      <c r="C107" s="1635"/>
      <c r="D107" s="1635"/>
      <c r="E107" s="1635"/>
      <c r="F107" s="1635"/>
      <c r="G107" s="1635"/>
      <c r="H107" s="1635"/>
      <c r="I107" s="1635"/>
      <c r="J107" s="1635"/>
      <c r="K107" s="1635"/>
      <c r="L107" s="1635"/>
      <c r="M107" s="1635"/>
      <c r="N107" s="1635"/>
      <c r="O107" s="1635"/>
      <c r="Q107" s="405">
        <f t="shared" si="1"/>
        <v>0</v>
      </c>
    </row>
    <row r="108" spans="1:17" ht="17.100000000000001" customHeight="1">
      <c r="K108" s="1674" t="s">
        <v>4123</v>
      </c>
      <c r="L108" s="1674"/>
      <c r="M108" s="1674"/>
      <c r="N108" s="1674"/>
      <c r="O108" s="1674"/>
      <c r="Q108" s="405">
        <f t="shared" si="1"/>
        <v>0</v>
      </c>
    </row>
    <row r="109" spans="1:17" ht="14.85" customHeight="1">
      <c r="A109" s="1682" t="s">
        <v>3711</v>
      </c>
      <c r="B109" s="1682"/>
      <c r="C109" s="1682"/>
      <c r="D109" s="1682"/>
      <c r="E109" s="1682"/>
      <c r="F109" s="1682"/>
      <c r="G109" s="1682"/>
      <c r="H109" s="1682"/>
      <c r="I109" s="1682"/>
      <c r="J109" s="1682"/>
      <c r="Q109" s="405">
        <f t="shared" si="1"/>
        <v>0</v>
      </c>
    </row>
    <row r="110" spans="1:17" ht="14.85" customHeight="1">
      <c r="A110" s="1682" t="s">
        <v>4114</v>
      </c>
      <c r="B110" s="1682"/>
      <c r="C110" s="1682"/>
      <c r="D110" s="1682"/>
      <c r="E110" s="1682"/>
      <c r="F110" s="1682"/>
      <c r="G110" s="1682"/>
      <c r="H110" s="1682"/>
      <c r="I110" s="1682"/>
      <c r="J110" s="1682"/>
      <c r="Q110" s="405">
        <f t="shared" si="1"/>
        <v>0</v>
      </c>
    </row>
    <row r="111" spans="1:17" ht="2.85" customHeight="1">
      <c r="A111" s="403"/>
      <c r="B111" s="403"/>
      <c r="C111" s="403"/>
      <c r="D111" s="403"/>
      <c r="E111" s="403"/>
      <c r="F111" s="403"/>
      <c r="G111" s="403"/>
      <c r="H111" s="403"/>
      <c r="I111" s="403"/>
      <c r="J111" s="403"/>
      <c r="K111" s="403"/>
      <c r="L111" s="403"/>
      <c r="M111" s="403"/>
      <c r="N111" s="403"/>
      <c r="O111" s="403"/>
      <c r="Q111" s="405">
        <f t="shared" si="1"/>
        <v>0</v>
      </c>
    </row>
    <row r="112" spans="1:17" ht="17.100000000000001" customHeight="1">
      <c r="A112" s="1675" t="s">
        <v>4</v>
      </c>
      <c r="B112" s="1675" t="s">
        <v>5</v>
      </c>
      <c r="C112" s="1681" t="s">
        <v>6</v>
      </c>
      <c r="D112" s="1681"/>
      <c r="E112" s="1681"/>
      <c r="F112" s="1681" t="s">
        <v>7</v>
      </c>
      <c r="G112" s="1681"/>
      <c r="H112" s="1681"/>
      <c r="I112" s="1681"/>
      <c r="J112" s="1681"/>
      <c r="K112" s="1681"/>
      <c r="L112" s="1681"/>
      <c r="M112" s="1681" t="s">
        <v>8</v>
      </c>
      <c r="N112" s="1681"/>
      <c r="O112" s="1681"/>
      <c r="P112" s="404"/>
      <c r="Q112" s="405" t="e">
        <f t="shared" si="1"/>
        <v>#VALUE!</v>
      </c>
    </row>
    <row r="113" spans="1:17" ht="17.850000000000001" customHeight="1">
      <c r="A113" s="1675"/>
      <c r="B113" s="1675"/>
      <c r="C113" s="1681" t="s">
        <v>11</v>
      </c>
      <c r="D113" s="1681"/>
      <c r="E113" s="1628" t="s">
        <v>12</v>
      </c>
      <c r="F113" s="1628" t="s">
        <v>11</v>
      </c>
      <c r="G113" s="1681" t="s">
        <v>12</v>
      </c>
      <c r="H113" s="1681"/>
      <c r="I113" s="1681"/>
      <c r="J113" s="1681"/>
      <c r="K113" s="1681"/>
      <c r="L113" s="1681"/>
      <c r="M113" s="1681" t="s">
        <v>11</v>
      </c>
      <c r="N113" s="1681"/>
      <c r="O113" s="1628" t="s">
        <v>12</v>
      </c>
      <c r="P113" s="404"/>
      <c r="Q113" s="405" t="e">
        <f t="shared" si="1"/>
        <v>#VALUE!</v>
      </c>
    </row>
    <row r="114" spans="1:17" ht="17.100000000000001" customHeight="1">
      <c r="A114" s="1632" t="s">
        <v>387</v>
      </c>
      <c r="B114" s="1633" t="s">
        <v>394</v>
      </c>
      <c r="C114" s="1680">
        <v>0</v>
      </c>
      <c r="D114" s="1680"/>
      <c r="E114" s="1634">
        <v>0</v>
      </c>
      <c r="F114" s="1634">
        <v>2275797</v>
      </c>
      <c r="G114" s="1680">
        <v>2275797</v>
      </c>
      <c r="H114" s="1680"/>
      <c r="I114" s="1680"/>
      <c r="J114" s="1680"/>
      <c r="K114" s="1680"/>
      <c r="L114" s="1680"/>
      <c r="M114" s="1680">
        <v>0</v>
      </c>
      <c r="N114" s="1680"/>
      <c r="O114" s="1634">
        <v>0</v>
      </c>
      <c r="P114" s="404"/>
      <c r="Q114" s="405">
        <f t="shared" si="1"/>
        <v>0</v>
      </c>
    </row>
    <row r="115" spans="1:17" ht="17.850000000000001" customHeight="1">
      <c r="A115" s="1632" t="s">
        <v>389</v>
      </c>
      <c r="B115" s="1633" t="s">
        <v>414</v>
      </c>
      <c r="C115" s="1680">
        <v>0</v>
      </c>
      <c r="D115" s="1680"/>
      <c r="E115" s="1634">
        <v>0</v>
      </c>
      <c r="F115" s="1634">
        <v>173518052</v>
      </c>
      <c r="G115" s="1680">
        <v>173518052</v>
      </c>
      <c r="H115" s="1680"/>
      <c r="I115" s="1680"/>
      <c r="J115" s="1680"/>
      <c r="K115" s="1680"/>
      <c r="L115" s="1680"/>
      <c r="M115" s="1680">
        <v>0</v>
      </c>
      <c r="N115" s="1680"/>
      <c r="O115" s="1634">
        <v>0</v>
      </c>
      <c r="P115" s="404"/>
      <c r="Q115" s="405">
        <f t="shared" si="1"/>
        <v>0</v>
      </c>
    </row>
    <row r="116" spans="1:17" ht="17.850000000000001" customHeight="1">
      <c r="A116" s="1632" t="s">
        <v>395</v>
      </c>
      <c r="B116" s="1633" t="s">
        <v>288</v>
      </c>
      <c r="C116" s="1680">
        <v>0</v>
      </c>
      <c r="D116" s="1680"/>
      <c r="E116" s="1634">
        <v>0</v>
      </c>
      <c r="F116" s="1634">
        <v>491332835</v>
      </c>
      <c r="G116" s="1680">
        <v>491332835</v>
      </c>
      <c r="H116" s="1680"/>
      <c r="I116" s="1680"/>
      <c r="J116" s="1680"/>
      <c r="K116" s="1680"/>
      <c r="L116" s="1680"/>
      <c r="M116" s="1680">
        <v>0</v>
      </c>
      <c r="N116" s="1680"/>
      <c r="O116" s="1634">
        <v>0</v>
      </c>
      <c r="P116" s="404"/>
      <c r="Q116" s="405">
        <f t="shared" si="1"/>
        <v>0</v>
      </c>
    </row>
    <row r="117" spans="1:17" ht="17.100000000000001" customHeight="1">
      <c r="A117" s="1632" t="s">
        <v>397</v>
      </c>
      <c r="B117" s="1633" t="s">
        <v>364</v>
      </c>
      <c r="C117" s="1680">
        <v>0</v>
      </c>
      <c r="D117" s="1680"/>
      <c r="E117" s="1634">
        <v>0</v>
      </c>
      <c r="F117" s="1634">
        <v>555003967</v>
      </c>
      <c r="G117" s="1680">
        <v>555003967</v>
      </c>
      <c r="H117" s="1680"/>
      <c r="I117" s="1680"/>
      <c r="J117" s="1680"/>
      <c r="K117" s="1680"/>
      <c r="L117" s="1680"/>
      <c r="M117" s="1680">
        <v>0</v>
      </c>
      <c r="N117" s="1680"/>
      <c r="O117" s="1634">
        <v>0</v>
      </c>
      <c r="P117" s="404"/>
      <c r="Q117" s="405">
        <f>M117-O117</f>
        <v>0</v>
      </c>
    </row>
    <row r="118" spans="1:17" ht="17.850000000000001" customHeight="1">
      <c r="A118" s="1632" t="s">
        <v>398</v>
      </c>
      <c r="B118" s="1633" t="s">
        <v>290</v>
      </c>
      <c r="C118" s="1680">
        <v>0</v>
      </c>
      <c r="D118" s="1680"/>
      <c r="E118" s="1634">
        <v>0</v>
      </c>
      <c r="F118" s="1634">
        <v>144765096</v>
      </c>
      <c r="G118" s="1680">
        <v>144765096</v>
      </c>
      <c r="H118" s="1680"/>
      <c r="I118" s="1680"/>
      <c r="J118" s="1680"/>
      <c r="K118" s="1680"/>
      <c r="L118" s="1680"/>
      <c r="M118" s="1680">
        <v>0</v>
      </c>
      <c r="N118" s="1680"/>
      <c r="O118" s="1634">
        <v>0</v>
      </c>
      <c r="P118" s="404"/>
      <c r="Q118" s="405">
        <f t="shared" si="1"/>
        <v>0</v>
      </c>
    </row>
    <row r="119" spans="1:17" ht="17.100000000000001" customHeight="1">
      <c r="A119" s="1632" t="s">
        <v>422</v>
      </c>
      <c r="B119" s="1633" t="s">
        <v>423</v>
      </c>
      <c r="C119" s="1680">
        <v>0</v>
      </c>
      <c r="D119" s="1680"/>
      <c r="E119" s="1634">
        <v>0</v>
      </c>
      <c r="F119" s="1634">
        <v>400000</v>
      </c>
      <c r="G119" s="1680">
        <v>400000</v>
      </c>
      <c r="H119" s="1680"/>
      <c r="I119" s="1680"/>
      <c r="J119" s="1680"/>
      <c r="K119" s="1680"/>
      <c r="L119" s="1680"/>
      <c r="M119" s="1680">
        <v>0</v>
      </c>
      <c r="N119" s="1680"/>
      <c r="O119" s="1634">
        <v>0</v>
      </c>
      <c r="P119" s="404"/>
      <c r="Q119" s="405">
        <f t="shared" si="1"/>
        <v>0</v>
      </c>
    </row>
    <row r="120" spans="1:17" ht="17.850000000000001" customHeight="1">
      <c r="A120" s="1632" t="s">
        <v>434</v>
      </c>
      <c r="B120" s="1633" t="s">
        <v>302</v>
      </c>
      <c r="C120" s="1680">
        <v>0</v>
      </c>
      <c r="D120" s="1680"/>
      <c r="E120" s="1634">
        <v>0</v>
      </c>
      <c r="F120" s="1634">
        <v>8964410</v>
      </c>
      <c r="G120" s="1680">
        <v>8964410</v>
      </c>
      <c r="H120" s="1680"/>
      <c r="I120" s="1680"/>
      <c r="J120" s="1680"/>
      <c r="K120" s="1680"/>
      <c r="L120" s="1680"/>
      <c r="M120" s="1680">
        <v>0</v>
      </c>
      <c r="N120" s="1680"/>
      <c r="O120" s="1634">
        <v>0</v>
      </c>
      <c r="P120" s="404"/>
      <c r="Q120" s="405">
        <f t="shared" si="1"/>
        <v>0</v>
      </c>
    </row>
    <row r="121" spans="1:17" ht="17.850000000000001" customHeight="1">
      <c r="A121" s="1629" t="s">
        <v>442</v>
      </c>
      <c r="B121" s="1630" t="s">
        <v>443</v>
      </c>
      <c r="C121" s="1676">
        <v>0</v>
      </c>
      <c r="D121" s="1676"/>
      <c r="E121" s="1631">
        <v>0</v>
      </c>
      <c r="F121" s="1631">
        <v>14631</v>
      </c>
      <c r="G121" s="1676">
        <v>14631</v>
      </c>
      <c r="H121" s="1676"/>
      <c r="I121" s="1676"/>
      <c r="J121" s="1676"/>
      <c r="K121" s="1676"/>
      <c r="L121" s="1676"/>
      <c r="M121" s="1676">
        <v>0</v>
      </c>
      <c r="N121" s="1676"/>
      <c r="O121" s="1631">
        <v>0</v>
      </c>
      <c r="P121" s="404"/>
      <c r="Q121" s="405">
        <f t="shared" si="1"/>
        <v>0</v>
      </c>
    </row>
    <row r="122" spans="1:17" ht="17.100000000000001" customHeight="1">
      <c r="A122" s="1629" t="s">
        <v>444</v>
      </c>
      <c r="B122" s="1630" t="s">
        <v>445</v>
      </c>
      <c r="C122" s="1676">
        <v>0</v>
      </c>
      <c r="D122" s="1676"/>
      <c r="E122" s="1631">
        <v>0</v>
      </c>
      <c r="F122" s="1631">
        <v>494443904</v>
      </c>
      <c r="G122" s="1676">
        <v>494443904</v>
      </c>
      <c r="H122" s="1676"/>
      <c r="I122" s="1676"/>
      <c r="J122" s="1676"/>
      <c r="K122" s="1676"/>
      <c r="L122" s="1676"/>
      <c r="M122" s="1676">
        <v>0</v>
      </c>
      <c r="N122" s="1676"/>
      <c r="O122" s="1631">
        <v>0</v>
      </c>
      <c r="P122" s="404"/>
      <c r="Q122" s="405">
        <f t="shared" si="1"/>
        <v>0</v>
      </c>
    </row>
    <row r="123" spans="1:17" ht="17.850000000000001" customHeight="1">
      <c r="A123" s="1629" t="s">
        <v>446</v>
      </c>
      <c r="B123" s="1630" t="s">
        <v>447</v>
      </c>
      <c r="C123" s="1676">
        <v>0</v>
      </c>
      <c r="D123" s="1676"/>
      <c r="E123" s="1631">
        <v>0</v>
      </c>
      <c r="F123" s="1631">
        <v>285724115094</v>
      </c>
      <c r="G123" s="1676">
        <v>285724115094</v>
      </c>
      <c r="H123" s="1676"/>
      <c r="I123" s="1676"/>
      <c r="J123" s="1676"/>
      <c r="K123" s="1676"/>
      <c r="L123" s="1676"/>
      <c r="M123" s="1676">
        <v>0</v>
      </c>
      <c r="N123" s="1676"/>
      <c r="O123" s="1631">
        <v>0</v>
      </c>
      <c r="P123" s="404"/>
      <c r="Q123" s="405">
        <f t="shared" si="1"/>
        <v>0</v>
      </c>
    </row>
    <row r="124" spans="1:17" ht="17.850000000000001" customHeight="1">
      <c r="A124" s="1675" t="s">
        <v>448</v>
      </c>
      <c r="B124" s="1675"/>
      <c r="C124" s="1676">
        <v>281282259239</v>
      </c>
      <c r="D124" s="1676"/>
      <c r="E124" s="1631">
        <v>281282259239</v>
      </c>
      <c r="F124" s="1631">
        <v>3174573843395</v>
      </c>
      <c r="G124" s="1676">
        <v>3174573843395</v>
      </c>
      <c r="H124" s="1676"/>
      <c r="I124" s="1676"/>
      <c r="J124" s="1676"/>
      <c r="K124" s="1676"/>
      <c r="L124" s="1676"/>
      <c r="M124" s="1676">
        <v>699411628520</v>
      </c>
      <c r="N124" s="1676"/>
      <c r="O124" s="1631">
        <v>699411628520</v>
      </c>
      <c r="P124" s="404"/>
      <c r="Q124" s="405">
        <f t="shared" si="1"/>
        <v>0</v>
      </c>
    </row>
    <row r="125" spans="1:17" ht="11.1" customHeight="1">
      <c r="A125" s="1635"/>
      <c r="B125" s="1635"/>
      <c r="C125" s="1635"/>
      <c r="D125" s="1635"/>
      <c r="E125" s="1635"/>
      <c r="F125" s="1635"/>
      <c r="G125" s="1635"/>
      <c r="H125" s="1635"/>
      <c r="I125" s="1635"/>
      <c r="J125" s="1635"/>
      <c r="K125" s="1635"/>
      <c r="L125" s="1635"/>
      <c r="M125" s="1635"/>
      <c r="N125" s="1635"/>
      <c r="O125" s="1635"/>
    </row>
    <row r="126" spans="1:17" ht="17.850000000000001" customHeight="1">
      <c r="J126" s="1677" t="s">
        <v>4124</v>
      </c>
      <c r="K126" s="1677"/>
      <c r="L126" s="1677"/>
      <c r="M126" s="1677"/>
      <c r="N126" s="1677"/>
      <c r="O126" s="1677"/>
    </row>
    <row r="127" spans="1:17" ht="17.850000000000001" customHeight="1">
      <c r="A127" s="1678" t="s">
        <v>3208</v>
      </c>
      <c r="B127" s="1678"/>
      <c r="D127" s="1678" t="s">
        <v>4125</v>
      </c>
      <c r="E127" s="1678"/>
      <c r="F127" s="1678"/>
      <c r="G127" s="1678"/>
      <c r="I127" s="1679" t="s">
        <v>4126</v>
      </c>
      <c r="J127" s="1679"/>
      <c r="K127" s="1679"/>
      <c r="L127" s="1679"/>
      <c r="M127" s="1679"/>
      <c r="N127" s="1679"/>
      <c r="O127" s="1679"/>
    </row>
    <row r="128" spans="1:17" ht="17.100000000000001" customHeight="1">
      <c r="A128" s="1673" t="s">
        <v>3209</v>
      </c>
      <c r="B128" s="1673"/>
      <c r="D128" s="1673" t="s">
        <v>3209</v>
      </c>
      <c r="E128" s="1673"/>
      <c r="F128" s="1673"/>
      <c r="G128" s="1673"/>
      <c r="J128" s="1673" t="s">
        <v>4127</v>
      </c>
      <c r="K128" s="1673"/>
      <c r="L128" s="1673"/>
      <c r="M128" s="1673"/>
      <c r="N128" s="1673"/>
      <c r="O128" s="1673"/>
    </row>
    <row r="129" spans="11:15" ht="38.25" customHeight="1"/>
    <row r="130" spans="11:15" ht="37.5" customHeight="1"/>
    <row r="131" spans="11:15" ht="17.100000000000001" customHeight="1"/>
    <row r="132" spans="11:15" ht="40.5" customHeight="1"/>
    <row r="133" spans="11:15" ht="53.85" customHeight="1"/>
    <row r="134" spans="11:15" ht="53.85" customHeight="1"/>
    <row r="135" spans="11:15" ht="17.850000000000001" customHeight="1">
      <c r="K135" s="1674" t="s">
        <v>4128</v>
      </c>
      <c r="L135" s="1674"/>
      <c r="M135" s="1674"/>
      <c r="N135" s="1674"/>
      <c r="O135" s="1674"/>
    </row>
  </sheetData>
  <mergeCells count="322">
    <mergeCell ref="C14:D14"/>
    <mergeCell ref="G14:L14"/>
    <mergeCell ref="M14:N14"/>
    <mergeCell ref="C15:D15"/>
    <mergeCell ref="G15:L15"/>
    <mergeCell ref="M15:N15"/>
    <mergeCell ref="A1:J2"/>
    <mergeCell ref="A3:J4"/>
    <mergeCell ref="A8:O8"/>
    <mergeCell ref="A9:O9"/>
    <mergeCell ref="N11:O11"/>
    <mergeCell ref="A13:A14"/>
    <mergeCell ref="B13:B14"/>
    <mergeCell ref="C13:E13"/>
    <mergeCell ref="F13:L13"/>
    <mergeCell ref="M13:O13"/>
    <mergeCell ref="C18:D18"/>
    <mergeCell ref="G18:L18"/>
    <mergeCell ref="M18:N18"/>
    <mergeCell ref="C19:D19"/>
    <mergeCell ref="G19:L19"/>
    <mergeCell ref="M19:N19"/>
    <mergeCell ref="C16:D16"/>
    <mergeCell ref="G16:L16"/>
    <mergeCell ref="M16:N16"/>
    <mergeCell ref="C17:D17"/>
    <mergeCell ref="G17:L17"/>
    <mergeCell ref="M17:N17"/>
    <mergeCell ref="C22:D22"/>
    <mergeCell ref="G22:L22"/>
    <mergeCell ref="M22:N22"/>
    <mergeCell ref="C23:D23"/>
    <mergeCell ref="G23:L23"/>
    <mergeCell ref="M23:N23"/>
    <mergeCell ref="C20:D20"/>
    <mergeCell ref="G20:L20"/>
    <mergeCell ref="M20:N20"/>
    <mergeCell ref="C21:D21"/>
    <mergeCell ref="G21:L21"/>
    <mergeCell ref="M21:N21"/>
    <mergeCell ref="C26:D26"/>
    <mergeCell ref="G26:L26"/>
    <mergeCell ref="M26:N26"/>
    <mergeCell ref="C27:D27"/>
    <mergeCell ref="G27:L27"/>
    <mergeCell ref="M27:N27"/>
    <mergeCell ref="C24:D24"/>
    <mergeCell ref="G24:L24"/>
    <mergeCell ref="M24:N24"/>
    <mergeCell ref="C25:D25"/>
    <mergeCell ref="G25:L25"/>
    <mergeCell ref="M25:N25"/>
    <mergeCell ref="C30:D30"/>
    <mergeCell ref="G30:L30"/>
    <mergeCell ref="M30:N30"/>
    <mergeCell ref="C31:D31"/>
    <mergeCell ref="G31:L31"/>
    <mergeCell ref="M31:N31"/>
    <mergeCell ref="C28:D28"/>
    <mergeCell ref="G28:L28"/>
    <mergeCell ref="M28:N28"/>
    <mergeCell ref="C29:D29"/>
    <mergeCell ref="G29:L29"/>
    <mergeCell ref="M29:N29"/>
    <mergeCell ref="C34:D34"/>
    <mergeCell ref="G34:L34"/>
    <mergeCell ref="M34:N34"/>
    <mergeCell ref="C35:D35"/>
    <mergeCell ref="G35:L35"/>
    <mergeCell ref="M35:N35"/>
    <mergeCell ref="C32:D32"/>
    <mergeCell ref="G32:L32"/>
    <mergeCell ref="M32:N32"/>
    <mergeCell ref="C33:D33"/>
    <mergeCell ref="G33:L33"/>
    <mergeCell ref="M33:N33"/>
    <mergeCell ref="A42:A43"/>
    <mergeCell ref="B42:B43"/>
    <mergeCell ref="C42:E42"/>
    <mergeCell ref="F42:L42"/>
    <mergeCell ref="M42:O42"/>
    <mergeCell ref="C43:D43"/>
    <mergeCell ref="G43:L43"/>
    <mergeCell ref="M43:N43"/>
    <mergeCell ref="C36:D36"/>
    <mergeCell ref="G36:L36"/>
    <mergeCell ref="M36:N36"/>
    <mergeCell ref="K38:O38"/>
    <mergeCell ref="A39:J39"/>
    <mergeCell ref="A40:J40"/>
    <mergeCell ref="C46:D46"/>
    <mergeCell ref="G46:L46"/>
    <mergeCell ref="M46:N46"/>
    <mergeCell ref="C47:D47"/>
    <mergeCell ref="G47:L47"/>
    <mergeCell ref="M47:N47"/>
    <mergeCell ref="C44:D44"/>
    <mergeCell ref="G44:L44"/>
    <mergeCell ref="M44:N44"/>
    <mergeCell ref="C45:D45"/>
    <mergeCell ref="G45:L45"/>
    <mergeCell ref="M45:N45"/>
    <mergeCell ref="C50:D50"/>
    <mergeCell ref="G50:L50"/>
    <mergeCell ref="M50:N50"/>
    <mergeCell ref="C51:D51"/>
    <mergeCell ref="G51:L51"/>
    <mergeCell ref="M51:N51"/>
    <mergeCell ref="C48:D48"/>
    <mergeCell ref="G48:L48"/>
    <mergeCell ref="M48:N48"/>
    <mergeCell ref="C49:D49"/>
    <mergeCell ref="G49:L49"/>
    <mergeCell ref="M49:N49"/>
    <mergeCell ref="C54:D54"/>
    <mergeCell ref="G54:L54"/>
    <mergeCell ref="M54:N54"/>
    <mergeCell ref="C55:D55"/>
    <mergeCell ref="G55:L55"/>
    <mergeCell ref="M55:N55"/>
    <mergeCell ref="C52:D52"/>
    <mergeCell ref="G52:L52"/>
    <mergeCell ref="M52:N52"/>
    <mergeCell ref="C53:D53"/>
    <mergeCell ref="G53:L53"/>
    <mergeCell ref="M53:N53"/>
    <mergeCell ref="C58:D58"/>
    <mergeCell ref="G58:L58"/>
    <mergeCell ref="M58:N58"/>
    <mergeCell ref="C59:D59"/>
    <mergeCell ref="G59:L59"/>
    <mergeCell ref="M59:N59"/>
    <mergeCell ref="C56:D56"/>
    <mergeCell ref="G56:L56"/>
    <mergeCell ref="M56:N56"/>
    <mergeCell ref="C57:D57"/>
    <mergeCell ref="G57:L57"/>
    <mergeCell ref="M57:N57"/>
    <mergeCell ref="C62:D62"/>
    <mergeCell ref="G62:L62"/>
    <mergeCell ref="M62:N62"/>
    <mergeCell ref="C63:D63"/>
    <mergeCell ref="G63:L63"/>
    <mergeCell ref="M63:N63"/>
    <mergeCell ref="C60:D60"/>
    <mergeCell ref="G60:L60"/>
    <mergeCell ref="M60:N60"/>
    <mergeCell ref="C61:D61"/>
    <mergeCell ref="G61:L61"/>
    <mergeCell ref="M61:N61"/>
    <mergeCell ref="C66:D66"/>
    <mergeCell ref="G66:L66"/>
    <mergeCell ref="M66:N66"/>
    <mergeCell ref="C67:D67"/>
    <mergeCell ref="G67:L67"/>
    <mergeCell ref="M67:N67"/>
    <mergeCell ref="C64:D64"/>
    <mergeCell ref="G64:L64"/>
    <mergeCell ref="M64:N64"/>
    <mergeCell ref="C65:D65"/>
    <mergeCell ref="G65:L65"/>
    <mergeCell ref="M65:N65"/>
    <mergeCell ref="C70:D70"/>
    <mergeCell ref="G70:L70"/>
    <mergeCell ref="M70:N70"/>
    <mergeCell ref="C71:D71"/>
    <mergeCell ref="G71:L71"/>
    <mergeCell ref="M71:N71"/>
    <mergeCell ref="C68:D68"/>
    <mergeCell ref="G68:L68"/>
    <mergeCell ref="M68:N68"/>
    <mergeCell ref="C69:D69"/>
    <mergeCell ref="G69:L69"/>
    <mergeCell ref="M69:N69"/>
    <mergeCell ref="K73:O73"/>
    <mergeCell ref="A74:J74"/>
    <mergeCell ref="A75:J75"/>
    <mergeCell ref="A77:A78"/>
    <mergeCell ref="B77:B78"/>
    <mergeCell ref="C77:E77"/>
    <mergeCell ref="F77:L77"/>
    <mergeCell ref="M77:O77"/>
    <mergeCell ref="C78:D78"/>
    <mergeCell ref="G78:L78"/>
    <mergeCell ref="C81:D81"/>
    <mergeCell ref="G81:L81"/>
    <mergeCell ref="M81:N81"/>
    <mergeCell ref="C82:D82"/>
    <mergeCell ref="G82:L82"/>
    <mergeCell ref="M82:N82"/>
    <mergeCell ref="M78:N78"/>
    <mergeCell ref="C79:D79"/>
    <mergeCell ref="G79:L79"/>
    <mergeCell ref="M79:N79"/>
    <mergeCell ref="C80:D80"/>
    <mergeCell ref="G80:L80"/>
    <mergeCell ref="M80:N80"/>
    <mergeCell ref="C85:D85"/>
    <mergeCell ref="G85:L85"/>
    <mergeCell ref="M85:N85"/>
    <mergeCell ref="C86:D86"/>
    <mergeCell ref="G86:L86"/>
    <mergeCell ref="M86:N86"/>
    <mergeCell ref="C83:D83"/>
    <mergeCell ref="G83:L83"/>
    <mergeCell ref="M83:N83"/>
    <mergeCell ref="C84:D84"/>
    <mergeCell ref="G84:L84"/>
    <mergeCell ref="M84:N84"/>
    <mergeCell ref="C89:D89"/>
    <mergeCell ref="G89:L89"/>
    <mergeCell ref="M89:N89"/>
    <mergeCell ref="C90:D90"/>
    <mergeCell ref="G90:L90"/>
    <mergeCell ref="M90:N90"/>
    <mergeCell ref="C87:D87"/>
    <mergeCell ref="G87:L87"/>
    <mergeCell ref="M87:N87"/>
    <mergeCell ref="C88:D88"/>
    <mergeCell ref="G88:L88"/>
    <mergeCell ref="M88:N88"/>
    <mergeCell ref="C93:D93"/>
    <mergeCell ref="G93:L93"/>
    <mergeCell ref="M93:N93"/>
    <mergeCell ref="C94:D94"/>
    <mergeCell ref="G94:L94"/>
    <mergeCell ref="M94:N94"/>
    <mergeCell ref="C91:D91"/>
    <mergeCell ref="G91:L91"/>
    <mergeCell ref="M91:N91"/>
    <mergeCell ref="C92:D92"/>
    <mergeCell ref="G92:L92"/>
    <mergeCell ref="M92:N92"/>
    <mergeCell ref="C97:D97"/>
    <mergeCell ref="G97:L97"/>
    <mergeCell ref="M97:N97"/>
    <mergeCell ref="C98:D98"/>
    <mergeCell ref="G98:L98"/>
    <mergeCell ref="M98:N98"/>
    <mergeCell ref="C95:D95"/>
    <mergeCell ref="G95:L95"/>
    <mergeCell ref="M95:N95"/>
    <mergeCell ref="C96:D96"/>
    <mergeCell ref="G96:L96"/>
    <mergeCell ref="M96:N96"/>
    <mergeCell ref="C101:D101"/>
    <mergeCell ref="G101:L101"/>
    <mergeCell ref="M101:N101"/>
    <mergeCell ref="C102:D102"/>
    <mergeCell ref="G102:L102"/>
    <mergeCell ref="M102:N102"/>
    <mergeCell ref="C99:D99"/>
    <mergeCell ref="G99:L99"/>
    <mergeCell ref="M99:N99"/>
    <mergeCell ref="C100:D100"/>
    <mergeCell ref="G100:L100"/>
    <mergeCell ref="M100:N100"/>
    <mergeCell ref="C105:D105"/>
    <mergeCell ref="G105:L105"/>
    <mergeCell ref="M105:N105"/>
    <mergeCell ref="C106:D106"/>
    <mergeCell ref="G106:L106"/>
    <mergeCell ref="M106:N106"/>
    <mergeCell ref="C103:D103"/>
    <mergeCell ref="G103:L103"/>
    <mergeCell ref="M103:N103"/>
    <mergeCell ref="C104:D104"/>
    <mergeCell ref="G104:L104"/>
    <mergeCell ref="M104:N104"/>
    <mergeCell ref="M113:N113"/>
    <mergeCell ref="C114:D114"/>
    <mergeCell ref="G114:L114"/>
    <mergeCell ref="M114:N114"/>
    <mergeCell ref="C115:D115"/>
    <mergeCell ref="G115:L115"/>
    <mergeCell ref="M115:N115"/>
    <mergeCell ref="K108:O108"/>
    <mergeCell ref="A109:J109"/>
    <mergeCell ref="A110:J110"/>
    <mergeCell ref="A112:A113"/>
    <mergeCell ref="B112:B113"/>
    <mergeCell ref="C112:E112"/>
    <mergeCell ref="F112:L112"/>
    <mergeCell ref="M112:O112"/>
    <mergeCell ref="C113:D113"/>
    <mergeCell ref="G113:L113"/>
    <mergeCell ref="C118:D118"/>
    <mergeCell ref="G118:L118"/>
    <mergeCell ref="M118:N118"/>
    <mergeCell ref="C119:D119"/>
    <mergeCell ref="G119:L119"/>
    <mergeCell ref="M119:N119"/>
    <mergeCell ref="C116:D116"/>
    <mergeCell ref="G116:L116"/>
    <mergeCell ref="M116:N116"/>
    <mergeCell ref="C117:D117"/>
    <mergeCell ref="G117:L117"/>
    <mergeCell ref="M117:N117"/>
    <mergeCell ref="C122:D122"/>
    <mergeCell ref="G122:L122"/>
    <mergeCell ref="M122:N122"/>
    <mergeCell ref="C123:D123"/>
    <mergeCell ref="G123:L123"/>
    <mergeCell ref="M123:N123"/>
    <mergeCell ref="C120:D120"/>
    <mergeCell ref="G120:L120"/>
    <mergeCell ref="M120:N120"/>
    <mergeCell ref="C121:D121"/>
    <mergeCell ref="G121:L121"/>
    <mergeCell ref="M121:N121"/>
    <mergeCell ref="A128:B128"/>
    <mergeCell ref="D128:G128"/>
    <mergeCell ref="J128:O128"/>
    <mergeCell ref="K135:O135"/>
    <mergeCell ref="A124:B124"/>
    <mergeCell ref="C124:D124"/>
    <mergeCell ref="G124:L124"/>
    <mergeCell ref="M124:N124"/>
    <mergeCell ref="J126:O126"/>
    <mergeCell ref="A127:B127"/>
    <mergeCell ref="D127:G127"/>
    <mergeCell ref="I127:O127"/>
  </mergeCells>
  <pageMargins left="0.59055118110236227" right="0.39370078740157483" top="0.19685039370078741" bottom="0.19685039370078741" header="0" footer="0"/>
  <pageSetup paperSize="9" orientation="landscape" horizontalDpi="300"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86C6B-25D1-4DEE-9991-644AA3986F8E}">
  <sheetPr codeName="Sheet19">
    <tabColor rgb="FF7030A0"/>
  </sheetPr>
  <dimension ref="A1:AB53"/>
  <sheetViews>
    <sheetView zoomScale="55" zoomScaleNormal="55" workbookViewId="0">
      <selection activeCell="J33" sqref="J33"/>
    </sheetView>
  </sheetViews>
  <sheetFormatPr defaultColWidth="9.140625" defaultRowHeight="12.75"/>
  <cols>
    <col min="1" max="1" width="9.140625" style="2"/>
    <col min="2" max="2" width="29.140625" style="2" customWidth="1"/>
    <col min="3" max="3" width="18.85546875" style="2" bestFit="1" customWidth="1"/>
    <col min="4" max="4" width="16.140625" style="2" bestFit="1" customWidth="1"/>
    <col min="5" max="5" width="12.5703125" style="2" bestFit="1" customWidth="1"/>
    <col min="6" max="6" width="15.140625" style="2" bestFit="1" customWidth="1"/>
    <col min="7" max="7" width="23" style="2" bestFit="1" customWidth="1"/>
    <col min="8" max="8" width="16" style="2" bestFit="1" customWidth="1"/>
    <col min="9" max="9" width="18.85546875" style="2" bestFit="1" customWidth="1"/>
    <col min="10" max="10" width="16.140625" style="2" bestFit="1" customWidth="1"/>
    <col min="11" max="11" width="17.85546875" style="2" bestFit="1" customWidth="1"/>
    <col min="12" max="12" width="36.5703125" style="2" bestFit="1" customWidth="1"/>
    <col min="13" max="13" width="17" style="2" bestFit="1" customWidth="1"/>
    <col min="14" max="14" width="15" style="2" bestFit="1" customWidth="1"/>
    <col min="15" max="15" width="10.85546875" style="2" bestFit="1" customWidth="1"/>
    <col min="16" max="22" width="9.140625" style="2"/>
    <col min="23" max="23" width="9.85546875" style="2" bestFit="1" customWidth="1"/>
    <col min="24" max="24" width="9.140625" style="2"/>
    <col min="25" max="25" width="10.140625" style="2" bestFit="1" customWidth="1"/>
    <col min="26" max="26" width="16.85546875" style="2" bestFit="1" customWidth="1"/>
    <col min="27" max="27" width="10.140625" style="2" bestFit="1" customWidth="1"/>
    <col min="28" max="28" width="14" style="2" bestFit="1" customWidth="1"/>
    <col min="29" max="16384" width="9.140625" style="2"/>
  </cols>
  <sheetData>
    <row r="1" spans="1:12">
      <c r="A1" s="1" t="s">
        <v>0</v>
      </c>
      <c r="B1" s="850" t="s">
        <v>1</v>
      </c>
      <c r="C1" s="850"/>
      <c r="D1" s="850"/>
      <c r="E1" s="850"/>
      <c r="F1" s="850"/>
      <c r="G1" s="850"/>
      <c r="H1" s="850"/>
      <c r="I1" s="850"/>
      <c r="J1" s="850"/>
      <c r="K1" s="850"/>
      <c r="L1" s="850"/>
    </row>
    <row r="2" spans="1:12">
      <c r="A2" s="1" t="s">
        <v>2</v>
      </c>
      <c r="B2" s="852">
        <v>45657</v>
      </c>
      <c r="C2" s="850"/>
      <c r="D2" s="850"/>
      <c r="E2" s="850"/>
      <c r="F2" s="850"/>
      <c r="G2" s="850"/>
      <c r="H2" s="850"/>
      <c r="I2" s="850"/>
      <c r="J2" s="850"/>
      <c r="K2" s="850"/>
      <c r="L2" s="850"/>
    </row>
    <row r="3" spans="1:12">
      <c r="A3" s="3" t="s">
        <v>4129</v>
      </c>
      <c r="B3" s="850"/>
      <c r="C3" s="850"/>
      <c r="D3" s="850"/>
      <c r="E3" s="850"/>
      <c r="F3" s="850"/>
      <c r="G3" s="850"/>
      <c r="H3" s="850"/>
      <c r="I3" s="850"/>
      <c r="J3" s="850"/>
      <c r="K3" s="850"/>
      <c r="L3" s="850"/>
    </row>
    <row r="6" spans="1:12">
      <c r="A6" s="311" t="s">
        <v>541</v>
      </c>
      <c r="B6" s="308"/>
      <c r="C6" s="311" t="s">
        <v>4130</v>
      </c>
      <c r="D6" s="311" t="s">
        <v>4131</v>
      </c>
      <c r="E6" s="850"/>
      <c r="F6" s="850"/>
      <c r="G6" s="1" t="s">
        <v>4132</v>
      </c>
      <c r="H6" s="850"/>
      <c r="I6" s="850"/>
      <c r="J6" s="850"/>
      <c r="K6" s="1" t="s">
        <v>4133</v>
      </c>
      <c r="L6" s="850"/>
    </row>
    <row r="7" spans="1:12">
      <c r="A7" s="308"/>
      <c r="B7" s="308" t="s">
        <v>3724</v>
      </c>
      <c r="C7" s="309">
        <v>132805330000</v>
      </c>
      <c r="D7" s="310">
        <v>26147398</v>
      </c>
      <c r="E7" s="850"/>
      <c r="F7" s="850"/>
      <c r="G7" s="850" t="s">
        <v>4134</v>
      </c>
      <c r="H7" s="848">
        <v>142203866890.64517</v>
      </c>
      <c r="I7" s="850"/>
      <c r="J7" s="850"/>
      <c r="K7" s="850" t="s">
        <v>618</v>
      </c>
      <c r="L7" s="857">
        <f>C7</f>
        <v>132805330000</v>
      </c>
    </row>
    <row r="8" spans="1:12">
      <c r="A8" s="308"/>
      <c r="B8" s="308" t="s">
        <v>3044</v>
      </c>
      <c r="C8" s="1234">
        <v>376200000</v>
      </c>
      <c r="D8" s="310">
        <v>136800</v>
      </c>
      <c r="E8" s="850"/>
      <c r="F8" s="850"/>
      <c r="G8" s="850" t="s">
        <v>4135</v>
      </c>
      <c r="H8" s="848">
        <v>130159347282.3071</v>
      </c>
      <c r="I8" s="850"/>
      <c r="J8" s="850"/>
      <c r="K8" s="850" t="s">
        <v>4136</v>
      </c>
      <c r="L8" s="857">
        <f>H9-L9</f>
        <v>533815261.13674355</v>
      </c>
    </row>
    <row r="9" spans="1:12">
      <c r="A9" s="308"/>
      <c r="B9" s="308" t="s">
        <v>3046</v>
      </c>
      <c r="C9" s="1234">
        <v>2958450000</v>
      </c>
      <c r="D9" s="310">
        <v>1075800</v>
      </c>
      <c r="E9" s="850"/>
      <c r="F9" s="850"/>
      <c r="G9" s="850" t="s">
        <v>4137</v>
      </c>
      <c r="H9" s="857">
        <f>H7-H8</f>
        <v>12044519608.338074</v>
      </c>
      <c r="I9" s="850"/>
      <c r="J9" s="850"/>
      <c r="K9" s="850" t="s">
        <v>4138</v>
      </c>
      <c r="L9" s="848">
        <f>H9*C13</f>
        <v>11510704347.20133</v>
      </c>
    </row>
    <row r="10" spans="1:12" ht="13.5" thickBot="1">
      <c r="A10" s="850"/>
      <c r="B10" s="850"/>
      <c r="C10" s="850"/>
      <c r="D10" s="850"/>
      <c r="E10" s="850"/>
      <c r="F10" s="850"/>
      <c r="G10" s="850"/>
      <c r="H10" s="850"/>
      <c r="I10" s="850"/>
      <c r="J10" s="850"/>
      <c r="K10" s="850" t="s">
        <v>2297</v>
      </c>
      <c r="L10" s="1636">
        <f>L7-L9</f>
        <v>121294625652.79868</v>
      </c>
    </row>
    <row r="11" spans="1:12" ht="13.5" thickTop="1">
      <c r="A11" s="850"/>
      <c r="B11" s="850" t="s">
        <v>4139</v>
      </c>
      <c r="C11" s="848">
        <v>261473980000</v>
      </c>
      <c r="D11" s="850"/>
      <c r="E11" s="850"/>
      <c r="F11" s="850"/>
      <c r="G11" s="850"/>
      <c r="H11" s="850"/>
      <c r="I11" s="850"/>
      <c r="J11" s="850"/>
      <c r="K11" s="850"/>
      <c r="L11" s="850"/>
    </row>
    <row r="12" spans="1:12">
      <c r="A12" s="850"/>
      <c r="B12" s="850" t="s">
        <v>4140</v>
      </c>
      <c r="C12" s="848">
        <v>273599980000</v>
      </c>
      <c r="D12" s="857"/>
      <c r="E12" s="850"/>
      <c r="F12" s="850"/>
      <c r="G12" s="850"/>
      <c r="H12" s="850"/>
      <c r="I12" s="850"/>
      <c r="J12" s="850"/>
      <c r="K12" s="850"/>
      <c r="L12" s="850"/>
    </row>
    <row r="13" spans="1:12">
      <c r="A13" s="850"/>
      <c r="B13" s="850" t="s">
        <v>551</v>
      </c>
      <c r="C13" s="1004">
        <f>C11/C12</f>
        <v>0.95567982132162432</v>
      </c>
      <c r="D13" s="850"/>
      <c r="E13" s="850"/>
      <c r="F13" s="850"/>
      <c r="G13" s="850"/>
      <c r="H13" s="850"/>
      <c r="I13" s="850"/>
      <c r="J13" s="850"/>
      <c r="K13" s="850"/>
      <c r="L13" s="850"/>
    </row>
    <row r="14" spans="1:12">
      <c r="A14" s="850"/>
      <c r="B14" s="1012" t="s">
        <v>568</v>
      </c>
      <c r="C14" s="1157">
        <f>1-C13</f>
        <v>4.4320178678375677E-2</v>
      </c>
      <c r="D14" s="850"/>
      <c r="E14" s="850"/>
      <c r="F14" s="850"/>
      <c r="G14" s="850"/>
      <c r="H14" s="850"/>
      <c r="I14" s="850"/>
      <c r="J14" s="850"/>
      <c r="K14" s="850"/>
      <c r="L14" s="850"/>
    </row>
    <row r="15" spans="1:12">
      <c r="A15" s="850"/>
      <c r="B15" s="850" t="s">
        <v>4141</v>
      </c>
      <c r="C15" s="848">
        <v>254998000</v>
      </c>
      <c r="D15" s="850"/>
      <c r="E15" s="850"/>
      <c r="F15" s="850"/>
      <c r="G15" s="850"/>
      <c r="H15" s="850"/>
      <c r="I15" s="850"/>
      <c r="J15" s="850"/>
      <c r="K15" s="850"/>
      <c r="L15" s="850"/>
    </row>
    <row r="16" spans="1:12">
      <c r="A16" s="850"/>
      <c r="B16" s="850" t="s">
        <v>4142</v>
      </c>
      <c r="C16" s="848">
        <v>234185014422.95001</v>
      </c>
      <c r="D16" s="850"/>
      <c r="E16" s="850"/>
      <c r="F16" s="850"/>
      <c r="G16" s="850"/>
      <c r="H16" s="850"/>
      <c r="I16" s="850"/>
      <c r="J16" s="850"/>
      <c r="K16" s="850"/>
      <c r="L16" s="850"/>
    </row>
    <row r="17" spans="1:28">
      <c r="A17" s="850"/>
      <c r="B17" s="850" t="s">
        <v>4143</v>
      </c>
      <c r="C17" s="848">
        <v>27625443968.711899</v>
      </c>
      <c r="D17" s="850"/>
      <c r="E17" s="850"/>
      <c r="F17" s="850"/>
      <c r="G17" s="850"/>
      <c r="H17" s="850"/>
      <c r="I17" s="850"/>
      <c r="J17" s="850"/>
      <c r="K17" s="850"/>
      <c r="L17" s="850"/>
      <c r="M17" s="850"/>
      <c r="N17" s="850"/>
      <c r="O17" s="850"/>
      <c r="P17" s="850"/>
      <c r="Q17" s="850"/>
      <c r="R17" s="850"/>
      <c r="S17" s="850"/>
      <c r="T17" s="850"/>
      <c r="U17" s="850"/>
      <c r="V17" s="850"/>
      <c r="W17" s="850"/>
      <c r="X17" s="850"/>
      <c r="Y17" s="850"/>
      <c r="Z17" s="850"/>
      <c r="AA17" s="850"/>
      <c r="AB17" s="850"/>
    </row>
    <row r="20" spans="1:28">
      <c r="A20" s="1" t="s">
        <v>4144</v>
      </c>
      <c r="B20" s="850"/>
      <c r="C20" s="850"/>
      <c r="D20" s="850"/>
      <c r="E20" s="850"/>
      <c r="F20" s="850"/>
      <c r="G20" s="850"/>
      <c r="H20" s="850"/>
      <c r="I20" s="850"/>
      <c r="J20" s="850"/>
      <c r="K20" s="850"/>
      <c r="L20" s="850"/>
      <c r="M20" s="850"/>
      <c r="N20" s="850"/>
      <c r="O20" s="850"/>
      <c r="P20" s="850"/>
      <c r="Q20" s="850"/>
      <c r="R20" s="850"/>
      <c r="S20" s="850"/>
      <c r="T20" s="850"/>
      <c r="U20" s="850"/>
      <c r="V20" s="850"/>
      <c r="W20" s="850"/>
      <c r="X20" s="850"/>
      <c r="Y20" s="850"/>
      <c r="Z20" s="850"/>
      <c r="AA20" s="850"/>
      <c r="AB20" s="850"/>
    </row>
    <row r="22" spans="1:28" ht="25.5">
      <c r="A22" s="850" t="s">
        <v>4145</v>
      </c>
      <c r="B22" s="323" t="s">
        <v>2005</v>
      </c>
      <c r="C22" s="323" t="s">
        <v>2616</v>
      </c>
      <c r="D22" s="356" t="s">
        <v>4146</v>
      </c>
      <c r="E22" s="323" t="s">
        <v>4147</v>
      </c>
      <c r="F22" s="323" t="s">
        <v>4148</v>
      </c>
      <c r="G22" s="323" t="s">
        <v>4149</v>
      </c>
      <c r="H22" s="356" t="s">
        <v>4150</v>
      </c>
      <c r="I22" s="356" t="s">
        <v>4151</v>
      </c>
      <c r="J22" s="323" t="s">
        <v>4152</v>
      </c>
      <c r="K22" s="850" t="s">
        <v>2721</v>
      </c>
      <c r="L22" s="857"/>
      <c r="M22" s="1003"/>
      <c r="N22" s="1003"/>
      <c r="O22" s="850"/>
      <c r="P22" s="850"/>
      <c r="Q22" s="850"/>
      <c r="R22" s="850"/>
      <c r="S22" s="850"/>
      <c r="T22" s="850"/>
      <c r="U22" s="850"/>
      <c r="V22" s="850"/>
      <c r="W22" s="850"/>
      <c r="X22" s="850"/>
      <c r="Y22" s="850"/>
      <c r="Z22" s="850"/>
      <c r="AA22" s="850"/>
      <c r="AB22" s="850"/>
    </row>
    <row r="23" spans="1:28">
      <c r="A23" s="850">
        <v>2021</v>
      </c>
      <c r="B23" s="323" t="s">
        <v>4153</v>
      </c>
      <c r="C23" s="857">
        <f>L10</f>
        <v>121294625652.79868</v>
      </c>
      <c r="D23" s="857">
        <f>C23</f>
        <v>121294625652.79868</v>
      </c>
      <c r="E23" s="856">
        <v>44539</v>
      </c>
      <c r="F23" s="856">
        <v>44561</v>
      </c>
      <c r="G23" s="850">
        <f>F23-E23+1</f>
        <v>23</v>
      </c>
      <c r="H23" s="850">
        <v>365</v>
      </c>
      <c r="I23" s="850">
        <v>10</v>
      </c>
      <c r="J23" s="848">
        <f>C23/I23/365*G23</f>
        <v>764322298.63407385</v>
      </c>
      <c r="K23" s="848">
        <f>C23-J23</f>
        <v>120530303354.1646</v>
      </c>
      <c r="L23" s="850"/>
      <c r="M23" s="850"/>
      <c r="N23" s="848"/>
      <c r="O23" s="857"/>
      <c r="P23" s="850"/>
      <c r="Q23" s="850"/>
      <c r="R23" s="850"/>
      <c r="S23" s="850"/>
      <c r="T23" s="850"/>
      <c r="U23" s="850"/>
      <c r="V23" s="850"/>
      <c r="W23" s="850"/>
      <c r="X23" s="850"/>
      <c r="Y23" s="850"/>
      <c r="Z23" s="850"/>
      <c r="AA23" s="850"/>
      <c r="AB23" s="850"/>
    </row>
    <row r="24" spans="1:28">
      <c r="A24" s="850">
        <v>2022</v>
      </c>
      <c r="B24" s="323" t="s">
        <v>4153</v>
      </c>
      <c r="C24" s="857">
        <f>C23</f>
        <v>121294625652.79868</v>
      </c>
      <c r="D24" s="857">
        <f t="shared" ref="D24:D25" si="0">C24</f>
        <v>121294625652.79868</v>
      </c>
      <c r="E24" s="856">
        <v>44562</v>
      </c>
      <c r="F24" s="856">
        <v>44926</v>
      </c>
      <c r="G24" s="850">
        <f t="shared" ref="G24" si="1">F24-E24+1</f>
        <v>365</v>
      </c>
      <c r="H24" s="850">
        <v>365</v>
      </c>
      <c r="I24" s="850">
        <v>10</v>
      </c>
      <c r="J24" s="848">
        <f>C24/I24/365*G24</f>
        <v>12129462565.279867</v>
      </c>
      <c r="K24" s="857">
        <f>K23-J24</f>
        <v>108400840788.88474</v>
      </c>
      <c r="L24" s="850"/>
      <c r="M24" s="850" t="s">
        <v>4154</v>
      </c>
      <c r="N24" s="848"/>
      <c r="O24" s="857"/>
      <c r="P24" s="850"/>
      <c r="Q24" s="850"/>
      <c r="R24" s="850"/>
      <c r="S24" s="850"/>
      <c r="T24" s="850"/>
      <c r="U24" s="850"/>
      <c r="V24" s="850"/>
      <c r="W24" s="850"/>
      <c r="X24" s="850"/>
      <c r="Y24" s="850"/>
      <c r="Z24" s="850"/>
      <c r="AA24" s="850"/>
      <c r="AB24" s="848">
        <f>SUBTOTAL(109,AB26:AB32)</f>
        <v>1754073365</v>
      </c>
    </row>
    <row r="25" spans="1:28" ht="22.5">
      <c r="A25" s="850">
        <v>2023</v>
      </c>
      <c r="B25" s="323" t="s">
        <v>4153</v>
      </c>
      <c r="C25" s="857">
        <f>C24</f>
        <v>121294625652.79868</v>
      </c>
      <c r="D25" s="857">
        <f t="shared" si="0"/>
        <v>121294625652.79868</v>
      </c>
      <c r="E25" s="856">
        <v>44927</v>
      </c>
      <c r="F25" s="856">
        <v>45036</v>
      </c>
      <c r="G25" s="850">
        <f>F25-E25+1</f>
        <v>110</v>
      </c>
      <c r="H25" s="850">
        <v>365</v>
      </c>
      <c r="I25" s="850">
        <v>10</v>
      </c>
      <c r="J25" s="848">
        <f>C25/I25/365*G25</f>
        <v>3655454471.728179</v>
      </c>
      <c r="K25" s="848">
        <f>K24-J25</f>
        <v>104745386317.15656</v>
      </c>
      <c r="L25" s="856">
        <v>45037</v>
      </c>
      <c r="M25" s="848">
        <v>333824416</v>
      </c>
      <c r="N25" s="848"/>
      <c r="O25" s="850"/>
      <c r="P25" s="850"/>
      <c r="Q25" s="850"/>
      <c r="R25" s="93" t="s">
        <v>450</v>
      </c>
      <c r="S25" s="94" t="s">
        <v>451</v>
      </c>
      <c r="T25" s="94" t="s">
        <v>454</v>
      </c>
      <c r="U25" s="94" t="s">
        <v>455</v>
      </c>
      <c r="V25" s="94" t="s">
        <v>456</v>
      </c>
      <c r="W25" s="94" t="s">
        <v>457</v>
      </c>
      <c r="X25" s="95" t="s">
        <v>459</v>
      </c>
      <c r="Y25" s="95" t="s">
        <v>460</v>
      </c>
      <c r="Z25" s="850"/>
      <c r="AA25" s="850"/>
      <c r="AB25" s="850" t="s">
        <v>4154</v>
      </c>
    </row>
    <row r="26" spans="1:28">
      <c r="A26" s="850">
        <v>2023</v>
      </c>
      <c r="B26" s="323" t="s">
        <v>4153</v>
      </c>
      <c r="C26" s="857">
        <f>C25-M25</f>
        <v>120960801236.79868</v>
      </c>
      <c r="D26" s="857">
        <f t="shared" ref="D26:D32" si="2">K25-M25</f>
        <v>104411561901.15656</v>
      </c>
      <c r="E26" s="856">
        <v>45037</v>
      </c>
      <c r="F26" s="856">
        <v>45082</v>
      </c>
      <c r="G26" s="850">
        <f t="shared" ref="G26:G40" si="3">F26-E26+1</f>
        <v>46</v>
      </c>
      <c r="H26" s="850">
        <v>365</v>
      </c>
      <c r="I26" s="850">
        <f>$F$40-E26+1</f>
        <v>3155</v>
      </c>
      <c r="J26" s="848">
        <f>D26/I26*G26</f>
        <v>1522323881.9186058</v>
      </c>
      <c r="K26" s="848">
        <f>D26-J26</f>
        <v>102889238019.23795</v>
      </c>
      <c r="L26" s="856">
        <v>45083</v>
      </c>
      <c r="M26" s="848">
        <v>209504625</v>
      </c>
      <c r="N26" s="850"/>
      <c r="O26" s="850"/>
      <c r="P26" s="850"/>
      <c r="Q26" s="850"/>
      <c r="R26" s="96">
        <v>45037</v>
      </c>
      <c r="S26" s="97" t="s">
        <v>4155</v>
      </c>
      <c r="T26" s="97" t="s">
        <v>4156</v>
      </c>
      <c r="U26" s="97" t="s">
        <v>4156</v>
      </c>
      <c r="V26" s="97" t="s">
        <v>95</v>
      </c>
      <c r="W26" s="97" t="s">
        <v>19</v>
      </c>
      <c r="X26" s="98">
        <v>0</v>
      </c>
      <c r="Y26" s="98">
        <v>333824416</v>
      </c>
      <c r="Z26" s="850"/>
      <c r="AA26" s="856">
        <v>45037</v>
      </c>
      <c r="AB26" s="848">
        <f>SUMIFS($Y$26:$Y$35,$R$26:$R$35,AA26)</f>
        <v>333824416</v>
      </c>
    </row>
    <row r="27" spans="1:28">
      <c r="A27" s="850">
        <v>2023</v>
      </c>
      <c r="B27" s="323" t="s">
        <v>4153</v>
      </c>
      <c r="C27" s="857">
        <f t="shared" ref="C27:C30" si="4">C26-M26</f>
        <v>120751296611.79868</v>
      </c>
      <c r="D27" s="857">
        <f t="shared" si="2"/>
        <v>102679733394.23795</v>
      </c>
      <c r="E27" s="856">
        <v>45083</v>
      </c>
      <c r="F27" s="856">
        <f>AA28-1</f>
        <v>45107</v>
      </c>
      <c r="G27" s="850">
        <f t="shared" si="3"/>
        <v>25</v>
      </c>
      <c r="H27" s="850">
        <v>365</v>
      </c>
      <c r="I27" s="850">
        <f t="shared" ref="I27:I33" si="5">$F$40-E27+1</f>
        <v>3109</v>
      </c>
      <c r="J27" s="848">
        <f t="shared" ref="J27:J40" si="6">D27/I27*G27</f>
        <v>825665273.35347342</v>
      </c>
      <c r="K27" s="848">
        <f t="shared" ref="K27:K32" si="7">D27-J27</f>
        <v>101854068120.88448</v>
      </c>
      <c r="L27" s="856">
        <v>45108</v>
      </c>
      <c r="M27" s="848">
        <v>241444300</v>
      </c>
      <c r="N27" s="850"/>
      <c r="O27" s="850"/>
      <c r="P27" s="850"/>
      <c r="Q27" s="850"/>
      <c r="R27" s="96">
        <v>45083</v>
      </c>
      <c r="S27" s="97" t="s">
        <v>4157</v>
      </c>
      <c r="T27" s="97" t="s">
        <v>4158</v>
      </c>
      <c r="U27" s="97" t="s">
        <v>4158</v>
      </c>
      <c r="V27" s="97" t="s">
        <v>95</v>
      </c>
      <c r="W27" s="97" t="s">
        <v>19</v>
      </c>
      <c r="X27" s="98">
        <v>0</v>
      </c>
      <c r="Y27" s="98">
        <v>209504625</v>
      </c>
      <c r="Z27" s="850"/>
      <c r="AA27" s="856">
        <v>45083</v>
      </c>
      <c r="AB27" s="848">
        <f t="shared" ref="AB27:AB32" si="8">SUMIFS($Y$26:$Y$35,$R$26:$R$35,AA27)</f>
        <v>209504625</v>
      </c>
    </row>
    <row r="28" spans="1:28">
      <c r="A28" s="850">
        <v>2023</v>
      </c>
      <c r="B28" s="323" t="s">
        <v>4153</v>
      </c>
      <c r="C28" s="857">
        <f t="shared" si="4"/>
        <v>120509852311.79868</v>
      </c>
      <c r="D28" s="857">
        <f t="shared" si="2"/>
        <v>101612623820.88448</v>
      </c>
      <c r="E28" s="856">
        <f>F27+1</f>
        <v>45108</v>
      </c>
      <c r="F28" s="856">
        <f>AA29-1</f>
        <v>45160</v>
      </c>
      <c r="G28" s="850">
        <f t="shared" si="3"/>
        <v>53</v>
      </c>
      <c r="H28" s="850">
        <v>365</v>
      </c>
      <c r="I28" s="850">
        <f t="shared" si="5"/>
        <v>3084</v>
      </c>
      <c r="J28" s="848">
        <f t="shared" si="6"/>
        <v>1746261044.9114387</v>
      </c>
      <c r="K28" s="848">
        <f t="shared" si="7"/>
        <v>99866362775.973038</v>
      </c>
      <c r="L28" s="856">
        <v>45161</v>
      </c>
      <c r="M28" s="848">
        <v>66995900</v>
      </c>
      <c r="N28" s="850"/>
      <c r="O28" s="850"/>
      <c r="P28" s="850"/>
      <c r="Q28" s="850"/>
      <c r="R28" s="96">
        <v>45108</v>
      </c>
      <c r="S28" s="97" t="s">
        <v>4159</v>
      </c>
      <c r="T28" s="97" t="s">
        <v>4160</v>
      </c>
      <c r="U28" s="97" t="s">
        <v>4160</v>
      </c>
      <c r="V28" s="97" t="s">
        <v>95</v>
      </c>
      <c r="W28" s="97" t="s">
        <v>19</v>
      </c>
      <c r="X28" s="98">
        <v>0</v>
      </c>
      <c r="Y28" s="98">
        <v>216142612</v>
      </c>
      <c r="Z28" s="850"/>
      <c r="AA28" s="856">
        <v>45108</v>
      </c>
      <c r="AB28" s="848">
        <f t="shared" si="8"/>
        <v>241444300</v>
      </c>
    </row>
    <row r="29" spans="1:28">
      <c r="A29" s="850">
        <v>2023</v>
      </c>
      <c r="B29" s="323" t="s">
        <v>4153</v>
      </c>
      <c r="C29" s="857">
        <f t="shared" si="4"/>
        <v>120442856411.79868</v>
      </c>
      <c r="D29" s="857">
        <f t="shared" si="2"/>
        <v>99799366875.973038</v>
      </c>
      <c r="E29" s="856">
        <f>F28+1</f>
        <v>45161</v>
      </c>
      <c r="F29" s="856">
        <f>AA30-1</f>
        <v>45237</v>
      </c>
      <c r="G29" s="850">
        <f t="shared" si="3"/>
        <v>77</v>
      </c>
      <c r="H29" s="850">
        <v>365</v>
      </c>
      <c r="I29" s="850">
        <f t="shared" si="5"/>
        <v>3031</v>
      </c>
      <c r="J29" s="848">
        <f t="shared" si="6"/>
        <v>2535318788.9970055</v>
      </c>
      <c r="K29" s="848">
        <f t="shared" si="7"/>
        <v>97264048086.976028</v>
      </c>
      <c r="L29" s="856">
        <v>45238</v>
      </c>
      <c r="M29" s="848">
        <v>487515752</v>
      </c>
      <c r="N29" s="850"/>
      <c r="O29" s="850"/>
      <c r="P29" s="850"/>
      <c r="Q29" s="850"/>
      <c r="R29" s="96">
        <v>45108</v>
      </c>
      <c r="S29" s="97" t="s">
        <v>4161</v>
      </c>
      <c r="T29" s="97" t="s">
        <v>4162</v>
      </c>
      <c r="U29" s="97" t="s">
        <v>4162</v>
      </c>
      <c r="V29" s="97" t="s">
        <v>95</v>
      </c>
      <c r="W29" s="97" t="s">
        <v>19</v>
      </c>
      <c r="X29" s="98">
        <v>0</v>
      </c>
      <c r="Y29" s="98">
        <v>25301688</v>
      </c>
      <c r="Z29" s="850"/>
      <c r="AA29" s="856">
        <v>45161</v>
      </c>
      <c r="AB29" s="848">
        <f t="shared" si="8"/>
        <v>66995900</v>
      </c>
    </row>
    <row r="30" spans="1:28">
      <c r="A30" s="850">
        <v>2023</v>
      </c>
      <c r="B30" s="323" t="s">
        <v>4153</v>
      </c>
      <c r="C30" s="857">
        <f t="shared" si="4"/>
        <v>119955340659.79868</v>
      </c>
      <c r="D30" s="857">
        <f t="shared" si="2"/>
        <v>96776532334.976028</v>
      </c>
      <c r="E30" s="856">
        <f>F29+1</f>
        <v>45238</v>
      </c>
      <c r="F30" s="856">
        <f>E30</f>
        <v>45238</v>
      </c>
      <c r="G30" s="850">
        <f t="shared" si="3"/>
        <v>1</v>
      </c>
      <c r="H30" s="850">
        <v>365</v>
      </c>
      <c r="I30" s="850">
        <f t="shared" si="5"/>
        <v>2954</v>
      </c>
      <c r="J30" s="848">
        <f t="shared" si="6"/>
        <v>32761182.239328377</v>
      </c>
      <c r="K30" s="848">
        <f t="shared" si="7"/>
        <v>96743771152.736694</v>
      </c>
      <c r="L30" s="856">
        <v>45239</v>
      </c>
      <c r="M30" s="848">
        <v>326229492</v>
      </c>
      <c r="N30" s="850"/>
      <c r="O30" s="850"/>
      <c r="P30" s="850"/>
      <c r="Q30" s="850"/>
      <c r="R30" s="96">
        <v>45161</v>
      </c>
      <c r="S30" s="97" t="s">
        <v>4163</v>
      </c>
      <c r="T30" s="97" t="s">
        <v>4164</v>
      </c>
      <c r="U30" s="97" t="s">
        <v>4165</v>
      </c>
      <c r="V30" s="97" t="s">
        <v>95</v>
      </c>
      <c r="W30" s="97" t="s">
        <v>19</v>
      </c>
      <c r="X30" s="98">
        <v>0</v>
      </c>
      <c r="Y30" s="98">
        <v>66995900</v>
      </c>
      <c r="Z30" s="850"/>
      <c r="AA30" s="856">
        <v>45238</v>
      </c>
      <c r="AB30" s="848">
        <f t="shared" si="8"/>
        <v>487515752</v>
      </c>
    </row>
    <row r="31" spans="1:28">
      <c r="A31" s="850">
        <v>2023</v>
      </c>
      <c r="B31" s="323" t="s">
        <v>4153</v>
      </c>
      <c r="C31" s="857">
        <f>C30-M30</f>
        <v>119629111167.79868</v>
      </c>
      <c r="D31" s="857">
        <f t="shared" si="2"/>
        <v>96417541660.736694</v>
      </c>
      <c r="E31" s="856">
        <v>45239</v>
      </c>
      <c r="F31" s="856">
        <v>45239</v>
      </c>
      <c r="G31" s="850">
        <f t="shared" si="3"/>
        <v>1</v>
      </c>
      <c r="H31" s="850">
        <v>365</v>
      </c>
      <c r="I31" s="850">
        <f t="shared" si="5"/>
        <v>2953</v>
      </c>
      <c r="J31" s="848">
        <f>D31/I31*G31</f>
        <v>32650708.317215271</v>
      </c>
      <c r="K31" s="848">
        <f t="shared" si="7"/>
        <v>96384890952.419479</v>
      </c>
      <c r="L31" s="856">
        <v>45240</v>
      </c>
      <c r="M31" s="848">
        <v>88558880</v>
      </c>
      <c r="N31" s="850"/>
      <c r="O31" s="850"/>
      <c r="P31" s="850"/>
      <c r="Q31" s="850"/>
      <c r="R31" s="96">
        <v>45238</v>
      </c>
      <c r="S31" s="97" t="s">
        <v>4166</v>
      </c>
      <c r="T31" s="97" t="s">
        <v>4167</v>
      </c>
      <c r="U31" s="97" t="s">
        <v>4165</v>
      </c>
      <c r="V31" s="97" t="s">
        <v>95</v>
      </c>
      <c r="W31" s="97" t="s">
        <v>19</v>
      </c>
      <c r="X31" s="98">
        <v>0</v>
      </c>
      <c r="Y31" s="98">
        <v>451149665</v>
      </c>
      <c r="Z31" s="850"/>
      <c r="AA31" s="856">
        <v>45239</v>
      </c>
      <c r="AB31" s="848">
        <f t="shared" si="8"/>
        <v>326229492</v>
      </c>
    </row>
    <row r="32" spans="1:28">
      <c r="A32" s="850">
        <v>2023</v>
      </c>
      <c r="B32" s="323" t="s">
        <v>4153</v>
      </c>
      <c r="C32" s="857">
        <f>C31-M31</f>
        <v>119540552287.79868</v>
      </c>
      <c r="D32" s="857">
        <f t="shared" si="2"/>
        <v>96296332072.419479</v>
      </c>
      <c r="E32" s="856">
        <v>45240</v>
      </c>
      <c r="F32" s="856">
        <v>45291</v>
      </c>
      <c r="G32" s="850">
        <f t="shared" si="3"/>
        <v>52</v>
      </c>
      <c r="H32" s="850">
        <v>365</v>
      </c>
      <c r="I32" s="850">
        <f t="shared" si="5"/>
        <v>2952</v>
      </c>
      <c r="J32" s="848">
        <f>D32/I32*G32</f>
        <v>1696276852.2241912</v>
      </c>
      <c r="K32" s="848">
        <f t="shared" si="7"/>
        <v>94600055220.195282</v>
      </c>
      <c r="L32" s="856">
        <v>45657</v>
      </c>
      <c r="M32" s="848">
        <f>J33*(F33-E33+1)/G33</f>
        <v>11939179382.962578</v>
      </c>
      <c r="N32" s="850"/>
      <c r="O32" s="850"/>
      <c r="P32" s="850"/>
      <c r="Q32" s="850"/>
      <c r="R32" s="96">
        <v>45238</v>
      </c>
      <c r="S32" s="97" t="s">
        <v>4168</v>
      </c>
      <c r="T32" s="97" t="s">
        <v>4169</v>
      </c>
      <c r="U32" s="97" t="s">
        <v>4165</v>
      </c>
      <c r="V32" s="97" t="s">
        <v>95</v>
      </c>
      <c r="W32" s="97" t="s">
        <v>19</v>
      </c>
      <c r="X32" s="98">
        <v>0</v>
      </c>
      <c r="Y32" s="98">
        <v>36366087</v>
      </c>
      <c r="Z32" s="850"/>
      <c r="AA32" s="856">
        <v>45240</v>
      </c>
      <c r="AB32" s="848">
        <f t="shared" si="8"/>
        <v>88558880</v>
      </c>
    </row>
    <row r="33" spans="1:25" ht="25.5">
      <c r="A33" s="850">
        <v>2024</v>
      </c>
      <c r="B33" s="323" t="s">
        <v>4153</v>
      </c>
      <c r="C33" s="857">
        <f>C32</f>
        <v>119540552287.79868</v>
      </c>
      <c r="D33" s="857">
        <f>K32</f>
        <v>94600055220.195282</v>
      </c>
      <c r="E33" s="856">
        <v>45292</v>
      </c>
      <c r="F33" s="856">
        <v>45657</v>
      </c>
      <c r="G33" s="850">
        <f t="shared" si="3"/>
        <v>366</v>
      </c>
      <c r="H33" s="850">
        <v>365</v>
      </c>
      <c r="I33" s="850">
        <f t="shared" si="5"/>
        <v>2900</v>
      </c>
      <c r="J33" s="848">
        <f>D33/I33*G33</f>
        <v>11939179382.962578</v>
      </c>
      <c r="K33" s="848">
        <f t="shared" ref="K33:K40" si="9">K32-J33</f>
        <v>82660875837.232697</v>
      </c>
      <c r="L33" s="1003" t="s">
        <v>4170</v>
      </c>
      <c r="M33" s="850"/>
      <c r="N33" s="850"/>
      <c r="O33" s="850"/>
      <c r="P33" s="850"/>
      <c r="Q33" s="850"/>
      <c r="R33" s="96">
        <v>45239</v>
      </c>
      <c r="S33" s="97" t="s">
        <v>4171</v>
      </c>
      <c r="T33" s="97" t="s">
        <v>4172</v>
      </c>
      <c r="U33" s="97" t="s">
        <v>4172</v>
      </c>
      <c r="V33" s="97" t="s">
        <v>95</v>
      </c>
      <c r="W33" s="97" t="s">
        <v>19</v>
      </c>
      <c r="X33" s="98">
        <v>0</v>
      </c>
      <c r="Y33" s="98">
        <v>240571722</v>
      </c>
    </row>
    <row r="34" spans="1:25">
      <c r="A34" s="850">
        <v>2025</v>
      </c>
      <c r="B34" s="323" t="s">
        <v>4153</v>
      </c>
      <c r="C34" s="857">
        <f t="shared" ref="C34:C40" si="10">C33</f>
        <v>119540552287.79868</v>
      </c>
      <c r="D34" s="857">
        <f>D33</f>
        <v>94600055220.195282</v>
      </c>
      <c r="E34" s="856">
        <v>45658</v>
      </c>
      <c r="F34" s="856">
        <v>46022</v>
      </c>
      <c r="G34" s="850">
        <f t="shared" si="3"/>
        <v>365</v>
      </c>
      <c r="H34" s="850">
        <v>365</v>
      </c>
      <c r="I34" s="850">
        <f>I33</f>
        <v>2900</v>
      </c>
      <c r="J34" s="848">
        <f t="shared" si="6"/>
        <v>11906558674.265959</v>
      </c>
      <c r="K34" s="848">
        <f t="shared" si="9"/>
        <v>70754317162.966736</v>
      </c>
      <c r="L34" s="857"/>
      <c r="M34" s="850"/>
      <c r="N34" s="850"/>
      <c r="O34" s="850"/>
      <c r="P34" s="850"/>
      <c r="Q34" s="850"/>
      <c r="R34" s="96">
        <v>45239</v>
      </c>
      <c r="S34" s="97" t="s">
        <v>4173</v>
      </c>
      <c r="T34" s="97" t="s">
        <v>4174</v>
      </c>
      <c r="U34" s="97" t="s">
        <v>4165</v>
      </c>
      <c r="V34" s="97" t="s">
        <v>95</v>
      </c>
      <c r="W34" s="97" t="s">
        <v>19</v>
      </c>
      <c r="X34" s="98">
        <v>0</v>
      </c>
      <c r="Y34" s="98">
        <v>85657770</v>
      </c>
    </row>
    <row r="35" spans="1:25">
      <c r="A35" s="850">
        <v>2026</v>
      </c>
      <c r="B35" s="323" t="s">
        <v>4153</v>
      </c>
      <c r="C35" s="857">
        <f t="shared" si="10"/>
        <v>119540552287.79868</v>
      </c>
      <c r="D35" s="857">
        <f t="shared" ref="D35:D40" si="11">D34</f>
        <v>94600055220.195282</v>
      </c>
      <c r="E35" s="856">
        <v>46023</v>
      </c>
      <c r="F35" s="856">
        <v>46387</v>
      </c>
      <c r="G35" s="850">
        <f t="shared" si="3"/>
        <v>365</v>
      </c>
      <c r="H35" s="850">
        <v>365</v>
      </c>
      <c r="I35" s="850">
        <f t="shared" ref="I35:I40" si="12">I34</f>
        <v>2900</v>
      </c>
      <c r="J35" s="848">
        <f t="shared" si="6"/>
        <v>11906558674.265959</v>
      </c>
      <c r="K35" s="848">
        <f t="shared" si="9"/>
        <v>58847758488.700775</v>
      </c>
      <c r="L35" s="850"/>
      <c r="M35" s="850"/>
      <c r="N35" s="850"/>
      <c r="O35" s="850"/>
      <c r="P35" s="850"/>
      <c r="Q35" s="850"/>
      <c r="R35" s="96">
        <v>45240</v>
      </c>
      <c r="S35" s="97" t="s">
        <v>4175</v>
      </c>
      <c r="T35" s="97" t="s">
        <v>4176</v>
      </c>
      <c r="U35" s="97" t="s">
        <v>4165</v>
      </c>
      <c r="V35" s="97" t="s">
        <v>95</v>
      </c>
      <c r="W35" s="97" t="s">
        <v>19</v>
      </c>
      <c r="X35" s="98">
        <v>0</v>
      </c>
      <c r="Y35" s="98">
        <v>88558880</v>
      </c>
    </row>
    <row r="36" spans="1:25">
      <c r="A36" s="850">
        <v>2027</v>
      </c>
      <c r="B36" s="323" t="s">
        <v>4153</v>
      </c>
      <c r="C36" s="857">
        <f t="shared" si="10"/>
        <v>119540552287.79868</v>
      </c>
      <c r="D36" s="857">
        <f t="shared" si="11"/>
        <v>94600055220.195282</v>
      </c>
      <c r="E36" s="856">
        <v>46388</v>
      </c>
      <c r="F36" s="856">
        <v>46752</v>
      </c>
      <c r="G36" s="850">
        <f t="shared" si="3"/>
        <v>365</v>
      </c>
      <c r="H36" s="850">
        <v>365</v>
      </c>
      <c r="I36" s="850">
        <f t="shared" si="12"/>
        <v>2900</v>
      </c>
      <c r="J36" s="848">
        <f t="shared" si="6"/>
        <v>11906558674.265959</v>
      </c>
      <c r="K36" s="848">
        <f t="shared" si="9"/>
        <v>46941199814.434814</v>
      </c>
      <c r="L36" s="850"/>
      <c r="M36" s="850"/>
      <c r="N36" s="850"/>
      <c r="O36" s="850"/>
      <c r="P36" s="850"/>
      <c r="Q36" s="850"/>
      <c r="R36" s="850"/>
      <c r="S36" s="850"/>
      <c r="T36" s="850"/>
      <c r="U36" s="850"/>
      <c r="V36" s="850"/>
      <c r="W36" s="850"/>
      <c r="X36" s="850"/>
      <c r="Y36" s="850"/>
    </row>
    <row r="37" spans="1:25">
      <c r="A37" s="850">
        <v>2028</v>
      </c>
      <c r="B37" s="323" t="s">
        <v>4153</v>
      </c>
      <c r="C37" s="857">
        <f t="shared" si="10"/>
        <v>119540552287.79868</v>
      </c>
      <c r="D37" s="857">
        <f t="shared" si="11"/>
        <v>94600055220.195282</v>
      </c>
      <c r="E37" s="856">
        <v>46753</v>
      </c>
      <c r="F37" s="856">
        <v>47118</v>
      </c>
      <c r="G37" s="850">
        <f t="shared" si="3"/>
        <v>366</v>
      </c>
      <c r="H37" s="850">
        <v>365</v>
      </c>
      <c r="I37" s="850">
        <f t="shared" si="12"/>
        <v>2900</v>
      </c>
      <c r="J37" s="848">
        <f t="shared" si="6"/>
        <v>11939179382.962578</v>
      </c>
      <c r="K37" s="848">
        <f t="shared" si="9"/>
        <v>35002020431.472237</v>
      </c>
      <c r="L37" s="850"/>
      <c r="M37" s="850"/>
      <c r="N37" s="850"/>
      <c r="O37" s="850"/>
      <c r="P37" s="850"/>
      <c r="Q37" s="850"/>
      <c r="R37" s="850"/>
      <c r="S37" s="850"/>
      <c r="T37" s="850"/>
      <c r="U37" s="850"/>
      <c r="V37" s="850"/>
      <c r="W37" s="850"/>
      <c r="X37" s="850"/>
      <c r="Y37" s="850"/>
    </row>
    <row r="38" spans="1:25">
      <c r="A38" s="850">
        <v>2029</v>
      </c>
      <c r="B38" s="323" t="s">
        <v>4153</v>
      </c>
      <c r="C38" s="857">
        <f t="shared" si="10"/>
        <v>119540552287.79868</v>
      </c>
      <c r="D38" s="857">
        <f t="shared" si="11"/>
        <v>94600055220.195282</v>
      </c>
      <c r="E38" s="856">
        <v>47119</v>
      </c>
      <c r="F38" s="856">
        <v>47483</v>
      </c>
      <c r="G38" s="850">
        <f t="shared" si="3"/>
        <v>365</v>
      </c>
      <c r="H38" s="850">
        <v>365</v>
      </c>
      <c r="I38" s="850">
        <f t="shared" si="12"/>
        <v>2900</v>
      </c>
      <c r="J38" s="848">
        <f t="shared" si="6"/>
        <v>11906558674.265959</v>
      </c>
      <c r="K38" s="848">
        <f t="shared" si="9"/>
        <v>23095461757.206276</v>
      </c>
      <c r="L38" s="850"/>
      <c r="M38" s="850"/>
      <c r="N38" s="850"/>
      <c r="O38" s="850"/>
      <c r="P38" s="850"/>
      <c r="Q38" s="850"/>
      <c r="R38" s="850"/>
      <c r="S38" s="850"/>
      <c r="T38" s="850"/>
      <c r="U38" s="850"/>
      <c r="V38" s="850"/>
      <c r="W38" s="850"/>
      <c r="X38" s="850"/>
      <c r="Y38" s="850"/>
    </row>
    <row r="39" spans="1:25">
      <c r="A39" s="850">
        <v>2030</v>
      </c>
      <c r="B39" s="323" t="s">
        <v>4153</v>
      </c>
      <c r="C39" s="857">
        <f t="shared" si="10"/>
        <v>119540552287.79868</v>
      </c>
      <c r="D39" s="857">
        <f t="shared" si="11"/>
        <v>94600055220.195282</v>
      </c>
      <c r="E39" s="856">
        <v>47484</v>
      </c>
      <c r="F39" s="856">
        <v>47848</v>
      </c>
      <c r="G39" s="850">
        <f t="shared" si="3"/>
        <v>365</v>
      </c>
      <c r="H39" s="850">
        <v>365</v>
      </c>
      <c r="I39" s="850">
        <f t="shared" si="12"/>
        <v>2900</v>
      </c>
      <c r="J39" s="848">
        <f t="shared" si="6"/>
        <v>11906558674.265959</v>
      </c>
      <c r="K39" s="848">
        <f t="shared" si="9"/>
        <v>11188903082.940317</v>
      </c>
      <c r="L39" s="850"/>
      <c r="M39" s="850"/>
      <c r="N39" s="850"/>
      <c r="O39" s="850"/>
      <c r="P39" s="850"/>
      <c r="Q39" s="850"/>
      <c r="R39" s="850"/>
      <c r="S39" s="850"/>
      <c r="T39" s="850"/>
      <c r="U39" s="850"/>
      <c r="V39" s="850"/>
      <c r="W39" s="850"/>
      <c r="X39" s="850"/>
      <c r="Y39" s="850"/>
    </row>
    <row r="40" spans="1:25">
      <c r="A40" s="850">
        <v>2031</v>
      </c>
      <c r="B40" s="323" t="s">
        <v>4153</v>
      </c>
      <c r="C40" s="857">
        <f t="shared" si="10"/>
        <v>119540552287.79868</v>
      </c>
      <c r="D40" s="857">
        <f t="shared" si="11"/>
        <v>94600055220.195282</v>
      </c>
      <c r="E40" s="856">
        <v>47849</v>
      </c>
      <c r="F40" s="856">
        <v>48191</v>
      </c>
      <c r="G40" s="850">
        <f t="shared" si="3"/>
        <v>343</v>
      </c>
      <c r="H40" s="850">
        <v>365</v>
      </c>
      <c r="I40" s="850">
        <f t="shared" si="12"/>
        <v>2900</v>
      </c>
      <c r="J40" s="848">
        <f t="shared" si="6"/>
        <v>11188903082.940338</v>
      </c>
      <c r="K40" s="848">
        <f t="shared" si="9"/>
        <v>-2.09808349609375E-5</v>
      </c>
      <c r="L40" s="850"/>
      <c r="M40" s="850"/>
      <c r="N40" s="850"/>
      <c r="O40" s="850"/>
      <c r="P40" s="850"/>
      <c r="Q40" s="850"/>
      <c r="R40" s="850"/>
      <c r="S40" s="850"/>
      <c r="T40" s="850"/>
      <c r="U40" s="850"/>
      <c r="V40" s="850"/>
      <c r="W40" s="850"/>
      <c r="X40" s="850"/>
      <c r="Y40" s="850"/>
    </row>
    <row r="42" spans="1:25">
      <c r="A42" s="850"/>
      <c r="B42" s="850"/>
      <c r="C42" s="850"/>
      <c r="D42" s="850"/>
      <c r="E42" s="856"/>
      <c r="F42" s="850"/>
      <c r="G42" s="850"/>
      <c r="H42" s="850"/>
      <c r="I42" s="850"/>
      <c r="J42" s="850"/>
      <c r="K42" s="850"/>
      <c r="L42" s="850"/>
      <c r="M42" s="850"/>
      <c r="N42" s="850"/>
      <c r="O42" s="850"/>
      <c r="P42" s="850"/>
      <c r="Q42" s="850"/>
      <c r="R42" s="850"/>
      <c r="S42" s="850"/>
      <c r="T42" s="850"/>
      <c r="U42" s="850"/>
      <c r="V42" s="850"/>
      <c r="W42" s="850"/>
      <c r="X42" s="850"/>
      <c r="Y42" s="850"/>
    </row>
    <row r="43" spans="1:25">
      <c r="A43" s="850"/>
      <c r="B43" s="850"/>
      <c r="C43" s="850"/>
      <c r="D43" s="857"/>
      <c r="E43" s="856"/>
      <c r="F43" s="856"/>
      <c r="G43" s="850"/>
      <c r="H43" s="850"/>
      <c r="I43" s="850"/>
      <c r="J43" s="848"/>
      <c r="K43" s="857"/>
      <c r="L43" s="850"/>
      <c r="M43" s="850"/>
      <c r="N43" s="850"/>
      <c r="O43" s="850"/>
      <c r="P43" s="850"/>
      <c r="Q43" s="850"/>
      <c r="R43" s="850"/>
      <c r="S43" s="850"/>
      <c r="T43" s="850"/>
      <c r="U43" s="850"/>
      <c r="V43" s="850"/>
      <c r="W43" s="850"/>
      <c r="X43" s="850"/>
      <c r="Y43" s="850"/>
    </row>
    <row r="44" spans="1:25">
      <c r="A44" s="850"/>
      <c r="B44" s="850"/>
      <c r="C44" s="850"/>
      <c r="D44" s="857"/>
      <c r="E44" s="856"/>
      <c r="F44" s="856"/>
      <c r="G44" s="850"/>
      <c r="H44" s="850"/>
      <c r="I44" s="850"/>
      <c r="J44" s="848"/>
      <c r="K44" s="857"/>
      <c r="L44" s="850"/>
      <c r="M44" s="850"/>
      <c r="N44" s="850"/>
      <c r="O44" s="850"/>
      <c r="P44" s="850"/>
      <c r="Q44" s="850"/>
      <c r="R44" s="850"/>
      <c r="S44" s="850"/>
      <c r="T44" s="850"/>
      <c r="U44" s="850"/>
      <c r="V44" s="850"/>
      <c r="W44" s="850"/>
      <c r="X44" s="850"/>
      <c r="Y44" s="850"/>
    </row>
    <row r="45" spans="1:25">
      <c r="A45" s="850"/>
      <c r="B45" s="850"/>
      <c r="C45" s="850"/>
      <c r="D45" s="857"/>
      <c r="E45" s="856"/>
      <c r="F45" s="856"/>
      <c r="G45" s="850"/>
      <c r="H45" s="850"/>
      <c r="I45" s="850"/>
      <c r="J45" s="848"/>
      <c r="K45" s="857"/>
      <c r="L45" s="850"/>
      <c r="M45" s="850"/>
      <c r="N45" s="850"/>
      <c r="O45" s="850"/>
      <c r="P45" s="850"/>
      <c r="Q45" s="850"/>
      <c r="R45" s="850"/>
      <c r="S45" s="850"/>
      <c r="T45" s="850"/>
      <c r="U45" s="850"/>
      <c r="V45" s="850"/>
      <c r="W45" s="850"/>
      <c r="X45" s="850"/>
      <c r="Y45" s="850"/>
    </row>
    <row r="46" spans="1:25">
      <c r="A46" s="850"/>
      <c r="B46" s="850"/>
      <c r="C46" s="850"/>
      <c r="D46" s="857"/>
      <c r="E46" s="856"/>
      <c r="F46" s="856"/>
      <c r="G46" s="850"/>
      <c r="H46" s="850"/>
      <c r="I46" s="850"/>
      <c r="J46" s="848"/>
      <c r="K46" s="857"/>
      <c r="L46" s="850"/>
      <c r="M46" s="850"/>
      <c r="N46" s="850"/>
      <c r="O46" s="850"/>
      <c r="P46" s="850"/>
      <c r="Q46" s="850"/>
      <c r="R46" s="850"/>
      <c r="S46" s="850"/>
      <c r="T46" s="850"/>
      <c r="U46" s="850"/>
      <c r="V46" s="850"/>
      <c r="W46" s="850"/>
      <c r="X46" s="850"/>
      <c r="Y46" s="850"/>
    </row>
    <row r="47" spans="1:25">
      <c r="A47" s="850"/>
      <c r="B47" s="850"/>
      <c r="C47" s="850"/>
      <c r="D47" s="857"/>
      <c r="E47" s="856"/>
      <c r="F47" s="856"/>
      <c r="G47" s="850"/>
      <c r="H47" s="850"/>
      <c r="I47" s="850"/>
      <c r="J47" s="848"/>
      <c r="K47" s="857"/>
      <c r="L47" s="850"/>
      <c r="M47" s="850"/>
      <c r="N47" s="850"/>
      <c r="O47" s="850"/>
      <c r="P47" s="850"/>
      <c r="Q47" s="850"/>
      <c r="R47" s="850"/>
      <c r="S47" s="850"/>
      <c r="T47" s="850"/>
      <c r="U47" s="850"/>
      <c r="V47" s="850"/>
      <c r="W47" s="850"/>
      <c r="X47" s="850"/>
      <c r="Y47" s="850"/>
    </row>
    <row r="48" spans="1:25">
      <c r="A48" s="850"/>
      <c r="B48" s="850"/>
      <c r="C48" s="850"/>
      <c r="D48" s="857"/>
      <c r="E48" s="856"/>
      <c r="F48" s="856"/>
      <c r="G48" s="850"/>
      <c r="H48" s="850"/>
      <c r="I48" s="850"/>
      <c r="J48" s="848"/>
      <c r="K48" s="857"/>
      <c r="L48" s="850"/>
      <c r="M48" s="850"/>
      <c r="N48" s="850"/>
      <c r="O48" s="850"/>
      <c r="P48" s="850"/>
      <c r="Q48" s="850"/>
      <c r="R48" s="850"/>
      <c r="S48" s="850"/>
      <c r="T48" s="850"/>
      <c r="U48" s="850"/>
      <c r="V48" s="850"/>
      <c r="W48" s="850"/>
      <c r="X48" s="850"/>
      <c r="Y48" s="850"/>
    </row>
    <row r="49" spans="4:11">
      <c r="D49" s="857"/>
      <c r="E49" s="856"/>
      <c r="F49" s="856"/>
      <c r="G49" s="850"/>
      <c r="H49" s="850"/>
      <c r="I49" s="850"/>
      <c r="J49" s="848"/>
      <c r="K49" s="857"/>
    </row>
    <row r="50" spans="4:11">
      <c r="D50" s="857"/>
      <c r="E50" s="856"/>
      <c r="F50" s="856"/>
      <c r="G50" s="850"/>
      <c r="H50" s="850"/>
      <c r="I50" s="850"/>
      <c r="J50" s="848"/>
      <c r="K50" s="857"/>
    </row>
    <row r="51" spans="4:11">
      <c r="D51" s="857"/>
      <c r="E51" s="856"/>
      <c r="F51" s="856"/>
      <c r="G51" s="850"/>
      <c r="H51" s="850"/>
      <c r="I51" s="850"/>
      <c r="J51" s="848"/>
      <c r="K51" s="857"/>
    </row>
    <row r="52" spans="4:11">
      <c r="D52" s="857"/>
      <c r="E52" s="856"/>
      <c r="F52" s="856"/>
      <c r="G52" s="850"/>
      <c r="H52" s="850"/>
      <c r="I52" s="850"/>
      <c r="J52" s="848"/>
      <c r="K52" s="857"/>
    </row>
    <row r="53" spans="4:11">
      <c r="D53" s="857"/>
      <c r="E53" s="856"/>
      <c r="F53" s="856"/>
      <c r="G53" s="850"/>
      <c r="H53" s="850"/>
      <c r="I53" s="850"/>
      <c r="J53" s="848"/>
      <c r="K53" s="85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05AC6-C90B-4626-8185-170D1C2684B0}">
  <dimension ref="A1:AH90"/>
  <sheetViews>
    <sheetView showGridLines="0" topLeftCell="B1" zoomScale="102" zoomScaleNormal="80" workbookViewId="0">
      <selection activeCell="H25" sqref="H25"/>
    </sheetView>
  </sheetViews>
  <sheetFormatPr defaultColWidth="0" defaultRowHeight="12.75" zeroHeight="1"/>
  <cols>
    <col min="1" max="1" width="16.42578125" style="696" customWidth="1"/>
    <col min="2" max="2" width="12.85546875" style="696" bestFit="1" customWidth="1"/>
    <col min="3" max="3" width="12" style="696" customWidth="1"/>
    <col min="4" max="5" width="19.5703125" style="697" bestFit="1" customWidth="1"/>
    <col min="6" max="6" width="16.42578125" style="698" customWidth="1"/>
    <col min="7" max="7" width="18" style="698" bestFit="1" customWidth="1"/>
    <col min="8" max="8" width="19.42578125" style="698" bestFit="1" customWidth="1"/>
    <col min="9" max="14" width="19.42578125" style="698" customWidth="1"/>
    <col min="15" max="15" width="19.42578125" style="696" bestFit="1" customWidth="1"/>
    <col min="16" max="16" width="16.42578125" style="696" bestFit="1" customWidth="1"/>
    <col min="17" max="17" width="3.5703125" style="699" customWidth="1"/>
    <col min="18" max="18" width="1.5703125" style="696" customWidth="1"/>
    <col min="19" max="34" width="0" style="696" hidden="1" customWidth="1"/>
    <col min="35" max="16384" width="9.42578125" style="696" hidden="1"/>
  </cols>
  <sheetData>
    <row r="1" spans="1:18">
      <c r="A1" s="695" t="s">
        <v>4177</v>
      </c>
      <c r="B1" s="1235"/>
      <c r="C1" s="1235"/>
      <c r="D1" s="1236"/>
      <c r="E1" s="1236"/>
      <c r="F1" s="1237"/>
      <c r="G1" s="1237"/>
      <c r="H1" s="1237"/>
      <c r="I1" s="1237"/>
      <c r="J1" s="1237"/>
      <c r="K1" s="1237"/>
      <c r="L1" s="1237"/>
      <c r="M1" s="1237"/>
      <c r="N1" s="1237"/>
      <c r="O1" s="1235"/>
      <c r="P1" s="1235"/>
      <c r="R1" s="1235"/>
    </row>
    <row r="2" spans="1:18">
      <c r="A2" s="695" t="s">
        <v>0</v>
      </c>
      <c r="B2" s="1235" t="s">
        <v>4178</v>
      </c>
      <c r="C2" s="1235"/>
      <c r="D2" s="1236"/>
      <c r="E2" s="1236"/>
      <c r="F2" s="1237"/>
      <c r="G2" s="1237"/>
      <c r="H2" s="1237"/>
      <c r="I2" s="1237"/>
      <c r="J2" s="1237"/>
      <c r="K2" s="1237"/>
      <c r="L2" s="1237"/>
      <c r="M2" s="1237"/>
      <c r="N2" s="1237"/>
      <c r="O2" s="1235"/>
      <c r="P2" s="1235"/>
      <c r="R2" s="1235"/>
    </row>
    <row r="3" spans="1:18">
      <c r="A3" s="695" t="s">
        <v>4179</v>
      </c>
      <c r="B3" s="1238">
        <v>45657</v>
      </c>
      <c r="C3" s="1235"/>
      <c r="D3" s="1236"/>
      <c r="E3" s="1236"/>
      <c r="F3" s="1237"/>
      <c r="G3" s="1237"/>
      <c r="H3" s="1237"/>
      <c r="I3" s="1237"/>
      <c r="J3" s="1237"/>
      <c r="K3" s="1237"/>
      <c r="L3" s="1237"/>
      <c r="M3" s="1237"/>
      <c r="N3" s="1237"/>
      <c r="O3" s="1235"/>
      <c r="P3" s="1235"/>
      <c r="R3" s="1235"/>
    </row>
    <row r="4" spans="1:18" s="699" customFormat="1">
      <c r="A4" s="695" t="s">
        <v>4180</v>
      </c>
      <c r="B4" s="1235" t="s">
        <v>3074</v>
      </c>
      <c r="C4" s="1235"/>
      <c r="D4" s="1236"/>
      <c r="E4" s="1236"/>
      <c r="F4" s="1237"/>
      <c r="G4" s="1237"/>
      <c r="H4" s="1237"/>
      <c r="I4" s="1237"/>
      <c r="J4" s="1237"/>
      <c r="K4" s="1237"/>
      <c r="L4" s="1237"/>
      <c r="M4" s="1237"/>
      <c r="N4" s="1237"/>
      <c r="O4" s="1235"/>
      <c r="P4" s="1235"/>
      <c r="R4" s="1235"/>
    </row>
    <row r="5" spans="1:18" s="699" customFormat="1">
      <c r="A5" s="700" t="s">
        <v>4181</v>
      </c>
      <c r="B5" s="1235"/>
      <c r="C5" s="1235"/>
      <c r="D5" s="1236"/>
      <c r="E5" s="1236"/>
      <c r="F5" s="1237"/>
      <c r="G5" s="1237"/>
      <c r="H5" s="1237"/>
      <c r="I5" s="1237"/>
      <c r="J5" s="1237"/>
      <c r="K5" s="1237"/>
      <c r="L5" s="1237"/>
      <c r="M5" s="1237"/>
      <c r="N5" s="1237"/>
      <c r="O5" s="1235"/>
      <c r="P5" s="1235"/>
      <c r="R5" s="1235"/>
    </row>
    <row r="6" spans="1:18" s="699" customFormat="1">
      <c r="A6" s="1235"/>
      <c r="B6" s="1235"/>
      <c r="C6" s="1235"/>
      <c r="D6" s="1236"/>
      <c r="E6" s="1236"/>
      <c r="F6" s="1237"/>
      <c r="G6" s="1237"/>
      <c r="H6" s="701"/>
      <c r="I6" s="1237"/>
      <c r="J6" s="1237"/>
      <c r="K6" s="1237"/>
      <c r="L6" s="1237"/>
      <c r="M6" s="1237"/>
      <c r="N6" s="1237"/>
      <c r="O6" s="1235"/>
      <c r="P6" s="1235"/>
      <c r="R6" s="1235"/>
    </row>
    <row r="7" spans="1:18" s="699" customFormat="1">
      <c r="A7" s="1235"/>
      <c r="B7" s="702" t="s">
        <v>4182</v>
      </c>
      <c r="C7" s="702" t="s">
        <v>4183</v>
      </c>
      <c r="D7" s="703" t="s">
        <v>4184</v>
      </c>
      <c r="E7" s="703" t="s">
        <v>4185</v>
      </c>
      <c r="F7" s="703" t="s">
        <v>4186</v>
      </c>
      <c r="G7" s="703" t="s">
        <v>4187</v>
      </c>
      <c r="H7" s="703" t="s">
        <v>4188</v>
      </c>
      <c r="I7" s="703" t="s">
        <v>4189</v>
      </c>
      <c r="J7" s="703" t="s">
        <v>4190</v>
      </c>
      <c r="K7" s="703" t="s">
        <v>4191</v>
      </c>
      <c r="L7" s="703" t="s">
        <v>4192</v>
      </c>
      <c r="M7" s="703" t="s">
        <v>4193</v>
      </c>
      <c r="N7" s="703" t="s">
        <v>4194</v>
      </c>
      <c r="O7" s="704" t="s">
        <v>4195</v>
      </c>
      <c r="P7" s="700" t="s">
        <v>4196</v>
      </c>
      <c r="R7" s="1235"/>
    </row>
    <row r="8" spans="1:18" s="699" customFormat="1">
      <c r="A8" s="1235"/>
      <c r="B8" s="1239" t="s">
        <v>4197</v>
      </c>
      <c r="C8" s="1239" t="s">
        <v>4198</v>
      </c>
      <c r="D8" s="1240">
        <v>0</v>
      </c>
      <c r="E8" s="1240">
        <v>0</v>
      </c>
      <c r="F8" s="1240">
        <v>0</v>
      </c>
      <c r="G8" s="1240">
        <v>0</v>
      </c>
      <c r="H8" s="1240">
        <v>0</v>
      </c>
      <c r="I8" s="1240">
        <v>0</v>
      </c>
      <c r="J8" s="1240">
        <v>0</v>
      </c>
      <c r="K8" s="1240">
        <v>0</v>
      </c>
      <c r="L8" s="1240">
        <f>-16160183</f>
        <v>-16160183</v>
      </c>
      <c r="M8" s="1240"/>
      <c r="N8" s="1240"/>
      <c r="O8" s="1241">
        <f>SUM(D8:N8)</f>
        <v>-16160183</v>
      </c>
      <c r="P8" s="1242">
        <f>O8+O11</f>
        <v>0</v>
      </c>
      <c r="R8" s="1235"/>
    </row>
    <row r="9" spans="1:18" s="699" customFormat="1">
      <c r="A9" s="1235"/>
      <c r="B9" s="1239" t="s">
        <v>4197</v>
      </c>
      <c r="C9" s="1239" t="s">
        <v>530</v>
      </c>
      <c r="D9" s="1240">
        <v>0</v>
      </c>
      <c r="E9" s="1240">
        <v>0</v>
      </c>
      <c r="F9" s="1240">
        <v>0</v>
      </c>
      <c r="G9" s="1240">
        <f>-3462521</f>
        <v>-3462521</v>
      </c>
      <c r="H9" s="1240">
        <v>0</v>
      </c>
      <c r="I9" s="1240">
        <v>0</v>
      </c>
      <c r="J9" s="1240">
        <v>0</v>
      </c>
      <c r="K9" s="1240">
        <v>0</v>
      </c>
      <c r="L9" s="1240"/>
      <c r="M9" s="1240">
        <f>-32197837836</f>
        <v>-32197837836</v>
      </c>
      <c r="N9" s="1240"/>
      <c r="O9" s="1241">
        <f>SUM(D9:N9)</f>
        <v>-32201300357</v>
      </c>
      <c r="P9" s="1242">
        <f>O9+O14</f>
        <v>0</v>
      </c>
      <c r="R9" s="1235"/>
    </row>
    <row r="10" spans="1:18" ht="7.5" customHeight="1">
      <c r="A10" s="1235"/>
      <c r="B10" s="1243"/>
      <c r="C10" s="1243"/>
      <c r="D10" s="1244"/>
      <c r="E10" s="1244"/>
      <c r="F10" s="1245"/>
      <c r="G10" s="1245"/>
      <c r="H10" s="1245"/>
      <c r="I10" s="1245"/>
      <c r="J10" s="1245"/>
      <c r="K10" s="1245"/>
      <c r="L10" s="1245"/>
      <c r="M10" s="1245"/>
      <c r="N10" s="1245"/>
      <c r="O10" s="1235"/>
      <c r="P10" s="1235"/>
      <c r="R10" s="1235"/>
    </row>
    <row r="11" spans="1:18">
      <c r="A11" s="1235"/>
      <c r="B11" s="1239" t="s">
        <v>4198</v>
      </c>
      <c r="C11" s="1239" t="s">
        <v>4197</v>
      </c>
      <c r="D11" s="1241">
        <v>0</v>
      </c>
      <c r="E11" s="1241">
        <v>0</v>
      </c>
      <c r="F11" s="1241">
        <v>0</v>
      </c>
      <c r="G11" s="1241">
        <v>0</v>
      </c>
      <c r="H11" s="1241">
        <v>16160183</v>
      </c>
      <c r="I11" s="1241">
        <v>0</v>
      </c>
      <c r="J11" s="1241">
        <v>0</v>
      </c>
      <c r="K11" s="1241">
        <v>0</v>
      </c>
      <c r="L11" s="1241"/>
      <c r="M11" s="1241"/>
      <c r="N11" s="1241"/>
      <c r="O11" s="1241">
        <f>SUM(D11:N11)</f>
        <v>16160183</v>
      </c>
      <c r="P11" s="1242">
        <f>O11+O8</f>
        <v>0</v>
      </c>
      <c r="R11" s="1235"/>
    </row>
    <row r="12" spans="1:18">
      <c r="A12" s="1235"/>
      <c r="B12" s="1239" t="s">
        <v>4198</v>
      </c>
      <c r="C12" s="1239" t="s">
        <v>530</v>
      </c>
      <c r="D12" s="1241">
        <v>0</v>
      </c>
      <c r="E12" s="1241">
        <v>0</v>
      </c>
      <c r="F12" s="1241">
        <v>0</v>
      </c>
      <c r="G12" s="1241">
        <v>0</v>
      </c>
      <c r="H12" s="1241">
        <v>0</v>
      </c>
      <c r="I12" s="1241">
        <v>0</v>
      </c>
      <c r="J12" s="1241">
        <v>0</v>
      </c>
      <c r="K12" s="1241">
        <v>0</v>
      </c>
      <c r="L12" s="1241"/>
      <c r="M12" s="1241"/>
      <c r="N12" s="1241"/>
      <c r="O12" s="1241">
        <f>SUM(D12:N12)</f>
        <v>0</v>
      </c>
      <c r="P12" s="1242">
        <f>O12+O15</f>
        <v>0</v>
      </c>
      <c r="R12" s="1235"/>
    </row>
    <row r="13" spans="1:18" ht="5.25" customHeight="1">
      <c r="A13" s="1235"/>
      <c r="B13" s="1243"/>
      <c r="C13" s="1243"/>
      <c r="D13" s="1244"/>
      <c r="E13" s="1244"/>
      <c r="F13" s="1245"/>
      <c r="G13" s="1245"/>
      <c r="H13" s="1245"/>
      <c r="I13" s="1245"/>
      <c r="J13" s="1245"/>
      <c r="K13" s="1245"/>
      <c r="L13" s="1245"/>
      <c r="M13" s="1245"/>
      <c r="N13" s="1245"/>
      <c r="O13" s="1235"/>
      <c r="P13" s="1235"/>
      <c r="Q13" s="705"/>
      <c r="R13" s="1235"/>
    </row>
    <row r="14" spans="1:18">
      <c r="A14" s="1235"/>
      <c r="B14" s="1239" t="s">
        <v>530</v>
      </c>
      <c r="C14" s="1239" t="s">
        <v>4197</v>
      </c>
      <c r="D14" s="1241"/>
      <c r="E14" s="1241">
        <v>0</v>
      </c>
      <c r="F14" s="1241">
        <v>0</v>
      </c>
      <c r="G14" s="1241">
        <v>0</v>
      </c>
      <c r="H14" s="1241">
        <v>0</v>
      </c>
      <c r="I14" s="1241"/>
      <c r="J14" s="1241"/>
      <c r="K14" s="1241">
        <v>3462521</v>
      </c>
      <c r="L14" s="1241"/>
      <c r="M14" s="1241"/>
      <c r="N14" s="1241">
        <v>32197837836</v>
      </c>
      <c r="O14" s="1241">
        <f>SUM(D14:N14)</f>
        <v>32201300357</v>
      </c>
      <c r="P14" s="1242">
        <f>O9+O14</f>
        <v>0</v>
      </c>
      <c r="Q14" s="705"/>
      <c r="R14" s="1235"/>
    </row>
    <row r="15" spans="1:18">
      <c r="A15" s="1235"/>
      <c r="B15" s="1239" t="s">
        <v>530</v>
      </c>
      <c r="C15" s="1239" t="s">
        <v>4198</v>
      </c>
      <c r="D15" s="1241">
        <v>0</v>
      </c>
      <c r="E15" s="1241">
        <v>0</v>
      </c>
      <c r="F15" s="1241">
        <v>0</v>
      </c>
      <c r="G15" s="1241">
        <v>0</v>
      </c>
      <c r="H15" s="1241">
        <v>0</v>
      </c>
      <c r="I15" s="1241"/>
      <c r="J15" s="1241"/>
      <c r="K15" s="1241"/>
      <c r="L15" s="1241"/>
      <c r="M15" s="1241"/>
      <c r="N15" s="1241"/>
      <c r="O15" s="1241">
        <f>SUM(D15:M15)</f>
        <v>0</v>
      </c>
      <c r="P15" s="1235"/>
      <c r="Q15" s="705"/>
      <c r="R15" s="1235"/>
    </row>
    <row r="16" spans="1:18" ht="4.5" customHeight="1">
      <c r="A16" s="1246"/>
      <c r="B16" s="1243"/>
      <c r="C16" s="1243"/>
      <c r="D16" s="1244"/>
      <c r="E16" s="1244"/>
      <c r="F16" s="1245"/>
      <c r="G16" s="1245"/>
      <c r="H16" s="1245"/>
      <c r="I16" s="1245"/>
      <c r="J16" s="1245"/>
      <c r="K16" s="1245"/>
      <c r="L16" s="1245"/>
      <c r="M16" s="1245"/>
      <c r="N16" s="1245"/>
      <c r="O16" s="1241"/>
      <c r="P16" s="1235"/>
      <c r="Q16" s="705"/>
      <c r="R16" s="1235"/>
    </row>
    <row r="17" spans="2:15">
      <c r="B17" s="1235"/>
      <c r="C17" s="1235"/>
      <c r="D17" s="706">
        <f>SUM(D8:D9)+SUM(D11:D12)+SUM(D14:D15)</f>
        <v>0</v>
      </c>
      <c r="E17" s="706">
        <f>SUM(E8:E9)+SUM(E11:E12)+SUM(E14:E15)</f>
        <v>0</v>
      </c>
      <c r="F17" s="706">
        <f>SUM(F8:F9)+SUM(F11:F12)+SUM(F14:F15)</f>
        <v>0</v>
      </c>
      <c r="G17" s="706">
        <f>SUM(G8:G9)+SUM(G11:G12)+SUM(G14:G15)</f>
        <v>-3462521</v>
      </c>
      <c r="H17" s="706">
        <f>SUM(H8:H9)+SUM(H11:H12)+SUM(H14:H15)</f>
        <v>16160183</v>
      </c>
      <c r="I17" s="706">
        <f t="shared" ref="I17:K17" si="0">SUM(I8:I9)+SUM(I11:I12)+SUM(I14:I15)</f>
        <v>0</v>
      </c>
      <c r="J17" s="706">
        <f t="shared" si="0"/>
        <v>0</v>
      </c>
      <c r="K17" s="706">
        <f t="shared" si="0"/>
        <v>3462521</v>
      </c>
      <c r="L17" s="706"/>
      <c r="M17" s="706"/>
      <c r="N17" s="706"/>
      <c r="O17" s="706">
        <f>SUM(O8:O9)+SUM(O11:O12)+SUM(O14:O15)</f>
        <v>0</v>
      </c>
    </row>
    <row r="18" spans="2:15">
      <c r="B18" s="1235"/>
      <c r="C18" s="1235"/>
      <c r="D18" s="1236"/>
      <c r="E18" s="1236"/>
      <c r="F18" s="1237"/>
      <c r="G18" s="1237"/>
      <c r="H18" s="1237"/>
      <c r="I18" s="1237"/>
      <c r="J18" s="1237"/>
      <c r="K18" s="1237"/>
      <c r="L18" s="1237"/>
      <c r="M18" s="1237"/>
      <c r="N18" s="1237"/>
      <c r="O18" s="705"/>
    </row>
    <row r="19" spans="2:15">
      <c r="B19" s="1235"/>
      <c r="C19" s="1235"/>
      <c r="D19" s="1236"/>
      <c r="E19" s="1236"/>
      <c r="F19" s="1237"/>
      <c r="G19" s="1237"/>
      <c r="H19" s="1237"/>
      <c r="I19" s="1237"/>
      <c r="J19" s="1237"/>
      <c r="K19" s="1237"/>
      <c r="L19" s="1237"/>
      <c r="M19" s="1237"/>
      <c r="N19" s="1237"/>
      <c r="O19" s="1235"/>
    </row>
    <row r="20" spans="2:15">
      <c r="B20" s="707" t="s">
        <v>4199</v>
      </c>
      <c r="C20" s="1235"/>
      <c r="D20" s="1236"/>
      <c r="E20" s="1236"/>
      <c r="F20" s="1237"/>
      <c r="G20" s="1237"/>
      <c r="H20" s="1237"/>
      <c r="I20" s="1237"/>
      <c r="J20" s="1237"/>
      <c r="K20" s="1237"/>
      <c r="L20" s="1237"/>
      <c r="M20" s="1237"/>
      <c r="N20" s="1237"/>
      <c r="O20" s="1235"/>
    </row>
    <row r="21" spans="2:15">
      <c r="B21" s="708" t="s">
        <v>4200</v>
      </c>
      <c r="C21" s="1235"/>
      <c r="D21" s="1236"/>
      <c r="E21" s="1236"/>
      <c r="F21" s="1237"/>
      <c r="G21" s="1237"/>
      <c r="H21" s="1237"/>
      <c r="I21" s="1237"/>
      <c r="J21" s="1237"/>
      <c r="K21" s="1237"/>
      <c r="L21" s="1237"/>
      <c r="M21" s="1237"/>
      <c r="N21" s="1237"/>
      <c r="O21" s="1235"/>
    </row>
    <row r="22" spans="2:15">
      <c r="B22" s="1637" t="s">
        <v>4184</v>
      </c>
      <c r="C22" s="1638" t="s">
        <v>4201</v>
      </c>
      <c r="D22" s="1639" t="e">
        <f>ROUND(-HLOOKUP(B22,$D$7:$N$15,11,),)</f>
        <v>#REF!</v>
      </c>
      <c r="E22" s="1236"/>
      <c r="F22" s="1237"/>
      <c r="G22" s="1237"/>
      <c r="H22" s="1237"/>
      <c r="I22" s="1237"/>
      <c r="J22" s="1237"/>
      <c r="K22" s="1237"/>
      <c r="L22" s="1237"/>
      <c r="M22" s="1237"/>
      <c r="N22" s="1237"/>
      <c r="O22" s="1235"/>
    </row>
    <row r="23" spans="2:15">
      <c r="B23" s="709" t="s">
        <v>4185</v>
      </c>
      <c r="C23" s="1247" t="s">
        <v>4202</v>
      </c>
      <c r="D23" s="1248">
        <f>ROUND(-HLOOKUP(B23,$D$7:$N$17,11,),)</f>
        <v>0</v>
      </c>
      <c r="E23" s="1236"/>
      <c r="F23" s="1237"/>
      <c r="G23" s="1237"/>
      <c r="H23" s="1237"/>
      <c r="I23" s="1237"/>
      <c r="J23" s="1237"/>
      <c r="K23" s="1237"/>
      <c r="L23" s="1237"/>
      <c r="M23" s="1237"/>
      <c r="N23" s="1237"/>
      <c r="O23" s="1235"/>
    </row>
    <row r="24" spans="2:15">
      <c r="B24" s="709" t="s">
        <v>4186</v>
      </c>
      <c r="C24" s="1247" t="s">
        <v>4203</v>
      </c>
      <c r="D24" s="1248">
        <f t="shared" ref="D24:D32" si="1">ROUND(-HLOOKUP(B24,$D$7:$N$17,11,),)</f>
        <v>0</v>
      </c>
      <c r="E24" s="1236"/>
      <c r="F24" s="1237"/>
      <c r="G24" s="1237"/>
      <c r="H24" s="1237"/>
      <c r="I24" s="1237"/>
      <c r="J24" s="1237"/>
      <c r="K24" s="1237"/>
      <c r="L24" s="1237"/>
      <c r="M24" s="1237"/>
      <c r="N24" s="1237"/>
      <c r="O24" s="1235"/>
    </row>
    <row r="25" spans="2:15">
      <c r="B25" s="709" t="s">
        <v>4187</v>
      </c>
      <c r="C25" s="1247" t="s">
        <v>4204</v>
      </c>
      <c r="D25" s="1248">
        <f t="shared" si="1"/>
        <v>3462521</v>
      </c>
      <c r="E25" s="1236"/>
      <c r="F25" s="1237"/>
      <c r="G25" s="1237"/>
      <c r="H25" s="1237"/>
      <c r="I25" s="1237"/>
      <c r="J25" s="1237"/>
      <c r="K25" s="1237"/>
      <c r="L25" s="1237"/>
      <c r="M25" s="1237"/>
      <c r="N25" s="1237"/>
      <c r="O25" s="1235"/>
    </row>
    <row r="26" spans="2:15">
      <c r="B26" s="709" t="s">
        <v>4188</v>
      </c>
      <c r="C26" s="1243" t="s">
        <v>4205</v>
      </c>
      <c r="D26" s="1248">
        <f t="shared" si="1"/>
        <v>-16160183</v>
      </c>
      <c r="E26" s="1236"/>
      <c r="F26" s="1237"/>
      <c r="G26" s="1237"/>
      <c r="H26" s="1237"/>
      <c r="I26" s="1237"/>
      <c r="J26" s="1237"/>
      <c r="K26" s="1237"/>
      <c r="L26" s="1237"/>
      <c r="M26" s="1237"/>
      <c r="N26" s="1237"/>
      <c r="O26" s="1235"/>
    </row>
    <row r="27" spans="2:15">
      <c r="B27" s="709" t="s">
        <v>4189</v>
      </c>
      <c r="C27" s="1243" t="s">
        <v>4206</v>
      </c>
      <c r="D27" s="1248">
        <f t="shared" si="1"/>
        <v>0</v>
      </c>
      <c r="E27" s="1236"/>
      <c r="F27" s="1237"/>
      <c r="G27" s="1237"/>
      <c r="H27" s="1237"/>
      <c r="I27" s="1237"/>
      <c r="J27" s="1237"/>
      <c r="K27" s="1237"/>
      <c r="L27" s="1237"/>
      <c r="M27" s="1237"/>
      <c r="N27" s="1237"/>
      <c r="O27" s="1235"/>
    </row>
    <row r="28" spans="2:15">
      <c r="B28" s="709" t="s">
        <v>4190</v>
      </c>
      <c r="C28" s="1243" t="s">
        <v>4207</v>
      </c>
      <c r="D28" s="1248">
        <f t="shared" si="1"/>
        <v>0</v>
      </c>
      <c r="E28" s="1236"/>
      <c r="F28" s="1237"/>
      <c r="G28" s="1237"/>
      <c r="H28" s="1237"/>
      <c r="I28" s="1237"/>
      <c r="J28" s="1237"/>
      <c r="K28" s="1237"/>
      <c r="L28" s="1237"/>
      <c r="M28" s="1237"/>
      <c r="N28" s="1237"/>
      <c r="O28" s="1235"/>
    </row>
    <row r="29" spans="2:15">
      <c r="B29" s="709" t="s">
        <v>4191</v>
      </c>
      <c r="C29" s="1243"/>
      <c r="D29" s="1248">
        <f>ROUND(-HLOOKUP(B29,$D$7:$N$17,11,),)</f>
        <v>-3462521</v>
      </c>
      <c r="E29" s="1236"/>
      <c r="F29" s="1237"/>
      <c r="G29" s="1237"/>
      <c r="H29" s="1237"/>
      <c r="I29" s="1237"/>
      <c r="J29" s="1237"/>
      <c r="K29" s="1237"/>
      <c r="L29" s="1237"/>
      <c r="M29" s="1237"/>
      <c r="N29" s="1237"/>
      <c r="O29" s="1235"/>
    </row>
    <row r="30" spans="2:15">
      <c r="B30" s="709" t="s">
        <v>4192</v>
      </c>
      <c r="C30" s="1243"/>
      <c r="D30" s="1248">
        <f>ROUND(-HLOOKUP(B30,$D$7:$N$17,11,),)</f>
        <v>0</v>
      </c>
      <c r="E30" s="1236"/>
      <c r="F30" s="1237"/>
      <c r="G30" s="1237"/>
      <c r="H30" s="1237"/>
      <c r="I30" s="1237"/>
      <c r="J30" s="1237"/>
      <c r="K30" s="1237"/>
      <c r="L30" s="1237"/>
      <c r="M30" s="1237"/>
      <c r="N30" s="1237"/>
      <c r="O30" s="1235"/>
    </row>
    <row r="31" spans="2:15">
      <c r="B31" s="709" t="s">
        <v>4193</v>
      </c>
      <c r="C31" s="1243"/>
      <c r="D31" s="1248">
        <f t="shared" si="1"/>
        <v>0</v>
      </c>
      <c r="E31" s="1236"/>
      <c r="F31" s="1237"/>
      <c r="G31" s="1237"/>
      <c r="H31" s="1237"/>
      <c r="I31" s="1237"/>
      <c r="J31" s="1237"/>
      <c r="K31" s="1237"/>
      <c r="L31" s="1237"/>
      <c r="M31" s="1237"/>
      <c r="N31" s="1237"/>
      <c r="O31" s="1235"/>
    </row>
    <row r="32" spans="2:15">
      <c r="B32" s="709" t="s">
        <v>4194</v>
      </c>
      <c r="C32" s="1243"/>
      <c r="D32" s="1248">
        <f t="shared" si="1"/>
        <v>0</v>
      </c>
      <c r="E32" s="1236"/>
      <c r="F32" s="1237"/>
      <c r="G32" s="1237"/>
      <c r="H32" s="1237"/>
      <c r="I32" s="1237"/>
      <c r="J32" s="1237"/>
      <c r="K32" s="1237"/>
      <c r="L32" s="1237"/>
      <c r="M32" s="1237"/>
      <c r="N32" s="1237"/>
      <c r="O32" s="1235"/>
    </row>
    <row r="33" spans="2:17">
      <c r="B33" s="710" t="s">
        <v>4191</v>
      </c>
      <c r="C33" s="1249" t="s">
        <v>4208</v>
      </c>
      <c r="D33" s="1250">
        <f t="shared" ref="D33" si="2">ROUND(-HLOOKUP(B33,$D$7:$K$17,11,),)</f>
        <v>-3462521</v>
      </c>
      <c r="E33" s="1236"/>
      <c r="F33" s="1237"/>
      <c r="G33" s="1237"/>
      <c r="H33" s="1237"/>
      <c r="I33" s="1237"/>
      <c r="J33" s="1237"/>
      <c r="K33" s="1237"/>
      <c r="L33" s="1237"/>
      <c r="M33" s="1237"/>
      <c r="N33" s="1237"/>
      <c r="O33" s="1235"/>
      <c r="P33" s="1235"/>
    </row>
    <row r="34" spans="2:17">
      <c r="B34" s="1235"/>
      <c r="C34" s="1235"/>
      <c r="D34" s="1242" t="e">
        <f>SUM(D22:D33)</f>
        <v>#REF!</v>
      </c>
      <c r="E34" s="1236"/>
      <c r="F34" s="1237"/>
      <c r="G34" s="1237"/>
      <c r="H34" s="1237"/>
      <c r="I34" s="1237"/>
      <c r="J34" s="1237"/>
      <c r="K34" s="1237"/>
      <c r="L34" s="1237"/>
      <c r="M34" s="1237"/>
      <c r="N34" s="1237"/>
      <c r="O34" s="1235"/>
      <c r="P34" s="1235"/>
    </row>
    <row r="35" spans="2:17">
      <c r="B35" s="1235"/>
      <c r="C35" s="1235"/>
      <c r="D35" s="1236"/>
      <c r="E35" s="1236"/>
      <c r="F35" s="1237"/>
      <c r="G35" s="1237"/>
      <c r="H35" s="1237"/>
      <c r="I35" s="1237"/>
      <c r="J35" s="1237"/>
      <c r="K35" s="1237"/>
      <c r="L35" s="1237"/>
      <c r="M35" s="1237"/>
      <c r="N35" s="1237"/>
      <c r="O35" s="1235"/>
      <c r="P35" s="1235"/>
    </row>
    <row r="36" spans="2:17" hidden="1">
      <c r="B36" s="1235"/>
      <c r="C36" s="1235"/>
      <c r="D36" s="1244"/>
      <c r="E36" s="1244"/>
      <c r="F36" s="1245"/>
      <c r="G36" s="1245"/>
      <c r="H36" s="1245"/>
      <c r="I36" s="1245"/>
      <c r="J36" s="1245"/>
      <c r="K36" s="1245"/>
      <c r="L36" s="1245"/>
      <c r="M36" s="1245"/>
      <c r="N36" s="1245"/>
      <c r="O36" s="1235"/>
      <c r="P36" s="1235"/>
      <c r="Q36" s="711"/>
    </row>
    <row r="37" spans="2:17">
      <c r="B37" s="1235"/>
      <c r="C37" s="1235"/>
      <c r="D37" s="1236"/>
      <c r="E37" s="1236"/>
      <c r="F37" s="1237"/>
      <c r="G37" s="1237"/>
      <c r="H37" s="1237"/>
      <c r="I37" s="1237"/>
      <c r="J37" s="1237"/>
      <c r="K37" s="1237"/>
      <c r="L37" s="1237"/>
      <c r="M37" s="1237"/>
      <c r="N37" s="1237"/>
      <c r="O37" s="1235"/>
      <c r="P37" s="1235"/>
    </row>
    <row r="38" spans="2:17">
      <c r="B38" s="1235"/>
      <c r="C38" s="1235"/>
      <c r="D38" s="1236"/>
      <c r="E38" s="1236"/>
      <c r="F38" s="1237"/>
      <c r="G38" s="1237"/>
      <c r="H38" s="1237"/>
      <c r="I38" s="1237"/>
      <c r="J38" s="1237"/>
      <c r="K38" s="1237"/>
      <c r="L38" s="1237"/>
      <c r="M38" s="1237"/>
      <c r="N38" s="1237"/>
      <c r="O38" s="1235"/>
      <c r="P38" s="1235"/>
    </row>
    <row r="39" spans="2:17">
      <c r="B39" s="1235"/>
      <c r="C39" s="1235"/>
      <c r="D39" s="1236"/>
      <c r="E39" s="1236"/>
      <c r="F39" s="1237"/>
      <c r="G39" s="1237"/>
      <c r="H39" s="1237"/>
      <c r="I39" s="1237"/>
      <c r="J39" s="1237"/>
      <c r="K39" s="1237"/>
      <c r="L39" s="1237"/>
      <c r="M39" s="1237"/>
      <c r="N39" s="1237"/>
      <c r="O39" s="1235"/>
      <c r="P39" s="1235"/>
    </row>
    <row r="40" spans="2:17">
      <c r="B40" s="1235"/>
      <c r="C40" s="1235"/>
      <c r="D40" s="1236"/>
      <c r="E40" s="1236"/>
      <c r="F40" s="1237"/>
      <c r="G40" s="1237"/>
      <c r="H40" s="1237"/>
      <c r="I40" s="1237"/>
      <c r="J40" s="1237"/>
      <c r="K40" s="1237"/>
      <c r="L40" s="1237"/>
      <c r="M40" s="1237"/>
      <c r="N40" s="1237"/>
      <c r="O40" s="1235"/>
      <c r="P40" s="1235"/>
    </row>
    <row r="41" spans="2:17">
      <c r="B41" s="1235"/>
      <c r="C41" s="1235"/>
      <c r="D41" s="1236"/>
      <c r="E41" s="1236"/>
      <c r="F41" s="1237"/>
      <c r="G41" s="1237"/>
      <c r="H41" s="1237"/>
      <c r="I41" s="1237"/>
      <c r="J41" s="1237"/>
      <c r="K41" s="1237"/>
      <c r="L41" s="1237"/>
      <c r="M41" s="1237"/>
      <c r="N41" s="1237"/>
      <c r="O41" s="1235"/>
      <c r="P41" s="1235"/>
    </row>
    <row r="42" spans="2:17">
      <c r="B42" s="1235"/>
      <c r="C42" s="1235"/>
      <c r="D42" s="1236"/>
      <c r="E42" s="1236"/>
      <c r="F42" s="1237"/>
      <c r="G42" s="1237"/>
      <c r="H42" s="1237"/>
      <c r="I42" s="1237"/>
      <c r="J42" s="1237"/>
      <c r="K42" s="1237"/>
      <c r="L42" s="1237"/>
      <c r="M42" s="1237"/>
      <c r="N42" s="1237"/>
      <c r="O42" s="1235"/>
      <c r="P42" s="1235"/>
    </row>
    <row r="43" spans="2:17">
      <c r="B43" s="1235"/>
      <c r="C43" s="1235"/>
      <c r="D43" s="1236"/>
      <c r="E43" s="1236"/>
      <c r="F43" s="1237"/>
      <c r="G43" s="1237"/>
      <c r="H43" s="1237"/>
      <c r="I43" s="1237"/>
      <c r="J43" s="1237"/>
      <c r="K43" s="1237"/>
      <c r="L43" s="1237"/>
      <c r="M43" s="1237"/>
      <c r="N43" s="1237"/>
      <c r="O43" s="1235"/>
      <c r="P43" s="1235"/>
    </row>
    <row r="44" spans="2:17">
      <c r="B44" s="1235"/>
      <c r="C44" s="1235"/>
      <c r="D44" s="1236"/>
      <c r="E44" s="1236"/>
      <c r="F44" s="1237"/>
      <c r="G44" s="1237"/>
      <c r="H44" s="1237"/>
      <c r="I44" s="1237"/>
      <c r="J44" s="1237"/>
      <c r="K44" s="1237"/>
      <c r="L44" s="1237"/>
      <c r="M44" s="1237"/>
      <c r="N44" s="1237"/>
      <c r="O44" s="1235"/>
      <c r="P44" s="1235"/>
    </row>
    <row r="45" spans="2:17">
      <c r="B45" s="1235"/>
      <c r="C45" s="1235"/>
      <c r="D45" s="1236"/>
      <c r="E45" s="1236"/>
      <c r="F45" s="1237"/>
      <c r="G45" s="1237"/>
      <c r="H45" s="1237"/>
      <c r="I45" s="1237"/>
      <c r="J45" s="1237"/>
      <c r="K45" s="1237"/>
      <c r="L45" s="1237"/>
      <c r="M45" s="1237"/>
      <c r="N45" s="1237"/>
      <c r="O45" s="1235"/>
      <c r="P45" s="1235"/>
    </row>
    <row r="46" spans="2:17">
      <c r="B46" s="1235"/>
      <c r="C46" s="1235"/>
      <c r="D46" s="1236"/>
      <c r="E46" s="1236"/>
      <c r="F46" s="1237"/>
      <c r="G46" s="1237"/>
      <c r="H46" s="1237"/>
      <c r="I46" s="1237"/>
      <c r="J46" s="1237"/>
      <c r="K46" s="1237"/>
      <c r="L46" s="1237"/>
      <c r="M46" s="1237"/>
      <c r="N46" s="1237"/>
      <c r="O46" s="1235"/>
      <c r="P46" s="1235"/>
    </row>
    <row r="47" spans="2:17">
      <c r="B47" s="1235"/>
      <c r="C47" s="1235"/>
      <c r="D47" s="1236"/>
      <c r="E47" s="1236"/>
      <c r="F47" s="1237"/>
      <c r="G47" s="1237"/>
      <c r="H47" s="1237"/>
      <c r="I47" s="1237"/>
      <c r="J47" s="1237"/>
      <c r="K47" s="1237"/>
      <c r="L47" s="1237"/>
      <c r="M47" s="1237"/>
      <c r="N47" s="1237"/>
      <c r="O47" s="1235"/>
      <c r="P47" s="1235"/>
    </row>
    <row r="48" spans="2:17">
      <c r="B48" s="1235"/>
      <c r="C48" s="1235"/>
      <c r="D48" s="1236"/>
      <c r="E48" s="1236"/>
      <c r="F48" s="1237"/>
      <c r="G48" s="1237"/>
      <c r="H48" s="1237"/>
      <c r="I48" s="1237"/>
      <c r="J48" s="1237"/>
      <c r="K48" s="1237"/>
      <c r="L48" s="1237"/>
      <c r="M48" s="1237"/>
      <c r="N48" s="1237"/>
      <c r="O48" s="1235"/>
      <c r="P48" s="1235"/>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sheetData>
  <autoFilter ref="A1:R57" xr:uid="{008FE891-AB6D-462A-B75A-1D94A0A9DF40}"/>
  <conditionalFormatting sqref="D34">
    <cfRule type="cellIs" dxfId="26" priority="21" operator="notEqual">
      <formula>0</formula>
    </cfRule>
    <cfRule type="cellIs" dxfId="25" priority="22" operator="equal">
      <formula>0</formula>
    </cfRule>
  </conditionalFormatting>
  <conditionalFormatting sqref="D10:N16">
    <cfRule type="cellIs" dxfId="24" priority="20" operator="notEqual">
      <formula>0</formula>
    </cfRule>
  </conditionalFormatting>
  <conditionalFormatting sqref="D8:O17">
    <cfRule type="cellIs" dxfId="23" priority="16" operator="notEqual">
      <formula>0</formula>
    </cfRule>
  </conditionalFormatting>
  <conditionalFormatting sqref="O8:O9">
    <cfRule type="cellIs" dxfId="22" priority="19" operator="notEqual">
      <formula>0</formula>
    </cfRule>
  </conditionalFormatting>
  <conditionalFormatting sqref="O11:O12">
    <cfRule type="cellIs" dxfId="21" priority="2" operator="notEqual">
      <formula>0</formula>
    </cfRule>
    <cfRule type="cellIs" dxfId="20" priority="18" operator="notEqual">
      <formula>0</formula>
    </cfRule>
  </conditionalFormatting>
  <conditionalFormatting sqref="O14:O15">
    <cfRule type="cellIs" dxfId="19" priority="1" operator="notEqual">
      <formula>0</formula>
    </cfRule>
  </conditionalFormatting>
  <conditionalFormatting sqref="O14:O16">
    <cfRule type="cellIs" dxfId="18" priority="17" operator="notEqual">
      <formula>0</formula>
    </cfRule>
  </conditionalFormatting>
  <conditionalFormatting sqref="O17">
    <cfRule type="cellIs" dxfId="17" priority="23" operator="notEqual">
      <formula>0</formula>
    </cfRule>
    <cfRule type="cellIs" dxfId="16" priority="24" operator="equal">
      <formula>0</formula>
    </cfRule>
  </conditionalFormatting>
  <conditionalFormatting sqref="P8:P9">
    <cfRule type="cellIs" dxfId="15" priority="14" operator="notEqual">
      <formula>0</formula>
    </cfRule>
    <cfRule type="cellIs" dxfId="14" priority="15" operator="equal">
      <formula>0</formula>
    </cfRule>
  </conditionalFormatting>
  <conditionalFormatting sqref="P11:P12">
    <cfRule type="cellIs" dxfId="13" priority="12" operator="notEqual">
      <formula>0</formula>
    </cfRule>
    <cfRule type="cellIs" dxfId="12" priority="13" operator="equal">
      <formula>0</formula>
    </cfRule>
  </conditionalFormatting>
  <conditionalFormatting sqref="P14">
    <cfRule type="cellIs" dxfId="11" priority="10" operator="notEqual">
      <formula>0</formula>
    </cfRule>
    <cfRule type="cellIs" dxfId="10" priority="11" operator="equal">
      <formula>0</formula>
    </cfRule>
  </conditionalFormatting>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98CE5-1BAA-42A6-A926-1E20141DB51E}">
  <dimension ref="A1:R67"/>
  <sheetViews>
    <sheetView showGridLines="0" zoomScale="80" zoomScaleNormal="80" workbookViewId="0">
      <selection activeCell="F10" sqref="F10"/>
    </sheetView>
  </sheetViews>
  <sheetFormatPr defaultColWidth="0" defaultRowHeight="36" customHeight="1"/>
  <cols>
    <col min="1" max="1" width="11.42578125" style="713" bestFit="1" customWidth="1"/>
    <col min="2" max="2" width="21.5703125" style="713" bestFit="1" customWidth="1"/>
    <col min="3" max="3" width="18.42578125" style="713" customWidth="1"/>
    <col min="4" max="5" width="22.5703125" style="713" customWidth="1"/>
    <col min="6" max="6" width="35.42578125" style="714" bestFit="1" customWidth="1"/>
    <col min="7" max="7" width="22.5703125" style="714" bestFit="1" customWidth="1"/>
    <col min="8" max="8" width="25.42578125" style="714" bestFit="1" customWidth="1"/>
    <col min="9" max="9" width="28.5703125" style="714" bestFit="1" customWidth="1"/>
    <col min="10" max="10" width="23.42578125" style="714" customWidth="1"/>
    <col min="11" max="11" width="20.42578125" style="713" bestFit="1" customWidth="1"/>
    <col min="12" max="12" width="17.5703125" style="713" customWidth="1"/>
    <col min="13" max="13" width="22.42578125" style="714" bestFit="1" customWidth="1"/>
    <col min="14" max="14" width="19.5703125" style="713" bestFit="1" customWidth="1"/>
    <col min="15" max="15" width="3.5703125" style="715" customWidth="1"/>
    <col min="16" max="16" width="0.5703125" style="713" customWidth="1"/>
    <col min="17" max="18" width="0" style="713" hidden="1" customWidth="1"/>
    <col min="19" max="16384" width="9.42578125" style="713" hidden="1"/>
  </cols>
  <sheetData>
    <row r="1" spans="1:15" ht="12.75">
      <c r="A1" s="712" t="s">
        <v>4177</v>
      </c>
      <c r="B1" s="1251"/>
      <c r="C1" s="1251"/>
      <c r="D1" s="1251"/>
      <c r="E1" s="1251"/>
      <c r="F1" s="1252"/>
      <c r="G1" s="1252"/>
      <c r="H1" s="1252"/>
      <c r="I1" s="1252"/>
      <c r="J1" s="1252"/>
      <c r="K1" s="1251"/>
      <c r="L1" s="1251"/>
      <c r="M1" s="1252"/>
      <c r="N1" s="1251"/>
    </row>
    <row r="2" spans="1:15" ht="12.75">
      <c r="A2" s="712" t="s">
        <v>0</v>
      </c>
      <c r="B2" s="1251" t="s">
        <v>3240</v>
      </c>
      <c r="C2" s="1251"/>
      <c r="D2" s="1251"/>
      <c r="E2" s="1251"/>
      <c r="F2" s="1252"/>
      <c r="G2" s="1252"/>
      <c r="H2" s="1252"/>
      <c r="I2" s="1252"/>
      <c r="J2" s="1252"/>
      <c r="K2" s="1251"/>
      <c r="L2" s="1251"/>
      <c r="M2" s="1252"/>
      <c r="N2" s="1251"/>
    </row>
    <row r="3" spans="1:15" ht="12.75">
      <c r="A3" s="712" t="s">
        <v>4179</v>
      </c>
      <c r="B3" s="1253">
        <v>44926</v>
      </c>
      <c r="C3" s="1251"/>
      <c r="D3" s="1251"/>
      <c r="E3" s="1251"/>
      <c r="F3" s="1252"/>
      <c r="G3" s="1252"/>
      <c r="H3" s="1252"/>
      <c r="I3" s="1252"/>
      <c r="J3" s="1252"/>
      <c r="K3" s="1251"/>
      <c r="L3" s="1251"/>
      <c r="M3" s="1252"/>
      <c r="N3" s="1251"/>
    </row>
    <row r="4" spans="1:15" ht="12.75">
      <c r="A4" s="712" t="s">
        <v>4180</v>
      </c>
      <c r="B4" s="1251" t="s">
        <v>3074</v>
      </c>
      <c r="C4" s="1251"/>
      <c r="D4" s="1251"/>
      <c r="E4" s="1251"/>
      <c r="F4" s="1252"/>
      <c r="G4" s="1252"/>
      <c r="H4" s="1252"/>
      <c r="I4" s="1252"/>
      <c r="J4" s="1252"/>
      <c r="K4" s="1251"/>
      <c r="L4" s="1251"/>
      <c r="M4" s="1252"/>
      <c r="N4" s="1251"/>
    </row>
    <row r="5" spans="1:15" ht="12.75">
      <c r="A5" s="716" t="s">
        <v>4209</v>
      </c>
      <c r="B5" s="1251"/>
      <c r="C5" s="1251"/>
      <c r="D5" s="1251"/>
      <c r="E5" s="1251"/>
      <c r="F5" s="1252"/>
      <c r="G5" s="1252"/>
      <c r="H5" s="1252"/>
      <c r="I5" s="1252"/>
      <c r="J5" s="1252"/>
      <c r="K5" s="1251"/>
      <c r="L5" s="1251"/>
      <c r="M5" s="1252"/>
      <c r="N5" s="1251"/>
    </row>
    <row r="6" spans="1:15" ht="12.75">
      <c r="A6" s="1251"/>
      <c r="B6" s="1251"/>
      <c r="C6" s="1251"/>
      <c r="D6" s="1251"/>
      <c r="E6" s="1251"/>
      <c r="F6" s="1252"/>
      <c r="G6" s="715">
        <v>-151882</v>
      </c>
      <c r="H6" s="1252"/>
      <c r="I6" s="1252"/>
      <c r="J6" s="1252"/>
      <c r="K6" s="1251"/>
      <c r="L6" s="1251"/>
      <c r="M6" s="1252"/>
      <c r="N6" s="1251"/>
    </row>
    <row r="7" spans="1:15" ht="12.75">
      <c r="A7" s="1251"/>
      <c r="B7" s="1251"/>
      <c r="C7" s="1251"/>
      <c r="D7" s="1251"/>
      <c r="E7" s="1251"/>
      <c r="F7" s="1252"/>
      <c r="G7" s="715"/>
      <c r="H7" s="1252"/>
      <c r="I7" s="1252"/>
      <c r="J7" s="1252"/>
      <c r="K7" s="1251"/>
      <c r="L7" s="1251"/>
      <c r="M7" s="1252"/>
      <c r="N7" s="1251"/>
    </row>
    <row r="8" spans="1:15" ht="12.75">
      <c r="A8" s="1251"/>
      <c r="B8" s="717" t="s">
        <v>4182</v>
      </c>
      <c r="C8" s="717" t="s">
        <v>4210</v>
      </c>
      <c r="D8" s="718" t="s">
        <v>4211</v>
      </c>
      <c r="E8" s="718" t="s">
        <v>4212</v>
      </c>
      <c r="F8" s="719" t="s">
        <v>4213</v>
      </c>
      <c r="G8" s="719" t="s">
        <v>4214</v>
      </c>
      <c r="H8" s="719" t="s">
        <v>4215</v>
      </c>
      <c r="I8" s="719" t="s">
        <v>4216</v>
      </c>
      <c r="J8" s="720" t="s">
        <v>4217</v>
      </c>
      <c r="K8" s="717" t="s">
        <v>4218</v>
      </c>
      <c r="L8" s="721" t="s">
        <v>4219</v>
      </c>
      <c r="M8" s="720" t="s">
        <v>4195</v>
      </c>
      <c r="N8" s="716" t="s">
        <v>4196</v>
      </c>
    </row>
    <row r="9" spans="1:15" ht="12.75">
      <c r="A9" s="1251"/>
      <c r="B9" s="1254" t="s">
        <v>4197</v>
      </c>
      <c r="C9" s="1254" t="s">
        <v>4198</v>
      </c>
      <c r="D9" s="1255">
        <v>0</v>
      </c>
      <c r="E9" s="1255">
        <f>-'A0.LS'!L262</f>
        <v>-101149864</v>
      </c>
      <c r="F9" s="1255">
        <v>0</v>
      </c>
      <c r="G9" s="1256">
        <f>'A0.LS'!L197</f>
        <v>-12880000</v>
      </c>
      <c r="H9" s="1256">
        <v>0</v>
      </c>
      <c r="I9" s="1256">
        <v>0</v>
      </c>
      <c r="J9" s="1256">
        <v>0</v>
      </c>
      <c r="K9" s="1255">
        <v>0</v>
      </c>
      <c r="L9" s="1255">
        <v>0</v>
      </c>
      <c r="M9" s="1255">
        <f>SUM(D9:L9)</f>
        <v>-114029864</v>
      </c>
      <c r="N9" s="1257">
        <f>M9+M12</f>
        <v>0</v>
      </c>
      <c r="O9" s="715">
        <v>209448924.43066406</v>
      </c>
    </row>
    <row r="10" spans="1:15" ht="12.75">
      <c r="A10" s="1251"/>
      <c r="B10" s="1254" t="s">
        <v>4197</v>
      </c>
      <c r="C10" s="1254" t="s">
        <v>530</v>
      </c>
      <c r="D10" s="1256"/>
      <c r="E10" s="1256"/>
      <c r="F10" s="1255">
        <v>0</v>
      </c>
      <c r="G10" s="1256"/>
      <c r="H10" s="1256"/>
      <c r="I10" s="1256"/>
      <c r="J10" s="1256"/>
      <c r="K10" s="1255"/>
      <c r="L10" s="1255"/>
      <c r="M10" s="1255">
        <f>SUM(D10:L10)</f>
        <v>0</v>
      </c>
      <c r="N10" s="1257">
        <f>M10+M15</f>
        <v>0</v>
      </c>
      <c r="O10" s="715">
        <v>-518668914.71658325</v>
      </c>
    </row>
    <row r="11" spans="1:15" ht="12.75">
      <c r="A11" s="1251"/>
      <c r="B11" s="1258"/>
      <c r="C11" s="1258"/>
      <c r="D11" s="1259"/>
      <c r="E11" s="1259"/>
      <c r="F11" s="1259"/>
      <c r="G11" s="1259"/>
      <c r="H11" s="1259"/>
      <c r="I11" s="1259"/>
      <c r="J11" s="1259"/>
      <c r="K11" s="1259"/>
      <c r="L11" s="1259"/>
      <c r="M11" s="1259"/>
      <c r="N11" s="1251"/>
    </row>
    <row r="12" spans="1:15" ht="12.75">
      <c r="A12" s="1251"/>
      <c r="B12" s="1254" t="s">
        <v>4198</v>
      </c>
      <c r="C12" s="1254" t="s">
        <v>4197</v>
      </c>
      <c r="D12" s="1255">
        <v>0</v>
      </c>
      <c r="E12" s="1255">
        <v>0</v>
      </c>
      <c r="F12" s="1255">
        <f>-G9</f>
        <v>12880000</v>
      </c>
      <c r="G12" s="1256">
        <v>0</v>
      </c>
      <c r="H12" s="1256">
        <f>'A0.LS'!I262</f>
        <v>101149864</v>
      </c>
      <c r="I12" s="1256">
        <v>0</v>
      </c>
      <c r="J12" s="1256">
        <v>0</v>
      </c>
      <c r="K12" s="1255">
        <v>0</v>
      </c>
      <c r="L12" s="1255">
        <v>0</v>
      </c>
      <c r="M12" s="1255">
        <f>SUM(D12:L12)</f>
        <v>114029864</v>
      </c>
      <c r="N12" s="1257">
        <f>M12+M9</f>
        <v>0</v>
      </c>
    </row>
    <row r="13" spans="1:15" ht="12.75">
      <c r="A13" s="1251"/>
      <c r="B13" s="1254" t="s">
        <v>4198</v>
      </c>
      <c r="C13" s="1254" t="s">
        <v>530</v>
      </c>
      <c r="D13" s="1255">
        <v>0</v>
      </c>
      <c r="E13" s="1255">
        <f>-'A0.LS'!L204</f>
        <v>3792000000</v>
      </c>
      <c r="F13" s="1255"/>
      <c r="G13" s="1256"/>
      <c r="H13" s="1256"/>
      <c r="I13" s="1256"/>
      <c r="J13" s="1256"/>
      <c r="K13" s="1255"/>
      <c r="L13" s="1255"/>
      <c r="M13" s="1255">
        <f>SUM(D13:L13)</f>
        <v>3792000000</v>
      </c>
      <c r="N13" s="1257">
        <f>M13+M16</f>
        <v>0</v>
      </c>
      <c r="O13" s="715">
        <v>-63695000</v>
      </c>
    </row>
    <row r="14" spans="1:15" ht="12.75">
      <c r="A14" s="1251"/>
      <c r="B14" s="1258"/>
      <c r="C14" s="1258"/>
      <c r="D14" s="1259"/>
      <c r="E14" s="1259"/>
      <c r="F14" s="1259"/>
      <c r="G14" s="1259"/>
      <c r="H14" s="1259"/>
      <c r="I14" s="1259"/>
      <c r="J14" s="1259"/>
      <c r="K14" s="1259"/>
      <c r="L14" s="1259"/>
      <c r="M14" s="1259"/>
      <c r="N14" s="1257"/>
    </row>
    <row r="15" spans="1:15" ht="12.75">
      <c r="A15" s="1251"/>
      <c r="B15" s="1254" t="s">
        <v>530</v>
      </c>
      <c r="C15" s="1254" t="s">
        <v>4197</v>
      </c>
      <c r="D15" s="1255"/>
      <c r="E15" s="1255">
        <v>0</v>
      </c>
      <c r="F15" s="1255"/>
      <c r="G15" s="1256"/>
      <c r="H15" s="1256"/>
      <c r="I15" s="1256"/>
      <c r="J15" s="1256"/>
      <c r="K15" s="1255"/>
      <c r="L15" s="1255"/>
      <c r="M15" s="1255">
        <f>SUM(D15:L15)</f>
        <v>0</v>
      </c>
      <c r="N15" s="1257">
        <f>M15+M10</f>
        <v>0</v>
      </c>
      <c r="O15" s="715">
        <v>277612499</v>
      </c>
    </row>
    <row r="16" spans="1:15" ht="12.75">
      <c r="A16" s="1251"/>
      <c r="B16" s="1254" t="s">
        <v>530</v>
      </c>
      <c r="C16" s="1254" t="s">
        <v>4198</v>
      </c>
      <c r="D16" s="1255"/>
      <c r="E16" s="1255"/>
      <c r="F16" s="1255">
        <f>-E13</f>
        <v>-3792000000</v>
      </c>
      <c r="G16" s="1256"/>
      <c r="H16" s="1256"/>
      <c r="I16" s="1256"/>
      <c r="J16" s="1256"/>
      <c r="K16" s="1255"/>
      <c r="L16" s="1255"/>
      <c r="M16" s="1255">
        <f>SUM(D16:L16)</f>
        <v>-3792000000</v>
      </c>
      <c r="N16" s="1257">
        <f>M16+M13</f>
        <v>0</v>
      </c>
    </row>
    <row r="17" spans="1:18" ht="12.75">
      <c r="A17" s="1251"/>
      <c r="B17" s="1258"/>
      <c r="C17" s="1258"/>
      <c r="D17" s="1259"/>
      <c r="E17" s="1259"/>
      <c r="F17" s="1259"/>
      <c r="G17" s="1259"/>
      <c r="H17" s="1259"/>
      <c r="I17" s="1259"/>
      <c r="J17" s="1259"/>
      <c r="K17" s="1259"/>
      <c r="L17" s="1259"/>
      <c r="M17" s="1259"/>
      <c r="N17" s="1251"/>
      <c r="P17" s="1251"/>
      <c r="Q17" s="1251"/>
      <c r="R17" s="1251"/>
    </row>
    <row r="18" spans="1:18" ht="12.75">
      <c r="A18" s="1251"/>
      <c r="B18" s="1251"/>
      <c r="C18" s="1251"/>
      <c r="D18" s="722">
        <f t="shared" ref="D18:M18" si="0">SUM(D9:D10)+SUM(D12:D13)+SUM(D15:D16)</f>
        <v>0</v>
      </c>
      <c r="E18" s="722">
        <f t="shared" si="0"/>
        <v>3690850136</v>
      </c>
      <c r="F18" s="722">
        <f t="shared" si="0"/>
        <v>-3779120000</v>
      </c>
      <c r="G18" s="722">
        <f t="shared" si="0"/>
        <v>-12880000</v>
      </c>
      <c r="H18" s="722">
        <f t="shared" si="0"/>
        <v>101149864</v>
      </c>
      <c r="I18" s="722">
        <f t="shared" si="0"/>
        <v>0</v>
      </c>
      <c r="J18" s="722">
        <f t="shared" si="0"/>
        <v>0</v>
      </c>
      <c r="K18" s="722">
        <f t="shared" si="0"/>
        <v>0</v>
      </c>
      <c r="L18" s="722">
        <f t="shared" si="0"/>
        <v>0</v>
      </c>
      <c r="M18" s="722">
        <f t="shared" si="0"/>
        <v>0</v>
      </c>
      <c r="N18" s="1257"/>
      <c r="P18" s="1251"/>
      <c r="Q18" s="1251"/>
      <c r="R18" s="1251"/>
    </row>
    <row r="19" spans="1:18" ht="12.75">
      <c r="A19" s="1251"/>
      <c r="B19" s="723" t="s">
        <v>4199</v>
      </c>
      <c r="C19" s="1251"/>
      <c r="D19" s="1260"/>
      <c r="E19" s="1260"/>
      <c r="F19" s="1260"/>
      <c r="G19" s="1260"/>
      <c r="H19" s="1260"/>
      <c r="I19" s="1260"/>
      <c r="J19" s="1260"/>
      <c r="K19" s="1260"/>
      <c r="L19" s="1260"/>
      <c r="M19" s="1252"/>
      <c r="N19" s="1251"/>
      <c r="P19" s="1251"/>
      <c r="Q19" s="1251"/>
      <c r="R19" s="1251"/>
    </row>
    <row r="20" spans="1:18" ht="12.75">
      <c r="A20" s="1251"/>
      <c r="B20" s="724" t="s">
        <v>4220</v>
      </c>
      <c r="C20" s="1251"/>
      <c r="D20" s="1260"/>
      <c r="E20" s="1261"/>
      <c r="F20" s="1252"/>
      <c r="G20" s="1252"/>
      <c r="H20" s="1252"/>
      <c r="I20" s="1252"/>
      <c r="J20" s="1252"/>
      <c r="K20" s="1251"/>
      <c r="L20" s="1251"/>
      <c r="M20" s="1252"/>
      <c r="N20" s="1251"/>
      <c r="P20" s="1251"/>
      <c r="Q20" s="1251"/>
      <c r="R20" s="1251"/>
    </row>
    <row r="21" spans="1:18" ht="12.75">
      <c r="A21" s="1251"/>
      <c r="B21" s="1640" t="s">
        <v>4211</v>
      </c>
      <c r="C21" s="1641">
        <v>1</v>
      </c>
      <c r="D21" s="1642">
        <f>ROUND(HLOOKUP(B21,$D$8:$L$18,11,),)</f>
        <v>0</v>
      </c>
      <c r="E21" s="1262"/>
      <c r="F21" s="1252"/>
      <c r="G21" s="1252"/>
      <c r="H21" s="1252"/>
      <c r="I21" s="1252"/>
      <c r="J21" s="1252"/>
      <c r="K21" s="1251"/>
      <c r="L21" s="1251"/>
      <c r="M21" s="1252"/>
      <c r="N21" s="1251"/>
      <c r="P21" s="1251"/>
      <c r="Q21" s="1251"/>
      <c r="R21" s="1251"/>
    </row>
    <row r="22" spans="1:18" ht="12.75">
      <c r="A22" s="1251"/>
      <c r="B22" s="725" t="s">
        <v>4212</v>
      </c>
      <c r="C22" s="1263">
        <v>1</v>
      </c>
      <c r="D22" s="1264">
        <f>ROUND(HLOOKUP(B22,$D$8:$L$18,11,),)</f>
        <v>3690850136</v>
      </c>
      <c r="E22" s="1262"/>
      <c r="F22" s="1252"/>
      <c r="G22" s="1252"/>
      <c r="H22" s="1252"/>
      <c r="I22" s="1252"/>
      <c r="J22" s="1252"/>
      <c r="K22" s="1251"/>
      <c r="L22" s="1251"/>
      <c r="M22" s="1252"/>
      <c r="N22" s="1251"/>
      <c r="P22" s="1251"/>
      <c r="Q22" s="1251"/>
      <c r="R22" s="1251"/>
    </row>
    <row r="23" spans="1:18" ht="12.75">
      <c r="A23" s="1251"/>
      <c r="B23" s="725" t="s">
        <v>4213</v>
      </c>
      <c r="C23" s="1263">
        <v>141</v>
      </c>
      <c r="D23" s="1264">
        <f>ROUND(HLOOKUP(B23,$D$8:$L$18,11,),)</f>
        <v>-3779120000</v>
      </c>
      <c r="E23" s="1262"/>
      <c r="F23" s="1252"/>
      <c r="G23" s="1252"/>
      <c r="H23" s="1252"/>
      <c r="I23" s="1252"/>
      <c r="J23" s="1252"/>
      <c r="K23" s="1251"/>
      <c r="L23" s="1251"/>
      <c r="M23" s="1252"/>
      <c r="N23" s="1251"/>
      <c r="P23" s="1251"/>
      <c r="Q23" s="1251"/>
      <c r="R23" s="1251"/>
    </row>
    <row r="24" spans="1:18" ht="12.75">
      <c r="A24" s="1251"/>
      <c r="B24" s="725" t="s">
        <v>4214</v>
      </c>
      <c r="C24" s="1263">
        <v>25</v>
      </c>
      <c r="D24" s="1264">
        <f>ROUND(HLOOKUP(B24,$D$8:$L$18,11,),)</f>
        <v>-12880000</v>
      </c>
      <c r="E24" s="1262"/>
      <c r="F24" s="1252"/>
      <c r="G24" s="1252"/>
      <c r="H24" s="1252"/>
      <c r="I24" s="1252"/>
      <c r="J24" s="1252"/>
      <c r="K24" s="1251"/>
      <c r="L24" s="1251"/>
      <c r="M24" s="1252"/>
      <c r="N24" s="1251"/>
      <c r="P24" s="1251"/>
      <c r="Q24" s="1251"/>
      <c r="R24" s="1251"/>
    </row>
    <row r="25" spans="1:18" ht="12.75">
      <c r="A25" s="1251"/>
      <c r="B25" s="725" t="s">
        <v>4215</v>
      </c>
      <c r="C25" s="1263">
        <v>22</v>
      </c>
      <c r="D25" s="1264">
        <f>ROUND(HLOOKUP(B25,$D$8:$L$18,11,),)</f>
        <v>101149864</v>
      </c>
      <c r="E25" s="1262"/>
      <c r="F25" s="1252"/>
      <c r="G25" s="1252"/>
      <c r="H25" s="1252"/>
      <c r="I25" s="1252"/>
      <c r="J25" s="1252"/>
      <c r="K25" s="1251"/>
      <c r="L25" s="1251"/>
      <c r="M25" s="1252"/>
      <c r="N25" s="1251"/>
      <c r="P25" s="1251"/>
      <c r="Q25" s="1251"/>
      <c r="R25" s="1251"/>
    </row>
    <row r="26" spans="1:18" ht="12.75">
      <c r="A26" s="1251"/>
      <c r="B26" s="725" t="s">
        <v>4216</v>
      </c>
      <c r="C26" s="1263">
        <v>26</v>
      </c>
      <c r="D26" s="1264">
        <f t="shared" ref="D26:D29" si="1">ROUND(HLOOKUP(B26,$D$8:$L$18,11,),)</f>
        <v>0</v>
      </c>
      <c r="E26" s="1262"/>
      <c r="F26" s="1252"/>
      <c r="G26" s="1252"/>
      <c r="H26" s="1252"/>
      <c r="I26" s="1252"/>
      <c r="J26" s="1252"/>
      <c r="K26" s="1251"/>
      <c r="L26" s="1251"/>
      <c r="M26" s="1252"/>
      <c r="N26" s="1251"/>
      <c r="P26" s="1251"/>
      <c r="Q26" s="1251"/>
      <c r="R26" s="1251"/>
    </row>
    <row r="27" spans="1:18" ht="12.75">
      <c r="A27" s="1251"/>
      <c r="B27" s="725" t="s">
        <v>4217</v>
      </c>
      <c r="C27" s="1263">
        <v>26</v>
      </c>
      <c r="D27" s="1264">
        <f t="shared" si="1"/>
        <v>0</v>
      </c>
      <c r="E27" s="1262"/>
      <c r="F27" s="1252"/>
      <c r="G27" s="1252"/>
      <c r="H27" s="1252"/>
      <c r="I27" s="1252"/>
      <c r="J27" s="1252"/>
      <c r="K27" s="1251"/>
      <c r="L27" s="1251"/>
      <c r="M27" s="1252"/>
      <c r="N27" s="1251"/>
      <c r="P27" s="1251"/>
      <c r="Q27" s="1251"/>
      <c r="R27" s="1251"/>
    </row>
    <row r="28" spans="1:18" ht="12.75">
      <c r="A28" s="1251"/>
      <c r="B28" s="725" t="s">
        <v>4218</v>
      </c>
      <c r="C28" s="1263">
        <v>25</v>
      </c>
      <c r="D28" s="1264">
        <f t="shared" si="1"/>
        <v>0</v>
      </c>
      <c r="E28" s="1262"/>
      <c r="F28" s="1252"/>
      <c r="G28" s="1252"/>
      <c r="H28" s="1252"/>
      <c r="I28" s="1252"/>
      <c r="J28" s="1252"/>
      <c r="K28" s="1251"/>
      <c r="L28" s="1251"/>
      <c r="M28" s="1252"/>
      <c r="N28" s="1251"/>
      <c r="P28" s="1251"/>
      <c r="Q28" s="1251"/>
      <c r="R28" s="1251"/>
    </row>
    <row r="29" spans="1:18" ht="12.75">
      <c r="A29" s="1251"/>
      <c r="B29" s="726" t="s">
        <v>4219</v>
      </c>
      <c r="C29" s="1265">
        <v>1</v>
      </c>
      <c r="D29" s="1266">
        <f t="shared" si="1"/>
        <v>0</v>
      </c>
      <c r="E29" s="1262"/>
      <c r="F29" s="1252"/>
      <c r="G29" s="1252"/>
      <c r="H29" s="1252"/>
      <c r="I29" s="1252"/>
      <c r="J29" s="1252"/>
      <c r="K29" s="1251"/>
      <c r="L29" s="1251"/>
      <c r="M29" s="1252"/>
      <c r="N29" s="1251"/>
      <c r="P29" s="1251"/>
      <c r="Q29" s="1251"/>
      <c r="R29" s="1251"/>
    </row>
    <row r="30" spans="1:18" ht="12.75">
      <c r="A30" s="1251"/>
      <c r="B30" s="1251"/>
      <c r="C30" s="1251"/>
      <c r="D30" s="1267">
        <f>SUM(D21:D29)</f>
        <v>0</v>
      </c>
      <c r="E30" s="1268"/>
      <c r="F30" s="1252"/>
      <c r="G30" s="1252"/>
      <c r="H30" s="1252"/>
      <c r="I30" s="1252"/>
      <c r="J30" s="1252"/>
      <c r="K30" s="1251"/>
      <c r="L30" s="1251"/>
      <c r="M30" s="1252"/>
      <c r="N30" s="1251"/>
      <c r="P30" s="1251"/>
      <c r="Q30" s="1251"/>
      <c r="R30" s="1251"/>
    </row>
    <row r="31" spans="1:18" ht="12.75">
      <c r="A31" s="1251"/>
      <c r="B31" s="1251"/>
      <c r="C31" s="1251"/>
      <c r="D31" s="1251"/>
      <c r="E31" s="1251"/>
      <c r="F31" s="1252"/>
      <c r="G31" s="1252"/>
      <c r="H31" s="1252"/>
      <c r="I31" s="1252"/>
      <c r="J31" s="1252"/>
      <c r="K31" s="1251"/>
      <c r="L31" s="1251"/>
      <c r="M31" s="1252"/>
      <c r="N31" s="1251"/>
      <c r="P31" s="1251"/>
      <c r="Q31" s="1251"/>
      <c r="R31" s="1251"/>
    </row>
    <row r="32" spans="1:18" s="714" customFormat="1" ht="12.75">
      <c r="A32" s="1251"/>
      <c r="B32" s="1251"/>
      <c r="C32" s="1251"/>
      <c r="D32" s="1251"/>
      <c r="E32" s="1251"/>
      <c r="F32" s="1252"/>
      <c r="G32" s="1252"/>
      <c r="H32" s="1252"/>
      <c r="I32" s="1252"/>
      <c r="J32" s="1252"/>
      <c r="K32" s="1251"/>
      <c r="L32" s="1251"/>
      <c r="M32" s="1252"/>
      <c r="N32" s="1251"/>
      <c r="O32" s="715"/>
      <c r="P32" s="1251"/>
      <c r="Q32" s="1251"/>
      <c r="R32" s="1251"/>
    </row>
    <row r="33" spans="1:18" s="714" customFormat="1" ht="12.75">
      <c r="A33" s="1251"/>
      <c r="B33" s="1251"/>
      <c r="C33" s="1251"/>
      <c r="D33" s="1251"/>
      <c r="E33" s="1251"/>
      <c r="F33" s="1252"/>
      <c r="G33" s="1252"/>
      <c r="H33" s="1252"/>
      <c r="I33" s="1252"/>
      <c r="J33" s="1252"/>
      <c r="K33" s="1251"/>
      <c r="L33" s="1251"/>
      <c r="M33" s="1252"/>
      <c r="N33" s="1251"/>
      <c r="O33" s="715"/>
      <c r="P33" s="1251"/>
      <c r="Q33" s="1251"/>
      <c r="R33" s="1251"/>
    </row>
    <row r="34" spans="1:18" s="714" customFormat="1" ht="12.75">
      <c r="A34" s="1251"/>
      <c r="B34" s="1251"/>
      <c r="C34" s="1251"/>
      <c r="D34" s="1251"/>
      <c r="E34" s="1251"/>
      <c r="F34" s="1252"/>
      <c r="G34" s="1252"/>
      <c r="H34" s="1252"/>
      <c r="I34" s="1252"/>
      <c r="J34" s="1252"/>
      <c r="K34" s="1251"/>
      <c r="L34" s="1251"/>
      <c r="M34" s="1252"/>
      <c r="N34" s="1251"/>
      <c r="O34" s="715"/>
      <c r="P34" s="1251"/>
      <c r="Q34" s="1251"/>
      <c r="R34" s="1251"/>
    </row>
    <row r="35" spans="1:18" s="714" customFormat="1" ht="12.75">
      <c r="A35" s="1251"/>
      <c r="B35" s="1251"/>
      <c r="C35" s="1251"/>
      <c r="D35" s="1251"/>
      <c r="E35" s="1251"/>
      <c r="F35" s="1252"/>
      <c r="G35" s="1252"/>
      <c r="H35" s="1252"/>
      <c r="I35" s="1252"/>
      <c r="J35" s="1252"/>
      <c r="K35" s="1251"/>
      <c r="L35" s="1251"/>
      <c r="M35" s="1252"/>
      <c r="N35" s="1251"/>
      <c r="O35" s="715"/>
      <c r="P35" s="1251"/>
      <c r="Q35" s="1251"/>
      <c r="R35" s="1251"/>
    </row>
    <row r="36" spans="1:18" s="714" customFormat="1" ht="12.75">
      <c r="A36" s="1251"/>
      <c r="B36" s="1251"/>
      <c r="C36" s="1251"/>
      <c r="D36" s="1251"/>
      <c r="E36" s="1251"/>
      <c r="F36" s="1252"/>
      <c r="G36" s="1252"/>
      <c r="H36" s="1252"/>
      <c r="I36" s="1252"/>
      <c r="J36" s="1252"/>
      <c r="K36" s="1251"/>
      <c r="L36" s="1251"/>
      <c r="M36" s="1252"/>
      <c r="N36" s="1251"/>
      <c r="O36" s="715"/>
      <c r="P36" s="1251"/>
      <c r="Q36" s="1251"/>
      <c r="R36" s="1251"/>
    </row>
    <row r="37" spans="1:18" ht="12.75">
      <c r="A37" s="1251"/>
      <c r="B37" s="1251"/>
      <c r="C37" s="1251"/>
      <c r="D37" s="1251"/>
      <c r="E37" s="1251"/>
      <c r="F37" s="1252"/>
      <c r="G37" s="1252"/>
      <c r="H37" s="1252"/>
      <c r="I37" s="1252"/>
      <c r="J37" s="1252"/>
      <c r="K37" s="1251"/>
      <c r="L37" s="1251"/>
      <c r="M37" s="1252"/>
      <c r="N37" s="1251"/>
      <c r="P37" s="1251"/>
      <c r="Q37" s="1251"/>
      <c r="R37" s="1251"/>
    </row>
    <row r="38" spans="1:18" ht="12.75">
      <c r="A38" s="1251"/>
      <c r="B38" s="1251"/>
      <c r="C38" s="1251"/>
      <c r="D38" s="1251"/>
      <c r="E38" s="1251"/>
      <c r="F38" s="1252"/>
      <c r="G38" s="1252"/>
      <c r="H38" s="1252"/>
      <c r="I38" s="1252"/>
      <c r="J38" s="1252"/>
      <c r="K38" s="1251"/>
      <c r="L38" s="1251"/>
      <c r="M38" s="1252"/>
      <c r="N38" s="1251"/>
      <c r="P38" s="1251"/>
      <c r="Q38" s="1251"/>
      <c r="R38" s="1251"/>
    </row>
    <row r="39" spans="1:18" ht="12.75">
      <c r="A39" s="1251"/>
      <c r="B39" s="1251"/>
      <c r="C39" s="1251"/>
      <c r="D39" s="1251"/>
      <c r="E39" s="1251"/>
      <c r="F39" s="1252"/>
      <c r="G39" s="1252"/>
      <c r="H39" s="1252"/>
      <c r="I39" s="1252"/>
      <c r="J39" s="1252"/>
      <c r="K39" s="1251"/>
      <c r="L39" s="1251"/>
      <c r="M39" s="1252"/>
      <c r="N39" s="1251"/>
      <c r="P39" s="1251"/>
      <c r="Q39" s="1251"/>
      <c r="R39" s="1251"/>
    </row>
    <row r="40" spans="1:18" ht="12.75">
      <c r="A40" s="1251"/>
      <c r="B40" s="1251"/>
      <c r="C40" s="1251"/>
      <c r="D40" s="1251"/>
      <c r="E40" s="1251"/>
      <c r="F40" s="1252"/>
      <c r="G40" s="1252"/>
      <c r="H40" s="1252"/>
      <c r="I40" s="1252"/>
      <c r="J40" s="1252"/>
      <c r="K40" s="1251"/>
      <c r="L40" s="1251"/>
      <c r="M40" s="1252"/>
      <c r="N40" s="1251"/>
      <c r="P40" s="1251"/>
      <c r="Q40" s="1251"/>
      <c r="R40" s="1251"/>
    </row>
    <row r="41" spans="1:18" ht="12.75">
      <c r="A41" s="1251"/>
      <c r="B41" s="1251"/>
      <c r="C41" s="1251"/>
      <c r="D41" s="1251"/>
      <c r="E41" s="1251"/>
      <c r="F41" s="1252"/>
      <c r="G41" s="1252"/>
      <c r="H41" s="1252"/>
      <c r="I41" s="1252"/>
      <c r="J41" s="1252"/>
      <c r="K41" s="1251"/>
      <c r="L41" s="1251"/>
      <c r="M41" s="1252"/>
      <c r="N41" s="1251"/>
      <c r="P41" s="1251"/>
      <c r="Q41" s="1251"/>
      <c r="R41" s="1251"/>
    </row>
    <row r="42" spans="1:18" ht="12.75">
      <c r="A42" s="1251"/>
      <c r="B42" s="1251"/>
      <c r="C42" s="1251"/>
      <c r="D42" s="1251"/>
      <c r="E42" s="1251"/>
      <c r="F42" s="1252"/>
      <c r="G42" s="1252"/>
      <c r="H42" s="1252"/>
      <c r="I42" s="1252"/>
      <c r="J42" s="1252"/>
      <c r="K42" s="1251"/>
      <c r="L42" s="1251"/>
      <c r="M42" s="1252"/>
      <c r="N42" s="1251"/>
      <c r="P42" s="1251"/>
      <c r="Q42" s="1251"/>
      <c r="R42" s="1251"/>
    </row>
    <row r="43" spans="1:18" ht="12.75">
      <c r="A43" s="1251"/>
      <c r="B43" s="1251"/>
      <c r="C43" s="1251"/>
      <c r="D43" s="1251"/>
      <c r="E43" s="1251"/>
      <c r="F43" s="1252"/>
      <c r="G43" s="1252"/>
      <c r="H43" s="1252"/>
      <c r="I43" s="1252"/>
      <c r="J43" s="1252"/>
      <c r="K43" s="1251"/>
      <c r="L43" s="1251"/>
      <c r="M43" s="1252"/>
      <c r="N43" s="1251"/>
      <c r="P43" s="1251"/>
      <c r="Q43" s="1251"/>
      <c r="R43" s="1251"/>
    </row>
    <row r="44" spans="1:18" ht="12.75">
      <c r="A44" s="1251"/>
      <c r="B44" s="1251"/>
      <c r="C44" s="1251"/>
      <c r="D44" s="1251"/>
      <c r="E44" s="1251"/>
      <c r="F44" s="1252"/>
      <c r="G44" s="1252"/>
      <c r="H44" s="1252"/>
      <c r="I44" s="1252"/>
      <c r="J44" s="1252"/>
      <c r="K44" s="1251"/>
      <c r="L44" s="1251"/>
      <c r="M44" s="1252"/>
      <c r="N44" s="1251"/>
      <c r="P44" s="1251"/>
      <c r="Q44" s="1251"/>
      <c r="R44" s="1251"/>
    </row>
    <row r="45" spans="1:18" ht="12.75">
      <c r="A45" s="1251"/>
      <c r="B45" s="1251"/>
      <c r="C45" s="1251"/>
      <c r="D45" s="1251"/>
      <c r="E45" s="1251"/>
      <c r="F45" s="1252"/>
      <c r="G45" s="1252"/>
      <c r="H45" s="1252"/>
      <c r="I45" s="1252"/>
      <c r="J45" s="1252"/>
      <c r="K45" s="1251"/>
      <c r="L45" s="1251"/>
      <c r="M45" s="1252"/>
      <c r="N45" s="1251"/>
      <c r="P45" s="1251"/>
      <c r="Q45" s="1251"/>
      <c r="R45" s="1251"/>
    </row>
    <row r="46" spans="1:18" ht="12.75">
      <c r="A46" s="1251"/>
      <c r="B46" s="1251"/>
      <c r="C46" s="1251"/>
      <c r="D46" s="1251"/>
      <c r="E46" s="1251"/>
      <c r="F46" s="1252"/>
      <c r="G46" s="1252"/>
      <c r="H46" s="1252"/>
      <c r="I46" s="1252"/>
      <c r="J46" s="1252"/>
      <c r="K46" s="1251"/>
      <c r="L46" s="1251"/>
      <c r="M46" s="1252"/>
      <c r="N46" s="1251"/>
      <c r="P46" s="1251"/>
      <c r="Q46" s="1251"/>
      <c r="R46" s="1251"/>
    </row>
    <row r="47" spans="1:18" ht="12.75">
      <c r="A47" s="1251"/>
      <c r="B47" s="1251"/>
      <c r="C47" s="1251"/>
      <c r="D47" s="1251"/>
      <c r="E47" s="1251"/>
      <c r="F47" s="1252"/>
      <c r="G47" s="1252"/>
      <c r="H47" s="1252"/>
      <c r="I47" s="1252"/>
      <c r="J47" s="1252"/>
      <c r="K47" s="1251"/>
      <c r="L47" s="1251"/>
      <c r="M47" s="1252"/>
      <c r="N47" s="1251"/>
      <c r="P47" s="1251"/>
      <c r="Q47" s="1251"/>
      <c r="R47" s="1251"/>
    </row>
    <row r="48" spans="1:18" ht="12.75">
      <c r="A48" s="1251"/>
      <c r="B48" s="1251"/>
      <c r="C48" s="1251"/>
      <c r="D48" s="1251"/>
      <c r="E48" s="1251"/>
      <c r="F48" s="1252"/>
      <c r="G48" s="1252"/>
      <c r="H48" s="1252"/>
      <c r="I48" s="1252"/>
      <c r="J48" s="1252"/>
      <c r="K48" s="1251"/>
      <c r="L48" s="1251"/>
      <c r="M48" s="1252"/>
      <c r="N48" s="1251"/>
      <c r="P48" s="1251"/>
      <c r="Q48" s="1251"/>
      <c r="R48" s="1251"/>
    </row>
    <row r="49" ht="12.75"/>
    <row r="50" ht="12.75"/>
    <row r="51" ht="12.75"/>
    <row r="52" ht="12.75"/>
    <row r="53" ht="12.75"/>
    <row r="54" ht="12.75"/>
    <row r="55" ht="12.75"/>
    <row r="56" ht="12.75"/>
    <row r="57" ht="12.75"/>
    <row r="58" ht="12.75"/>
    <row r="59" ht="12.75"/>
    <row r="60" ht="12.75"/>
    <row r="61" ht="12.75"/>
    <row r="62" ht="12.75"/>
    <row r="63" ht="12.75"/>
    <row r="64" ht="12.75"/>
    <row r="65" ht="12.75"/>
    <row r="66" ht="12.75"/>
    <row r="67" ht="12.75"/>
  </sheetData>
  <conditionalFormatting sqref="D21:D29">
    <cfRule type="duplicateValues" dxfId="9" priority="4"/>
  </conditionalFormatting>
  <conditionalFormatting sqref="D30">
    <cfRule type="cellIs" dxfId="8" priority="5" operator="notEqual">
      <formula>0</formula>
    </cfRule>
    <cfRule type="cellIs" dxfId="7" priority="6" operator="equal">
      <formula>0</formula>
    </cfRule>
  </conditionalFormatting>
  <conditionalFormatting sqref="D9:L17">
    <cfRule type="cellIs" dxfId="6" priority="3" operator="notEqual">
      <formula>0</formula>
    </cfRule>
  </conditionalFormatting>
  <conditionalFormatting sqref="N9:N10">
    <cfRule type="cellIs" dxfId="5" priority="11" operator="notEqual">
      <formula>0</formula>
    </cfRule>
    <cfRule type="cellIs" dxfId="4" priority="12" operator="equal">
      <formula>0</formula>
    </cfRule>
  </conditionalFormatting>
  <conditionalFormatting sqref="N12:N13">
    <cfRule type="cellIs" dxfId="3" priority="9" operator="notEqual">
      <formula>0</formula>
    </cfRule>
    <cfRule type="cellIs" dxfId="2" priority="10" operator="equal">
      <formula>0</formula>
    </cfRule>
  </conditionalFormatting>
  <conditionalFormatting sqref="N15:N16">
    <cfRule type="cellIs" dxfId="1" priority="7" operator="notEqual">
      <formula>0</formula>
    </cfRule>
    <cfRule type="cellIs" dxfId="0" priority="8" operator="equal">
      <formula>0</formula>
    </cfRule>
  </conditionalFormatting>
  <pageMargins left="0.7" right="0.7" top="0.75" bottom="0.75" header="0.3" footer="0.3"/>
  <legacy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24B7-A3A9-4C77-9BF8-1C55157CBA30}">
  <sheetPr>
    <tabColor rgb="FF0B5394"/>
    <outlinePr summaryBelow="0"/>
  </sheetPr>
  <dimension ref="A1:Q994"/>
  <sheetViews>
    <sheetView zoomScale="94" zoomScaleNormal="70" workbookViewId="0">
      <selection activeCell="D24" sqref="D24"/>
    </sheetView>
  </sheetViews>
  <sheetFormatPr defaultColWidth="12.5703125" defaultRowHeight="15.75" customHeight="1"/>
  <cols>
    <col min="1" max="1" width="15" style="1403" customWidth="1"/>
    <col min="2" max="2" width="26.140625" style="1403" customWidth="1"/>
    <col min="3" max="3" width="12.42578125" style="1403" customWidth="1"/>
    <col min="4" max="9" width="15" style="1403" customWidth="1"/>
    <col min="10" max="11" width="8" style="1403" customWidth="1"/>
    <col min="12" max="12" width="14.42578125" style="1403" customWidth="1"/>
    <col min="13" max="13" width="14.5703125" style="1403" customWidth="1"/>
    <col min="14" max="14" width="10.140625" style="1403" customWidth="1"/>
    <col min="15" max="15" width="8" style="1403" customWidth="1"/>
    <col min="16" max="16" width="13.140625" style="1403" customWidth="1"/>
    <col min="17" max="26" width="8" style="1403" customWidth="1"/>
    <col min="27" max="16384" width="12.5703125" style="1403"/>
  </cols>
  <sheetData>
    <row r="1" spans="1:17" ht="18.75">
      <c r="A1" s="1401" t="s">
        <v>4221</v>
      </c>
      <c r="B1" s="1402"/>
      <c r="C1" s="1402"/>
      <c r="D1" s="1402"/>
      <c r="E1" s="1402"/>
      <c r="F1" s="1402"/>
      <c r="G1" s="1402"/>
      <c r="H1" s="1402"/>
      <c r="I1" s="1402"/>
    </row>
    <row r="2" spans="1:17" ht="14.25">
      <c r="A2" s="1404" t="str">
        <f>"Tài khoản: 1218; Loại tiền: Tổng hợp; Tháng "&amp;TEXT([19]A5_Audit!$A$1,"mm")&amp;" năm "&amp;TEXT([19]A5_Audit!$A$1,"yyyy")</f>
        <v>Tài khoản: 1218; Loại tiền: Tổng hợp; Tháng 12 năm 2024</v>
      </c>
      <c r="B2" s="1405"/>
      <c r="C2" s="1405"/>
      <c r="D2" s="1405"/>
      <c r="E2" s="1405"/>
      <c r="F2" s="1405"/>
      <c r="G2" s="1405"/>
      <c r="H2" s="1405"/>
      <c r="I2" s="1405"/>
      <c r="M2" s="1406" t="b">
        <f>M3=SUM(H5:H35)</f>
        <v>1</v>
      </c>
    </row>
    <row r="3" spans="1:17" ht="16.5" customHeight="1">
      <c r="A3" s="1407" t="s">
        <v>4222</v>
      </c>
      <c r="B3" s="1407" t="s">
        <v>4223</v>
      </c>
      <c r="C3" s="1407" t="s">
        <v>3391</v>
      </c>
      <c r="D3" s="1408" t="s">
        <v>3392</v>
      </c>
      <c r="E3" s="1409"/>
      <c r="F3" s="1408" t="s">
        <v>4224</v>
      </c>
      <c r="G3" s="1409"/>
      <c r="H3" s="1408" t="s">
        <v>3394</v>
      </c>
      <c r="I3" s="1409"/>
      <c r="M3" s="1410">
        <f>SUM(H5:H35)</f>
        <v>415600901635</v>
      </c>
    </row>
    <row r="4" spans="1:17" ht="15" customHeight="1">
      <c r="A4" s="1411"/>
      <c r="B4" s="1411"/>
      <c r="C4" s="1411"/>
      <c r="D4" s="1412" t="s">
        <v>11</v>
      </c>
      <c r="E4" s="1412" t="s">
        <v>12</v>
      </c>
      <c r="F4" s="1412" t="s">
        <v>11</v>
      </c>
      <c r="G4" s="1412" t="s">
        <v>12</v>
      </c>
      <c r="H4" s="1412" t="s">
        <v>11</v>
      </c>
      <c r="I4" s="1412" t="s">
        <v>12</v>
      </c>
      <c r="J4" s="1413" t="e">
        <f t="array" ref="J4:J5">VLOOKUP(A4:A994,$P$5:$Q$35,2,0)</f>
        <v>#N/A</v>
      </c>
      <c r="L4" s="1414" t="s">
        <v>4225</v>
      </c>
      <c r="M4" s="1414" t="s">
        <v>4226</v>
      </c>
      <c r="P4" s="1415" t="s">
        <v>4227</v>
      </c>
      <c r="Q4" s="1415" t="s">
        <v>4225</v>
      </c>
    </row>
    <row r="5" spans="1:17" ht="12.75">
      <c r="A5" s="1416" t="s">
        <v>3396</v>
      </c>
      <c r="B5" s="1416" t="s">
        <v>3397</v>
      </c>
      <c r="C5" s="1416" t="s">
        <v>31</v>
      </c>
      <c r="D5" s="1417">
        <v>2540279157</v>
      </c>
      <c r="E5" s="1417">
        <v>0</v>
      </c>
      <c r="F5" s="1417">
        <v>28551407</v>
      </c>
      <c r="G5" s="1417">
        <v>136276800</v>
      </c>
      <c r="H5" s="1417">
        <v>2432553764</v>
      </c>
      <c r="I5" s="1417">
        <v>0</v>
      </c>
      <c r="J5" s="1413" t="str">
        <v>ccq</v>
      </c>
      <c r="L5" s="1413" t="s">
        <v>4228</v>
      </c>
      <c r="M5" s="1418">
        <f t="shared" ref="M5:M8" si="0">SUMIFS($H$5:$H$35,$J$5:$J$35,L5)</f>
        <v>223226741933</v>
      </c>
      <c r="P5" s="1419" t="s">
        <v>3396</v>
      </c>
      <c r="Q5" s="1419" t="s">
        <v>4228</v>
      </c>
    </row>
    <row r="6" spans="1:17" ht="12.75">
      <c r="A6" s="1416" t="s">
        <v>3399</v>
      </c>
      <c r="B6" s="1416" t="s">
        <v>3400</v>
      </c>
      <c r="C6" s="1416" t="s">
        <v>31</v>
      </c>
      <c r="D6" s="1417">
        <v>1843850050</v>
      </c>
      <c r="E6" s="1417">
        <v>0</v>
      </c>
      <c r="F6" s="1417">
        <v>39072429</v>
      </c>
      <c r="G6" s="1417">
        <v>110962800</v>
      </c>
      <c r="H6" s="1417">
        <v>1771959679</v>
      </c>
      <c r="I6" s="1417">
        <v>0</v>
      </c>
      <c r="J6" s="1413" t="s">
        <v>4228</v>
      </c>
      <c r="L6" s="1413" t="s">
        <v>4229</v>
      </c>
      <c r="M6" s="1418">
        <f t="shared" si="0"/>
        <v>191057534240</v>
      </c>
      <c r="P6" s="1419" t="s">
        <v>3399</v>
      </c>
      <c r="Q6" s="1419" t="s">
        <v>4228</v>
      </c>
    </row>
    <row r="7" spans="1:17" ht="12.75">
      <c r="A7" s="1416" t="s">
        <v>3402</v>
      </c>
      <c r="B7" s="1416" t="s">
        <v>3403</v>
      </c>
      <c r="C7" s="1416" t="s">
        <v>31</v>
      </c>
      <c r="D7" s="1417">
        <v>66283</v>
      </c>
      <c r="E7" s="1417">
        <v>0</v>
      </c>
      <c r="F7" s="1417">
        <v>7252356858</v>
      </c>
      <c r="G7" s="1417">
        <v>5935797679</v>
      </c>
      <c r="H7" s="1417">
        <v>1316625462</v>
      </c>
      <c r="I7" s="1417">
        <v>0</v>
      </c>
      <c r="J7" s="1413" t="s">
        <v>3402</v>
      </c>
      <c r="L7" s="1413" t="s">
        <v>4230</v>
      </c>
      <c r="M7" s="1418">
        <f t="shared" si="0"/>
        <v>0</v>
      </c>
      <c r="P7" s="1419" t="s">
        <v>3402</v>
      </c>
      <c r="Q7" s="1419" t="s">
        <v>3402</v>
      </c>
    </row>
    <row r="8" spans="1:17" ht="12.75">
      <c r="A8" s="1416" t="s">
        <v>3405</v>
      </c>
      <c r="B8" s="1416" t="s">
        <v>3406</v>
      </c>
      <c r="C8" s="1416" t="s">
        <v>31</v>
      </c>
      <c r="D8" s="1417">
        <v>0</v>
      </c>
      <c r="E8" s="1417">
        <v>0</v>
      </c>
      <c r="F8" s="1417">
        <v>283693731</v>
      </c>
      <c r="G8" s="1417">
        <v>283693731</v>
      </c>
      <c r="H8" s="1417">
        <v>0</v>
      </c>
      <c r="I8" s="1417">
        <v>0</v>
      </c>
      <c r="J8" s="1413" t="s">
        <v>3405</v>
      </c>
      <c r="L8" s="1413" t="s">
        <v>3402</v>
      </c>
      <c r="M8" s="1418">
        <f t="shared" si="0"/>
        <v>1316625462</v>
      </c>
      <c r="N8" s="1418">
        <f>SUMIFS($D$5:$D$35,$J$5:$J$35,L8)</f>
        <v>66283</v>
      </c>
      <c r="P8" s="1419" t="s">
        <v>3408</v>
      </c>
      <c r="Q8" s="1419" t="s">
        <v>4229</v>
      </c>
    </row>
    <row r="9" spans="1:17" ht="12.75">
      <c r="A9" s="1416" t="s">
        <v>3408</v>
      </c>
      <c r="B9" s="1416" t="s">
        <v>3409</v>
      </c>
      <c r="C9" s="1416" t="s">
        <v>31</v>
      </c>
      <c r="D9" s="1417">
        <v>101321917800</v>
      </c>
      <c r="E9" s="1417">
        <v>0</v>
      </c>
      <c r="F9" s="1417">
        <v>38630140</v>
      </c>
      <c r="G9" s="1417">
        <v>10303013700</v>
      </c>
      <c r="H9" s="1417">
        <v>91057534240</v>
      </c>
      <c r="I9" s="1417">
        <v>0</v>
      </c>
      <c r="J9" s="1413" t="s">
        <v>4229</v>
      </c>
      <c r="P9" s="1419" t="s">
        <v>3414</v>
      </c>
      <c r="Q9" s="1419" t="s">
        <v>4229</v>
      </c>
    </row>
    <row r="10" spans="1:17" ht="12.75">
      <c r="A10" s="1416" t="s">
        <v>3417</v>
      </c>
      <c r="B10" s="1416" t="s">
        <v>3418</v>
      </c>
      <c r="C10" s="1416" t="s">
        <v>31</v>
      </c>
      <c r="D10" s="1417">
        <v>109904303800</v>
      </c>
      <c r="E10" s="1417">
        <v>0</v>
      </c>
      <c r="F10" s="1417">
        <v>6264874282</v>
      </c>
      <c r="G10" s="1417">
        <v>116169178082</v>
      </c>
      <c r="H10" s="1417">
        <v>0</v>
      </c>
      <c r="I10" s="1417">
        <v>0</v>
      </c>
      <c r="J10" s="1413" t="s">
        <v>4229</v>
      </c>
      <c r="P10" s="1419" t="s">
        <v>3417</v>
      </c>
      <c r="Q10" s="1419" t="s">
        <v>4229</v>
      </c>
    </row>
    <row r="11" spans="1:17" ht="12.75">
      <c r="A11" s="1416" t="s">
        <v>3429</v>
      </c>
      <c r="B11" s="1416" t="s">
        <v>3430</v>
      </c>
      <c r="C11" s="1416" t="s">
        <v>31</v>
      </c>
      <c r="D11" s="1417">
        <v>100000000000</v>
      </c>
      <c r="E11" s="1417">
        <v>0</v>
      </c>
      <c r="F11" s="1417">
        <v>0</v>
      </c>
      <c r="G11" s="1417">
        <v>0</v>
      </c>
      <c r="H11" s="1417">
        <v>100000000000</v>
      </c>
      <c r="I11" s="1417">
        <v>0</v>
      </c>
      <c r="J11" s="1413" t="s">
        <v>4229</v>
      </c>
      <c r="P11" s="1419" t="s">
        <v>3426</v>
      </c>
      <c r="Q11" s="1419" t="s">
        <v>4229</v>
      </c>
    </row>
    <row r="12" spans="1:17" ht="12.75">
      <c r="A12" s="1416" t="s">
        <v>3441</v>
      </c>
      <c r="B12" s="1416" t="s">
        <v>3442</v>
      </c>
      <c r="C12" s="1416" t="s">
        <v>31</v>
      </c>
      <c r="D12" s="1417">
        <v>5140722804</v>
      </c>
      <c r="E12" s="1417">
        <v>0</v>
      </c>
      <c r="F12" s="1417">
        <v>433960594</v>
      </c>
      <c r="G12" s="1417">
        <v>776567000</v>
      </c>
      <c r="H12" s="1417">
        <v>4798116398</v>
      </c>
      <c r="I12" s="1417">
        <v>0</v>
      </c>
      <c r="J12" s="1413" t="s">
        <v>4228</v>
      </c>
      <c r="P12" s="1419" t="s">
        <v>3429</v>
      </c>
      <c r="Q12" s="1419" t="s">
        <v>4229</v>
      </c>
    </row>
    <row r="13" spans="1:17" ht="12.75">
      <c r="A13" s="1416" t="s">
        <v>3444</v>
      </c>
      <c r="B13" s="1416" t="s">
        <v>3445</v>
      </c>
      <c r="C13" s="1416" t="s">
        <v>31</v>
      </c>
      <c r="D13" s="1417">
        <v>3125245988</v>
      </c>
      <c r="E13" s="1417">
        <v>0</v>
      </c>
      <c r="F13" s="1417">
        <v>9082337</v>
      </c>
      <c r="G13" s="1417">
        <v>111312000</v>
      </c>
      <c r="H13" s="1417">
        <v>3023016325</v>
      </c>
      <c r="I13" s="1417">
        <v>0</v>
      </c>
      <c r="J13" s="1413" t="s">
        <v>4228</v>
      </c>
      <c r="P13" s="1419" t="s">
        <v>3432</v>
      </c>
      <c r="Q13" s="1419" t="s">
        <v>4229</v>
      </c>
    </row>
    <row r="14" spans="1:17" ht="12.75">
      <c r="A14" s="1416" t="s">
        <v>3447</v>
      </c>
      <c r="B14" s="1416" t="s">
        <v>3448</v>
      </c>
      <c r="C14" s="1416" t="s">
        <v>31</v>
      </c>
      <c r="D14" s="1417">
        <v>6026907362</v>
      </c>
      <c r="E14" s="1417">
        <v>0</v>
      </c>
      <c r="F14" s="1417">
        <v>0</v>
      </c>
      <c r="G14" s="1417">
        <v>642905619</v>
      </c>
      <c r="H14" s="1417">
        <v>5384001743</v>
      </c>
      <c r="I14" s="1417">
        <v>0</v>
      </c>
      <c r="J14" s="1413" t="s">
        <v>4228</v>
      </c>
      <c r="P14" s="1419" t="s">
        <v>3438</v>
      </c>
      <c r="Q14" s="1419" t="s">
        <v>4229</v>
      </c>
    </row>
    <row r="15" spans="1:17" ht="12.75">
      <c r="A15" s="1416" t="s">
        <v>3450</v>
      </c>
      <c r="B15" s="1416" t="s">
        <v>3451</v>
      </c>
      <c r="C15" s="1416" t="s">
        <v>31</v>
      </c>
      <c r="D15" s="1417">
        <v>73687762</v>
      </c>
      <c r="E15" s="1417">
        <v>0</v>
      </c>
      <c r="F15" s="1417">
        <v>0</v>
      </c>
      <c r="G15" s="1417">
        <v>0</v>
      </c>
      <c r="H15" s="1417">
        <v>73687762</v>
      </c>
      <c r="I15" s="1417">
        <v>0</v>
      </c>
      <c r="J15" s="1413" t="s">
        <v>4228</v>
      </c>
      <c r="P15" s="1419" t="s">
        <v>3441</v>
      </c>
      <c r="Q15" s="1419" t="s">
        <v>4228</v>
      </c>
    </row>
    <row r="16" spans="1:17" ht="12.75">
      <c r="A16" s="1416" t="s">
        <v>3453</v>
      </c>
      <c r="B16" s="1416" t="s">
        <v>3454</v>
      </c>
      <c r="C16" s="1416" t="s">
        <v>31</v>
      </c>
      <c r="D16" s="1417">
        <v>8106281448</v>
      </c>
      <c r="E16" s="1417">
        <v>0</v>
      </c>
      <c r="F16" s="1417">
        <v>0</v>
      </c>
      <c r="G16" s="1417">
        <v>688929010</v>
      </c>
      <c r="H16" s="1417">
        <v>7417352438</v>
      </c>
      <c r="I16" s="1417">
        <v>0</v>
      </c>
      <c r="J16" s="1413" t="s">
        <v>4228</v>
      </c>
      <c r="P16" s="1419" t="s">
        <v>3444</v>
      </c>
      <c r="Q16" s="1419" t="s">
        <v>4228</v>
      </c>
    </row>
    <row r="17" spans="1:17" ht="12.75">
      <c r="A17" s="1416" t="s">
        <v>3456</v>
      </c>
      <c r="B17" s="1416" t="s">
        <v>3457</v>
      </c>
      <c r="C17" s="1416" t="s">
        <v>31</v>
      </c>
      <c r="D17" s="1417">
        <v>12061502346</v>
      </c>
      <c r="E17" s="1417">
        <v>0</v>
      </c>
      <c r="F17" s="1417">
        <v>12233340</v>
      </c>
      <c r="G17" s="1417">
        <v>1004424221</v>
      </c>
      <c r="H17" s="1417">
        <v>11069311465</v>
      </c>
      <c r="I17" s="1417">
        <v>0</v>
      </c>
      <c r="J17" s="1413" t="s">
        <v>4228</v>
      </c>
      <c r="P17" s="1419" t="s">
        <v>3447</v>
      </c>
      <c r="Q17" s="1419" t="s">
        <v>4228</v>
      </c>
    </row>
    <row r="18" spans="1:17" ht="12.75">
      <c r="A18" s="1416" t="s">
        <v>3459</v>
      </c>
      <c r="B18" s="1416" t="s">
        <v>3459</v>
      </c>
      <c r="C18" s="1416" t="s">
        <v>31</v>
      </c>
      <c r="D18" s="1417">
        <v>80618324</v>
      </c>
      <c r="E18" s="1417">
        <v>0</v>
      </c>
      <c r="F18" s="1417">
        <v>0</v>
      </c>
      <c r="G18" s="1417">
        <v>0</v>
      </c>
      <c r="H18" s="1417">
        <v>80618324</v>
      </c>
      <c r="I18" s="1417">
        <v>0</v>
      </c>
      <c r="J18" s="1413" t="s">
        <v>4228</v>
      </c>
      <c r="P18" s="1419" t="s">
        <v>3450</v>
      </c>
      <c r="Q18" s="1419" t="s">
        <v>4228</v>
      </c>
    </row>
    <row r="19" spans="1:17" ht="12.75">
      <c r="A19" s="1416" t="s">
        <v>3461</v>
      </c>
      <c r="B19" s="1416" t="s">
        <v>3462</v>
      </c>
      <c r="C19" s="1416" t="s">
        <v>31</v>
      </c>
      <c r="D19" s="1417">
        <v>53871063</v>
      </c>
      <c r="E19" s="1417">
        <v>0</v>
      </c>
      <c r="F19" s="1417">
        <v>0</v>
      </c>
      <c r="G19" s="1417">
        <v>0</v>
      </c>
      <c r="H19" s="1417">
        <v>53871063</v>
      </c>
      <c r="I19" s="1417">
        <v>0</v>
      </c>
      <c r="J19" s="1413" t="s">
        <v>4228</v>
      </c>
      <c r="P19" s="1419" t="s">
        <v>3453</v>
      </c>
      <c r="Q19" s="1419" t="s">
        <v>4228</v>
      </c>
    </row>
    <row r="20" spans="1:17" ht="12.75">
      <c r="A20" s="1416" t="s">
        <v>3464</v>
      </c>
      <c r="B20" s="1416" t="s">
        <v>3465</v>
      </c>
      <c r="C20" s="1416" t="s">
        <v>31</v>
      </c>
      <c r="D20" s="1417">
        <v>16700978421</v>
      </c>
      <c r="E20" s="1417">
        <v>0</v>
      </c>
      <c r="F20" s="1417">
        <v>525200959</v>
      </c>
      <c r="G20" s="1417">
        <v>1387967994</v>
      </c>
      <c r="H20" s="1417">
        <v>15838211386</v>
      </c>
      <c r="I20" s="1417">
        <v>0</v>
      </c>
      <c r="J20" s="1413" t="s">
        <v>4228</v>
      </c>
      <c r="P20" s="1419" t="s">
        <v>3456</v>
      </c>
      <c r="Q20" s="1419" t="s">
        <v>4228</v>
      </c>
    </row>
    <row r="21" spans="1:17" ht="12.75">
      <c r="A21" s="1416" t="s">
        <v>3467</v>
      </c>
      <c r="B21" s="1416" t="s">
        <v>3468</v>
      </c>
      <c r="C21" s="1416" t="s">
        <v>31</v>
      </c>
      <c r="D21" s="1417">
        <v>4903976325</v>
      </c>
      <c r="E21" s="1417">
        <v>0</v>
      </c>
      <c r="F21" s="1417">
        <v>283184000</v>
      </c>
      <c r="G21" s="1417">
        <v>769476778</v>
      </c>
      <c r="H21" s="1417">
        <v>4417683547</v>
      </c>
      <c r="I21" s="1417">
        <v>0</v>
      </c>
      <c r="J21" s="1413" t="s">
        <v>4228</v>
      </c>
      <c r="P21" s="1419" t="s">
        <v>3459</v>
      </c>
      <c r="Q21" s="1419" t="s">
        <v>4228</v>
      </c>
    </row>
    <row r="22" spans="1:17" ht="12.75">
      <c r="A22" s="1416" t="s">
        <v>3470</v>
      </c>
      <c r="B22" s="1416" t="s">
        <v>3471</v>
      </c>
      <c r="C22" s="1416" t="s">
        <v>31</v>
      </c>
      <c r="D22" s="1417">
        <v>12246117350</v>
      </c>
      <c r="E22" s="1417">
        <v>0</v>
      </c>
      <c r="F22" s="1417">
        <v>123687091</v>
      </c>
      <c r="G22" s="1417">
        <v>650896157</v>
      </c>
      <c r="H22" s="1417">
        <v>11718908284</v>
      </c>
      <c r="I22" s="1417">
        <v>0</v>
      </c>
      <c r="J22" s="1413" t="s">
        <v>4228</v>
      </c>
      <c r="P22" s="1419" t="s">
        <v>3461</v>
      </c>
      <c r="Q22" s="1419" t="s">
        <v>4228</v>
      </c>
    </row>
    <row r="23" spans="1:17" ht="12.75">
      <c r="A23" s="1416" t="s">
        <v>3473</v>
      </c>
      <c r="B23" s="1416" t="s">
        <v>3474</v>
      </c>
      <c r="C23" s="1416" t="s">
        <v>31</v>
      </c>
      <c r="D23" s="1417">
        <v>11841480815</v>
      </c>
      <c r="E23" s="1417">
        <v>0</v>
      </c>
      <c r="F23" s="1417">
        <v>188462996</v>
      </c>
      <c r="G23" s="1417">
        <v>711365808</v>
      </c>
      <c r="H23" s="1417">
        <v>11318578003</v>
      </c>
      <c r="I23" s="1417">
        <v>0</v>
      </c>
      <c r="J23" s="1413" t="s">
        <v>4228</v>
      </c>
      <c r="P23" s="1419" t="s">
        <v>3464</v>
      </c>
      <c r="Q23" s="1419" t="s">
        <v>4228</v>
      </c>
    </row>
    <row r="24" spans="1:17" ht="12.75">
      <c r="A24" s="1416" t="s">
        <v>3476</v>
      </c>
      <c r="B24" s="1416" t="s">
        <v>3477</v>
      </c>
      <c r="C24" s="1416" t="s">
        <v>31</v>
      </c>
      <c r="D24" s="1417">
        <v>5569184561</v>
      </c>
      <c r="E24" s="1417">
        <v>0</v>
      </c>
      <c r="F24" s="1417">
        <v>18619177</v>
      </c>
      <c r="G24" s="1417">
        <v>100868904</v>
      </c>
      <c r="H24" s="1417">
        <v>5486934834</v>
      </c>
      <c r="I24" s="1417">
        <v>0</v>
      </c>
      <c r="J24" s="1413" t="s">
        <v>4228</v>
      </c>
      <c r="P24" s="1419" t="s">
        <v>3467</v>
      </c>
      <c r="Q24" s="1419" t="s">
        <v>4228</v>
      </c>
    </row>
    <row r="25" spans="1:17" ht="12.75">
      <c r="A25" s="1416" t="s">
        <v>3479</v>
      </c>
      <c r="B25" s="1416" t="s">
        <v>3479</v>
      </c>
      <c r="C25" s="1416" t="s">
        <v>31</v>
      </c>
      <c r="D25" s="1417">
        <v>59590000000</v>
      </c>
      <c r="E25" s="1417">
        <v>0</v>
      </c>
      <c r="F25" s="1417">
        <v>0</v>
      </c>
      <c r="G25" s="1417">
        <v>0</v>
      </c>
      <c r="H25" s="1417">
        <v>59590000000</v>
      </c>
      <c r="I25" s="1417">
        <v>0</v>
      </c>
      <c r="J25" s="1413" t="s">
        <v>4228</v>
      </c>
      <c r="P25" s="1419" t="s">
        <v>3470</v>
      </c>
      <c r="Q25" s="1419" t="s">
        <v>4228</v>
      </c>
    </row>
    <row r="26" spans="1:17" ht="12.75">
      <c r="A26" s="1416" t="s">
        <v>3481</v>
      </c>
      <c r="B26" s="1416" t="s">
        <v>3481</v>
      </c>
      <c r="C26" s="1416" t="s">
        <v>31</v>
      </c>
      <c r="D26" s="1417">
        <v>50500000000</v>
      </c>
      <c r="E26" s="1417">
        <v>0</v>
      </c>
      <c r="F26" s="1417">
        <v>0</v>
      </c>
      <c r="G26" s="1417">
        <v>0</v>
      </c>
      <c r="H26" s="1417">
        <v>50500000000</v>
      </c>
      <c r="I26" s="1417">
        <v>0</v>
      </c>
      <c r="J26" s="1413" t="s">
        <v>4228</v>
      </c>
      <c r="P26" s="1419" t="s">
        <v>3473</v>
      </c>
      <c r="Q26" s="1419" t="s">
        <v>4228</v>
      </c>
    </row>
    <row r="27" spans="1:17" ht="12.75">
      <c r="A27" s="1416" t="s">
        <v>3483</v>
      </c>
      <c r="B27" s="1416" t="s">
        <v>3484</v>
      </c>
      <c r="C27" s="1416" t="s">
        <v>31</v>
      </c>
      <c r="D27" s="1417">
        <v>35960232</v>
      </c>
      <c r="E27" s="1417">
        <v>0</v>
      </c>
      <c r="F27" s="1417">
        <v>0</v>
      </c>
      <c r="G27" s="1417">
        <v>0</v>
      </c>
      <c r="H27" s="1417">
        <v>35960232</v>
      </c>
      <c r="I27" s="1417">
        <v>0</v>
      </c>
      <c r="J27" s="1413" t="s">
        <v>4228</v>
      </c>
      <c r="P27" s="1419" t="s">
        <v>3476</v>
      </c>
      <c r="Q27" s="1419" t="s">
        <v>4228</v>
      </c>
    </row>
    <row r="28" spans="1:17" ht="12.75">
      <c r="A28" s="1416" t="s">
        <v>3486</v>
      </c>
      <c r="B28" s="1416" t="s">
        <v>3487</v>
      </c>
      <c r="C28" s="1416" t="s">
        <v>31</v>
      </c>
      <c r="D28" s="1417">
        <v>9885857826</v>
      </c>
      <c r="E28" s="1417">
        <v>0</v>
      </c>
      <c r="F28" s="1417">
        <v>159088082</v>
      </c>
      <c r="G28" s="1417">
        <v>592954626</v>
      </c>
      <c r="H28" s="1417">
        <v>9451991282</v>
      </c>
      <c r="I28" s="1417">
        <v>0</v>
      </c>
      <c r="J28" s="1413" t="s">
        <v>4228</v>
      </c>
      <c r="P28" s="1419" t="s">
        <v>3479</v>
      </c>
      <c r="Q28" s="1419" t="s">
        <v>4230</v>
      </c>
    </row>
    <row r="29" spans="1:17" ht="12.75">
      <c r="A29" s="1416" t="s">
        <v>3489</v>
      </c>
      <c r="B29" s="1416" t="s">
        <v>3490</v>
      </c>
      <c r="C29" s="1416" t="s">
        <v>31</v>
      </c>
      <c r="D29" s="1417">
        <v>421701456</v>
      </c>
      <c r="E29" s="1417">
        <v>0</v>
      </c>
      <c r="F29" s="1417">
        <v>0</v>
      </c>
      <c r="G29" s="1417">
        <v>0</v>
      </c>
      <c r="H29" s="1417">
        <v>421701456</v>
      </c>
      <c r="I29" s="1417">
        <v>0</v>
      </c>
      <c r="J29" s="1413" t="s">
        <v>4228</v>
      </c>
      <c r="P29" s="1419" t="s">
        <v>3481</v>
      </c>
      <c r="Q29" s="1419" t="s">
        <v>4230</v>
      </c>
    </row>
    <row r="30" spans="1:17" ht="12.75">
      <c r="A30" s="1416" t="s">
        <v>3492</v>
      </c>
      <c r="B30" s="1416" t="s">
        <v>3493</v>
      </c>
      <c r="C30" s="1416" t="s">
        <v>31</v>
      </c>
      <c r="D30" s="1417">
        <v>2195371573</v>
      </c>
      <c r="E30" s="1417">
        <v>0</v>
      </c>
      <c r="F30" s="1417">
        <v>51639101</v>
      </c>
      <c r="G30" s="1417">
        <v>221675049</v>
      </c>
      <c r="H30" s="1417">
        <v>2025335625</v>
      </c>
      <c r="I30" s="1417">
        <v>0</v>
      </c>
      <c r="J30" s="1413" t="s">
        <v>4228</v>
      </c>
      <c r="P30" s="1419" t="s">
        <v>3483</v>
      </c>
      <c r="Q30" s="1419" t="s">
        <v>4228</v>
      </c>
    </row>
    <row r="31" spans="1:17" ht="12.75">
      <c r="A31" s="1416" t="s">
        <v>3495</v>
      </c>
      <c r="B31" s="1416" t="s">
        <v>3496</v>
      </c>
      <c r="C31" s="1416" t="s">
        <v>31</v>
      </c>
      <c r="D31" s="1417">
        <v>31595934</v>
      </c>
      <c r="E31" s="1417">
        <v>0</v>
      </c>
      <c r="F31" s="1417">
        <v>0</v>
      </c>
      <c r="G31" s="1417">
        <v>0</v>
      </c>
      <c r="H31" s="1417">
        <v>31595934</v>
      </c>
      <c r="I31" s="1417">
        <v>0</v>
      </c>
      <c r="J31" s="1413" t="s">
        <v>4228</v>
      </c>
      <c r="P31" s="1419" t="s">
        <v>3486</v>
      </c>
      <c r="Q31" s="1419" t="s">
        <v>4228</v>
      </c>
    </row>
    <row r="32" spans="1:17" ht="12.75">
      <c r="A32" s="1416" t="s">
        <v>3498</v>
      </c>
      <c r="B32" s="1416" t="s">
        <v>3499</v>
      </c>
      <c r="C32" s="1416" t="s">
        <v>31</v>
      </c>
      <c r="D32" s="1417">
        <v>11301710222</v>
      </c>
      <c r="E32" s="1417">
        <v>0</v>
      </c>
      <c r="F32" s="1417">
        <v>0</v>
      </c>
      <c r="G32" s="1417">
        <v>979567482</v>
      </c>
      <c r="H32" s="1417">
        <v>10322142740</v>
      </c>
      <c r="I32" s="1417">
        <v>0</v>
      </c>
      <c r="J32" s="1413" t="s">
        <v>4228</v>
      </c>
      <c r="P32" s="1419" t="s">
        <v>3489</v>
      </c>
      <c r="Q32" s="1419" t="s">
        <v>4228</v>
      </c>
    </row>
    <row r="33" spans="1:17" ht="12.75">
      <c r="A33" s="1416" t="s">
        <v>3501</v>
      </c>
      <c r="B33" s="1416" t="s">
        <v>3502</v>
      </c>
      <c r="C33" s="1416" t="s">
        <v>31</v>
      </c>
      <c r="D33" s="1417">
        <v>2043861035</v>
      </c>
      <c r="E33" s="1417">
        <v>0</v>
      </c>
      <c r="F33" s="1417">
        <v>24750085</v>
      </c>
      <c r="G33" s="1417">
        <v>101431827</v>
      </c>
      <c r="H33" s="1417">
        <v>1967179293</v>
      </c>
      <c r="I33" s="1417">
        <v>0</v>
      </c>
      <c r="J33" s="1413" t="s">
        <v>4228</v>
      </c>
      <c r="P33" s="1419" t="s">
        <v>3492</v>
      </c>
      <c r="Q33" s="1419" t="s">
        <v>4228</v>
      </c>
    </row>
    <row r="34" spans="1:17" ht="12.75">
      <c r="A34" s="1416" t="s">
        <v>3504</v>
      </c>
      <c r="B34" s="1416" t="s">
        <v>3505</v>
      </c>
      <c r="C34" s="1416" t="s">
        <v>31</v>
      </c>
      <c r="D34" s="1417">
        <v>4284637330</v>
      </c>
      <c r="E34" s="1417">
        <v>0</v>
      </c>
      <c r="F34" s="1417">
        <v>75994087</v>
      </c>
      <c r="G34" s="1417">
        <v>364601061</v>
      </c>
      <c r="H34" s="1417">
        <v>3996030356</v>
      </c>
      <c r="I34" s="1417">
        <v>0</v>
      </c>
      <c r="J34" s="1413" t="s">
        <v>4228</v>
      </c>
      <c r="P34" s="1419" t="s">
        <v>3495</v>
      </c>
      <c r="Q34" s="1419" t="s">
        <v>4228</v>
      </c>
    </row>
    <row r="35" spans="1:17" ht="12.75">
      <c r="A35" s="1420"/>
      <c r="B35" s="1421"/>
      <c r="C35" s="1421"/>
      <c r="D35" s="1422"/>
      <c r="E35" s="1422"/>
      <c r="F35" s="1422"/>
      <c r="G35" s="1422"/>
      <c r="H35" s="1422"/>
      <c r="I35" s="1422"/>
      <c r="P35" s="1419" t="s">
        <v>3498</v>
      </c>
      <c r="Q35" s="1419" t="s">
        <v>4228</v>
      </c>
    </row>
    <row r="36" spans="1:17" ht="15">
      <c r="D36" s="1423"/>
      <c r="E36" s="1423"/>
      <c r="F36" s="1423"/>
      <c r="G36" s="1423"/>
      <c r="H36" s="1423"/>
      <c r="I36" s="1423"/>
      <c r="P36" s="1419" t="s">
        <v>3501</v>
      </c>
      <c r="Q36" s="1419" t="s">
        <v>4228</v>
      </c>
    </row>
    <row r="37" spans="1:17" ht="15">
      <c r="D37" s="1423"/>
      <c r="E37" s="1423"/>
      <c r="F37" s="1423"/>
      <c r="G37" s="1423"/>
      <c r="H37" s="1423"/>
      <c r="I37" s="1423"/>
      <c r="P37" s="1419" t="s">
        <v>3504</v>
      </c>
      <c r="Q37" s="1419" t="s">
        <v>4228</v>
      </c>
    </row>
    <row r="38" spans="1:17" ht="15">
      <c r="D38" s="1423"/>
      <c r="E38" s="1423"/>
      <c r="F38" s="1423"/>
      <c r="G38" s="1423"/>
      <c r="H38" s="1423"/>
      <c r="I38" s="1423"/>
      <c r="P38" s="1419" t="s">
        <v>3411</v>
      </c>
      <c r="Q38" s="1419" t="s">
        <v>4229</v>
      </c>
    </row>
    <row r="39" spans="1:17" ht="15">
      <c r="D39" s="1423"/>
      <c r="E39" s="1423"/>
      <c r="F39" s="1423"/>
      <c r="G39" s="1423"/>
      <c r="H39" s="1423"/>
      <c r="I39" s="1423"/>
    </row>
    <row r="40" spans="1:17" ht="15">
      <c r="D40" s="1423"/>
      <c r="E40" s="1423"/>
      <c r="F40" s="1423"/>
      <c r="G40" s="1423"/>
      <c r="H40" s="1423"/>
      <c r="I40" s="1423"/>
    </row>
    <row r="41" spans="1:17" ht="15">
      <c r="D41" s="1423"/>
      <c r="E41" s="1423"/>
      <c r="F41" s="1423"/>
      <c r="G41" s="1423"/>
      <c r="H41" s="1423"/>
      <c r="I41" s="1423"/>
    </row>
    <row r="42" spans="1:17" ht="15">
      <c r="D42" s="1423"/>
      <c r="E42" s="1423"/>
      <c r="F42" s="1423"/>
      <c r="G42" s="1423"/>
      <c r="H42" s="1423"/>
      <c r="I42" s="1423"/>
    </row>
    <row r="43" spans="1:17" ht="15">
      <c r="D43" s="1423"/>
      <c r="E43" s="1423"/>
      <c r="F43" s="1423"/>
      <c r="G43" s="1423"/>
      <c r="H43" s="1423"/>
      <c r="I43" s="1423"/>
    </row>
    <row r="44" spans="1:17" ht="15">
      <c r="D44" s="1423"/>
      <c r="E44" s="1423"/>
      <c r="F44" s="1423"/>
      <c r="G44" s="1423"/>
      <c r="H44" s="1423"/>
      <c r="I44" s="1423"/>
    </row>
    <row r="45" spans="1:17" ht="15">
      <c r="D45" s="1423"/>
      <c r="E45" s="1423"/>
      <c r="F45" s="1423"/>
      <c r="G45" s="1423"/>
      <c r="H45" s="1423"/>
      <c r="I45" s="1423"/>
    </row>
    <row r="46" spans="1:17" ht="15">
      <c r="D46" s="1423"/>
      <c r="E46" s="1423"/>
      <c r="F46" s="1423"/>
      <c r="G46" s="1423"/>
      <c r="H46" s="1423"/>
      <c r="I46" s="1423"/>
    </row>
    <row r="47" spans="1:17" ht="15">
      <c r="D47" s="1423"/>
      <c r="E47" s="1423"/>
      <c r="F47" s="1423"/>
      <c r="G47" s="1423"/>
      <c r="H47" s="1423"/>
      <c r="I47" s="1423"/>
    </row>
    <row r="48" spans="1:17" ht="15">
      <c r="D48" s="1423"/>
      <c r="E48" s="1423"/>
      <c r="F48" s="1423"/>
      <c r="G48" s="1423"/>
      <c r="H48" s="1423"/>
      <c r="I48" s="1423"/>
    </row>
    <row r="49" spans="4:9" ht="15">
      <c r="D49" s="1423"/>
      <c r="E49" s="1423"/>
      <c r="F49" s="1423"/>
      <c r="G49" s="1423"/>
      <c r="H49" s="1423"/>
      <c r="I49" s="1423"/>
    </row>
    <row r="50" spans="4:9" ht="15">
      <c r="D50" s="1423"/>
      <c r="E50" s="1423"/>
      <c r="F50" s="1423"/>
      <c r="G50" s="1423"/>
      <c r="H50" s="1423"/>
      <c r="I50" s="1423"/>
    </row>
    <row r="51" spans="4:9" ht="15">
      <c r="D51" s="1423"/>
      <c r="E51" s="1423"/>
      <c r="F51" s="1423"/>
      <c r="G51" s="1423"/>
      <c r="H51" s="1423"/>
      <c r="I51" s="1423"/>
    </row>
    <row r="52" spans="4:9" ht="15">
      <c r="D52" s="1423"/>
      <c r="E52" s="1423"/>
      <c r="F52" s="1423"/>
      <c r="G52" s="1423"/>
      <c r="H52" s="1423"/>
      <c r="I52" s="1423"/>
    </row>
    <row r="53" spans="4:9" ht="15">
      <c r="D53" s="1423"/>
      <c r="E53" s="1423"/>
      <c r="F53" s="1423"/>
      <c r="G53" s="1423"/>
      <c r="H53" s="1423"/>
      <c r="I53" s="1423"/>
    </row>
    <row r="54" spans="4:9" ht="15">
      <c r="D54" s="1423"/>
      <c r="E54" s="1423"/>
      <c r="F54" s="1423"/>
      <c r="G54" s="1423"/>
      <c r="H54" s="1423"/>
      <c r="I54" s="1423"/>
    </row>
    <row r="55" spans="4:9" ht="15">
      <c r="D55" s="1423"/>
      <c r="E55" s="1423"/>
      <c r="F55" s="1423"/>
      <c r="G55" s="1423"/>
      <c r="H55" s="1423"/>
      <c r="I55" s="1423"/>
    </row>
    <row r="56" spans="4:9" ht="15">
      <c r="D56" s="1423"/>
      <c r="E56" s="1423"/>
      <c r="F56" s="1423"/>
      <c r="G56" s="1423"/>
      <c r="H56" s="1423"/>
      <c r="I56" s="1423"/>
    </row>
    <row r="57" spans="4:9" ht="15">
      <c r="D57" s="1423"/>
      <c r="E57" s="1423"/>
      <c r="F57" s="1423"/>
      <c r="G57" s="1423"/>
      <c r="H57" s="1423"/>
      <c r="I57" s="1423"/>
    </row>
    <row r="58" spans="4:9" ht="15">
      <c r="D58" s="1423"/>
      <c r="E58" s="1423"/>
      <c r="F58" s="1423"/>
      <c r="G58" s="1423"/>
      <c r="H58" s="1423"/>
      <c r="I58" s="1423"/>
    </row>
    <row r="59" spans="4:9" ht="15">
      <c r="D59" s="1423"/>
      <c r="E59" s="1423"/>
      <c r="F59" s="1423"/>
      <c r="G59" s="1423"/>
      <c r="H59" s="1423"/>
      <c r="I59" s="1423"/>
    </row>
    <row r="60" spans="4:9" ht="15">
      <c r="D60" s="1423"/>
      <c r="E60" s="1423"/>
      <c r="F60" s="1423"/>
      <c r="G60" s="1423"/>
      <c r="H60" s="1423"/>
      <c r="I60" s="1423"/>
    </row>
    <row r="61" spans="4:9" ht="15">
      <c r="D61" s="1423"/>
      <c r="E61" s="1423"/>
      <c r="F61" s="1423"/>
      <c r="G61" s="1423"/>
      <c r="H61" s="1423"/>
      <c r="I61" s="1423"/>
    </row>
    <row r="62" spans="4:9" ht="15">
      <c r="D62" s="1423"/>
      <c r="E62" s="1423"/>
      <c r="F62" s="1423"/>
      <c r="G62" s="1423"/>
      <c r="H62" s="1423"/>
      <c r="I62" s="1423"/>
    </row>
    <row r="63" spans="4:9" ht="15">
      <c r="D63" s="1423"/>
      <c r="E63" s="1423"/>
      <c r="F63" s="1423"/>
      <c r="G63" s="1423"/>
      <c r="H63" s="1423"/>
      <c r="I63" s="1423"/>
    </row>
    <row r="64" spans="4:9" ht="15">
      <c r="D64" s="1423"/>
      <c r="E64" s="1423"/>
      <c r="F64" s="1423"/>
      <c r="G64" s="1423"/>
      <c r="H64" s="1423"/>
      <c r="I64" s="1423"/>
    </row>
    <row r="65" spans="4:9" ht="15">
      <c r="D65" s="1423"/>
      <c r="E65" s="1423"/>
      <c r="F65" s="1423"/>
      <c r="G65" s="1423"/>
      <c r="H65" s="1423"/>
      <c r="I65" s="1423"/>
    </row>
    <row r="66" spans="4:9" ht="15">
      <c r="D66" s="1423"/>
      <c r="E66" s="1423"/>
      <c r="F66" s="1423"/>
      <c r="G66" s="1423"/>
      <c r="H66" s="1423"/>
      <c r="I66" s="1423"/>
    </row>
    <row r="67" spans="4:9" ht="15">
      <c r="D67" s="1423"/>
      <c r="E67" s="1423"/>
      <c r="F67" s="1423"/>
      <c r="G67" s="1423"/>
      <c r="H67" s="1423"/>
      <c r="I67" s="1423"/>
    </row>
    <row r="68" spans="4:9" ht="15">
      <c r="D68" s="1423"/>
      <c r="E68" s="1423"/>
      <c r="F68" s="1423"/>
      <c r="G68" s="1423"/>
      <c r="H68" s="1423"/>
      <c r="I68" s="1423"/>
    </row>
    <row r="69" spans="4:9" ht="15">
      <c r="D69" s="1423"/>
      <c r="E69" s="1423"/>
      <c r="F69" s="1423"/>
      <c r="G69" s="1423"/>
      <c r="H69" s="1423"/>
      <c r="I69" s="1423"/>
    </row>
    <row r="70" spans="4:9" ht="15">
      <c r="D70" s="1423"/>
      <c r="E70" s="1423"/>
      <c r="F70" s="1423"/>
      <c r="G70" s="1423"/>
      <c r="H70" s="1423"/>
      <c r="I70" s="1423"/>
    </row>
    <row r="71" spans="4:9" ht="15">
      <c r="D71" s="1423"/>
      <c r="E71" s="1423"/>
      <c r="F71" s="1423"/>
      <c r="G71" s="1423"/>
      <c r="H71" s="1423"/>
      <c r="I71" s="1423"/>
    </row>
    <row r="72" spans="4:9" ht="15">
      <c r="D72" s="1423"/>
      <c r="E72" s="1423"/>
      <c r="F72" s="1423"/>
      <c r="G72" s="1423"/>
      <c r="H72" s="1423"/>
      <c r="I72" s="1423"/>
    </row>
    <row r="73" spans="4:9" ht="15">
      <c r="D73" s="1423"/>
      <c r="E73" s="1423"/>
      <c r="F73" s="1423"/>
      <c r="G73" s="1423"/>
      <c r="H73" s="1423"/>
      <c r="I73" s="1423"/>
    </row>
    <row r="74" spans="4:9" ht="15">
      <c r="D74" s="1423"/>
      <c r="E74" s="1423"/>
      <c r="F74" s="1423"/>
      <c r="G74" s="1423"/>
      <c r="H74" s="1423"/>
      <c r="I74" s="1423"/>
    </row>
    <row r="75" spans="4:9" ht="15">
      <c r="D75" s="1423"/>
      <c r="E75" s="1423"/>
      <c r="F75" s="1423"/>
      <c r="G75" s="1423"/>
      <c r="H75" s="1423"/>
      <c r="I75" s="1423"/>
    </row>
    <row r="76" spans="4:9" ht="15">
      <c r="D76" s="1423"/>
      <c r="E76" s="1423"/>
      <c r="F76" s="1423"/>
      <c r="G76" s="1423"/>
      <c r="H76" s="1423"/>
      <c r="I76" s="1423"/>
    </row>
    <row r="77" spans="4:9" ht="15">
      <c r="D77" s="1423"/>
      <c r="E77" s="1423"/>
      <c r="F77" s="1423"/>
      <c r="G77" s="1423"/>
      <c r="H77" s="1423"/>
      <c r="I77" s="1423"/>
    </row>
    <row r="78" spans="4:9" ht="15">
      <c r="D78" s="1423"/>
      <c r="E78" s="1423"/>
      <c r="F78" s="1423"/>
      <c r="G78" s="1423"/>
      <c r="H78" s="1423"/>
      <c r="I78" s="1423"/>
    </row>
    <row r="79" spans="4:9" ht="15">
      <c r="D79" s="1423"/>
      <c r="E79" s="1423"/>
      <c r="F79" s="1423"/>
      <c r="G79" s="1423"/>
      <c r="H79" s="1423"/>
      <c r="I79" s="1423"/>
    </row>
    <row r="80" spans="4:9" ht="15">
      <c r="D80" s="1423"/>
      <c r="E80" s="1423"/>
      <c r="F80" s="1423"/>
      <c r="G80" s="1423"/>
      <c r="H80" s="1423"/>
      <c r="I80" s="1423"/>
    </row>
    <row r="81" spans="4:9" ht="15">
      <c r="D81" s="1423"/>
      <c r="E81" s="1423"/>
      <c r="F81" s="1423"/>
      <c r="G81" s="1423"/>
      <c r="H81" s="1423"/>
      <c r="I81" s="1423"/>
    </row>
    <row r="82" spans="4:9" ht="15">
      <c r="D82" s="1423"/>
      <c r="E82" s="1423"/>
      <c r="F82" s="1423"/>
      <c r="G82" s="1423"/>
      <c r="H82" s="1423"/>
      <c r="I82" s="1423"/>
    </row>
    <row r="83" spans="4:9" ht="15">
      <c r="D83" s="1423"/>
      <c r="E83" s="1423"/>
      <c r="F83" s="1423"/>
      <c r="G83" s="1423"/>
      <c r="H83" s="1423"/>
      <c r="I83" s="1423"/>
    </row>
    <row r="84" spans="4:9" ht="15">
      <c r="D84" s="1423"/>
      <c r="E84" s="1423"/>
      <c r="F84" s="1423"/>
      <c r="G84" s="1423"/>
      <c r="H84" s="1423"/>
      <c r="I84" s="1423"/>
    </row>
    <row r="85" spans="4:9" ht="15">
      <c r="D85" s="1423"/>
      <c r="E85" s="1423"/>
      <c r="F85" s="1423"/>
      <c r="G85" s="1423"/>
      <c r="H85" s="1423"/>
      <c r="I85" s="1423"/>
    </row>
    <row r="86" spans="4:9" ht="15">
      <c r="D86" s="1423"/>
      <c r="E86" s="1423"/>
      <c r="F86" s="1423"/>
      <c r="G86" s="1423"/>
      <c r="H86" s="1423"/>
      <c r="I86" s="1423"/>
    </row>
    <row r="87" spans="4:9" ht="15">
      <c r="D87" s="1423"/>
      <c r="E87" s="1423"/>
      <c r="F87" s="1423"/>
      <c r="G87" s="1423"/>
      <c r="H87" s="1423"/>
      <c r="I87" s="1423"/>
    </row>
    <row r="88" spans="4:9" ht="15">
      <c r="D88" s="1423"/>
      <c r="E88" s="1423"/>
      <c r="F88" s="1423"/>
      <c r="G88" s="1423"/>
      <c r="H88" s="1423"/>
      <c r="I88" s="1423"/>
    </row>
    <row r="89" spans="4:9" ht="15">
      <c r="D89" s="1423"/>
      <c r="E89" s="1423"/>
      <c r="F89" s="1423"/>
      <c r="G89" s="1423"/>
      <c r="H89" s="1423"/>
      <c r="I89" s="1423"/>
    </row>
    <row r="90" spans="4:9" ht="15">
      <c r="D90" s="1423"/>
      <c r="E90" s="1423"/>
      <c r="F90" s="1423"/>
      <c r="G90" s="1423"/>
      <c r="H90" s="1423"/>
      <c r="I90" s="1423"/>
    </row>
    <row r="91" spans="4:9" ht="15">
      <c r="D91" s="1423"/>
      <c r="E91" s="1423"/>
      <c r="F91" s="1423"/>
      <c r="G91" s="1423"/>
      <c r="H91" s="1423"/>
      <c r="I91" s="1423"/>
    </row>
    <row r="92" spans="4:9" ht="15">
      <c r="D92" s="1423"/>
      <c r="E92" s="1423"/>
      <c r="F92" s="1423"/>
      <c r="G92" s="1423"/>
      <c r="H92" s="1423"/>
      <c r="I92" s="1423"/>
    </row>
    <row r="93" spans="4:9" ht="15">
      <c r="D93" s="1423"/>
      <c r="E93" s="1423"/>
      <c r="F93" s="1423"/>
      <c r="G93" s="1423"/>
      <c r="H93" s="1423"/>
      <c r="I93" s="1423"/>
    </row>
    <row r="94" spans="4:9" ht="15">
      <c r="D94" s="1423"/>
      <c r="E94" s="1423"/>
      <c r="F94" s="1423"/>
      <c r="G94" s="1423"/>
      <c r="H94" s="1423"/>
      <c r="I94" s="1423"/>
    </row>
    <row r="95" spans="4:9" ht="15">
      <c r="D95" s="1423"/>
      <c r="E95" s="1423"/>
      <c r="F95" s="1423"/>
      <c r="G95" s="1423"/>
      <c r="H95" s="1423"/>
      <c r="I95" s="1423"/>
    </row>
    <row r="96" spans="4:9" ht="15">
      <c r="D96" s="1423"/>
      <c r="E96" s="1423"/>
      <c r="F96" s="1423"/>
      <c r="G96" s="1423"/>
      <c r="H96" s="1423"/>
      <c r="I96" s="1423"/>
    </row>
    <row r="97" spans="4:9" ht="15">
      <c r="D97" s="1423"/>
      <c r="E97" s="1423"/>
      <c r="F97" s="1423"/>
      <c r="G97" s="1423"/>
      <c r="H97" s="1423"/>
      <c r="I97" s="1423"/>
    </row>
    <row r="98" spans="4:9" ht="15">
      <c r="D98" s="1423"/>
      <c r="E98" s="1423"/>
      <c r="F98" s="1423"/>
      <c r="G98" s="1423"/>
      <c r="H98" s="1423"/>
      <c r="I98" s="1423"/>
    </row>
    <row r="99" spans="4:9" ht="15">
      <c r="D99" s="1423"/>
      <c r="E99" s="1423"/>
      <c r="F99" s="1423"/>
      <c r="G99" s="1423"/>
      <c r="H99" s="1423"/>
      <c r="I99" s="1423"/>
    </row>
    <row r="100" spans="4:9" ht="15">
      <c r="D100" s="1423"/>
      <c r="E100" s="1423"/>
      <c r="F100" s="1423"/>
      <c r="G100" s="1423"/>
      <c r="H100" s="1423"/>
      <c r="I100" s="1423"/>
    </row>
    <row r="101" spans="4:9" ht="15">
      <c r="D101" s="1423"/>
      <c r="E101" s="1423"/>
      <c r="F101" s="1423"/>
      <c r="G101" s="1423"/>
      <c r="H101" s="1423"/>
      <c r="I101" s="1423"/>
    </row>
    <row r="102" spans="4:9" ht="15">
      <c r="D102" s="1423"/>
      <c r="E102" s="1423"/>
      <c r="F102" s="1423"/>
      <c r="G102" s="1423"/>
      <c r="H102" s="1423"/>
      <c r="I102" s="1423"/>
    </row>
    <row r="103" spans="4:9" ht="15">
      <c r="D103" s="1423"/>
      <c r="E103" s="1423"/>
      <c r="F103" s="1423"/>
      <c r="G103" s="1423"/>
      <c r="H103" s="1423"/>
      <c r="I103" s="1423"/>
    </row>
    <row r="104" spans="4:9" ht="15">
      <c r="D104" s="1423"/>
      <c r="E104" s="1423"/>
      <c r="F104" s="1423"/>
      <c r="G104" s="1423"/>
      <c r="H104" s="1423"/>
      <c r="I104" s="1423"/>
    </row>
    <row r="105" spans="4:9" ht="15">
      <c r="D105" s="1423"/>
      <c r="E105" s="1423"/>
      <c r="F105" s="1423"/>
      <c r="G105" s="1423"/>
      <c r="H105" s="1423"/>
      <c r="I105" s="1423"/>
    </row>
    <row r="106" spans="4:9" ht="15">
      <c r="D106" s="1423"/>
      <c r="E106" s="1423"/>
      <c r="F106" s="1423"/>
      <c r="G106" s="1423"/>
      <c r="H106" s="1423"/>
      <c r="I106" s="1423"/>
    </row>
    <row r="107" spans="4:9" ht="15">
      <c r="D107" s="1423"/>
      <c r="E107" s="1423"/>
      <c r="F107" s="1423"/>
      <c r="G107" s="1423"/>
      <c r="H107" s="1423"/>
      <c r="I107" s="1423"/>
    </row>
    <row r="108" spans="4:9" ht="15">
      <c r="D108" s="1423"/>
      <c r="E108" s="1423"/>
      <c r="F108" s="1423"/>
      <c r="G108" s="1423"/>
      <c r="H108" s="1423"/>
      <c r="I108" s="1423"/>
    </row>
    <row r="109" spans="4:9" ht="15">
      <c r="D109" s="1423"/>
      <c r="E109" s="1423"/>
      <c r="F109" s="1423"/>
      <c r="G109" s="1423"/>
      <c r="H109" s="1423"/>
      <c r="I109" s="1423"/>
    </row>
    <row r="110" spans="4:9" ht="15">
      <c r="D110" s="1423"/>
      <c r="E110" s="1423"/>
      <c r="F110" s="1423"/>
      <c r="G110" s="1423"/>
      <c r="H110" s="1423"/>
      <c r="I110" s="1423"/>
    </row>
    <row r="111" spans="4:9" ht="15">
      <c r="D111" s="1423"/>
      <c r="E111" s="1423"/>
      <c r="F111" s="1423"/>
      <c r="G111" s="1423"/>
      <c r="H111" s="1423"/>
      <c r="I111" s="1423"/>
    </row>
    <row r="112" spans="4:9" ht="15">
      <c r="D112" s="1423"/>
      <c r="E112" s="1423"/>
      <c r="F112" s="1423"/>
      <c r="G112" s="1423"/>
      <c r="H112" s="1423"/>
      <c r="I112" s="1423"/>
    </row>
    <row r="113" spans="4:9" ht="15">
      <c r="D113" s="1423"/>
      <c r="E113" s="1423"/>
      <c r="F113" s="1423"/>
      <c r="G113" s="1423"/>
      <c r="H113" s="1423"/>
      <c r="I113" s="1423"/>
    </row>
    <row r="114" spans="4:9" ht="15">
      <c r="D114" s="1423"/>
      <c r="E114" s="1423"/>
      <c r="F114" s="1423"/>
      <c r="G114" s="1423"/>
      <c r="H114" s="1423"/>
      <c r="I114" s="1423"/>
    </row>
    <row r="115" spans="4:9" ht="15">
      <c r="D115" s="1423"/>
      <c r="E115" s="1423"/>
      <c r="F115" s="1423"/>
      <c r="G115" s="1423"/>
      <c r="H115" s="1423"/>
      <c r="I115" s="1423"/>
    </row>
    <row r="116" spans="4:9" ht="15">
      <c r="D116" s="1423"/>
      <c r="E116" s="1423"/>
      <c r="F116" s="1423"/>
      <c r="G116" s="1423"/>
      <c r="H116" s="1423"/>
      <c r="I116" s="1423"/>
    </row>
    <row r="117" spans="4:9" ht="15">
      <c r="D117" s="1423"/>
      <c r="E117" s="1423"/>
      <c r="F117" s="1423"/>
      <c r="G117" s="1423"/>
      <c r="H117" s="1423"/>
      <c r="I117" s="1423"/>
    </row>
    <row r="118" spans="4:9" ht="15">
      <c r="D118" s="1423"/>
      <c r="E118" s="1423"/>
      <c r="F118" s="1423"/>
      <c r="G118" s="1423"/>
      <c r="H118" s="1423"/>
      <c r="I118" s="1423"/>
    </row>
    <row r="119" spans="4:9" ht="15">
      <c r="D119" s="1423"/>
      <c r="E119" s="1423"/>
      <c r="F119" s="1423"/>
      <c r="G119" s="1423"/>
      <c r="H119" s="1423"/>
      <c r="I119" s="1423"/>
    </row>
    <row r="120" spans="4:9" ht="15">
      <c r="D120" s="1423"/>
      <c r="E120" s="1423"/>
      <c r="F120" s="1423"/>
      <c r="G120" s="1423"/>
      <c r="H120" s="1423"/>
      <c r="I120" s="1423"/>
    </row>
    <row r="121" spans="4:9" ht="15">
      <c r="D121" s="1423"/>
      <c r="E121" s="1423"/>
      <c r="F121" s="1423"/>
      <c r="G121" s="1423"/>
      <c r="H121" s="1423"/>
      <c r="I121" s="1423"/>
    </row>
    <row r="122" spans="4:9" ht="15">
      <c r="D122" s="1423"/>
      <c r="E122" s="1423"/>
      <c r="F122" s="1423"/>
      <c r="G122" s="1423"/>
      <c r="H122" s="1423"/>
      <c r="I122" s="1423"/>
    </row>
    <row r="123" spans="4:9" ht="15">
      <c r="D123" s="1423"/>
      <c r="E123" s="1423"/>
      <c r="F123" s="1423"/>
      <c r="G123" s="1423"/>
      <c r="H123" s="1423"/>
      <c r="I123" s="1423"/>
    </row>
    <row r="124" spans="4:9" ht="15">
      <c r="D124" s="1423"/>
      <c r="E124" s="1423"/>
      <c r="F124" s="1423"/>
      <c r="G124" s="1423"/>
      <c r="H124" s="1423"/>
      <c r="I124" s="1423"/>
    </row>
    <row r="125" spans="4:9" ht="15">
      <c r="D125" s="1423"/>
      <c r="E125" s="1423"/>
      <c r="F125" s="1423"/>
      <c r="G125" s="1423"/>
      <c r="H125" s="1423"/>
      <c r="I125" s="1423"/>
    </row>
    <row r="126" spans="4:9" ht="15">
      <c r="D126" s="1423"/>
      <c r="E126" s="1423"/>
      <c r="F126" s="1423"/>
      <c r="G126" s="1423"/>
      <c r="H126" s="1423"/>
      <c r="I126" s="1423"/>
    </row>
    <row r="127" spans="4:9" ht="15">
      <c r="D127" s="1423"/>
      <c r="E127" s="1423"/>
      <c r="F127" s="1423"/>
      <c r="G127" s="1423"/>
      <c r="H127" s="1423"/>
      <c r="I127" s="1423"/>
    </row>
    <row r="128" spans="4:9" ht="15">
      <c r="D128" s="1423"/>
      <c r="E128" s="1423"/>
      <c r="F128" s="1423"/>
      <c r="G128" s="1423"/>
      <c r="H128" s="1423"/>
      <c r="I128" s="1423"/>
    </row>
    <row r="129" spans="4:9" ht="15">
      <c r="D129" s="1423"/>
      <c r="E129" s="1423"/>
      <c r="F129" s="1423"/>
      <c r="G129" s="1423"/>
      <c r="H129" s="1423"/>
      <c r="I129" s="1423"/>
    </row>
    <row r="130" spans="4:9" ht="15">
      <c r="D130" s="1423"/>
      <c r="E130" s="1423"/>
      <c r="F130" s="1423"/>
      <c r="G130" s="1423"/>
      <c r="H130" s="1423"/>
      <c r="I130" s="1423"/>
    </row>
    <row r="131" spans="4:9" ht="15">
      <c r="D131" s="1423"/>
      <c r="E131" s="1423"/>
      <c r="F131" s="1423"/>
      <c r="G131" s="1423"/>
      <c r="H131" s="1423"/>
      <c r="I131" s="1423"/>
    </row>
    <row r="132" spans="4:9" ht="15">
      <c r="D132" s="1423"/>
      <c r="E132" s="1423"/>
      <c r="F132" s="1423"/>
      <c r="G132" s="1423"/>
      <c r="H132" s="1423"/>
      <c r="I132" s="1423"/>
    </row>
    <row r="133" spans="4:9" ht="15">
      <c r="D133" s="1423"/>
      <c r="E133" s="1423"/>
      <c r="F133" s="1423"/>
      <c r="G133" s="1423"/>
      <c r="H133" s="1423"/>
      <c r="I133" s="1423"/>
    </row>
    <row r="134" spans="4:9" ht="15">
      <c r="D134" s="1423"/>
      <c r="E134" s="1423"/>
      <c r="F134" s="1423"/>
      <c r="G134" s="1423"/>
      <c r="H134" s="1423"/>
      <c r="I134" s="1423"/>
    </row>
    <row r="135" spans="4:9" ht="15">
      <c r="D135" s="1423"/>
      <c r="E135" s="1423"/>
      <c r="F135" s="1423"/>
      <c r="G135" s="1423"/>
      <c r="H135" s="1423"/>
      <c r="I135" s="1423"/>
    </row>
    <row r="136" spans="4:9" ht="15">
      <c r="D136" s="1423"/>
      <c r="E136" s="1423"/>
      <c r="F136" s="1423"/>
      <c r="G136" s="1423"/>
      <c r="H136" s="1423"/>
      <c r="I136" s="1423"/>
    </row>
    <row r="137" spans="4:9" ht="15">
      <c r="D137" s="1423"/>
      <c r="E137" s="1423"/>
      <c r="F137" s="1423"/>
      <c r="G137" s="1423"/>
      <c r="H137" s="1423"/>
      <c r="I137" s="1423"/>
    </row>
    <row r="138" spans="4:9" ht="15">
      <c r="D138" s="1423"/>
      <c r="E138" s="1423"/>
      <c r="F138" s="1423"/>
      <c r="G138" s="1423"/>
      <c r="H138" s="1423"/>
      <c r="I138" s="1423"/>
    </row>
    <row r="139" spans="4:9" ht="15">
      <c r="D139" s="1423"/>
      <c r="E139" s="1423"/>
      <c r="F139" s="1423"/>
      <c r="G139" s="1423"/>
      <c r="H139" s="1423"/>
      <c r="I139" s="1423"/>
    </row>
    <row r="140" spans="4:9" ht="15">
      <c r="D140" s="1423"/>
      <c r="E140" s="1423"/>
      <c r="F140" s="1423"/>
      <c r="G140" s="1423"/>
      <c r="H140" s="1423"/>
      <c r="I140" s="1423"/>
    </row>
    <row r="141" spans="4:9" ht="15">
      <c r="D141" s="1423"/>
      <c r="E141" s="1423"/>
      <c r="F141" s="1423"/>
      <c r="G141" s="1423"/>
      <c r="H141" s="1423"/>
      <c r="I141" s="1423"/>
    </row>
    <row r="142" spans="4:9" ht="15">
      <c r="D142" s="1423"/>
      <c r="E142" s="1423"/>
      <c r="F142" s="1423"/>
      <c r="G142" s="1423"/>
      <c r="H142" s="1423"/>
      <c r="I142" s="1423"/>
    </row>
    <row r="143" spans="4:9" ht="15">
      <c r="D143" s="1423"/>
      <c r="E143" s="1423"/>
      <c r="F143" s="1423"/>
      <c r="G143" s="1423"/>
      <c r="H143" s="1423"/>
      <c r="I143" s="1423"/>
    </row>
    <row r="144" spans="4:9" ht="15">
      <c r="D144" s="1423"/>
      <c r="E144" s="1423"/>
      <c r="F144" s="1423"/>
      <c r="G144" s="1423"/>
      <c r="H144" s="1423"/>
      <c r="I144" s="1423"/>
    </row>
    <row r="145" spans="4:9" ht="15">
      <c r="D145" s="1423"/>
      <c r="E145" s="1423"/>
      <c r="F145" s="1423"/>
      <c r="G145" s="1423"/>
      <c r="H145" s="1423"/>
      <c r="I145" s="1423"/>
    </row>
    <row r="146" spans="4:9" ht="15">
      <c r="D146" s="1423"/>
      <c r="E146" s="1423"/>
      <c r="F146" s="1423"/>
      <c r="G146" s="1423"/>
      <c r="H146" s="1423"/>
      <c r="I146" s="1423"/>
    </row>
    <row r="147" spans="4:9" ht="15">
      <c r="D147" s="1423"/>
      <c r="E147" s="1423"/>
      <c r="F147" s="1423"/>
      <c r="G147" s="1423"/>
      <c r="H147" s="1423"/>
      <c r="I147" s="1423"/>
    </row>
    <row r="148" spans="4:9" ht="15">
      <c r="D148" s="1423"/>
      <c r="E148" s="1423"/>
      <c r="F148" s="1423"/>
      <c r="G148" s="1423"/>
      <c r="H148" s="1423"/>
      <c r="I148" s="1423"/>
    </row>
    <row r="149" spans="4:9" ht="15">
      <c r="D149" s="1423"/>
      <c r="E149" s="1423"/>
      <c r="F149" s="1423"/>
      <c r="G149" s="1423"/>
      <c r="H149" s="1423"/>
      <c r="I149" s="1423"/>
    </row>
    <row r="150" spans="4:9" ht="15">
      <c r="D150" s="1423"/>
      <c r="E150" s="1423"/>
      <c r="F150" s="1423"/>
      <c r="G150" s="1423"/>
      <c r="H150" s="1423"/>
      <c r="I150" s="1423"/>
    </row>
    <row r="151" spans="4:9" ht="15">
      <c r="D151" s="1423"/>
      <c r="E151" s="1423"/>
      <c r="F151" s="1423"/>
      <c r="G151" s="1423"/>
      <c r="H151" s="1423"/>
      <c r="I151" s="1423"/>
    </row>
    <row r="152" spans="4:9" ht="15">
      <c r="D152" s="1423"/>
      <c r="E152" s="1423"/>
      <c r="F152" s="1423"/>
      <c r="G152" s="1423"/>
      <c r="H152" s="1423"/>
      <c r="I152" s="1423"/>
    </row>
    <row r="153" spans="4:9" ht="15">
      <c r="D153" s="1423"/>
      <c r="E153" s="1423"/>
      <c r="F153" s="1423"/>
      <c r="G153" s="1423"/>
      <c r="H153" s="1423"/>
      <c r="I153" s="1423"/>
    </row>
    <row r="154" spans="4:9" ht="15">
      <c r="D154" s="1423"/>
      <c r="E154" s="1423"/>
      <c r="F154" s="1423"/>
      <c r="G154" s="1423"/>
      <c r="H154" s="1423"/>
      <c r="I154" s="1423"/>
    </row>
    <row r="155" spans="4:9" ht="15">
      <c r="D155" s="1423"/>
      <c r="E155" s="1423"/>
      <c r="F155" s="1423"/>
      <c r="G155" s="1423"/>
      <c r="H155" s="1423"/>
      <c r="I155" s="1423"/>
    </row>
    <row r="156" spans="4:9" ht="15">
      <c r="D156" s="1423"/>
      <c r="E156" s="1423"/>
      <c r="F156" s="1423"/>
      <c r="G156" s="1423"/>
      <c r="H156" s="1423"/>
      <c r="I156" s="1423"/>
    </row>
    <row r="157" spans="4:9" ht="15">
      <c r="D157" s="1423"/>
      <c r="E157" s="1423"/>
      <c r="F157" s="1423"/>
      <c r="G157" s="1423"/>
      <c r="H157" s="1423"/>
      <c r="I157" s="1423"/>
    </row>
    <row r="158" spans="4:9" ht="15">
      <c r="D158" s="1423"/>
      <c r="E158" s="1423"/>
      <c r="F158" s="1423"/>
      <c r="G158" s="1423"/>
      <c r="H158" s="1423"/>
      <c r="I158" s="1423"/>
    </row>
    <row r="159" spans="4:9" ht="15">
      <c r="D159" s="1423"/>
      <c r="E159" s="1423"/>
      <c r="F159" s="1423"/>
      <c r="G159" s="1423"/>
      <c r="H159" s="1423"/>
      <c r="I159" s="1423"/>
    </row>
    <row r="160" spans="4:9" ht="15">
      <c r="D160" s="1423"/>
      <c r="E160" s="1423"/>
      <c r="F160" s="1423"/>
      <c r="G160" s="1423"/>
      <c r="H160" s="1423"/>
      <c r="I160" s="1423"/>
    </row>
    <row r="161" spans="4:9" ht="15">
      <c r="D161" s="1423"/>
      <c r="E161" s="1423"/>
      <c r="F161" s="1423"/>
      <c r="G161" s="1423"/>
      <c r="H161" s="1423"/>
      <c r="I161" s="1423"/>
    </row>
    <row r="162" spans="4:9" ht="15">
      <c r="D162" s="1423"/>
      <c r="E162" s="1423"/>
      <c r="F162" s="1423"/>
      <c r="G162" s="1423"/>
      <c r="H162" s="1423"/>
      <c r="I162" s="1423"/>
    </row>
    <row r="163" spans="4:9" ht="15">
      <c r="D163" s="1423"/>
      <c r="E163" s="1423"/>
      <c r="F163" s="1423"/>
      <c r="G163" s="1423"/>
      <c r="H163" s="1423"/>
      <c r="I163" s="1423"/>
    </row>
    <row r="164" spans="4:9" ht="15">
      <c r="D164" s="1423"/>
      <c r="E164" s="1423"/>
      <c r="F164" s="1423"/>
      <c r="G164" s="1423"/>
      <c r="H164" s="1423"/>
      <c r="I164" s="1423"/>
    </row>
    <row r="165" spans="4:9" ht="15">
      <c r="D165" s="1423"/>
      <c r="E165" s="1423"/>
      <c r="F165" s="1423"/>
      <c r="G165" s="1423"/>
      <c r="H165" s="1423"/>
      <c r="I165" s="1423"/>
    </row>
    <row r="166" spans="4:9" ht="15">
      <c r="D166" s="1423"/>
      <c r="E166" s="1423"/>
      <c r="F166" s="1423"/>
      <c r="G166" s="1423"/>
      <c r="H166" s="1423"/>
      <c r="I166" s="1423"/>
    </row>
    <row r="167" spans="4:9" ht="15">
      <c r="D167" s="1423"/>
      <c r="E167" s="1423"/>
      <c r="F167" s="1423"/>
      <c r="G167" s="1423"/>
      <c r="H167" s="1423"/>
      <c r="I167" s="1423"/>
    </row>
    <row r="168" spans="4:9" ht="15">
      <c r="D168" s="1423"/>
      <c r="E168" s="1423"/>
      <c r="F168" s="1423"/>
      <c r="G168" s="1423"/>
      <c r="H168" s="1423"/>
      <c r="I168" s="1423"/>
    </row>
    <row r="169" spans="4:9" ht="15">
      <c r="D169" s="1423"/>
      <c r="E169" s="1423"/>
      <c r="F169" s="1423"/>
      <c r="G169" s="1423"/>
      <c r="H169" s="1423"/>
      <c r="I169" s="1423"/>
    </row>
    <row r="170" spans="4:9" ht="15">
      <c r="D170" s="1423"/>
      <c r="E170" s="1423"/>
      <c r="F170" s="1423"/>
      <c r="G170" s="1423"/>
      <c r="H170" s="1423"/>
      <c r="I170" s="1423"/>
    </row>
    <row r="171" spans="4:9" ht="15">
      <c r="D171" s="1423"/>
      <c r="E171" s="1423"/>
      <c r="F171" s="1423"/>
      <c r="G171" s="1423"/>
      <c r="H171" s="1423"/>
      <c r="I171" s="1423"/>
    </row>
    <row r="172" spans="4:9" ht="15">
      <c r="D172" s="1423"/>
      <c r="E172" s="1423"/>
      <c r="F172" s="1423"/>
      <c r="G172" s="1423"/>
      <c r="H172" s="1423"/>
      <c r="I172" s="1423"/>
    </row>
    <row r="173" spans="4:9" ht="15">
      <c r="D173" s="1423"/>
      <c r="E173" s="1423"/>
      <c r="F173" s="1423"/>
      <c r="G173" s="1423"/>
      <c r="H173" s="1423"/>
      <c r="I173" s="1423"/>
    </row>
    <row r="174" spans="4:9" ht="15">
      <c r="D174" s="1423"/>
      <c r="E174" s="1423"/>
      <c r="F174" s="1423"/>
      <c r="G174" s="1423"/>
      <c r="H174" s="1423"/>
      <c r="I174" s="1423"/>
    </row>
    <row r="175" spans="4:9" ht="15">
      <c r="D175" s="1423"/>
      <c r="E175" s="1423"/>
      <c r="F175" s="1423"/>
      <c r="G175" s="1423"/>
      <c r="H175" s="1423"/>
      <c r="I175" s="1423"/>
    </row>
    <row r="176" spans="4:9" ht="15">
      <c r="D176" s="1423"/>
      <c r="E176" s="1423"/>
      <c r="F176" s="1423"/>
      <c r="G176" s="1423"/>
      <c r="H176" s="1423"/>
      <c r="I176" s="1423"/>
    </row>
    <row r="177" spans="4:9" ht="15">
      <c r="D177" s="1423"/>
      <c r="E177" s="1423"/>
      <c r="F177" s="1423"/>
      <c r="G177" s="1423"/>
      <c r="H177" s="1423"/>
      <c r="I177" s="1423"/>
    </row>
    <row r="178" spans="4:9" ht="15">
      <c r="D178" s="1423"/>
      <c r="E178" s="1423"/>
      <c r="F178" s="1423"/>
      <c r="G178" s="1423"/>
      <c r="H178" s="1423"/>
      <c r="I178" s="1423"/>
    </row>
    <row r="179" spans="4:9" ht="15">
      <c r="D179" s="1423"/>
      <c r="E179" s="1423"/>
      <c r="F179" s="1423"/>
      <c r="G179" s="1423"/>
      <c r="H179" s="1423"/>
      <c r="I179" s="1423"/>
    </row>
    <row r="180" spans="4:9" ht="15">
      <c r="D180" s="1423"/>
      <c r="E180" s="1423"/>
      <c r="F180" s="1423"/>
      <c r="G180" s="1423"/>
      <c r="H180" s="1423"/>
      <c r="I180" s="1423"/>
    </row>
    <row r="181" spans="4:9" ht="15">
      <c r="D181" s="1423"/>
      <c r="E181" s="1423"/>
      <c r="F181" s="1423"/>
      <c r="G181" s="1423"/>
      <c r="H181" s="1423"/>
      <c r="I181" s="1423"/>
    </row>
    <row r="182" spans="4:9" ht="15">
      <c r="D182" s="1423"/>
      <c r="E182" s="1423"/>
      <c r="F182" s="1423"/>
      <c r="G182" s="1423"/>
      <c r="H182" s="1423"/>
      <c r="I182" s="1423"/>
    </row>
    <row r="183" spans="4:9" ht="15">
      <c r="D183" s="1423"/>
      <c r="E183" s="1423"/>
      <c r="F183" s="1423"/>
      <c r="G183" s="1423"/>
      <c r="H183" s="1423"/>
      <c r="I183" s="1423"/>
    </row>
    <row r="184" spans="4:9" ht="15">
      <c r="D184" s="1423"/>
      <c r="E184" s="1423"/>
      <c r="F184" s="1423"/>
      <c r="G184" s="1423"/>
      <c r="H184" s="1423"/>
      <c r="I184" s="1423"/>
    </row>
    <row r="185" spans="4:9" ht="15">
      <c r="D185" s="1423"/>
      <c r="E185" s="1423"/>
      <c r="F185" s="1423"/>
      <c r="G185" s="1423"/>
      <c r="H185" s="1423"/>
      <c r="I185" s="1423"/>
    </row>
    <row r="186" spans="4:9" ht="15">
      <c r="D186" s="1423"/>
      <c r="E186" s="1423"/>
      <c r="F186" s="1423"/>
      <c r="G186" s="1423"/>
      <c r="H186" s="1423"/>
      <c r="I186" s="1423"/>
    </row>
    <row r="187" spans="4:9" ht="15">
      <c r="D187" s="1423"/>
      <c r="E187" s="1423"/>
      <c r="F187" s="1423"/>
      <c r="G187" s="1423"/>
      <c r="H187" s="1423"/>
      <c r="I187" s="1423"/>
    </row>
    <row r="188" spans="4:9" ht="15">
      <c r="D188" s="1423"/>
      <c r="E188" s="1423"/>
      <c r="F188" s="1423"/>
      <c r="G188" s="1423"/>
      <c r="H188" s="1423"/>
      <c r="I188" s="1423"/>
    </row>
    <row r="189" spans="4:9" ht="15">
      <c r="D189" s="1423"/>
      <c r="E189" s="1423"/>
      <c r="F189" s="1423"/>
      <c r="G189" s="1423"/>
      <c r="H189" s="1423"/>
      <c r="I189" s="1423"/>
    </row>
    <row r="190" spans="4:9" ht="15">
      <c r="D190" s="1423"/>
      <c r="E190" s="1423"/>
      <c r="F190" s="1423"/>
      <c r="G190" s="1423"/>
      <c r="H190" s="1423"/>
      <c r="I190" s="1423"/>
    </row>
    <row r="191" spans="4:9" ht="15">
      <c r="D191" s="1423"/>
      <c r="E191" s="1423"/>
      <c r="F191" s="1423"/>
      <c r="G191" s="1423"/>
      <c r="H191" s="1423"/>
      <c r="I191" s="1423"/>
    </row>
    <row r="192" spans="4:9" ht="15">
      <c r="D192" s="1423"/>
      <c r="E192" s="1423"/>
      <c r="F192" s="1423"/>
      <c r="G192" s="1423"/>
      <c r="H192" s="1423"/>
      <c r="I192" s="1423"/>
    </row>
    <row r="193" spans="4:9" ht="15">
      <c r="D193" s="1423"/>
      <c r="E193" s="1423"/>
      <c r="F193" s="1423"/>
      <c r="G193" s="1423"/>
      <c r="H193" s="1423"/>
      <c r="I193" s="1423"/>
    </row>
    <row r="194" spans="4:9" ht="15">
      <c r="D194" s="1423"/>
      <c r="E194" s="1423"/>
      <c r="F194" s="1423"/>
      <c r="G194" s="1423"/>
      <c r="H194" s="1423"/>
      <c r="I194" s="1423"/>
    </row>
    <row r="195" spans="4:9" ht="15">
      <c r="D195" s="1423"/>
      <c r="E195" s="1423"/>
      <c r="F195" s="1423"/>
      <c r="G195" s="1423"/>
      <c r="H195" s="1423"/>
      <c r="I195" s="1423"/>
    </row>
    <row r="196" spans="4:9" ht="15">
      <c r="D196" s="1423"/>
      <c r="E196" s="1423"/>
      <c r="F196" s="1423"/>
      <c r="G196" s="1423"/>
      <c r="H196" s="1423"/>
      <c r="I196" s="1423"/>
    </row>
    <row r="197" spans="4:9" ht="15">
      <c r="D197" s="1423"/>
      <c r="E197" s="1423"/>
      <c r="F197" s="1423"/>
      <c r="G197" s="1423"/>
      <c r="H197" s="1423"/>
      <c r="I197" s="1423"/>
    </row>
    <row r="198" spans="4:9" ht="15">
      <c r="D198" s="1423"/>
      <c r="E198" s="1423"/>
      <c r="F198" s="1423"/>
      <c r="G198" s="1423"/>
      <c r="H198" s="1423"/>
      <c r="I198" s="1423"/>
    </row>
    <row r="199" spans="4:9" ht="15">
      <c r="D199" s="1423"/>
      <c r="E199" s="1423"/>
      <c r="F199" s="1423"/>
      <c r="G199" s="1423"/>
      <c r="H199" s="1423"/>
      <c r="I199" s="1423"/>
    </row>
    <row r="200" spans="4:9" ht="15">
      <c r="D200" s="1423"/>
      <c r="E200" s="1423"/>
      <c r="F200" s="1423"/>
      <c r="G200" s="1423"/>
      <c r="H200" s="1423"/>
      <c r="I200" s="1423"/>
    </row>
    <row r="201" spans="4:9" ht="15">
      <c r="D201" s="1423"/>
      <c r="E201" s="1423"/>
      <c r="F201" s="1423"/>
      <c r="G201" s="1423"/>
      <c r="H201" s="1423"/>
      <c r="I201" s="1423"/>
    </row>
    <row r="202" spans="4:9" ht="15">
      <c r="D202" s="1423"/>
      <c r="E202" s="1423"/>
      <c r="F202" s="1423"/>
      <c r="G202" s="1423"/>
      <c r="H202" s="1423"/>
      <c r="I202" s="1423"/>
    </row>
    <row r="203" spans="4:9" ht="15">
      <c r="D203" s="1423"/>
      <c r="E203" s="1423"/>
      <c r="F203" s="1423"/>
      <c r="G203" s="1423"/>
      <c r="H203" s="1423"/>
      <c r="I203" s="1423"/>
    </row>
    <row r="204" spans="4:9" ht="15">
      <c r="D204" s="1423"/>
      <c r="E204" s="1423"/>
      <c r="F204" s="1423"/>
      <c r="G204" s="1423"/>
      <c r="H204" s="1423"/>
      <c r="I204" s="1423"/>
    </row>
    <row r="205" spans="4:9" ht="15">
      <c r="D205" s="1423"/>
      <c r="E205" s="1423"/>
      <c r="F205" s="1423"/>
      <c r="G205" s="1423"/>
      <c r="H205" s="1423"/>
      <c r="I205" s="1423"/>
    </row>
    <row r="206" spans="4:9" ht="15">
      <c r="D206" s="1423"/>
      <c r="E206" s="1423"/>
      <c r="F206" s="1423"/>
      <c r="G206" s="1423"/>
      <c r="H206" s="1423"/>
      <c r="I206" s="1423"/>
    </row>
    <row r="207" spans="4:9" ht="15">
      <c r="D207" s="1423"/>
      <c r="E207" s="1423"/>
      <c r="F207" s="1423"/>
      <c r="G207" s="1423"/>
      <c r="H207" s="1423"/>
      <c r="I207" s="1423"/>
    </row>
    <row r="208" spans="4:9" ht="15">
      <c r="D208" s="1423"/>
      <c r="E208" s="1423"/>
      <c r="F208" s="1423"/>
      <c r="G208" s="1423"/>
      <c r="H208" s="1423"/>
      <c r="I208" s="1423"/>
    </row>
    <row r="209" spans="4:9" ht="15">
      <c r="D209" s="1423"/>
      <c r="E209" s="1423"/>
      <c r="F209" s="1423"/>
      <c r="G209" s="1423"/>
      <c r="H209" s="1423"/>
      <c r="I209" s="1423"/>
    </row>
    <row r="210" spans="4:9" ht="15">
      <c r="D210" s="1423"/>
      <c r="E210" s="1423"/>
      <c r="F210" s="1423"/>
      <c r="G210" s="1423"/>
      <c r="H210" s="1423"/>
      <c r="I210" s="1423"/>
    </row>
    <row r="211" spans="4:9" ht="15">
      <c r="D211" s="1423"/>
      <c r="E211" s="1423"/>
      <c r="F211" s="1423"/>
      <c r="G211" s="1423"/>
      <c r="H211" s="1423"/>
      <c r="I211" s="1423"/>
    </row>
    <row r="212" spans="4:9" ht="15">
      <c r="D212" s="1423"/>
      <c r="E212" s="1423"/>
      <c r="F212" s="1423"/>
      <c r="G212" s="1423"/>
      <c r="H212" s="1423"/>
      <c r="I212" s="1423"/>
    </row>
    <row r="213" spans="4:9" ht="15">
      <c r="D213" s="1423"/>
      <c r="E213" s="1423"/>
      <c r="F213" s="1423"/>
      <c r="G213" s="1423"/>
      <c r="H213" s="1423"/>
      <c r="I213" s="1423"/>
    </row>
    <row r="214" spans="4:9" ht="15">
      <c r="D214" s="1423"/>
      <c r="E214" s="1423"/>
      <c r="F214" s="1423"/>
      <c r="G214" s="1423"/>
      <c r="H214" s="1423"/>
      <c r="I214" s="1423"/>
    </row>
    <row r="215" spans="4:9" ht="15">
      <c r="D215" s="1423"/>
      <c r="E215" s="1423"/>
      <c r="F215" s="1423"/>
      <c r="G215" s="1423"/>
      <c r="H215" s="1423"/>
      <c r="I215" s="1423"/>
    </row>
    <row r="216" spans="4:9" ht="15">
      <c r="D216" s="1423"/>
      <c r="E216" s="1423"/>
      <c r="F216" s="1423"/>
      <c r="G216" s="1423"/>
      <c r="H216" s="1423"/>
      <c r="I216" s="1423"/>
    </row>
    <row r="217" spans="4:9" ht="15">
      <c r="D217" s="1423"/>
      <c r="E217" s="1423"/>
      <c r="F217" s="1423"/>
      <c r="G217" s="1423"/>
      <c r="H217" s="1423"/>
      <c r="I217" s="1423"/>
    </row>
    <row r="218" spans="4:9" ht="15">
      <c r="D218" s="1423"/>
      <c r="E218" s="1423"/>
      <c r="F218" s="1423"/>
      <c r="G218" s="1423"/>
      <c r="H218" s="1423"/>
      <c r="I218" s="1423"/>
    </row>
    <row r="219" spans="4:9" ht="15">
      <c r="D219" s="1423"/>
      <c r="E219" s="1423"/>
      <c r="F219" s="1423"/>
      <c r="G219" s="1423"/>
      <c r="H219" s="1423"/>
      <c r="I219" s="1423"/>
    </row>
    <row r="220" spans="4:9" ht="15">
      <c r="D220" s="1423"/>
      <c r="E220" s="1423"/>
      <c r="F220" s="1423"/>
      <c r="G220" s="1423"/>
      <c r="H220" s="1423"/>
      <c r="I220" s="1423"/>
    </row>
    <row r="221" spans="4:9" ht="15">
      <c r="D221" s="1423"/>
      <c r="E221" s="1423"/>
      <c r="F221" s="1423"/>
      <c r="G221" s="1423"/>
      <c r="H221" s="1423"/>
      <c r="I221" s="1423"/>
    </row>
    <row r="222" spans="4:9" ht="15">
      <c r="D222" s="1423"/>
      <c r="E222" s="1423"/>
      <c r="F222" s="1423"/>
      <c r="G222" s="1423"/>
      <c r="H222" s="1423"/>
      <c r="I222" s="1423"/>
    </row>
    <row r="223" spans="4:9" ht="15">
      <c r="D223" s="1423"/>
      <c r="E223" s="1423"/>
      <c r="F223" s="1423"/>
      <c r="G223" s="1423"/>
      <c r="H223" s="1423"/>
      <c r="I223" s="1423"/>
    </row>
    <row r="224" spans="4:9" ht="15">
      <c r="D224" s="1423"/>
      <c r="E224" s="1423"/>
      <c r="F224" s="1423"/>
      <c r="G224" s="1423"/>
      <c r="H224" s="1423"/>
      <c r="I224" s="1423"/>
    </row>
    <row r="225" spans="4:9" ht="15">
      <c r="D225" s="1423"/>
      <c r="E225" s="1423"/>
      <c r="F225" s="1423"/>
      <c r="G225" s="1423"/>
      <c r="H225" s="1423"/>
      <c r="I225" s="1423"/>
    </row>
    <row r="226" spans="4:9" ht="15">
      <c r="D226" s="1423"/>
      <c r="E226" s="1423"/>
      <c r="F226" s="1423"/>
      <c r="G226" s="1423"/>
      <c r="H226" s="1423"/>
      <c r="I226" s="1423"/>
    </row>
    <row r="227" spans="4:9" ht="15">
      <c r="D227" s="1423"/>
      <c r="E227" s="1423"/>
      <c r="F227" s="1423"/>
      <c r="G227" s="1423"/>
      <c r="H227" s="1423"/>
      <c r="I227" s="1423"/>
    </row>
    <row r="228" spans="4:9" ht="15">
      <c r="D228" s="1423"/>
      <c r="E228" s="1423"/>
      <c r="F228" s="1423"/>
      <c r="G228" s="1423"/>
      <c r="H228" s="1423"/>
      <c r="I228" s="1423"/>
    </row>
    <row r="229" spans="4:9" ht="15">
      <c r="D229" s="1423"/>
      <c r="E229" s="1423"/>
      <c r="F229" s="1423"/>
      <c r="G229" s="1423"/>
      <c r="H229" s="1423"/>
      <c r="I229" s="1423"/>
    </row>
    <row r="230" spans="4:9" ht="15">
      <c r="D230" s="1423"/>
      <c r="E230" s="1423"/>
      <c r="F230" s="1423"/>
      <c r="G230" s="1423"/>
      <c r="H230" s="1423"/>
      <c r="I230" s="1423"/>
    </row>
    <row r="231" spans="4:9" ht="15">
      <c r="D231" s="1423"/>
      <c r="E231" s="1423"/>
      <c r="F231" s="1423"/>
      <c r="G231" s="1423"/>
      <c r="H231" s="1423"/>
      <c r="I231" s="1423"/>
    </row>
    <row r="232" spans="4:9" ht="15">
      <c r="D232" s="1423"/>
      <c r="E232" s="1423"/>
      <c r="F232" s="1423"/>
      <c r="G232" s="1423"/>
      <c r="H232" s="1423"/>
      <c r="I232" s="1423"/>
    </row>
    <row r="233" spans="4:9" ht="15">
      <c r="D233" s="1423"/>
      <c r="E233" s="1423"/>
      <c r="F233" s="1423"/>
      <c r="G233" s="1423"/>
      <c r="H233" s="1423"/>
      <c r="I233" s="1423"/>
    </row>
    <row r="234" spans="4:9" ht="15">
      <c r="D234" s="1423"/>
      <c r="E234" s="1423"/>
      <c r="F234" s="1423"/>
      <c r="G234" s="1423"/>
      <c r="H234" s="1423"/>
      <c r="I234" s="1423"/>
    </row>
    <row r="235" spans="4:9" ht="15">
      <c r="D235" s="1423"/>
      <c r="E235" s="1423"/>
      <c r="F235" s="1423"/>
      <c r="G235" s="1423"/>
      <c r="H235" s="1423"/>
      <c r="I235" s="1423"/>
    </row>
    <row r="236" spans="4:9" ht="15">
      <c r="D236" s="1423"/>
      <c r="E236" s="1423"/>
      <c r="F236" s="1423"/>
      <c r="G236" s="1423"/>
      <c r="H236" s="1423"/>
      <c r="I236" s="1423"/>
    </row>
    <row r="237" spans="4:9" ht="15">
      <c r="D237" s="1423"/>
      <c r="E237" s="1423"/>
      <c r="F237" s="1423"/>
      <c r="G237" s="1423"/>
      <c r="H237" s="1423"/>
      <c r="I237" s="1423"/>
    </row>
    <row r="238" spans="4:9" ht="15">
      <c r="D238" s="1423"/>
      <c r="E238" s="1423"/>
      <c r="F238" s="1423"/>
      <c r="G238" s="1423"/>
      <c r="H238" s="1423"/>
      <c r="I238" s="1423"/>
    </row>
    <row r="239" spans="4:9" ht="15">
      <c r="D239" s="1423"/>
      <c r="E239" s="1423"/>
      <c r="F239" s="1423"/>
      <c r="G239" s="1423"/>
      <c r="H239" s="1423"/>
      <c r="I239" s="1423"/>
    </row>
    <row r="240" spans="4:9" ht="15">
      <c r="D240" s="1423"/>
      <c r="E240" s="1423"/>
      <c r="F240" s="1423"/>
      <c r="G240" s="1423"/>
      <c r="H240" s="1423"/>
      <c r="I240" s="1423"/>
    </row>
    <row r="241" spans="4:9" ht="15">
      <c r="D241" s="1423"/>
      <c r="E241" s="1423"/>
      <c r="F241" s="1423"/>
      <c r="G241" s="1423"/>
      <c r="H241" s="1423"/>
      <c r="I241" s="1423"/>
    </row>
    <row r="242" spans="4:9" ht="15">
      <c r="D242" s="1423"/>
      <c r="E242" s="1423"/>
      <c r="F242" s="1423"/>
      <c r="G242" s="1423"/>
      <c r="H242" s="1423"/>
      <c r="I242" s="1423"/>
    </row>
    <row r="243" spans="4:9" ht="15">
      <c r="D243" s="1423"/>
      <c r="E243" s="1423"/>
      <c r="F243" s="1423"/>
      <c r="G243" s="1423"/>
      <c r="H243" s="1423"/>
      <c r="I243" s="1423"/>
    </row>
    <row r="244" spans="4:9" ht="15">
      <c r="D244" s="1423"/>
      <c r="E244" s="1423"/>
      <c r="F244" s="1423"/>
      <c r="G244" s="1423"/>
      <c r="H244" s="1423"/>
      <c r="I244" s="1423"/>
    </row>
    <row r="245" spans="4:9" ht="15">
      <c r="D245" s="1423"/>
      <c r="E245" s="1423"/>
      <c r="F245" s="1423"/>
      <c r="G245" s="1423"/>
      <c r="H245" s="1423"/>
      <c r="I245" s="1423"/>
    </row>
    <row r="246" spans="4:9" ht="15">
      <c r="D246" s="1423"/>
      <c r="E246" s="1423"/>
      <c r="F246" s="1423"/>
      <c r="G246" s="1423"/>
      <c r="H246" s="1423"/>
      <c r="I246" s="1423"/>
    </row>
    <row r="247" spans="4:9" ht="15">
      <c r="D247" s="1423"/>
      <c r="E247" s="1423"/>
      <c r="F247" s="1423"/>
      <c r="G247" s="1423"/>
      <c r="H247" s="1423"/>
      <c r="I247" s="1423"/>
    </row>
    <row r="248" spans="4:9" ht="15">
      <c r="D248" s="1423"/>
      <c r="E248" s="1423"/>
      <c r="F248" s="1423"/>
      <c r="G248" s="1423"/>
      <c r="H248" s="1423"/>
      <c r="I248" s="1423"/>
    </row>
    <row r="249" spans="4:9" ht="15">
      <c r="D249" s="1423"/>
      <c r="E249" s="1423"/>
      <c r="F249" s="1423"/>
      <c r="G249" s="1423"/>
      <c r="H249" s="1423"/>
      <c r="I249" s="1423"/>
    </row>
    <row r="250" spans="4:9" ht="15">
      <c r="D250" s="1423"/>
      <c r="E250" s="1423"/>
      <c r="F250" s="1423"/>
      <c r="G250" s="1423"/>
      <c r="H250" s="1423"/>
      <c r="I250" s="1423"/>
    </row>
    <row r="251" spans="4:9" ht="15">
      <c r="D251" s="1423"/>
      <c r="E251" s="1423"/>
      <c r="F251" s="1423"/>
      <c r="G251" s="1423"/>
      <c r="H251" s="1423"/>
      <c r="I251" s="1423"/>
    </row>
    <row r="252" spans="4:9" ht="15">
      <c r="D252" s="1423"/>
      <c r="E252" s="1423"/>
      <c r="F252" s="1423"/>
      <c r="G252" s="1423"/>
      <c r="H252" s="1423"/>
      <c r="I252" s="1423"/>
    </row>
    <row r="253" spans="4:9" ht="15">
      <c r="D253" s="1423"/>
      <c r="E253" s="1423"/>
      <c r="F253" s="1423"/>
      <c r="G253" s="1423"/>
      <c r="H253" s="1423"/>
      <c r="I253" s="1423"/>
    </row>
    <row r="254" spans="4:9" ht="15">
      <c r="D254" s="1423"/>
      <c r="E254" s="1423"/>
      <c r="F254" s="1423"/>
      <c r="G254" s="1423"/>
      <c r="H254" s="1423"/>
      <c r="I254" s="1423"/>
    </row>
    <row r="255" spans="4:9" ht="15">
      <c r="D255" s="1423"/>
      <c r="E255" s="1423"/>
      <c r="F255" s="1423"/>
      <c r="G255" s="1423"/>
      <c r="H255" s="1423"/>
      <c r="I255" s="1423"/>
    </row>
    <row r="256" spans="4:9" ht="15">
      <c r="D256" s="1423"/>
      <c r="E256" s="1423"/>
      <c r="F256" s="1423"/>
      <c r="G256" s="1423"/>
      <c r="H256" s="1423"/>
      <c r="I256" s="1423"/>
    </row>
    <row r="257" spans="4:9" ht="15">
      <c r="D257" s="1423"/>
      <c r="E257" s="1423"/>
      <c r="F257" s="1423"/>
      <c r="G257" s="1423"/>
      <c r="H257" s="1423"/>
      <c r="I257" s="1423"/>
    </row>
    <row r="258" spans="4:9" ht="15">
      <c r="D258" s="1423"/>
      <c r="E258" s="1423"/>
      <c r="F258" s="1423"/>
      <c r="G258" s="1423"/>
      <c r="H258" s="1423"/>
      <c r="I258" s="1423"/>
    </row>
    <row r="259" spans="4:9" ht="15">
      <c r="D259" s="1423"/>
      <c r="E259" s="1423"/>
      <c r="F259" s="1423"/>
      <c r="G259" s="1423"/>
      <c r="H259" s="1423"/>
      <c r="I259" s="1423"/>
    </row>
    <row r="260" spans="4:9" ht="15">
      <c r="D260" s="1423"/>
      <c r="E260" s="1423"/>
      <c r="F260" s="1423"/>
      <c r="G260" s="1423"/>
      <c r="H260" s="1423"/>
      <c r="I260" s="1423"/>
    </row>
    <row r="261" spans="4:9" ht="15">
      <c r="D261" s="1423"/>
      <c r="E261" s="1423"/>
      <c r="F261" s="1423"/>
      <c r="G261" s="1423"/>
      <c r="H261" s="1423"/>
      <c r="I261" s="1423"/>
    </row>
    <row r="262" spans="4:9" ht="15">
      <c r="D262" s="1423"/>
      <c r="E262" s="1423"/>
      <c r="F262" s="1423"/>
      <c r="G262" s="1423"/>
      <c r="H262" s="1423"/>
      <c r="I262" s="1423"/>
    </row>
    <row r="263" spans="4:9" ht="15">
      <c r="D263" s="1423"/>
      <c r="E263" s="1423"/>
      <c r="F263" s="1423"/>
      <c r="G263" s="1423"/>
      <c r="H263" s="1423"/>
      <c r="I263" s="1423"/>
    </row>
    <row r="264" spans="4:9" ht="15">
      <c r="D264" s="1423"/>
      <c r="E264" s="1423"/>
      <c r="F264" s="1423"/>
      <c r="G264" s="1423"/>
      <c r="H264" s="1423"/>
      <c r="I264" s="1423"/>
    </row>
    <row r="265" spans="4:9" ht="15">
      <c r="D265" s="1423"/>
      <c r="E265" s="1423"/>
      <c r="F265" s="1423"/>
      <c r="G265" s="1423"/>
      <c r="H265" s="1423"/>
      <c r="I265" s="1423"/>
    </row>
    <row r="266" spans="4:9" ht="15">
      <c r="D266" s="1423"/>
      <c r="E266" s="1423"/>
      <c r="F266" s="1423"/>
      <c r="G266" s="1423"/>
      <c r="H266" s="1423"/>
      <c r="I266" s="1423"/>
    </row>
    <row r="267" spans="4:9" ht="15">
      <c r="D267" s="1423"/>
      <c r="E267" s="1423"/>
      <c r="F267" s="1423"/>
      <c r="G267" s="1423"/>
      <c r="H267" s="1423"/>
      <c r="I267" s="1423"/>
    </row>
    <row r="268" spans="4:9" ht="15">
      <c r="D268" s="1423"/>
      <c r="E268" s="1423"/>
      <c r="F268" s="1423"/>
      <c r="G268" s="1423"/>
      <c r="H268" s="1423"/>
      <c r="I268" s="1423"/>
    </row>
    <row r="269" spans="4:9" ht="15">
      <c r="D269" s="1423"/>
      <c r="E269" s="1423"/>
      <c r="F269" s="1423"/>
      <c r="G269" s="1423"/>
      <c r="H269" s="1423"/>
      <c r="I269" s="1423"/>
    </row>
    <row r="270" spans="4:9" ht="15">
      <c r="D270" s="1423"/>
      <c r="E270" s="1423"/>
      <c r="F270" s="1423"/>
      <c r="G270" s="1423"/>
      <c r="H270" s="1423"/>
      <c r="I270" s="1423"/>
    </row>
    <row r="271" spans="4:9" ht="15">
      <c r="D271" s="1423"/>
      <c r="E271" s="1423"/>
      <c r="F271" s="1423"/>
      <c r="G271" s="1423"/>
      <c r="H271" s="1423"/>
      <c r="I271" s="1423"/>
    </row>
    <row r="272" spans="4:9" ht="15">
      <c r="D272" s="1423"/>
      <c r="E272" s="1423"/>
      <c r="F272" s="1423"/>
      <c r="G272" s="1423"/>
      <c r="H272" s="1423"/>
      <c r="I272" s="1423"/>
    </row>
    <row r="273" spans="4:9" ht="15">
      <c r="D273" s="1423"/>
      <c r="E273" s="1423"/>
      <c r="F273" s="1423"/>
      <c r="G273" s="1423"/>
      <c r="H273" s="1423"/>
      <c r="I273" s="1423"/>
    </row>
    <row r="274" spans="4:9" ht="15">
      <c r="D274" s="1423"/>
      <c r="E274" s="1423"/>
      <c r="F274" s="1423"/>
      <c r="G274" s="1423"/>
      <c r="H274" s="1423"/>
      <c r="I274" s="1423"/>
    </row>
    <row r="275" spans="4:9" ht="15">
      <c r="D275" s="1423"/>
      <c r="E275" s="1423"/>
      <c r="F275" s="1423"/>
      <c r="G275" s="1423"/>
      <c r="H275" s="1423"/>
      <c r="I275" s="1423"/>
    </row>
    <row r="276" spans="4:9" ht="15">
      <c r="D276" s="1423"/>
      <c r="E276" s="1423"/>
      <c r="F276" s="1423"/>
      <c r="G276" s="1423"/>
      <c r="H276" s="1423"/>
      <c r="I276" s="1423"/>
    </row>
    <row r="277" spans="4:9" ht="15">
      <c r="D277" s="1423"/>
      <c r="E277" s="1423"/>
      <c r="F277" s="1423"/>
      <c r="G277" s="1423"/>
      <c r="H277" s="1423"/>
      <c r="I277" s="1423"/>
    </row>
    <row r="278" spans="4:9" ht="15">
      <c r="D278" s="1423"/>
      <c r="E278" s="1423"/>
      <c r="F278" s="1423"/>
      <c r="G278" s="1423"/>
      <c r="H278" s="1423"/>
      <c r="I278" s="1423"/>
    </row>
    <row r="279" spans="4:9" ht="15">
      <c r="D279" s="1423"/>
      <c r="E279" s="1423"/>
      <c r="F279" s="1423"/>
      <c r="G279" s="1423"/>
      <c r="H279" s="1423"/>
      <c r="I279" s="1423"/>
    </row>
    <row r="280" spans="4:9" ht="15">
      <c r="D280" s="1423"/>
      <c r="E280" s="1423"/>
      <c r="F280" s="1423"/>
      <c r="G280" s="1423"/>
      <c r="H280" s="1423"/>
      <c r="I280" s="1423"/>
    </row>
    <row r="281" spans="4:9" ht="15">
      <c r="D281" s="1423"/>
      <c r="E281" s="1423"/>
      <c r="F281" s="1423"/>
      <c r="G281" s="1423"/>
      <c r="H281" s="1423"/>
      <c r="I281" s="1423"/>
    </row>
    <row r="282" spans="4:9" ht="15">
      <c r="D282" s="1423"/>
      <c r="E282" s="1423"/>
      <c r="F282" s="1423"/>
      <c r="G282" s="1423"/>
      <c r="H282" s="1423"/>
      <c r="I282" s="1423"/>
    </row>
    <row r="283" spans="4:9" ht="15">
      <c r="D283" s="1423"/>
      <c r="E283" s="1423"/>
      <c r="F283" s="1423"/>
      <c r="G283" s="1423"/>
      <c r="H283" s="1423"/>
      <c r="I283" s="1423"/>
    </row>
    <row r="284" spans="4:9" ht="15">
      <c r="D284" s="1423"/>
      <c r="E284" s="1423"/>
      <c r="F284" s="1423"/>
      <c r="G284" s="1423"/>
      <c r="H284" s="1423"/>
      <c r="I284" s="1423"/>
    </row>
    <row r="285" spans="4:9" ht="15">
      <c r="D285" s="1423"/>
      <c r="E285" s="1423"/>
      <c r="F285" s="1423"/>
      <c r="G285" s="1423"/>
      <c r="H285" s="1423"/>
      <c r="I285" s="1423"/>
    </row>
    <row r="286" spans="4:9" ht="15">
      <c r="D286" s="1423"/>
      <c r="E286" s="1423"/>
      <c r="F286" s="1423"/>
      <c r="G286" s="1423"/>
      <c r="H286" s="1423"/>
      <c r="I286" s="1423"/>
    </row>
    <row r="287" spans="4:9" ht="15">
      <c r="D287" s="1423"/>
      <c r="E287" s="1423"/>
      <c r="F287" s="1423"/>
      <c r="G287" s="1423"/>
      <c r="H287" s="1423"/>
      <c r="I287" s="1423"/>
    </row>
    <row r="288" spans="4:9" ht="15">
      <c r="D288" s="1423"/>
      <c r="E288" s="1423"/>
      <c r="F288" s="1423"/>
      <c r="G288" s="1423"/>
      <c r="H288" s="1423"/>
      <c r="I288" s="1423"/>
    </row>
    <row r="289" spans="4:9" ht="15">
      <c r="D289" s="1423"/>
      <c r="E289" s="1423"/>
      <c r="F289" s="1423"/>
      <c r="G289" s="1423"/>
      <c r="H289" s="1423"/>
      <c r="I289" s="1423"/>
    </row>
    <row r="290" spans="4:9" ht="15">
      <c r="D290" s="1423"/>
      <c r="E290" s="1423"/>
      <c r="F290" s="1423"/>
      <c r="G290" s="1423"/>
      <c r="H290" s="1423"/>
      <c r="I290" s="1423"/>
    </row>
    <row r="291" spans="4:9" ht="15">
      <c r="D291" s="1423"/>
      <c r="E291" s="1423"/>
      <c r="F291" s="1423"/>
      <c r="G291" s="1423"/>
      <c r="H291" s="1423"/>
      <c r="I291" s="1423"/>
    </row>
    <row r="292" spans="4:9" ht="15">
      <c r="D292" s="1423"/>
      <c r="E292" s="1423"/>
      <c r="F292" s="1423"/>
      <c r="G292" s="1423"/>
      <c r="H292" s="1423"/>
      <c r="I292" s="1423"/>
    </row>
    <row r="293" spans="4:9" ht="15">
      <c r="D293" s="1423"/>
      <c r="E293" s="1423"/>
      <c r="F293" s="1423"/>
      <c r="G293" s="1423"/>
      <c r="H293" s="1423"/>
      <c r="I293" s="1423"/>
    </row>
    <row r="294" spans="4:9" ht="15">
      <c r="D294" s="1423"/>
      <c r="E294" s="1423"/>
      <c r="F294" s="1423"/>
      <c r="G294" s="1423"/>
      <c r="H294" s="1423"/>
      <c r="I294" s="1423"/>
    </row>
    <row r="295" spans="4:9" ht="15">
      <c r="D295" s="1423"/>
      <c r="E295" s="1423"/>
      <c r="F295" s="1423"/>
      <c r="G295" s="1423"/>
      <c r="H295" s="1423"/>
      <c r="I295" s="1423"/>
    </row>
    <row r="296" spans="4:9" ht="15">
      <c r="D296" s="1423"/>
      <c r="E296" s="1423"/>
      <c r="F296" s="1423"/>
      <c r="G296" s="1423"/>
      <c r="H296" s="1423"/>
      <c r="I296" s="1423"/>
    </row>
    <row r="297" spans="4:9" ht="15">
      <c r="D297" s="1423"/>
      <c r="E297" s="1423"/>
      <c r="F297" s="1423"/>
      <c r="G297" s="1423"/>
      <c r="H297" s="1423"/>
      <c r="I297" s="1423"/>
    </row>
    <row r="298" spans="4:9" ht="15">
      <c r="D298" s="1423"/>
      <c r="E298" s="1423"/>
      <c r="F298" s="1423"/>
      <c r="G298" s="1423"/>
      <c r="H298" s="1423"/>
      <c r="I298" s="1423"/>
    </row>
    <row r="299" spans="4:9" ht="15">
      <c r="D299" s="1423"/>
      <c r="E299" s="1423"/>
      <c r="F299" s="1423"/>
      <c r="G299" s="1423"/>
      <c r="H299" s="1423"/>
      <c r="I299" s="1423"/>
    </row>
    <row r="300" spans="4:9" ht="15">
      <c r="D300" s="1423"/>
      <c r="E300" s="1423"/>
      <c r="F300" s="1423"/>
      <c r="G300" s="1423"/>
      <c r="H300" s="1423"/>
      <c r="I300" s="1423"/>
    </row>
    <row r="301" spans="4:9" ht="15">
      <c r="D301" s="1423"/>
      <c r="E301" s="1423"/>
      <c r="F301" s="1423"/>
      <c r="G301" s="1423"/>
      <c r="H301" s="1423"/>
      <c r="I301" s="1423"/>
    </row>
    <row r="302" spans="4:9" ht="15">
      <c r="D302" s="1423"/>
      <c r="E302" s="1423"/>
      <c r="F302" s="1423"/>
      <c r="G302" s="1423"/>
      <c r="H302" s="1423"/>
      <c r="I302" s="1423"/>
    </row>
    <row r="303" spans="4:9" ht="15">
      <c r="D303" s="1423"/>
      <c r="E303" s="1423"/>
      <c r="F303" s="1423"/>
      <c r="G303" s="1423"/>
      <c r="H303" s="1423"/>
      <c r="I303" s="1423"/>
    </row>
    <row r="304" spans="4:9" ht="15">
      <c r="D304" s="1423"/>
      <c r="E304" s="1423"/>
      <c r="F304" s="1423"/>
      <c r="G304" s="1423"/>
      <c r="H304" s="1423"/>
      <c r="I304" s="1423"/>
    </row>
    <row r="305" spans="4:9" ht="15">
      <c r="D305" s="1423"/>
      <c r="E305" s="1423"/>
      <c r="F305" s="1423"/>
      <c r="G305" s="1423"/>
      <c r="H305" s="1423"/>
      <c r="I305" s="1423"/>
    </row>
    <row r="306" spans="4:9" ht="15">
      <c r="D306" s="1423"/>
      <c r="E306" s="1423"/>
      <c r="F306" s="1423"/>
      <c r="G306" s="1423"/>
      <c r="H306" s="1423"/>
      <c r="I306" s="1423"/>
    </row>
    <row r="307" spans="4:9" ht="15">
      <c r="D307" s="1423"/>
      <c r="E307" s="1423"/>
      <c r="F307" s="1423"/>
      <c r="G307" s="1423"/>
      <c r="H307" s="1423"/>
      <c r="I307" s="1423"/>
    </row>
    <row r="308" spans="4:9" ht="15">
      <c r="D308" s="1423"/>
      <c r="E308" s="1423"/>
      <c r="F308" s="1423"/>
      <c r="G308" s="1423"/>
      <c r="H308" s="1423"/>
      <c r="I308" s="1423"/>
    </row>
    <row r="309" spans="4:9" ht="15">
      <c r="D309" s="1423"/>
      <c r="E309" s="1423"/>
      <c r="F309" s="1423"/>
      <c r="G309" s="1423"/>
      <c r="H309" s="1423"/>
      <c r="I309" s="1423"/>
    </row>
    <row r="310" spans="4:9" ht="15">
      <c r="D310" s="1423"/>
      <c r="E310" s="1423"/>
      <c r="F310" s="1423"/>
      <c r="G310" s="1423"/>
      <c r="H310" s="1423"/>
      <c r="I310" s="1423"/>
    </row>
    <row r="311" spans="4:9" ht="15">
      <c r="D311" s="1423"/>
      <c r="E311" s="1423"/>
      <c r="F311" s="1423"/>
      <c r="G311" s="1423"/>
      <c r="H311" s="1423"/>
      <c r="I311" s="1423"/>
    </row>
    <row r="312" spans="4:9" ht="15">
      <c r="D312" s="1423"/>
      <c r="E312" s="1423"/>
      <c r="F312" s="1423"/>
      <c r="G312" s="1423"/>
      <c r="H312" s="1423"/>
      <c r="I312" s="1423"/>
    </row>
    <row r="313" spans="4:9" ht="15">
      <c r="D313" s="1423"/>
      <c r="E313" s="1423"/>
      <c r="F313" s="1423"/>
      <c r="G313" s="1423"/>
      <c r="H313" s="1423"/>
      <c r="I313" s="1423"/>
    </row>
    <row r="314" spans="4:9" ht="15">
      <c r="D314" s="1423"/>
      <c r="E314" s="1423"/>
      <c r="F314" s="1423"/>
      <c r="G314" s="1423"/>
      <c r="H314" s="1423"/>
      <c r="I314" s="1423"/>
    </row>
    <row r="315" spans="4:9" ht="15">
      <c r="D315" s="1423"/>
      <c r="E315" s="1423"/>
      <c r="F315" s="1423"/>
      <c r="G315" s="1423"/>
      <c r="H315" s="1423"/>
      <c r="I315" s="1423"/>
    </row>
    <row r="316" spans="4:9" ht="15">
      <c r="D316" s="1423"/>
      <c r="E316" s="1423"/>
      <c r="F316" s="1423"/>
      <c r="G316" s="1423"/>
      <c r="H316" s="1423"/>
      <c r="I316" s="1423"/>
    </row>
    <row r="317" spans="4:9" ht="15">
      <c r="D317" s="1423"/>
      <c r="E317" s="1423"/>
      <c r="F317" s="1423"/>
      <c r="G317" s="1423"/>
      <c r="H317" s="1423"/>
      <c r="I317" s="1423"/>
    </row>
    <row r="318" spans="4:9" ht="15">
      <c r="D318" s="1423"/>
      <c r="E318" s="1423"/>
      <c r="F318" s="1423"/>
      <c r="G318" s="1423"/>
      <c r="H318" s="1423"/>
      <c r="I318" s="1423"/>
    </row>
    <row r="319" spans="4:9" ht="15">
      <c r="D319" s="1423"/>
      <c r="E319" s="1423"/>
      <c r="F319" s="1423"/>
      <c r="G319" s="1423"/>
      <c r="H319" s="1423"/>
      <c r="I319" s="1423"/>
    </row>
    <row r="320" spans="4:9" ht="15">
      <c r="D320" s="1423"/>
      <c r="E320" s="1423"/>
      <c r="F320" s="1423"/>
      <c r="G320" s="1423"/>
      <c r="H320" s="1423"/>
      <c r="I320" s="1423"/>
    </row>
    <row r="321" spans="4:9" ht="15">
      <c r="D321" s="1423"/>
      <c r="E321" s="1423"/>
      <c r="F321" s="1423"/>
      <c r="G321" s="1423"/>
      <c r="H321" s="1423"/>
      <c r="I321" s="1423"/>
    </row>
    <row r="322" spans="4:9" ht="15">
      <c r="D322" s="1423"/>
      <c r="E322" s="1423"/>
      <c r="F322" s="1423"/>
      <c r="G322" s="1423"/>
      <c r="H322" s="1423"/>
      <c r="I322" s="1423"/>
    </row>
    <row r="323" spans="4:9" ht="15">
      <c r="D323" s="1423"/>
      <c r="E323" s="1423"/>
      <c r="F323" s="1423"/>
      <c r="G323" s="1423"/>
      <c r="H323" s="1423"/>
      <c r="I323" s="1423"/>
    </row>
    <row r="324" spans="4:9" ht="15">
      <c r="D324" s="1423"/>
      <c r="E324" s="1423"/>
      <c r="F324" s="1423"/>
      <c r="G324" s="1423"/>
      <c r="H324" s="1423"/>
      <c r="I324" s="1423"/>
    </row>
    <row r="325" spans="4:9" ht="15">
      <c r="D325" s="1423"/>
      <c r="E325" s="1423"/>
      <c r="F325" s="1423"/>
      <c r="G325" s="1423"/>
      <c r="H325" s="1423"/>
      <c r="I325" s="1423"/>
    </row>
    <row r="326" spans="4:9" ht="15">
      <c r="D326" s="1423"/>
      <c r="E326" s="1423"/>
      <c r="F326" s="1423"/>
      <c r="G326" s="1423"/>
      <c r="H326" s="1423"/>
      <c r="I326" s="1423"/>
    </row>
    <row r="327" spans="4:9" ht="15">
      <c r="D327" s="1423"/>
      <c r="E327" s="1423"/>
      <c r="F327" s="1423"/>
      <c r="G327" s="1423"/>
      <c r="H327" s="1423"/>
      <c r="I327" s="1423"/>
    </row>
    <row r="328" spans="4:9" ht="15">
      <c r="D328" s="1423"/>
      <c r="E328" s="1423"/>
      <c r="F328" s="1423"/>
      <c r="G328" s="1423"/>
      <c r="H328" s="1423"/>
      <c r="I328" s="1423"/>
    </row>
    <row r="329" spans="4:9" ht="15">
      <c r="D329" s="1423"/>
      <c r="E329" s="1423"/>
      <c r="F329" s="1423"/>
      <c r="G329" s="1423"/>
      <c r="H329" s="1423"/>
      <c r="I329" s="1423"/>
    </row>
    <row r="330" spans="4:9" ht="15">
      <c r="D330" s="1423"/>
      <c r="E330" s="1423"/>
      <c r="F330" s="1423"/>
      <c r="G330" s="1423"/>
      <c r="H330" s="1423"/>
      <c r="I330" s="1423"/>
    </row>
    <row r="331" spans="4:9" ht="15">
      <c r="D331" s="1423"/>
      <c r="E331" s="1423"/>
      <c r="F331" s="1423"/>
      <c r="G331" s="1423"/>
      <c r="H331" s="1423"/>
      <c r="I331" s="1423"/>
    </row>
    <row r="332" spans="4:9" ht="15">
      <c r="D332" s="1423"/>
      <c r="E332" s="1423"/>
      <c r="F332" s="1423"/>
      <c r="G332" s="1423"/>
      <c r="H332" s="1423"/>
      <c r="I332" s="1423"/>
    </row>
    <row r="333" spans="4:9" ht="15">
      <c r="D333" s="1423"/>
      <c r="E333" s="1423"/>
      <c r="F333" s="1423"/>
      <c r="G333" s="1423"/>
      <c r="H333" s="1423"/>
      <c r="I333" s="1423"/>
    </row>
    <row r="334" spans="4:9" ht="15">
      <c r="D334" s="1423"/>
      <c r="E334" s="1423"/>
      <c r="F334" s="1423"/>
      <c r="G334" s="1423"/>
      <c r="H334" s="1423"/>
      <c r="I334" s="1423"/>
    </row>
    <row r="335" spans="4:9" ht="15">
      <c r="D335" s="1423"/>
      <c r="E335" s="1423"/>
      <c r="F335" s="1423"/>
      <c r="G335" s="1423"/>
      <c r="H335" s="1423"/>
      <c r="I335" s="1423"/>
    </row>
    <row r="336" spans="4:9" ht="15">
      <c r="D336" s="1423"/>
      <c r="E336" s="1423"/>
      <c r="F336" s="1423"/>
      <c r="G336" s="1423"/>
      <c r="H336" s="1423"/>
      <c r="I336" s="1423"/>
    </row>
    <row r="337" spans="4:9" ht="15">
      <c r="D337" s="1423"/>
      <c r="E337" s="1423"/>
      <c r="F337" s="1423"/>
      <c r="G337" s="1423"/>
      <c r="H337" s="1423"/>
      <c r="I337" s="1423"/>
    </row>
    <row r="338" spans="4:9" ht="15">
      <c r="D338" s="1423"/>
      <c r="E338" s="1423"/>
      <c r="F338" s="1423"/>
      <c r="G338" s="1423"/>
      <c r="H338" s="1423"/>
      <c r="I338" s="1423"/>
    </row>
    <row r="339" spans="4:9" ht="15">
      <c r="D339" s="1423"/>
      <c r="E339" s="1423"/>
      <c r="F339" s="1423"/>
      <c r="G339" s="1423"/>
      <c r="H339" s="1423"/>
      <c r="I339" s="1423"/>
    </row>
    <row r="340" spans="4:9" ht="15">
      <c r="D340" s="1423"/>
      <c r="E340" s="1423"/>
      <c r="F340" s="1423"/>
      <c r="G340" s="1423"/>
      <c r="H340" s="1423"/>
      <c r="I340" s="1423"/>
    </row>
    <row r="341" spans="4:9" ht="15">
      <c r="D341" s="1423"/>
      <c r="E341" s="1423"/>
      <c r="F341" s="1423"/>
      <c r="G341" s="1423"/>
      <c r="H341" s="1423"/>
      <c r="I341" s="1423"/>
    </row>
    <row r="342" spans="4:9" ht="15">
      <c r="D342" s="1423"/>
      <c r="E342" s="1423"/>
      <c r="F342" s="1423"/>
      <c r="G342" s="1423"/>
      <c r="H342" s="1423"/>
      <c r="I342" s="1423"/>
    </row>
    <row r="343" spans="4:9" ht="15">
      <c r="D343" s="1423"/>
      <c r="E343" s="1423"/>
      <c r="F343" s="1423"/>
      <c r="G343" s="1423"/>
      <c r="H343" s="1423"/>
      <c r="I343" s="1423"/>
    </row>
    <row r="344" spans="4:9" ht="15">
      <c r="D344" s="1423"/>
      <c r="E344" s="1423"/>
      <c r="F344" s="1423"/>
      <c r="G344" s="1423"/>
      <c r="H344" s="1423"/>
      <c r="I344" s="1423"/>
    </row>
    <row r="345" spans="4:9" ht="15">
      <c r="D345" s="1423"/>
      <c r="E345" s="1423"/>
      <c r="F345" s="1423"/>
      <c r="G345" s="1423"/>
      <c r="H345" s="1423"/>
      <c r="I345" s="1423"/>
    </row>
    <row r="346" spans="4:9" ht="15">
      <c r="D346" s="1423"/>
      <c r="E346" s="1423"/>
      <c r="F346" s="1423"/>
      <c r="G346" s="1423"/>
      <c r="H346" s="1423"/>
      <c r="I346" s="1423"/>
    </row>
    <row r="347" spans="4:9" ht="15">
      <c r="D347" s="1423"/>
      <c r="E347" s="1423"/>
      <c r="F347" s="1423"/>
      <c r="G347" s="1423"/>
      <c r="H347" s="1423"/>
      <c r="I347" s="1423"/>
    </row>
    <row r="348" spans="4:9" ht="15">
      <c r="D348" s="1423"/>
      <c r="E348" s="1423"/>
      <c r="F348" s="1423"/>
      <c r="G348" s="1423"/>
      <c r="H348" s="1423"/>
      <c r="I348" s="1423"/>
    </row>
    <row r="349" spans="4:9" ht="15">
      <c r="D349" s="1423"/>
      <c r="E349" s="1423"/>
      <c r="F349" s="1423"/>
      <c r="G349" s="1423"/>
      <c r="H349" s="1423"/>
      <c r="I349" s="1423"/>
    </row>
    <row r="350" spans="4:9" ht="15">
      <c r="D350" s="1423"/>
      <c r="E350" s="1423"/>
      <c r="F350" s="1423"/>
      <c r="G350" s="1423"/>
      <c r="H350" s="1423"/>
      <c r="I350" s="1423"/>
    </row>
    <row r="351" spans="4:9" ht="15">
      <c r="D351" s="1423"/>
      <c r="E351" s="1423"/>
      <c r="F351" s="1423"/>
      <c r="G351" s="1423"/>
      <c r="H351" s="1423"/>
      <c r="I351" s="1423"/>
    </row>
    <row r="352" spans="4:9" ht="15">
      <c r="D352" s="1423"/>
      <c r="E352" s="1423"/>
      <c r="F352" s="1423"/>
      <c r="G352" s="1423"/>
      <c r="H352" s="1423"/>
      <c r="I352" s="1423"/>
    </row>
    <row r="353" spans="4:9" ht="15">
      <c r="D353" s="1423"/>
      <c r="E353" s="1423"/>
      <c r="F353" s="1423"/>
      <c r="G353" s="1423"/>
      <c r="H353" s="1423"/>
      <c r="I353" s="1423"/>
    </row>
    <row r="354" spans="4:9" ht="15">
      <c r="D354" s="1423"/>
      <c r="E354" s="1423"/>
      <c r="F354" s="1423"/>
      <c r="G354" s="1423"/>
      <c r="H354" s="1423"/>
      <c r="I354" s="1423"/>
    </row>
    <row r="355" spans="4:9" ht="15">
      <c r="D355" s="1423"/>
      <c r="E355" s="1423"/>
      <c r="F355" s="1423"/>
      <c r="G355" s="1423"/>
      <c r="H355" s="1423"/>
      <c r="I355" s="1423"/>
    </row>
    <row r="356" spans="4:9" ht="15">
      <c r="D356" s="1423"/>
      <c r="E356" s="1423"/>
      <c r="F356" s="1423"/>
      <c r="G356" s="1423"/>
      <c r="H356" s="1423"/>
      <c r="I356" s="1423"/>
    </row>
    <row r="357" spans="4:9" ht="15">
      <c r="D357" s="1423"/>
      <c r="E357" s="1423"/>
      <c r="F357" s="1423"/>
      <c r="G357" s="1423"/>
      <c r="H357" s="1423"/>
      <c r="I357" s="1423"/>
    </row>
    <row r="358" spans="4:9" ht="15">
      <c r="D358" s="1423"/>
      <c r="E358" s="1423"/>
      <c r="F358" s="1423"/>
      <c r="G358" s="1423"/>
      <c r="H358" s="1423"/>
      <c r="I358" s="1423"/>
    </row>
    <row r="359" spans="4:9" ht="15">
      <c r="D359" s="1423"/>
      <c r="E359" s="1423"/>
      <c r="F359" s="1423"/>
      <c r="G359" s="1423"/>
      <c r="H359" s="1423"/>
      <c r="I359" s="1423"/>
    </row>
    <row r="360" spans="4:9" ht="15">
      <c r="D360" s="1423"/>
      <c r="E360" s="1423"/>
      <c r="F360" s="1423"/>
      <c r="G360" s="1423"/>
      <c r="H360" s="1423"/>
      <c r="I360" s="1423"/>
    </row>
    <row r="361" spans="4:9" ht="15">
      <c r="D361" s="1423"/>
      <c r="E361" s="1423"/>
      <c r="F361" s="1423"/>
      <c r="G361" s="1423"/>
      <c r="H361" s="1423"/>
      <c r="I361" s="1423"/>
    </row>
    <row r="362" spans="4:9" ht="15">
      <c r="D362" s="1423"/>
      <c r="E362" s="1423"/>
      <c r="F362" s="1423"/>
      <c r="G362" s="1423"/>
      <c r="H362" s="1423"/>
      <c r="I362" s="1423"/>
    </row>
    <row r="363" spans="4:9" ht="15">
      <c r="D363" s="1423"/>
      <c r="E363" s="1423"/>
      <c r="F363" s="1423"/>
      <c r="G363" s="1423"/>
      <c r="H363" s="1423"/>
      <c r="I363" s="1423"/>
    </row>
    <row r="364" spans="4:9" ht="15">
      <c r="D364" s="1423"/>
      <c r="E364" s="1423"/>
      <c r="F364" s="1423"/>
      <c r="G364" s="1423"/>
      <c r="H364" s="1423"/>
      <c r="I364" s="1423"/>
    </row>
    <row r="365" spans="4:9" ht="15">
      <c r="D365" s="1423"/>
      <c r="E365" s="1423"/>
      <c r="F365" s="1423"/>
      <c r="G365" s="1423"/>
      <c r="H365" s="1423"/>
      <c r="I365" s="1423"/>
    </row>
    <row r="366" spans="4:9" ht="15">
      <c r="D366" s="1423"/>
      <c r="E366" s="1423"/>
      <c r="F366" s="1423"/>
      <c r="G366" s="1423"/>
      <c r="H366" s="1423"/>
      <c r="I366" s="1423"/>
    </row>
    <row r="367" spans="4:9" ht="15">
      <c r="D367" s="1423"/>
      <c r="E367" s="1423"/>
      <c r="F367" s="1423"/>
      <c r="G367" s="1423"/>
      <c r="H367" s="1423"/>
      <c r="I367" s="1423"/>
    </row>
    <row r="368" spans="4:9" ht="15">
      <c r="D368" s="1423"/>
      <c r="E368" s="1423"/>
      <c r="F368" s="1423"/>
      <c r="G368" s="1423"/>
      <c r="H368" s="1423"/>
      <c r="I368" s="1423"/>
    </row>
    <row r="369" spans="4:9" ht="15">
      <c r="D369" s="1423"/>
      <c r="E369" s="1423"/>
      <c r="F369" s="1423"/>
      <c r="G369" s="1423"/>
      <c r="H369" s="1423"/>
      <c r="I369" s="1423"/>
    </row>
    <row r="370" spans="4:9" ht="15">
      <c r="D370" s="1423"/>
      <c r="E370" s="1423"/>
      <c r="F370" s="1423"/>
      <c r="G370" s="1423"/>
      <c r="H370" s="1423"/>
      <c r="I370" s="1423"/>
    </row>
    <row r="371" spans="4:9" ht="15">
      <c r="D371" s="1423"/>
      <c r="E371" s="1423"/>
      <c r="F371" s="1423"/>
      <c r="G371" s="1423"/>
      <c r="H371" s="1423"/>
      <c r="I371" s="1423"/>
    </row>
    <row r="372" spans="4:9" ht="15">
      <c r="D372" s="1423"/>
      <c r="E372" s="1423"/>
      <c r="F372" s="1423"/>
      <c r="G372" s="1423"/>
      <c r="H372" s="1423"/>
      <c r="I372" s="1423"/>
    </row>
    <row r="373" spans="4:9" ht="15">
      <c r="D373" s="1423"/>
      <c r="E373" s="1423"/>
      <c r="F373" s="1423"/>
      <c r="G373" s="1423"/>
      <c r="H373" s="1423"/>
      <c r="I373" s="1423"/>
    </row>
    <row r="374" spans="4:9" ht="15">
      <c r="D374" s="1423"/>
      <c r="E374" s="1423"/>
      <c r="F374" s="1423"/>
      <c r="G374" s="1423"/>
      <c r="H374" s="1423"/>
      <c r="I374" s="1423"/>
    </row>
    <row r="375" spans="4:9" ht="15">
      <c r="D375" s="1423"/>
      <c r="E375" s="1423"/>
      <c r="F375" s="1423"/>
      <c r="G375" s="1423"/>
      <c r="H375" s="1423"/>
      <c r="I375" s="1423"/>
    </row>
    <row r="376" spans="4:9" ht="15">
      <c r="D376" s="1423"/>
      <c r="E376" s="1423"/>
      <c r="F376" s="1423"/>
      <c r="G376" s="1423"/>
      <c r="H376" s="1423"/>
      <c r="I376" s="1423"/>
    </row>
    <row r="377" spans="4:9" ht="15">
      <c r="D377" s="1423"/>
      <c r="E377" s="1423"/>
      <c r="F377" s="1423"/>
      <c r="G377" s="1423"/>
      <c r="H377" s="1423"/>
      <c r="I377" s="1423"/>
    </row>
    <row r="378" spans="4:9" ht="15">
      <c r="D378" s="1423"/>
      <c r="E378" s="1423"/>
      <c r="F378" s="1423"/>
      <c r="G378" s="1423"/>
      <c r="H378" s="1423"/>
      <c r="I378" s="1423"/>
    </row>
    <row r="379" spans="4:9" ht="15">
      <c r="D379" s="1423"/>
      <c r="E379" s="1423"/>
      <c r="F379" s="1423"/>
      <c r="G379" s="1423"/>
      <c r="H379" s="1423"/>
      <c r="I379" s="1423"/>
    </row>
    <row r="380" spans="4:9" ht="15">
      <c r="D380" s="1423"/>
      <c r="E380" s="1423"/>
      <c r="F380" s="1423"/>
      <c r="G380" s="1423"/>
      <c r="H380" s="1423"/>
      <c r="I380" s="1423"/>
    </row>
    <row r="381" spans="4:9" ht="15">
      <c r="D381" s="1423"/>
      <c r="E381" s="1423"/>
      <c r="F381" s="1423"/>
      <c r="G381" s="1423"/>
      <c r="H381" s="1423"/>
      <c r="I381" s="1423"/>
    </row>
    <row r="382" spans="4:9" ht="15">
      <c r="D382" s="1423"/>
      <c r="E382" s="1423"/>
      <c r="F382" s="1423"/>
      <c r="G382" s="1423"/>
      <c r="H382" s="1423"/>
      <c r="I382" s="1423"/>
    </row>
    <row r="383" spans="4:9" ht="15">
      <c r="D383" s="1423"/>
      <c r="E383" s="1423"/>
      <c r="F383" s="1423"/>
      <c r="G383" s="1423"/>
      <c r="H383" s="1423"/>
      <c r="I383" s="1423"/>
    </row>
    <row r="384" spans="4:9" ht="15">
      <c r="D384" s="1423"/>
      <c r="E384" s="1423"/>
      <c r="F384" s="1423"/>
      <c r="G384" s="1423"/>
      <c r="H384" s="1423"/>
      <c r="I384" s="1423"/>
    </row>
    <row r="385" spans="4:9" ht="15">
      <c r="D385" s="1423"/>
      <c r="E385" s="1423"/>
      <c r="F385" s="1423"/>
      <c r="G385" s="1423"/>
      <c r="H385" s="1423"/>
      <c r="I385" s="1423"/>
    </row>
    <row r="386" spans="4:9" ht="15">
      <c r="D386" s="1423"/>
      <c r="E386" s="1423"/>
      <c r="F386" s="1423"/>
      <c r="G386" s="1423"/>
      <c r="H386" s="1423"/>
      <c r="I386" s="1423"/>
    </row>
    <row r="387" spans="4:9" ht="15">
      <c r="D387" s="1423"/>
      <c r="E387" s="1423"/>
      <c r="F387" s="1423"/>
      <c r="G387" s="1423"/>
      <c r="H387" s="1423"/>
      <c r="I387" s="1423"/>
    </row>
    <row r="388" spans="4:9" ht="15">
      <c r="D388" s="1423"/>
      <c r="E388" s="1423"/>
      <c r="F388" s="1423"/>
      <c r="G388" s="1423"/>
      <c r="H388" s="1423"/>
      <c r="I388" s="1423"/>
    </row>
    <row r="389" spans="4:9" ht="15">
      <c r="D389" s="1423"/>
      <c r="E389" s="1423"/>
      <c r="F389" s="1423"/>
      <c r="G389" s="1423"/>
      <c r="H389" s="1423"/>
      <c r="I389" s="1423"/>
    </row>
    <row r="390" spans="4:9" ht="15">
      <c r="D390" s="1423"/>
      <c r="E390" s="1423"/>
      <c r="F390" s="1423"/>
      <c r="G390" s="1423"/>
      <c r="H390" s="1423"/>
      <c r="I390" s="1423"/>
    </row>
    <row r="391" spans="4:9" ht="15">
      <c r="D391" s="1423"/>
      <c r="E391" s="1423"/>
      <c r="F391" s="1423"/>
      <c r="G391" s="1423"/>
      <c r="H391" s="1423"/>
      <c r="I391" s="1423"/>
    </row>
    <row r="392" spans="4:9" ht="15">
      <c r="D392" s="1423"/>
      <c r="E392" s="1423"/>
      <c r="F392" s="1423"/>
      <c r="G392" s="1423"/>
      <c r="H392" s="1423"/>
      <c r="I392" s="1423"/>
    </row>
    <row r="393" spans="4:9" ht="15">
      <c r="D393" s="1423"/>
      <c r="E393" s="1423"/>
      <c r="F393" s="1423"/>
      <c r="G393" s="1423"/>
      <c r="H393" s="1423"/>
      <c r="I393" s="1423"/>
    </row>
    <row r="394" spans="4:9" ht="15">
      <c r="D394" s="1423"/>
      <c r="E394" s="1423"/>
      <c r="F394" s="1423"/>
      <c r="G394" s="1423"/>
      <c r="H394" s="1423"/>
      <c r="I394" s="1423"/>
    </row>
    <row r="395" spans="4:9" ht="15">
      <c r="D395" s="1423"/>
      <c r="E395" s="1423"/>
      <c r="F395" s="1423"/>
      <c r="G395" s="1423"/>
      <c r="H395" s="1423"/>
      <c r="I395" s="1423"/>
    </row>
    <row r="396" spans="4:9" ht="15">
      <c r="D396" s="1423"/>
      <c r="E396" s="1423"/>
      <c r="F396" s="1423"/>
      <c r="G396" s="1423"/>
      <c r="H396" s="1423"/>
      <c r="I396" s="1423"/>
    </row>
    <row r="397" spans="4:9" ht="15">
      <c r="D397" s="1423"/>
      <c r="E397" s="1423"/>
      <c r="F397" s="1423"/>
      <c r="G397" s="1423"/>
      <c r="H397" s="1423"/>
      <c r="I397" s="1423"/>
    </row>
    <row r="398" spans="4:9" ht="15">
      <c r="D398" s="1423"/>
      <c r="E398" s="1423"/>
      <c r="F398" s="1423"/>
      <c r="G398" s="1423"/>
      <c r="H398" s="1423"/>
      <c r="I398" s="1423"/>
    </row>
    <row r="399" spans="4:9" ht="15">
      <c r="D399" s="1423"/>
      <c r="E399" s="1423"/>
      <c r="F399" s="1423"/>
      <c r="G399" s="1423"/>
      <c r="H399" s="1423"/>
      <c r="I399" s="1423"/>
    </row>
    <row r="400" spans="4:9" ht="15">
      <c r="D400" s="1423"/>
      <c r="E400" s="1423"/>
      <c r="F400" s="1423"/>
      <c r="G400" s="1423"/>
      <c r="H400" s="1423"/>
      <c r="I400" s="1423"/>
    </row>
    <row r="401" spans="4:9" ht="15">
      <c r="D401" s="1423"/>
      <c r="E401" s="1423"/>
      <c r="F401" s="1423"/>
      <c r="G401" s="1423"/>
      <c r="H401" s="1423"/>
      <c r="I401" s="1423"/>
    </row>
    <row r="402" spans="4:9" ht="15">
      <c r="D402" s="1423"/>
      <c r="E402" s="1423"/>
      <c r="F402" s="1423"/>
      <c r="G402" s="1423"/>
      <c r="H402" s="1423"/>
      <c r="I402" s="1423"/>
    </row>
    <row r="403" spans="4:9" ht="15">
      <c r="D403" s="1423"/>
      <c r="E403" s="1423"/>
      <c r="F403" s="1423"/>
      <c r="G403" s="1423"/>
      <c r="H403" s="1423"/>
      <c r="I403" s="1423"/>
    </row>
    <row r="404" spans="4:9" ht="15">
      <c r="D404" s="1423"/>
      <c r="E404" s="1423"/>
      <c r="F404" s="1423"/>
      <c r="G404" s="1423"/>
      <c r="H404" s="1423"/>
      <c r="I404" s="1423"/>
    </row>
    <row r="405" spans="4:9" ht="15">
      <c r="D405" s="1423"/>
      <c r="E405" s="1423"/>
      <c r="F405" s="1423"/>
      <c r="G405" s="1423"/>
      <c r="H405" s="1423"/>
      <c r="I405" s="1423"/>
    </row>
    <row r="406" spans="4:9" ht="15">
      <c r="D406" s="1423"/>
      <c r="E406" s="1423"/>
      <c r="F406" s="1423"/>
      <c r="G406" s="1423"/>
      <c r="H406" s="1423"/>
      <c r="I406" s="1423"/>
    </row>
    <row r="407" spans="4:9" ht="15">
      <c r="D407" s="1423"/>
      <c r="E407" s="1423"/>
      <c r="F407" s="1423"/>
      <c r="G407" s="1423"/>
      <c r="H407" s="1423"/>
      <c r="I407" s="1423"/>
    </row>
    <row r="408" spans="4:9" ht="15">
      <c r="D408" s="1423"/>
      <c r="E408" s="1423"/>
      <c r="F408" s="1423"/>
      <c r="G408" s="1423"/>
      <c r="H408" s="1423"/>
      <c r="I408" s="1423"/>
    </row>
    <row r="409" spans="4:9" ht="15">
      <c r="D409" s="1423"/>
      <c r="E409" s="1423"/>
      <c r="F409" s="1423"/>
      <c r="G409" s="1423"/>
      <c r="H409" s="1423"/>
      <c r="I409" s="1423"/>
    </row>
    <row r="410" spans="4:9" ht="15">
      <c r="D410" s="1423"/>
      <c r="E410" s="1423"/>
      <c r="F410" s="1423"/>
      <c r="G410" s="1423"/>
      <c r="H410" s="1423"/>
      <c r="I410" s="1423"/>
    </row>
    <row r="411" spans="4:9" ht="15">
      <c r="D411" s="1423"/>
      <c r="E411" s="1423"/>
      <c r="F411" s="1423"/>
      <c r="G411" s="1423"/>
      <c r="H411" s="1423"/>
      <c r="I411" s="1423"/>
    </row>
    <row r="412" spans="4:9" ht="15">
      <c r="D412" s="1423"/>
      <c r="E412" s="1423"/>
      <c r="F412" s="1423"/>
      <c r="G412" s="1423"/>
      <c r="H412" s="1423"/>
      <c r="I412" s="1423"/>
    </row>
    <row r="413" spans="4:9" ht="15">
      <c r="D413" s="1423"/>
      <c r="E413" s="1423"/>
      <c r="F413" s="1423"/>
      <c r="G413" s="1423"/>
      <c r="H413" s="1423"/>
      <c r="I413" s="1423"/>
    </row>
    <row r="414" spans="4:9" ht="15">
      <c r="D414" s="1423"/>
      <c r="E414" s="1423"/>
      <c r="F414" s="1423"/>
      <c r="G414" s="1423"/>
      <c r="H414" s="1423"/>
      <c r="I414" s="1423"/>
    </row>
    <row r="415" spans="4:9" ht="15">
      <c r="D415" s="1423"/>
      <c r="E415" s="1423"/>
      <c r="F415" s="1423"/>
      <c r="G415" s="1423"/>
      <c r="H415" s="1423"/>
      <c r="I415" s="1423"/>
    </row>
    <row r="416" spans="4:9" ht="15">
      <c r="D416" s="1423"/>
      <c r="E416" s="1423"/>
      <c r="F416" s="1423"/>
      <c r="G416" s="1423"/>
      <c r="H416" s="1423"/>
      <c r="I416" s="1423"/>
    </row>
    <row r="417" spans="4:9" ht="15">
      <c r="D417" s="1423"/>
      <c r="E417" s="1423"/>
      <c r="F417" s="1423"/>
      <c r="G417" s="1423"/>
      <c r="H417" s="1423"/>
      <c r="I417" s="1423"/>
    </row>
    <row r="418" spans="4:9" ht="15">
      <c r="D418" s="1423"/>
      <c r="E418" s="1423"/>
      <c r="F418" s="1423"/>
      <c r="G418" s="1423"/>
      <c r="H418" s="1423"/>
      <c r="I418" s="1423"/>
    </row>
    <row r="419" spans="4:9" ht="15">
      <c r="D419" s="1423"/>
      <c r="E419" s="1423"/>
      <c r="F419" s="1423"/>
      <c r="G419" s="1423"/>
      <c r="H419" s="1423"/>
      <c r="I419" s="1423"/>
    </row>
    <row r="420" spans="4:9" ht="15">
      <c r="D420" s="1423"/>
      <c r="E420" s="1423"/>
      <c r="F420" s="1423"/>
      <c r="G420" s="1423"/>
      <c r="H420" s="1423"/>
      <c r="I420" s="1423"/>
    </row>
    <row r="421" spans="4:9" ht="15">
      <c r="D421" s="1423"/>
      <c r="E421" s="1423"/>
      <c r="F421" s="1423"/>
      <c r="G421" s="1423"/>
      <c r="H421" s="1423"/>
      <c r="I421" s="1423"/>
    </row>
    <row r="422" spans="4:9" ht="15">
      <c r="D422" s="1423"/>
      <c r="E422" s="1423"/>
      <c r="F422" s="1423"/>
      <c r="G422" s="1423"/>
      <c r="H422" s="1423"/>
      <c r="I422" s="1423"/>
    </row>
    <row r="423" spans="4:9" ht="15">
      <c r="D423" s="1423"/>
      <c r="E423" s="1423"/>
      <c r="F423" s="1423"/>
      <c r="G423" s="1423"/>
      <c r="H423" s="1423"/>
      <c r="I423" s="1423"/>
    </row>
    <row r="424" spans="4:9" ht="15">
      <c r="D424" s="1423"/>
      <c r="E424" s="1423"/>
      <c r="F424" s="1423"/>
      <c r="G424" s="1423"/>
      <c r="H424" s="1423"/>
      <c r="I424" s="1423"/>
    </row>
    <row r="425" spans="4:9" ht="15">
      <c r="D425" s="1423"/>
      <c r="E425" s="1423"/>
      <c r="F425" s="1423"/>
      <c r="G425" s="1423"/>
      <c r="H425" s="1423"/>
      <c r="I425" s="1423"/>
    </row>
    <row r="426" spans="4:9" ht="15">
      <c r="D426" s="1423"/>
      <c r="E426" s="1423"/>
      <c r="F426" s="1423"/>
      <c r="G426" s="1423"/>
      <c r="H426" s="1423"/>
      <c r="I426" s="1423"/>
    </row>
    <row r="427" spans="4:9" ht="15">
      <c r="D427" s="1423"/>
      <c r="E427" s="1423"/>
      <c r="F427" s="1423"/>
      <c r="G427" s="1423"/>
      <c r="H427" s="1423"/>
      <c r="I427" s="1423"/>
    </row>
    <row r="428" spans="4:9" ht="15">
      <c r="D428" s="1423"/>
      <c r="E428" s="1423"/>
      <c r="F428" s="1423"/>
      <c r="G428" s="1423"/>
      <c r="H428" s="1423"/>
      <c r="I428" s="1423"/>
    </row>
    <row r="429" spans="4:9" ht="15">
      <c r="D429" s="1423"/>
      <c r="E429" s="1423"/>
      <c r="F429" s="1423"/>
      <c r="G429" s="1423"/>
      <c r="H429" s="1423"/>
      <c r="I429" s="1423"/>
    </row>
    <row r="430" spans="4:9" ht="15">
      <c r="D430" s="1423"/>
      <c r="E430" s="1423"/>
      <c r="F430" s="1423"/>
      <c r="G430" s="1423"/>
      <c r="H430" s="1423"/>
      <c r="I430" s="1423"/>
    </row>
    <row r="431" spans="4:9" ht="15">
      <c r="D431" s="1423"/>
      <c r="E431" s="1423"/>
      <c r="F431" s="1423"/>
      <c r="G431" s="1423"/>
      <c r="H431" s="1423"/>
      <c r="I431" s="1423"/>
    </row>
    <row r="432" spans="4:9" ht="15">
      <c r="D432" s="1423"/>
      <c r="E432" s="1423"/>
      <c r="F432" s="1423"/>
      <c r="G432" s="1423"/>
      <c r="H432" s="1423"/>
      <c r="I432" s="1423"/>
    </row>
    <row r="433" spans="4:9" ht="15">
      <c r="D433" s="1423"/>
      <c r="E433" s="1423"/>
      <c r="F433" s="1423"/>
      <c r="G433" s="1423"/>
      <c r="H433" s="1423"/>
      <c r="I433" s="1423"/>
    </row>
    <row r="434" spans="4:9" ht="15">
      <c r="D434" s="1423"/>
      <c r="E434" s="1423"/>
      <c r="F434" s="1423"/>
      <c r="G434" s="1423"/>
      <c r="H434" s="1423"/>
      <c r="I434" s="1423"/>
    </row>
    <row r="435" spans="4:9" ht="15">
      <c r="D435" s="1423"/>
      <c r="E435" s="1423"/>
      <c r="F435" s="1423"/>
      <c r="G435" s="1423"/>
      <c r="H435" s="1423"/>
      <c r="I435" s="1423"/>
    </row>
    <row r="436" spans="4:9" ht="15">
      <c r="D436" s="1423"/>
      <c r="E436" s="1423"/>
      <c r="F436" s="1423"/>
      <c r="G436" s="1423"/>
      <c r="H436" s="1423"/>
      <c r="I436" s="1423"/>
    </row>
    <row r="437" spans="4:9" ht="15">
      <c r="D437" s="1423"/>
      <c r="E437" s="1423"/>
      <c r="F437" s="1423"/>
      <c r="G437" s="1423"/>
      <c r="H437" s="1423"/>
      <c r="I437" s="1423"/>
    </row>
    <row r="438" spans="4:9" ht="15">
      <c r="D438" s="1423"/>
      <c r="E438" s="1423"/>
      <c r="F438" s="1423"/>
      <c r="G438" s="1423"/>
      <c r="H438" s="1423"/>
      <c r="I438" s="1423"/>
    </row>
    <row r="439" spans="4:9" ht="15">
      <c r="D439" s="1423"/>
      <c r="E439" s="1423"/>
      <c r="F439" s="1423"/>
      <c r="G439" s="1423"/>
      <c r="H439" s="1423"/>
      <c r="I439" s="1423"/>
    </row>
    <row r="440" spans="4:9" ht="15">
      <c r="D440" s="1423"/>
      <c r="E440" s="1423"/>
      <c r="F440" s="1423"/>
      <c r="G440" s="1423"/>
      <c r="H440" s="1423"/>
      <c r="I440" s="1423"/>
    </row>
    <row r="441" spans="4:9" ht="15">
      <c r="D441" s="1423"/>
      <c r="E441" s="1423"/>
      <c r="F441" s="1423"/>
      <c r="G441" s="1423"/>
      <c r="H441" s="1423"/>
      <c r="I441" s="1423"/>
    </row>
    <row r="442" spans="4:9" ht="15">
      <c r="D442" s="1423"/>
      <c r="E442" s="1423"/>
      <c r="F442" s="1423"/>
      <c r="G442" s="1423"/>
      <c r="H442" s="1423"/>
      <c r="I442" s="1423"/>
    </row>
    <row r="443" spans="4:9" ht="15">
      <c r="D443" s="1423"/>
      <c r="E443" s="1423"/>
      <c r="F443" s="1423"/>
      <c r="G443" s="1423"/>
      <c r="H443" s="1423"/>
      <c r="I443" s="1423"/>
    </row>
    <row r="444" spans="4:9" ht="15">
      <c r="D444" s="1423"/>
      <c r="E444" s="1423"/>
      <c r="F444" s="1423"/>
      <c r="G444" s="1423"/>
      <c r="H444" s="1423"/>
      <c r="I444" s="1423"/>
    </row>
    <row r="445" spans="4:9" ht="15">
      <c r="D445" s="1423"/>
      <c r="E445" s="1423"/>
      <c r="F445" s="1423"/>
      <c r="G445" s="1423"/>
      <c r="H445" s="1423"/>
      <c r="I445" s="1423"/>
    </row>
    <row r="446" spans="4:9" ht="15">
      <c r="D446" s="1423"/>
      <c r="E446" s="1423"/>
      <c r="F446" s="1423"/>
      <c r="G446" s="1423"/>
      <c r="H446" s="1423"/>
      <c r="I446" s="1423"/>
    </row>
    <row r="447" spans="4:9" ht="15">
      <c r="D447" s="1423"/>
      <c r="E447" s="1423"/>
      <c r="F447" s="1423"/>
      <c r="G447" s="1423"/>
      <c r="H447" s="1423"/>
      <c r="I447" s="1423"/>
    </row>
    <row r="448" spans="4:9" ht="15">
      <c r="D448" s="1423"/>
      <c r="E448" s="1423"/>
      <c r="F448" s="1423"/>
      <c r="G448" s="1423"/>
      <c r="H448" s="1423"/>
      <c r="I448" s="1423"/>
    </row>
    <row r="449" spans="4:9" ht="15">
      <c r="D449" s="1423"/>
      <c r="E449" s="1423"/>
      <c r="F449" s="1423"/>
      <c r="G449" s="1423"/>
      <c r="H449" s="1423"/>
      <c r="I449" s="1423"/>
    </row>
    <row r="450" spans="4:9" ht="15">
      <c r="D450" s="1423"/>
      <c r="E450" s="1423"/>
      <c r="F450" s="1423"/>
      <c r="G450" s="1423"/>
      <c r="H450" s="1423"/>
      <c r="I450" s="1423"/>
    </row>
    <row r="451" spans="4:9" ht="15">
      <c r="D451" s="1423"/>
      <c r="E451" s="1423"/>
      <c r="F451" s="1423"/>
      <c r="G451" s="1423"/>
      <c r="H451" s="1423"/>
      <c r="I451" s="1423"/>
    </row>
    <row r="452" spans="4:9" ht="15">
      <c r="D452" s="1423"/>
      <c r="E452" s="1423"/>
      <c r="F452" s="1423"/>
      <c r="G452" s="1423"/>
      <c r="H452" s="1423"/>
      <c r="I452" s="1423"/>
    </row>
    <row r="453" spans="4:9" ht="15">
      <c r="D453" s="1423"/>
      <c r="E453" s="1423"/>
      <c r="F453" s="1423"/>
      <c r="G453" s="1423"/>
      <c r="H453" s="1423"/>
      <c r="I453" s="1423"/>
    </row>
    <row r="454" spans="4:9" ht="15">
      <c r="D454" s="1423"/>
      <c r="E454" s="1423"/>
      <c r="F454" s="1423"/>
      <c r="G454" s="1423"/>
      <c r="H454" s="1423"/>
      <c r="I454" s="1423"/>
    </row>
    <row r="455" spans="4:9" ht="15">
      <c r="D455" s="1423"/>
      <c r="E455" s="1423"/>
      <c r="F455" s="1423"/>
      <c r="G455" s="1423"/>
      <c r="H455" s="1423"/>
      <c r="I455" s="1423"/>
    </row>
    <row r="456" spans="4:9" ht="15">
      <c r="D456" s="1423"/>
      <c r="E456" s="1423"/>
      <c r="F456" s="1423"/>
      <c r="G456" s="1423"/>
      <c r="H456" s="1423"/>
      <c r="I456" s="1423"/>
    </row>
    <row r="457" spans="4:9" ht="15">
      <c r="D457" s="1423"/>
      <c r="E457" s="1423"/>
      <c r="F457" s="1423"/>
      <c r="G457" s="1423"/>
      <c r="H457" s="1423"/>
      <c r="I457" s="1423"/>
    </row>
    <row r="458" spans="4:9" ht="15">
      <c r="D458" s="1423"/>
      <c r="E458" s="1423"/>
      <c r="F458" s="1423"/>
      <c r="G458" s="1423"/>
      <c r="H458" s="1423"/>
      <c r="I458" s="1423"/>
    </row>
    <row r="459" spans="4:9" ht="15">
      <c r="D459" s="1423"/>
      <c r="E459" s="1423"/>
      <c r="F459" s="1423"/>
      <c r="G459" s="1423"/>
      <c r="H459" s="1423"/>
      <c r="I459" s="1423"/>
    </row>
    <row r="460" spans="4:9" ht="15">
      <c r="D460" s="1423"/>
      <c r="E460" s="1423"/>
      <c r="F460" s="1423"/>
      <c r="G460" s="1423"/>
      <c r="H460" s="1423"/>
      <c r="I460" s="1423"/>
    </row>
    <row r="461" spans="4:9" ht="15">
      <c r="D461" s="1423"/>
      <c r="E461" s="1423"/>
      <c r="F461" s="1423"/>
      <c r="G461" s="1423"/>
      <c r="H461" s="1423"/>
      <c r="I461" s="1423"/>
    </row>
    <row r="462" spans="4:9" ht="15">
      <c r="D462" s="1423"/>
      <c r="E462" s="1423"/>
      <c r="F462" s="1423"/>
      <c r="G462" s="1423"/>
      <c r="H462" s="1423"/>
      <c r="I462" s="1423"/>
    </row>
    <row r="463" spans="4:9" ht="15">
      <c r="D463" s="1423"/>
      <c r="E463" s="1423"/>
      <c r="F463" s="1423"/>
      <c r="G463" s="1423"/>
      <c r="H463" s="1423"/>
      <c r="I463" s="1423"/>
    </row>
    <row r="464" spans="4:9" ht="15">
      <c r="D464" s="1423"/>
      <c r="E464" s="1423"/>
      <c r="F464" s="1423"/>
      <c r="G464" s="1423"/>
      <c r="H464" s="1423"/>
      <c r="I464" s="1423"/>
    </row>
    <row r="465" spans="4:9" ht="15">
      <c r="D465" s="1423"/>
      <c r="E465" s="1423"/>
      <c r="F465" s="1423"/>
      <c r="G465" s="1423"/>
      <c r="H465" s="1423"/>
      <c r="I465" s="1423"/>
    </row>
    <row r="466" spans="4:9" ht="15">
      <c r="D466" s="1423"/>
      <c r="E466" s="1423"/>
      <c r="F466" s="1423"/>
      <c r="G466" s="1423"/>
      <c r="H466" s="1423"/>
      <c r="I466" s="1423"/>
    </row>
    <row r="467" spans="4:9" ht="15">
      <c r="D467" s="1423"/>
      <c r="E467" s="1423"/>
      <c r="F467" s="1423"/>
      <c r="G467" s="1423"/>
      <c r="H467" s="1423"/>
      <c r="I467" s="1423"/>
    </row>
    <row r="468" spans="4:9" ht="15">
      <c r="D468" s="1423"/>
      <c r="E468" s="1423"/>
      <c r="F468" s="1423"/>
      <c r="G468" s="1423"/>
      <c r="H468" s="1423"/>
      <c r="I468" s="1423"/>
    </row>
    <row r="469" spans="4:9" ht="15">
      <c r="D469" s="1423"/>
      <c r="E469" s="1423"/>
      <c r="F469" s="1423"/>
      <c r="G469" s="1423"/>
      <c r="H469" s="1423"/>
      <c r="I469" s="1423"/>
    </row>
    <row r="470" spans="4:9" ht="15">
      <c r="D470" s="1423"/>
      <c r="E470" s="1423"/>
      <c r="F470" s="1423"/>
      <c r="G470" s="1423"/>
      <c r="H470" s="1423"/>
      <c r="I470" s="1423"/>
    </row>
    <row r="471" spans="4:9" ht="15">
      <c r="D471" s="1423"/>
      <c r="E471" s="1423"/>
      <c r="F471" s="1423"/>
      <c r="G471" s="1423"/>
      <c r="H471" s="1423"/>
      <c r="I471" s="1423"/>
    </row>
    <row r="472" spans="4:9" ht="15">
      <c r="D472" s="1423"/>
      <c r="E472" s="1423"/>
      <c r="F472" s="1423"/>
      <c r="G472" s="1423"/>
      <c r="H472" s="1423"/>
      <c r="I472" s="1423"/>
    </row>
    <row r="473" spans="4:9" ht="15">
      <c r="D473" s="1423"/>
      <c r="E473" s="1423"/>
      <c r="F473" s="1423"/>
      <c r="G473" s="1423"/>
      <c r="H473" s="1423"/>
      <c r="I473" s="1423"/>
    </row>
    <row r="474" spans="4:9" ht="15">
      <c r="D474" s="1423"/>
      <c r="E474" s="1423"/>
      <c r="F474" s="1423"/>
      <c r="G474" s="1423"/>
      <c r="H474" s="1423"/>
      <c r="I474" s="1423"/>
    </row>
    <row r="475" spans="4:9" ht="15">
      <c r="D475" s="1423"/>
      <c r="E475" s="1423"/>
      <c r="F475" s="1423"/>
      <c r="G475" s="1423"/>
      <c r="H475" s="1423"/>
      <c r="I475" s="1423"/>
    </row>
    <row r="476" spans="4:9" ht="15">
      <c r="D476" s="1423"/>
      <c r="E476" s="1423"/>
      <c r="F476" s="1423"/>
      <c r="G476" s="1423"/>
      <c r="H476" s="1423"/>
      <c r="I476" s="1423"/>
    </row>
    <row r="477" spans="4:9" ht="15">
      <c r="D477" s="1423"/>
      <c r="E477" s="1423"/>
      <c r="F477" s="1423"/>
      <c r="G477" s="1423"/>
      <c r="H477" s="1423"/>
      <c r="I477" s="1423"/>
    </row>
    <row r="478" spans="4:9" ht="15">
      <c r="D478" s="1423"/>
      <c r="E478" s="1423"/>
      <c r="F478" s="1423"/>
      <c r="G478" s="1423"/>
      <c r="H478" s="1423"/>
      <c r="I478" s="1423"/>
    </row>
    <row r="479" spans="4:9" ht="15">
      <c r="D479" s="1423"/>
      <c r="E479" s="1423"/>
      <c r="F479" s="1423"/>
      <c r="G479" s="1423"/>
      <c r="H479" s="1423"/>
      <c r="I479" s="1423"/>
    </row>
    <row r="480" spans="4:9" ht="15">
      <c r="D480" s="1423"/>
      <c r="E480" s="1423"/>
      <c r="F480" s="1423"/>
      <c r="G480" s="1423"/>
      <c r="H480" s="1423"/>
      <c r="I480" s="1423"/>
    </row>
    <row r="481" spans="4:9" ht="15">
      <c r="D481" s="1423"/>
      <c r="E481" s="1423"/>
      <c r="F481" s="1423"/>
      <c r="G481" s="1423"/>
      <c r="H481" s="1423"/>
      <c r="I481" s="1423"/>
    </row>
    <row r="482" spans="4:9" ht="15">
      <c r="D482" s="1423"/>
      <c r="E482" s="1423"/>
      <c r="F482" s="1423"/>
      <c r="G482" s="1423"/>
      <c r="H482" s="1423"/>
      <c r="I482" s="1423"/>
    </row>
    <row r="483" spans="4:9" ht="15">
      <c r="D483" s="1423"/>
      <c r="E483" s="1423"/>
      <c r="F483" s="1423"/>
      <c r="G483" s="1423"/>
      <c r="H483" s="1423"/>
      <c r="I483" s="1423"/>
    </row>
    <row r="484" spans="4:9" ht="15">
      <c r="D484" s="1423"/>
      <c r="E484" s="1423"/>
      <c r="F484" s="1423"/>
      <c r="G484" s="1423"/>
      <c r="H484" s="1423"/>
      <c r="I484" s="1423"/>
    </row>
    <row r="485" spans="4:9" ht="15">
      <c r="D485" s="1423"/>
      <c r="E485" s="1423"/>
      <c r="F485" s="1423"/>
      <c r="G485" s="1423"/>
      <c r="H485" s="1423"/>
      <c r="I485" s="1423"/>
    </row>
    <row r="486" spans="4:9" ht="15">
      <c r="D486" s="1423"/>
      <c r="E486" s="1423"/>
      <c r="F486" s="1423"/>
      <c r="G486" s="1423"/>
      <c r="H486" s="1423"/>
      <c r="I486" s="1423"/>
    </row>
    <row r="487" spans="4:9" ht="15">
      <c r="D487" s="1423"/>
      <c r="E487" s="1423"/>
      <c r="F487" s="1423"/>
      <c r="G487" s="1423"/>
      <c r="H487" s="1423"/>
      <c r="I487" s="1423"/>
    </row>
    <row r="488" spans="4:9" ht="15">
      <c r="D488" s="1423"/>
      <c r="E488" s="1423"/>
      <c r="F488" s="1423"/>
      <c r="G488" s="1423"/>
      <c r="H488" s="1423"/>
      <c r="I488" s="1423"/>
    </row>
    <row r="489" spans="4:9" ht="15">
      <c r="D489" s="1423"/>
      <c r="E489" s="1423"/>
      <c r="F489" s="1423"/>
      <c r="G489" s="1423"/>
      <c r="H489" s="1423"/>
      <c r="I489" s="1423"/>
    </row>
    <row r="490" spans="4:9" ht="15">
      <c r="D490" s="1423"/>
      <c r="E490" s="1423"/>
      <c r="F490" s="1423"/>
      <c r="G490" s="1423"/>
      <c r="H490" s="1423"/>
      <c r="I490" s="1423"/>
    </row>
    <row r="491" spans="4:9" ht="15">
      <c r="D491" s="1423"/>
      <c r="E491" s="1423"/>
      <c r="F491" s="1423"/>
      <c r="G491" s="1423"/>
      <c r="H491" s="1423"/>
      <c r="I491" s="1423"/>
    </row>
    <row r="492" spans="4:9" ht="15">
      <c r="D492" s="1423"/>
      <c r="E492" s="1423"/>
      <c r="F492" s="1423"/>
      <c r="G492" s="1423"/>
      <c r="H492" s="1423"/>
      <c r="I492" s="1423"/>
    </row>
    <row r="493" spans="4:9" ht="15">
      <c r="D493" s="1423"/>
      <c r="E493" s="1423"/>
      <c r="F493" s="1423"/>
      <c r="G493" s="1423"/>
      <c r="H493" s="1423"/>
      <c r="I493" s="1423"/>
    </row>
    <row r="494" spans="4:9" ht="15">
      <c r="D494" s="1423"/>
      <c r="E494" s="1423"/>
      <c r="F494" s="1423"/>
      <c r="G494" s="1423"/>
      <c r="H494" s="1423"/>
      <c r="I494" s="1423"/>
    </row>
    <row r="495" spans="4:9" ht="15">
      <c r="D495" s="1423"/>
      <c r="E495" s="1423"/>
      <c r="F495" s="1423"/>
      <c r="G495" s="1423"/>
      <c r="H495" s="1423"/>
      <c r="I495" s="1423"/>
    </row>
    <row r="496" spans="4:9" ht="15">
      <c r="D496" s="1423"/>
      <c r="E496" s="1423"/>
      <c r="F496" s="1423"/>
      <c r="G496" s="1423"/>
      <c r="H496" s="1423"/>
      <c r="I496" s="1423"/>
    </row>
    <row r="497" spans="4:9" ht="15">
      <c r="D497" s="1423"/>
      <c r="E497" s="1423"/>
      <c r="F497" s="1423"/>
      <c r="G497" s="1423"/>
      <c r="H497" s="1423"/>
      <c r="I497" s="1423"/>
    </row>
    <row r="498" spans="4:9" ht="15">
      <c r="D498" s="1423"/>
      <c r="E498" s="1423"/>
      <c r="F498" s="1423"/>
      <c r="G498" s="1423"/>
      <c r="H498" s="1423"/>
      <c r="I498" s="1423"/>
    </row>
    <row r="499" spans="4:9" ht="15">
      <c r="D499" s="1423"/>
      <c r="E499" s="1423"/>
      <c r="F499" s="1423"/>
      <c r="G499" s="1423"/>
      <c r="H499" s="1423"/>
      <c r="I499" s="1423"/>
    </row>
    <row r="500" spans="4:9" ht="15">
      <c r="D500" s="1423"/>
      <c r="E500" s="1423"/>
      <c r="F500" s="1423"/>
      <c r="G500" s="1423"/>
      <c r="H500" s="1423"/>
      <c r="I500" s="1423"/>
    </row>
    <row r="501" spans="4:9" ht="15">
      <c r="D501" s="1423"/>
      <c r="E501" s="1423"/>
      <c r="F501" s="1423"/>
      <c r="G501" s="1423"/>
      <c r="H501" s="1423"/>
      <c r="I501" s="1423"/>
    </row>
    <row r="502" spans="4:9" ht="15">
      <c r="D502" s="1423"/>
      <c r="E502" s="1423"/>
      <c r="F502" s="1423"/>
      <c r="G502" s="1423"/>
      <c r="H502" s="1423"/>
      <c r="I502" s="1423"/>
    </row>
    <row r="503" spans="4:9" ht="15">
      <c r="D503" s="1423"/>
      <c r="E503" s="1423"/>
      <c r="F503" s="1423"/>
      <c r="G503" s="1423"/>
      <c r="H503" s="1423"/>
      <c r="I503" s="1423"/>
    </row>
    <row r="504" spans="4:9" ht="15">
      <c r="D504" s="1423"/>
      <c r="E504" s="1423"/>
      <c r="F504" s="1423"/>
      <c r="G504" s="1423"/>
      <c r="H504" s="1423"/>
      <c r="I504" s="1423"/>
    </row>
    <row r="505" spans="4:9" ht="15">
      <c r="D505" s="1423"/>
      <c r="E505" s="1423"/>
      <c r="F505" s="1423"/>
      <c r="G505" s="1423"/>
      <c r="H505" s="1423"/>
      <c r="I505" s="1423"/>
    </row>
    <row r="506" spans="4:9" ht="15">
      <c r="D506" s="1423"/>
      <c r="E506" s="1423"/>
      <c r="F506" s="1423"/>
      <c r="G506" s="1423"/>
      <c r="H506" s="1423"/>
      <c r="I506" s="1423"/>
    </row>
    <row r="507" spans="4:9" ht="15">
      <c r="D507" s="1423"/>
      <c r="E507" s="1423"/>
      <c r="F507" s="1423"/>
      <c r="G507" s="1423"/>
      <c r="H507" s="1423"/>
      <c r="I507" s="1423"/>
    </row>
    <row r="508" spans="4:9" ht="15">
      <c r="D508" s="1423"/>
      <c r="E508" s="1423"/>
      <c r="F508" s="1423"/>
      <c r="G508" s="1423"/>
      <c r="H508" s="1423"/>
      <c r="I508" s="1423"/>
    </row>
    <row r="509" spans="4:9" ht="15">
      <c r="D509" s="1423"/>
      <c r="E509" s="1423"/>
      <c r="F509" s="1423"/>
      <c r="G509" s="1423"/>
      <c r="H509" s="1423"/>
      <c r="I509" s="1423"/>
    </row>
    <row r="510" spans="4:9" ht="15">
      <c r="D510" s="1423"/>
      <c r="E510" s="1423"/>
      <c r="F510" s="1423"/>
      <c r="G510" s="1423"/>
      <c r="H510" s="1423"/>
      <c r="I510" s="1423"/>
    </row>
    <row r="511" spans="4:9" ht="15">
      <c r="D511" s="1423"/>
      <c r="E511" s="1423"/>
      <c r="F511" s="1423"/>
      <c r="G511" s="1423"/>
      <c r="H511" s="1423"/>
      <c r="I511" s="1423"/>
    </row>
    <row r="512" spans="4:9" ht="15">
      <c r="D512" s="1423"/>
      <c r="E512" s="1423"/>
      <c r="F512" s="1423"/>
      <c r="G512" s="1423"/>
      <c r="H512" s="1423"/>
      <c r="I512" s="1423"/>
    </row>
    <row r="513" spans="4:9" ht="15">
      <c r="D513" s="1423"/>
      <c r="E513" s="1423"/>
      <c r="F513" s="1423"/>
      <c r="G513" s="1423"/>
      <c r="H513" s="1423"/>
      <c r="I513" s="1423"/>
    </row>
    <row r="514" spans="4:9" ht="15">
      <c r="D514" s="1423"/>
      <c r="E514" s="1423"/>
      <c r="F514" s="1423"/>
      <c r="G514" s="1423"/>
      <c r="H514" s="1423"/>
      <c r="I514" s="1423"/>
    </row>
    <row r="515" spans="4:9" ht="15">
      <c r="D515" s="1423"/>
      <c r="E515" s="1423"/>
      <c r="F515" s="1423"/>
      <c r="G515" s="1423"/>
      <c r="H515" s="1423"/>
      <c r="I515" s="1423"/>
    </row>
    <row r="516" spans="4:9" ht="15">
      <c r="D516" s="1423"/>
      <c r="E516" s="1423"/>
      <c r="F516" s="1423"/>
      <c r="G516" s="1423"/>
      <c r="H516" s="1423"/>
      <c r="I516" s="1423"/>
    </row>
    <row r="517" spans="4:9" ht="15">
      <c r="D517" s="1423"/>
      <c r="E517" s="1423"/>
      <c r="F517" s="1423"/>
      <c r="G517" s="1423"/>
      <c r="H517" s="1423"/>
      <c r="I517" s="1423"/>
    </row>
    <row r="518" spans="4:9" ht="15">
      <c r="D518" s="1423"/>
      <c r="E518" s="1423"/>
      <c r="F518" s="1423"/>
      <c r="G518" s="1423"/>
      <c r="H518" s="1423"/>
      <c r="I518" s="1423"/>
    </row>
    <row r="519" spans="4:9" ht="15">
      <c r="D519" s="1423"/>
      <c r="E519" s="1423"/>
      <c r="F519" s="1423"/>
      <c r="G519" s="1423"/>
      <c r="H519" s="1423"/>
      <c r="I519" s="1423"/>
    </row>
    <row r="520" spans="4:9" ht="15">
      <c r="D520" s="1423"/>
      <c r="E520" s="1423"/>
      <c r="F520" s="1423"/>
      <c r="G520" s="1423"/>
      <c r="H520" s="1423"/>
      <c r="I520" s="1423"/>
    </row>
    <row r="521" spans="4:9" ht="15">
      <c r="D521" s="1423"/>
      <c r="E521" s="1423"/>
      <c r="F521" s="1423"/>
      <c r="G521" s="1423"/>
      <c r="H521" s="1423"/>
      <c r="I521" s="1423"/>
    </row>
    <row r="522" spans="4:9" ht="15">
      <c r="D522" s="1423"/>
      <c r="E522" s="1423"/>
      <c r="F522" s="1423"/>
      <c r="G522" s="1423"/>
      <c r="H522" s="1423"/>
      <c r="I522" s="1423"/>
    </row>
    <row r="523" spans="4:9" ht="15">
      <c r="D523" s="1423"/>
      <c r="E523" s="1423"/>
      <c r="F523" s="1423"/>
      <c r="G523" s="1423"/>
      <c r="H523" s="1423"/>
      <c r="I523" s="1423"/>
    </row>
    <row r="524" spans="4:9" ht="15">
      <c r="D524" s="1423"/>
      <c r="E524" s="1423"/>
      <c r="F524" s="1423"/>
      <c r="G524" s="1423"/>
      <c r="H524" s="1423"/>
      <c r="I524" s="1423"/>
    </row>
    <row r="525" spans="4:9" ht="15">
      <c r="D525" s="1423"/>
      <c r="E525" s="1423"/>
      <c r="F525" s="1423"/>
      <c r="G525" s="1423"/>
      <c r="H525" s="1423"/>
      <c r="I525" s="1423"/>
    </row>
    <row r="526" spans="4:9" ht="15">
      <c r="D526" s="1423"/>
      <c r="E526" s="1423"/>
      <c r="F526" s="1423"/>
      <c r="G526" s="1423"/>
      <c r="H526" s="1423"/>
      <c r="I526" s="1423"/>
    </row>
    <row r="527" spans="4:9" ht="15">
      <c r="D527" s="1423"/>
      <c r="E527" s="1423"/>
      <c r="F527" s="1423"/>
      <c r="G527" s="1423"/>
      <c r="H527" s="1423"/>
      <c r="I527" s="1423"/>
    </row>
    <row r="528" spans="4:9" ht="15">
      <c r="D528" s="1423"/>
      <c r="E528" s="1423"/>
      <c r="F528" s="1423"/>
      <c r="G528" s="1423"/>
      <c r="H528" s="1423"/>
      <c r="I528" s="1423"/>
    </row>
    <row r="529" spans="4:9" ht="15">
      <c r="D529" s="1423"/>
      <c r="E529" s="1423"/>
      <c r="F529" s="1423"/>
      <c r="G529" s="1423"/>
      <c r="H529" s="1423"/>
      <c r="I529" s="1423"/>
    </row>
    <row r="530" spans="4:9" ht="15">
      <c r="D530" s="1423"/>
      <c r="E530" s="1423"/>
      <c r="F530" s="1423"/>
      <c r="G530" s="1423"/>
      <c r="H530" s="1423"/>
      <c r="I530" s="1423"/>
    </row>
    <row r="531" spans="4:9" ht="15">
      <c r="D531" s="1423"/>
      <c r="E531" s="1423"/>
      <c r="F531" s="1423"/>
      <c r="G531" s="1423"/>
      <c r="H531" s="1423"/>
      <c r="I531" s="1423"/>
    </row>
    <row r="532" spans="4:9" ht="15">
      <c r="D532" s="1423"/>
      <c r="E532" s="1423"/>
      <c r="F532" s="1423"/>
      <c r="G532" s="1423"/>
      <c r="H532" s="1423"/>
      <c r="I532" s="1423"/>
    </row>
    <row r="533" spans="4:9" ht="15">
      <c r="D533" s="1423"/>
      <c r="E533" s="1423"/>
      <c r="F533" s="1423"/>
      <c r="G533" s="1423"/>
      <c r="H533" s="1423"/>
      <c r="I533" s="1423"/>
    </row>
    <row r="534" spans="4:9" ht="15">
      <c r="D534" s="1423"/>
      <c r="E534" s="1423"/>
      <c r="F534" s="1423"/>
      <c r="G534" s="1423"/>
      <c r="H534" s="1423"/>
      <c r="I534" s="1423"/>
    </row>
    <row r="535" spans="4:9" ht="15">
      <c r="D535" s="1423"/>
      <c r="E535" s="1423"/>
      <c r="F535" s="1423"/>
      <c r="G535" s="1423"/>
      <c r="H535" s="1423"/>
      <c r="I535" s="1423"/>
    </row>
    <row r="536" spans="4:9" ht="15">
      <c r="D536" s="1423"/>
      <c r="E536" s="1423"/>
      <c r="F536" s="1423"/>
      <c r="G536" s="1423"/>
      <c r="H536" s="1423"/>
      <c r="I536" s="1423"/>
    </row>
    <row r="537" spans="4:9" ht="15">
      <c r="D537" s="1423"/>
      <c r="E537" s="1423"/>
      <c r="F537" s="1423"/>
      <c r="G537" s="1423"/>
      <c r="H537" s="1423"/>
      <c r="I537" s="1423"/>
    </row>
    <row r="538" spans="4:9" ht="15">
      <c r="D538" s="1423"/>
      <c r="E538" s="1423"/>
      <c r="F538" s="1423"/>
      <c r="G538" s="1423"/>
      <c r="H538" s="1423"/>
      <c r="I538" s="1423"/>
    </row>
    <row r="539" spans="4:9" ht="15">
      <c r="D539" s="1423"/>
      <c r="E539" s="1423"/>
      <c r="F539" s="1423"/>
      <c r="G539" s="1423"/>
      <c r="H539" s="1423"/>
      <c r="I539" s="1423"/>
    </row>
    <row r="540" spans="4:9" ht="15">
      <c r="D540" s="1423"/>
      <c r="E540" s="1423"/>
      <c r="F540" s="1423"/>
      <c r="G540" s="1423"/>
      <c r="H540" s="1423"/>
      <c r="I540" s="1423"/>
    </row>
    <row r="541" spans="4:9" ht="15">
      <c r="D541" s="1423"/>
      <c r="E541" s="1423"/>
      <c r="F541" s="1423"/>
      <c r="G541" s="1423"/>
      <c r="H541" s="1423"/>
      <c r="I541" s="1423"/>
    </row>
    <row r="542" spans="4:9" ht="15">
      <c r="D542" s="1423"/>
      <c r="E542" s="1423"/>
      <c r="F542" s="1423"/>
      <c r="G542" s="1423"/>
      <c r="H542" s="1423"/>
      <c r="I542" s="1423"/>
    </row>
    <row r="543" spans="4:9" ht="15">
      <c r="D543" s="1423"/>
      <c r="E543" s="1423"/>
      <c r="F543" s="1423"/>
      <c r="G543" s="1423"/>
      <c r="H543" s="1423"/>
      <c r="I543" s="1423"/>
    </row>
    <row r="544" spans="4:9" ht="15">
      <c r="D544" s="1423"/>
      <c r="E544" s="1423"/>
      <c r="F544" s="1423"/>
      <c r="G544" s="1423"/>
      <c r="H544" s="1423"/>
      <c r="I544" s="1423"/>
    </row>
    <row r="545" spans="4:9" ht="15">
      <c r="D545" s="1423"/>
      <c r="E545" s="1423"/>
      <c r="F545" s="1423"/>
      <c r="G545" s="1423"/>
      <c r="H545" s="1423"/>
      <c r="I545" s="1423"/>
    </row>
    <row r="546" spans="4:9" ht="15">
      <c r="D546" s="1423"/>
      <c r="E546" s="1423"/>
      <c r="F546" s="1423"/>
      <c r="G546" s="1423"/>
      <c r="H546" s="1423"/>
      <c r="I546" s="1423"/>
    </row>
    <row r="547" spans="4:9" ht="15">
      <c r="D547" s="1423"/>
      <c r="E547" s="1423"/>
      <c r="F547" s="1423"/>
      <c r="G547" s="1423"/>
      <c r="H547" s="1423"/>
      <c r="I547" s="1423"/>
    </row>
    <row r="548" spans="4:9" ht="15">
      <c r="D548" s="1423"/>
      <c r="E548" s="1423"/>
      <c r="F548" s="1423"/>
      <c r="G548" s="1423"/>
      <c r="H548" s="1423"/>
      <c r="I548" s="1423"/>
    </row>
    <row r="549" spans="4:9" ht="15">
      <c r="D549" s="1423"/>
      <c r="E549" s="1423"/>
      <c r="F549" s="1423"/>
      <c r="G549" s="1423"/>
      <c r="H549" s="1423"/>
      <c r="I549" s="1423"/>
    </row>
    <row r="550" spans="4:9" ht="15">
      <c r="D550" s="1423"/>
      <c r="E550" s="1423"/>
      <c r="F550" s="1423"/>
      <c r="G550" s="1423"/>
      <c r="H550" s="1423"/>
      <c r="I550" s="1423"/>
    </row>
    <row r="551" spans="4:9" ht="15">
      <c r="D551" s="1423"/>
      <c r="E551" s="1423"/>
      <c r="F551" s="1423"/>
      <c r="G551" s="1423"/>
      <c r="H551" s="1423"/>
      <c r="I551" s="1423"/>
    </row>
    <row r="552" spans="4:9" ht="15">
      <c r="D552" s="1423"/>
      <c r="E552" s="1423"/>
      <c r="F552" s="1423"/>
      <c r="G552" s="1423"/>
      <c r="H552" s="1423"/>
      <c r="I552" s="1423"/>
    </row>
    <row r="553" spans="4:9" ht="15">
      <c r="D553" s="1423"/>
      <c r="E553" s="1423"/>
      <c r="F553" s="1423"/>
      <c r="G553" s="1423"/>
      <c r="H553" s="1423"/>
      <c r="I553" s="1423"/>
    </row>
    <row r="554" spans="4:9" ht="15">
      <c r="D554" s="1423"/>
      <c r="E554" s="1423"/>
      <c r="F554" s="1423"/>
      <c r="G554" s="1423"/>
      <c r="H554" s="1423"/>
      <c r="I554" s="1423"/>
    </row>
    <row r="555" spans="4:9" ht="15">
      <c r="D555" s="1423"/>
      <c r="E555" s="1423"/>
      <c r="F555" s="1423"/>
      <c r="G555" s="1423"/>
      <c r="H555" s="1423"/>
      <c r="I555" s="1423"/>
    </row>
    <row r="556" spans="4:9" ht="15">
      <c r="D556" s="1423"/>
      <c r="E556" s="1423"/>
      <c r="F556" s="1423"/>
      <c r="G556" s="1423"/>
      <c r="H556" s="1423"/>
      <c r="I556" s="1423"/>
    </row>
    <row r="557" spans="4:9" ht="15">
      <c r="D557" s="1423"/>
      <c r="E557" s="1423"/>
      <c r="F557" s="1423"/>
      <c r="G557" s="1423"/>
      <c r="H557" s="1423"/>
      <c r="I557" s="1423"/>
    </row>
    <row r="558" spans="4:9" ht="15">
      <c r="D558" s="1423"/>
      <c r="E558" s="1423"/>
      <c r="F558" s="1423"/>
      <c r="G558" s="1423"/>
      <c r="H558" s="1423"/>
      <c r="I558" s="1423"/>
    </row>
    <row r="559" spans="4:9" ht="15">
      <c r="D559" s="1423"/>
      <c r="E559" s="1423"/>
      <c r="F559" s="1423"/>
      <c r="G559" s="1423"/>
      <c r="H559" s="1423"/>
      <c r="I559" s="1423"/>
    </row>
    <row r="560" spans="4:9" ht="15">
      <c r="D560" s="1423"/>
      <c r="E560" s="1423"/>
      <c r="F560" s="1423"/>
      <c r="G560" s="1423"/>
      <c r="H560" s="1423"/>
      <c r="I560" s="1423"/>
    </row>
    <row r="561" spans="4:9" ht="15">
      <c r="D561" s="1423"/>
      <c r="E561" s="1423"/>
      <c r="F561" s="1423"/>
      <c r="G561" s="1423"/>
      <c r="H561" s="1423"/>
      <c r="I561" s="1423"/>
    </row>
    <row r="562" spans="4:9" ht="15">
      <c r="D562" s="1423"/>
      <c r="E562" s="1423"/>
      <c r="F562" s="1423"/>
      <c r="G562" s="1423"/>
      <c r="H562" s="1423"/>
      <c r="I562" s="1423"/>
    </row>
    <row r="563" spans="4:9" ht="15">
      <c r="D563" s="1423"/>
      <c r="E563" s="1423"/>
      <c r="F563" s="1423"/>
      <c r="G563" s="1423"/>
      <c r="H563" s="1423"/>
      <c r="I563" s="1423"/>
    </row>
    <row r="564" spans="4:9" ht="15">
      <c r="D564" s="1423"/>
      <c r="E564" s="1423"/>
      <c r="F564" s="1423"/>
      <c r="G564" s="1423"/>
      <c r="H564" s="1423"/>
      <c r="I564" s="1423"/>
    </row>
    <row r="565" spans="4:9" ht="15">
      <c r="D565" s="1423"/>
      <c r="E565" s="1423"/>
      <c r="F565" s="1423"/>
      <c r="G565" s="1423"/>
      <c r="H565" s="1423"/>
      <c r="I565" s="1423"/>
    </row>
    <row r="566" spans="4:9" ht="15">
      <c r="D566" s="1423"/>
      <c r="E566" s="1423"/>
      <c r="F566" s="1423"/>
      <c r="G566" s="1423"/>
      <c r="H566" s="1423"/>
      <c r="I566" s="1423"/>
    </row>
    <row r="567" spans="4:9" ht="15">
      <c r="D567" s="1423"/>
      <c r="E567" s="1423"/>
      <c r="F567" s="1423"/>
      <c r="G567" s="1423"/>
      <c r="H567" s="1423"/>
      <c r="I567" s="1423"/>
    </row>
    <row r="568" spans="4:9" ht="15">
      <c r="D568" s="1423"/>
      <c r="E568" s="1423"/>
      <c r="F568" s="1423"/>
      <c r="G568" s="1423"/>
      <c r="H568" s="1423"/>
      <c r="I568" s="1423"/>
    </row>
    <row r="569" spans="4:9" ht="15">
      <c r="D569" s="1423"/>
      <c r="E569" s="1423"/>
      <c r="F569" s="1423"/>
      <c r="G569" s="1423"/>
      <c r="H569" s="1423"/>
      <c r="I569" s="1423"/>
    </row>
    <row r="570" spans="4:9" ht="15">
      <c r="D570" s="1423"/>
      <c r="E570" s="1423"/>
      <c r="F570" s="1423"/>
      <c r="G570" s="1423"/>
      <c r="H570" s="1423"/>
      <c r="I570" s="1423"/>
    </row>
    <row r="571" spans="4:9" ht="15">
      <c r="D571" s="1423"/>
      <c r="E571" s="1423"/>
      <c r="F571" s="1423"/>
      <c r="G571" s="1423"/>
      <c r="H571" s="1423"/>
      <c r="I571" s="1423"/>
    </row>
    <row r="572" spans="4:9" ht="15">
      <c r="D572" s="1423"/>
      <c r="E572" s="1423"/>
      <c r="F572" s="1423"/>
      <c r="G572" s="1423"/>
      <c r="H572" s="1423"/>
      <c r="I572" s="1423"/>
    </row>
    <row r="573" spans="4:9" ht="15">
      <c r="D573" s="1423"/>
      <c r="E573" s="1423"/>
      <c r="F573" s="1423"/>
      <c r="G573" s="1423"/>
      <c r="H573" s="1423"/>
      <c r="I573" s="1423"/>
    </row>
    <row r="574" spans="4:9" ht="15">
      <c r="D574" s="1423"/>
      <c r="E574" s="1423"/>
      <c r="F574" s="1423"/>
      <c r="G574" s="1423"/>
      <c r="H574" s="1423"/>
      <c r="I574" s="1423"/>
    </row>
    <row r="575" spans="4:9" ht="15">
      <c r="D575" s="1423"/>
      <c r="E575" s="1423"/>
      <c r="F575" s="1423"/>
      <c r="G575" s="1423"/>
      <c r="H575" s="1423"/>
      <c r="I575" s="1423"/>
    </row>
    <row r="576" spans="4:9" ht="15">
      <c r="D576" s="1423"/>
      <c r="E576" s="1423"/>
      <c r="F576" s="1423"/>
      <c r="G576" s="1423"/>
      <c r="H576" s="1423"/>
      <c r="I576" s="1423"/>
    </row>
    <row r="577" spans="4:9" ht="15">
      <c r="D577" s="1423"/>
      <c r="E577" s="1423"/>
      <c r="F577" s="1423"/>
      <c r="G577" s="1423"/>
      <c r="H577" s="1423"/>
      <c r="I577" s="1423"/>
    </row>
    <row r="578" spans="4:9" ht="15">
      <c r="D578" s="1423"/>
      <c r="E578" s="1423"/>
      <c r="F578" s="1423"/>
      <c r="G578" s="1423"/>
      <c r="H578" s="1423"/>
      <c r="I578" s="1423"/>
    </row>
    <row r="579" spans="4:9" ht="15">
      <c r="D579" s="1423"/>
      <c r="E579" s="1423"/>
      <c r="F579" s="1423"/>
      <c r="G579" s="1423"/>
      <c r="H579" s="1423"/>
      <c r="I579" s="1423"/>
    </row>
    <row r="580" spans="4:9" ht="15">
      <c r="D580" s="1423"/>
      <c r="E580" s="1423"/>
      <c r="F580" s="1423"/>
      <c r="G580" s="1423"/>
      <c r="H580" s="1423"/>
      <c r="I580" s="1423"/>
    </row>
    <row r="581" spans="4:9" ht="15">
      <c r="D581" s="1423"/>
      <c r="E581" s="1423"/>
      <c r="F581" s="1423"/>
      <c r="G581" s="1423"/>
      <c r="H581" s="1423"/>
      <c r="I581" s="1423"/>
    </row>
    <row r="582" spans="4:9" ht="15">
      <c r="D582" s="1423"/>
      <c r="E582" s="1423"/>
      <c r="F582" s="1423"/>
      <c r="G582" s="1423"/>
      <c r="H582" s="1423"/>
      <c r="I582" s="1423"/>
    </row>
    <row r="583" spans="4:9" ht="15">
      <c r="D583" s="1423"/>
      <c r="E583" s="1423"/>
      <c r="F583" s="1423"/>
      <c r="G583" s="1423"/>
      <c r="H583" s="1423"/>
      <c r="I583" s="1423"/>
    </row>
    <row r="584" spans="4:9" ht="15">
      <c r="D584" s="1423"/>
      <c r="E584" s="1423"/>
      <c r="F584" s="1423"/>
      <c r="G584" s="1423"/>
      <c r="H584" s="1423"/>
      <c r="I584" s="1423"/>
    </row>
    <row r="585" spans="4:9" ht="15">
      <c r="D585" s="1423"/>
      <c r="E585" s="1423"/>
      <c r="F585" s="1423"/>
      <c r="G585" s="1423"/>
      <c r="H585" s="1423"/>
      <c r="I585" s="1423"/>
    </row>
    <row r="586" spans="4:9" ht="15">
      <c r="D586" s="1423"/>
      <c r="E586" s="1423"/>
      <c r="F586" s="1423"/>
      <c r="G586" s="1423"/>
      <c r="H586" s="1423"/>
      <c r="I586" s="1423"/>
    </row>
    <row r="587" spans="4:9" ht="15">
      <c r="D587" s="1423"/>
      <c r="E587" s="1423"/>
      <c r="F587" s="1423"/>
      <c r="G587" s="1423"/>
      <c r="H587" s="1423"/>
      <c r="I587" s="1423"/>
    </row>
    <row r="588" spans="4:9" ht="15">
      <c r="D588" s="1423"/>
      <c r="E588" s="1423"/>
      <c r="F588" s="1423"/>
      <c r="G588" s="1423"/>
      <c r="H588" s="1423"/>
      <c r="I588" s="1423"/>
    </row>
    <row r="589" spans="4:9" ht="15">
      <c r="D589" s="1423"/>
      <c r="E589" s="1423"/>
      <c r="F589" s="1423"/>
      <c r="G589" s="1423"/>
      <c r="H589" s="1423"/>
      <c r="I589" s="1423"/>
    </row>
    <row r="590" spans="4:9" ht="15">
      <c r="D590" s="1423"/>
      <c r="E590" s="1423"/>
      <c r="F590" s="1423"/>
      <c r="G590" s="1423"/>
      <c r="H590" s="1423"/>
      <c r="I590" s="1423"/>
    </row>
    <row r="591" spans="4:9" ht="15">
      <c r="D591" s="1423"/>
      <c r="E591" s="1423"/>
      <c r="F591" s="1423"/>
      <c r="G591" s="1423"/>
      <c r="H591" s="1423"/>
      <c r="I591" s="1423"/>
    </row>
    <row r="592" spans="4:9" ht="15">
      <c r="D592" s="1423"/>
      <c r="E592" s="1423"/>
      <c r="F592" s="1423"/>
      <c r="G592" s="1423"/>
      <c r="H592" s="1423"/>
      <c r="I592" s="1423"/>
    </row>
    <row r="593" spans="4:9" ht="15">
      <c r="D593" s="1423"/>
      <c r="E593" s="1423"/>
      <c r="F593" s="1423"/>
      <c r="G593" s="1423"/>
      <c r="H593" s="1423"/>
      <c r="I593" s="1423"/>
    </row>
    <row r="594" spans="4:9" ht="15">
      <c r="D594" s="1423"/>
      <c r="E594" s="1423"/>
      <c r="F594" s="1423"/>
      <c r="G594" s="1423"/>
      <c r="H594" s="1423"/>
      <c r="I594" s="1423"/>
    </row>
    <row r="595" spans="4:9" ht="15">
      <c r="D595" s="1423"/>
      <c r="E595" s="1423"/>
      <c r="F595" s="1423"/>
      <c r="G595" s="1423"/>
      <c r="H595" s="1423"/>
      <c r="I595" s="1423"/>
    </row>
    <row r="596" spans="4:9" ht="15">
      <c r="D596" s="1423"/>
      <c r="E596" s="1423"/>
      <c r="F596" s="1423"/>
      <c r="G596" s="1423"/>
      <c r="H596" s="1423"/>
      <c r="I596" s="1423"/>
    </row>
    <row r="597" spans="4:9" ht="15">
      <c r="D597" s="1423"/>
      <c r="E597" s="1423"/>
      <c r="F597" s="1423"/>
      <c r="G597" s="1423"/>
      <c r="H597" s="1423"/>
      <c r="I597" s="1423"/>
    </row>
    <row r="598" spans="4:9" ht="15">
      <c r="D598" s="1423"/>
      <c r="E598" s="1423"/>
      <c r="F598" s="1423"/>
      <c r="G598" s="1423"/>
      <c r="H598" s="1423"/>
      <c r="I598" s="1423"/>
    </row>
    <row r="599" spans="4:9" ht="15">
      <c r="D599" s="1423"/>
      <c r="E599" s="1423"/>
      <c r="F599" s="1423"/>
      <c r="G599" s="1423"/>
      <c r="H599" s="1423"/>
      <c r="I599" s="1423"/>
    </row>
    <row r="600" spans="4:9" ht="15">
      <c r="D600" s="1423"/>
      <c r="E600" s="1423"/>
      <c r="F600" s="1423"/>
      <c r="G600" s="1423"/>
      <c r="H600" s="1423"/>
      <c r="I600" s="1423"/>
    </row>
    <row r="601" spans="4:9" ht="15">
      <c r="D601" s="1423"/>
      <c r="E601" s="1423"/>
      <c r="F601" s="1423"/>
      <c r="G601" s="1423"/>
      <c r="H601" s="1423"/>
      <c r="I601" s="1423"/>
    </row>
    <row r="602" spans="4:9" ht="15">
      <c r="D602" s="1423"/>
      <c r="E602" s="1423"/>
      <c r="F602" s="1423"/>
      <c r="G602" s="1423"/>
      <c r="H602" s="1423"/>
      <c r="I602" s="1423"/>
    </row>
    <row r="603" spans="4:9" ht="15">
      <c r="D603" s="1423"/>
      <c r="E603" s="1423"/>
      <c r="F603" s="1423"/>
      <c r="G603" s="1423"/>
      <c r="H603" s="1423"/>
      <c r="I603" s="1423"/>
    </row>
    <row r="604" spans="4:9" ht="15">
      <c r="D604" s="1423"/>
      <c r="E604" s="1423"/>
      <c r="F604" s="1423"/>
      <c r="G604" s="1423"/>
      <c r="H604" s="1423"/>
      <c r="I604" s="1423"/>
    </row>
    <row r="605" spans="4:9" ht="15">
      <c r="D605" s="1423"/>
      <c r="E605" s="1423"/>
      <c r="F605" s="1423"/>
      <c r="G605" s="1423"/>
      <c r="H605" s="1423"/>
      <c r="I605" s="1423"/>
    </row>
    <row r="606" spans="4:9" ht="15">
      <c r="D606" s="1423"/>
      <c r="E606" s="1423"/>
      <c r="F606" s="1423"/>
      <c r="G606" s="1423"/>
      <c r="H606" s="1423"/>
      <c r="I606" s="1423"/>
    </row>
    <row r="607" spans="4:9" ht="15">
      <c r="D607" s="1423"/>
      <c r="E607" s="1423"/>
      <c r="F607" s="1423"/>
      <c r="G607" s="1423"/>
      <c r="H607" s="1423"/>
      <c r="I607" s="1423"/>
    </row>
    <row r="608" spans="4:9" ht="15">
      <c r="D608" s="1423"/>
      <c r="E608" s="1423"/>
      <c r="F608" s="1423"/>
      <c r="G608" s="1423"/>
      <c r="H608" s="1423"/>
      <c r="I608" s="1423"/>
    </row>
    <row r="609" spans="4:9" ht="15">
      <c r="D609" s="1423"/>
      <c r="E609" s="1423"/>
      <c r="F609" s="1423"/>
      <c r="G609" s="1423"/>
      <c r="H609" s="1423"/>
      <c r="I609" s="1423"/>
    </row>
    <row r="610" spans="4:9" ht="15">
      <c r="D610" s="1423"/>
      <c r="E610" s="1423"/>
      <c r="F610" s="1423"/>
      <c r="G610" s="1423"/>
      <c r="H610" s="1423"/>
      <c r="I610" s="1423"/>
    </row>
    <row r="611" spans="4:9" ht="15">
      <c r="D611" s="1423"/>
      <c r="E611" s="1423"/>
      <c r="F611" s="1423"/>
      <c r="G611" s="1423"/>
      <c r="H611" s="1423"/>
      <c r="I611" s="1423"/>
    </row>
    <row r="612" spans="4:9" ht="15">
      <c r="D612" s="1423"/>
      <c r="E612" s="1423"/>
      <c r="F612" s="1423"/>
      <c r="G612" s="1423"/>
      <c r="H612" s="1423"/>
      <c r="I612" s="1423"/>
    </row>
    <row r="613" spans="4:9" ht="15">
      <c r="D613" s="1423"/>
      <c r="E613" s="1423"/>
      <c r="F613" s="1423"/>
      <c r="G613" s="1423"/>
      <c r="H613" s="1423"/>
      <c r="I613" s="1423"/>
    </row>
    <row r="614" spans="4:9" ht="15">
      <c r="D614" s="1423"/>
      <c r="E614" s="1423"/>
      <c r="F614" s="1423"/>
      <c r="G614" s="1423"/>
      <c r="H614" s="1423"/>
      <c r="I614" s="1423"/>
    </row>
    <row r="615" spans="4:9" ht="15">
      <c r="D615" s="1423"/>
      <c r="E615" s="1423"/>
      <c r="F615" s="1423"/>
      <c r="G615" s="1423"/>
      <c r="H615" s="1423"/>
      <c r="I615" s="1423"/>
    </row>
    <row r="616" spans="4:9" ht="15">
      <c r="D616" s="1423"/>
      <c r="E616" s="1423"/>
      <c r="F616" s="1423"/>
      <c r="G616" s="1423"/>
      <c r="H616" s="1423"/>
      <c r="I616" s="1423"/>
    </row>
    <row r="617" spans="4:9" ht="15">
      <c r="D617" s="1423"/>
      <c r="E617" s="1423"/>
      <c r="F617" s="1423"/>
      <c r="G617" s="1423"/>
      <c r="H617" s="1423"/>
      <c r="I617" s="1423"/>
    </row>
    <row r="618" spans="4:9" ht="15">
      <c r="D618" s="1423"/>
      <c r="E618" s="1423"/>
      <c r="F618" s="1423"/>
      <c r="G618" s="1423"/>
      <c r="H618" s="1423"/>
      <c r="I618" s="1423"/>
    </row>
    <row r="619" spans="4:9" ht="15">
      <c r="D619" s="1423"/>
      <c r="E619" s="1423"/>
      <c r="F619" s="1423"/>
      <c r="G619" s="1423"/>
      <c r="H619" s="1423"/>
      <c r="I619" s="1423"/>
    </row>
    <row r="620" spans="4:9" ht="15">
      <c r="D620" s="1423"/>
      <c r="E620" s="1423"/>
      <c r="F620" s="1423"/>
      <c r="G620" s="1423"/>
      <c r="H620" s="1423"/>
      <c r="I620" s="1423"/>
    </row>
    <row r="621" spans="4:9" ht="15">
      <c r="D621" s="1423"/>
      <c r="E621" s="1423"/>
      <c r="F621" s="1423"/>
      <c r="G621" s="1423"/>
      <c r="H621" s="1423"/>
      <c r="I621" s="1423"/>
    </row>
    <row r="622" spans="4:9" ht="15">
      <c r="D622" s="1423"/>
      <c r="E622" s="1423"/>
      <c r="F622" s="1423"/>
      <c r="G622" s="1423"/>
      <c r="H622" s="1423"/>
      <c r="I622" s="1423"/>
    </row>
    <row r="623" spans="4:9" ht="15">
      <c r="D623" s="1423"/>
      <c r="E623" s="1423"/>
      <c r="F623" s="1423"/>
      <c r="G623" s="1423"/>
      <c r="H623" s="1423"/>
      <c r="I623" s="1423"/>
    </row>
    <row r="624" spans="4:9" ht="15">
      <c r="D624" s="1423"/>
      <c r="E624" s="1423"/>
      <c r="F624" s="1423"/>
      <c r="G624" s="1423"/>
      <c r="H624" s="1423"/>
      <c r="I624" s="1423"/>
    </row>
    <row r="625" spans="4:9" ht="15">
      <c r="D625" s="1423"/>
      <c r="E625" s="1423"/>
      <c r="F625" s="1423"/>
      <c r="G625" s="1423"/>
      <c r="H625" s="1423"/>
      <c r="I625" s="1423"/>
    </row>
    <row r="626" spans="4:9" ht="15">
      <c r="D626" s="1423"/>
      <c r="E626" s="1423"/>
      <c r="F626" s="1423"/>
      <c r="G626" s="1423"/>
      <c r="H626" s="1423"/>
      <c r="I626" s="1423"/>
    </row>
    <row r="627" spans="4:9" ht="15">
      <c r="D627" s="1423"/>
      <c r="E627" s="1423"/>
      <c r="F627" s="1423"/>
      <c r="G627" s="1423"/>
      <c r="H627" s="1423"/>
      <c r="I627" s="1423"/>
    </row>
    <row r="628" spans="4:9" ht="15">
      <c r="D628" s="1423"/>
      <c r="E628" s="1423"/>
      <c r="F628" s="1423"/>
      <c r="G628" s="1423"/>
      <c r="H628" s="1423"/>
      <c r="I628" s="1423"/>
    </row>
    <row r="629" spans="4:9" ht="15">
      <c r="D629" s="1423"/>
      <c r="E629" s="1423"/>
      <c r="F629" s="1423"/>
      <c r="G629" s="1423"/>
      <c r="H629" s="1423"/>
      <c r="I629" s="1423"/>
    </row>
    <row r="630" spans="4:9" ht="15">
      <c r="D630" s="1423"/>
      <c r="E630" s="1423"/>
      <c r="F630" s="1423"/>
      <c r="G630" s="1423"/>
      <c r="H630" s="1423"/>
      <c r="I630" s="1423"/>
    </row>
    <row r="631" spans="4:9" ht="15">
      <c r="D631" s="1423"/>
      <c r="E631" s="1423"/>
      <c r="F631" s="1423"/>
      <c r="G631" s="1423"/>
      <c r="H631" s="1423"/>
      <c r="I631" s="1423"/>
    </row>
    <row r="632" spans="4:9" ht="15">
      <c r="D632" s="1423"/>
      <c r="E632" s="1423"/>
      <c r="F632" s="1423"/>
      <c r="G632" s="1423"/>
      <c r="H632" s="1423"/>
      <c r="I632" s="1423"/>
    </row>
    <row r="633" spans="4:9" ht="15">
      <c r="D633" s="1423"/>
      <c r="E633" s="1423"/>
      <c r="F633" s="1423"/>
      <c r="G633" s="1423"/>
      <c r="H633" s="1423"/>
      <c r="I633" s="1423"/>
    </row>
    <row r="634" spans="4:9" ht="15">
      <c r="D634" s="1423"/>
      <c r="E634" s="1423"/>
      <c r="F634" s="1423"/>
      <c r="G634" s="1423"/>
      <c r="H634" s="1423"/>
      <c r="I634" s="1423"/>
    </row>
    <row r="635" spans="4:9" ht="15">
      <c r="D635" s="1423"/>
      <c r="E635" s="1423"/>
      <c r="F635" s="1423"/>
      <c r="G635" s="1423"/>
      <c r="H635" s="1423"/>
      <c r="I635" s="1423"/>
    </row>
    <row r="636" spans="4:9" ht="15">
      <c r="D636" s="1423"/>
      <c r="E636" s="1423"/>
      <c r="F636" s="1423"/>
      <c r="G636" s="1423"/>
      <c r="H636" s="1423"/>
      <c r="I636" s="1423"/>
    </row>
    <row r="637" spans="4:9" ht="15">
      <c r="D637" s="1423"/>
      <c r="E637" s="1423"/>
      <c r="F637" s="1423"/>
      <c r="G637" s="1423"/>
      <c r="H637" s="1423"/>
      <c r="I637" s="1423"/>
    </row>
    <row r="638" spans="4:9" ht="15">
      <c r="D638" s="1423"/>
      <c r="E638" s="1423"/>
      <c r="F638" s="1423"/>
      <c r="G638" s="1423"/>
      <c r="H638" s="1423"/>
      <c r="I638" s="1423"/>
    </row>
    <row r="639" spans="4:9" ht="15">
      <c r="D639" s="1423"/>
      <c r="E639" s="1423"/>
      <c r="F639" s="1423"/>
      <c r="G639" s="1423"/>
      <c r="H639" s="1423"/>
      <c r="I639" s="1423"/>
    </row>
    <row r="640" spans="4:9" ht="15">
      <c r="D640" s="1423"/>
      <c r="E640" s="1423"/>
      <c r="F640" s="1423"/>
      <c r="G640" s="1423"/>
      <c r="H640" s="1423"/>
      <c r="I640" s="1423"/>
    </row>
    <row r="641" spans="4:9" ht="15">
      <c r="D641" s="1423"/>
      <c r="E641" s="1423"/>
      <c r="F641" s="1423"/>
      <c r="G641" s="1423"/>
      <c r="H641" s="1423"/>
      <c r="I641" s="1423"/>
    </row>
    <row r="642" spans="4:9" ht="15">
      <c r="D642" s="1423"/>
      <c r="E642" s="1423"/>
      <c r="F642" s="1423"/>
      <c r="G642" s="1423"/>
      <c r="H642" s="1423"/>
      <c r="I642" s="1423"/>
    </row>
    <row r="643" spans="4:9" ht="15">
      <c r="D643" s="1423"/>
      <c r="E643" s="1423"/>
      <c r="F643" s="1423"/>
      <c r="G643" s="1423"/>
      <c r="H643" s="1423"/>
      <c r="I643" s="1423"/>
    </row>
    <row r="644" spans="4:9" ht="15">
      <c r="D644" s="1423"/>
      <c r="E644" s="1423"/>
      <c r="F644" s="1423"/>
      <c r="G644" s="1423"/>
      <c r="H644" s="1423"/>
      <c r="I644" s="1423"/>
    </row>
    <row r="645" spans="4:9" ht="15">
      <c r="D645" s="1423"/>
      <c r="E645" s="1423"/>
      <c r="F645" s="1423"/>
      <c r="G645" s="1423"/>
      <c r="H645" s="1423"/>
      <c r="I645" s="1423"/>
    </row>
    <row r="646" spans="4:9" ht="15">
      <c r="D646" s="1423"/>
      <c r="E646" s="1423"/>
      <c r="F646" s="1423"/>
      <c r="G646" s="1423"/>
      <c r="H646" s="1423"/>
      <c r="I646" s="1423"/>
    </row>
    <row r="647" spans="4:9" ht="15">
      <c r="D647" s="1423"/>
      <c r="E647" s="1423"/>
      <c r="F647" s="1423"/>
      <c r="G647" s="1423"/>
      <c r="H647" s="1423"/>
      <c r="I647" s="1423"/>
    </row>
    <row r="648" spans="4:9" ht="15">
      <c r="D648" s="1423"/>
      <c r="E648" s="1423"/>
      <c r="F648" s="1423"/>
      <c r="G648" s="1423"/>
      <c r="H648" s="1423"/>
      <c r="I648" s="1423"/>
    </row>
    <row r="649" spans="4:9" ht="15">
      <c r="D649" s="1423"/>
      <c r="E649" s="1423"/>
      <c r="F649" s="1423"/>
      <c r="G649" s="1423"/>
      <c r="H649" s="1423"/>
      <c r="I649" s="1423"/>
    </row>
    <row r="650" spans="4:9" ht="15">
      <c r="D650" s="1423"/>
      <c r="E650" s="1423"/>
      <c r="F650" s="1423"/>
      <c r="G650" s="1423"/>
      <c r="H650" s="1423"/>
      <c r="I650" s="1423"/>
    </row>
    <row r="651" spans="4:9" ht="15">
      <c r="D651" s="1423"/>
      <c r="E651" s="1423"/>
      <c r="F651" s="1423"/>
      <c r="G651" s="1423"/>
      <c r="H651" s="1423"/>
      <c r="I651" s="1423"/>
    </row>
    <row r="652" spans="4:9" ht="15">
      <c r="D652" s="1423"/>
      <c r="E652" s="1423"/>
      <c r="F652" s="1423"/>
      <c r="G652" s="1423"/>
      <c r="H652" s="1423"/>
      <c r="I652" s="1423"/>
    </row>
    <row r="653" spans="4:9" ht="15">
      <c r="D653" s="1423"/>
      <c r="E653" s="1423"/>
      <c r="F653" s="1423"/>
      <c r="G653" s="1423"/>
      <c r="H653" s="1423"/>
      <c r="I653" s="1423"/>
    </row>
    <row r="654" spans="4:9" ht="15">
      <c r="D654" s="1423"/>
      <c r="E654" s="1423"/>
      <c r="F654" s="1423"/>
      <c r="G654" s="1423"/>
      <c r="H654" s="1423"/>
      <c r="I654" s="1423"/>
    </row>
    <row r="655" spans="4:9" ht="15">
      <c r="D655" s="1423"/>
      <c r="E655" s="1423"/>
      <c r="F655" s="1423"/>
      <c r="G655" s="1423"/>
      <c r="H655" s="1423"/>
      <c r="I655" s="1423"/>
    </row>
    <row r="656" spans="4:9" ht="15">
      <c r="D656" s="1423"/>
      <c r="E656" s="1423"/>
      <c r="F656" s="1423"/>
      <c r="G656" s="1423"/>
      <c r="H656" s="1423"/>
      <c r="I656" s="1423"/>
    </row>
    <row r="657" spans="4:9" ht="15">
      <c r="D657" s="1423"/>
      <c r="E657" s="1423"/>
      <c r="F657" s="1423"/>
      <c r="G657" s="1423"/>
      <c r="H657" s="1423"/>
      <c r="I657" s="1423"/>
    </row>
    <row r="658" spans="4:9" ht="15">
      <c r="D658" s="1423"/>
      <c r="E658" s="1423"/>
      <c r="F658" s="1423"/>
      <c r="G658" s="1423"/>
      <c r="H658" s="1423"/>
      <c r="I658" s="1423"/>
    </row>
    <row r="659" spans="4:9" ht="15">
      <c r="D659" s="1423"/>
      <c r="E659" s="1423"/>
      <c r="F659" s="1423"/>
      <c r="G659" s="1423"/>
      <c r="H659" s="1423"/>
      <c r="I659" s="1423"/>
    </row>
    <row r="660" spans="4:9" ht="15">
      <c r="D660" s="1423"/>
      <c r="E660" s="1423"/>
      <c r="F660" s="1423"/>
      <c r="G660" s="1423"/>
      <c r="H660" s="1423"/>
      <c r="I660" s="1423"/>
    </row>
    <row r="661" spans="4:9" ht="15">
      <c r="D661" s="1423"/>
      <c r="E661" s="1423"/>
      <c r="F661" s="1423"/>
      <c r="G661" s="1423"/>
      <c r="H661" s="1423"/>
      <c r="I661" s="1423"/>
    </row>
    <row r="662" spans="4:9" ht="15">
      <c r="D662" s="1423"/>
      <c r="E662" s="1423"/>
      <c r="F662" s="1423"/>
      <c r="G662" s="1423"/>
      <c r="H662" s="1423"/>
      <c r="I662" s="1423"/>
    </row>
    <row r="663" spans="4:9" ht="15">
      <c r="D663" s="1423"/>
      <c r="E663" s="1423"/>
      <c r="F663" s="1423"/>
      <c r="G663" s="1423"/>
      <c r="H663" s="1423"/>
      <c r="I663" s="1423"/>
    </row>
    <row r="664" spans="4:9" ht="15">
      <c r="D664" s="1423"/>
      <c r="E664" s="1423"/>
      <c r="F664" s="1423"/>
      <c r="G664" s="1423"/>
      <c r="H664" s="1423"/>
      <c r="I664" s="1423"/>
    </row>
    <row r="665" spans="4:9" ht="15">
      <c r="D665" s="1423"/>
      <c r="E665" s="1423"/>
      <c r="F665" s="1423"/>
      <c r="G665" s="1423"/>
      <c r="H665" s="1423"/>
      <c r="I665" s="1423"/>
    </row>
    <row r="666" spans="4:9" ht="15">
      <c r="D666" s="1423"/>
      <c r="E666" s="1423"/>
      <c r="F666" s="1423"/>
      <c r="G666" s="1423"/>
      <c r="H666" s="1423"/>
      <c r="I666" s="1423"/>
    </row>
    <row r="667" spans="4:9" ht="15">
      <c r="D667" s="1423"/>
      <c r="E667" s="1423"/>
      <c r="F667" s="1423"/>
      <c r="G667" s="1423"/>
      <c r="H667" s="1423"/>
      <c r="I667" s="1423"/>
    </row>
    <row r="668" spans="4:9" ht="15">
      <c r="D668" s="1423"/>
      <c r="E668" s="1423"/>
      <c r="F668" s="1423"/>
      <c r="G668" s="1423"/>
      <c r="H668" s="1423"/>
      <c r="I668" s="1423"/>
    </row>
    <row r="669" spans="4:9" ht="15">
      <c r="D669" s="1423"/>
      <c r="E669" s="1423"/>
      <c r="F669" s="1423"/>
      <c r="G669" s="1423"/>
      <c r="H669" s="1423"/>
      <c r="I669" s="1423"/>
    </row>
    <row r="670" spans="4:9" ht="15">
      <c r="D670" s="1423"/>
      <c r="E670" s="1423"/>
      <c r="F670" s="1423"/>
      <c r="G670" s="1423"/>
      <c r="H670" s="1423"/>
      <c r="I670" s="1423"/>
    </row>
    <row r="671" spans="4:9" ht="15">
      <c r="D671" s="1423"/>
      <c r="E671" s="1423"/>
      <c r="F671" s="1423"/>
      <c r="G671" s="1423"/>
      <c r="H671" s="1423"/>
      <c r="I671" s="1423"/>
    </row>
    <row r="672" spans="4:9" ht="15">
      <c r="D672" s="1423"/>
      <c r="E672" s="1423"/>
      <c r="F672" s="1423"/>
      <c r="G672" s="1423"/>
      <c r="H672" s="1423"/>
      <c r="I672" s="1423"/>
    </row>
    <row r="673" spans="4:9" ht="15">
      <c r="D673" s="1423"/>
      <c r="E673" s="1423"/>
      <c r="F673" s="1423"/>
      <c r="G673" s="1423"/>
      <c r="H673" s="1423"/>
      <c r="I673" s="1423"/>
    </row>
    <row r="674" spans="4:9" ht="15">
      <c r="D674" s="1423"/>
      <c r="E674" s="1423"/>
      <c r="F674" s="1423"/>
      <c r="G674" s="1423"/>
      <c r="H674" s="1423"/>
      <c r="I674" s="1423"/>
    </row>
    <row r="675" spans="4:9" ht="15">
      <c r="D675" s="1423"/>
      <c r="E675" s="1423"/>
      <c r="F675" s="1423"/>
      <c r="G675" s="1423"/>
      <c r="H675" s="1423"/>
      <c r="I675" s="1423"/>
    </row>
    <row r="676" spans="4:9" ht="15">
      <c r="D676" s="1423"/>
      <c r="E676" s="1423"/>
      <c r="F676" s="1423"/>
      <c r="G676" s="1423"/>
      <c r="H676" s="1423"/>
      <c r="I676" s="1423"/>
    </row>
    <row r="677" spans="4:9" ht="15">
      <c r="D677" s="1423"/>
      <c r="E677" s="1423"/>
      <c r="F677" s="1423"/>
      <c r="G677" s="1423"/>
      <c r="H677" s="1423"/>
      <c r="I677" s="1423"/>
    </row>
    <row r="678" spans="4:9" ht="15">
      <c r="D678" s="1423"/>
      <c r="E678" s="1423"/>
      <c r="F678" s="1423"/>
      <c r="G678" s="1423"/>
      <c r="H678" s="1423"/>
      <c r="I678" s="1423"/>
    </row>
    <row r="679" spans="4:9" ht="15">
      <c r="D679" s="1423"/>
      <c r="E679" s="1423"/>
      <c r="F679" s="1423"/>
      <c r="G679" s="1423"/>
      <c r="H679" s="1423"/>
      <c r="I679" s="1423"/>
    </row>
    <row r="680" spans="4:9" ht="15">
      <c r="D680" s="1423"/>
      <c r="E680" s="1423"/>
      <c r="F680" s="1423"/>
      <c r="G680" s="1423"/>
      <c r="H680" s="1423"/>
      <c r="I680" s="1423"/>
    </row>
    <row r="681" spans="4:9" ht="15">
      <c r="D681" s="1423"/>
      <c r="E681" s="1423"/>
      <c r="F681" s="1423"/>
      <c r="G681" s="1423"/>
      <c r="H681" s="1423"/>
      <c r="I681" s="1423"/>
    </row>
    <row r="682" spans="4:9" ht="15">
      <c r="D682" s="1423"/>
      <c r="E682" s="1423"/>
      <c r="F682" s="1423"/>
      <c r="G682" s="1423"/>
      <c r="H682" s="1423"/>
      <c r="I682" s="1423"/>
    </row>
    <row r="683" spans="4:9" ht="15">
      <c r="D683" s="1423"/>
      <c r="E683" s="1423"/>
      <c r="F683" s="1423"/>
      <c r="G683" s="1423"/>
      <c r="H683" s="1423"/>
      <c r="I683" s="1423"/>
    </row>
    <row r="684" spans="4:9" ht="15">
      <c r="D684" s="1423"/>
      <c r="E684" s="1423"/>
      <c r="F684" s="1423"/>
      <c r="G684" s="1423"/>
      <c r="H684" s="1423"/>
      <c r="I684" s="1423"/>
    </row>
    <row r="685" spans="4:9" ht="15">
      <c r="D685" s="1423"/>
      <c r="E685" s="1423"/>
      <c r="F685" s="1423"/>
      <c r="G685" s="1423"/>
      <c r="H685" s="1423"/>
      <c r="I685" s="1423"/>
    </row>
    <row r="686" spans="4:9" ht="15">
      <c r="D686" s="1423"/>
      <c r="E686" s="1423"/>
      <c r="F686" s="1423"/>
      <c r="G686" s="1423"/>
      <c r="H686" s="1423"/>
      <c r="I686" s="1423"/>
    </row>
    <row r="687" spans="4:9" ht="15">
      <c r="D687" s="1423"/>
      <c r="E687" s="1423"/>
      <c r="F687" s="1423"/>
      <c r="G687" s="1423"/>
      <c r="H687" s="1423"/>
      <c r="I687" s="1423"/>
    </row>
    <row r="688" spans="4:9" ht="15">
      <c r="D688" s="1423"/>
      <c r="E688" s="1423"/>
      <c r="F688" s="1423"/>
      <c r="G688" s="1423"/>
      <c r="H688" s="1423"/>
      <c r="I688" s="1423"/>
    </row>
    <row r="689" spans="4:9" ht="15">
      <c r="D689" s="1423"/>
      <c r="E689" s="1423"/>
      <c r="F689" s="1423"/>
      <c r="G689" s="1423"/>
      <c r="H689" s="1423"/>
      <c r="I689" s="1423"/>
    </row>
    <row r="690" spans="4:9" ht="15">
      <c r="D690" s="1423"/>
      <c r="E690" s="1423"/>
      <c r="F690" s="1423"/>
      <c r="G690" s="1423"/>
      <c r="H690" s="1423"/>
      <c r="I690" s="1423"/>
    </row>
    <row r="691" spans="4:9" ht="15">
      <c r="D691" s="1423"/>
      <c r="E691" s="1423"/>
      <c r="F691" s="1423"/>
      <c r="G691" s="1423"/>
      <c r="H691" s="1423"/>
      <c r="I691" s="1423"/>
    </row>
    <row r="692" spans="4:9" ht="15">
      <c r="D692" s="1423"/>
      <c r="E692" s="1423"/>
      <c r="F692" s="1423"/>
      <c r="G692" s="1423"/>
      <c r="H692" s="1423"/>
      <c r="I692" s="1423"/>
    </row>
    <row r="693" spans="4:9" ht="15">
      <c r="D693" s="1423"/>
      <c r="E693" s="1423"/>
      <c r="F693" s="1423"/>
      <c r="G693" s="1423"/>
      <c r="H693" s="1423"/>
      <c r="I693" s="1423"/>
    </row>
    <row r="694" spans="4:9" ht="15">
      <c r="D694" s="1423"/>
      <c r="E694" s="1423"/>
      <c r="F694" s="1423"/>
      <c r="G694" s="1423"/>
      <c r="H694" s="1423"/>
      <c r="I694" s="1423"/>
    </row>
    <row r="695" spans="4:9" ht="15">
      <c r="D695" s="1423"/>
      <c r="E695" s="1423"/>
      <c r="F695" s="1423"/>
      <c r="G695" s="1423"/>
      <c r="H695" s="1423"/>
      <c r="I695" s="1423"/>
    </row>
    <row r="696" spans="4:9" ht="15">
      <c r="D696" s="1423"/>
      <c r="E696" s="1423"/>
      <c r="F696" s="1423"/>
      <c r="G696" s="1423"/>
      <c r="H696" s="1423"/>
      <c r="I696" s="1423"/>
    </row>
    <row r="697" spans="4:9" ht="15">
      <c r="D697" s="1423"/>
      <c r="E697" s="1423"/>
      <c r="F697" s="1423"/>
      <c r="G697" s="1423"/>
      <c r="H697" s="1423"/>
      <c r="I697" s="1423"/>
    </row>
    <row r="698" spans="4:9" ht="15">
      <c r="D698" s="1423"/>
      <c r="E698" s="1423"/>
      <c r="F698" s="1423"/>
      <c r="G698" s="1423"/>
      <c r="H698" s="1423"/>
      <c r="I698" s="1423"/>
    </row>
    <row r="699" spans="4:9" ht="15">
      <c r="D699" s="1423"/>
      <c r="E699" s="1423"/>
      <c r="F699" s="1423"/>
      <c r="G699" s="1423"/>
      <c r="H699" s="1423"/>
      <c r="I699" s="1423"/>
    </row>
    <row r="700" spans="4:9" ht="15">
      <c r="D700" s="1423"/>
      <c r="E700" s="1423"/>
      <c r="F700" s="1423"/>
      <c r="G700" s="1423"/>
      <c r="H700" s="1423"/>
      <c r="I700" s="1423"/>
    </row>
    <row r="701" spans="4:9" ht="15">
      <c r="D701" s="1423"/>
      <c r="E701" s="1423"/>
      <c r="F701" s="1423"/>
      <c r="G701" s="1423"/>
      <c r="H701" s="1423"/>
      <c r="I701" s="1423"/>
    </row>
    <row r="702" spans="4:9" ht="15">
      <c r="D702" s="1423"/>
      <c r="E702" s="1423"/>
      <c r="F702" s="1423"/>
      <c r="G702" s="1423"/>
      <c r="H702" s="1423"/>
      <c r="I702" s="1423"/>
    </row>
    <row r="703" spans="4:9" ht="15">
      <c r="D703" s="1423"/>
      <c r="E703" s="1423"/>
      <c r="F703" s="1423"/>
      <c r="G703" s="1423"/>
      <c r="H703" s="1423"/>
      <c r="I703" s="1423"/>
    </row>
    <row r="704" spans="4:9" ht="15">
      <c r="D704" s="1423"/>
      <c r="E704" s="1423"/>
      <c r="F704" s="1423"/>
      <c r="G704" s="1423"/>
      <c r="H704" s="1423"/>
      <c r="I704" s="1423"/>
    </row>
    <row r="705" spans="4:9" ht="15">
      <c r="D705" s="1423"/>
      <c r="E705" s="1423"/>
      <c r="F705" s="1423"/>
      <c r="G705" s="1423"/>
      <c r="H705" s="1423"/>
      <c r="I705" s="1423"/>
    </row>
    <row r="706" spans="4:9" ht="15">
      <c r="D706" s="1423"/>
      <c r="E706" s="1423"/>
      <c r="F706" s="1423"/>
      <c r="G706" s="1423"/>
      <c r="H706" s="1423"/>
      <c r="I706" s="1423"/>
    </row>
    <row r="707" spans="4:9" ht="15">
      <c r="D707" s="1423"/>
      <c r="E707" s="1423"/>
      <c r="F707" s="1423"/>
      <c r="G707" s="1423"/>
      <c r="H707" s="1423"/>
      <c r="I707" s="1423"/>
    </row>
    <row r="708" spans="4:9" ht="15">
      <c r="D708" s="1423"/>
      <c r="E708" s="1423"/>
      <c r="F708" s="1423"/>
      <c r="G708" s="1423"/>
      <c r="H708" s="1423"/>
      <c r="I708" s="1423"/>
    </row>
    <row r="709" spans="4:9" ht="15">
      <c r="D709" s="1423"/>
      <c r="E709" s="1423"/>
      <c r="F709" s="1423"/>
      <c r="G709" s="1423"/>
      <c r="H709" s="1423"/>
      <c r="I709" s="1423"/>
    </row>
    <row r="710" spans="4:9" ht="15">
      <c r="D710" s="1423"/>
      <c r="E710" s="1423"/>
      <c r="F710" s="1423"/>
      <c r="G710" s="1423"/>
      <c r="H710" s="1423"/>
      <c r="I710" s="1423"/>
    </row>
    <row r="711" spans="4:9" ht="15">
      <c r="D711" s="1423"/>
      <c r="E711" s="1423"/>
      <c r="F711" s="1423"/>
      <c r="G711" s="1423"/>
      <c r="H711" s="1423"/>
      <c r="I711" s="1423"/>
    </row>
    <row r="712" spans="4:9" ht="15">
      <c r="D712" s="1423"/>
      <c r="E712" s="1423"/>
      <c r="F712" s="1423"/>
      <c r="G712" s="1423"/>
      <c r="H712" s="1423"/>
      <c r="I712" s="1423"/>
    </row>
    <row r="713" spans="4:9" ht="15">
      <c r="D713" s="1423"/>
      <c r="E713" s="1423"/>
      <c r="F713" s="1423"/>
      <c r="G713" s="1423"/>
      <c r="H713" s="1423"/>
      <c r="I713" s="1423"/>
    </row>
    <row r="714" spans="4:9" ht="15">
      <c r="D714" s="1423"/>
      <c r="E714" s="1423"/>
      <c r="F714" s="1423"/>
      <c r="G714" s="1423"/>
      <c r="H714" s="1423"/>
      <c r="I714" s="1423"/>
    </row>
    <row r="715" spans="4:9" ht="15">
      <c r="D715" s="1423"/>
      <c r="E715" s="1423"/>
      <c r="F715" s="1423"/>
      <c r="G715" s="1423"/>
      <c r="H715" s="1423"/>
      <c r="I715" s="1423"/>
    </row>
    <row r="716" spans="4:9" ht="15">
      <c r="D716" s="1423"/>
      <c r="E716" s="1423"/>
      <c r="F716" s="1423"/>
      <c r="G716" s="1423"/>
      <c r="H716" s="1423"/>
      <c r="I716" s="1423"/>
    </row>
    <row r="717" spans="4:9" ht="15">
      <c r="D717" s="1423"/>
      <c r="E717" s="1423"/>
      <c r="F717" s="1423"/>
      <c r="G717" s="1423"/>
      <c r="H717" s="1423"/>
      <c r="I717" s="1423"/>
    </row>
    <row r="718" spans="4:9" ht="15">
      <c r="D718" s="1423"/>
      <c r="E718" s="1423"/>
      <c r="F718" s="1423"/>
      <c r="G718" s="1423"/>
      <c r="H718" s="1423"/>
      <c r="I718" s="1423"/>
    </row>
    <row r="719" spans="4:9" ht="15">
      <c r="D719" s="1423"/>
      <c r="E719" s="1423"/>
      <c r="F719" s="1423"/>
      <c r="G719" s="1423"/>
      <c r="H719" s="1423"/>
      <c r="I719" s="1423"/>
    </row>
    <row r="720" spans="4:9" ht="15">
      <c r="D720" s="1423"/>
      <c r="E720" s="1423"/>
      <c r="F720" s="1423"/>
      <c r="G720" s="1423"/>
      <c r="H720" s="1423"/>
      <c r="I720" s="1423"/>
    </row>
    <row r="721" spans="4:9" ht="15">
      <c r="D721" s="1423"/>
      <c r="E721" s="1423"/>
      <c r="F721" s="1423"/>
      <c r="G721" s="1423"/>
      <c r="H721" s="1423"/>
      <c r="I721" s="1423"/>
    </row>
    <row r="722" spans="4:9" ht="15">
      <c r="D722" s="1423"/>
      <c r="E722" s="1423"/>
      <c r="F722" s="1423"/>
      <c r="G722" s="1423"/>
      <c r="H722" s="1423"/>
      <c r="I722" s="1423"/>
    </row>
    <row r="723" spans="4:9" ht="15">
      <c r="D723" s="1423"/>
      <c r="E723" s="1423"/>
      <c r="F723" s="1423"/>
      <c r="G723" s="1423"/>
      <c r="H723" s="1423"/>
      <c r="I723" s="1423"/>
    </row>
    <row r="724" spans="4:9" ht="15">
      <c r="D724" s="1423"/>
      <c r="E724" s="1423"/>
      <c r="F724" s="1423"/>
      <c r="G724" s="1423"/>
      <c r="H724" s="1423"/>
      <c r="I724" s="1423"/>
    </row>
    <row r="725" spans="4:9" ht="15">
      <c r="D725" s="1423"/>
      <c r="E725" s="1423"/>
      <c r="F725" s="1423"/>
      <c r="G725" s="1423"/>
      <c r="H725" s="1423"/>
      <c r="I725" s="1423"/>
    </row>
    <row r="726" spans="4:9" ht="15">
      <c r="D726" s="1423"/>
      <c r="E726" s="1423"/>
      <c r="F726" s="1423"/>
      <c r="G726" s="1423"/>
      <c r="H726" s="1423"/>
      <c r="I726" s="1423"/>
    </row>
    <row r="727" spans="4:9" ht="15">
      <c r="D727" s="1423"/>
      <c r="E727" s="1423"/>
      <c r="F727" s="1423"/>
      <c r="G727" s="1423"/>
      <c r="H727" s="1423"/>
      <c r="I727" s="1423"/>
    </row>
    <row r="728" spans="4:9" ht="15">
      <c r="D728" s="1423"/>
      <c r="E728" s="1423"/>
      <c r="F728" s="1423"/>
      <c r="G728" s="1423"/>
      <c r="H728" s="1423"/>
      <c r="I728" s="1423"/>
    </row>
    <row r="729" spans="4:9" ht="15">
      <c r="D729" s="1423"/>
      <c r="E729" s="1423"/>
      <c r="F729" s="1423"/>
      <c r="G729" s="1423"/>
      <c r="H729" s="1423"/>
      <c r="I729" s="1423"/>
    </row>
    <row r="730" spans="4:9" ht="15">
      <c r="D730" s="1423"/>
      <c r="E730" s="1423"/>
      <c r="F730" s="1423"/>
      <c r="G730" s="1423"/>
      <c r="H730" s="1423"/>
      <c r="I730" s="1423"/>
    </row>
    <row r="731" spans="4:9" ht="15">
      <c r="D731" s="1423"/>
      <c r="E731" s="1423"/>
      <c r="F731" s="1423"/>
      <c r="G731" s="1423"/>
      <c r="H731" s="1423"/>
      <c r="I731" s="1423"/>
    </row>
    <row r="732" spans="4:9" ht="15">
      <c r="D732" s="1423"/>
      <c r="E732" s="1423"/>
      <c r="F732" s="1423"/>
      <c r="G732" s="1423"/>
      <c r="H732" s="1423"/>
      <c r="I732" s="1423"/>
    </row>
    <row r="733" spans="4:9" ht="15">
      <c r="D733" s="1423"/>
      <c r="E733" s="1423"/>
      <c r="F733" s="1423"/>
      <c r="G733" s="1423"/>
      <c r="H733" s="1423"/>
      <c r="I733" s="1423"/>
    </row>
    <row r="734" spans="4:9" ht="15">
      <c r="D734" s="1423"/>
      <c r="E734" s="1423"/>
      <c r="F734" s="1423"/>
      <c r="G734" s="1423"/>
      <c r="H734" s="1423"/>
      <c r="I734" s="1423"/>
    </row>
    <row r="735" spans="4:9" ht="15">
      <c r="D735" s="1423"/>
      <c r="E735" s="1423"/>
      <c r="F735" s="1423"/>
      <c r="G735" s="1423"/>
      <c r="H735" s="1423"/>
      <c r="I735" s="1423"/>
    </row>
    <row r="736" spans="4:9" ht="15">
      <c r="D736" s="1423"/>
      <c r="E736" s="1423"/>
      <c r="F736" s="1423"/>
      <c r="G736" s="1423"/>
      <c r="H736" s="1423"/>
      <c r="I736" s="1423"/>
    </row>
    <row r="737" spans="4:9" ht="15">
      <c r="D737" s="1423"/>
      <c r="E737" s="1423"/>
      <c r="F737" s="1423"/>
      <c r="G737" s="1423"/>
      <c r="H737" s="1423"/>
      <c r="I737" s="1423"/>
    </row>
    <row r="738" spans="4:9" ht="15">
      <c r="D738" s="1423"/>
      <c r="E738" s="1423"/>
      <c r="F738" s="1423"/>
      <c r="G738" s="1423"/>
      <c r="H738" s="1423"/>
      <c r="I738" s="1423"/>
    </row>
    <row r="739" spans="4:9" ht="15">
      <c r="D739" s="1423"/>
      <c r="E739" s="1423"/>
      <c r="F739" s="1423"/>
      <c r="G739" s="1423"/>
      <c r="H739" s="1423"/>
      <c r="I739" s="1423"/>
    </row>
    <row r="740" spans="4:9" ht="15">
      <c r="D740" s="1423"/>
      <c r="E740" s="1423"/>
      <c r="F740" s="1423"/>
      <c r="G740" s="1423"/>
      <c r="H740" s="1423"/>
      <c r="I740" s="1423"/>
    </row>
    <row r="741" spans="4:9" ht="15">
      <c r="D741" s="1423"/>
      <c r="E741" s="1423"/>
      <c r="F741" s="1423"/>
      <c r="G741" s="1423"/>
      <c r="H741" s="1423"/>
      <c r="I741" s="1423"/>
    </row>
    <row r="742" spans="4:9" ht="15">
      <c r="D742" s="1423"/>
      <c r="E742" s="1423"/>
      <c r="F742" s="1423"/>
      <c r="G742" s="1423"/>
      <c r="H742" s="1423"/>
      <c r="I742" s="1423"/>
    </row>
    <row r="743" spans="4:9" ht="15">
      <c r="D743" s="1423"/>
      <c r="E743" s="1423"/>
      <c r="F743" s="1423"/>
      <c r="G743" s="1423"/>
      <c r="H743" s="1423"/>
      <c r="I743" s="1423"/>
    </row>
    <row r="744" spans="4:9" ht="15">
      <c r="D744" s="1423"/>
      <c r="E744" s="1423"/>
      <c r="F744" s="1423"/>
      <c r="G744" s="1423"/>
      <c r="H744" s="1423"/>
      <c r="I744" s="1423"/>
    </row>
    <row r="745" spans="4:9" ht="15">
      <c r="D745" s="1423"/>
      <c r="E745" s="1423"/>
      <c r="F745" s="1423"/>
      <c r="G745" s="1423"/>
      <c r="H745" s="1423"/>
      <c r="I745" s="1423"/>
    </row>
    <row r="746" spans="4:9" ht="15">
      <c r="D746" s="1423"/>
      <c r="E746" s="1423"/>
      <c r="F746" s="1423"/>
      <c r="G746" s="1423"/>
      <c r="H746" s="1423"/>
      <c r="I746" s="1423"/>
    </row>
    <row r="747" spans="4:9" ht="15">
      <c r="D747" s="1423"/>
      <c r="E747" s="1423"/>
      <c r="F747" s="1423"/>
      <c r="G747" s="1423"/>
      <c r="H747" s="1423"/>
      <c r="I747" s="1423"/>
    </row>
    <row r="748" spans="4:9" ht="15">
      <c r="D748" s="1423"/>
      <c r="E748" s="1423"/>
      <c r="F748" s="1423"/>
      <c r="G748" s="1423"/>
      <c r="H748" s="1423"/>
      <c r="I748" s="1423"/>
    </row>
    <row r="749" spans="4:9" ht="15">
      <c r="D749" s="1423"/>
      <c r="E749" s="1423"/>
      <c r="F749" s="1423"/>
      <c r="G749" s="1423"/>
      <c r="H749" s="1423"/>
      <c r="I749" s="1423"/>
    </row>
    <row r="750" spans="4:9" ht="15">
      <c r="D750" s="1423"/>
      <c r="E750" s="1423"/>
      <c r="F750" s="1423"/>
      <c r="G750" s="1423"/>
      <c r="H750" s="1423"/>
      <c r="I750" s="1423"/>
    </row>
    <row r="751" spans="4:9" ht="15">
      <c r="D751" s="1423"/>
      <c r="E751" s="1423"/>
      <c r="F751" s="1423"/>
      <c r="G751" s="1423"/>
      <c r="H751" s="1423"/>
      <c r="I751" s="1423"/>
    </row>
    <row r="752" spans="4:9" ht="15">
      <c r="D752" s="1423"/>
      <c r="E752" s="1423"/>
      <c r="F752" s="1423"/>
      <c r="G752" s="1423"/>
      <c r="H752" s="1423"/>
      <c r="I752" s="1423"/>
    </row>
    <row r="753" spans="4:9" ht="15">
      <c r="D753" s="1423"/>
      <c r="E753" s="1423"/>
      <c r="F753" s="1423"/>
      <c r="G753" s="1423"/>
      <c r="H753" s="1423"/>
      <c r="I753" s="1423"/>
    </row>
    <row r="754" spans="4:9" ht="15">
      <c r="D754" s="1423"/>
      <c r="E754" s="1423"/>
      <c r="F754" s="1423"/>
      <c r="G754" s="1423"/>
      <c r="H754" s="1423"/>
      <c r="I754" s="1423"/>
    </row>
    <row r="755" spans="4:9" ht="15">
      <c r="D755" s="1423"/>
      <c r="E755" s="1423"/>
      <c r="F755" s="1423"/>
      <c r="G755" s="1423"/>
      <c r="H755" s="1423"/>
      <c r="I755" s="1423"/>
    </row>
    <row r="756" spans="4:9" ht="15">
      <c r="D756" s="1423"/>
      <c r="E756" s="1423"/>
      <c r="F756" s="1423"/>
      <c r="G756" s="1423"/>
      <c r="H756" s="1423"/>
      <c r="I756" s="1423"/>
    </row>
    <row r="757" spans="4:9" ht="15">
      <c r="D757" s="1423"/>
      <c r="E757" s="1423"/>
      <c r="F757" s="1423"/>
      <c r="G757" s="1423"/>
      <c r="H757" s="1423"/>
      <c r="I757" s="1423"/>
    </row>
    <row r="758" spans="4:9" ht="15">
      <c r="D758" s="1423"/>
      <c r="E758" s="1423"/>
      <c r="F758" s="1423"/>
      <c r="G758" s="1423"/>
      <c r="H758" s="1423"/>
      <c r="I758" s="1423"/>
    </row>
    <row r="759" spans="4:9" ht="15">
      <c r="D759" s="1423"/>
      <c r="E759" s="1423"/>
      <c r="F759" s="1423"/>
      <c r="G759" s="1423"/>
      <c r="H759" s="1423"/>
      <c r="I759" s="1423"/>
    </row>
    <row r="760" spans="4:9" ht="15">
      <c r="D760" s="1423"/>
      <c r="E760" s="1423"/>
      <c r="F760" s="1423"/>
      <c r="G760" s="1423"/>
      <c r="H760" s="1423"/>
      <c r="I760" s="1423"/>
    </row>
    <row r="761" spans="4:9" ht="15">
      <c r="D761" s="1423"/>
      <c r="E761" s="1423"/>
      <c r="F761" s="1423"/>
      <c r="G761" s="1423"/>
      <c r="H761" s="1423"/>
      <c r="I761" s="1423"/>
    </row>
    <row r="762" spans="4:9" ht="15">
      <c r="D762" s="1423"/>
      <c r="E762" s="1423"/>
      <c r="F762" s="1423"/>
      <c r="G762" s="1423"/>
      <c r="H762" s="1423"/>
      <c r="I762" s="1423"/>
    </row>
    <row r="763" spans="4:9" ht="15">
      <c r="D763" s="1423"/>
      <c r="E763" s="1423"/>
      <c r="F763" s="1423"/>
      <c r="G763" s="1423"/>
      <c r="H763" s="1423"/>
      <c r="I763" s="1423"/>
    </row>
    <row r="764" spans="4:9" ht="15">
      <c r="D764" s="1423"/>
      <c r="E764" s="1423"/>
      <c r="F764" s="1423"/>
      <c r="G764" s="1423"/>
      <c r="H764" s="1423"/>
      <c r="I764" s="1423"/>
    </row>
    <row r="765" spans="4:9" ht="15">
      <c r="D765" s="1423"/>
      <c r="E765" s="1423"/>
      <c r="F765" s="1423"/>
      <c r="G765" s="1423"/>
      <c r="H765" s="1423"/>
      <c r="I765" s="1423"/>
    </row>
    <row r="766" spans="4:9" ht="15">
      <c r="D766" s="1423"/>
      <c r="E766" s="1423"/>
      <c r="F766" s="1423"/>
      <c r="G766" s="1423"/>
      <c r="H766" s="1423"/>
      <c r="I766" s="1423"/>
    </row>
    <row r="767" spans="4:9" ht="15">
      <c r="D767" s="1423"/>
      <c r="E767" s="1423"/>
      <c r="F767" s="1423"/>
      <c r="G767" s="1423"/>
      <c r="H767" s="1423"/>
      <c r="I767" s="1423"/>
    </row>
    <row r="768" spans="4:9" ht="15">
      <c r="D768" s="1423"/>
      <c r="E768" s="1423"/>
      <c r="F768" s="1423"/>
      <c r="G768" s="1423"/>
      <c r="H768" s="1423"/>
      <c r="I768" s="1423"/>
    </row>
    <row r="769" spans="4:9" ht="15">
      <c r="D769" s="1423"/>
      <c r="E769" s="1423"/>
      <c r="F769" s="1423"/>
      <c r="G769" s="1423"/>
      <c r="H769" s="1423"/>
      <c r="I769" s="1423"/>
    </row>
    <row r="770" spans="4:9" ht="15">
      <c r="D770" s="1423"/>
      <c r="E770" s="1423"/>
      <c r="F770" s="1423"/>
      <c r="G770" s="1423"/>
      <c r="H770" s="1423"/>
      <c r="I770" s="1423"/>
    </row>
    <row r="771" spans="4:9" ht="15">
      <c r="D771" s="1423"/>
      <c r="E771" s="1423"/>
      <c r="F771" s="1423"/>
      <c r="G771" s="1423"/>
      <c r="H771" s="1423"/>
      <c r="I771" s="1423"/>
    </row>
    <row r="772" spans="4:9" ht="15">
      <c r="D772" s="1423"/>
      <c r="E772" s="1423"/>
      <c r="F772" s="1423"/>
      <c r="G772" s="1423"/>
      <c r="H772" s="1423"/>
      <c r="I772" s="1423"/>
    </row>
    <row r="773" spans="4:9" ht="15">
      <c r="D773" s="1423"/>
      <c r="E773" s="1423"/>
      <c r="F773" s="1423"/>
      <c r="G773" s="1423"/>
      <c r="H773" s="1423"/>
      <c r="I773" s="1423"/>
    </row>
    <row r="774" spans="4:9" ht="15">
      <c r="D774" s="1423"/>
      <c r="E774" s="1423"/>
      <c r="F774" s="1423"/>
      <c r="G774" s="1423"/>
      <c r="H774" s="1423"/>
      <c r="I774" s="1423"/>
    </row>
    <row r="775" spans="4:9" ht="15">
      <c r="D775" s="1423"/>
      <c r="E775" s="1423"/>
      <c r="F775" s="1423"/>
      <c r="G775" s="1423"/>
      <c r="H775" s="1423"/>
      <c r="I775" s="1423"/>
    </row>
    <row r="776" spans="4:9" ht="15">
      <c r="D776" s="1423"/>
      <c r="E776" s="1423"/>
      <c r="F776" s="1423"/>
      <c r="G776" s="1423"/>
      <c r="H776" s="1423"/>
      <c r="I776" s="1423"/>
    </row>
    <row r="777" spans="4:9" ht="15">
      <c r="D777" s="1423"/>
      <c r="E777" s="1423"/>
      <c r="F777" s="1423"/>
      <c r="G777" s="1423"/>
      <c r="H777" s="1423"/>
      <c r="I777" s="1423"/>
    </row>
    <row r="778" spans="4:9" ht="15">
      <c r="D778" s="1423"/>
      <c r="E778" s="1423"/>
      <c r="F778" s="1423"/>
      <c r="G778" s="1423"/>
      <c r="H778" s="1423"/>
      <c r="I778" s="1423"/>
    </row>
    <row r="779" spans="4:9" ht="15">
      <c r="D779" s="1423"/>
      <c r="E779" s="1423"/>
      <c r="F779" s="1423"/>
      <c r="G779" s="1423"/>
      <c r="H779" s="1423"/>
      <c r="I779" s="1423"/>
    </row>
    <row r="780" spans="4:9" ht="15">
      <c r="D780" s="1423"/>
      <c r="E780" s="1423"/>
      <c r="F780" s="1423"/>
      <c r="G780" s="1423"/>
      <c r="H780" s="1423"/>
      <c r="I780" s="1423"/>
    </row>
    <row r="781" spans="4:9" ht="15">
      <c r="D781" s="1423"/>
      <c r="E781" s="1423"/>
      <c r="F781" s="1423"/>
      <c r="G781" s="1423"/>
      <c r="H781" s="1423"/>
      <c r="I781" s="1423"/>
    </row>
    <row r="782" spans="4:9" ht="15">
      <c r="D782" s="1423"/>
      <c r="E782" s="1423"/>
      <c r="F782" s="1423"/>
      <c r="G782" s="1423"/>
      <c r="H782" s="1423"/>
      <c r="I782" s="1423"/>
    </row>
    <row r="783" spans="4:9" ht="15">
      <c r="D783" s="1423"/>
      <c r="E783" s="1423"/>
      <c r="F783" s="1423"/>
      <c r="G783" s="1423"/>
      <c r="H783" s="1423"/>
      <c r="I783" s="1423"/>
    </row>
    <row r="784" spans="4:9" ht="15">
      <c r="D784" s="1423"/>
      <c r="E784" s="1423"/>
      <c r="F784" s="1423"/>
      <c r="G784" s="1423"/>
      <c r="H784" s="1423"/>
      <c r="I784" s="1423"/>
    </row>
    <row r="785" spans="4:9" ht="15">
      <c r="D785" s="1423"/>
      <c r="E785" s="1423"/>
      <c r="F785" s="1423"/>
      <c r="G785" s="1423"/>
      <c r="H785" s="1423"/>
      <c r="I785" s="1423"/>
    </row>
    <row r="786" spans="4:9" ht="15">
      <c r="D786" s="1423"/>
      <c r="E786" s="1423"/>
      <c r="F786" s="1423"/>
      <c r="G786" s="1423"/>
      <c r="H786" s="1423"/>
      <c r="I786" s="1423"/>
    </row>
    <row r="787" spans="4:9" ht="15">
      <c r="D787" s="1423"/>
      <c r="E787" s="1423"/>
      <c r="F787" s="1423"/>
      <c r="G787" s="1423"/>
      <c r="H787" s="1423"/>
      <c r="I787" s="1423"/>
    </row>
    <row r="788" spans="4:9" ht="15">
      <c r="D788" s="1423"/>
      <c r="E788" s="1423"/>
      <c r="F788" s="1423"/>
      <c r="G788" s="1423"/>
      <c r="H788" s="1423"/>
      <c r="I788" s="1423"/>
    </row>
    <row r="789" spans="4:9" ht="15">
      <c r="D789" s="1423"/>
      <c r="E789" s="1423"/>
      <c r="F789" s="1423"/>
      <c r="G789" s="1423"/>
      <c r="H789" s="1423"/>
      <c r="I789" s="1423"/>
    </row>
    <row r="790" spans="4:9" ht="15">
      <c r="D790" s="1423"/>
      <c r="E790" s="1423"/>
      <c r="F790" s="1423"/>
      <c r="G790" s="1423"/>
      <c r="H790" s="1423"/>
      <c r="I790" s="1423"/>
    </row>
    <row r="791" spans="4:9" ht="15">
      <c r="D791" s="1423"/>
      <c r="E791" s="1423"/>
      <c r="F791" s="1423"/>
      <c r="G791" s="1423"/>
      <c r="H791" s="1423"/>
      <c r="I791" s="1423"/>
    </row>
    <row r="792" spans="4:9" ht="15">
      <c r="D792" s="1423"/>
      <c r="E792" s="1423"/>
      <c r="F792" s="1423"/>
      <c r="G792" s="1423"/>
      <c r="H792" s="1423"/>
      <c r="I792" s="1423"/>
    </row>
    <row r="793" spans="4:9" ht="15">
      <c r="D793" s="1423"/>
      <c r="E793" s="1423"/>
      <c r="F793" s="1423"/>
      <c r="G793" s="1423"/>
      <c r="H793" s="1423"/>
      <c r="I793" s="1423"/>
    </row>
    <row r="794" spans="4:9" ht="15">
      <c r="D794" s="1423"/>
      <c r="E794" s="1423"/>
      <c r="F794" s="1423"/>
      <c r="G794" s="1423"/>
      <c r="H794" s="1423"/>
      <c r="I794" s="1423"/>
    </row>
    <row r="795" spans="4:9" ht="15">
      <c r="D795" s="1423"/>
      <c r="E795" s="1423"/>
      <c r="F795" s="1423"/>
      <c r="G795" s="1423"/>
      <c r="H795" s="1423"/>
      <c r="I795" s="1423"/>
    </row>
    <row r="796" spans="4:9" ht="15">
      <c r="D796" s="1423"/>
      <c r="E796" s="1423"/>
      <c r="F796" s="1423"/>
      <c r="G796" s="1423"/>
      <c r="H796" s="1423"/>
      <c r="I796" s="1423"/>
    </row>
    <row r="797" spans="4:9" ht="15">
      <c r="D797" s="1423"/>
      <c r="E797" s="1423"/>
      <c r="F797" s="1423"/>
      <c r="G797" s="1423"/>
      <c r="H797" s="1423"/>
      <c r="I797" s="1423"/>
    </row>
    <row r="798" spans="4:9" ht="15">
      <c r="D798" s="1423"/>
      <c r="E798" s="1423"/>
      <c r="F798" s="1423"/>
      <c r="G798" s="1423"/>
      <c r="H798" s="1423"/>
      <c r="I798" s="1423"/>
    </row>
    <row r="799" spans="4:9" ht="15">
      <c r="D799" s="1423"/>
      <c r="E799" s="1423"/>
      <c r="F799" s="1423"/>
      <c r="G799" s="1423"/>
      <c r="H799" s="1423"/>
      <c r="I799" s="1423"/>
    </row>
    <row r="800" spans="4:9" ht="15">
      <c r="D800" s="1423"/>
      <c r="E800" s="1423"/>
      <c r="F800" s="1423"/>
      <c r="G800" s="1423"/>
      <c r="H800" s="1423"/>
      <c r="I800" s="1423"/>
    </row>
    <row r="801" spans="4:9" ht="15">
      <c r="D801" s="1423"/>
      <c r="E801" s="1423"/>
      <c r="F801" s="1423"/>
      <c r="G801" s="1423"/>
      <c r="H801" s="1423"/>
      <c r="I801" s="1423"/>
    </row>
    <row r="802" spans="4:9" ht="15">
      <c r="D802" s="1423"/>
      <c r="E802" s="1423"/>
      <c r="F802" s="1423"/>
      <c r="G802" s="1423"/>
      <c r="H802" s="1423"/>
      <c r="I802" s="1423"/>
    </row>
    <row r="803" spans="4:9" ht="15">
      <c r="D803" s="1423"/>
      <c r="E803" s="1423"/>
      <c r="F803" s="1423"/>
      <c r="G803" s="1423"/>
      <c r="H803" s="1423"/>
      <c r="I803" s="1423"/>
    </row>
    <row r="804" spans="4:9" ht="15">
      <c r="D804" s="1423"/>
      <c r="E804" s="1423"/>
      <c r="F804" s="1423"/>
      <c r="G804" s="1423"/>
      <c r="H804" s="1423"/>
      <c r="I804" s="1423"/>
    </row>
    <row r="805" spans="4:9" ht="15">
      <c r="D805" s="1423"/>
      <c r="E805" s="1423"/>
      <c r="F805" s="1423"/>
      <c r="G805" s="1423"/>
      <c r="H805" s="1423"/>
      <c r="I805" s="1423"/>
    </row>
    <row r="806" spans="4:9" ht="15">
      <c r="D806" s="1423"/>
      <c r="E806" s="1423"/>
      <c r="F806" s="1423"/>
      <c r="G806" s="1423"/>
      <c r="H806" s="1423"/>
      <c r="I806" s="1423"/>
    </row>
    <row r="807" spans="4:9" ht="15">
      <c r="D807" s="1423"/>
      <c r="E807" s="1423"/>
      <c r="F807" s="1423"/>
      <c r="G807" s="1423"/>
      <c r="H807" s="1423"/>
      <c r="I807" s="1423"/>
    </row>
    <row r="808" spans="4:9" ht="15">
      <c r="D808" s="1423"/>
      <c r="E808" s="1423"/>
      <c r="F808" s="1423"/>
      <c r="G808" s="1423"/>
      <c r="H808" s="1423"/>
      <c r="I808" s="1423"/>
    </row>
    <row r="809" spans="4:9" ht="15">
      <c r="D809" s="1423"/>
      <c r="E809" s="1423"/>
      <c r="F809" s="1423"/>
      <c r="G809" s="1423"/>
      <c r="H809" s="1423"/>
      <c r="I809" s="1423"/>
    </row>
    <row r="810" spans="4:9" ht="15">
      <c r="D810" s="1423"/>
      <c r="E810" s="1423"/>
      <c r="F810" s="1423"/>
      <c r="G810" s="1423"/>
      <c r="H810" s="1423"/>
      <c r="I810" s="1423"/>
    </row>
    <row r="811" spans="4:9" ht="15">
      <c r="D811" s="1423"/>
      <c r="E811" s="1423"/>
      <c r="F811" s="1423"/>
      <c r="G811" s="1423"/>
      <c r="H811" s="1423"/>
      <c r="I811" s="1423"/>
    </row>
    <row r="812" spans="4:9" ht="15">
      <c r="D812" s="1423"/>
      <c r="E812" s="1423"/>
      <c r="F812" s="1423"/>
      <c r="G812" s="1423"/>
      <c r="H812" s="1423"/>
      <c r="I812" s="1423"/>
    </row>
    <row r="813" spans="4:9" ht="15">
      <c r="D813" s="1423"/>
      <c r="E813" s="1423"/>
      <c r="F813" s="1423"/>
      <c r="G813" s="1423"/>
      <c r="H813" s="1423"/>
      <c r="I813" s="1423"/>
    </row>
    <row r="814" spans="4:9" ht="15">
      <c r="D814" s="1423"/>
      <c r="E814" s="1423"/>
      <c r="F814" s="1423"/>
      <c r="G814" s="1423"/>
      <c r="H814" s="1423"/>
      <c r="I814" s="1423"/>
    </row>
    <row r="815" spans="4:9" ht="15">
      <c r="D815" s="1423"/>
      <c r="E815" s="1423"/>
      <c r="F815" s="1423"/>
      <c r="G815" s="1423"/>
      <c r="H815" s="1423"/>
      <c r="I815" s="1423"/>
    </row>
    <row r="816" spans="4:9" ht="15">
      <c r="D816" s="1423"/>
      <c r="E816" s="1423"/>
      <c r="F816" s="1423"/>
      <c r="G816" s="1423"/>
      <c r="H816" s="1423"/>
      <c r="I816" s="1423"/>
    </row>
    <row r="817" spans="4:9" ht="15">
      <c r="D817" s="1423"/>
      <c r="E817" s="1423"/>
      <c r="F817" s="1423"/>
      <c r="G817" s="1423"/>
      <c r="H817" s="1423"/>
      <c r="I817" s="1423"/>
    </row>
    <row r="818" spans="4:9" ht="15">
      <c r="D818" s="1423"/>
      <c r="E818" s="1423"/>
      <c r="F818" s="1423"/>
      <c r="G818" s="1423"/>
      <c r="H818" s="1423"/>
      <c r="I818" s="1423"/>
    </row>
    <row r="819" spans="4:9" ht="15">
      <c r="D819" s="1423"/>
      <c r="E819" s="1423"/>
      <c r="F819" s="1423"/>
      <c r="G819" s="1423"/>
      <c r="H819" s="1423"/>
      <c r="I819" s="1423"/>
    </row>
    <row r="820" spans="4:9" ht="15">
      <c r="D820" s="1423"/>
      <c r="E820" s="1423"/>
      <c r="F820" s="1423"/>
      <c r="G820" s="1423"/>
      <c r="H820" s="1423"/>
      <c r="I820" s="1423"/>
    </row>
    <row r="821" spans="4:9" ht="15">
      <c r="D821" s="1423"/>
      <c r="E821" s="1423"/>
      <c r="F821" s="1423"/>
      <c r="G821" s="1423"/>
      <c r="H821" s="1423"/>
      <c r="I821" s="1423"/>
    </row>
    <row r="822" spans="4:9" ht="15">
      <c r="D822" s="1423"/>
      <c r="E822" s="1423"/>
      <c r="F822" s="1423"/>
      <c r="G822" s="1423"/>
      <c r="H822" s="1423"/>
      <c r="I822" s="1423"/>
    </row>
    <row r="823" spans="4:9" ht="15">
      <c r="D823" s="1423"/>
      <c r="E823" s="1423"/>
      <c r="F823" s="1423"/>
      <c r="G823" s="1423"/>
      <c r="H823" s="1423"/>
      <c r="I823" s="1423"/>
    </row>
    <row r="824" spans="4:9" ht="15">
      <c r="D824" s="1423"/>
      <c r="E824" s="1423"/>
      <c r="F824" s="1423"/>
      <c r="G824" s="1423"/>
      <c r="H824" s="1423"/>
      <c r="I824" s="1423"/>
    </row>
    <row r="825" spans="4:9" ht="15">
      <c r="D825" s="1423"/>
      <c r="E825" s="1423"/>
      <c r="F825" s="1423"/>
      <c r="G825" s="1423"/>
      <c r="H825" s="1423"/>
      <c r="I825" s="1423"/>
    </row>
    <row r="826" spans="4:9" ht="15">
      <c r="D826" s="1423"/>
      <c r="E826" s="1423"/>
      <c r="F826" s="1423"/>
      <c r="G826" s="1423"/>
      <c r="H826" s="1423"/>
      <c r="I826" s="1423"/>
    </row>
    <row r="827" spans="4:9" ht="15">
      <c r="D827" s="1423"/>
      <c r="E827" s="1423"/>
      <c r="F827" s="1423"/>
      <c r="G827" s="1423"/>
      <c r="H827" s="1423"/>
      <c r="I827" s="1423"/>
    </row>
    <row r="828" spans="4:9" ht="15">
      <c r="D828" s="1423"/>
      <c r="E828" s="1423"/>
      <c r="F828" s="1423"/>
      <c r="G828" s="1423"/>
      <c r="H828" s="1423"/>
      <c r="I828" s="1423"/>
    </row>
    <row r="829" spans="4:9" ht="15">
      <c r="D829" s="1423"/>
      <c r="E829" s="1423"/>
      <c r="F829" s="1423"/>
      <c r="G829" s="1423"/>
      <c r="H829" s="1423"/>
      <c r="I829" s="1423"/>
    </row>
    <row r="830" spans="4:9" ht="15">
      <c r="D830" s="1423"/>
      <c r="E830" s="1423"/>
      <c r="F830" s="1423"/>
      <c r="G830" s="1423"/>
      <c r="H830" s="1423"/>
      <c r="I830" s="1423"/>
    </row>
    <row r="831" spans="4:9" ht="15">
      <c r="D831" s="1423"/>
      <c r="E831" s="1423"/>
      <c r="F831" s="1423"/>
      <c r="G831" s="1423"/>
      <c r="H831" s="1423"/>
      <c r="I831" s="1423"/>
    </row>
    <row r="832" spans="4:9" ht="15">
      <c r="D832" s="1423"/>
      <c r="E832" s="1423"/>
      <c r="F832" s="1423"/>
      <c r="G832" s="1423"/>
      <c r="H832" s="1423"/>
      <c r="I832" s="1423"/>
    </row>
    <row r="833" spans="4:9" ht="15">
      <c r="D833" s="1423"/>
      <c r="E833" s="1423"/>
      <c r="F833" s="1423"/>
      <c r="G833" s="1423"/>
      <c r="H833" s="1423"/>
      <c r="I833" s="1423"/>
    </row>
    <row r="834" spans="4:9" ht="15">
      <c r="D834" s="1423"/>
      <c r="E834" s="1423"/>
      <c r="F834" s="1423"/>
      <c r="G834" s="1423"/>
      <c r="H834" s="1423"/>
      <c r="I834" s="1423"/>
    </row>
    <row r="835" spans="4:9" ht="15">
      <c r="D835" s="1423"/>
      <c r="E835" s="1423"/>
      <c r="F835" s="1423"/>
      <c r="G835" s="1423"/>
      <c r="H835" s="1423"/>
      <c r="I835" s="1423"/>
    </row>
    <row r="836" spans="4:9" ht="15">
      <c r="D836" s="1423"/>
      <c r="E836" s="1423"/>
      <c r="F836" s="1423"/>
      <c r="G836" s="1423"/>
      <c r="H836" s="1423"/>
      <c r="I836" s="1423"/>
    </row>
    <row r="837" spans="4:9" ht="15">
      <c r="D837" s="1423"/>
      <c r="E837" s="1423"/>
      <c r="F837" s="1423"/>
      <c r="G837" s="1423"/>
      <c r="H837" s="1423"/>
      <c r="I837" s="1423"/>
    </row>
    <row r="838" spans="4:9" ht="15">
      <c r="D838" s="1423"/>
      <c r="E838" s="1423"/>
      <c r="F838" s="1423"/>
      <c r="G838" s="1423"/>
      <c r="H838" s="1423"/>
      <c r="I838" s="1423"/>
    </row>
    <row r="839" spans="4:9" ht="15">
      <c r="D839" s="1423"/>
      <c r="E839" s="1423"/>
      <c r="F839" s="1423"/>
      <c r="G839" s="1423"/>
      <c r="H839" s="1423"/>
      <c r="I839" s="1423"/>
    </row>
    <row r="840" spans="4:9" ht="15">
      <c r="D840" s="1423"/>
      <c r="E840" s="1423"/>
      <c r="F840" s="1423"/>
      <c r="G840" s="1423"/>
      <c r="H840" s="1423"/>
      <c r="I840" s="1423"/>
    </row>
    <row r="841" spans="4:9" ht="15">
      <c r="D841" s="1423"/>
      <c r="E841" s="1423"/>
      <c r="F841" s="1423"/>
      <c r="G841" s="1423"/>
      <c r="H841" s="1423"/>
      <c r="I841" s="1423"/>
    </row>
    <row r="842" spans="4:9" ht="15">
      <c r="D842" s="1423"/>
      <c r="E842" s="1423"/>
      <c r="F842" s="1423"/>
      <c r="G842" s="1423"/>
      <c r="H842" s="1423"/>
      <c r="I842" s="1423"/>
    </row>
    <row r="843" spans="4:9" ht="15">
      <c r="D843" s="1423"/>
      <c r="E843" s="1423"/>
      <c r="F843" s="1423"/>
      <c r="G843" s="1423"/>
      <c r="H843" s="1423"/>
      <c r="I843" s="1423"/>
    </row>
    <row r="844" spans="4:9" ht="15">
      <c r="D844" s="1423"/>
      <c r="E844" s="1423"/>
      <c r="F844" s="1423"/>
      <c r="G844" s="1423"/>
      <c r="H844" s="1423"/>
      <c r="I844" s="1423"/>
    </row>
    <row r="845" spans="4:9" ht="15">
      <c r="D845" s="1423"/>
      <c r="E845" s="1423"/>
      <c r="F845" s="1423"/>
      <c r="G845" s="1423"/>
      <c r="H845" s="1423"/>
      <c r="I845" s="1423"/>
    </row>
    <row r="846" spans="4:9" ht="15">
      <c r="D846" s="1423"/>
      <c r="E846" s="1423"/>
      <c r="F846" s="1423"/>
      <c r="G846" s="1423"/>
      <c r="H846" s="1423"/>
      <c r="I846" s="1423"/>
    </row>
    <row r="847" spans="4:9" ht="15">
      <c r="D847" s="1423"/>
      <c r="E847" s="1423"/>
      <c r="F847" s="1423"/>
      <c r="G847" s="1423"/>
      <c r="H847" s="1423"/>
      <c r="I847" s="1423"/>
    </row>
    <row r="848" spans="4:9" ht="15">
      <c r="D848" s="1423"/>
      <c r="E848" s="1423"/>
      <c r="F848" s="1423"/>
      <c r="G848" s="1423"/>
      <c r="H848" s="1423"/>
      <c r="I848" s="1423"/>
    </row>
    <row r="849" spans="4:9" ht="15">
      <c r="D849" s="1423"/>
      <c r="E849" s="1423"/>
      <c r="F849" s="1423"/>
      <c r="G849" s="1423"/>
      <c r="H849" s="1423"/>
      <c r="I849" s="1423"/>
    </row>
    <row r="850" spans="4:9" ht="15">
      <c r="D850" s="1423"/>
      <c r="E850" s="1423"/>
      <c r="F850" s="1423"/>
      <c r="G850" s="1423"/>
      <c r="H850" s="1423"/>
      <c r="I850" s="1423"/>
    </row>
    <row r="851" spans="4:9" ht="15">
      <c r="D851" s="1423"/>
      <c r="E851" s="1423"/>
      <c r="F851" s="1423"/>
      <c r="G851" s="1423"/>
      <c r="H851" s="1423"/>
      <c r="I851" s="1423"/>
    </row>
    <row r="852" spans="4:9" ht="15">
      <c r="D852" s="1423"/>
      <c r="E852" s="1423"/>
      <c r="F852" s="1423"/>
      <c r="G852" s="1423"/>
      <c r="H852" s="1423"/>
      <c r="I852" s="1423"/>
    </row>
    <row r="853" spans="4:9" ht="15">
      <c r="D853" s="1423"/>
      <c r="E853" s="1423"/>
      <c r="F853" s="1423"/>
      <c r="G853" s="1423"/>
      <c r="H853" s="1423"/>
      <c r="I853" s="1423"/>
    </row>
    <row r="854" spans="4:9" ht="15">
      <c r="D854" s="1423"/>
      <c r="E854" s="1423"/>
      <c r="F854" s="1423"/>
      <c r="G854" s="1423"/>
      <c r="H854" s="1423"/>
      <c r="I854" s="1423"/>
    </row>
    <row r="855" spans="4:9" ht="15">
      <c r="D855" s="1423"/>
      <c r="E855" s="1423"/>
      <c r="F855" s="1423"/>
      <c r="G855" s="1423"/>
      <c r="H855" s="1423"/>
      <c r="I855" s="1423"/>
    </row>
    <row r="856" spans="4:9" ht="15">
      <c r="D856" s="1423"/>
      <c r="E856" s="1423"/>
      <c r="F856" s="1423"/>
      <c r="G856" s="1423"/>
      <c r="H856" s="1423"/>
      <c r="I856" s="1423"/>
    </row>
    <row r="857" spans="4:9" ht="15">
      <c r="D857" s="1423"/>
      <c r="E857" s="1423"/>
      <c r="F857" s="1423"/>
      <c r="G857" s="1423"/>
      <c r="H857" s="1423"/>
      <c r="I857" s="1423"/>
    </row>
    <row r="858" spans="4:9" ht="15">
      <c r="D858" s="1423"/>
      <c r="E858" s="1423"/>
      <c r="F858" s="1423"/>
      <c r="G858" s="1423"/>
      <c r="H858" s="1423"/>
      <c r="I858" s="1423"/>
    </row>
    <row r="859" spans="4:9" ht="15">
      <c r="D859" s="1423"/>
      <c r="E859" s="1423"/>
      <c r="F859" s="1423"/>
      <c r="G859" s="1423"/>
      <c r="H859" s="1423"/>
      <c r="I859" s="1423"/>
    </row>
    <row r="860" spans="4:9" ht="15">
      <c r="D860" s="1423"/>
      <c r="E860" s="1423"/>
      <c r="F860" s="1423"/>
      <c r="G860" s="1423"/>
      <c r="H860" s="1423"/>
      <c r="I860" s="1423"/>
    </row>
    <row r="861" spans="4:9" ht="15">
      <c r="D861" s="1423"/>
      <c r="E861" s="1423"/>
      <c r="F861" s="1423"/>
      <c r="G861" s="1423"/>
      <c r="H861" s="1423"/>
      <c r="I861" s="1423"/>
    </row>
    <row r="862" spans="4:9" ht="15">
      <c r="D862" s="1423"/>
      <c r="E862" s="1423"/>
      <c r="F862" s="1423"/>
      <c r="G862" s="1423"/>
      <c r="H862" s="1423"/>
      <c r="I862" s="1423"/>
    </row>
    <row r="863" spans="4:9" ht="15">
      <c r="D863" s="1423"/>
      <c r="E863" s="1423"/>
      <c r="F863" s="1423"/>
      <c r="G863" s="1423"/>
      <c r="H863" s="1423"/>
      <c r="I863" s="1423"/>
    </row>
    <row r="864" spans="4:9" ht="15">
      <c r="D864" s="1423"/>
      <c r="E864" s="1423"/>
      <c r="F864" s="1423"/>
      <c r="G864" s="1423"/>
      <c r="H864" s="1423"/>
      <c r="I864" s="1423"/>
    </row>
    <row r="865" spans="4:9" ht="15">
      <c r="D865" s="1423"/>
      <c r="E865" s="1423"/>
      <c r="F865" s="1423"/>
      <c r="G865" s="1423"/>
      <c r="H865" s="1423"/>
      <c r="I865" s="1423"/>
    </row>
    <row r="866" spans="4:9" ht="15">
      <c r="D866" s="1423"/>
      <c r="E866" s="1423"/>
      <c r="F866" s="1423"/>
      <c r="G866" s="1423"/>
      <c r="H866" s="1423"/>
      <c r="I866" s="1423"/>
    </row>
    <row r="867" spans="4:9" ht="15">
      <c r="D867" s="1423"/>
      <c r="E867" s="1423"/>
      <c r="F867" s="1423"/>
      <c r="G867" s="1423"/>
      <c r="H867" s="1423"/>
      <c r="I867" s="1423"/>
    </row>
    <row r="868" spans="4:9" ht="15">
      <c r="D868" s="1423"/>
      <c r="E868" s="1423"/>
      <c r="F868" s="1423"/>
      <c r="G868" s="1423"/>
      <c r="H868" s="1423"/>
      <c r="I868" s="1423"/>
    </row>
    <row r="869" spans="4:9" ht="15">
      <c r="D869" s="1423"/>
      <c r="E869" s="1423"/>
      <c r="F869" s="1423"/>
      <c r="G869" s="1423"/>
      <c r="H869" s="1423"/>
      <c r="I869" s="1423"/>
    </row>
    <row r="870" spans="4:9" ht="15">
      <c r="D870" s="1423"/>
      <c r="E870" s="1423"/>
      <c r="F870" s="1423"/>
      <c r="G870" s="1423"/>
      <c r="H870" s="1423"/>
      <c r="I870" s="1423"/>
    </row>
    <row r="871" spans="4:9" ht="15">
      <c r="D871" s="1423"/>
      <c r="E871" s="1423"/>
      <c r="F871" s="1423"/>
      <c r="G871" s="1423"/>
      <c r="H871" s="1423"/>
      <c r="I871" s="1423"/>
    </row>
    <row r="872" spans="4:9" ht="15">
      <c r="D872" s="1423"/>
      <c r="E872" s="1423"/>
      <c r="F872" s="1423"/>
      <c r="G872" s="1423"/>
      <c r="H872" s="1423"/>
      <c r="I872" s="1423"/>
    </row>
    <row r="873" spans="4:9" ht="15">
      <c r="D873" s="1423"/>
      <c r="E873" s="1423"/>
      <c r="F873" s="1423"/>
      <c r="G873" s="1423"/>
      <c r="H873" s="1423"/>
      <c r="I873" s="1423"/>
    </row>
    <row r="874" spans="4:9" ht="15">
      <c r="D874" s="1423"/>
      <c r="E874" s="1423"/>
      <c r="F874" s="1423"/>
      <c r="G874" s="1423"/>
      <c r="H874" s="1423"/>
      <c r="I874" s="1423"/>
    </row>
    <row r="875" spans="4:9" ht="15">
      <c r="D875" s="1423"/>
      <c r="E875" s="1423"/>
      <c r="F875" s="1423"/>
      <c r="G875" s="1423"/>
      <c r="H875" s="1423"/>
      <c r="I875" s="1423"/>
    </row>
    <row r="876" spans="4:9" ht="15">
      <c r="D876" s="1423"/>
      <c r="E876" s="1423"/>
      <c r="F876" s="1423"/>
      <c r="G876" s="1423"/>
      <c r="H876" s="1423"/>
      <c r="I876" s="1423"/>
    </row>
    <row r="877" spans="4:9" ht="15">
      <c r="D877" s="1423"/>
      <c r="E877" s="1423"/>
      <c r="F877" s="1423"/>
      <c r="G877" s="1423"/>
      <c r="H877" s="1423"/>
      <c r="I877" s="1423"/>
    </row>
    <row r="878" spans="4:9" ht="15">
      <c r="D878" s="1423"/>
      <c r="E878" s="1423"/>
      <c r="F878" s="1423"/>
      <c r="G878" s="1423"/>
      <c r="H878" s="1423"/>
      <c r="I878" s="1423"/>
    </row>
    <row r="879" spans="4:9" ht="15">
      <c r="D879" s="1423"/>
      <c r="E879" s="1423"/>
      <c r="F879" s="1423"/>
      <c r="G879" s="1423"/>
      <c r="H879" s="1423"/>
      <c r="I879" s="1423"/>
    </row>
    <row r="880" spans="4:9" ht="15">
      <c r="D880" s="1423"/>
      <c r="E880" s="1423"/>
      <c r="F880" s="1423"/>
      <c r="G880" s="1423"/>
      <c r="H880" s="1423"/>
      <c r="I880" s="1423"/>
    </row>
    <row r="881" spans="4:9" ht="15">
      <c r="D881" s="1423"/>
      <c r="E881" s="1423"/>
      <c r="F881" s="1423"/>
      <c r="G881" s="1423"/>
      <c r="H881" s="1423"/>
      <c r="I881" s="1423"/>
    </row>
    <row r="882" spans="4:9" ht="15">
      <c r="D882" s="1423"/>
      <c r="E882" s="1423"/>
      <c r="F882" s="1423"/>
      <c r="G882" s="1423"/>
      <c r="H882" s="1423"/>
      <c r="I882" s="1423"/>
    </row>
    <row r="883" spans="4:9" ht="15">
      <c r="D883" s="1423"/>
      <c r="E883" s="1423"/>
      <c r="F883" s="1423"/>
      <c r="G883" s="1423"/>
      <c r="H883" s="1423"/>
      <c r="I883" s="1423"/>
    </row>
    <row r="884" spans="4:9" ht="15">
      <c r="D884" s="1423"/>
      <c r="E884" s="1423"/>
      <c r="F884" s="1423"/>
      <c r="G884" s="1423"/>
      <c r="H884" s="1423"/>
      <c r="I884" s="1423"/>
    </row>
    <row r="885" spans="4:9" ht="15">
      <c r="D885" s="1423"/>
      <c r="E885" s="1423"/>
      <c r="F885" s="1423"/>
      <c r="G885" s="1423"/>
      <c r="H885" s="1423"/>
      <c r="I885" s="1423"/>
    </row>
    <row r="886" spans="4:9" ht="15">
      <c r="D886" s="1423"/>
      <c r="E886" s="1423"/>
      <c r="F886" s="1423"/>
      <c r="G886" s="1423"/>
      <c r="H886" s="1423"/>
      <c r="I886" s="1423"/>
    </row>
    <row r="887" spans="4:9" ht="15">
      <c r="D887" s="1423"/>
      <c r="E887" s="1423"/>
      <c r="F887" s="1423"/>
      <c r="G887" s="1423"/>
      <c r="H887" s="1423"/>
      <c r="I887" s="1423"/>
    </row>
    <row r="888" spans="4:9" ht="15">
      <c r="D888" s="1423"/>
      <c r="E888" s="1423"/>
      <c r="F888" s="1423"/>
      <c r="G888" s="1423"/>
      <c r="H888" s="1423"/>
      <c r="I888" s="1423"/>
    </row>
    <row r="889" spans="4:9" ht="15">
      <c r="D889" s="1423"/>
      <c r="E889" s="1423"/>
      <c r="F889" s="1423"/>
      <c r="G889" s="1423"/>
      <c r="H889" s="1423"/>
      <c r="I889" s="1423"/>
    </row>
    <row r="890" spans="4:9" ht="15">
      <c r="D890" s="1423"/>
      <c r="E890" s="1423"/>
      <c r="F890" s="1423"/>
      <c r="G890" s="1423"/>
      <c r="H890" s="1423"/>
      <c r="I890" s="1423"/>
    </row>
    <row r="891" spans="4:9" ht="15">
      <c r="D891" s="1423"/>
      <c r="E891" s="1423"/>
      <c r="F891" s="1423"/>
      <c r="G891" s="1423"/>
      <c r="H891" s="1423"/>
      <c r="I891" s="1423"/>
    </row>
    <row r="892" spans="4:9" ht="15">
      <c r="D892" s="1423"/>
      <c r="E892" s="1423"/>
      <c r="F892" s="1423"/>
      <c r="G892" s="1423"/>
      <c r="H892" s="1423"/>
      <c r="I892" s="1423"/>
    </row>
    <row r="893" spans="4:9" ht="15">
      <c r="D893" s="1423"/>
      <c r="E893" s="1423"/>
      <c r="F893" s="1423"/>
      <c r="G893" s="1423"/>
      <c r="H893" s="1423"/>
      <c r="I893" s="1423"/>
    </row>
    <row r="894" spans="4:9" ht="15">
      <c r="D894" s="1423"/>
      <c r="E894" s="1423"/>
      <c r="F894" s="1423"/>
      <c r="G894" s="1423"/>
      <c r="H894" s="1423"/>
      <c r="I894" s="1423"/>
    </row>
    <row r="895" spans="4:9" ht="15">
      <c r="D895" s="1423"/>
      <c r="E895" s="1423"/>
      <c r="F895" s="1423"/>
      <c r="G895" s="1423"/>
      <c r="H895" s="1423"/>
      <c r="I895" s="1423"/>
    </row>
    <row r="896" spans="4:9" ht="15">
      <c r="D896" s="1423"/>
      <c r="E896" s="1423"/>
      <c r="F896" s="1423"/>
      <c r="G896" s="1423"/>
      <c r="H896" s="1423"/>
      <c r="I896" s="1423"/>
    </row>
    <row r="897" spans="4:9" ht="15">
      <c r="D897" s="1423"/>
      <c r="E897" s="1423"/>
      <c r="F897" s="1423"/>
      <c r="G897" s="1423"/>
      <c r="H897" s="1423"/>
      <c r="I897" s="1423"/>
    </row>
    <row r="898" spans="4:9" ht="15">
      <c r="D898" s="1423"/>
      <c r="E898" s="1423"/>
      <c r="F898" s="1423"/>
      <c r="G898" s="1423"/>
      <c r="H898" s="1423"/>
      <c r="I898" s="1423"/>
    </row>
    <row r="899" spans="4:9" ht="15">
      <c r="D899" s="1423"/>
      <c r="E899" s="1423"/>
      <c r="F899" s="1423"/>
      <c r="G899" s="1423"/>
      <c r="H899" s="1423"/>
      <c r="I899" s="1423"/>
    </row>
    <row r="900" spans="4:9" ht="15">
      <c r="D900" s="1423"/>
      <c r="E900" s="1423"/>
      <c r="F900" s="1423"/>
      <c r="G900" s="1423"/>
      <c r="H900" s="1423"/>
      <c r="I900" s="1423"/>
    </row>
    <row r="901" spans="4:9" ht="15">
      <c r="D901" s="1423"/>
      <c r="E901" s="1423"/>
      <c r="F901" s="1423"/>
      <c r="G901" s="1423"/>
      <c r="H901" s="1423"/>
      <c r="I901" s="1423"/>
    </row>
    <row r="902" spans="4:9" ht="15">
      <c r="D902" s="1423"/>
      <c r="E902" s="1423"/>
      <c r="F902" s="1423"/>
      <c r="G902" s="1423"/>
      <c r="H902" s="1423"/>
      <c r="I902" s="1423"/>
    </row>
    <row r="903" spans="4:9" ht="15">
      <c r="D903" s="1423"/>
      <c r="E903" s="1423"/>
      <c r="F903" s="1423"/>
      <c r="G903" s="1423"/>
      <c r="H903" s="1423"/>
      <c r="I903" s="1423"/>
    </row>
    <row r="904" spans="4:9" ht="15">
      <c r="D904" s="1423"/>
      <c r="E904" s="1423"/>
      <c r="F904" s="1423"/>
      <c r="G904" s="1423"/>
      <c r="H904" s="1423"/>
      <c r="I904" s="1423"/>
    </row>
    <row r="905" spans="4:9" ht="15">
      <c r="D905" s="1423"/>
      <c r="E905" s="1423"/>
      <c r="F905" s="1423"/>
      <c r="G905" s="1423"/>
      <c r="H905" s="1423"/>
      <c r="I905" s="1423"/>
    </row>
    <row r="906" spans="4:9" ht="15">
      <c r="D906" s="1423"/>
      <c r="E906" s="1423"/>
      <c r="F906" s="1423"/>
      <c r="G906" s="1423"/>
      <c r="H906" s="1423"/>
      <c r="I906" s="1423"/>
    </row>
    <row r="907" spans="4:9" ht="15">
      <c r="D907" s="1423"/>
      <c r="E907" s="1423"/>
      <c r="F907" s="1423"/>
      <c r="G907" s="1423"/>
      <c r="H907" s="1423"/>
      <c r="I907" s="1423"/>
    </row>
    <row r="908" spans="4:9" ht="15">
      <c r="D908" s="1423"/>
      <c r="E908" s="1423"/>
      <c r="F908" s="1423"/>
      <c r="G908" s="1423"/>
      <c r="H908" s="1423"/>
      <c r="I908" s="1423"/>
    </row>
    <row r="909" spans="4:9" ht="15">
      <c r="D909" s="1423"/>
      <c r="E909" s="1423"/>
      <c r="F909" s="1423"/>
      <c r="G909" s="1423"/>
      <c r="H909" s="1423"/>
      <c r="I909" s="1423"/>
    </row>
    <row r="910" spans="4:9" ht="15">
      <c r="D910" s="1423"/>
      <c r="E910" s="1423"/>
      <c r="F910" s="1423"/>
      <c r="G910" s="1423"/>
      <c r="H910" s="1423"/>
      <c r="I910" s="1423"/>
    </row>
    <row r="911" spans="4:9" ht="15">
      <c r="D911" s="1423"/>
      <c r="E911" s="1423"/>
      <c r="F911" s="1423"/>
      <c r="G911" s="1423"/>
      <c r="H911" s="1423"/>
      <c r="I911" s="1423"/>
    </row>
    <row r="912" spans="4:9" ht="15">
      <c r="D912" s="1423"/>
      <c r="E912" s="1423"/>
      <c r="F912" s="1423"/>
      <c r="G912" s="1423"/>
      <c r="H912" s="1423"/>
      <c r="I912" s="1423"/>
    </row>
    <row r="913" spans="4:9" ht="15">
      <c r="D913" s="1423"/>
      <c r="E913" s="1423"/>
      <c r="F913" s="1423"/>
      <c r="G913" s="1423"/>
      <c r="H913" s="1423"/>
      <c r="I913" s="1423"/>
    </row>
    <row r="914" spans="4:9" ht="15">
      <c r="D914" s="1423"/>
      <c r="E914" s="1423"/>
      <c r="F914" s="1423"/>
      <c r="G914" s="1423"/>
      <c r="H914" s="1423"/>
      <c r="I914" s="1423"/>
    </row>
    <row r="915" spans="4:9" ht="15">
      <c r="D915" s="1423"/>
      <c r="E915" s="1423"/>
      <c r="F915" s="1423"/>
      <c r="G915" s="1423"/>
      <c r="H915" s="1423"/>
      <c r="I915" s="1423"/>
    </row>
    <row r="916" spans="4:9" ht="15">
      <c r="D916" s="1423"/>
      <c r="E916" s="1423"/>
      <c r="F916" s="1423"/>
      <c r="G916" s="1423"/>
      <c r="H916" s="1423"/>
      <c r="I916" s="1423"/>
    </row>
    <row r="917" spans="4:9" ht="15">
      <c r="D917" s="1423"/>
      <c r="E917" s="1423"/>
      <c r="F917" s="1423"/>
      <c r="G917" s="1423"/>
      <c r="H917" s="1423"/>
      <c r="I917" s="1423"/>
    </row>
    <row r="918" spans="4:9" ht="15">
      <c r="D918" s="1423"/>
      <c r="E918" s="1423"/>
      <c r="F918" s="1423"/>
      <c r="G918" s="1423"/>
      <c r="H918" s="1423"/>
      <c r="I918" s="1423"/>
    </row>
    <row r="919" spans="4:9" ht="15">
      <c r="D919" s="1423"/>
      <c r="E919" s="1423"/>
      <c r="F919" s="1423"/>
      <c r="G919" s="1423"/>
      <c r="H919" s="1423"/>
      <c r="I919" s="1423"/>
    </row>
    <row r="920" spans="4:9" ht="15">
      <c r="D920" s="1423"/>
      <c r="E920" s="1423"/>
      <c r="F920" s="1423"/>
      <c r="G920" s="1423"/>
      <c r="H920" s="1423"/>
      <c r="I920" s="1423"/>
    </row>
    <row r="921" spans="4:9" ht="15">
      <c r="D921" s="1423"/>
      <c r="E921" s="1423"/>
      <c r="F921" s="1423"/>
      <c r="G921" s="1423"/>
      <c r="H921" s="1423"/>
      <c r="I921" s="1423"/>
    </row>
    <row r="922" spans="4:9" ht="15">
      <c r="D922" s="1423"/>
      <c r="E922" s="1423"/>
      <c r="F922" s="1423"/>
      <c r="G922" s="1423"/>
      <c r="H922" s="1423"/>
      <c r="I922" s="1423"/>
    </row>
    <row r="923" spans="4:9" ht="15">
      <c r="D923" s="1423"/>
      <c r="E923" s="1423"/>
      <c r="F923" s="1423"/>
      <c r="G923" s="1423"/>
      <c r="H923" s="1423"/>
      <c r="I923" s="1423"/>
    </row>
    <row r="924" spans="4:9" ht="15">
      <c r="D924" s="1423"/>
      <c r="E924" s="1423"/>
      <c r="F924" s="1423"/>
      <c r="G924" s="1423"/>
      <c r="H924" s="1423"/>
      <c r="I924" s="1423"/>
    </row>
    <row r="925" spans="4:9" ht="15">
      <c r="D925" s="1423"/>
      <c r="E925" s="1423"/>
      <c r="F925" s="1423"/>
      <c r="G925" s="1423"/>
      <c r="H925" s="1423"/>
      <c r="I925" s="1423"/>
    </row>
    <row r="926" spans="4:9" ht="15">
      <c r="D926" s="1423"/>
      <c r="E926" s="1423"/>
      <c r="F926" s="1423"/>
      <c r="G926" s="1423"/>
      <c r="H926" s="1423"/>
      <c r="I926" s="1423"/>
    </row>
    <row r="927" spans="4:9" ht="15">
      <c r="D927" s="1423"/>
      <c r="E927" s="1423"/>
      <c r="F927" s="1423"/>
      <c r="G927" s="1423"/>
      <c r="H927" s="1423"/>
      <c r="I927" s="1423"/>
    </row>
    <row r="928" spans="4:9" ht="15">
      <c r="D928" s="1423"/>
      <c r="E928" s="1423"/>
      <c r="F928" s="1423"/>
      <c r="G928" s="1423"/>
      <c r="H928" s="1423"/>
      <c r="I928" s="1423"/>
    </row>
    <row r="929" spans="4:9" ht="15">
      <c r="D929" s="1423"/>
      <c r="E929" s="1423"/>
      <c r="F929" s="1423"/>
      <c r="G929" s="1423"/>
      <c r="H929" s="1423"/>
      <c r="I929" s="1423"/>
    </row>
    <row r="930" spans="4:9" ht="15">
      <c r="D930" s="1423"/>
      <c r="E930" s="1423"/>
      <c r="F930" s="1423"/>
      <c r="G930" s="1423"/>
      <c r="H930" s="1423"/>
      <c r="I930" s="1423"/>
    </row>
    <row r="931" spans="4:9" ht="15">
      <c r="D931" s="1423"/>
      <c r="E931" s="1423"/>
      <c r="F931" s="1423"/>
      <c r="G931" s="1423"/>
      <c r="H931" s="1423"/>
      <c r="I931" s="1423"/>
    </row>
    <row r="932" spans="4:9" ht="15">
      <c r="D932" s="1423"/>
      <c r="E932" s="1423"/>
      <c r="F932" s="1423"/>
      <c r="G932" s="1423"/>
      <c r="H932" s="1423"/>
      <c r="I932" s="1423"/>
    </row>
    <row r="933" spans="4:9" ht="15">
      <c r="D933" s="1423"/>
      <c r="E933" s="1423"/>
      <c r="F933" s="1423"/>
      <c r="G933" s="1423"/>
      <c r="H933" s="1423"/>
      <c r="I933" s="1423"/>
    </row>
    <row r="934" spans="4:9" ht="15">
      <c r="D934" s="1423"/>
      <c r="E934" s="1423"/>
      <c r="F934" s="1423"/>
      <c r="G934" s="1423"/>
      <c r="H934" s="1423"/>
      <c r="I934" s="1423"/>
    </row>
    <row r="935" spans="4:9" ht="15">
      <c r="D935" s="1423"/>
      <c r="E935" s="1423"/>
      <c r="F935" s="1423"/>
      <c r="G935" s="1423"/>
      <c r="H935" s="1423"/>
      <c r="I935" s="1423"/>
    </row>
    <row r="936" spans="4:9" ht="15">
      <c r="D936" s="1423"/>
      <c r="E936" s="1423"/>
      <c r="F936" s="1423"/>
      <c r="G936" s="1423"/>
      <c r="H936" s="1423"/>
      <c r="I936" s="1423"/>
    </row>
    <row r="937" spans="4:9" ht="15">
      <c r="D937" s="1423"/>
      <c r="E937" s="1423"/>
      <c r="F937" s="1423"/>
      <c r="G937" s="1423"/>
      <c r="H937" s="1423"/>
      <c r="I937" s="1423"/>
    </row>
    <row r="938" spans="4:9" ht="15">
      <c r="D938" s="1423"/>
      <c r="E938" s="1423"/>
      <c r="F938" s="1423"/>
      <c r="G938" s="1423"/>
      <c r="H938" s="1423"/>
      <c r="I938" s="1423"/>
    </row>
    <row r="939" spans="4:9" ht="15">
      <c r="D939" s="1423"/>
      <c r="E939" s="1423"/>
      <c r="F939" s="1423"/>
      <c r="G939" s="1423"/>
      <c r="H939" s="1423"/>
      <c r="I939" s="1423"/>
    </row>
    <row r="940" spans="4:9" ht="15">
      <c r="D940" s="1423"/>
      <c r="E940" s="1423"/>
      <c r="F940" s="1423"/>
      <c r="G940" s="1423"/>
      <c r="H940" s="1423"/>
      <c r="I940" s="1423"/>
    </row>
    <row r="941" spans="4:9" ht="15">
      <c r="D941" s="1423"/>
      <c r="E941" s="1423"/>
      <c r="F941" s="1423"/>
      <c r="G941" s="1423"/>
      <c r="H941" s="1423"/>
      <c r="I941" s="1423"/>
    </row>
    <row r="942" spans="4:9" ht="15">
      <c r="D942" s="1423"/>
      <c r="E942" s="1423"/>
      <c r="F942" s="1423"/>
      <c r="G942" s="1423"/>
      <c r="H942" s="1423"/>
      <c r="I942" s="1423"/>
    </row>
    <row r="943" spans="4:9" ht="15">
      <c r="D943" s="1423"/>
      <c r="E943" s="1423"/>
      <c r="F943" s="1423"/>
      <c r="G943" s="1423"/>
      <c r="H943" s="1423"/>
      <c r="I943" s="1423"/>
    </row>
    <row r="944" spans="4:9" ht="15">
      <c r="D944" s="1423"/>
      <c r="E944" s="1423"/>
      <c r="F944" s="1423"/>
      <c r="G944" s="1423"/>
      <c r="H944" s="1423"/>
      <c r="I944" s="1423"/>
    </row>
    <row r="945" spans="4:9" ht="15">
      <c r="D945" s="1423"/>
      <c r="E945" s="1423"/>
      <c r="F945" s="1423"/>
      <c r="G945" s="1423"/>
      <c r="H945" s="1423"/>
      <c r="I945" s="1423"/>
    </row>
    <row r="946" spans="4:9" ht="15">
      <c r="D946" s="1423"/>
      <c r="E946" s="1423"/>
      <c r="F946" s="1423"/>
      <c r="G946" s="1423"/>
      <c r="H946" s="1423"/>
      <c r="I946" s="1423"/>
    </row>
    <row r="947" spans="4:9" ht="15">
      <c r="D947" s="1423"/>
      <c r="E947" s="1423"/>
      <c r="F947" s="1423"/>
      <c r="G947" s="1423"/>
      <c r="H947" s="1423"/>
      <c r="I947" s="1423"/>
    </row>
    <row r="948" spans="4:9" ht="15">
      <c r="D948" s="1423"/>
      <c r="E948" s="1423"/>
      <c r="F948" s="1423"/>
      <c r="G948" s="1423"/>
      <c r="H948" s="1423"/>
      <c r="I948" s="1423"/>
    </row>
    <row r="949" spans="4:9" ht="15">
      <c r="D949" s="1423"/>
      <c r="E949" s="1423"/>
      <c r="F949" s="1423"/>
      <c r="G949" s="1423"/>
      <c r="H949" s="1423"/>
      <c r="I949" s="1423"/>
    </row>
    <row r="950" spans="4:9" ht="15">
      <c r="D950" s="1423"/>
      <c r="E950" s="1423"/>
      <c r="F950" s="1423"/>
      <c r="G950" s="1423"/>
      <c r="H950" s="1423"/>
      <c r="I950" s="1423"/>
    </row>
    <row r="951" spans="4:9" ht="15">
      <c r="D951" s="1423"/>
      <c r="E951" s="1423"/>
      <c r="F951" s="1423"/>
      <c r="G951" s="1423"/>
      <c r="H951" s="1423"/>
      <c r="I951" s="1423"/>
    </row>
    <row r="952" spans="4:9" ht="15">
      <c r="D952" s="1423"/>
      <c r="E952" s="1423"/>
      <c r="F952" s="1423"/>
      <c r="G952" s="1423"/>
      <c r="H952" s="1423"/>
      <c r="I952" s="1423"/>
    </row>
    <row r="953" spans="4:9" ht="15">
      <c r="D953" s="1423"/>
      <c r="E953" s="1423"/>
      <c r="F953" s="1423"/>
      <c r="G953" s="1423"/>
      <c r="H953" s="1423"/>
      <c r="I953" s="1423"/>
    </row>
    <row r="954" spans="4:9" ht="15">
      <c r="D954" s="1423"/>
      <c r="E954" s="1423"/>
      <c r="F954" s="1423"/>
      <c r="G954" s="1423"/>
      <c r="H954" s="1423"/>
      <c r="I954" s="1423"/>
    </row>
    <row r="955" spans="4:9" ht="15">
      <c r="D955" s="1423"/>
      <c r="E955" s="1423"/>
      <c r="F955" s="1423"/>
      <c r="G955" s="1423"/>
      <c r="H955" s="1423"/>
      <c r="I955" s="1423"/>
    </row>
    <row r="956" spans="4:9" ht="15">
      <c r="D956" s="1423"/>
      <c r="E956" s="1423"/>
      <c r="F956" s="1423"/>
      <c r="G956" s="1423"/>
      <c r="H956" s="1423"/>
      <c r="I956" s="1423"/>
    </row>
    <row r="957" spans="4:9" ht="15">
      <c r="D957" s="1423"/>
      <c r="E957" s="1423"/>
      <c r="F957" s="1423"/>
      <c r="G957" s="1423"/>
      <c r="H957" s="1423"/>
      <c r="I957" s="1423"/>
    </row>
    <row r="958" spans="4:9" ht="15">
      <c r="D958" s="1423"/>
      <c r="E958" s="1423"/>
      <c r="F958" s="1423"/>
      <c r="G958" s="1423"/>
      <c r="H958" s="1423"/>
      <c r="I958" s="1423"/>
    </row>
    <row r="959" spans="4:9" ht="15">
      <c r="D959" s="1423"/>
      <c r="E959" s="1423"/>
      <c r="F959" s="1423"/>
      <c r="G959" s="1423"/>
      <c r="H959" s="1423"/>
      <c r="I959" s="1423"/>
    </row>
    <row r="960" spans="4:9" ht="15">
      <c r="D960" s="1423"/>
      <c r="E960" s="1423"/>
      <c r="F960" s="1423"/>
      <c r="G960" s="1423"/>
      <c r="H960" s="1423"/>
      <c r="I960" s="1423"/>
    </row>
    <row r="961" spans="4:9" ht="15">
      <c r="D961" s="1423"/>
      <c r="E961" s="1423"/>
      <c r="F961" s="1423"/>
      <c r="G961" s="1423"/>
      <c r="H961" s="1423"/>
      <c r="I961" s="1423"/>
    </row>
    <row r="962" spans="4:9" ht="15">
      <c r="D962" s="1423"/>
      <c r="E962" s="1423"/>
      <c r="F962" s="1423"/>
      <c r="G962" s="1423"/>
      <c r="H962" s="1423"/>
      <c r="I962" s="1423"/>
    </row>
    <row r="963" spans="4:9" ht="15">
      <c r="D963" s="1423"/>
      <c r="E963" s="1423"/>
      <c r="F963" s="1423"/>
      <c r="G963" s="1423"/>
      <c r="H963" s="1423"/>
      <c r="I963" s="1423"/>
    </row>
    <row r="964" spans="4:9" ht="15">
      <c r="D964" s="1423"/>
      <c r="E964" s="1423"/>
      <c r="F964" s="1423"/>
      <c r="G964" s="1423"/>
      <c r="H964" s="1423"/>
      <c r="I964" s="1423"/>
    </row>
    <row r="965" spans="4:9" ht="15">
      <c r="D965" s="1423"/>
      <c r="E965" s="1423"/>
      <c r="F965" s="1423"/>
      <c r="G965" s="1423"/>
      <c r="H965" s="1423"/>
      <c r="I965" s="1423"/>
    </row>
    <row r="966" spans="4:9" ht="15">
      <c r="D966" s="1423"/>
      <c r="E966" s="1423"/>
      <c r="F966" s="1423"/>
      <c r="G966" s="1423"/>
      <c r="H966" s="1423"/>
      <c r="I966" s="1423"/>
    </row>
    <row r="967" spans="4:9" ht="15">
      <c r="D967" s="1423"/>
      <c r="E967" s="1423"/>
      <c r="F967" s="1423"/>
      <c r="G967" s="1423"/>
      <c r="H967" s="1423"/>
      <c r="I967" s="1423"/>
    </row>
    <row r="968" spans="4:9" ht="15">
      <c r="D968" s="1423"/>
      <c r="E968" s="1423"/>
      <c r="F968" s="1423"/>
      <c r="G968" s="1423"/>
      <c r="H968" s="1423"/>
      <c r="I968" s="1423"/>
    </row>
    <row r="969" spans="4:9" ht="15">
      <c r="D969" s="1423"/>
      <c r="E969" s="1423"/>
      <c r="F969" s="1423"/>
      <c r="G969" s="1423"/>
      <c r="H969" s="1423"/>
      <c r="I969" s="1423"/>
    </row>
    <row r="970" spans="4:9" ht="15">
      <c r="D970" s="1423"/>
      <c r="E970" s="1423"/>
      <c r="F970" s="1423"/>
      <c r="G970" s="1423"/>
      <c r="H970" s="1423"/>
      <c r="I970" s="1423"/>
    </row>
    <row r="971" spans="4:9" ht="15">
      <c r="D971" s="1423"/>
      <c r="E971" s="1423"/>
      <c r="F971" s="1423"/>
      <c r="G971" s="1423"/>
      <c r="H971" s="1423"/>
      <c r="I971" s="1423"/>
    </row>
    <row r="972" spans="4:9" ht="15">
      <c r="D972" s="1423"/>
      <c r="E972" s="1423"/>
      <c r="F972" s="1423"/>
      <c r="G972" s="1423"/>
      <c r="H972" s="1423"/>
      <c r="I972" s="1423"/>
    </row>
    <row r="973" spans="4:9" ht="15">
      <c r="D973" s="1423"/>
      <c r="E973" s="1423"/>
      <c r="F973" s="1423"/>
      <c r="G973" s="1423"/>
      <c r="H973" s="1423"/>
      <c r="I973" s="1423"/>
    </row>
    <row r="974" spans="4:9" ht="15">
      <c r="D974" s="1423"/>
      <c r="E974" s="1423"/>
      <c r="F974" s="1423"/>
      <c r="G974" s="1423"/>
      <c r="H974" s="1423"/>
      <c r="I974" s="1423"/>
    </row>
    <row r="975" spans="4:9" ht="15">
      <c r="D975" s="1423"/>
      <c r="E975" s="1423"/>
      <c r="F975" s="1423"/>
      <c r="G975" s="1423"/>
      <c r="H975" s="1423"/>
      <c r="I975" s="1423"/>
    </row>
    <row r="976" spans="4:9" ht="15">
      <c r="D976" s="1423"/>
      <c r="E976" s="1423"/>
      <c r="F976" s="1423"/>
      <c r="G976" s="1423"/>
      <c r="H976" s="1423"/>
      <c r="I976" s="1423"/>
    </row>
    <row r="977" spans="4:9" ht="15">
      <c r="D977" s="1423"/>
      <c r="E977" s="1423"/>
      <c r="F977" s="1423"/>
      <c r="G977" s="1423"/>
      <c r="H977" s="1423"/>
      <c r="I977" s="1423"/>
    </row>
    <row r="978" spans="4:9" ht="15">
      <c r="D978" s="1423"/>
      <c r="E978" s="1423"/>
      <c r="F978" s="1423"/>
      <c r="G978" s="1423"/>
      <c r="H978" s="1423"/>
      <c r="I978" s="1423"/>
    </row>
    <row r="979" spans="4:9" ht="15">
      <c r="D979" s="1423"/>
      <c r="E979" s="1423"/>
      <c r="F979" s="1423"/>
      <c r="G979" s="1423"/>
      <c r="H979" s="1423"/>
      <c r="I979" s="1423"/>
    </row>
    <row r="980" spans="4:9" ht="15">
      <c r="D980" s="1423"/>
      <c r="E980" s="1423"/>
      <c r="F980" s="1423"/>
      <c r="G980" s="1423"/>
      <c r="H980" s="1423"/>
      <c r="I980" s="1423"/>
    </row>
    <row r="981" spans="4:9" ht="15">
      <c r="D981" s="1423"/>
      <c r="E981" s="1423"/>
      <c r="F981" s="1423"/>
      <c r="G981" s="1423"/>
      <c r="H981" s="1423"/>
      <c r="I981" s="1423"/>
    </row>
    <row r="982" spans="4:9" ht="15">
      <c r="D982" s="1423"/>
      <c r="E982" s="1423"/>
      <c r="F982" s="1423"/>
      <c r="G982" s="1423"/>
      <c r="H982" s="1423"/>
      <c r="I982" s="1423"/>
    </row>
    <row r="983" spans="4:9" ht="15">
      <c r="D983" s="1423"/>
      <c r="E983" s="1423"/>
      <c r="F983" s="1423"/>
      <c r="G983" s="1423"/>
      <c r="H983" s="1423"/>
      <c r="I983" s="1423"/>
    </row>
    <row r="984" spans="4:9" ht="15">
      <c r="D984" s="1423"/>
      <c r="E984" s="1423"/>
      <c r="F984" s="1423"/>
      <c r="G984" s="1423"/>
      <c r="H984" s="1423"/>
      <c r="I984" s="1423"/>
    </row>
    <row r="985" spans="4:9" ht="15">
      <c r="D985" s="1423"/>
      <c r="E985" s="1423"/>
      <c r="F985" s="1423"/>
      <c r="G985" s="1423"/>
      <c r="H985" s="1423"/>
      <c r="I985" s="1423"/>
    </row>
    <row r="986" spans="4:9" ht="15">
      <c r="D986" s="1423"/>
      <c r="E986" s="1423"/>
      <c r="F986" s="1423"/>
      <c r="G986" s="1423"/>
      <c r="H986" s="1423"/>
      <c r="I986" s="1423"/>
    </row>
    <row r="987" spans="4:9" ht="15">
      <c r="D987" s="1423"/>
      <c r="E987" s="1423"/>
      <c r="F987" s="1423"/>
      <c r="G987" s="1423"/>
      <c r="H987" s="1423"/>
      <c r="I987" s="1423"/>
    </row>
    <row r="988" spans="4:9" ht="15">
      <c r="D988" s="1423"/>
      <c r="E988" s="1423"/>
      <c r="F988" s="1423"/>
      <c r="G988" s="1423"/>
      <c r="H988" s="1423"/>
      <c r="I988" s="1423"/>
    </row>
    <row r="989" spans="4:9" ht="15">
      <c r="D989" s="1423"/>
      <c r="E989" s="1423"/>
      <c r="F989" s="1423"/>
      <c r="G989" s="1423"/>
      <c r="H989" s="1423"/>
      <c r="I989" s="1423"/>
    </row>
    <row r="990" spans="4:9" ht="15">
      <c r="D990" s="1423"/>
      <c r="E990" s="1423"/>
      <c r="F990" s="1423"/>
      <c r="G990" s="1423"/>
      <c r="H990" s="1423"/>
      <c r="I990" s="1423"/>
    </row>
    <row r="991" spans="4:9" ht="15">
      <c r="D991" s="1423"/>
      <c r="E991" s="1423"/>
      <c r="F991" s="1423"/>
      <c r="G991" s="1423"/>
      <c r="H991" s="1423"/>
      <c r="I991" s="1423"/>
    </row>
    <row r="992" spans="4:9" ht="15">
      <c r="D992" s="1423"/>
      <c r="E992" s="1423"/>
      <c r="F992" s="1423"/>
      <c r="G992" s="1423"/>
      <c r="H992" s="1423"/>
      <c r="I992" s="1423"/>
    </row>
    <row r="993" spans="4:9" ht="15">
      <c r="D993" s="1423"/>
      <c r="E993" s="1423"/>
      <c r="F993" s="1423"/>
      <c r="G993" s="1423"/>
      <c r="H993" s="1423"/>
      <c r="I993" s="1423"/>
    </row>
    <row r="994" spans="4:9" ht="15">
      <c r="D994" s="1423"/>
      <c r="E994" s="1423"/>
      <c r="F994" s="1423"/>
      <c r="G994" s="1423"/>
      <c r="H994" s="1423"/>
      <c r="I994" s="1423"/>
    </row>
  </sheetData>
  <autoFilter ref="A4:J35" xr:uid="{00000000-0009-0000-0000-00000D000000}"/>
  <pageMargins left="0.7" right="0.7" top="0.75" bottom="0.75" header="0" footer="0"/>
  <pageSetup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8E588-ADE9-4121-9A2A-AA4CC0FFD7FC}">
  <sheetPr codeName="Sheet38">
    <tabColor rgb="FF7030A0"/>
  </sheetPr>
  <dimension ref="A1:P30"/>
  <sheetViews>
    <sheetView workbookViewId="0">
      <selection activeCell="L57" sqref="L57"/>
    </sheetView>
  </sheetViews>
  <sheetFormatPr defaultColWidth="8.85546875" defaultRowHeight="12.75"/>
  <cols>
    <col min="1" max="1" width="8.85546875" style="8"/>
    <col min="2" max="2" width="23.5703125" style="8" customWidth="1"/>
    <col min="3" max="15" width="8.85546875" style="8"/>
    <col min="16" max="16" width="11.42578125" style="8" bestFit="1" customWidth="1"/>
    <col min="17" max="16384" width="8.85546875" style="8"/>
  </cols>
  <sheetData>
    <row r="1" spans="1:16">
      <c r="A1" s="1688" t="s">
        <v>4231</v>
      </c>
      <c r="B1" s="1688"/>
      <c r="C1" s="1688"/>
      <c r="D1" s="1688"/>
      <c r="E1" s="1688"/>
      <c r="F1" s="1688"/>
      <c r="G1" s="1688"/>
      <c r="H1" s="1688"/>
      <c r="I1" s="1688"/>
      <c r="J1" s="1688"/>
    </row>
    <row r="2" spans="1:16">
      <c r="A2" s="1688"/>
      <c r="B2" s="1688"/>
      <c r="C2" s="1688"/>
      <c r="D2" s="1688"/>
      <c r="E2" s="1688"/>
      <c r="F2" s="1688"/>
      <c r="G2" s="1688"/>
      <c r="H2" s="1688"/>
      <c r="I2" s="1688"/>
      <c r="J2" s="1688"/>
    </row>
    <row r="3" spans="1:16">
      <c r="A3" s="1688" t="s">
        <v>4232</v>
      </c>
      <c r="B3" s="1688"/>
      <c r="C3" s="1688"/>
      <c r="D3" s="1688"/>
      <c r="E3" s="1688"/>
      <c r="F3" s="1688"/>
      <c r="G3" s="1688"/>
      <c r="H3" s="1688"/>
      <c r="I3" s="1688"/>
      <c r="J3" s="1688"/>
    </row>
    <row r="4" spans="1:16">
      <c r="A4" s="1688"/>
      <c r="B4" s="1688"/>
      <c r="C4" s="1688"/>
      <c r="D4" s="1688"/>
      <c r="E4" s="1688"/>
      <c r="F4" s="1688"/>
      <c r="G4" s="1688"/>
      <c r="H4" s="1688"/>
      <c r="I4" s="1688"/>
      <c r="J4" s="1688"/>
    </row>
    <row r="8" spans="1:16" ht="20.25">
      <c r="A8" s="1689" t="s">
        <v>4115</v>
      </c>
      <c r="B8" s="1689"/>
      <c r="C8" s="1689"/>
      <c r="D8" s="1689"/>
      <c r="E8" s="1689"/>
      <c r="F8" s="1689"/>
      <c r="G8" s="1689"/>
      <c r="H8" s="1689"/>
      <c r="I8" s="1689"/>
      <c r="J8" s="1689"/>
      <c r="K8" s="1689"/>
      <c r="L8" s="1689"/>
      <c r="M8" s="1689"/>
      <c r="N8" s="1689"/>
      <c r="O8" s="1689"/>
    </row>
    <row r="9" spans="1:16" ht="15.75">
      <c r="A9" s="1690" t="s">
        <v>4116</v>
      </c>
      <c r="B9" s="1690"/>
      <c r="C9" s="1690"/>
      <c r="D9" s="1690"/>
      <c r="E9" s="1690"/>
      <c r="F9" s="1690"/>
      <c r="G9" s="1690"/>
      <c r="H9" s="1690"/>
      <c r="I9" s="1690"/>
      <c r="J9" s="1690"/>
      <c r="K9" s="1690"/>
      <c r="L9" s="1690"/>
      <c r="M9" s="1690"/>
      <c r="N9" s="1690"/>
      <c r="O9" s="1690"/>
    </row>
    <row r="11" spans="1:16" ht="15">
      <c r="N11" s="1691" t="s">
        <v>4117</v>
      </c>
      <c r="O11" s="1691"/>
    </row>
    <row r="12" spans="1:16">
      <c r="A12" s="400"/>
      <c r="B12" s="400"/>
      <c r="C12" s="400"/>
      <c r="D12" s="400"/>
      <c r="E12" s="400"/>
      <c r="F12" s="400"/>
      <c r="G12" s="400"/>
      <c r="H12" s="400"/>
      <c r="I12" s="400"/>
      <c r="J12" s="400"/>
      <c r="K12" s="400"/>
      <c r="L12" s="400"/>
      <c r="M12" s="400"/>
      <c r="N12" s="400"/>
      <c r="O12" s="400"/>
    </row>
    <row r="13" spans="1:16" ht="14.25">
      <c r="A13" s="1686" t="s">
        <v>4</v>
      </c>
      <c r="B13" s="1686" t="s">
        <v>5</v>
      </c>
      <c r="C13" s="1692" t="s">
        <v>6</v>
      </c>
      <c r="D13" s="1692"/>
      <c r="E13" s="1692"/>
      <c r="F13" s="1692" t="s">
        <v>7</v>
      </c>
      <c r="G13" s="1692"/>
      <c r="H13" s="1692"/>
      <c r="I13" s="1692"/>
      <c r="J13" s="1692"/>
      <c r="K13" s="1692"/>
      <c r="L13" s="1692"/>
      <c r="M13" s="1692" t="s">
        <v>8</v>
      </c>
      <c r="N13" s="1692"/>
      <c r="O13" s="1692"/>
    </row>
    <row r="14" spans="1:16" ht="14.25">
      <c r="A14" s="1686"/>
      <c r="B14" s="1686"/>
      <c r="C14" s="1692" t="s">
        <v>11</v>
      </c>
      <c r="D14" s="1692"/>
      <c r="E14" s="1643" t="s">
        <v>12</v>
      </c>
      <c r="F14" s="1643" t="s">
        <v>11</v>
      </c>
      <c r="G14" s="1692" t="s">
        <v>12</v>
      </c>
      <c r="H14" s="1692"/>
      <c r="I14" s="1692"/>
      <c r="J14" s="1692"/>
      <c r="K14" s="1692"/>
      <c r="L14" s="1692"/>
      <c r="M14" s="1692" t="s">
        <v>11</v>
      </c>
      <c r="N14" s="1692"/>
      <c r="O14" s="1643" t="s">
        <v>12</v>
      </c>
    </row>
    <row r="15" spans="1:16" ht="13.5">
      <c r="A15" s="1644" t="s">
        <v>17</v>
      </c>
      <c r="B15" s="1645" t="s">
        <v>18</v>
      </c>
      <c r="C15" s="1685">
        <v>0</v>
      </c>
      <c r="D15" s="1685"/>
      <c r="E15" s="1646">
        <v>0</v>
      </c>
      <c r="F15" s="1646">
        <v>20007800</v>
      </c>
      <c r="G15" s="1685">
        <v>2179100</v>
      </c>
      <c r="H15" s="1685"/>
      <c r="I15" s="1685"/>
      <c r="J15" s="1685"/>
      <c r="K15" s="1685"/>
      <c r="L15" s="1685"/>
      <c r="M15" s="1685">
        <v>17828700</v>
      </c>
      <c r="N15" s="1685"/>
      <c r="O15" s="1646">
        <v>0</v>
      </c>
      <c r="P15" s="401">
        <f>M15-O15</f>
        <v>17828700</v>
      </c>
    </row>
    <row r="16" spans="1:16" ht="13.5">
      <c r="A16" s="1647" t="s">
        <v>19</v>
      </c>
      <c r="B16" s="1648" t="s">
        <v>16</v>
      </c>
      <c r="C16" s="1687">
        <v>0</v>
      </c>
      <c r="D16" s="1687"/>
      <c r="E16" s="1649">
        <v>0</v>
      </c>
      <c r="F16" s="1649">
        <v>20007800</v>
      </c>
      <c r="G16" s="1687">
        <v>2179100</v>
      </c>
      <c r="H16" s="1687"/>
      <c r="I16" s="1687"/>
      <c r="J16" s="1687"/>
      <c r="K16" s="1687"/>
      <c r="L16" s="1687"/>
      <c r="M16" s="1687">
        <v>17828700</v>
      </c>
      <c r="N16" s="1687"/>
      <c r="O16" s="1649">
        <v>0</v>
      </c>
      <c r="P16" s="401">
        <f t="shared" ref="P16:P30" si="0">M16-O16</f>
        <v>17828700</v>
      </c>
    </row>
    <row r="17" spans="1:16" ht="13.5">
      <c r="A17" s="1644" t="s">
        <v>49</v>
      </c>
      <c r="B17" s="1645" t="s">
        <v>50</v>
      </c>
      <c r="C17" s="1685">
        <v>0</v>
      </c>
      <c r="D17" s="1685"/>
      <c r="E17" s="1646">
        <v>0</v>
      </c>
      <c r="F17" s="1646">
        <v>198100</v>
      </c>
      <c r="G17" s="1685">
        <v>0</v>
      </c>
      <c r="H17" s="1685"/>
      <c r="I17" s="1685"/>
      <c r="J17" s="1685"/>
      <c r="K17" s="1685"/>
      <c r="L17" s="1685"/>
      <c r="M17" s="1685">
        <v>198100</v>
      </c>
      <c r="N17" s="1685"/>
      <c r="O17" s="1646">
        <v>0</v>
      </c>
      <c r="P17" s="401">
        <f t="shared" si="0"/>
        <v>198100</v>
      </c>
    </row>
    <row r="18" spans="1:16" ht="25.5">
      <c r="A18" s="1647" t="s">
        <v>51</v>
      </c>
      <c r="B18" s="1648" t="s">
        <v>52</v>
      </c>
      <c r="C18" s="1687">
        <v>0</v>
      </c>
      <c r="D18" s="1687"/>
      <c r="E18" s="1649">
        <v>0</v>
      </c>
      <c r="F18" s="1649">
        <v>198100</v>
      </c>
      <c r="G18" s="1687">
        <v>0</v>
      </c>
      <c r="H18" s="1687"/>
      <c r="I18" s="1687"/>
      <c r="J18" s="1687"/>
      <c r="K18" s="1687"/>
      <c r="L18" s="1687"/>
      <c r="M18" s="1687">
        <v>198100</v>
      </c>
      <c r="N18" s="1687"/>
      <c r="O18" s="1649">
        <v>0</v>
      </c>
      <c r="P18" s="401">
        <f t="shared" si="0"/>
        <v>198100</v>
      </c>
    </row>
    <row r="19" spans="1:16" ht="13.5">
      <c r="A19" s="1644" t="s">
        <v>112</v>
      </c>
      <c r="B19" s="1645" t="s">
        <v>113</v>
      </c>
      <c r="C19" s="1685">
        <v>0</v>
      </c>
      <c r="D19" s="1685"/>
      <c r="E19" s="1646">
        <v>0</v>
      </c>
      <c r="F19" s="1646">
        <v>1981000</v>
      </c>
      <c r="G19" s="1685">
        <v>165083</v>
      </c>
      <c r="H19" s="1685"/>
      <c r="I19" s="1685"/>
      <c r="J19" s="1685"/>
      <c r="K19" s="1685"/>
      <c r="L19" s="1685"/>
      <c r="M19" s="1685">
        <v>1815917</v>
      </c>
      <c r="N19" s="1685"/>
      <c r="O19" s="1646">
        <v>0</v>
      </c>
      <c r="P19" s="401">
        <f t="shared" si="0"/>
        <v>1815917</v>
      </c>
    </row>
    <row r="20" spans="1:16" ht="13.5">
      <c r="A20" s="1647">
        <v>2421</v>
      </c>
      <c r="B20" s="1648" t="s">
        <v>2275</v>
      </c>
      <c r="C20" s="1687">
        <v>0</v>
      </c>
      <c r="D20" s="1687"/>
      <c r="E20" s="1649">
        <v>0</v>
      </c>
      <c r="F20" s="1649">
        <v>1981000</v>
      </c>
      <c r="G20" s="1687">
        <v>165083</v>
      </c>
      <c r="H20" s="1687"/>
      <c r="I20" s="1687"/>
      <c r="J20" s="1687"/>
      <c r="K20" s="1687"/>
      <c r="L20" s="1687"/>
      <c r="M20" s="1687">
        <v>1815917</v>
      </c>
      <c r="N20" s="1687"/>
      <c r="O20" s="1649">
        <v>0</v>
      </c>
      <c r="P20" s="401">
        <f t="shared" si="0"/>
        <v>1815917</v>
      </c>
    </row>
    <row r="21" spans="1:16" ht="13.5">
      <c r="A21" s="1644" t="s">
        <v>203</v>
      </c>
      <c r="B21" s="1645" t="s">
        <v>204</v>
      </c>
      <c r="C21" s="1685">
        <v>0</v>
      </c>
      <c r="D21" s="1685"/>
      <c r="E21" s="1646">
        <v>0</v>
      </c>
      <c r="F21" s="1646">
        <v>0</v>
      </c>
      <c r="G21" s="1685">
        <v>20000000</v>
      </c>
      <c r="H21" s="1685"/>
      <c r="I21" s="1685"/>
      <c r="J21" s="1685"/>
      <c r="K21" s="1685"/>
      <c r="L21" s="1685"/>
      <c r="M21" s="1685">
        <v>0</v>
      </c>
      <c r="N21" s="1685"/>
      <c r="O21" s="1646">
        <v>20000000</v>
      </c>
      <c r="P21" s="401">
        <f t="shared" si="0"/>
        <v>-20000000</v>
      </c>
    </row>
    <row r="22" spans="1:16" ht="13.5">
      <c r="A22" s="1644" t="s">
        <v>205</v>
      </c>
      <c r="B22" s="1645" t="s">
        <v>206</v>
      </c>
      <c r="C22" s="1685">
        <v>0</v>
      </c>
      <c r="D22" s="1685"/>
      <c r="E22" s="1646">
        <v>0</v>
      </c>
      <c r="F22" s="1646">
        <v>0</v>
      </c>
      <c r="G22" s="1685">
        <v>20000000</v>
      </c>
      <c r="H22" s="1685"/>
      <c r="I22" s="1685"/>
      <c r="J22" s="1685"/>
      <c r="K22" s="1685"/>
      <c r="L22" s="1685"/>
      <c r="M22" s="1685">
        <v>0</v>
      </c>
      <c r="N22" s="1685"/>
      <c r="O22" s="1646">
        <v>20000000</v>
      </c>
      <c r="P22" s="401">
        <f t="shared" si="0"/>
        <v>-20000000</v>
      </c>
    </row>
    <row r="23" spans="1:16" ht="25.5">
      <c r="A23" s="1647" t="s">
        <v>207</v>
      </c>
      <c r="B23" s="1648" t="s">
        <v>208</v>
      </c>
      <c r="C23" s="1687">
        <v>0</v>
      </c>
      <c r="D23" s="1687"/>
      <c r="E23" s="1649">
        <v>0</v>
      </c>
      <c r="F23" s="1649">
        <v>0</v>
      </c>
      <c r="G23" s="1687">
        <v>20000000</v>
      </c>
      <c r="H23" s="1687"/>
      <c r="I23" s="1687"/>
      <c r="J23" s="1687"/>
      <c r="K23" s="1687"/>
      <c r="L23" s="1687"/>
      <c r="M23" s="1687">
        <v>0</v>
      </c>
      <c r="N23" s="1687"/>
      <c r="O23" s="1649">
        <v>20000000</v>
      </c>
      <c r="P23" s="401">
        <f t="shared" si="0"/>
        <v>-20000000</v>
      </c>
    </row>
    <row r="24" spans="1:16" ht="25.5">
      <c r="A24" s="1644" t="s">
        <v>213</v>
      </c>
      <c r="B24" s="1645" t="s">
        <v>214</v>
      </c>
      <c r="C24" s="1685">
        <v>0</v>
      </c>
      <c r="D24" s="1685"/>
      <c r="E24" s="1646">
        <v>0</v>
      </c>
      <c r="F24" s="1646">
        <v>161804</v>
      </c>
      <c r="G24" s="1685">
        <v>4521</v>
      </c>
      <c r="H24" s="1685"/>
      <c r="I24" s="1685"/>
      <c r="J24" s="1685"/>
      <c r="K24" s="1685"/>
      <c r="L24" s="1685"/>
      <c r="M24" s="1685">
        <v>157283</v>
      </c>
      <c r="N24" s="1685"/>
      <c r="O24" s="1646">
        <v>0</v>
      </c>
      <c r="P24" s="401">
        <f t="shared" si="0"/>
        <v>157283</v>
      </c>
    </row>
    <row r="25" spans="1:16" ht="25.5">
      <c r="A25" s="1647" t="s">
        <v>217</v>
      </c>
      <c r="B25" s="1648" t="s">
        <v>218</v>
      </c>
      <c r="C25" s="1687">
        <v>0</v>
      </c>
      <c r="D25" s="1687"/>
      <c r="E25" s="1649">
        <v>0</v>
      </c>
      <c r="F25" s="1649">
        <v>161804</v>
      </c>
      <c r="G25" s="1687">
        <v>4521</v>
      </c>
      <c r="H25" s="1687"/>
      <c r="I25" s="1687"/>
      <c r="J25" s="1687"/>
      <c r="K25" s="1687"/>
      <c r="L25" s="1687"/>
      <c r="M25" s="1687">
        <v>157283</v>
      </c>
      <c r="N25" s="1687"/>
      <c r="O25" s="1649">
        <v>0</v>
      </c>
      <c r="P25" s="401">
        <f t="shared" si="0"/>
        <v>157283</v>
      </c>
    </row>
    <row r="26" spans="1:16" ht="25.5">
      <c r="A26" s="1644" t="s">
        <v>247</v>
      </c>
      <c r="B26" s="1645" t="s">
        <v>248</v>
      </c>
      <c r="C26" s="1685">
        <v>0</v>
      </c>
      <c r="D26" s="1685"/>
      <c r="E26" s="1646">
        <v>0</v>
      </c>
      <c r="F26" s="1646">
        <v>7800</v>
      </c>
      <c r="G26" s="1685">
        <v>7800</v>
      </c>
      <c r="H26" s="1685"/>
      <c r="I26" s="1685"/>
      <c r="J26" s="1685"/>
      <c r="K26" s="1685"/>
      <c r="L26" s="1685"/>
      <c r="M26" s="1685">
        <v>0</v>
      </c>
      <c r="N26" s="1685"/>
      <c r="O26" s="1646">
        <v>0</v>
      </c>
      <c r="P26" s="401">
        <f t="shared" si="0"/>
        <v>0</v>
      </c>
    </row>
    <row r="27" spans="1:16" ht="25.5">
      <c r="A27" s="1644" t="s">
        <v>374</v>
      </c>
      <c r="B27" s="1645" t="s">
        <v>375</v>
      </c>
      <c r="C27" s="1685">
        <v>0</v>
      </c>
      <c r="D27" s="1685"/>
      <c r="E27" s="1646">
        <v>0</v>
      </c>
      <c r="F27" s="1646">
        <v>165083</v>
      </c>
      <c r="G27" s="1685">
        <v>165083</v>
      </c>
      <c r="H27" s="1685"/>
      <c r="I27" s="1685"/>
      <c r="J27" s="1685"/>
      <c r="K27" s="1685"/>
      <c r="L27" s="1685"/>
      <c r="M27" s="1685">
        <v>0</v>
      </c>
      <c r="N27" s="1685"/>
      <c r="O27" s="1646">
        <v>0</v>
      </c>
      <c r="P27" s="401">
        <f t="shared" si="0"/>
        <v>0</v>
      </c>
    </row>
    <row r="28" spans="1:16" ht="13.5">
      <c r="A28" s="1647" t="s">
        <v>386</v>
      </c>
      <c r="B28" s="1648" t="s">
        <v>272</v>
      </c>
      <c r="C28" s="1687">
        <v>0</v>
      </c>
      <c r="D28" s="1687"/>
      <c r="E28" s="1649">
        <v>0</v>
      </c>
      <c r="F28" s="1649">
        <v>165083</v>
      </c>
      <c r="G28" s="1687">
        <v>165083</v>
      </c>
      <c r="H28" s="1687"/>
      <c r="I28" s="1687"/>
      <c r="J28" s="1687"/>
      <c r="K28" s="1687"/>
      <c r="L28" s="1687"/>
      <c r="M28" s="1687">
        <v>0</v>
      </c>
      <c r="N28" s="1687"/>
      <c r="O28" s="1649">
        <v>0</v>
      </c>
      <c r="P28" s="401">
        <f t="shared" si="0"/>
        <v>0</v>
      </c>
    </row>
    <row r="29" spans="1:16" ht="13.5">
      <c r="A29" s="1644" t="s">
        <v>446</v>
      </c>
      <c r="B29" s="1645" t="s">
        <v>447</v>
      </c>
      <c r="C29" s="1685">
        <v>0</v>
      </c>
      <c r="D29" s="1685"/>
      <c r="E29" s="1646">
        <v>0</v>
      </c>
      <c r="F29" s="1646">
        <v>169604</v>
      </c>
      <c r="G29" s="1685">
        <v>169604</v>
      </c>
      <c r="H29" s="1685"/>
      <c r="I29" s="1685"/>
      <c r="J29" s="1685"/>
      <c r="K29" s="1685"/>
      <c r="L29" s="1685"/>
      <c r="M29" s="1685">
        <v>0</v>
      </c>
      <c r="N29" s="1685"/>
      <c r="O29" s="1646">
        <v>0</v>
      </c>
      <c r="P29" s="401">
        <f t="shared" si="0"/>
        <v>0</v>
      </c>
    </row>
    <row r="30" spans="1:16" ht="14.25">
      <c r="A30" s="1686" t="s">
        <v>448</v>
      </c>
      <c r="B30" s="1686"/>
      <c r="C30" s="1685">
        <v>0</v>
      </c>
      <c r="D30" s="1685"/>
      <c r="E30" s="1646">
        <v>0</v>
      </c>
      <c r="F30" s="1646">
        <v>22691191</v>
      </c>
      <c r="G30" s="1685">
        <v>22691191</v>
      </c>
      <c r="H30" s="1685"/>
      <c r="I30" s="1685"/>
      <c r="J30" s="1685"/>
      <c r="K30" s="1685"/>
      <c r="L30" s="1685"/>
      <c r="M30" s="1685">
        <v>20000000</v>
      </c>
      <c r="N30" s="1685"/>
      <c r="O30" s="1646">
        <v>20000000</v>
      </c>
      <c r="P30" s="401">
        <f t="shared" si="0"/>
        <v>0</v>
      </c>
    </row>
  </sheetData>
  <mergeCells count="62">
    <mergeCell ref="A13:A14"/>
    <mergeCell ref="B13:B14"/>
    <mergeCell ref="C13:E13"/>
    <mergeCell ref="F13:L13"/>
    <mergeCell ref="M13:O13"/>
    <mergeCell ref="C14:D14"/>
    <mergeCell ref="G14:L14"/>
    <mergeCell ref="M14:N14"/>
    <mergeCell ref="A1:J2"/>
    <mergeCell ref="A3:J4"/>
    <mergeCell ref="A8:O8"/>
    <mergeCell ref="A9:O9"/>
    <mergeCell ref="N11:O11"/>
    <mergeCell ref="C15:D15"/>
    <mergeCell ref="G15:L15"/>
    <mergeCell ref="M15:N15"/>
    <mergeCell ref="C16:D16"/>
    <mergeCell ref="G16:L16"/>
    <mergeCell ref="M16:N16"/>
    <mergeCell ref="C17:D17"/>
    <mergeCell ref="G17:L17"/>
    <mergeCell ref="M17:N17"/>
    <mergeCell ref="C18:D18"/>
    <mergeCell ref="G18:L18"/>
    <mergeCell ref="M18:N18"/>
    <mergeCell ref="C19:D19"/>
    <mergeCell ref="G19:L19"/>
    <mergeCell ref="M19:N19"/>
    <mergeCell ref="C20:D20"/>
    <mergeCell ref="G20:L20"/>
    <mergeCell ref="M20:N20"/>
    <mergeCell ref="C21:D21"/>
    <mergeCell ref="G21:L21"/>
    <mergeCell ref="M21:N21"/>
    <mergeCell ref="C22:D22"/>
    <mergeCell ref="G22:L22"/>
    <mergeCell ref="M22:N22"/>
    <mergeCell ref="C23:D23"/>
    <mergeCell ref="G23:L23"/>
    <mergeCell ref="M23:N23"/>
    <mergeCell ref="C24:D24"/>
    <mergeCell ref="G24:L24"/>
    <mergeCell ref="M24:N24"/>
    <mergeCell ref="C25:D25"/>
    <mergeCell ref="G25:L25"/>
    <mergeCell ref="M25:N25"/>
    <mergeCell ref="C26:D26"/>
    <mergeCell ref="G26:L26"/>
    <mergeCell ref="M26:N26"/>
    <mergeCell ref="C27:D27"/>
    <mergeCell ref="G27:L27"/>
    <mergeCell ref="M27:N27"/>
    <mergeCell ref="A30:B30"/>
    <mergeCell ref="C30:D30"/>
    <mergeCell ref="G30:L30"/>
    <mergeCell ref="M30:N30"/>
    <mergeCell ref="C28:D28"/>
    <mergeCell ref="G28:L28"/>
    <mergeCell ref="M28:N28"/>
    <mergeCell ref="C29:D29"/>
    <mergeCell ref="G29:L29"/>
    <mergeCell ref="M29:N29"/>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4B8F7-6445-49F4-A8C2-C75BF5C1F9AC}">
  <sheetPr codeName="Sheet39">
    <tabColor rgb="FF7030A0"/>
  </sheetPr>
  <dimension ref="A1:T16"/>
  <sheetViews>
    <sheetView topLeftCell="B1" workbookViewId="0">
      <selection activeCell="L57" sqref="L57"/>
    </sheetView>
  </sheetViews>
  <sheetFormatPr defaultColWidth="8.85546875" defaultRowHeight="12.75"/>
  <cols>
    <col min="1" max="1" width="9.42578125" style="8" bestFit="1" customWidth="1"/>
    <col min="2" max="2" width="13.5703125" style="8" bestFit="1" customWidth="1"/>
    <col min="3" max="4" width="19.5703125" style="8" bestFit="1" customWidth="1"/>
    <col min="5" max="5" width="9.42578125" style="8" bestFit="1" customWidth="1"/>
    <col min="6" max="6" width="3.5703125" style="8" bestFit="1" customWidth="1"/>
    <col min="7" max="7" width="8.5703125" style="8" bestFit="1" customWidth="1"/>
    <col min="8" max="8" width="7.5703125" style="8" bestFit="1" customWidth="1"/>
    <col min="9" max="10" width="7.42578125" style="8" bestFit="1" customWidth="1"/>
    <col min="11" max="11" width="5.5703125" style="8" bestFit="1" customWidth="1"/>
    <col min="12" max="12" width="6.42578125" style="8" bestFit="1" customWidth="1"/>
    <col min="13" max="13" width="10.42578125" style="8" bestFit="1" customWidth="1"/>
    <col min="14" max="14" width="8.5703125" style="8" bestFit="1" customWidth="1"/>
    <col min="15" max="16" width="8.85546875" style="8"/>
    <col min="17" max="17" width="13.5703125" style="8" bestFit="1" customWidth="1"/>
    <col min="18" max="19" width="19.5703125" style="8" bestFit="1" customWidth="1"/>
    <col min="20" max="20" width="9.42578125" style="8" bestFit="1" customWidth="1"/>
    <col min="21" max="16384" width="8.85546875" style="8"/>
  </cols>
  <sheetData>
    <row r="1" spans="1:20">
      <c r="A1" s="432" t="s">
        <v>4233</v>
      </c>
    </row>
    <row r="2" spans="1:20" ht="31.5">
      <c r="A2" s="433" t="s">
        <v>449</v>
      </c>
      <c r="B2" s="433" t="s">
        <v>450</v>
      </c>
      <c r="C2" s="434" t="s">
        <v>451</v>
      </c>
      <c r="D2" s="434" t="s">
        <v>455</v>
      </c>
      <c r="E2" s="434" t="s">
        <v>456</v>
      </c>
      <c r="F2" s="434" t="s">
        <v>4234</v>
      </c>
      <c r="G2" s="434" t="s">
        <v>457</v>
      </c>
      <c r="H2" s="434" t="s">
        <v>749</v>
      </c>
      <c r="I2" s="435" t="s">
        <v>459</v>
      </c>
      <c r="J2" s="435" t="s">
        <v>460</v>
      </c>
      <c r="K2" s="434" t="s">
        <v>461</v>
      </c>
      <c r="L2" s="434" t="s">
        <v>462</v>
      </c>
      <c r="M2" s="434" t="s">
        <v>466</v>
      </c>
      <c r="N2" s="436" t="s">
        <v>499</v>
      </c>
    </row>
    <row r="3" spans="1:20">
      <c r="A3" s="437">
        <v>44865</v>
      </c>
      <c r="B3" s="437">
        <v>44865</v>
      </c>
      <c r="C3" s="438" t="s">
        <v>4235</v>
      </c>
      <c r="D3" s="438" t="s">
        <v>472</v>
      </c>
      <c r="E3" s="438" t="s">
        <v>446</v>
      </c>
      <c r="F3" s="438" t="s">
        <v>446</v>
      </c>
      <c r="G3" s="438" t="s">
        <v>247</v>
      </c>
      <c r="H3" s="438" t="s">
        <v>247</v>
      </c>
      <c r="I3" s="439">
        <v>0</v>
      </c>
      <c r="J3" s="439">
        <v>1233</v>
      </c>
      <c r="K3" s="438"/>
      <c r="L3" s="438"/>
      <c r="M3" s="438" t="s">
        <v>488</v>
      </c>
      <c r="N3" s="440">
        <v>-1233</v>
      </c>
      <c r="Q3" s="8" t="s">
        <v>4234</v>
      </c>
      <c r="R3" s="8" t="s">
        <v>446</v>
      </c>
    </row>
    <row r="4" spans="1:20">
      <c r="A4" s="437">
        <v>44865</v>
      </c>
      <c r="B4" s="437">
        <v>44865</v>
      </c>
      <c r="C4" s="438" t="s">
        <v>4235</v>
      </c>
      <c r="D4" s="438" t="s">
        <v>479</v>
      </c>
      <c r="E4" s="438" t="s">
        <v>446</v>
      </c>
      <c r="F4" s="438" t="s">
        <v>446</v>
      </c>
      <c r="G4" s="438" t="s">
        <v>217</v>
      </c>
      <c r="H4" s="438" t="s">
        <v>213</v>
      </c>
      <c r="I4" s="439">
        <v>1233</v>
      </c>
      <c r="J4" s="439">
        <v>0</v>
      </c>
      <c r="K4" s="438"/>
      <c r="L4" s="438"/>
      <c r="M4" s="438" t="s">
        <v>488</v>
      </c>
      <c r="N4" s="440">
        <v>1233</v>
      </c>
    </row>
    <row r="5" spans="1:20">
      <c r="A5" s="437">
        <v>44895</v>
      </c>
      <c r="B5" s="437">
        <v>44895</v>
      </c>
      <c r="C5" s="438" t="s">
        <v>4236</v>
      </c>
      <c r="D5" s="438" t="s">
        <v>472</v>
      </c>
      <c r="E5" s="438" t="s">
        <v>446</v>
      </c>
      <c r="F5" s="438" t="s">
        <v>446</v>
      </c>
      <c r="G5" s="438" t="s">
        <v>247</v>
      </c>
      <c r="H5" s="438" t="s">
        <v>247</v>
      </c>
      <c r="I5" s="439">
        <v>0</v>
      </c>
      <c r="J5" s="439">
        <v>3288</v>
      </c>
      <c r="K5" s="438"/>
      <c r="L5" s="438"/>
      <c r="M5" s="438" t="s">
        <v>488</v>
      </c>
      <c r="N5" s="440">
        <v>-3288</v>
      </c>
      <c r="Q5" s="8" t="s">
        <v>469</v>
      </c>
      <c r="R5" s="8" t="s">
        <v>470</v>
      </c>
      <c r="S5" s="8" t="s">
        <v>471</v>
      </c>
    </row>
    <row r="6" spans="1:20">
      <c r="A6" s="437">
        <v>44895</v>
      </c>
      <c r="B6" s="437">
        <v>44895</v>
      </c>
      <c r="C6" s="438" t="s">
        <v>4236</v>
      </c>
      <c r="D6" s="438" t="s">
        <v>479</v>
      </c>
      <c r="E6" s="438" t="s">
        <v>446</v>
      </c>
      <c r="F6" s="438" t="s">
        <v>446</v>
      </c>
      <c r="G6" s="438" t="s">
        <v>217</v>
      </c>
      <c r="H6" s="438" t="s">
        <v>213</v>
      </c>
      <c r="I6" s="439">
        <v>3288</v>
      </c>
      <c r="J6" s="439">
        <v>0</v>
      </c>
      <c r="K6" s="438"/>
      <c r="L6" s="438"/>
      <c r="M6" s="438" t="s">
        <v>488</v>
      </c>
      <c r="N6" s="440">
        <v>3288</v>
      </c>
      <c r="Q6" s="14" t="s">
        <v>217</v>
      </c>
      <c r="R6" s="13">
        <v>4521</v>
      </c>
      <c r="S6" s="13">
        <v>161804</v>
      </c>
      <c r="T6" s="13">
        <f>R6-S6</f>
        <v>-157283</v>
      </c>
    </row>
    <row r="7" spans="1:20">
      <c r="A7" s="437">
        <v>44926</v>
      </c>
      <c r="B7" s="437">
        <v>44926</v>
      </c>
      <c r="C7" s="438" t="s">
        <v>4237</v>
      </c>
      <c r="D7" s="438" t="s">
        <v>472</v>
      </c>
      <c r="E7" s="438" t="s">
        <v>446</v>
      </c>
      <c r="F7" s="438" t="s">
        <v>446</v>
      </c>
      <c r="G7" s="438" t="s">
        <v>247</v>
      </c>
      <c r="H7" s="438" t="s">
        <v>247</v>
      </c>
      <c r="I7" s="439">
        <v>0</v>
      </c>
      <c r="J7" s="439">
        <v>3279</v>
      </c>
      <c r="K7" s="438"/>
      <c r="L7" s="438"/>
      <c r="M7" s="438" t="s">
        <v>488</v>
      </c>
      <c r="N7" s="440">
        <v>-3279</v>
      </c>
      <c r="P7" s="454" t="s">
        <v>249</v>
      </c>
      <c r="Q7" s="14" t="s">
        <v>247</v>
      </c>
      <c r="R7" s="13">
        <v>0</v>
      </c>
      <c r="S7" s="13">
        <v>7800</v>
      </c>
      <c r="T7" s="13">
        <f t="shared" ref="T7:T8" si="0">R7-S7</f>
        <v>-7800</v>
      </c>
    </row>
    <row r="8" spans="1:20">
      <c r="A8" s="437">
        <v>44926</v>
      </c>
      <c r="B8" s="437">
        <v>44926</v>
      </c>
      <c r="C8" s="438" t="s">
        <v>4237</v>
      </c>
      <c r="D8" s="438" t="s">
        <v>476</v>
      </c>
      <c r="E8" s="438" t="s">
        <v>446</v>
      </c>
      <c r="F8" s="438" t="s">
        <v>446</v>
      </c>
      <c r="G8" s="438" t="s">
        <v>386</v>
      </c>
      <c r="H8" s="438" t="s">
        <v>374</v>
      </c>
      <c r="I8" s="439">
        <v>165083</v>
      </c>
      <c r="J8" s="439">
        <v>0</v>
      </c>
      <c r="K8" s="438"/>
      <c r="L8" s="438"/>
      <c r="M8" s="438" t="s">
        <v>488</v>
      </c>
      <c r="N8" s="440">
        <v>165083</v>
      </c>
      <c r="P8" s="454" t="s">
        <v>387</v>
      </c>
      <c r="Q8" s="14" t="s">
        <v>386</v>
      </c>
      <c r="R8" s="13">
        <v>165083</v>
      </c>
      <c r="S8" s="13">
        <v>0</v>
      </c>
      <c r="T8" s="13">
        <f t="shared" si="0"/>
        <v>165083</v>
      </c>
    </row>
    <row r="9" spans="1:20">
      <c r="A9" s="437">
        <v>44926</v>
      </c>
      <c r="B9" s="437">
        <v>44926</v>
      </c>
      <c r="C9" s="438" t="s">
        <v>4237</v>
      </c>
      <c r="D9" s="438" t="s">
        <v>479</v>
      </c>
      <c r="E9" s="438" t="s">
        <v>446</v>
      </c>
      <c r="F9" s="438" t="s">
        <v>446</v>
      </c>
      <c r="G9" s="438" t="s">
        <v>217</v>
      </c>
      <c r="H9" s="438" t="s">
        <v>213</v>
      </c>
      <c r="I9" s="439">
        <v>0</v>
      </c>
      <c r="J9" s="439">
        <v>161804</v>
      </c>
      <c r="K9" s="438"/>
      <c r="L9" s="438"/>
      <c r="M9" s="438" t="s">
        <v>488</v>
      </c>
      <c r="N9" s="440">
        <v>-161804</v>
      </c>
      <c r="Q9" s="14" t="s">
        <v>481</v>
      </c>
      <c r="R9" s="13">
        <v>169604</v>
      </c>
      <c r="S9" s="13">
        <v>169604</v>
      </c>
    </row>
    <row r="10" spans="1:20">
      <c r="A10" s="437">
        <v>44865</v>
      </c>
      <c r="B10" s="437">
        <v>44865</v>
      </c>
      <c r="C10" s="438" t="s">
        <v>4235</v>
      </c>
      <c r="D10" s="438" t="s">
        <v>472</v>
      </c>
      <c r="E10" s="438" t="s">
        <v>247</v>
      </c>
      <c r="F10" s="438" t="s">
        <v>247</v>
      </c>
      <c r="G10" s="438" t="s">
        <v>446</v>
      </c>
      <c r="H10" s="438" t="s">
        <v>446</v>
      </c>
      <c r="I10" s="439">
        <v>1233</v>
      </c>
      <c r="J10" s="439">
        <v>0</v>
      </c>
      <c r="K10" s="438"/>
      <c r="L10" s="438"/>
      <c r="M10" s="438" t="s">
        <v>488</v>
      </c>
      <c r="N10" s="440">
        <v>1233</v>
      </c>
    </row>
    <row r="11" spans="1:20">
      <c r="A11" s="437">
        <v>44865</v>
      </c>
      <c r="B11" s="437">
        <v>44865</v>
      </c>
      <c r="C11" s="438" t="s">
        <v>4235</v>
      </c>
      <c r="D11" s="438" t="s">
        <v>479</v>
      </c>
      <c r="E11" s="438" t="s">
        <v>217</v>
      </c>
      <c r="F11" s="438" t="s">
        <v>213</v>
      </c>
      <c r="G11" s="438" t="s">
        <v>446</v>
      </c>
      <c r="H11" s="438" t="s">
        <v>446</v>
      </c>
      <c r="I11" s="439">
        <v>0</v>
      </c>
      <c r="J11" s="439">
        <v>1233</v>
      </c>
      <c r="K11" s="438"/>
      <c r="L11" s="438"/>
      <c r="M11" s="438" t="s">
        <v>488</v>
      </c>
      <c r="N11" s="440">
        <v>-1233</v>
      </c>
    </row>
    <row r="12" spans="1:20">
      <c r="A12" s="437">
        <v>44895</v>
      </c>
      <c r="B12" s="437">
        <v>44895</v>
      </c>
      <c r="C12" s="438" t="s">
        <v>4236</v>
      </c>
      <c r="D12" s="438" t="s">
        <v>472</v>
      </c>
      <c r="E12" s="438" t="s">
        <v>247</v>
      </c>
      <c r="F12" s="438" t="s">
        <v>247</v>
      </c>
      <c r="G12" s="438" t="s">
        <v>446</v>
      </c>
      <c r="H12" s="438" t="s">
        <v>446</v>
      </c>
      <c r="I12" s="439">
        <v>3288</v>
      </c>
      <c r="J12" s="439">
        <v>0</v>
      </c>
      <c r="K12" s="438"/>
      <c r="L12" s="438"/>
      <c r="M12" s="438" t="s">
        <v>488</v>
      </c>
      <c r="N12" s="440">
        <v>3288</v>
      </c>
    </row>
    <row r="13" spans="1:20">
      <c r="A13" s="437">
        <v>44895</v>
      </c>
      <c r="B13" s="437">
        <v>44895</v>
      </c>
      <c r="C13" s="438" t="s">
        <v>4236</v>
      </c>
      <c r="D13" s="438" t="s">
        <v>479</v>
      </c>
      <c r="E13" s="438" t="s">
        <v>217</v>
      </c>
      <c r="F13" s="438" t="s">
        <v>213</v>
      </c>
      <c r="G13" s="438" t="s">
        <v>446</v>
      </c>
      <c r="H13" s="438" t="s">
        <v>446</v>
      </c>
      <c r="I13" s="439">
        <v>0</v>
      </c>
      <c r="J13" s="439">
        <v>3288</v>
      </c>
      <c r="K13" s="438"/>
      <c r="L13" s="438"/>
      <c r="M13" s="438" t="s">
        <v>488</v>
      </c>
      <c r="N13" s="440">
        <v>-3288</v>
      </c>
    </row>
    <row r="14" spans="1:20">
      <c r="A14" s="437">
        <v>44926</v>
      </c>
      <c r="B14" s="437">
        <v>44926</v>
      </c>
      <c r="C14" s="438" t="s">
        <v>4237</v>
      </c>
      <c r="D14" s="438" t="s">
        <v>472</v>
      </c>
      <c r="E14" s="438" t="s">
        <v>247</v>
      </c>
      <c r="F14" s="438" t="s">
        <v>247</v>
      </c>
      <c r="G14" s="438" t="s">
        <v>446</v>
      </c>
      <c r="H14" s="438" t="s">
        <v>446</v>
      </c>
      <c r="I14" s="439">
        <v>3279</v>
      </c>
      <c r="J14" s="439">
        <v>0</v>
      </c>
      <c r="K14" s="438"/>
      <c r="L14" s="438"/>
      <c r="M14" s="438" t="s">
        <v>488</v>
      </c>
      <c r="N14" s="440">
        <v>3279</v>
      </c>
    </row>
    <row r="15" spans="1:20">
      <c r="A15" s="437">
        <v>44926</v>
      </c>
      <c r="B15" s="437">
        <v>44926</v>
      </c>
      <c r="C15" s="438" t="s">
        <v>4237</v>
      </c>
      <c r="D15" s="438" t="s">
        <v>476</v>
      </c>
      <c r="E15" s="438" t="s">
        <v>386</v>
      </c>
      <c r="F15" s="438" t="s">
        <v>374</v>
      </c>
      <c r="G15" s="438" t="s">
        <v>446</v>
      </c>
      <c r="H15" s="438" t="s">
        <v>446</v>
      </c>
      <c r="I15" s="439">
        <v>0</v>
      </c>
      <c r="J15" s="439">
        <v>165083</v>
      </c>
      <c r="K15" s="438"/>
      <c r="L15" s="438"/>
      <c r="M15" s="438" t="s">
        <v>488</v>
      </c>
      <c r="N15" s="440">
        <v>-165083</v>
      </c>
    </row>
    <row r="16" spans="1:20">
      <c r="A16" s="437">
        <v>44926</v>
      </c>
      <c r="B16" s="437">
        <v>44926</v>
      </c>
      <c r="C16" s="438" t="s">
        <v>4237</v>
      </c>
      <c r="D16" s="438" t="s">
        <v>479</v>
      </c>
      <c r="E16" s="438" t="s">
        <v>217</v>
      </c>
      <c r="F16" s="438" t="s">
        <v>213</v>
      </c>
      <c r="G16" s="438" t="s">
        <v>446</v>
      </c>
      <c r="H16" s="438" t="s">
        <v>446</v>
      </c>
      <c r="I16" s="439">
        <v>161804</v>
      </c>
      <c r="J16" s="439">
        <v>0</v>
      </c>
      <c r="K16" s="438"/>
      <c r="L16" s="438"/>
      <c r="M16" s="438" t="s">
        <v>488</v>
      </c>
      <c r="N16" s="440">
        <v>161804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D8DA8-5268-4900-8F35-11AEFCA3FF72}">
  <sheetPr codeName="Sheet40">
    <tabColor rgb="FF7030A0"/>
  </sheetPr>
  <dimension ref="A1:P45"/>
  <sheetViews>
    <sheetView workbookViewId="0">
      <selection activeCell="L57" sqref="L57"/>
    </sheetView>
  </sheetViews>
  <sheetFormatPr defaultColWidth="8.85546875" defaultRowHeight="12.75"/>
  <cols>
    <col min="1" max="1" width="8.85546875" style="8"/>
    <col min="2" max="2" width="21.5703125" style="8" customWidth="1"/>
    <col min="3" max="15" width="8.85546875" style="8"/>
    <col min="16" max="16" width="15.5703125" style="8" bestFit="1" customWidth="1"/>
    <col min="17" max="16384" width="8.85546875" style="8"/>
  </cols>
  <sheetData>
    <row r="1" spans="1:16">
      <c r="A1" s="1688" t="s">
        <v>4238</v>
      </c>
      <c r="B1" s="1688"/>
      <c r="C1" s="1688"/>
      <c r="D1" s="1688"/>
      <c r="E1" s="1688"/>
      <c r="F1" s="1688"/>
      <c r="G1" s="1688"/>
      <c r="H1" s="1688"/>
      <c r="I1" s="1688"/>
      <c r="J1" s="1688"/>
    </row>
    <row r="2" spans="1:16">
      <c r="A2" s="1688"/>
      <c r="B2" s="1688"/>
      <c r="C2" s="1688"/>
      <c r="D2" s="1688"/>
      <c r="E2" s="1688"/>
      <c r="F2" s="1688"/>
      <c r="G2" s="1688"/>
      <c r="H2" s="1688"/>
      <c r="I2" s="1688"/>
      <c r="J2" s="1688"/>
    </row>
    <row r="3" spans="1:16">
      <c r="A3" s="1688" t="s">
        <v>4239</v>
      </c>
      <c r="B3" s="1688"/>
      <c r="C3" s="1688"/>
      <c r="D3" s="1688"/>
      <c r="E3" s="1688"/>
      <c r="F3" s="1688"/>
      <c r="G3" s="1688"/>
      <c r="H3" s="1688"/>
      <c r="I3" s="1688"/>
      <c r="J3" s="1688"/>
    </row>
    <row r="4" spans="1:16">
      <c r="A4" s="1688"/>
      <c r="B4" s="1688"/>
      <c r="C4" s="1688"/>
      <c r="D4" s="1688"/>
      <c r="E4" s="1688"/>
      <c r="F4" s="1688"/>
      <c r="G4" s="1688"/>
      <c r="H4" s="1688"/>
      <c r="I4" s="1688"/>
      <c r="J4" s="1688"/>
    </row>
    <row r="8" spans="1:16" ht="20.25">
      <c r="A8" s="1689" t="s">
        <v>4115</v>
      </c>
      <c r="B8" s="1689"/>
      <c r="C8" s="1689"/>
      <c r="D8" s="1689"/>
      <c r="E8" s="1689"/>
      <c r="F8" s="1689"/>
      <c r="G8" s="1689"/>
      <c r="H8" s="1689"/>
      <c r="I8" s="1689"/>
      <c r="J8" s="1689"/>
      <c r="K8" s="1689"/>
      <c r="L8" s="1689"/>
      <c r="M8" s="1689"/>
      <c r="N8" s="1689"/>
      <c r="O8" s="1689"/>
    </row>
    <row r="9" spans="1:16" ht="15.75">
      <c r="A9" s="1690" t="s">
        <v>4116</v>
      </c>
      <c r="B9" s="1690"/>
      <c r="C9" s="1690"/>
      <c r="D9" s="1690"/>
      <c r="E9" s="1690"/>
      <c r="F9" s="1690"/>
      <c r="G9" s="1690"/>
      <c r="H9" s="1690"/>
      <c r="I9" s="1690"/>
      <c r="J9" s="1690"/>
      <c r="K9" s="1690"/>
      <c r="L9" s="1690"/>
      <c r="M9" s="1690"/>
      <c r="N9" s="1690"/>
      <c r="O9" s="1690"/>
    </row>
    <row r="11" spans="1:16" ht="15">
      <c r="N11" s="1691" t="s">
        <v>4117</v>
      </c>
      <c r="O11" s="1691"/>
    </row>
    <row r="12" spans="1:16">
      <c r="A12" s="400"/>
      <c r="B12" s="400"/>
      <c r="C12" s="400"/>
      <c r="D12" s="400"/>
      <c r="E12" s="400"/>
      <c r="F12" s="400"/>
      <c r="G12" s="400"/>
      <c r="H12" s="400"/>
      <c r="I12" s="400"/>
      <c r="J12" s="400"/>
      <c r="K12" s="400"/>
      <c r="L12" s="400"/>
      <c r="M12" s="400"/>
      <c r="N12" s="400"/>
      <c r="O12" s="400"/>
    </row>
    <row r="13" spans="1:16" ht="14.25">
      <c r="A13" s="1686" t="s">
        <v>4</v>
      </c>
      <c r="B13" s="1686" t="s">
        <v>5</v>
      </c>
      <c r="C13" s="1692" t="s">
        <v>6</v>
      </c>
      <c r="D13" s="1692"/>
      <c r="E13" s="1692"/>
      <c r="F13" s="1692" t="s">
        <v>7</v>
      </c>
      <c r="G13" s="1692"/>
      <c r="H13" s="1692"/>
      <c r="I13" s="1692"/>
      <c r="J13" s="1692"/>
      <c r="K13" s="1692"/>
      <c r="L13" s="1692"/>
      <c r="M13" s="1692" t="s">
        <v>8</v>
      </c>
      <c r="N13" s="1692"/>
      <c r="O13" s="1692"/>
    </row>
    <row r="14" spans="1:16" ht="14.25">
      <c r="A14" s="1686"/>
      <c r="B14" s="1686"/>
      <c r="C14" s="1692" t="s">
        <v>11</v>
      </c>
      <c r="D14" s="1692"/>
      <c r="E14" s="1643" t="s">
        <v>12</v>
      </c>
      <c r="F14" s="1643" t="s">
        <v>11</v>
      </c>
      <c r="G14" s="1692" t="s">
        <v>12</v>
      </c>
      <c r="H14" s="1692"/>
      <c r="I14" s="1692"/>
      <c r="J14" s="1692"/>
      <c r="K14" s="1692"/>
      <c r="L14" s="1692"/>
      <c r="M14" s="1692" t="s">
        <v>11</v>
      </c>
      <c r="N14" s="1692"/>
      <c r="O14" s="1643" t="s">
        <v>12</v>
      </c>
    </row>
    <row r="15" spans="1:16" ht="15">
      <c r="A15" s="1644" t="s">
        <v>17</v>
      </c>
      <c r="B15" s="1645" t="s">
        <v>18</v>
      </c>
      <c r="C15" s="1685">
        <v>0</v>
      </c>
      <c r="D15" s="1685"/>
      <c r="E15" s="1646">
        <v>0</v>
      </c>
      <c r="F15" s="1646">
        <v>100017703</v>
      </c>
      <c r="G15" s="1685">
        <v>61751820</v>
      </c>
      <c r="H15" s="1685"/>
      <c r="I15" s="1685"/>
      <c r="J15" s="1685"/>
      <c r="K15" s="1685"/>
      <c r="L15" s="1685"/>
      <c r="M15" s="1685">
        <v>38265883</v>
      </c>
      <c r="N15" s="1685"/>
      <c r="O15" s="1646">
        <v>0</v>
      </c>
      <c r="P15" s="9">
        <f>M15-O15</f>
        <v>38265883</v>
      </c>
    </row>
    <row r="16" spans="1:16" ht="15">
      <c r="A16" s="1647" t="s">
        <v>19</v>
      </c>
      <c r="B16" s="1648" t="s">
        <v>16</v>
      </c>
      <c r="C16" s="1687">
        <v>0</v>
      </c>
      <c r="D16" s="1687"/>
      <c r="E16" s="1649">
        <v>0</v>
      </c>
      <c r="F16" s="1649">
        <v>100017703</v>
      </c>
      <c r="G16" s="1687">
        <v>61751820</v>
      </c>
      <c r="H16" s="1687"/>
      <c r="I16" s="1687"/>
      <c r="J16" s="1687"/>
      <c r="K16" s="1687"/>
      <c r="L16" s="1687"/>
      <c r="M16" s="1687">
        <v>38265883</v>
      </c>
      <c r="N16" s="1687"/>
      <c r="O16" s="1649">
        <v>0</v>
      </c>
      <c r="P16" s="9">
        <f t="shared" ref="P16:P36" si="0">M16-O16</f>
        <v>38265883</v>
      </c>
    </row>
    <row r="17" spans="1:16" ht="25.5">
      <c r="A17" s="1644" t="s">
        <v>49</v>
      </c>
      <c r="B17" s="1645" t="s">
        <v>50</v>
      </c>
      <c r="C17" s="1685">
        <v>0</v>
      </c>
      <c r="D17" s="1685"/>
      <c r="E17" s="1646">
        <v>0</v>
      </c>
      <c r="F17" s="1646">
        <v>434320</v>
      </c>
      <c r="G17" s="1685">
        <v>0</v>
      </c>
      <c r="H17" s="1685"/>
      <c r="I17" s="1685"/>
      <c r="J17" s="1685"/>
      <c r="K17" s="1685"/>
      <c r="L17" s="1685"/>
      <c r="M17" s="1685">
        <v>434320</v>
      </c>
      <c r="N17" s="1685"/>
      <c r="O17" s="1646">
        <v>0</v>
      </c>
      <c r="P17" s="9">
        <f t="shared" si="0"/>
        <v>434320</v>
      </c>
    </row>
    <row r="18" spans="1:16" ht="25.5">
      <c r="A18" s="1647" t="s">
        <v>51</v>
      </c>
      <c r="B18" s="1648" t="s">
        <v>52</v>
      </c>
      <c r="C18" s="1687">
        <v>0</v>
      </c>
      <c r="D18" s="1687"/>
      <c r="E18" s="1649">
        <v>0</v>
      </c>
      <c r="F18" s="1649">
        <v>434320</v>
      </c>
      <c r="G18" s="1687">
        <v>0</v>
      </c>
      <c r="H18" s="1687"/>
      <c r="I18" s="1687"/>
      <c r="J18" s="1687"/>
      <c r="K18" s="1687"/>
      <c r="L18" s="1687"/>
      <c r="M18" s="1687">
        <v>434320</v>
      </c>
      <c r="N18" s="1687"/>
      <c r="O18" s="1649">
        <v>0</v>
      </c>
      <c r="P18" s="9">
        <f t="shared" si="0"/>
        <v>434320</v>
      </c>
    </row>
    <row r="19" spans="1:16" ht="15">
      <c r="A19" s="1644" t="s">
        <v>112</v>
      </c>
      <c r="B19" s="1645" t="s">
        <v>113</v>
      </c>
      <c r="C19" s="1685">
        <v>0</v>
      </c>
      <c r="D19" s="1685"/>
      <c r="E19" s="1646">
        <v>0</v>
      </c>
      <c r="F19" s="1646">
        <v>37387500</v>
      </c>
      <c r="G19" s="1685">
        <v>25115625</v>
      </c>
      <c r="H19" s="1685"/>
      <c r="I19" s="1685"/>
      <c r="J19" s="1685"/>
      <c r="K19" s="1685"/>
      <c r="L19" s="1685"/>
      <c r="M19" s="1685">
        <v>12271875</v>
      </c>
      <c r="N19" s="1685"/>
      <c r="O19" s="1646">
        <v>0</v>
      </c>
      <c r="P19" s="9">
        <f t="shared" si="0"/>
        <v>12271875</v>
      </c>
    </row>
    <row r="20" spans="1:16" ht="15">
      <c r="A20" s="1647" t="s">
        <v>523</v>
      </c>
      <c r="B20" s="1648" t="s">
        <v>115</v>
      </c>
      <c r="C20" s="1687">
        <v>0</v>
      </c>
      <c r="D20" s="1687"/>
      <c r="E20" s="1649">
        <v>0</v>
      </c>
      <c r="F20" s="1649">
        <v>13387500</v>
      </c>
      <c r="G20" s="1687">
        <v>1115625</v>
      </c>
      <c r="H20" s="1687"/>
      <c r="I20" s="1687"/>
      <c r="J20" s="1687"/>
      <c r="K20" s="1687"/>
      <c r="L20" s="1687"/>
      <c r="M20" s="1687">
        <v>12271875</v>
      </c>
      <c r="N20" s="1687"/>
      <c r="O20" s="1649">
        <v>0</v>
      </c>
      <c r="P20" s="9">
        <f t="shared" si="0"/>
        <v>12271875</v>
      </c>
    </row>
    <row r="21" spans="1:16" ht="15">
      <c r="A21" s="1644" t="s">
        <v>116</v>
      </c>
      <c r="B21" s="1645" t="s">
        <v>113</v>
      </c>
      <c r="C21" s="1685">
        <v>0</v>
      </c>
      <c r="D21" s="1685"/>
      <c r="E21" s="1646">
        <v>0</v>
      </c>
      <c r="F21" s="1646">
        <v>24000000</v>
      </c>
      <c r="G21" s="1685">
        <v>24000000</v>
      </c>
      <c r="H21" s="1685"/>
      <c r="I21" s="1685"/>
      <c r="J21" s="1685"/>
      <c r="K21" s="1685"/>
      <c r="L21" s="1685"/>
      <c r="M21" s="1685">
        <v>0</v>
      </c>
      <c r="N21" s="1685"/>
      <c r="O21" s="1646">
        <v>0</v>
      </c>
      <c r="P21" s="9">
        <f t="shared" si="0"/>
        <v>0</v>
      </c>
    </row>
    <row r="22" spans="1:16" ht="15">
      <c r="A22" s="1647" t="s">
        <v>117</v>
      </c>
      <c r="B22" s="1648" t="s">
        <v>525</v>
      </c>
      <c r="C22" s="1687">
        <v>0</v>
      </c>
      <c r="D22" s="1687"/>
      <c r="E22" s="1649">
        <v>0</v>
      </c>
      <c r="F22" s="1649">
        <v>24000000</v>
      </c>
      <c r="G22" s="1687">
        <v>24000000</v>
      </c>
      <c r="H22" s="1687"/>
      <c r="I22" s="1687"/>
      <c r="J22" s="1687"/>
      <c r="K22" s="1687"/>
      <c r="L22" s="1687"/>
      <c r="M22" s="1687">
        <v>0</v>
      </c>
      <c r="N22" s="1687"/>
      <c r="O22" s="1649">
        <v>0</v>
      </c>
      <c r="P22" s="9">
        <f t="shared" si="0"/>
        <v>0</v>
      </c>
    </row>
    <row r="23" spans="1:16" ht="25.5">
      <c r="A23" s="1644" t="s">
        <v>121</v>
      </c>
      <c r="B23" s="1645" t="s">
        <v>122</v>
      </c>
      <c r="C23" s="1685">
        <v>0</v>
      </c>
      <c r="D23" s="1685"/>
      <c r="E23" s="1646">
        <v>0</v>
      </c>
      <c r="F23" s="1646">
        <v>16000000</v>
      </c>
      <c r="G23" s="1685">
        <v>0</v>
      </c>
      <c r="H23" s="1685"/>
      <c r="I23" s="1685"/>
      <c r="J23" s="1685"/>
      <c r="K23" s="1685"/>
      <c r="L23" s="1685"/>
      <c r="M23" s="1685">
        <v>16000000</v>
      </c>
      <c r="N23" s="1685"/>
      <c r="O23" s="1646">
        <v>0</v>
      </c>
      <c r="P23" s="9">
        <f t="shared" si="0"/>
        <v>16000000</v>
      </c>
    </row>
    <row r="24" spans="1:16" ht="25.5">
      <c r="A24" s="1644" t="s">
        <v>203</v>
      </c>
      <c r="B24" s="1645" t="s">
        <v>204</v>
      </c>
      <c r="C24" s="1685">
        <v>0</v>
      </c>
      <c r="D24" s="1685"/>
      <c r="E24" s="1646">
        <v>0</v>
      </c>
      <c r="F24" s="1646">
        <v>0</v>
      </c>
      <c r="G24" s="1685">
        <v>100000000</v>
      </c>
      <c r="H24" s="1685"/>
      <c r="I24" s="1685"/>
      <c r="J24" s="1685"/>
      <c r="K24" s="1685"/>
      <c r="L24" s="1685"/>
      <c r="M24" s="1685">
        <v>0</v>
      </c>
      <c r="N24" s="1685"/>
      <c r="O24" s="1646">
        <v>100000000</v>
      </c>
      <c r="P24" s="9">
        <f t="shared" si="0"/>
        <v>-100000000</v>
      </c>
    </row>
    <row r="25" spans="1:16" ht="15">
      <c r="A25" s="1644" t="s">
        <v>205</v>
      </c>
      <c r="B25" s="1645" t="s">
        <v>206</v>
      </c>
      <c r="C25" s="1685">
        <v>0</v>
      </c>
      <c r="D25" s="1685"/>
      <c r="E25" s="1646">
        <v>0</v>
      </c>
      <c r="F25" s="1646">
        <v>0</v>
      </c>
      <c r="G25" s="1685">
        <v>100000000</v>
      </c>
      <c r="H25" s="1685"/>
      <c r="I25" s="1685"/>
      <c r="J25" s="1685"/>
      <c r="K25" s="1685"/>
      <c r="L25" s="1685"/>
      <c r="M25" s="1685">
        <v>0</v>
      </c>
      <c r="N25" s="1685"/>
      <c r="O25" s="1646">
        <v>100000000</v>
      </c>
      <c r="P25" s="9">
        <f t="shared" si="0"/>
        <v>-100000000</v>
      </c>
    </row>
    <row r="26" spans="1:16" ht="25.5">
      <c r="A26" s="1647" t="s">
        <v>207</v>
      </c>
      <c r="B26" s="1648" t="s">
        <v>208</v>
      </c>
      <c r="C26" s="1687">
        <v>0</v>
      </c>
      <c r="D26" s="1687"/>
      <c r="E26" s="1649">
        <v>0</v>
      </c>
      <c r="F26" s="1649">
        <v>0</v>
      </c>
      <c r="G26" s="1687">
        <v>100000000</v>
      </c>
      <c r="H26" s="1687"/>
      <c r="I26" s="1687"/>
      <c r="J26" s="1687"/>
      <c r="K26" s="1687"/>
      <c r="L26" s="1687"/>
      <c r="M26" s="1687">
        <v>0</v>
      </c>
      <c r="N26" s="1687"/>
      <c r="O26" s="1649">
        <v>100000000</v>
      </c>
      <c r="P26" s="9">
        <f t="shared" si="0"/>
        <v>-100000000</v>
      </c>
    </row>
    <row r="27" spans="1:16" ht="25.5">
      <c r="A27" s="1644" t="s">
        <v>213</v>
      </c>
      <c r="B27" s="1645" t="s">
        <v>214</v>
      </c>
      <c r="C27" s="1685">
        <v>0</v>
      </c>
      <c r="D27" s="1685"/>
      <c r="E27" s="1646">
        <v>0</v>
      </c>
      <c r="F27" s="1646">
        <v>33027922</v>
      </c>
      <c r="G27" s="1685">
        <v>0</v>
      </c>
      <c r="H27" s="1685"/>
      <c r="I27" s="1685"/>
      <c r="J27" s="1685"/>
      <c r="K27" s="1685"/>
      <c r="L27" s="1685"/>
      <c r="M27" s="1685">
        <v>33027922</v>
      </c>
      <c r="N27" s="1685"/>
      <c r="O27" s="1646">
        <v>0</v>
      </c>
      <c r="P27" s="9">
        <f t="shared" si="0"/>
        <v>33027922</v>
      </c>
    </row>
    <row r="28" spans="1:16" ht="25.5">
      <c r="A28" s="1647" t="s">
        <v>217</v>
      </c>
      <c r="B28" s="1648" t="s">
        <v>218</v>
      </c>
      <c r="C28" s="1687">
        <v>0</v>
      </c>
      <c r="D28" s="1687"/>
      <c r="E28" s="1649">
        <v>0</v>
      </c>
      <c r="F28" s="1649">
        <v>33027922</v>
      </c>
      <c r="G28" s="1687">
        <v>0</v>
      </c>
      <c r="H28" s="1687"/>
      <c r="I28" s="1687"/>
      <c r="J28" s="1687"/>
      <c r="K28" s="1687"/>
      <c r="L28" s="1687"/>
      <c r="M28" s="1687">
        <v>33027922</v>
      </c>
      <c r="N28" s="1687"/>
      <c r="O28" s="1649">
        <v>0</v>
      </c>
      <c r="P28" s="9">
        <f t="shared" si="0"/>
        <v>33027922</v>
      </c>
    </row>
    <row r="29" spans="1:16" ht="25.5">
      <c r="A29" s="1644" t="s">
        <v>247</v>
      </c>
      <c r="B29" s="1645" t="s">
        <v>248</v>
      </c>
      <c r="C29" s="1685">
        <v>0</v>
      </c>
      <c r="D29" s="1685"/>
      <c r="E29" s="1646">
        <v>0</v>
      </c>
      <c r="F29" s="1646">
        <v>17703</v>
      </c>
      <c r="G29" s="1685">
        <v>17703</v>
      </c>
      <c r="H29" s="1685"/>
      <c r="I29" s="1685"/>
      <c r="J29" s="1685"/>
      <c r="K29" s="1685"/>
      <c r="L29" s="1685"/>
      <c r="M29" s="1685">
        <v>0</v>
      </c>
      <c r="N29" s="1685"/>
      <c r="O29" s="1646">
        <v>0</v>
      </c>
      <c r="P29" s="9">
        <f t="shared" si="0"/>
        <v>0</v>
      </c>
    </row>
    <row r="30" spans="1:16" ht="25.5">
      <c r="A30" s="1644" t="s">
        <v>374</v>
      </c>
      <c r="B30" s="1645" t="s">
        <v>375</v>
      </c>
      <c r="C30" s="1685">
        <v>0</v>
      </c>
      <c r="D30" s="1685"/>
      <c r="E30" s="1646">
        <v>0</v>
      </c>
      <c r="F30" s="1646">
        <v>32745625</v>
      </c>
      <c r="G30" s="1685">
        <v>32745625</v>
      </c>
      <c r="H30" s="1685"/>
      <c r="I30" s="1685"/>
      <c r="J30" s="1685"/>
      <c r="K30" s="1685"/>
      <c r="L30" s="1685"/>
      <c r="M30" s="1685">
        <v>0</v>
      </c>
      <c r="N30" s="1685"/>
      <c r="O30" s="1646">
        <v>0</v>
      </c>
      <c r="P30" s="9">
        <f t="shared" si="0"/>
        <v>0</v>
      </c>
    </row>
    <row r="31" spans="1:16" ht="25.5">
      <c r="A31" s="1647" t="s">
        <v>381</v>
      </c>
      <c r="B31" s="1648" t="s">
        <v>382</v>
      </c>
      <c r="C31" s="1687">
        <v>0</v>
      </c>
      <c r="D31" s="1687"/>
      <c r="E31" s="1649">
        <v>0</v>
      </c>
      <c r="F31" s="1649">
        <v>6615625</v>
      </c>
      <c r="G31" s="1687">
        <v>6615625</v>
      </c>
      <c r="H31" s="1687"/>
      <c r="I31" s="1687"/>
      <c r="J31" s="1687"/>
      <c r="K31" s="1687"/>
      <c r="L31" s="1687"/>
      <c r="M31" s="1687">
        <v>0</v>
      </c>
      <c r="N31" s="1687"/>
      <c r="O31" s="1649">
        <v>0</v>
      </c>
      <c r="P31" s="9">
        <f t="shared" si="0"/>
        <v>0</v>
      </c>
    </row>
    <row r="32" spans="1:16" ht="15">
      <c r="A32" s="1644" t="s">
        <v>386</v>
      </c>
      <c r="B32" s="1645" t="s">
        <v>272</v>
      </c>
      <c r="C32" s="1685">
        <v>0</v>
      </c>
      <c r="D32" s="1685"/>
      <c r="E32" s="1646">
        <v>0</v>
      </c>
      <c r="F32" s="1646">
        <v>26130000</v>
      </c>
      <c r="G32" s="1685">
        <v>26130000</v>
      </c>
      <c r="H32" s="1685"/>
      <c r="I32" s="1685"/>
      <c r="J32" s="1685"/>
      <c r="K32" s="1685"/>
      <c r="L32" s="1685"/>
      <c r="M32" s="1685">
        <v>0</v>
      </c>
      <c r="N32" s="1685"/>
      <c r="O32" s="1646">
        <v>0</v>
      </c>
      <c r="P32" s="9">
        <f t="shared" si="0"/>
        <v>0</v>
      </c>
    </row>
    <row r="33" spans="1:16" ht="15">
      <c r="A33" s="1647" t="s">
        <v>403</v>
      </c>
      <c r="B33" s="1648" t="s">
        <v>404</v>
      </c>
      <c r="C33" s="1687">
        <v>0</v>
      </c>
      <c r="D33" s="1687"/>
      <c r="E33" s="1649">
        <v>0</v>
      </c>
      <c r="F33" s="1649">
        <v>2130000</v>
      </c>
      <c r="G33" s="1687">
        <v>2130000</v>
      </c>
      <c r="H33" s="1687"/>
      <c r="I33" s="1687"/>
      <c r="J33" s="1687"/>
      <c r="K33" s="1687"/>
      <c r="L33" s="1687"/>
      <c r="M33" s="1687">
        <v>0</v>
      </c>
      <c r="N33" s="1687"/>
      <c r="O33" s="1649">
        <v>0</v>
      </c>
      <c r="P33" s="9">
        <f t="shared" si="0"/>
        <v>0</v>
      </c>
    </row>
    <row r="34" spans="1:16" ht="15">
      <c r="A34" s="1647" t="s">
        <v>424</v>
      </c>
      <c r="B34" s="1648" t="s">
        <v>288</v>
      </c>
      <c r="C34" s="1687">
        <v>0</v>
      </c>
      <c r="D34" s="1687"/>
      <c r="E34" s="1649">
        <v>0</v>
      </c>
      <c r="F34" s="1649">
        <v>24000000</v>
      </c>
      <c r="G34" s="1687">
        <v>24000000</v>
      </c>
      <c r="H34" s="1687"/>
      <c r="I34" s="1687"/>
      <c r="J34" s="1687"/>
      <c r="K34" s="1687"/>
      <c r="L34" s="1687"/>
      <c r="M34" s="1687">
        <v>0</v>
      </c>
      <c r="N34" s="1687"/>
      <c r="O34" s="1649">
        <v>0</v>
      </c>
      <c r="P34" s="9">
        <f t="shared" si="0"/>
        <v>0</v>
      </c>
    </row>
    <row r="35" spans="1:16" ht="15">
      <c r="A35" s="1644" t="s">
        <v>444</v>
      </c>
      <c r="B35" s="1645" t="s">
        <v>445</v>
      </c>
      <c r="C35" s="1685">
        <v>0</v>
      </c>
      <c r="D35" s="1685"/>
      <c r="E35" s="1646">
        <v>0</v>
      </c>
      <c r="F35" s="1646">
        <v>300000</v>
      </c>
      <c r="G35" s="1685">
        <v>300000</v>
      </c>
      <c r="H35" s="1685"/>
      <c r="I35" s="1685"/>
      <c r="J35" s="1685"/>
      <c r="K35" s="1685"/>
      <c r="L35" s="1685"/>
      <c r="M35" s="1685">
        <v>0</v>
      </c>
      <c r="N35" s="1685"/>
      <c r="O35" s="1646">
        <v>0</v>
      </c>
      <c r="P35" s="9">
        <f t="shared" si="0"/>
        <v>0</v>
      </c>
    </row>
    <row r="36" spans="1:16" ht="25.5">
      <c r="A36" s="1644" t="s">
        <v>446</v>
      </c>
      <c r="B36" s="1645" t="s">
        <v>447</v>
      </c>
      <c r="C36" s="1685">
        <v>0</v>
      </c>
      <c r="D36" s="1685"/>
      <c r="E36" s="1646">
        <v>0</v>
      </c>
      <c r="F36" s="1646">
        <v>33045625</v>
      </c>
      <c r="G36" s="1685">
        <v>33045625</v>
      </c>
      <c r="H36" s="1685"/>
      <c r="I36" s="1685"/>
      <c r="J36" s="1685"/>
      <c r="K36" s="1685"/>
      <c r="L36" s="1685"/>
      <c r="M36" s="1685">
        <v>0</v>
      </c>
      <c r="N36" s="1685"/>
      <c r="O36" s="1646">
        <v>0</v>
      </c>
      <c r="P36" s="9">
        <f t="shared" si="0"/>
        <v>0</v>
      </c>
    </row>
    <row r="37" spans="1:16">
      <c r="A37" s="1650"/>
      <c r="B37" s="1650"/>
      <c r="C37" s="1650"/>
      <c r="D37" s="1650"/>
      <c r="E37" s="1650"/>
      <c r="F37" s="1650"/>
      <c r="G37" s="1650"/>
      <c r="H37" s="1650"/>
      <c r="I37" s="1650"/>
      <c r="J37" s="1650"/>
      <c r="K37" s="1650"/>
      <c r="L37" s="1650"/>
      <c r="M37" s="1650"/>
      <c r="N37" s="1650"/>
      <c r="O37" s="1650"/>
    </row>
    <row r="38" spans="1:16" ht="15">
      <c r="K38" s="1693" t="s">
        <v>4240</v>
      </c>
      <c r="L38" s="1693"/>
      <c r="M38" s="1693"/>
      <c r="N38" s="1693"/>
      <c r="O38" s="1693"/>
    </row>
    <row r="39" spans="1:16" ht="15">
      <c r="A39" s="1688" t="s">
        <v>4238</v>
      </c>
      <c r="B39" s="1688"/>
      <c r="C39" s="1688"/>
      <c r="D39" s="1688"/>
      <c r="E39" s="1688"/>
      <c r="F39" s="1688"/>
      <c r="G39" s="1688"/>
      <c r="H39" s="1688"/>
      <c r="I39" s="1688"/>
      <c r="J39" s="1688"/>
    </row>
    <row r="40" spans="1:16" ht="15">
      <c r="A40" s="1688" t="s">
        <v>4239</v>
      </c>
      <c r="B40" s="1688"/>
      <c r="C40" s="1688"/>
      <c r="D40" s="1688"/>
      <c r="E40" s="1688"/>
      <c r="F40" s="1688"/>
      <c r="G40" s="1688"/>
      <c r="H40" s="1688"/>
      <c r="I40" s="1688"/>
      <c r="J40" s="1688"/>
    </row>
    <row r="41" spans="1:16">
      <c r="A41" s="400"/>
      <c r="B41" s="400"/>
      <c r="C41" s="400"/>
      <c r="D41" s="400"/>
      <c r="E41" s="400"/>
      <c r="F41" s="400"/>
      <c r="G41" s="400"/>
      <c r="H41" s="400"/>
      <c r="I41" s="400"/>
      <c r="J41" s="400"/>
      <c r="K41" s="400"/>
      <c r="L41" s="400"/>
      <c r="M41" s="400"/>
      <c r="N41" s="400"/>
      <c r="O41" s="400"/>
    </row>
    <row r="42" spans="1:16" ht="14.25">
      <c r="A42" s="1686" t="s">
        <v>4</v>
      </c>
      <c r="B42" s="1686" t="s">
        <v>5</v>
      </c>
      <c r="C42" s="1692" t="s">
        <v>6</v>
      </c>
      <c r="D42" s="1692"/>
      <c r="E42" s="1692"/>
      <c r="F42" s="1692" t="s">
        <v>7</v>
      </c>
      <c r="G42" s="1692"/>
      <c r="H42" s="1692"/>
      <c r="I42" s="1692"/>
      <c r="J42" s="1692"/>
      <c r="K42" s="1692"/>
      <c r="L42" s="1692"/>
      <c r="M42" s="1692" t="s">
        <v>8</v>
      </c>
      <c r="N42" s="1692"/>
      <c r="O42" s="1692"/>
    </row>
    <row r="43" spans="1:16" ht="14.25">
      <c r="A43" s="1686"/>
      <c r="B43" s="1686"/>
      <c r="C43" s="1692" t="s">
        <v>11</v>
      </c>
      <c r="D43" s="1692"/>
      <c r="E43" s="1643" t="s">
        <v>12</v>
      </c>
      <c r="F43" s="1643" t="s">
        <v>11</v>
      </c>
      <c r="G43" s="1692" t="s">
        <v>12</v>
      </c>
      <c r="H43" s="1692"/>
      <c r="I43" s="1692"/>
      <c r="J43" s="1692"/>
      <c r="K43" s="1692"/>
      <c r="L43" s="1692"/>
      <c r="M43" s="1692" t="s">
        <v>11</v>
      </c>
      <c r="N43" s="1692"/>
      <c r="O43" s="1643" t="s">
        <v>12</v>
      </c>
    </row>
    <row r="44" spans="1:16" ht="14.25">
      <c r="A44" s="1686" t="s">
        <v>448</v>
      </c>
      <c r="B44" s="1686"/>
      <c r="C44" s="1685">
        <v>0</v>
      </c>
      <c r="D44" s="1685"/>
      <c r="E44" s="1646">
        <v>0</v>
      </c>
      <c r="F44" s="1646">
        <v>252976398</v>
      </c>
      <c r="G44" s="1685">
        <v>252976398</v>
      </c>
      <c r="H44" s="1685"/>
      <c r="I44" s="1685"/>
      <c r="J44" s="1685"/>
      <c r="K44" s="1685"/>
      <c r="L44" s="1685"/>
      <c r="M44" s="1685">
        <v>100000000</v>
      </c>
      <c r="N44" s="1685"/>
      <c r="O44" s="1646">
        <v>100000000</v>
      </c>
    </row>
    <row r="45" spans="1:16">
      <c r="A45" s="1650"/>
      <c r="B45" s="1650"/>
      <c r="C45" s="1650"/>
      <c r="D45" s="1650"/>
      <c r="E45" s="1650"/>
      <c r="F45" s="1650"/>
      <c r="G45" s="1650"/>
      <c r="H45" s="1650"/>
      <c r="I45" s="1650"/>
      <c r="J45" s="1650"/>
      <c r="K45" s="1650"/>
      <c r="L45" s="1650"/>
      <c r="M45" s="1650"/>
      <c r="N45" s="1650"/>
      <c r="O45" s="1650"/>
    </row>
  </sheetData>
  <mergeCells count="94">
    <mergeCell ref="A13:A14"/>
    <mergeCell ref="B13:B14"/>
    <mergeCell ref="C13:E13"/>
    <mergeCell ref="F13:L13"/>
    <mergeCell ref="M13:O13"/>
    <mergeCell ref="C14:D14"/>
    <mergeCell ref="G14:L14"/>
    <mergeCell ref="M14:N14"/>
    <mergeCell ref="A1:J2"/>
    <mergeCell ref="A3:J4"/>
    <mergeCell ref="A8:O8"/>
    <mergeCell ref="A9:O9"/>
    <mergeCell ref="N11:O11"/>
    <mergeCell ref="C15:D15"/>
    <mergeCell ref="G15:L15"/>
    <mergeCell ref="M15:N15"/>
    <mergeCell ref="C16:D16"/>
    <mergeCell ref="G16:L16"/>
    <mergeCell ref="M16:N16"/>
    <mergeCell ref="C17:D17"/>
    <mergeCell ref="G17:L17"/>
    <mergeCell ref="M17:N17"/>
    <mergeCell ref="C18:D18"/>
    <mergeCell ref="G18:L18"/>
    <mergeCell ref="M18:N18"/>
    <mergeCell ref="C19:D19"/>
    <mergeCell ref="G19:L19"/>
    <mergeCell ref="M19:N19"/>
    <mergeCell ref="C20:D20"/>
    <mergeCell ref="G20:L20"/>
    <mergeCell ref="M20:N20"/>
    <mergeCell ref="C21:D21"/>
    <mergeCell ref="G21:L21"/>
    <mergeCell ref="M21:N21"/>
    <mergeCell ref="C22:D22"/>
    <mergeCell ref="G22:L22"/>
    <mergeCell ref="M22:N22"/>
    <mergeCell ref="C23:D23"/>
    <mergeCell ref="G23:L23"/>
    <mergeCell ref="M23:N23"/>
    <mergeCell ref="C24:D24"/>
    <mergeCell ref="G24:L24"/>
    <mergeCell ref="M24:N24"/>
    <mergeCell ref="C25:D25"/>
    <mergeCell ref="G25:L25"/>
    <mergeCell ref="M25:N25"/>
    <mergeCell ref="C26:D26"/>
    <mergeCell ref="G26:L26"/>
    <mergeCell ref="M26:N26"/>
    <mergeCell ref="C27:D27"/>
    <mergeCell ref="G27:L27"/>
    <mergeCell ref="M27:N27"/>
    <mergeCell ref="C28:D28"/>
    <mergeCell ref="G28:L28"/>
    <mergeCell ref="M28:N28"/>
    <mergeCell ref="C29:D29"/>
    <mergeCell ref="G29:L29"/>
    <mergeCell ref="M29:N29"/>
    <mergeCell ref="C30:D30"/>
    <mergeCell ref="G30:L30"/>
    <mergeCell ref="M30:N30"/>
    <mergeCell ref="C31:D31"/>
    <mergeCell ref="G31:L31"/>
    <mergeCell ref="M31:N31"/>
    <mergeCell ref="C32:D32"/>
    <mergeCell ref="G32:L32"/>
    <mergeCell ref="M32:N32"/>
    <mergeCell ref="C33:D33"/>
    <mergeCell ref="G33:L33"/>
    <mergeCell ref="M33:N33"/>
    <mergeCell ref="A40:J40"/>
    <mergeCell ref="C34:D34"/>
    <mergeCell ref="G34:L34"/>
    <mergeCell ref="M34:N34"/>
    <mergeCell ref="C35:D35"/>
    <mergeCell ref="G35:L35"/>
    <mergeCell ref="M35:N35"/>
    <mergeCell ref="C36:D36"/>
    <mergeCell ref="G36:L36"/>
    <mergeCell ref="M36:N36"/>
    <mergeCell ref="K38:O38"/>
    <mergeCell ref="A39:J39"/>
    <mergeCell ref="A44:B44"/>
    <mergeCell ref="C44:D44"/>
    <mergeCell ref="G44:L44"/>
    <mergeCell ref="M44:N44"/>
    <mergeCell ref="A42:A43"/>
    <mergeCell ref="B42:B43"/>
    <mergeCell ref="C42:E42"/>
    <mergeCell ref="F42:L42"/>
    <mergeCell ref="M42:O42"/>
    <mergeCell ref="C43:D43"/>
    <mergeCell ref="G43:L43"/>
    <mergeCell ref="M43:N43"/>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FD80B-2198-4FFA-9C9C-D274B2D05124}">
  <sheetPr codeName="Sheet41">
    <tabColor rgb="FF7030A0"/>
  </sheetPr>
  <dimension ref="A1:T15"/>
  <sheetViews>
    <sheetView topLeftCell="F1" workbookViewId="0">
      <selection activeCell="L57" sqref="L57"/>
    </sheetView>
  </sheetViews>
  <sheetFormatPr defaultColWidth="8.85546875" defaultRowHeight="12.75"/>
  <cols>
    <col min="1" max="1" width="8.85546875" style="8"/>
    <col min="2" max="2" width="13.5703125" style="8" bestFit="1" customWidth="1"/>
    <col min="3" max="4" width="19.5703125" style="8" bestFit="1" customWidth="1"/>
    <col min="5" max="5" width="11.5703125" style="8" bestFit="1" customWidth="1"/>
    <col min="6" max="16" width="8.85546875" style="8"/>
    <col min="17" max="17" width="13.5703125" style="8" bestFit="1" customWidth="1"/>
    <col min="18" max="19" width="19.5703125" style="8" bestFit="1" customWidth="1"/>
    <col min="20" max="20" width="11.5703125" style="8" bestFit="1" customWidth="1"/>
    <col min="21" max="16384" width="8.85546875" style="8"/>
  </cols>
  <sheetData>
    <row r="1" spans="1:20" ht="31.5">
      <c r="A1" s="433" t="s">
        <v>449</v>
      </c>
      <c r="B1" s="433" t="s">
        <v>450</v>
      </c>
      <c r="C1" s="434" t="s">
        <v>451</v>
      </c>
      <c r="D1" s="434" t="s">
        <v>455</v>
      </c>
      <c r="E1" s="434" t="s">
        <v>456</v>
      </c>
      <c r="F1" s="434" t="s">
        <v>458</v>
      </c>
      <c r="G1" s="434" t="s">
        <v>457</v>
      </c>
      <c r="H1" s="434" t="s">
        <v>749</v>
      </c>
      <c r="I1" s="435" t="s">
        <v>459</v>
      </c>
      <c r="J1" s="435" t="s">
        <v>460</v>
      </c>
      <c r="K1" s="434" t="s">
        <v>461</v>
      </c>
      <c r="L1" s="434" t="s">
        <v>462</v>
      </c>
      <c r="M1" s="434" t="s">
        <v>466</v>
      </c>
      <c r="N1" s="436" t="s">
        <v>499</v>
      </c>
    </row>
    <row r="2" spans="1:20">
      <c r="A2" s="437">
        <v>44865</v>
      </c>
      <c r="B2" s="437">
        <v>44865</v>
      </c>
      <c r="C2" s="438" t="s">
        <v>4235</v>
      </c>
      <c r="D2" s="438" t="s">
        <v>472</v>
      </c>
      <c r="E2" s="438" t="s">
        <v>446</v>
      </c>
      <c r="F2" s="438" t="s">
        <v>446</v>
      </c>
      <c r="G2" s="438" t="s">
        <v>247</v>
      </c>
      <c r="H2" s="438" t="s">
        <v>247</v>
      </c>
      <c r="I2" s="439">
        <v>0</v>
      </c>
      <c r="J2" s="439">
        <v>4633</v>
      </c>
      <c r="K2" s="438"/>
      <c r="L2" s="438"/>
      <c r="M2" s="438" t="s">
        <v>488</v>
      </c>
      <c r="N2" s="440">
        <v>-4633</v>
      </c>
    </row>
    <row r="3" spans="1:20">
      <c r="A3" s="437">
        <v>44865</v>
      </c>
      <c r="B3" s="437">
        <v>44865</v>
      </c>
      <c r="C3" s="438" t="s">
        <v>4235</v>
      </c>
      <c r="D3" s="438" t="s">
        <v>476</v>
      </c>
      <c r="E3" s="438" t="s">
        <v>446</v>
      </c>
      <c r="F3" s="438" t="s">
        <v>446</v>
      </c>
      <c r="G3" s="438" t="s">
        <v>381</v>
      </c>
      <c r="H3" s="438" t="s">
        <v>374</v>
      </c>
      <c r="I3" s="439">
        <v>371875</v>
      </c>
      <c r="J3" s="439">
        <v>0</v>
      </c>
      <c r="K3" s="438"/>
      <c r="L3" s="438"/>
      <c r="M3" s="438" t="s">
        <v>488</v>
      </c>
      <c r="N3" s="440">
        <v>371875</v>
      </c>
      <c r="Q3" s="8" t="s">
        <v>469</v>
      </c>
      <c r="R3" s="8" t="s">
        <v>470</v>
      </c>
      <c r="S3" s="8" t="s">
        <v>471</v>
      </c>
    </row>
    <row r="4" spans="1:20">
      <c r="A4" s="437">
        <v>44865</v>
      </c>
      <c r="B4" s="437">
        <v>44865</v>
      </c>
      <c r="C4" s="438" t="s">
        <v>4235</v>
      </c>
      <c r="D4" s="438" t="s">
        <v>476</v>
      </c>
      <c r="E4" s="438" t="s">
        <v>446</v>
      </c>
      <c r="F4" s="438" t="s">
        <v>446</v>
      </c>
      <c r="G4" s="438" t="s">
        <v>403</v>
      </c>
      <c r="H4" s="438" t="s">
        <v>374</v>
      </c>
      <c r="I4" s="439">
        <v>2130000</v>
      </c>
      <c r="J4" s="439">
        <v>0</v>
      </c>
      <c r="K4" s="438"/>
      <c r="L4" s="438"/>
      <c r="M4" s="438" t="s">
        <v>488</v>
      </c>
      <c r="N4" s="440">
        <v>2130000</v>
      </c>
      <c r="Q4" s="14" t="s">
        <v>217</v>
      </c>
      <c r="R4" s="13">
        <v>0</v>
      </c>
      <c r="S4" s="13">
        <v>33027922</v>
      </c>
      <c r="T4" s="13">
        <f>R4-S4</f>
        <v>-33027922</v>
      </c>
    </row>
    <row r="5" spans="1:20">
      <c r="A5" s="437">
        <v>44865</v>
      </c>
      <c r="B5" s="437">
        <v>44865</v>
      </c>
      <c r="C5" s="438" t="s">
        <v>4235</v>
      </c>
      <c r="D5" s="438" t="s">
        <v>476</v>
      </c>
      <c r="E5" s="438" t="s">
        <v>446</v>
      </c>
      <c r="F5" s="438" t="s">
        <v>446</v>
      </c>
      <c r="G5" s="438" t="s">
        <v>424</v>
      </c>
      <c r="H5" s="438" t="s">
        <v>374</v>
      </c>
      <c r="I5" s="439">
        <v>8000000</v>
      </c>
      <c r="J5" s="439">
        <v>0</v>
      </c>
      <c r="K5" s="438"/>
      <c r="L5" s="438"/>
      <c r="M5" s="438" t="s">
        <v>488</v>
      </c>
      <c r="N5" s="440">
        <v>8000000</v>
      </c>
      <c r="P5" s="454" t="s">
        <v>249</v>
      </c>
      <c r="Q5" s="14" t="s">
        <v>247</v>
      </c>
      <c r="R5" s="13">
        <v>0</v>
      </c>
      <c r="S5" s="13">
        <v>17703</v>
      </c>
      <c r="T5" s="13">
        <f>R5-S5</f>
        <v>-17703</v>
      </c>
    </row>
    <row r="6" spans="1:20">
      <c r="A6" s="437">
        <v>44865</v>
      </c>
      <c r="B6" s="437">
        <v>44865</v>
      </c>
      <c r="C6" s="438" t="s">
        <v>4235</v>
      </c>
      <c r="D6" s="438" t="s">
        <v>479</v>
      </c>
      <c r="E6" s="438" t="s">
        <v>446</v>
      </c>
      <c r="F6" s="438" t="s">
        <v>446</v>
      </c>
      <c r="G6" s="438" t="s">
        <v>217</v>
      </c>
      <c r="H6" s="438" t="s">
        <v>213</v>
      </c>
      <c r="I6" s="439">
        <v>0</v>
      </c>
      <c r="J6" s="439">
        <v>10497242</v>
      </c>
      <c r="K6" s="438"/>
      <c r="L6" s="438"/>
      <c r="M6" s="438" t="s">
        <v>488</v>
      </c>
      <c r="N6" s="440">
        <v>-10497242</v>
      </c>
      <c r="P6" s="454" t="s">
        <v>381</v>
      </c>
      <c r="Q6" s="14" t="s">
        <v>381</v>
      </c>
      <c r="R6" s="13">
        <v>6615625</v>
      </c>
      <c r="S6" s="13">
        <v>0</v>
      </c>
      <c r="T6" s="13">
        <f t="shared" ref="T6:T9" si="0">R6-S6</f>
        <v>6615625</v>
      </c>
    </row>
    <row r="7" spans="1:20">
      <c r="A7" s="437">
        <v>44895</v>
      </c>
      <c r="B7" s="437">
        <v>44895</v>
      </c>
      <c r="C7" s="438" t="s">
        <v>4236</v>
      </c>
      <c r="D7" s="438" t="s">
        <v>472</v>
      </c>
      <c r="E7" s="438" t="s">
        <v>446</v>
      </c>
      <c r="F7" s="438" t="s">
        <v>446</v>
      </c>
      <c r="G7" s="438" t="s">
        <v>247</v>
      </c>
      <c r="H7" s="438" t="s">
        <v>247</v>
      </c>
      <c r="I7" s="439">
        <v>0</v>
      </c>
      <c r="J7" s="439">
        <v>6571</v>
      </c>
      <c r="K7" s="438"/>
      <c r="L7" s="438"/>
      <c r="M7" s="438" t="s">
        <v>488</v>
      </c>
      <c r="N7" s="440">
        <v>-6571</v>
      </c>
      <c r="P7" s="454" t="s">
        <v>403</v>
      </c>
      <c r="Q7" s="14" t="s">
        <v>403</v>
      </c>
      <c r="R7" s="13">
        <v>2130000</v>
      </c>
      <c r="S7" s="13">
        <v>0</v>
      </c>
      <c r="T7" s="13">
        <f t="shared" si="0"/>
        <v>2130000</v>
      </c>
    </row>
    <row r="8" spans="1:20">
      <c r="A8" s="437">
        <v>44895</v>
      </c>
      <c r="B8" s="437">
        <v>44895</v>
      </c>
      <c r="C8" s="438" t="s">
        <v>4236</v>
      </c>
      <c r="D8" s="438" t="s">
        <v>476</v>
      </c>
      <c r="E8" s="438" t="s">
        <v>446</v>
      </c>
      <c r="F8" s="438" t="s">
        <v>446</v>
      </c>
      <c r="G8" s="438" t="s">
        <v>381</v>
      </c>
      <c r="H8" s="438" t="s">
        <v>374</v>
      </c>
      <c r="I8" s="439">
        <v>5871875</v>
      </c>
      <c r="J8" s="439">
        <v>0</v>
      </c>
      <c r="K8" s="438"/>
      <c r="L8" s="438"/>
      <c r="M8" s="438" t="s">
        <v>488</v>
      </c>
      <c r="N8" s="440">
        <v>5871875</v>
      </c>
      <c r="P8" s="454" t="s">
        <v>424</v>
      </c>
      <c r="Q8" s="14" t="s">
        <v>424</v>
      </c>
      <c r="R8" s="13">
        <v>24000000</v>
      </c>
      <c r="S8" s="13">
        <v>0</v>
      </c>
      <c r="T8" s="13">
        <f t="shared" si="0"/>
        <v>24000000</v>
      </c>
    </row>
    <row r="9" spans="1:20">
      <c r="A9" s="437">
        <v>44895</v>
      </c>
      <c r="B9" s="437">
        <v>44895</v>
      </c>
      <c r="C9" s="438" t="s">
        <v>4236</v>
      </c>
      <c r="D9" s="438" t="s">
        <v>476</v>
      </c>
      <c r="E9" s="438" t="s">
        <v>446</v>
      </c>
      <c r="F9" s="438" t="s">
        <v>446</v>
      </c>
      <c r="G9" s="438" t="s">
        <v>424</v>
      </c>
      <c r="H9" s="438" t="s">
        <v>374</v>
      </c>
      <c r="I9" s="439">
        <v>8000000</v>
      </c>
      <c r="J9" s="439">
        <v>0</v>
      </c>
      <c r="K9" s="438"/>
      <c r="L9" s="438"/>
      <c r="M9" s="438" t="s">
        <v>488</v>
      </c>
      <c r="N9" s="440">
        <v>8000000</v>
      </c>
      <c r="P9" s="454" t="s">
        <v>444</v>
      </c>
      <c r="Q9" s="14" t="s">
        <v>444</v>
      </c>
      <c r="R9" s="13">
        <v>300000</v>
      </c>
      <c r="S9" s="13">
        <v>0</v>
      </c>
      <c r="T9" s="13">
        <f t="shared" si="0"/>
        <v>300000</v>
      </c>
    </row>
    <row r="10" spans="1:20">
      <c r="A10" s="437">
        <v>44895</v>
      </c>
      <c r="B10" s="437">
        <v>44895</v>
      </c>
      <c r="C10" s="438" t="s">
        <v>4236</v>
      </c>
      <c r="D10" s="438" t="s">
        <v>479</v>
      </c>
      <c r="E10" s="438" t="s">
        <v>446</v>
      </c>
      <c r="F10" s="438" t="s">
        <v>446</v>
      </c>
      <c r="G10" s="438" t="s">
        <v>217</v>
      </c>
      <c r="H10" s="438" t="s">
        <v>213</v>
      </c>
      <c r="I10" s="439">
        <v>0</v>
      </c>
      <c r="J10" s="439">
        <v>13865304</v>
      </c>
      <c r="K10" s="438"/>
      <c r="L10" s="438"/>
      <c r="M10" s="438" t="s">
        <v>488</v>
      </c>
      <c r="N10" s="440">
        <v>-13865304</v>
      </c>
      <c r="Q10" s="14" t="s">
        <v>481</v>
      </c>
      <c r="R10" s="13">
        <v>33045625</v>
      </c>
      <c r="S10" s="13">
        <v>33045625</v>
      </c>
    </row>
    <row r="11" spans="1:20">
      <c r="A11" s="437">
        <v>44926</v>
      </c>
      <c r="B11" s="437">
        <v>44926</v>
      </c>
      <c r="C11" s="438" t="s">
        <v>4237</v>
      </c>
      <c r="D11" s="438" t="s">
        <v>472</v>
      </c>
      <c r="E11" s="438" t="s">
        <v>446</v>
      </c>
      <c r="F11" s="438" t="s">
        <v>446</v>
      </c>
      <c r="G11" s="438" t="s">
        <v>247</v>
      </c>
      <c r="H11" s="438" t="s">
        <v>247</v>
      </c>
      <c r="I11" s="439">
        <v>0</v>
      </c>
      <c r="J11" s="439">
        <v>6499</v>
      </c>
      <c r="K11" s="438"/>
      <c r="L11" s="438"/>
      <c r="M11" s="438" t="s">
        <v>488</v>
      </c>
      <c r="N11" s="440">
        <v>-6499</v>
      </c>
    </row>
    <row r="12" spans="1:20">
      <c r="A12" s="437">
        <v>44926</v>
      </c>
      <c r="B12" s="437">
        <v>44926</v>
      </c>
      <c r="C12" s="438" t="s">
        <v>4237</v>
      </c>
      <c r="D12" s="438" t="s">
        <v>476</v>
      </c>
      <c r="E12" s="438" t="s">
        <v>446</v>
      </c>
      <c r="F12" s="438" t="s">
        <v>446</v>
      </c>
      <c r="G12" s="438" t="s">
        <v>381</v>
      </c>
      <c r="H12" s="438" t="s">
        <v>374</v>
      </c>
      <c r="I12" s="439">
        <v>371875</v>
      </c>
      <c r="J12" s="439">
        <v>0</v>
      </c>
      <c r="K12" s="438"/>
      <c r="L12" s="438"/>
      <c r="M12" s="438" t="s">
        <v>488</v>
      </c>
      <c r="N12" s="440">
        <v>371875</v>
      </c>
    </row>
    <row r="13" spans="1:20">
      <c r="A13" s="437">
        <v>44926</v>
      </c>
      <c r="B13" s="437">
        <v>44926</v>
      </c>
      <c r="C13" s="438" t="s">
        <v>4237</v>
      </c>
      <c r="D13" s="438" t="s">
        <v>476</v>
      </c>
      <c r="E13" s="438" t="s">
        <v>446</v>
      </c>
      <c r="F13" s="438" t="s">
        <v>446</v>
      </c>
      <c r="G13" s="438" t="s">
        <v>424</v>
      </c>
      <c r="H13" s="438" t="s">
        <v>374</v>
      </c>
      <c r="I13" s="439">
        <v>8000000</v>
      </c>
      <c r="J13" s="439">
        <v>0</v>
      </c>
      <c r="K13" s="438"/>
      <c r="L13" s="438"/>
      <c r="M13" s="438" t="s">
        <v>488</v>
      </c>
      <c r="N13" s="440">
        <v>8000000</v>
      </c>
    </row>
    <row r="14" spans="1:20">
      <c r="A14" s="437">
        <v>44926</v>
      </c>
      <c r="B14" s="437">
        <v>44926</v>
      </c>
      <c r="C14" s="438" t="s">
        <v>4237</v>
      </c>
      <c r="D14" s="438" t="s">
        <v>478</v>
      </c>
      <c r="E14" s="438" t="s">
        <v>446</v>
      </c>
      <c r="F14" s="438" t="s">
        <v>446</v>
      </c>
      <c r="G14" s="438" t="s">
        <v>444</v>
      </c>
      <c r="H14" s="438" t="s">
        <v>444</v>
      </c>
      <c r="I14" s="439">
        <v>300000</v>
      </c>
      <c r="J14" s="439">
        <v>0</v>
      </c>
      <c r="K14" s="438"/>
      <c r="L14" s="438"/>
      <c r="M14" s="438" t="s">
        <v>488</v>
      </c>
      <c r="N14" s="440">
        <v>300000</v>
      </c>
    </row>
    <row r="15" spans="1:20">
      <c r="A15" s="437">
        <v>44926</v>
      </c>
      <c r="B15" s="437">
        <v>44926</v>
      </c>
      <c r="C15" s="438" t="s">
        <v>4237</v>
      </c>
      <c r="D15" s="438" t="s">
        <v>479</v>
      </c>
      <c r="E15" s="438" t="s">
        <v>446</v>
      </c>
      <c r="F15" s="438" t="s">
        <v>446</v>
      </c>
      <c r="G15" s="438" t="s">
        <v>217</v>
      </c>
      <c r="H15" s="438" t="s">
        <v>213</v>
      </c>
      <c r="I15" s="439">
        <v>0</v>
      </c>
      <c r="J15" s="439">
        <v>8665376</v>
      </c>
      <c r="K15" s="438"/>
      <c r="L15" s="438"/>
      <c r="M15" s="438" t="s">
        <v>488</v>
      </c>
      <c r="N15" s="440">
        <v>-8665376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10476-783F-4047-ADA4-02684A051B12}">
  <sheetPr codeName="Sheet42">
    <tabColor rgb="FF7030A0"/>
  </sheetPr>
  <dimension ref="A1:S210"/>
  <sheetViews>
    <sheetView topLeftCell="H1" workbookViewId="0">
      <selection activeCell="R46" sqref="R46"/>
    </sheetView>
  </sheetViews>
  <sheetFormatPr defaultColWidth="8.85546875" defaultRowHeight="15"/>
  <cols>
    <col min="1" max="1" width="13.42578125" style="8" bestFit="1" customWidth="1"/>
    <col min="2" max="2" width="7.5703125" style="8" bestFit="1" customWidth="1"/>
    <col min="3" max="3" width="11.42578125" style="8" bestFit="1" customWidth="1"/>
    <col min="4" max="4" width="23.5703125" style="8" bestFit="1" customWidth="1"/>
    <col min="5" max="5" width="6.5703125" style="8" bestFit="1" customWidth="1"/>
    <col min="6" max="6" width="9.5703125" style="8" bestFit="1" customWidth="1"/>
    <col min="7" max="7" width="16.5703125" style="8" bestFit="1" customWidth="1"/>
    <col min="8" max="8" width="7.42578125" style="8" bestFit="1" customWidth="1"/>
    <col min="9" max="9" width="9" style="8" bestFit="1" customWidth="1"/>
    <col min="10" max="11" width="8.85546875" style="8"/>
    <col min="12" max="12" width="9.5703125" style="8" bestFit="1" customWidth="1"/>
    <col min="13" max="13" width="13" style="8" bestFit="1" customWidth="1"/>
    <col min="14" max="14" width="15.5703125" style="8" bestFit="1" customWidth="1"/>
    <col min="15" max="15" width="14.42578125" style="8" bestFit="1" customWidth="1"/>
    <col min="16" max="16" width="16.5703125" style="8" bestFit="1" customWidth="1"/>
    <col min="17" max="17" width="16.5703125" style="9" bestFit="1" customWidth="1"/>
    <col min="18" max="19" width="15.5703125" style="8" bestFit="1" customWidth="1"/>
    <col min="20" max="20" width="13.5703125" style="8" bestFit="1" customWidth="1"/>
    <col min="21" max="16384" width="8.85546875" style="8"/>
  </cols>
  <sheetData>
    <row r="1" spans="1:18">
      <c r="A1" s="8" t="s">
        <v>4241</v>
      </c>
      <c r="M1" s="8" t="s">
        <v>4242</v>
      </c>
    </row>
    <row r="2" spans="1:18">
      <c r="M2" s="8" t="s">
        <v>4243</v>
      </c>
      <c r="N2" s="8" t="s">
        <v>769</v>
      </c>
    </row>
    <row r="3" spans="1:18">
      <c r="A3" s="1651" t="s">
        <v>450</v>
      </c>
      <c r="B3" s="1651" t="s">
        <v>4244</v>
      </c>
      <c r="C3" s="1651" t="s">
        <v>451</v>
      </c>
      <c r="D3" s="1651" t="s">
        <v>455</v>
      </c>
      <c r="E3" s="1651" t="s">
        <v>3718</v>
      </c>
      <c r="F3" s="1651" t="s">
        <v>4243</v>
      </c>
      <c r="G3" s="1651" t="s">
        <v>7</v>
      </c>
      <c r="H3" s="1651" t="s">
        <v>4245</v>
      </c>
      <c r="I3" s="1651" t="s">
        <v>755</v>
      </c>
    </row>
    <row r="4" spans="1:18">
      <c r="A4" s="427">
        <v>44592</v>
      </c>
      <c r="B4" s="428" t="s">
        <v>4246</v>
      </c>
      <c r="C4" s="428" t="s">
        <v>4247</v>
      </c>
      <c r="D4" s="428" t="s">
        <v>4248</v>
      </c>
      <c r="E4" s="428" t="s">
        <v>769</v>
      </c>
      <c r="F4" s="428" t="s">
        <v>1005</v>
      </c>
      <c r="G4" s="429">
        <v>-1132139187</v>
      </c>
      <c r="H4" s="428" t="s">
        <v>624</v>
      </c>
      <c r="I4" s="428" t="s">
        <v>4249</v>
      </c>
      <c r="L4" s="8" t="s">
        <v>4250</v>
      </c>
      <c r="M4" s="8" t="s">
        <v>469</v>
      </c>
      <c r="N4" s="8" t="s">
        <v>4251</v>
      </c>
      <c r="O4" s="8" t="s">
        <v>3841</v>
      </c>
      <c r="P4" s="8" t="s">
        <v>3841</v>
      </c>
      <c r="Q4" s="9" t="s">
        <v>2907</v>
      </c>
      <c r="R4" s="8" t="s">
        <v>3842</v>
      </c>
    </row>
    <row r="5" spans="1:18">
      <c r="A5" s="427">
        <v>44592</v>
      </c>
      <c r="B5" s="428" t="s">
        <v>4246</v>
      </c>
      <c r="C5" s="428" t="s">
        <v>4252</v>
      </c>
      <c r="D5" s="428" t="s">
        <v>4248</v>
      </c>
      <c r="E5" s="428" t="s">
        <v>769</v>
      </c>
      <c r="F5" s="428" t="s">
        <v>4037</v>
      </c>
      <c r="G5" s="429">
        <v>5000000</v>
      </c>
      <c r="H5" s="428" t="s">
        <v>624</v>
      </c>
      <c r="I5" s="428" t="s">
        <v>4249</v>
      </c>
      <c r="L5" s="8" t="s">
        <v>257</v>
      </c>
      <c r="M5" s="14" t="s">
        <v>4008</v>
      </c>
      <c r="N5" s="13">
        <v>269761535</v>
      </c>
      <c r="O5" s="13">
        <f>-N5</f>
        <v>-269761535</v>
      </c>
      <c r="P5" s="13">
        <f>O5</f>
        <v>-269761535</v>
      </c>
      <c r="Q5" s="9">
        <v>0</v>
      </c>
      <c r="R5" s="13">
        <f>P5+Q5</f>
        <v>-269761535</v>
      </c>
    </row>
    <row r="6" spans="1:18">
      <c r="A6" s="427">
        <v>44592</v>
      </c>
      <c r="B6" s="428" t="s">
        <v>4246</v>
      </c>
      <c r="C6" s="428" t="s">
        <v>4253</v>
      </c>
      <c r="D6" s="428" t="s">
        <v>4248</v>
      </c>
      <c r="E6" s="428" t="s">
        <v>769</v>
      </c>
      <c r="F6" s="428" t="s">
        <v>4059</v>
      </c>
      <c r="G6" s="429">
        <v>7364487</v>
      </c>
      <c r="H6" s="428" t="s">
        <v>624</v>
      </c>
      <c r="I6" s="428" t="s">
        <v>4249</v>
      </c>
      <c r="L6" s="8" t="s">
        <v>249</v>
      </c>
      <c r="M6" s="14" t="s">
        <v>4010</v>
      </c>
      <c r="N6" s="13">
        <v>3114363445</v>
      </c>
      <c r="O6" s="13">
        <f t="shared" ref="O6:O13" si="0">-N6</f>
        <v>-3114363445</v>
      </c>
      <c r="P6" s="13">
        <f t="shared" ref="P6:P11" si="1">O6</f>
        <v>-3114363445</v>
      </c>
      <c r="Q6" s="9">
        <v>-1622918</v>
      </c>
      <c r="R6" s="13">
        <f t="shared" ref="R6:R13" si="2">P6+Q6</f>
        <v>-3115986363</v>
      </c>
    </row>
    <row r="7" spans="1:18">
      <c r="A7" s="427">
        <v>44592</v>
      </c>
      <c r="B7" s="428" t="s">
        <v>4246</v>
      </c>
      <c r="C7" s="428" t="s">
        <v>4253</v>
      </c>
      <c r="D7" s="428" t="s">
        <v>4248</v>
      </c>
      <c r="E7" s="428" t="s">
        <v>769</v>
      </c>
      <c r="F7" s="428" t="s">
        <v>4063</v>
      </c>
      <c r="G7" s="429">
        <v>-1100000</v>
      </c>
      <c r="H7" s="428" t="s">
        <v>624</v>
      </c>
      <c r="I7" s="428" t="s">
        <v>4249</v>
      </c>
      <c r="L7" s="8" t="s">
        <v>257</v>
      </c>
      <c r="M7" s="14" t="s">
        <v>4011</v>
      </c>
      <c r="N7" s="13">
        <v>2953041805</v>
      </c>
      <c r="O7" s="13">
        <f t="shared" si="0"/>
        <v>-2953041805</v>
      </c>
      <c r="P7" s="13">
        <f t="shared" si="1"/>
        <v>-2953041805</v>
      </c>
      <c r="Q7" s="9">
        <v>0</v>
      </c>
      <c r="R7" s="13">
        <f t="shared" si="2"/>
        <v>-2953041805</v>
      </c>
    </row>
    <row r="8" spans="1:18">
      <c r="A8" s="427">
        <v>44592</v>
      </c>
      <c r="B8" s="428" t="s">
        <v>4246</v>
      </c>
      <c r="C8" s="428" t="s">
        <v>4253</v>
      </c>
      <c r="D8" s="428" t="s">
        <v>4248</v>
      </c>
      <c r="E8" s="428" t="s">
        <v>769</v>
      </c>
      <c r="F8" s="428" t="s">
        <v>4065</v>
      </c>
      <c r="G8" s="429">
        <v>236365285</v>
      </c>
      <c r="H8" s="428" t="s">
        <v>624</v>
      </c>
      <c r="I8" s="428" t="s">
        <v>4249</v>
      </c>
      <c r="L8" s="454" t="s">
        <v>221</v>
      </c>
      <c r="M8" s="14" t="s">
        <v>4015</v>
      </c>
      <c r="N8" s="13">
        <v>7978648775</v>
      </c>
      <c r="O8" s="13">
        <f t="shared" si="0"/>
        <v>-7978648775</v>
      </c>
      <c r="P8" s="13">
        <f t="shared" si="1"/>
        <v>-7978648775</v>
      </c>
      <c r="Q8" s="9">
        <v>0</v>
      </c>
      <c r="R8" s="13">
        <f t="shared" si="2"/>
        <v>-7978648775</v>
      </c>
    </row>
    <row r="9" spans="1:18">
      <c r="A9" s="427">
        <v>44592</v>
      </c>
      <c r="B9" s="428" t="s">
        <v>4246</v>
      </c>
      <c r="C9" s="428" t="s">
        <v>4253</v>
      </c>
      <c r="D9" s="428" t="s">
        <v>4248</v>
      </c>
      <c r="E9" s="428" t="s">
        <v>769</v>
      </c>
      <c r="F9" s="428" t="s">
        <v>378</v>
      </c>
      <c r="G9" s="429">
        <v>732690508</v>
      </c>
      <c r="H9" s="428" t="s">
        <v>624</v>
      </c>
      <c r="I9" s="428" t="s">
        <v>4249</v>
      </c>
      <c r="L9" s="454" t="s">
        <v>221</v>
      </c>
      <c r="M9" s="14" t="s">
        <v>4016</v>
      </c>
      <c r="N9" s="13">
        <v>2700000000</v>
      </c>
      <c r="O9" s="13">
        <f t="shared" si="0"/>
        <v>-2700000000</v>
      </c>
      <c r="P9" s="13">
        <f t="shared" si="1"/>
        <v>-2700000000</v>
      </c>
      <c r="Q9" s="9">
        <v>0</v>
      </c>
      <c r="R9" s="13">
        <f t="shared" si="2"/>
        <v>-2700000000</v>
      </c>
    </row>
    <row r="10" spans="1:18">
      <c r="A10" s="427">
        <v>44592</v>
      </c>
      <c r="B10" s="428" t="s">
        <v>4246</v>
      </c>
      <c r="C10" s="428" t="s">
        <v>4253</v>
      </c>
      <c r="D10" s="428" t="s">
        <v>4248</v>
      </c>
      <c r="E10" s="428" t="s">
        <v>769</v>
      </c>
      <c r="F10" s="428" t="s">
        <v>379</v>
      </c>
      <c r="G10" s="429">
        <v>20640000</v>
      </c>
      <c r="H10" s="428" t="s">
        <v>624</v>
      </c>
      <c r="I10" s="428" t="s">
        <v>4249</v>
      </c>
      <c r="L10" s="454" t="s">
        <v>2467</v>
      </c>
      <c r="M10" s="14" t="s">
        <v>4021</v>
      </c>
      <c r="N10" s="13">
        <v>4187137</v>
      </c>
      <c r="O10" s="13">
        <f t="shared" si="0"/>
        <v>-4187137</v>
      </c>
      <c r="P10" s="13">
        <f t="shared" si="1"/>
        <v>-4187137</v>
      </c>
      <c r="Q10" s="9">
        <v>0</v>
      </c>
      <c r="R10" s="13">
        <f t="shared" si="2"/>
        <v>-4187137</v>
      </c>
    </row>
    <row r="11" spans="1:18">
      <c r="A11" s="427">
        <v>44592</v>
      </c>
      <c r="B11" s="428" t="s">
        <v>4246</v>
      </c>
      <c r="C11" s="428" t="s">
        <v>4253</v>
      </c>
      <c r="D11" s="428" t="s">
        <v>4248</v>
      </c>
      <c r="E11" s="428" t="s">
        <v>769</v>
      </c>
      <c r="F11" s="428" t="s">
        <v>505</v>
      </c>
      <c r="G11" s="429">
        <v>1300636</v>
      </c>
      <c r="H11" s="428" t="s">
        <v>624</v>
      </c>
      <c r="I11" s="428" t="s">
        <v>4249</v>
      </c>
      <c r="L11" s="454" t="s">
        <v>251</v>
      </c>
      <c r="M11" s="14" t="s">
        <v>251</v>
      </c>
      <c r="N11" s="13">
        <v>39713707</v>
      </c>
      <c r="O11" s="13">
        <f t="shared" si="0"/>
        <v>-39713707</v>
      </c>
      <c r="P11" s="13">
        <f t="shared" si="1"/>
        <v>-39713707</v>
      </c>
      <c r="Q11" s="9">
        <v>0</v>
      </c>
      <c r="R11" s="13">
        <f t="shared" si="2"/>
        <v>-39713707</v>
      </c>
    </row>
    <row r="12" spans="1:18">
      <c r="A12" s="427">
        <v>44592</v>
      </c>
      <c r="B12" s="428" t="s">
        <v>4246</v>
      </c>
      <c r="C12" s="428" t="s">
        <v>4253</v>
      </c>
      <c r="D12" s="428" t="s">
        <v>4248</v>
      </c>
      <c r="E12" s="428" t="s">
        <v>769</v>
      </c>
      <c r="F12" s="428" t="s">
        <v>381</v>
      </c>
      <c r="G12" s="429">
        <v>23326813</v>
      </c>
      <c r="H12" s="428" t="s">
        <v>624</v>
      </c>
      <c r="I12" s="428" t="s">
        <v>4249</v>
      </c>
      <c r="L12" s="454" t="s">
        <v>383</v>
      </c>
      <c r="M12" s="14" t="s">
        <v>4037</v>
      </c>
      <c r="N12" s="13">
        <v>20000000</v>
      </c>
      <c r="Q12" s="9">
        <v>0</v>
      </c>
      <c r="R12" s="13">
        <f t="shared" si="2"/>
        <v>0</v>
      </c>
    </row>
    <row r="13" spans="1:18">
      <c r="A13" s="427">
        <v>44592</v>
      </c>
      <c r="B13" s="428" t="s">
        <v>4246</v>
      </c>
      <c r="C13" s="428" t="s">
        <v>4253</v>
      </c>
      <c r="D13" s="428" t="s">
        <v>4248</v>
      </c>
      <c r="E13" s="428" t="s">
        <v>769</v>
      </c>
      <c r="F13" s="428" t="s">
        <v>4043</v>
      </c>
      <c r="G13" s="429">
        <v>18082090</v>
      </c>
      <c r="H13" s="428" t="s">
        <v>624</v>
      </c>
      <c r="I13" s="428" t="s">
        <v>4249</v>
      </c>
      <c r="L13" s="454" t="s">
        <v>442</v>
      </c>
      <c r="M13" s="14" t="s">
        <v>4068</v>
      </c>
      <c r="N13" s="13">
        <v>19335259</v>
      </c>
      <c r="O13" s="13">
        <f t="shared" si="0"/>
        <v>-19335259</v>
      </c>
      <c r="P13" s="13">
        <f t="shared" ref="P13" si="3">O13</f>
        <v>-19335259</v>
      </c>
      <c r="Q13" s="9">
        <v>0</v>
      </c>
      <c r="R13" s="13">
        <f t="shared" si="2"/>
        <v>-19335259</v>
      </c>
    </row>
    <row r="14" spans="1:18">
      <c r="A14" s="427">
        <v>44592</v>
      </c>
      <c r="B14" s="428" t="s">
        <v>4246</v>
      </c>
      <c r="C14" s="428" t="s">
        <v>4253</v>
      </c>
      <c r="D14" s="428" t="s">
        <v>4248</v>
      </c>
      <c r="E14" s="428" t="s">
        <v>769</v>
      </c>
      <c r="F14" s="428" t="s">
        <v>4045</v>
      </c>
      <c r="G14" s="429">
        <v>5109191</v>
      </c>
      <c r="H14" s="428" t="s">
        <v>624</v>
      </c>
      <c r="I14" s="428" t="s">
        <v>4249</v>
      </c>
      <c r="M14" s="14" t="s">
        <v>481</v>
      </c>
      <c r="N14" s="13">
        <v>17099051663</v>
      </c>
    </row>
    <row r="15" spans="1:18">
      <c r="A15" s="427">
        <v>44592</v>
      </c>
      <c r="B15" s="428" t="s">
        <v>4246</v>
      </c>
      <c r="C15" s="428" t="s">
        <v>4253</v>
      </c>
      <c r="D15" s="428" t="s">
        <v>4248</v>
      </c>
      <c r="E15" s="428" t="s">
        <v>769</v>
      </c>
      <c r="F15" s="428" t="s">
        <v>4048</v>
      </c>
      <c r="G15" s="429">
        <v>1574545</v>
      </c>
      <c r="H15" s="428" t="s">
        <v>624</v>
      </c>
      <c r="I15" s="428" t="s">
        <v>4249</v>
      </c>
    </row>
    <row r="16" spans="1:18">
      <c r="A16" s="427">
        <v>44592</v>
      </c>
      <c r="B16" s="428" t="s">
        <v>4246</v>
      </c>
      <c r="C16" s="428" t="s">
        <v>4253</v>
      </c>
      <c r="D16" s="428" t="s">
        <v>4248</v>
      </c>
      <c r="E16" s="428" t="s">
        <v>769</v>
      </c>
      <c r="F16" s="428" t="s">
        <v>4050</v>
      </c>
      <c r="G16" s="429">
        <v>9090909</v>
      </c>
      <c r="H16" s="428" t="s">
        <v>624</v>
      </c>
      <c r="I16" s="428" t="s">
        <v>4249</v>
      </c>
    </row>
    <row r="17" spans="1:18">
      <c r="A17" s="427">
        <v>44592</v>
      </c>
      <c r="B17" s="428" t="s">
        <v>4246</v>
      </c>
      <c r="C17" s="428" t="s">
        <v>4253</v>
      </c>
      <c r="D17" s="428" t="s">
        <v>4248</v>
      </c>
      <c r="E17" s="428" t="s">
        <v>769</v>
      </c>
      <c r="F17" s="428" t="s">
        <v>4052</v>
      </c>
      <c r="G17" s="429">
        <v>79141414</v>
      </c>
      <c r="H17" s="428" t="s">
        <v>624</v>
      </c>
      <c r="I17" s="428" t="s">
        <v>4249</v>
      </c>
      <c r="M17" s="8" t="s">
        <v>4254</v>
      </c>
    </row>
    <row r="18" spans="1:18">
      <c r="A18" s="427">
        <v>44620</v>
      </c>
      <c r="B18" s="428" t="s">
        <v>4246</v>
      </c>
      <c r="C18" s="428" t="s">
        <v>4255</v>
      </c>
      <c r="D18" s="428" t="s">
        <v>4256</v>
      </c>
      <c r="E18" s="428" t="s">
        <v>769</v>
      </c>
      <c r="F18" s="428" t="s">
        <v>1005</v>
      </c>
      <c r="G18" s="429">
        <v>-842057281</v>
      </c>
      <c r="H18" s="428" t="s">
        <v>624</v>
      </c>
      <c r="I18" s="428" t="s">
        <v>4249</v>
      </c>
      <c r="M18" s="8" t="s">
        <v>3718</v>
      </c>
      <c r="N18" s="8" t="s">
        <v>769</v>
      </c>
    </row>
    <row r="19" spans="1:18">
      <c r="A19" s="427">
        <v>44620</v>
      </c>
      <c r="B19" s="428" t="s">
        <v>4246</v>
      </c>
      <c r="C19" s="428" t="s">
        <v>4257</v>
      </c>
      <c r="D19" s="428" t="s">
        <v>4256</v>
      </c>
      <c r="E19" s="428" t="s">
        <v>769</v>
      </c>
      <c r="F19" s="428" t="s">
        <v>4037</v>
      </c>
      <c r="G19" s="429">
        <v>5000000</v>
      </c>
      <c r="H19" s="428" t="s">
        <v>624</v>
      </c>
      <c r="I19" s="428" t="s">
        <v>4249</v>
      </c>
    </row>
    <row r="20" spans="1:18">
      <c r="A20" s="427">
        <v>44620</v>
      </c>
      <c r="B20" s="428" t="s">
        <v>4246</v>
      </c>
      <c r="C20" s="428" t="s">
        <v>4258</v>
      </c>
      <c r="D20" s="428" t="s">
        <v>4256</v>
      </c>
      <c r="E20" s="428" t="s">
        <v>769</v>
      </c>
      <c r="F20" s="428" t="s">
        <v>378</v>
      </c>
      <c r="G20" s="429">
        <v>708202111</v>
      </c>
      <c r="H20" s="428" t="s">
        <v>624</v>
      </c>
      <c r="I20" s="428" t="s">
        <v>4249</v>
      </c>
      <c r="L20" s="8" t="s">
        <v>4250</v>
      </c>
      <c r="M20" s="8" t="s">
        <v>469</v>
      </c>
      <c r="N20" s="8" t="s">
        <v>4251</v>
      </c>
      <c r="O20" s="8" t="s">
        <v>3841</v>
      </c>
      <c r="P20" s="8" t="s">
        <v>3841</v>
      </c>
      <c r="Q20" s="9" t="s">
        <v>2907</v>
      </c>
      <c r="R20" s="8" t="s">
        <v>3842</v>
      </c>
    </row>
    <row r="21" spans="1:18">
      <c r="A21" s="427">
        <v>44620</v>
      </c>
      <c r="B21" s="428" t="s">
        <v>4246</v>
      </c>
      <c r="C21" s="428" t="s">
        <v>4258</v>
      </c>
      <c r="D21" s="428" t="s">
        <v>4256</v>
      </c>
      <c r="E21" s="428" t="s">
        <v>769</v>
      </c>
      <c r="F21" s="428" t="s">
        <v>379</v>
      </c>
      <c r="G21" s="429">
        <v>20640000</v>
      </c>
      <c r="H21" s="428" t="s">
        <v>624</v>
      </c>
      <c r="I21" s="428" t="s">
        <v>4249</v>
      </c>
      <c r="M21" s="14" t="s">
        <v>1005</v>
      </c>
      <c r="N21" s="13">
        <v>1398647858.95</v>
      </c>
    </row>
    <row r="22" spans="1:18">
      <c r="A22" s="427">
        <v>44620</v>
      </c>
      <c r="B22" s="428" t="s">
        <v>4246</v>
      </c>
      <c r="C22" s="428" t="s">
        <v>4258</v>
      </c>
      <c r="D22" s="428" t="s">
        <v>4256</v>
      </c>
      <c r="E22" s="428" t="s">
        <v>769</v>
      </c>
      <c r="F22" s="428" t="s">
        <v>505</v>
      </c>
      <c r="G22" s="429">
        <v>372637</v>
      </c>
      <c r="H22" s="428" t="s">
        <v>624</v>
      </c>
      <c r="I22" s="428" t="s">
        <v>4249</v>
      </c>
      <c r="L22" s="430" t="s">
        <v>315</v>
      </c>
      <c r="M22" s="14" t="s">
        <v>4029</v>
      </c>
      <c r="N22" s="13">
        <v>723603840</v>
      </c>
      <c r="O22" s="13">
        <f>N22</f>
        <v>723603840</v>
      </c>
      <c r="P22" s="13">
        <f>O22</f>
        <v>723603840</v>
      </c>
      <c r="Q22" s="9">
        <v>0</v>
      </c>
      <c r="R22" s="13">
        <f t="shared" ref="R22:R46" si="4">P22+Q22</f>
        <v>723603840</v>
      </c>
    </row>
    <row r="23" spans="1:18">
      <c r="A23" s="427">
        <v>44620</v>
      </c>
      <c r="B23" s="428" t="s">
        <v>4246</v>
      </c>
      <c r="C23" s="428" t="s">
        <v>4258</v>
      </c>
      <c r="D23" s="428" t="s">
        <v>4256</v>
      </c>
      <c r="E23" s="428" t="s">
        <v>769</v>
      </c>
      <c r="F23" s="428" t="s">
        <v>381</v>
      </c>
      <c r="G23" s="429">
        <v>23326813</v>
      </c>
      <c r="H23" s="428" t="s">
        <v>624</v>
      </c>
      <c r="I23" s="428" t="s">
        <v>4249</v>
      </c>
      <c r="L23" s="430" t="s">
        <v>315</v>
      </c>
      <c r="M23" s="14" t="s">
        <v>4031</v>
      </c>
      <c r="N23" s="13">
        <v>10000000</v>
      </c>
      <c r="O23" s="13">
        <f>N23</f>
        <v>10000000</v>
      </c>
      <c r="P23" s="13">
        <f t="shared" ref="P23:P46" si="5">O23</f>
        <v>10000000</v>
      </c>
      <c r="Q23" s="9">
        <v>0</v>
      </c>
      <c r="R23" s="13">
        <f t="shared" si="4"/>
        <v>10000000</v>
      </c>
    </row>
    <row r="24" spans="1:18">
      <c r="A24" s="427">
        <v>44620</v>
      </c>
      <c r="B24" s="428" t="s">
        <v>4246</v>
      </c>
      <c r="C24" s="428" t="s">
        <v>4258</v>
      </c>
      <c r="D24" s="428" t="s">
        <v>4256</v>
      </c>
      <c r="E24" s="428" t="s">
        <v>769</v>
      </c>
      <c r="F24" s="428" t="s">
        <v>4043</v>
      </c>
      <c r="G24" s="429">
        <v>18082090</v>
      </c>
      <c r="H24" s="428" t="s">
        <v>624</v>
      </c>
      <c r="I24" s="428" t="s">
        <v>4249</v>
      </c>
      <c r="L24" s="430">
        <v>6424</v>
      </c>
      <c r="M24" s="14" t="s">
        <v>4037</v>
      </c>
      <c r="N24" s="13">
        <v>50000000</v>
      </c>
      <c r="O24" s="13">
        <f>N24-N12</f>
        <v>30000000</v>
      </c>
      <c r="P24" s="13">
        <f t="shared" si="5"/>
        <v>30000000</v>
      </c>
      <c r="Q24" s="9">
        <v>0</v>
      </c>
      <c r="R24" s="13">
        <f t="shared" si="4"/>
        <v>30000000</v>
      </c>
    </row>
    <row r="25" spans="1:18">
      <c r="A25" s="427">
        <v>44620</v>
      </c>
      <c r="B25" s="428" t="s">
        <v>4246</v>
      </c>
      <c r="C25" s="428" t="s">
        <v>4258</v>
      </c>
      <c r="D25" s="428" t="s">
        <v>4256</v>
      </c>
      <c r="E25" s="428" t="s">
        <v>769</v>
      </c>
      <c r="F25" s="428" t="s">
        <v>4045</v>
      </c>
      <c r="G25" s="429">
        <v>5109191</v>
      </c>
      <c r="H25" s="428" t="s">
        <v>624</v>
      </c>
      <c r="I25" s="428" t="s">
        <v>4249</v>
      </c>
      <c r="L25" s="8" t="s">
        <v>378</v>
      </c>
      <c r="M25" s="14" t="s">
        <v>378</v>
      </c>
      <c r="N25" s="13">
        <v>7139947368</v>
      </c>
      <c r="O25" s="13">
        <f>N25</f>
        <v>7139947368</v>
      </c>
      <c r="P25" s="13">
        <f t="shared" si="5"/>
        <v>7139947368</v>
      </c>
      <c r="Q25" s="9">
        <v>0</v>
      </c>
      <c r="R25" s="13">
        <f t="shared" si="4"/>
        <v>7139947368</v>
      </c>
    </row>
    <row r="26" spans="1:18">
      <c r="A26" s="427">
        <v>44620</v>
      </c>
      <c r="B26" s="428" t="s">
        <v>4246</v>
      </c>
      <c r="C26" s="428" t="s">
        <v>4258</v>
      </c>
      <c r="D26" s="428" t="s">
        <v>4256</v>
      </c>
      <c r="E26" s="428" t="s">
        <v>769</v>
      </c>
      <c r="F26" s="428" t="s">
        <v>4052</v>
      </c>
      <c r="G26" s="429">
        <v>79141414</v>
      </c>
      <c r="H26" s="428" t="s">
        <v>624</v>
      </c>
      <c r="I26" s="428" t="s">
        <v>4249</v>
      </c>
      <c r="L26" s="8" t="s">
        <v>379</v>
      </c>
      <c r="M26" s="14" t="s">
        <v>379</v>
      </c>
      <c r="N26" s="13">
        <v>310869642</v>
      </c>
      <c r="O26" s="13">
        <f t="shared" ref="O26:O46" si="6">N26</f>
        <v>310869642</v>
      </c>
      <c r="P26" s="13">
        <f t="shared" si="5"/>
        <v>310869642</v>
      </c>
      <c r="Q26" s="9">
        <v>0</v>
      </c>
      <c r="R26" s="13">
        <f t="shared" si="4"/>
        <v>310869642</v>
      </c>
    </row>
    <row r="27" spans="1:18">
      <c r="A27" s="427">
        <v>44620</v>
      </c>
      <c r="B27" s="428" t="s">
        <v>4246</v>
      </c>
      <c r="C27" s="428" t="s">
        <v>4258</v>
      </c>
      <c r="D27" s="428" t="s">
        <v>4256</v>
      </c>
      <c r="E27" s="428" t="s">
        <v>769</v>
      </c>
      <c r="F27" s="428" t="s">
        <v>4065</v>
      </c>
      <c r="G27" s="429">
        <v>215361420</v>
      </c>
      <c r="H27" s="428" t="s">
        <v>624</v>
      </c>
      <c r="I27" s="428" t="s">
        <v>4249</v>
      </c>
      <c r="L27" s="8" t="s">
        <v>380</v>
      </c>
      <c r="M27" s="14" t="s">
        <v>4042</v>
      </c>
      <c r="N27" s="13">
        <v>13120545</v>
      </c>
      <c r="O27" s="13">
        <f t="shared" si="6"/>
        <v>13120545</v>
      </c>
      <c r="P27" s="13">
        <f t="shared" si="5"/>
        <v>13120545</v>
      </c>
      <c r="Q27" s="9">
        <v>0</v>
      </c>
      <c r="R27" s="13">
        <f t="shared" si="4"/>
        <v>13120545</v>
      </c>
    </row>
    <row r="28" spans="1:18">
      <c r="A28" s="427">
        <v>44651</v>
      </c>
      <c r="B28" s="428" t="s">
        <v>4246</v>
      </c>
      <c r="C28" s="428" t="s">
        <v>4259</v>
      </c>
      <c r="D28" s="428" t="s">
        <v>4260</v>
      </c>
      <c r="E28" s="428" t="s">
        <v>769</v>
      </c>
      <c r="F28" s="428" t="s">
        <v>1005</v>
      </c>
      <c r="G28" s="429">
        <v>-853319381</v>
      </c>
      <c r="H28" s="428" t="s">
        <v>624</v>
      </c>
      <c r="I28" s="428" t="s">
        <v>4249</v>
      </c>
      <c r="L28" s="8" t="s">
        <v>411</v>
      </c>
      <c r="M28" s="14" t="s">
        <v>505</v>
      </c>
      <c r="N28" s="13">
        <v>37919461</v>
      </c>
      <c r="O28" s="13">
        <f t="shared" si="6"/>
        <v>37919461</v>
      </c>
      <c r="P28" s="13">
        <f t="shared" si="5"/>
        <v>37919461</v>
      </c>
      <c r="Q28" s="9">
        <v>0</v>
      </c>
      <c r="R28" s="13">
        <f t="shared" si="4"/>
        <v>37919461</v>
      </c>
    </row>
    <row r="29" spans="1:18">
      <c r="A29" s="427">
        <v>44651</v>
      </c>
      <c r="B29" s="428" t="s">
        <v>4246</v>
      </c>
      <c r="C29" s="428" t="s">
        <v>4261</v>
      </c>
      <c r="D29" s="428" t="s">
        <v>4260</v>
      </c>
      <c r="E29" s="428" t="s">
        <v>769</v>
      </c>
      <c r="F29" s="428" t="s">
        <v>4037</v>
      </c>
      <c r="G29" s="429">
        <v>5000000</v>
      </c>
      <c r="H29" s="428" t="s">
        <v>624</v>
      </c>
      <c r="I29" s="428" t="s">
        <v>4249</v>
      </c>
      <c r="L29" s="8" t="s">
        <v>381</v>
      </c>
      <c r="M29" s="14" t="s">
        <v>381</v>
      </c>
      <c r="N29" s="13">
        <v>455744899</v>
      </c>
      <c r="O29" s="13">
        <f t="shared" si="6"/>
        <v>455744899</v>
      </c>
      <c r="P29" s="13">
        <f t="shared" si="5"/>
        <v>455744899</v>
      </c>
      <c r="Q29" s="9">
        <v>0</v>
      </c>
      <c r="R29" s="13">
        <f t="shared" si="4"/>
        <v>455744899</v>
      </c>
    </row>
    <row r="30" spans="1:18">
      <c r="A30" s="427">
        <v>44651</v>
      </c>
      <c r="B30" s="428" t="s">
        <v>4246</v>
      </c>
      <c r="C30" s="428" t="s">
        <v>4262</v>
      </c>
      <c r="D30" s="428" t="s">
        <v>4260</v>
      </c>
      <c r="E30" s="428" t="s">
        <v>769</v>
      </c>
      <c r="F30" s="428" t="s">
        <v>4071</v>
      </c>
      <c r="G30" s="429">
        <v>19335259</v>
      </c>
      <c r="H30" s="428" t="s">
        <v>624</v>
      </c>
      <c r="I30" s="428" t="s">
        <v>4249</v>
      </c>
      <c r="L30" s="8" t="s">
        <v>383</v>
      </c>
      <c r="M30" s="14" t="s">
        <v>4043</v>
      </c>
      <c r="N30" s="13">
        <v>368995910</v>
      </c>
      <c r="O30" s="13">
        <f t="shared" si="6"/>
        <v>368995910</v>
      </c>
      <c r="P30" s="13">
        <f t="shared" si="5"/>
        <v>368995910</v>
      </c>
      <c r="Q30" s="9">
        <v>0</v>
      </c>
      <c r="R30" s="13">
        <f t="shared" si="4"/>
        <v>368995910</v>
      </c>
    </row>
    <row r="31" spans="1:18">
      <c r="A31" s="427">
        <v>44651</v>
      </c>
      <c r="B31" s="428" t="s">
        <v>4246</v>
      </c>
      <c r="C31" s="428" t="s">
        <v>4263</v>
      </c>
      <c r="D31" s="428" t="s">
        <v>4260</v>
      </c>
      <c r="E31" s="428" t="s">
        <v>769</v>
      </c>
      <c r="F31" s="428" t="s">
        <v>379</v>
      </c>
      <c r="G31" s="429">
        <v>21600000</v>
      </c>
      <c r="H31" s="428" t="s">
        <v>624</v>
      </c>
      <c r="I31" s="428" t="s">
        <v>4249</v>
      </c>
      <c r="L31" s="8" t="s">
        <v>383</v>
      </c>
      <c r="M31" s="14" t="s">
        <v>4045</v>
      </c>
      <c r="N31" s="13">
        <v>66502791</v>
      </c>
      <c r="O31" s="13">
        <f t="shared" si="6"/>
        <v>66502791</v>
      </c>
      <c r="P31" s="13">
        <f t="shared" si="5"/>
        <v>66502791</v>
      </c>
      <c r="Q31" s="9">
        <v>0</v>
      </c>
      <c r="R31" s="13">
        <f t="shared" si="4"/>
        <v>66502791</v>
      </c>
    </row>
    <row r="32" spans="1:18">
      <c r="A32" s="427">
        <v>44651</v>
      </c>
      <c r="B32" s="428" t="s">
        <v>4246</v>
      </c>
      <c r="C32" s="428" t="s">
        <v>4263</v>
      </c>
      <c r="D32" s="428" t="s">
        <v>4260</v>
      </c>
      <c r="E32" s="428" t="s">
        <v>769</v>
      </c>
      <c r="F32" s="428" t="s">
        <v>378</v>
      </c>
      <c r="G32" s="429">
        <v>721031493</v>
      </c>
      <c r="H32" s="428" t="s">
        <v>624</v>
      </c>
      <c r="I32" s="428" t="s">
        <v>4249</v>
      </c>
      <c r="L32" s="8" t="s">
        <v>384</v>
      </c>
      <c r="M32" s="14" t="s">
        <v>384</v>
      </c>
      <c r="N32" s="13">
        <v>6758500</v>
      </c>
      <c r="O32" s="13">
        <f t="shared" si="6"/>
        <v>6758500</v>
      </c>
      <c r="P32" s="13">
        <f t="shared" si="5"/>
        <v>6758500</v>
      </c>
      <c r="Q32" s="9">
        <v>0</v>
      </c>
      <c r="R32" s="13">
        <f t="shared" si="4"/>
        <v>6758500</v>
      </c>
    </row>
    <row r="33" spans="1:19">
      <c r="A33" s="427">
        <v>44651</v>
      </c>
      <c r="B33" s="428" t="s">
        <v>4246</v>
      </c>
      <c r="C33" s="428" t="s">
        <v>4263</v>
      </c>
      <c r="D33" s="428" t="s">
        <v>4260</v>
      </c>
      <c r="E33" s="428" t="s">
        <v>769</v>
      </c>
      <c r="F33" s="428" t="s">
        <v>381</v>
      </c>
      <c r="G33" s="429">
        <v>23326813</v>
      </c>
      <c r="H33" s="428" t="s">
        <v>624</v>
      </c>
      <c r="I33" s="428" t="s">
        <v>4249</v>
      </c>
      <c r="L33" s="8" t="s">
        <v>421</v>
      </c>
      <c r="M33" s="14" t="s">
        <v>386</v>
      </c>
      <c r="N33" s="13">
        <v>36659228</v>
      </c>
      <c r="O33" s="13">
        <f t="shared" si="6"/>
        <v>36659228</v>
      </c>
      <c r="P33" s="13">
        <f t="shared" si="5"/>
        <v>36659228</v>
      </c>
      <c r="Q33" s="9">
        <v>0</v>
      </c>
      <c r="R33" s="13">
        <f t="shared" si="4"/>
        <v>36659228</v>
      </c>
    </row>
    <row r="34" spans="1:19">
      <c r="A34" s="427">
        <v>44651</v>
      </c>
      <c r="B34" s="428" t="s">
        <v>4246</v>
      </c>
      <c r="C34" s="428" t="s">
        <v>4263</v>
      </c>
      <c r="D34" s="428" t="s">
        <v>4260</v>
      </c>
      <c r="E34" s="428" t="s">
        <v>769</v>
      </c>
      <c r="F34" s="428" t="s">
        <v>4043</v>
      </c>
      <c r="G34" s="429">
        <v>18082090</v>
      </c>
      <c r="H34" s="428" t="s">
        <v>624</v>
      </c>
      <c r="I34" s="428" t="s">
        <v>4249</v>
      </c>
      <c r="L34" s="8" t="s">
        <v>413</v>
      </c>
      <c r="M34" s="14" t="s">
        <v>4048</v>
      </c>
      <c r="N34" s="13">
        <v>222243836</v>
      </c>
      <c r="O34" s="13">
        <f t="shared" si="6"/>
        <v>222243836</v>
      </c>
      <c r="P34" s="13">
        <f t="shared" si="5"/>
        <v>222243836</v>
      </c>
      <c r="Q34" s="9">
        <v>0</v>
      </c>
      <c r="R34" s="13">
        <f t="shared" si="4"/>
        <v>222243836</v>
      </c>
    </row>
    <row r="35" spans="1:19">
      <c r="A35" s="427">
        <v>44651</v>
      </c>
      <c r="B35" s="428" t="s">
        <v>4246</v>
      </c>
      <c r="C35" s="428" t="s">
        <v>4263</v>
      </c>
      <c r="D35" s="428" t="s">
        <v>4260</v>
      </c>
      <c r="E35" s="428" t="s">
        <v>769</v>
      </c>
      <c r="F35" s="428" t="s">
        <v>4045</v>
      </c>
      <c r="G35" s="429">
        <v>5109191</v>
      </c>
      <c r="H35" s="428" t="s">
        <v>624</v>
      </c>
      <c r="I35" s="428" t="s">
        <v>4249</v>
      </c>
      <c r="L35" s="8" t="s">
        <v>424</v>
      </c>
      <c r="M35" s="14" t="s">
        <v>4050</v>
      </c>
      <c r="N35" s="13">
        <v>467421511</v>
      </c>
      <c r="O35" s="13">
        <f t="shared" si="6"/>
        <v>467421511</v>
      </c>
      <c r="P35" s="13">
        <f t="shared" si="5"/>
        <v>467421511</v>
      </c>
      <c r="Q35" s="9">
        <v>0</v>
      </c>
      <c r="R35" s="13">
        <f t="shared" si="4"/>
        <v>467421511</v>
      </c>
    </row>
    <row r="36" spans="1:19">
      <c r="A36" s="427">
        <v>44651</v>
      </c>
      <c r="B36" s="428" t="s">
        <v>4246</v>
      </c>
      <c r="C36" s="428" t="s">
        <v>4263</v>
      </c>
      <c r="D36" s="428" t="s">
        <v>4260</v>
      </c>
      <c r="E36" s="428" t="s">
        <v>769</v>
      </c>
      <c r="F36" s="428" t="s">
        <v>4052</v>
      </c>
      <c r="G36" s="429">
        <v>139141414</v>
      </c>
      <c r="H36" s="428" t="s">
        <v>624</v>
      </c>
      <c r="I36" s="428" t="s">
        <v>4249</v>
      </c>
      <c r="L36" s="8" t="s">
        <v>407</v>
      </c>
      <c r="M36" s="14" t="s">
        <v>4052</v>
      </c>
      <c r="N36" s="13">
        <v>977272731</v>
      </c>
      <c r="O36" s="13">
        <f t="shared" si="6"/>
        <v>977272731</v>
      </c>
      <c r="P36" s="13">
        <f t="shared" si="5"/>
        <v>977272731</v>
      </c>
      <c r="Q36" s="9">
        <v>0</v>
      </c>
      <c r="R36" s="13">
        <f t="shared" si="4"/>
        <v>977272731</v>
      </c>
    </row>
    <row r="37" spans="1:19">
      <c r="A37" s="427">
        <v>44651</v>
      </c>
      <c r="B37" s="428" t="s">
        <v>4246</v>
      </c>
      <c r="C37" s="428" t="s">
        <v>4263</v>
      </c>
      <c r="D37" s="428" t="s">
        <v>4260</v>
      </c>
      <c r="E37" s="428" t="s">
        <v>769</v>
      </c>
      <c r="F37" s="428" t="s">
        <v>4057</v>
      </c>
      <c r="G37" s="429">
        <v>12016977</v>
      </c>
      <c r="H37" s="428" t="s">
        <v>624</v>
      </c>
      <c r="I37" s="428" t="s">
        <v>4249</v>
      </c>
      <c r="L37" s="8" t="s">
        <v>400</v>
      </c>
      <c r="M37" s="14" t="s">
        <v>4054</v>
      </c>
      <c r="N37" s="13">
        <v>30480146</v>
      </c>
      <c r="O37" s="13">
        <f t="shared" si="6"/>
        <v>30480146</v>
      </c>
      <c r="P37" s="13">
        <f t="shared" si="5"/>
        <v>30480146</v>
      </c>
      <c r="Q37" s="9">
        <v>0</v>
      </c>
      <c r="R37" s="13">
        <f t="shared" si="4"/>
        <v>30480146</v>
      </c>
    </row>
    <row r="38" spans="1:19">
      <c r="A38" s="427">
        <v>44651</v>
      </c>
      <c r="B38" s="428" t="s">
        <v>4246</v>
      </c>
      <c r="C38" s="428" t="s">
        <v>4263</v>
      </c>
      <c r="D38" s="428" t="s">
        <v>4260</v>
      </c>
      <c r="E38" s="428" t="s">
        <v>769</v>
      </c>
      <c r="F38" s="428" t="s">
        <v>4065</v>
      </c>
      <c r="G38" s="429">
        <v>217244320</v>
      </c>
      <c r="H38" s="428" t="s">
        <v>624</v>
      </c>
      <c r="I38" s="428" t="s">
        <v>4249</v>
      </c>
      <c r="L38" s="8" t="s">
        <v>421</v>
      </c>
      <c r="M38" s="14" t="s">
        <v>4056</v>
      </c>
      <c r="N38" s="13">
        <v>49648154</v>
      </c>
      <c r="O38" s="13">
        <f t="shared" si="6"/>
        <v>49648154</v>
      </c>
      <c r="P38" s="13">
        <f t="shared" si="5"/>
        <v>49648154</v>
      </c>
      <c r="Q38" s="9">
        <v>0</v>
      </c>
      <c r="R38" s="13">
        <f t="shared" si="4"/>
        <v>49648154</v>
      </c>
    </row>
    <row r="39" spans="1:19">
      <c r="A39" s="427">
        <v>44681</v>
      </c>
      <c r="B39" s="428" t="s">
        <v>4246</v>
      </c>
      <c r="C39" s="428" t="s">
        <v>4264</v>
      </c>
      <c r="D39" s="428" t="s">
        <v>4265</v>
      </c>
      <c r="E39" s="428" t="s">
        <v>769</v>
      </c>
      <c r="F39" s="428" t="s">
        <v>1005</v>
      </c>
      <c r="G39" s="429">
        <v>-370166283</v>
      </c>
      <c r="H39" s="428" t="s">
        <v>624</v>
      </c>
      <c r="I39" s="428" t="s">
        <v>4249</v>
      </c>
      <c r="L39" s="8" t="s">
        <v>435</v>
      </c>
      <c r="M39" s="14" t="s">
        <v>4057</v>
      </c>
      <c r="N39" s="13">
        <v>52048392</v>
      </c>
      <c r="O39" s="13">
        <f t="shared" si="6"/>
        <v>52048392</v>
      </c>
      <c r="P39" s="13">
        <f t="shared" si="5"/>
        <v>52048392</v>
      </c>
      <c r="Q39" s="9">
        <v>0</v>
      </c>
      <c r="R39" s="13">
        <f t="shared" si="4"/>
        <v>52048392</v>
      </c>
    </row>
    <row r="40" spans="1:19">
      <c r="A40" s="427">
        <v>44681</v>
      </c>
      <c r="B40" s="428" t="s">
        <v>4246</v>
      </c>
      <c r="C40" s="428" t="s">
        <v>4266</v>
      </c>
      <c r="D40" s="428" t="s">
        <v>4265</v>
      </c>
      <c r="E40" s="428" t="s">
        <v>769</v>
      </c>
      <c r="F40" s="428" t="s">
        <v>4073</v>
      </c>
      <c r="G40" s="429">
        <v>10000000</v>
      </c>
      <c r="H40" s="428" t="s">
        <v>624</v>
      </c>
      <c r="I40" s="428" t="s">
        <v>4249</v>
      </c>
      <c r="L40" s="8" t="s">
        <v>395</v>
      </c>
      <c r="M40" s="14" t="s">
        <v>4059</v>
      </c>
      <c r="N40" s="13">
        <v>20972821</v>
      </c>
      <c r="O40" s="13">
        <f t="shared" si="6"/>
        <v>20972821</v>
      </c>
      <c r="P40" s="13">
        <f t="shared" si="5"/>
        <v>20972821</v>
      </c>
      <c r="Q40" s="9">
        <v>0</v>
      </c>
      <c r="R40" s="13">
        <f t="shared" si="4"/>
        <v>20972821</v>
      </c>
    </row>
    <row r="41" spans="1:19">
      <c r="A41" s="427">
        <v>44681</v>
      </c>
      <c r="B41" s="428" t="s">
        <v>4246</v>
      </c>
      <c r="C41" s="428" t="s">
        <v>4267</v>
      </c>
      <c r="D41" s="428" t="s">
        <v>4265</v>
      </c>
      <c r="E41" s="428" t="s">
        <v>769</v>
      </c>
      <c r="F41" s="428" t="s">
        <v>378</v>
      </c>
      <c r="G41" s="429">
        <v>332161232</v>
      </c>
      <c r="H41" s="428" t="s">
        <v>624</v>
      </c>
      <c r="I41" s="428" t="s">
        <v>4249</v>
      </c>
      <c r="L41" s="8" t="s">
        <v>401</v>
      </c>
      <c r="M41" s="14" t="s">
        <v>4061</v>
      </c>
      <c r="N41" s="13">
        <v>9470100</v>
      </c>
      <c r="O41" s="13">
        <f t="shared" si="6"/>
        <v>9470100</v>
      </c>
      <c r="P41" s="13">
        <f t="shared" si="5"/>
        <v>9470100</v>
      </c>
      <c r="Q41" s="9">
        <v>0</v>
      </c>
      <c r="R41" s="13">
        <f t="shared" si="4"/>
        <v>9470100</v>
      </c>
    </row>
    <row r="42" spans="1:19">
      <c r="A42" s="427">
        <v>44681</v>
      </c>
      <c r="B42" s="428" t="s">
        <v>4246</v>
      </c>
      <c r="C42" s="428" t="s">
        <v>4267</v>
      </c>
      <c r="D42" s="428" t="s">
        <v>4265</v>
      </c>
      <c r="E42" s="428" t="s">
        <v>769</v>
      </c>
      <c r="F42" s="428" t="s">
        <v>381</v>
      </c>
      <c r="G42" s="429">
        <v>-25967888</v>
      </c>
      <c r="H42" s="428" t="s">
        <v>624</v>
      </c>
      <c r="I42" s="428" t="s">
        <v>4249</v>
      </c>
      <c r="L42" s="8" t="s">
        <v>393</v>
      </c>
      <c r="M42" s="14" t="s">
        <v>4063</v>
      </c>
      <c r="N42" s="13">
        <v>2245246</v>
      </c>
      <c r="O42" s="13">
        <f t="shared" si="6"/>
        <v>2245246</v>
      </c>
      <c r="P42" s="13">
        <f t="shared" si="5"/>
        <v>2245246</v>
      </c>
      <c r="Q42" s="9">
        <v>0</v>
      </c>
      <c r="R42" s="13">
        <f t="shared" si="4"/>
        <v>2245246</v>
      </c>
    </row>
    <row r="43" spans="1:19">
      <c r="A43" s="427">
        <v>44681</v>
      </c>
      <c r="B43" s="428" t="s">
        <v>4246</v>
      </c>
      <c r="C43" s="428" t="s">
        <v>4267</v>
      </c>
      <c r="D43" s="428" t="s">
        <v>4265</v>
      </c>
      <c r="E43" s="428" t="s">
        <v>769</v>
      </c>
      <c r="F43" s="428" t="s">
        <v>4043</v>
      </c>
      <c r="G43" s="429">
        <v>38082090</v>
      </c>
      <c r="H43" s="428" t="s">
        <v>624</v>
      </c>
      <c r="I43" s="428" t="s">
        <v>4249</v>
      </c>
      <c r="L43" s="8" t="s">
        <v>437</v>
      </c>
      <c r="M43" s="14" t="s">
        <v>4065</v>
      </c>
      <c r="N43" s="13">
        <v>2095959130.05</v>
      </c>
      <c r="O43" s="13">
        <f>N43</f>
        <v>2095959130.05</v>
      </c>
      <c r="P43" s="13">
        <f>O43</f>
        <v>2095959130.05</v>
      </c>
      <c r="Q43" s="9">
        <v>-640460194</v>
      </c>
      <c r="R43" s="13">
        <f t="shared" si="4"/>
        <v>1455498936.05</v>
      </c>
    </row>
    <row r="44" spans="1:19">
      <c r="A44" s="427">
        <v>44681</v>
      </c>
      <c r="B44" s="428" t="s">
        <v>4246</v>
      </c>
      <c r="C44" s="428" t="s">
        <v>4267</v>
      </c>
      <c r="D44" s="428" t="s">
        <v>4265</v>
      </c>
      <c r="E44" s="428" t="s">
        <v>769</v>
      </c>
      <c r="F44" s="428" t="s">
        <v>4045</v>
      </c>
      <c r="G44" s="429">
        <v>5109191</v>
      </c>
      <c r="H44" s="428" t="s">
        <v>624</v>
      </c>
      <c r="I44" s="428" t="s">
        <v>4249</v>
      </c>
      <c r="L44" s="8" t="s">
        <v>378</v>
      </c>
      <c r="M44" s="14" t="s">
        <v>440</v>
      </c>
      <c r="N44" s="13">
        <v>77400000</v>
      </c>
      <c r="O44" s="13">
        <f t="shared" si="6"/>
        <v>77400000</v>
      </c>
      <c r="P44" s="13">
        <f t="shared" si="5"/>
        <v>77400000</v>
      </c>
      <c r="Q44" s="9">
        <v>0</v>
      </c>
      <c r="R44" s="13">
        <f t="shared" si="4"/>
        <v>77400000</v>
      </c>
    </row>
    <row r="45" spans="1:19">
      <c r="A45" s="427">
        <v>44681</v>
      </c>
      <c r="B45" s="428" t="s">
        <v>4246</v>
      </c>
      <c r="C45" s="428" t="s">
        <v>4267</v>
      </c>
      <c r="D45" s="428" t="s">
        <v>4265</v>
      </c>
      <c r="E45" s="428" t="s">
        <v>769</v>
      </c>
      <c r="F45" s="428" t="s">
        <v>4052</v>
      </c>
      <c r="G45" s="429">
        <v>79141414</v>
      </c>
      <c r="H45" s="428" t="s">
        <v>624</v>
      </c>
      <c r="I45" s="428" t="s">
        <v>4249</v>
      </c>
      <c r="L45" s="454" t="s">
        <v>444</v>
      </c>
      <c r="M45" s="14" t="s">
        <v>4071</v>
      </c>
      <c r="N45" s="13">
        <v>19335259</v>
      </c>
      <c r="O45" s="13">
        <f t="shared" si="6"/>
        <v>19335259</v>
      </c>
      <c r="P45" s="13">
        <f t="shared" si="5"/>
        <v>19335259</v>
      </c>
      <c r="Q45" s="9">
        <v>0</v>
      </c>
      <c r="R45" s="13">
        <f t="shared" si="4"/>
        <v>19335259</v>
      </c>
    </row>
    <row r="46" spans="1:19">
      <c r="A46" s="427">
        <v>44681</v>
      </c>
      <c r="B46" s="428" t="s">
        <v>4246</v>
      </c>
      <c r="C46" s="428" t="s">
        <v>4267</v>
      </c>
      <c r="D46" s="428" t="s">
        <v>4265</v>
      </c>
      <c r="E46" s="428" t="s">
        <v>769</v>
      </c>
      <c r="F46" s="428" t="s">
        <v>4057</v>
      </c>
      <c r="G46" s="429">
        <v>9055453</v>
      </c>
      <c r="H46" s="428" t="s">
        <v>624</v>
      </c>
      <c r="I46" s="428" t="s">
        <v>4249</v>
      </c>
      <c r="L46" s="454" t="s">
        <v>444</v>
      </c>
      <c r="M46" s="14" t="s">
        <v>4073</v>
      </c>
      <c r="N46" s="13">
        <v>2507075384</v>
      </c>
      <c r="O46" s="13">
        <f t="shared" si="6"/>
        <v>2507075384</v>
      </c>
      <c r="P46" s="13">
        <f t="shared" si="5"/>
        <v>2507075384</v>
      </c>
      <c r="Q46" s="9">
        <v>-937182052</v>
      </c>
      <c r="R46" s="13">
        <f t="shared" si="4"/>
        <v>1569893332</v>
      </c>
    </row>
    <row r="47" spans="1:19">
      <c r="A47" s="427">
        <v>44681</v>
      </c>
      <c r="B47" s="428" t="s">
        <v>4246</v>
      </c>
      <c r="C47" s="428" t="s">
        <v>4267</v>
      </c>
      <c r="D47" s="428" t="s">
        <v>4265</v>
      </c>
      <c r="E47" s="428" t="s">
        <v>769</v>
      </c>
      <c r="F47" s="428" t="s">
        <v>4059</v>
      </c>
      <c r="G47" s="429">
        <v>10830556</v>
      </c>
      <c r="H47" s="428" t="s">
        <v>624</v>
      </c>
      <c r="I47" s="428" t="s">
        <v>4249</v>
      </c>
      <c r="M47" s="14" t="s">
        <v>481</v>
      </c>
      <c r="N47" s="13">
        <v>17150342753</v>
      </c>
    </row>
    <row r="48" spans="1:19">
      <c r="A48" s="427">
        <v>44681</v>
      </c>
      <c r="B48" s="428" t="s">
        <v>4246</v>
      </c>
      <c r="C48" s="428" t="s">
        <v>4267</v>
      </c>
      <c r="D48" s="428" t="s">
        <v>4265</v>
      </c>
      <c r="E48" s="428" t="s">
        <v>769</v>
      </c>
      <c r="F48" s="428" t="s">
        <v>4061</v>
      </c>
      <c r="G48" s="429">
        <v>1680000</v>
      </c>
      <c r="H48" s="428" t="s">
        <v>624</v>
      </c>
      <c r="I48" s="428" t="s">
        <v>4249</v>
      </c>
      <c r="O48" s="13">
        <f>SUM(O1:O46)</f>
        <v>-1347356768.9499998</v>
      </c>
      <c r="P48" s="13">
        <f>SUM(P1:P46)</f>
        <v>-1347356768.9499998</v>
      </c>
      <c r="Q48" s="9">
        <f>R48-P48</f>
        <v>-1579265164</v>
      </c>
      <c r="R48" s="13">
        <f>SUM(R1:R46)</f>
        <v>-2926621932.9499998</v>
      </c>
      <c r="S48" s="13"/>
    </row>
    <row r="49" spans="1:18">
      <c r="A49" s="427">
        <v>44681</v>
      </c>
      <c r="B49" s="428" t="s">
        <v>4246</v>
      </c>
      <c r="C49" s="428" t="s">
        <v>4267</v>
      </c>
      <c r="D49" s="428" t="s">
        <v>4265</v>
      </c>
      <c r="E49" s="428" t="s">
        <v>769</v>
      </c>
      <c r="F49" s="428" t="s">
        <v>4063</v>
      </c>
      <c r="G49" s="429">
        <v>1824798</v>
      </c>
      <c r="H49" s="428" t="s">
        <v>624</v>
      </c>
      <c r="I49" s="428" t="s">
        <v>4249</v>
      </c>
      <c r="R49" s="13"/>
    </row>
    <row r="50" spans="1:18">
      <c r="A50" s="427">
        <v>44681</v>
      </c>
      <c r="B50" s="428" t="s">
        <v>4246</v>
      </c>
      <c r="C50" s="428" t="s">
        <v>4267</v>
      </c>
      <c r="D50" s="428" t="s">
        <v>4265</v>
      </c>
      <c r="E50" s="428" t="s">
        <v>769</v>
      </c>
      <c r="F50" s="428" t="s">
        <v>4065</v>
      </c>
      <c r="G50" s="429">
        <v>145668938</v>
      </c>
      <c r="H50" s="428" t="s">
        <v>624</v>
      </c>
      <c r="I50" s="428" t="s">
        <v>4249</v>
      </c>
    </row>
    <row r="51" spans="1:18">
      <c r="A51" s="427">
        <v>44712</v>
      </c>
      <c r="B51" s="428" t="s">
        <v>4246</v>
      </c>
      <c r="C51" s="428" t="s">
        <v>4268</v>
      </c>
      <c r="D51" s="428" t="s">
        <v>4269</v>
      </c>
      <c r="E51" s="428" t="s">
        <v>769</v>
      </c>
      <c r="F51" s="428" t="s">
        <v>1005</v>
      </c>
      <c r="G51" s="429">
        <v>-1518770368</v>
      </c>
      <c r="H51" s="428" t="s">
        <v>624</v>
      </c>
      <c r="I51" s="428" t="s">
        <v>4249</v>
      </c>
      <c r="P51" s="8" t="s">
        <v>4270</v>
      </c>
      <c r="Q51" s="9">
        <v>-1579265164</v>
      </c>
    </row>
    <row r="52" spans="1:18">
      <c r="A52" s="427">
        <v>44712</v>
      </c>
      <c r="B52" s="428" t="s">
        <v>4246</v>
      </c>
      <c r="C52" s="428" t="s">
        <v>4271</v>
      </c>
      <c r="D52" s="428" t="s">
        <v>4269</v>
      </c>
      <c r="E52" s="428" t="s">
        <v>769</v>
      </c>
      <c r="F52" s="428" t="s">
        <v>4037</v>
      </c>
      <c r="G52" s="429">
        <v>5000000</v>
      </c>
      <c r="H52" s="428" t="s">
        <v>624</v>
      </c>
      <c r="I52" s="428" t="s">
        <v>4249</v>
      </c>
    </row>
    <row r="53" spans="1:18">
      <c r="A53" s="427">
        <v>44712</v>
      </c>
      <c r="B53" s="428" t="s">
        <v>4246</v>
      </c>
      <c r="C53" s="428" t="s">
        <v>4272</v>
      </c>
      <c r="D53" s="428" t="s">
        <v>4269</v>
      </c>
      <c r="E53" s="428" t="s">
        <v>769</v>
      </c>
      <c r="F53" s="428" t="s">
        <v>378</v>
      </c>
      <c r="G53" s="429">
        <f>1230073528+51291090</f>
        <v>1281364618</v>
      </c>
      <c r="H53" s="428" t="s">
        <v>624</v>
      </c>
      <c r="I53" s="428" t="s">
        <v>4249</v>
      </c>
    </row>
    <row r="54" spans="1:18">
      <c r="A54" s="427">
        <v>44712</v>
      </c>
      <c r="B54" s="428" t="s">
        <v>4246</v>
      </c>
      <c r="C54" s="428" t="s">
        <v>4272</v>
      </c>
      <c r="D54" s="428" t="s">
        <v>4269</v>
      </c>
      <c r="E54" s="428" t="s">
        <v>769</v>
      </c>
      <c r="F54" s="428" t="s">
        <v>379</v>
      </c>
      <c r="G54" s="429">
        <v>45120000</v>
      </c>
      <c r="H54" s="428" t="s">
        <v>624</v>
      </c>
      <c r="I54" s="428" t="s">
        <v>4249</v>
      </c>
      <c r="N54" s="13"/>
      <c r="P54" s="13"/>
    </row>
    <row r="55" spans="1:18">
      <c r="A55" s="427">
        <v>44712</v>
      </c>
      <c r="B55" s="428" t="s">
        <v>4246</v>
      </c>
      <c r="C55" s="428" t="s">
        <v>4272</v>
      </c>
      <c r="D55" s="428" t="s">
        <v>4269</v>
      </c>
      <c r="E55" s="428" t="s">
        <v>769</v>
      </c>
      <c r="F55" s="428" t="s">
        <v>381</v>
      </c>
      <c r="G55" s="429">
        <v>6959597</v>
      </c>
      <c r="H55" s="428" t="s">
        <v>624</v>
      </c>
      <c r="I55" s="428" t="s">
        <v>4249</v>
      </c>
    </row>
    <row r="56" spans="1:18">
      <c r="A56" s="427">
        <v>44712</v>
      </c>
      <c r="B56" s="428" t="s">
        <v>4246</v>
      </c>
      <c r="C56" s="428" t="s">
        <v>4272</v>
      </c>
      <c r="D56" s="428" t="s">
        <v>4269</v>
      </c>
      <c r="E56" s="428" t="s">
        <v>769</v>
      </c>
      <c r="F56" s="428" t="s">
        <v>4043</v>
      </c>
      <c r="G56" s="429">
        <v>18082090</v>
      </c>
      <c r="H56" s="428" t="s">
        <v>624</v>
      </c>
      <c r="I56" s="428" t="s">
        <v>4249</v>
      </c>
    </row>
    <row r="57" spans="1:18">
      <c r="A57" s="427">
        <v>44712</v>
      </c>
      <c r="B57" s="428" t="s">
        <v>4246</v>
      </c>
      <c r="C57" s="428" t="s">
        <v>4272</v>
      </c>
      <c r="D57" s="428" t="s">
        <v>4269</v>
      </c>
      <c r="E57" s="428" t="s">
        <v>769</v>
      </c>
      <c r="F57" s="428" t="s">
        <v>4045</v>
      </c>
      <c r="G57" s="429">
        <v>5109191</v>
      </c>
      <c r="H57" s="428" t="s">
        <v>624</v>
      </c>
      <c r="I57" s="428" t="s">
        <v>4249</v>
      </c>
    </row>
    <row r="58" spans="1:18">
      <c r="A58" s="427">
        <v>44712</v>
      </c>
      <c r="B58" s="428" t="s">
        <v>4246</v>
      </c>
      <c r="C58" s="428" t="s">
        <v>4272</v>
      </c>
      <c r="D58" s="428" t="s">
        <v>4269</v>
      </c>
      <c r="E58" s="428" t="s">
        <v>769</v>
      </c>
      <c r="F58" s="428" t="s">
        <v>4050</v>
      </c>
      <c r="G58" s="429">
        <v>54166214</v>
      </c>
      <c r="H58" s="428" t="s">
        <v>624</v>
      </c>
      <c r="I58" s="428" t="s">
        <v>4249</v>
      </c>
    </row>
    <row r="59" spans="1:18">
      <c r="A59" s="427">
        <v>44712</v>
      </c>
      <c r="B59" s="428" t="s">
        <v>4246</v>
      </c>
      <c r="C59" s="428" t="s">
        <v>4272</v>
      </c>
      <c r="D59" s="428" t="s">
        <v>4269</v>
      </c>
      <c r="E59" s="428" t="s">
        <v>769</v>
      </c>
      <c r="F59" s="428" t="s">
        <v>4052</v>
      </c>
      <c r="G59" s="429">
        <v>79141414</v>
      </c>
      <c r="H59" s="428" t="s">
        <v>624</v>
      </c>
      <c r="I59" s="428" t="s">
        <v>4249</v>
      </c>
    </row>
    <row r="60" spans="1:18">
      <c r="A60" s="427">
        <v>44712</v>
      </c>
      <c r="B60" s="428" t="s">
        <v>4246</v>
      </c>
      <c r="C60" s="428" t="s">
        <v>4272</v>
      </c>
      <c r="D60" s="428" t="s">
        <v>4269</v>
      </c>
      <c r="E60" s="428" t="s">
        <v>769</v>
      </c>
      <c r="F60" s="428" t="s">
        <v>4057</v>
      </c>
      <c r="G60" s="429">
        <v>4522350</v>
      </c>
      <c r="H60" s="428" t="s">
        <v>624</v>
      </c>
      <c r="I60" s="428" t="s">
        <v>4249</v>
      </c>
    </row>
    <row r="61" spans="1:18">
      <c r="A61" s="427">
        <v>44712</v>
      </c>
      <c r="B61" s="428" t="s">
        <v>4246</v>
      </c>
      <c r="C61" s="428" t="s">
        <v>4272</v>
      </c>
      <c r="D61" s="428" t="s">
        <v>4269</v>
      </c>
      <c r="E61" s="428" t="s">
        <v>769</v>
      </c>
      <c r="F61" s="428" t="s">
        <v>4059</v>
      </c>
      <c r="G61" s="429">
        <v>2777778</v>
      </c>
      <c r="H61" s="428" t="s">
        <v>624</v>
      </c>
      <c r="I61" s="428" t="s">
        <v>4249</v>
      </c>
    </row>
    <row r="62" spans="1:18">
      <c r="A62" s="427">
        <v>44712</v>
      </c>
      <c r="B62" s="428" t="s">
        <v>4246</v>
      </c>
      <c r="C62" s="428" t="s">
        <v>4272</v>
      </c>
      <c r="D62" s="428" t="s">
        <v>4269</v>
      </c>
      <c r="E62" s="428" t="s">
        <v>769</v>
      </c>
      <c r="F62" s="428" t="s">
        <v>4063</v>
      </c>
      <c r="G62" s="429">
        <v>851300</v>
      </c>
      <c r="H62" s="428" t="s">
        <v>624</v>
      </c>
      <c r="I62" s="428" t="s">
        <v>4249</v>
      </c>
    </row>
    <row r="63" spans="1:18">
      <c r="A63" s="427">
        <v>44712</v>
      </c>
      <c r="B63" s="428" t="s">
        <v>4246</v>
      </c>
      <c r="C63" s="428" t="s">
        <v>4272</v>
      </c>
      <c r="D63" s="428" t="s">
        <v>4269</v>
      </c>
      <c r="E63" s="428" t="s">
        <v>769</v>
      </c>
      <c r="F63" s="428" t="s">
        <v>4065</v>
      </c>
      <c r="G63" s="429">
        <v>257655545</v>
      </c>
      <c r="H63" s="428" t="s">
        <v>624</v>
      </c>
      <c r="I63" s="428" t="s">
        <v>4249</v>
      </c>
    </row>
    <row r="64" spans="1:18">
      <c r="A64" s="427">
        <v>44712</v>
      </c>
      <c r="B64" s="428" t="s">
        <v>4246</v>
      </c>
      <c r="C64" s="428" t="s">
        <v>4272</v>
      </c>
      <c r="D64" s="428" t="s">
        <v>4269</v>
      </c>
      <c r="E64" s="428" t="s">
        <v>769</v>
      </c>
      <c r="F64" s="428" t="s">
        <v>440</v>
      </c>
      <c r="G64" s="429">
        <v>27000000</v>
      </c>
      <c r="H64" s="428" t="s">
        <v>624</v>
      </c>
      <c r="I64" s="428" t="s">
        <v>4249</v>
      </c>
    </row>
    <row r="65" spans="1:9">
      <c r="A65" s="427">
        <v>44742</v>
      </c>
      <c r="B65" s="428" t="s">
        <v>4246</v>
      </c>
      <c r="C65" s="428" t="s">
        <v>4273</v>
      </c>
      <c r="D65" s="428" t="s">
        <v>4274</v>
      </c>
      <c r="E65" s="428" t="s">
        <v>769</v>
      </c>
      <c r="F65" s="428" t="s">
        <v>1005</v>
      </c>
      <c r="G65" s="429">
        <v>-233152513</v>
      </c>
      <c r="H65" s="428" t="s">
        <v>624</v>
      </c>
      <c r="I65" s="428" t="s">
        <v>4249</v>
      </c>
    </row>
    <row r="66" spans="1:9">
      <c r="A66" s="427">
        <v>44742</v>
      </c>
      <c r="B66" s="428" t="s">
        <v>4246</v>
      </c>
      <c r="C66" s="428" t="s">
        <v>4275</v>
      </c>
      <c r="D66" s="428" t="s">
        <v>4274</v>
      </c>
      <c r="E66" s="428" t="s">
        <v>769</v>
      </c>
      <c r="F66" s="428" t="s">
        <v>378</v>
      </c>
      <c r="G66" s="429">
        <v>513694608</v>
      </c>
      <c r="H66" s="428" t="s">
        <v>624</v>
      </c>
      <c r="I66" s="428" t="s">
        <v>4249</v>
      </c>
    </row>
    <row r="67" spans="1:9">
      <c r="A67" s="427">
        <v>44742</v>
      </c>
      <c r="B67" s="428" t="s">
        <v>4246</v>
      </c>
      <c r="C67" s="428" t="s">
        <v>4275</v>
      </c>
      <c r="D67" s="428" t="s">
        <v>4274</v>
      </c>
      <c r="E67" s="428" t="s">
        <v>769</v>
      </c>
      <c r="F67" s="428" t="s">
        <v>379</v>
      </c>
      <c r="G67" s="429">
        <v>48075492</v>
      </c>
      <c r="H67" s="428" t="s">
        <v>624</v>
      </c>
      <c r="I67" s="428" t="s">
        <v>4249</v>
      </c>
    </row>
    <row r="68" spans="1:9">
      <c r="A68" s="427">
        <v>44742</v>
      </c>
      <c r="B68" s="428" t="s">
        <v>4246</v>
      </c>
      <c r="C68" s="428" t="s">
        <v>4275</v>
      </c>
      <c r="D68" s="428" t="s">
        <v>4274</v>
      </c>
      <c r="E68" s="428" t="s">
        <v>769</v>
      </c>
      <c r="F68" s="428" t="s">
        <v>505</v>
      </c>
      <c r="G68" s="429">
        <v>10650000</v>
      </c>
      <c r="H68" s="428" t="s">
        <v>624</v>
      </c>
      <c r="I68" s="428" t="s">
        <v>4249</v>
      </c>
    </row>
    <row r="69" spans="1:9">
      <c r="A69" s="427">
        <v>44742</v>
      </c>
      <c r="B69" s="428" t="s">
        <v>4246</v>
      </c>
      <c r="C69" s="428" t="s">
        <v>4275</v>
      </c>
      <c r="D69" s="428" t="s">
        <v>4274</v>
      </c>
      <c r="E69" s="428" t="s">
        <v>769</v>
      </c>
      <c r="F69" s="428" t="s">
        <v>381</v>
      </c>
      <c r="G69" s="429">
        <v>12229597</v>
      </c>
      <c r="H69" s="428" t="s">
        <v>624</v>
      </c>
      <c r="I69" s="428" t="s">
        <v>4249</v>
      </c>
    </row>
    <row r="70" spans="1:9">
      <c r="A70" s="427">
        <v>44742</v>
      </c>
      <c r="B70" s="428" t="s">
        <v>4246</v>
      </c>
      <c r="C70" s="428" t="s">
        <v>4275</v>
      </c>
      <c r="D70" s="428" t="s">
        <v>4274</v>
      </c>
      <c r="E70" s="428" t="s">
        <v>769</v>
      </c>
      <c r="F70" s="428" t="s">
        <v>4043</v>
      </c>
      <c r="G70" s="429">
        <v>28082090</v>
      </c>
      <c r="H70" s="428" t="s">
        <v>624</v>
      </c>
      <c r="I70" s="428" t="s">
        <v>4249</v>
      </c>
    </row>
    <row r="71" spans="1:9">
      <c r="A71" s="427">
        <v>44742</v>
      </c>
      <c r="B71" s="428" t="s">
        <v>4246</v>
      </c>
      <c r="C71" s="428" t="s">
        <v>4275</v>
      </c>
      <c r="D71" s="428" t="s">
        <v>4274</v>
      </c>
      <c r="E71" s="428" t="s">
        <v>769</v>
      </c>
      <c r="F71" s="428" t="s">
        <v>4045</v>
      </c>
      <c r="G71" s="429">
        <v>5109191</v>
      </c>
      <c r="H71" s="428" t="s">
        <v>624</v>
      </c>
      <c r="I71" s="428" t="s">
        <v>4249</v>
      </c>
    </row>
    <row r="72" spans="1:9">
      <c r="A72" s="427">
        <v>44742</v>
      </c>
      <c r="B72" s="428" t="s">
        <v>4246</v>
      </c>
      <c r="C72" s="428" t="s">
        <v>4275</v>
      </c>
      <c r="D72" s="428" t="s">
        <v>4274</v>
      </c>
      <c r="E72" s="428" t="s">
        <v>769</v>
      </c>
      <c r="F72" s="428" t="s">
        <v>4048</v>
      </c>
      <c r="G72" s="429">
        <v>3095091</v>
      </c>
      <c r="H72" s="428" t="s">
        <v>624</v>
      </c>
      <c r="I72" s="428" t="s">
        <v>4249</v>
      </c>
    </row>
    <row r="73" spans="1:9">
      <c r="A73" s="427">
        <v>44742</v>
      </c>
      <c r="B73" s="428" t="s">
        <v>4246</v>
      </c>
      <c r="C73" s="428" t="s">
        <v>4275</v>
      </c>
      <c r="D73" s="428" t="s">
        <v>4274</v>
      </c>
      <c r="E73" s="428" t="s">
        <v>769</v>
      </c>
      <c r="F73" s="428" t="s">
        <v>4050</v>
      </c>
      <c r="G73" s="429">
        <v>54166214</v>
      </c>
      <c r="H73" s="428" t="s">
        <v>624</v>
      </c>
      <c r="I73" s="428" t="s">
        <v>4249</v>
      </c>
    </row>
    <row r="74" spans="1:9">
      <c r="A74" s="427">
        <v>44742</v>
      </c>
      <c r="B74" s="428" t="s">
        <v>4246</v>
      </c>
      <c r="C74" s="428" t="s">
        <v>4275</v>
      </c>
      <c r="D74" s="428" t="s">
        <v>4274</v>
      </c>
      <c r="E74" s="428" t="s">
        <v>769</v>
      </c>
      <c r="F74" s="428" t="s">
        <v>4052</v>
      </c>
      <c r="G74" s="429">
        <v>79141414</v>
      </c>
      <c r="H74" s="428" t="s">
        <v>624</v>
      </c>
      <c r="I74" s="428" t="s">
        <v>4249</v>
      </c>
    </row>
    <row r="75" spans="1:9">
      <c r="A75" s="427">
        <v>44742</v>
      </c>
      <c r="B75" s="428" t="s">
        <v>4246</v>
      </c>
      <c r="C75" s="428" t="s">
        <v>4275</v>
      </c>
      <c r="D75" s="428" t="s">
        <v>4274</v>
      </c>
      <c r="E75" s="428" t="s">
        <v>769</v>
      </c>
      <c r="F75" s="428" t="s">
        <v>4057</v>
      </c>
      <c r="G75" s="429">
        <v>8842150</v>
      </c>
      <c r="H75" s="428" t="s">
        <v>624</v>
      </c>
      <c r="I75" s="428" t="s">
        <v>4249</v>
      </c>
    </row>
    <row r="76" spans="1:9">
      <c r="A76" s="427">
        <v>44742</v>
      </c>
      <c r="B76" s="428" t="s">
        <v>4246</v>
      </c>
      <c r="C76" s="428" t="s">
        <v>4275</v>
      </c>
      <c r="D76" s="428" t="s">
        <v>4274</v>
      </c>
      <c r="E76" s="428" t="s">
        <v>769</v>
      </c>
      <c r="F76" s="428" t="s">
        <v>4065</v>
      </c>
      <c r="G76" s="429">
        <v>-305909486</v>
      </c>
      <c r="H76" s="428" t="s">
        <v>624</v>
      </c>
      <c r="I76" s="428" t="s">
        <v>4249</v>
      </c>
    </row>
    <row r="77" spans="1:9">
      <c r="A77" s="427">
        <v>44742</v>
      </c>
      <c r="B77" s="428" t="s">
        <v>4246</v>
      </c>
      <c r="C77" s="428" t="s">
        <v>4275</v>
      </c>
      <c r="D77" s="428" t="s">
        <v>4274</v>
      </c>
      <c r="E77" s="428" t="s">
        <v>769</v>
      </c>
      <c r="F77" s="428" t="s">
        <v>440</v>
      </c>
      <c r="G77" s="429">
        <v>27000000</v>
      </c>
      <c r="H77" s="428" t="s">
        <v>624</v>
      </c>
      <c r="I77" s="428" t="s">
        <v>4249</v>
      </c>
    </row>
    <row r="78" spans="1:9">
      <c r="A78" s="427">
        <v>44773</v>
      </c>
      <c r="B78" s="428" t="s">
        <v>4246</v>
      </c>
      <c r="C78" s="428" t="s">
        <v>4276</v>
      </c>
      <c r="D78" s="428" t="s">
        <v>4277</v>
      </c>
      <c r="E78" s="428" t="s">
        <v>769</v>
      </c>
      <c r="F78" s="428" t="s">
        <v>1005</v>
      </c>
      <c r="G78" s="429">
        <v>-694692836</v>
      </c>
      <c r="H78" s="428" t="s">
        <v>624</v>
      </c>
      <c r="I78" s="428" t="s">
        <v>4249</v>
      </c>
    </row>
    <row r="79" spans="1:9">
      <c r="A79" s="427">
        <v>44773</v>
      </c>
      <c r="B79" s="428" t="s">
        <v>4246</v>
      </c>
      <c r="C79" s="428" t="s">
        <v>4278</v>
      </c>
      <c r="D79" s="428" t="s">
        <v>4277</v>
      </c>
      <c r="E79" s="428" t="s">
        <v>769</v>
      </c>
      <c r="F79" s="428" t="s">
        <v>4037</v>
      </c>
      <c r="G79" s="429">
        <v>5000000</v>
      </c>
      <c r="H79" s="428" t="s">
        <v>624</v>
      </c>
      <c r="I79" s="428" t="s">
        <v>4249</v>
      </c>
    </row>
    <row r="80" spans="1:9">
      <c r="A80" s="427">
        <v>44773</v>
      </c>
      <c r="B80" s="428" t="s">
        <v>4246</v>
      </c>
      <c r="C80" s="428" t="s">
        <v>4279</v>
      </c>
      <c r="D80" s="428" t="s">
        <v>4277</v>
      </c>
      <c r="E80" s="428" t="s">
        <v>769</v>
      </c>
      <c r="F80" s="428" t="s">
        <v>378</v>
      </c>
      <c r="G80" s="429">
        <v>576044576</v>
      </c>
      <c r="H80" s="428" t="s">
        <v>624</v>
      </c>
      <c r="I80" s="428" t="s">
        <v>4249</v>
      </c>
    </row>
    <row r="81" spans="1:9">
      <c r="A81" s="427">
        <v>44773</v>
      </c>
      <c r="B81" s="428" t="s">
        <v>4246</v>
      </c>
      <c r="C81" s="428" t="s">
        <v>4279</v>
      </c>
      <c r="D81" s="428" t="s">
        <v>4277</v>
      </c>
      <c r="E81" s="428" t="s">
        <v>769</v>
      </c>
      <c r="F81" s="428" t="s">
        <v>379</v>
      </c>
      <c r="G81" s="429">
        <v>23280000</v>
      </c>
      <c r="H81" s="428" t="s">
        <v>624</v>
      </c>
      <c r="I81" s="428" t="s">
        <v>4249</v>
      </c>
    </row>
    <row r="82" spans="1:9">
      <c r="A82" s="427">
        <v>44773</v>
      </c>
      <c r="B82" s="428" t="s">
        <v>4246</v>
      </c>
      <c r="C82" s="428" t="s">
        <v>4279</v>
      </c>
      <c r="D82" s="428" t="s">
        <v>4277</v>
      </c>
      <c r="E82" s="428" t="s">
        <v>769</v>
      </c>
      <c r="F82" s="428" t="s">
        <v>381</v>
      </c>
      <c r="G82" s="429">
        <v>6959597</v>
      </c>
      <c r="H82" s="428" t="s">
        <v>624</v>
      </c>
      <c r="I82" s="428" t="s">
        <v>4249</v>
      </c>
    </row>
    <row r="83" spans="1:9">
      <c r="A83" s="427">
        <v>44773</v>
      </c>
      <c r="B83" s="428" t="s">
        <v>4246</v>
      </c>
      <c r="C83" s="428" t="s">
        <v>4279</v>
      </c>
      <c r="D83" s="428" t="s">
        <v>4277</v>
      </c>
      <c r="E83" s="428" t="s">
        <v>769</v>
      </c>
      <c r="F83" s="428" t="s">
        <v>4043</v>
      </c>
      <c r="G83" s="429">
        <v>18082090</v>
      </c>
      <c r="H83" s="428" t="s">
        <v>624</v>
      </c>
      <c r="I83" s="428" t="s">
        <v>4249</v>
      </c>
    </row>
    <row r="84" spans="1:9">
      <c r="A84" s="427">
        <v>44773</v>
      </c>
      <c r="B84" s="428" t="s">
        <v>4246</v>
      </c>
      <c r="C84" s="428" t="s">
        <v>4279</v>
      </c>
      <c r="D84" s="428" t="s">
        <v>4277</v>
      </c>
      <c r="E84" s="428" t="s">
        <v>769</v>
      </c>
      <c r="F84" s="428" t="s">
        <v>4045</v>
      </c>
      <c r="G84" s="429">
        <v>5109191</v>
      </c>
      <c r="H84" s="428" t="s">
        <v>624</v>
      </c>
      <c r="I84" s="428" t="s">
        <v>4249</v>
      </c>
    </row>
    <row r="85" spans="1:9">
      <c r="A85" s="427">
        <v>44773</v>
      </c>
      <c r="B85" s="428" t="s">
        <v>4246</v>
      </c>
      <c r="C85" s="428" t="s">
        <v>4279</v>
      </c>
      <c r="D85" s="428" t="s">
        <v>4277</v>
      </c>
      <c r="E85" s="428" t="s">
        <v>769</v>
      </c>
      <c r="F85" s="428" t="s">
        <v>4050</v>
      </c>
      <c r="G85" s="429">
        <v>54166214</v>
      </c>
      <c r="H85" s="428" t="s">
        <v>624</v>
      </c>
      <c r="I85" s="428" t="s">
        <v>4249</v>
      </c>
    </row>
    <row r="86" spans="1:9">
      <c r="A86" s="427">
        <v>44773</v>
      </c>
      <c r="B86" s="428" t="s">
        <v>4246</v>
      </c>
      <c r="C86" s="428" t="s">
        <v>4279</v>
      </c>
      <c r="D86" s="428" t="s">
        <v>4277</v>
      </c>
      <c r="E86" s="428" t="s">
        <v>769</v>
      </c>
      <c r="F86" s="428" t="s">
        <v>4052</v>
      </c>
      <c r="G86" s="429">
        <v>79141414</v>
      </c>
      <c r="H86" s="428" t="s">
        <v>624</v>
      </c>
      <c r="I86" s="428" t="s">
        <v>4249</v>
      </c>
    </row>
    <row r="87" spans="1:9">
      <c r="A87" s="427">
        <v>44773</v>
      </c>
      <c r="B87" s="428" t="s">
        <v>4246</v>
      </c>
      <c r="C87" s="428" t="s">
        <v>4279</v>
      </c>
      <c r="D87" s="428" t="s">
        <v>4277</v>
      </c>
      <c r="E87" s="428" t="s">
        <v>769</v>
      </c>
      <c r="F87" s="428" t="s">
        <v>4065</v>
      </c>
      <c r="G87" s="429">
        <v>216396134</v>
      </c>
      <c r="H87" s="428" t="s">
        <v>624</v>
      </c>
      <c r="I87" s="428" t="s">
        <v>4249</v>
      </c>
    </row>
    <row r="88" spans="1:9">
      <c r="A88" s="427">
        <v>44804</v>
      </c>
      <c r="B88" s="428" t="s">
        <v>4246</v>
      </c>
      <c r="C88" s="428" t="s">
        <v>4280</v>
      </c>
      <c r="D88" s="428" t="s">
        <v>4281</v>
      </c>
      <c r="E88" s="428" t="s">
        <v>769</v>
      </c>
      <c r="F88" s="428" t="s">
        <v>1005</v>
      </c>
      <c r="G88" s="429">
        <v>-231013262</v>
      </c>
      <c r="H88" s="428" t="s">
        <v>624</v>
      </c>
      <c r="I88" s="428" t="s">
        <v>4249</v>
      </c>
    </row>
    <row r="89" spans="1:9">
      <c r="A89" s="427">
        <v>44804</v>
      </c>
      <c r="B89" s="428" t="s">
        <v>4246</v>
      </c>
      <c r="C89" s="428" t="s">
        <v>4282</v>
      </c>
      <c r="D89" s="428" t="s">
        <v>4281</v>
      </c>
      <c r="E89" s="428" t="s">
        <v>769</v>
      </c>
      <c r="F89" s="428" t="s">
        <v>4037</v>
      </c>
      <c r="G89" s="429">
        <v>5000000</v>
      </c>
      <c r="H89" s="428" t="s">
        <v>624</v>
      </c>
      <c r="I89" s="428" t="s">
        <v>4249</v>
      </c>
    </row>
    <row r="90" spans="1:9">
      <c r="A90" s="427">
        <v>44804</v>
      </c>
      <c r="B90" s="428" t="s">
        <v>4246</v>
      </c>
      <c r="C90" s="428" t="s">
        <v>4283</v>
      </c>
      <c r="D90" s="428" t="s">
        <v>4281</v>
      </c>
      <c r="E90" s="428" t="s">
        <v>769</v>
      </c>
      <c r="F90" s="428" t="s">
        <v>378</v>
      </c>
      <c r="G90" s="429">
        <v>550337846</v>
      </c>
      <c r="H90" s="428" t="s">
        <v>624</v>
      </c>
      <c r="I90" s="428" t="s">
        <v>4249</v>
      </c>
    </row>
    <row r="91" spans="1:9">
      <c r="A91" s="427">
        <v>44804</v>
      </c>
      <c r="B91" s="428" t="s">
        <v>4246</v>
      </c>
      <c r="C91" s="428" t="s">
        <v>4283</v>
      </c>
      <c r="D91" s="428" t="s">
        <v>4281</v>
      </c>
      <c r="E91" s="428" t="s">
        <v>769</v>
      </c>
      <c r="F91" s="428" t="s">
        <v>379</v>
      </c>
      <c r="G91" s="429">
        <v>16262000</v>
      </c>
      <c r="H91" s="428" t="s">
        <v>624</v>
      </c>
      <c r="I91" s="428" t="s">
        <v>4249</v>
      </c>
    </row>
    <row r="92" spans="1:9">
      <c r="A92" s="427">
        <v>44804</v>
      </c>
      <c r="B92" s="428" t="s">
        <v>4246</v>
      </c>
      <c r="C92" s="428" t="s">
        <v>4283</v>
      </c>
      <c r="D92" s="428" t="s">
        <v>4281</v>
      </c>
      <c r="E92" s="428" t="s">
        <v>769</v>
      </c>
      <c r="F92" s="428" t="s">
        <v>381</v>
      </c>
      <c r="G92" s="429">
        <v>27013631</v>
      </c>
      <c r="H92" s="428" t="s">
        <v>624</v>
      </c>
      <c r="I92" s="428" t="s">
        <v>4249</v>
      </c>
    </row>
    <row r="93" spans="1:9">
      <c r="A93" s="427">
        <v>44804</v>
      </c>
      <c r="B93" s="428" t="s">
        <v>4246</v>
      </c>
      <c r="C93" s="428" t="s">
        <v>4283</v>
      </c>
      <c r="D93" s="428" t="s">
        <v>4281</v>
      </c>
      <c r="E93" s="428" t="s">
        <v>769</v>
      </c>
      <c r="F93" s="428" t="s">
        <v>4043</v>
      </c>
      <c r="G93" s="429">
        <v>18082090</v>
      </c>
      <c r="H93" s="428" t="s">
        <v>624</v>
      </c>
      <c r="I93" s="428" t="s">
        <v>4249</v>
      </c>
    </row>
    <row r="94" spans="1:9">
      <c r="A94" s="427">
        <v>44804</v>
      </c>
      <c r="B94" s="428" t="s">
        <v>4246</v>
      </c>
      <c r="C94" s="428" t="s">
        <v>4283</v>
      </c>
      <c r="D94" s="428" t="s">
        <v>4281</v>
      </c>
      <c r="E94" s="428" t="s">
        <v>769</v>
      </c>
      <c r="F94" s="428" t="s">
        <v>4045</v>
      </c>
      <c r="G94" s="429">
        <v>5109191</v>
      </c>
      <c r="H94" s="428" t="s">
        <v>624</v>
      </c>
      <c r="I94" s="428" t="s">
        <v>4249</v>
      </c>
    </row>
    <row r="95" spans="1:9">
      <c r="A95" s="427">
        <v>44804</v>
      </c>
      <c r="B95" s="428" t="s">
        <v>4246</v>
      </c>
      <c r="C95" s="428" t="s">
        <v>4283</v>
      </c>
      <c r="D95" s="428" t="s">
        <v>4281</v>
      </c>
      <c r="E95" s="428" t="s">
        <v>769</v>
      </c>
      <c r="F95" s="428" t="s">
        <v>4050</v>
      </c>
      <c r="G95" s="429">
        <v>62277487</v>
      </c>
      <c r="H95" s="428" t="s">
        <v>624</v>
      </c>
      <c r="I95" s="428" t="s">
        <v>4249</v>
      </c>
    </row>
    <row r="96" spans="1:9">
      <c r="A96" s="427">
        <v>44804</v>
      </c>
      <c r="B96" s="428" t="s">
        <v>4246</v>
      </c>
      <c r="C96" s="428" t="s">
        <v>4283</v>
      </c>
      <c r="D96" s="428" t="s">
        <v>4281</v>
      </c>
      <c r="E96" s="428" t="s">
        <v>769</v>
      </c>
      <c r="F96" s="428" t="s">
        <v>4052</v>
      </c>
      <c r="G96" s="429">
        <v>124141414</v>
      </c>
      <c r="H96" s="428" t="s">
        <v>624</v>
      </c>
      <c r="I96" s="428" t="s">
        <v>4249</v>
      </c>
    </row>
    <row r="97" spans="1:9">
      <c r="A97" s="427">
        <v>44804</v>
      </c>
      <c r="B97" s="428" t="s">
        <v>4246</v>
      </c>
      <c r="C97" s="428" t="s">
        <v>4283</v>
      </c>
      <c r="D97" s="428" t="s">
        <v>4281</v>
      </c>
      <c r="E97" s="428" t="s">
        <v>769</v>
      </c>
      <c r="F97" s="428" t="s">
        <v>4057</v>
      </c>
      <c r="G97" s="429">
        <v>1560000</v>
      </c>
      <c r="H97" s="428" t="s">
        <v>624</v>
      </c>
      <c r="I97" s="428" t="s">
        <v>4249</v>
      </c>
    </row>
    <row r="98" spans="1:9">
      <c r="A98" s="427">
        <v>44804</v>
      </c>
      <c r="B98" s="428" t="s">
        <v>4246</v>
      </c>
      <c r="C98" s="428" t="s">
        <v>4283</v>
      </c>
      <c r="D98" s="428" t="s">
        <v>4281</v>
      </c>
      <c r="E98" s="428" t="s">
        <v>769</v>
      </c>
      <c r="F98" s="428" t="s">
        <v>4061</v>
      </c>
      <c r="G98" s="429">
        <v>7790100</v>
      </c>
      <c r="H98" s="428" t="s">
        <v>624</v>
      </c>
      <c r="I98" s="428" t="s">
        <v>4249</v>
      </c>
    </row>
    <row r="99" spans="1:9">
      <c r="A99" s="427">
        <v>44804</v>
      </c>
      <c r="B99" s="428" t="s">
        <v>4246</v>
      </c>
      <c r="C99" s="428" t="s">
        <v>4283</v>
      </c>
      <c r="D99" s="428" t="s">
        <v>4281</v>
      </c>
      <c r="E99" s="428" t="s">
        <v>769</v>
      </c>
      <c r="F99" s="428" t="s">
        <v>4063</v>
      </c>
      <c r="G99" s="429">
        <v>110000</v>
      </c>
      <c r="H99" s="428" t="s">
        <v>624</v>
      </c>
      <c r="I99" s="428" t="s">
        <v>4249</v>
      </c>
    </row>
    <row r="100" spans="1:9">
      <c r="A100" s="427">
        <v>44804</v>
      </c>
      <c r="B100" s="428" t="s">
        <v>4246</v>
      </c>
      <c r="C100" s="428" t="s">
        <v>4283</v>
      </c>
      <c r="D100" s="428" t="s">
        <v>4281</v>
      </c>
      <c r="E100" s="428" t="s">
        <v>769</v>
      </c>
      <c r="F100" s="428" t="s">
        <v>4065</v>
      </c>
      <c r="G100" s="429">
        <v>-309129219</v>
      </c>
      <c r="H100" s="428" t="s">
        <v>624</v>
      </c>
      <c r="I100" s="428" t="s">
        <v>4249</v>
      </c>
    </row>
    <row r="101" spans="1:9">
      <c r="A101" s="427">
        <v>44834</v>
      </c>
      <c r="B101" s="428" t="s">
        <v>4246</v>
      </c>
      <c r="C101" s="428" t="s">
        <v>4284</v>
      </c>
      <c r="D101" s="428" t="s">
        <v>4285</v>
      </c>
      <c r="E101" s="428" t="s">
        <v>769</v>
      </c>
      <c r="F101" s="428" t="s">
        <v>1005</v>
      </c>
      <c r="G101" s="429">
        <v>2707212386</v>
      </c>
      <c r="H101" s="428" t="s">
        <v>624</v>
      </c>
      <c r="I101" s="428" t="s">
        <v>4249</v>
      </c>
    </row>
    <row r="102" spans="1:9">
      <c r="A102" s="427">
        <v>44834</v>
      </c>
      <c r="B102" s="428" t="s">
        <v>4246</v>
      </c>
      <c r="C102" s="428" t="s">
        <v>4286</v>
      </c>
      <c r="D102" s="428" t="s">
        <v>4285</v>
      </c>
      <c r="E102" s="428" t="s">
        <v>769</v>
      </c>
      <c r="F102" s="428" t="s">
        <v>4037</v>
      </c>
      <c r="G102" s="429">
        <v>5000000</v>
      </c>
      <c r="H102" s="428" t="s">
        <v>624</v>
      </c>
      <c r="I102" s="428" t="s">
        <v>4249</v>
      </c>
    </row>
    <row r="103" spans="1:9">
      <c r="A103" s="427">
        <v>44834</v>
      </c>
      <c r="B103" s="428" t="s">
        <v>4246</v>
      </c>
      <c r="C103" s="428" t="s">
        <v>4287</v>
      </c>
      <c r="D103" s="428" t="s">
        <v>4285</v>
      </c>
      <c r="E103" s="428" t="s">
        <v>769</v>
      </c>
      <c r="F103" s="428" t="s">
        <v>378</v>
      </c>
      <c r="G103" s="429">
        <v>309571419</v>
      </c>
      <c r="H103" s="428" t="s">
        <v>624</v>
      </c>
      <c r="I103" s="428" t="s">
        <v>4249</v>
      </c>
    </row>
    <row r="104" spans="1:9">
      <c r="A104" s="427">
        <v>44834</v>
      </c>
      <c r="B104" s="428" t="s">
        <v>4246</v>
      </c>
      <c r="C104" s="428" t="s">
        <v>4287</v>
      </c>
      <c r="D104" s="428" t="s">
        <v>4285</v>
      </c>
      <c r="E104" s="428" t="s">
        <v>769</v>
      </c>
      <c r="F104" s="428" t="s">
        <v>379</v>
      </c>
      <c r="G104" s="429">
        <v>22632000</v>
      </c>
      <c r="H104" s="428" t="s">
        <v>624</v>
      </c>
      <c r="I104" s="428" t="s">
        <v>4249</v>
      </c>
    </row>
    <row r="105" spans="1:9">
      <c r="A105" s="427">
        <v>44834</v>
      </c>
      <c r="B105" s="428" t="s">
        <v>4246</v>
      </c>
      <c r="C105" s="428" t="s">
        <v>4287</v>
      </c>
      <c r="D105" s="428" t="s">
        <v>4285</v>
      </c>
      <c r="E105" s="428" t="s">
        <v>769</v>
      </c>
      <c r="F105" s="428" t="s">
        <v>381</v>
      </c>
      <c r="G105" s="429">
        <v>23326813</v>
      </c>
      <c r="H105" s="428" t="s">
        <v>624</v>
      </c>
      <c r="I105" s="428" t="s">
        <v>4249</v>
      </c>
    </row>
    <row r="106" spans="1:9">
      <c r="A106" s="427">
        <v>44834</v>
      </c>
      <c r="B106" s="428" t="s">
        <v>4246</v>
      </c>
      <c r="C106" s="428" t="s">
        <v>4287</v>
      </c>
      <c r="D106" s="428" t="s">
        <v>4285</v>
      </c>
      <c r="E106" s="428" t="s">
        <v>769</v>
      </c>
      <c r="F106" s="428" t="s">
        <v>4043</v>
      </c>
      <c r="G106" s="429">
        <v>18082090</v>
      </c>
      <c r="H106" s="428" t="s">
        <v>624</v>
      </c>
      <c r="I106" s="428" t="s">
        <v>4249</v>
      </c>
    </row>
    <row r="107" spans="1:9">
      <c r="A107" s="427">
        <v>44834</v>
      </c>
      <c r="B107" s="428" t="s">
        <v>4246</v>
      </c>
      <c r="C107" s="428" t="s">
        <v>4287</v>
      </c>
      <c r="D107" s="428" t="s">
        <v>4285</v>
      </c>
      <c r="E107" s="428" t="s">
        <v>769</v>
      </c>
      <c r="F107" s="428" t="s">
        <v>4045</v>
      </c>
      <c r="G107" s="429">
        <v>5109191</v>
      </c>
      <c r="H107" s="428" t="s">
        <v>624</v>
      </c>
      <c r="I107" s="428" t="s">
        <v>4249</v>
      </c>
    </row>
    <row r="108" spans="1:9">
      <c r="A108" s="427">
        <v>44834</v>
      </c>
      <c r="B108" s="428" t="s">
        <v>4246</v>
      </c>
      <c r="C108" s="428" t="s">
        <v>4287</v>
      </c>
      <c r="D108" s="428" t="s">
        <v>4285</v>
      </c>
      <c r="E108" s="428" t="s">
        <v>769</v>
      </c>
      <c r="F108" s="428" t="s">
        <v>4050</v>
      </c>
      <c r="G108" s="429">
        <v>54166214</v>
      </c>
      <c r="H108" s="428" t="s">
        <v>624</v>
      </c>
      <c r="I108" s="428" t="s">
        <v>4249</v>
      </c>
    </row>
    <row r="109" spans="1:9">
      <c r="A109" s="427">
        <v>44834</v>
      </c>
      <c r="B109" s="428" t="s">
        <v>4246</v>
      </c>
      <c r="C109" s="428" t="s">
        <v>4287</v>
      </c>
      <c r="D109" s="428" t="s">
        <v>4285</v>
      </c>
      <c r="E109" s="428" t="s">
        <v>769</v>
      </c>
      <c r="F109" s="428" t="s">
        <v>4065</v>
      </c>
      <c r="G109" s="429">
        <v>304101779</v>
      </c>
      <c r="H109" s="428" t="s">
        <v>624</v>
      </c>
      <c r="I109" s="428" t="s">
        <v>4249</v>
      </c>
    </row>
    <row r="110" spans="1:9">
      <c r="A110" s="427">
        <v>44834</v>
      </c>
      <c r="B110" s="428" t="s">
        <v>4246</v>
      </c>
      <c r="C110" s="428" t="s">
        <v>4287</v>
      </c>
      <c r="D110" s="428" t="s">
        <v>4285</v>
      </c>
      <c r="E110" s="428" t="s">
        <v>769</v>
      </c>
      <c r="F110" s="428" t="s">
        <v>440</v>
      </c>
      <c r="G110" s="429">
        <v>23400000</v>
      </c>
      <c r="H110" s="428" t="s">
        <v>624</v>
      </c>
      <c r="I110" s="428" t="s">
        <v>4249</v>
      </c>
    </row>
    <row r="111" spans="1:9">
      <c r="A111" s="427">
        <v>44834</v>
      </c>
      <c r="B111" s="428" t="s">
        <v>4246</v>
      </c>
      <c r="C111" s="428" t="s">
        <v>4287</v>
      </c>
      <c r="D111" s="428" t="s">
        <v>4285</v>
      </c>
      <c r="E111" s="428" t="s">
        <v>769</v>
      </c>
      <c r="F111" s="428" t="s">
        <v>4052</v>
      </c>
      <c r="G111" s="429">
        <v>79141414</v>
      </c>
      <c r="H111" s="428" t="s">
        <v>624</v>
      </c>
      <c r="I111" s="428" t="s">
        <v>4249</v>
      </c>
    </row>
    <row r="112" spans="1:9">
      <c r="A112" s="427">
        <v>44865</v>
      </c>
      <c r="B112" s="428" t="s">
        <v>4246</v>
      </c>
      <c r="C112" s="428" t="s">
        <v>4288</v>
      </c>
      <c r="D112" s="428" t="s">
        <v>4289</v>
      </c>
      <c r="E112" s="428" t="s">
        <v>769</v>
      </c>
      <c r="F112" s="428" t="s">
        <v>1005</v>
      </c>
      <c r="G112" s="429">
        <v>2179057697</v>
      </c>
      <c r="H112" s="428" t="s">
        <v>624</v>
      </c>
      <c r="I112" s="428" t="s">
        <v>4249</v>
      </c>
    </row>
    <row r="113" spans="1:9">
      <c r="A113" s="427">
        <v>44865</v>
      </c>
      <c r="B113" s="428" t="s">
        <v>4246</v>
      </c>
      <c r="C113" s="428" t="s">
        <v>4290</v>
      </c>
      <c r="D113" s="428" t="s">
        <v>4289</v>
      </c>
      <c r="E113" s="428" t="s">
        <v>769</v>
      </c>
      <c r="F113" s="428" t="s">
        <v>4037</v>
      </c>
      <c r="G113" s="429">
        <v>5000000</v>
      </c>
      <c r="H113" s="428" t="s">
        <v>624</v>
      </c>
      <c r="I113" s="428" t="s">
        <v>4249</v>
      </c>
    </row>
    <row r="114" spans="1:9">
      <c r="A114" s="427">
        <v>44865</v>
      </c>
      <c r="B114" s="428" t="s">
        <v>4246</v>
      </c>
      <c r="C114" s="428" t="s">
        <v>4291</v>
      </c>
      <c r="D114" s="428" t="s">
        <v>4289</v>
      </c>
      <c r="E114" s="428" t="s">
        <v>769</v>
      </c>
      <c r="F114" s="428" t="s">
        <v>378</v>
      </c>
      <c r="G114" s="429">
        <v>385580053</v>
      </c>
      <c r="H114" s="428" t="s">
        <v>624</v>
      </c>
      <c r="I114" s="428" t="s">
        <v>4249</v>
      </c>
    </row>
    <row r="115" spans="1:9">
      <c r="A115" s="427">
        <v>44865</v>
      </c>
      <c r="B115" s="428" t="s">
        <v>4246</v>
      </c>
      <c r="C115" s="428" t="s">
        <v>4291</v>
      </c>
      <c r="D115" s="428" t="s">
        <v>4289</v>
      </c>
      <c r="E115" s="428" t="s">
        <v>769</v>
      </c>
      <c r="F115" s="428" t="s">
        <v>505</v>
      </c>
      <c r="G115" s="429">
        <v>23175818</v>
      </c>
      <c r="H115" s="428" t="s">
        <v>624</v>
      </c>
      <c r="I115" s="428" t="s">
        <v>4249</v>
      </c>
    </row>
    <row r="116" spans="1:9">
      <c r="A116" s="427">
        <v>44865</v>
      </c>
      <c r="B116" s="428" t="s">
        <v>4246</v>
      </c>
      <c r="C116" s="428" t="s">
        <v>4291</v>
      </c>
      <c r="D116" s="428" t="s">
        <v>4289</v>
      </c>
      <c r="E116" s="428" t="s">
        <v>769</v>
      </c>
      <c r="F116" s="428" t="s">
        <v>379</v>
      </c>
      <c r="G116" s="429">
        <v>24710050</v>
      </c>
      <c r="H116" s="428" t="s">
        <v>624</v>
      </c>
      <c r="I116" s="428" t="s">
        <v>4249</v>
      </c>
    </row>
    <row r="117" spans="1:9">
      <c r="A117" s="427">
        <v>44865</v>
      </c>
      <c r="B117" s="428" t="s">
        <v>4246</v>
      </c>
      <c r="C117" s="428" t="s">
        <v>4291</v>
      </c>
      <c r="D117" s="428" t="s">
        <v>4289</v>
      </c>
      <c r="E117" s="428" t="s">
        <v>769</v>
      </c>
      <c r="F117" s="428" t="s">
        <v>381</v>
      </c>
      <c r="G117" s="429">
        <v>86473146</v>
      </c>
      <c r="H117" s="428" t="s">
        <v>624</v>
      </c>
      <c r="I117" s="428" t="s">
        <v>4249</v>
      </c>
    </row>
    <row r="118" spans="1:9">
      <c r="A118" s="427">
        <v>44865</v>
      </c>
      <c r="B118" s="428" t="s">
        <v>4246</v>
      </c>
      <c r="C118" s="428" t="s">
        <v>4291</v>
      </c>
      <c r="D118" s="428" t="s">
        <v>4289</v>
      </c>
      <c r="E118" s="428" t="s">
        <v>769</v>
      </c>
      <c r="F118" s="428" t="s">
        <v>4043</v>
      </c>
      <c r="G118" s="429">
        <v>43097021</v>
      </c>
      <c r="H118" s="428" t="s">
        <v>624</v>
      </c>
      <c r="I118" s="428" t="s">
        <v>4249</v>
      </c>
    </row>
    <row r="119" spans="1:9">
      <c r="A119" s="427">
        <v>44865</v>
      </c>
      <c r="B119" s="428" t="s">
        <v>4246</v>
      </c>
      <c r="C119" s="428" t="s">
        <v>4291</v>
      </c>
      <c r="D119" s="428" t="s">
        <v>4289</v>
      </c>
      <c r="E119" s="428" t="s">
        <v>769</v>
      </c>
      <c r="F119" s="428" t="s">
        <v>4045</v>
      </c>
      <c r="G119" s="429">
        <v>6840024</v>
      </c>
      <c r="H119" s="428" t="s">
        <v>624</v>
      </c>
      <c r="I119" s="428" t="s">
        <v>4249</v>
      </c>
    </row>
    <row r="120" spans="1:9">
      <c r="A120" s="427">
        <v>44865</v>
      </c>
      <c r="B120" s="428" t="s">
        <v>4246</v>
      </c>
      <c r="C120" s="428" t="s">
        <v>4291</v>
      </c>
      <c r="D120" s="428" t="s">
        <v>4289</v>
      </c>
      <c r="E120" s="428" t="s">
        <v>769</v>
      </c>
      <c r="F120" s="428" t="s">
        <v>384</v>
      </c>
      <c r="G120" s="429">
        <v>2877800</v>
      </c>
      <c r="H120" s="428" t="s">
        <v>624</v>
      </c>
      <c r="I120" s="428" t="s">
        <v>4249</v>
      </c>
    </row>
    <row r="121" spans="1:9">
      <c r="A121" s="427">
        <v>44865</v>
      </c>
      <c r="B121" s="428" t="s">
        <v>4246</v>
      </c>
      <c r="C121" s="428" t="s">
        <v>4291</v>
      </c>
      <c r="D121" s="428" t="s">
        <v>4289</v>
      </c>
      <c r="E121" s="428" t="s">
        <v>769</v>
      </c>
      <c r="F121" s="428" t="s">
        <v>386</v>
      </c>
      <c r="G121" s="429">
        <v>18363636</v>
      </c>
      <c r="H121" s="428" t="s">
        <v>624</v>
      </c>
      <c r="I121" s="428" t="s">
        <v>4249</v>
      </c>
    </row>
    <row r="122" spans="1:9">
      <c r="A122" s="427">
        <v>44865</v>
      </c>
      <c r="B122" s="428" t="s">
        <v>4246</v>
      </c>
      <c r="C122" s="428" t="s">
        <v>4291</v>
      </c>
      <c r="D122" s="428" t="s">
        <v>4289</v>
      </c>
      <c r="E122" s="428" t="s">
        <v>769</v>
      </c>
      <c r="F122" s="428" t="s">
        <v>4048</v>
      </c>
      <c r="G122" s="429">
        <v>358646</v>
      </c>
      <c r="H122" s="428" t="s">
        <v>624</v>
      </c>
      <c r="I122" s="428" t="s">
        <v>4249</v>
      </c>
    </row>
    <row r="123" spans="1:9">
      <c r="A123" s="427">
        <v>44865</v>
      </c>
      <c r="B123" s="428" t="s">
        <v>4246</v>
      </c>
      <c r="C123" s="428" t="s">
        <v>4291</v>
      </c>
      <c r="D123" s="428" t="s">
        <v>4289</v>
      </c>
      <c r="E123" s="428" t="s">
        <v>769</v>
      </c>
      <c r="F123" s="428" t="s">
        <v>4050</v>
      </c>
      <c r="G123" s="429">
        <v>62460578</v>
      </c>
      <c r="H123" s="428" t="s">
        <v>624</v>
      </c>
      <c r="I123" s="428" t="s">
        <v>4249</v>
      </c>
    </row>
    <row r="124" spans="1:9">
      <c r="A124" s="427">
        <v>44865</v>
      </c>
      <c r="B124" s="428" t="s">
        <v>4246</v>
      </c>
      <c r="C124" s="428" t="s">
        <v>4291</v>
      </c>
      <c r="D124" s="428" t="s">
        <v>4289</v>
      </c>
      <c r="E124" s="428" t="s">
        <v>769</v>
      </c>
      <c r="F124" s="428" t="s">
        <v>4052</v>
      </c>
      <c r="G124" s="429">
        <v>5</v>
      </c>
      <c r="H124" s="428" t="s">
        <v>624</v>
      </c>
      <c r="I124" s="428" t="s">
        <v>4249</v>
      </c>
    </row>
    <row r="125" spans="1:9">
      <c r="A125" s="427">
        <v>44865</v>
      </c>
      <c r="B125" s="428" t="s">
        <v>4246</v>
      </c>
      <c r="C125" s="428" t="s">
        <v>4291</v>
      </c>
      <c r="D125" s="428" t="s">
        <v>4289</v>
      </c>
      <c r="E125" s="428" t="s">
        <v>769</v>
      </c>
      <c r="F125" s="428" t="s">
        <v>4054</v>
      </c>
      <c r="G125" s="429">
        <v>4492333</v>
      </c>
      <c r="H125" s="428" t="s">
        <v>624</v>
      </c>
      <c r="I125" s="428" t="s">
        <v>4249</v>
      </c>
    </row>
    <row r="126" spans="1:9">
      <c r="A126" s="427">
        <v>44865</v>
      </c>
      <c r="B126" s="428" t="s">
        <v>4246</v>
      </c>
      <c r="C126" s="428" t="s">
        <v>4291</v>
      </c>
      <c r="D126" s="428" t="s">
        <v>4289</v>
      </c>
      <c r="E126" s="428" t="s">
        <v>769</v>
      </c>
      <c r="F126" s="428" t="s">
        <v>4056</v>
      </c>
      <c r="G126" s="429">
        <v>5000000</v>
      </c>
      <c r="H126" s="428" t="s">
        <v>624</v>
      </c>
      <c r="I126" s="428" t="s">
        <v>4249</v>
      </c>
    </row>
    <row r="127" spans="1:9">
      <c r="A127" s="427">
        <v>44865</v>
      </c>
      <c r="B127" s="428" t="s">
        <v>4246</v>
      </c>
      <c r="C127" s="428" t="s">
        <v>4291</v>
      </c>
      <c r="D127" s="428" t="s">
        <v>4289</v>
      </c>
      <c r="E127" s="428" t="s">
        <v>769</v>
      </c>
      <c r="F127" s="428" t="s">
        <v>4057</v>
      </c>
      <c r="G127" s="429">
        <v>480000</v>
      </c>
      <c r="H127" s="428" t="s">
        <v>624</v>
      </c>
      <c r="I127" s="428" t="s">
        <v>4249</v>
      </c>
    </row>
    <row r="128" spans="1:9">
      <c r="A128" s="427">
        <v>44865</v>
      </c>
      <c r="B128" s="428" t="s">
        <v>4246</v>
      </c>
      <c r="C128" s="428" t="s">
        <v>4291</v>
      </c>
      <c r="D128" s="428" t="s">
        <v>4289</v>
      </c>
      <c r="E128" s="428" t="s">
        <v>769</v>
      </c>
      <c r="F128" s="428" t="s">
        <v>4063</v>
      </c>
      <c r="G128" s="429">
        <v>183838</v>
      </c>
      <c r="H128" s="428" t="s">
        <v>624</v>
      </c>
      <c r="I128" s="428" t="s">
        <v>4249</v>
      </c>
    </row>
    <row r="129" spans="1:9">
      <c r="A129" s="427">
        <v>44865</v>
      </c>
      <c r="B129" s="428" t="s">
        <v>4246</v>
      </c>
      <c r="C129" s="428" t="s">
        <v>4291</v>
      </c>
      <c r="D129" s="428" t="s">
        <v>4289</v>
      </c>
      <c r="E129" s="428" t="s">
        <v>769</v>
      </c>
      <c r="F129" s="428" t="s">
        <v>4065</v>
      </c>
      <c r="G129" s="429">
        <v>126924397</v>
      </c>
      <c r="H129" s="428" t="s">
        <v>624</v>
      </c>
      <c r="I129" s="428" t="s">
        <v>4249</v>
      </c>
    </row>
    <row r="130" spans="1:9">
      <c r="A130" s="427">
        <v>44895</v>
      </c>
      <c r="B130" s="428" t="s">
        <v>4246</v>
      </c>
      <c r="C130" s="428" t="s">
        <v>4292</v>
      </c>
      <c r="D130" s="428" t="s">
        <v>4293</v>
      </c>
      <c r="E130" s="428" t="s">
        <v>769</v>
      </c>
      <c r="F130" s="428" t="s">
        <v>1005</v>
      </c>
      <c r="G130" s="429">
        <v>2114214840.95</v>
      </c>
      <c r="H130" s="428" t="s">
        <v>624</v>
      </c>
      <c r="I130" s="428" t="s">
        <v>4249</v>
      </c>
    </row>
    <row r="131" spans="1:9">
      <c r="A131" s="427">
        <v>44895</v>
      </c>
      <c r="B131" s="428" t="s">
        <v>4246</v>
      </c>
      <c r="C131" s="428" t="s">
        <v>4294</v>
      </c>
      <c r="D131" s="428" t="s">
        <v>4293</v>
      </c>
      <c r="E131" s="428" t="s">
        <v>769</v>
      </c>
      <c r="F131" s="428" t="s">
        <v>4029</v>
      </c>
      <c r="G131" s="429">
        <v>723603840</v>
      </c>
      <c r="H131" s="428" t="s">
        <v>624</v>
      </c>
      <c r="I131" s="428" t="s">
        <v>4249</v>
      </c>
    </row>
    <row r="132" spans="1:9">
      <c r="A132" s="427">
        <v>44895</v>
      </c>
      <c r="B132" s="428" t="s">
        <v>4246</v>
      </c>
      <c r="C132" s="428" t="s">
        <v>4295</v>
      </c>
      <c r="D132" s="428" t="s">
        <v>4293</v>
      </c>
      <c r="E132" s="428" t="s">
        <v>769</v>
      </c>
      <c r="F132" s="428" t="s">
        <v>4031</v>
      </c>
      <c r="G132" s="429">
        <v>10000000</v>
      </c>
      <c r="H132" s="428" t="s">
        <v>624</v>
      </c>
      <c r="I132" s="428" t="s">
        <v>4249</v>
      </c>
    </row>
    <row r="133" spans="1:9">
      <c r="A133" s="427">
        <v>44895</v>
      </c>
      <c r="B133" s="428" t="s">
        <v>4246</v>
      </c>
      <c r="C133" s="428" t="s">
        <v>4296</v>
      </c>
      <c r="D133" s="428" t="s">
        <v>4293</v>
      </c>
      <c r="E133" s="428" t="s">
        <v>769</v>
      </c>
      <c r="F133" s="428" t="s">
        <v>4037</v>
      </c>
      <c r="G133" s="429">
        <v>5000000</v>
      </c>
      <c r="H133" s="428" t="s">
        <v>624</v>
      </c>
      <c r="I133" s="428" t="s">
        <v>4249</v>
      </c>
    </row>
    <row r="134" spans="1:9">
      <c r="A134" s="427">
        <v>44895</v>
      </c>
      <c r="B134" s="428" t="s">
        <v>4246</v>
      </c>
      <c r="C134" s="428" t="s">
        <v>4297</v>
      </c>
      <c r="D134" s="428" t="s">
        <v>4293</v>
      </c>
      <c r="E134" s="428" t="s">
        <v>769</v>
      </c>
      <c r="F134" s="428" t="s">
        <v>378</v>
      </c>
      <c r="G134" s="429">
        <v>419467210</v>
      </c>
      <c r="H134" s="428" t="s">
        <v>624</v>
      </c>
      <c r="I134" s="428" t="s">
        <v>4249</v>
      </c>
    </row>
    <row r="135" spans="1:9">
      <c r="A135" s="427">
        <v>44895</v>
      </c>
      <c r="B135" s="428" t="s">
        <v>4246</v>
      </c>
      <c r="C135" s="428" t="s">
        <v>4297</v>
      </c>
      <c r="D135" s="428" t="s">
        <v>4293</v>
      </c>
      <c r="E135" s="428" t="s">
        <v>769</v>
      </c>
      <c r="F135" s="428" t="s">
        <v>379</v>
      </c>
      <c r="G135" s="429">
        <v>31418050</v>
      </c>
      <c r="H135" s="428" t="s">
        <v>624</v>
      </c>
      <c r="I135" s="428" t="s">
        <v>4249</v>
      </c>
    </row>
    <row r="136" spans="1:9">
      <c r="A136" s="427">
        <v>44895</v>
      </c>
      <c r="B136" s="428" t="s">
        <v>4246</v>
      </c>
      <c r="C136" s="428" t="s">
        <v>4297</v>
      </c>
      <c r="D136" s="428" t="s">
        <v>4293</v>
      </c>
      <c r="E136" s="428" t="s">
        <v>769</v>
      </c>
      <c r="F136" s="428" t="s">
        <v>505</v>
      </c>
      <c r="G136" s="429">
        <v>2420370</v>
      </c>
      <c r="H136" s="428" t="s">
        <v>624</v>
      </c>
      <c r="I136" s="428" t="s">
        <v>4249</v>
      </c>
    </row>
    <row r="137" spans="1:9">
      <c r="A137" s="427">
        <v>44895</v>
      </c>
      <c r="B137" s="428" t="s">
        <v>4246</v>
      </c>
      <c r="C137" s="428" t="s">
        <v>4297</v>
      </c>
      <c r="D137" s="428" t="s">
        <v>4293</v>
      </c>
      <c r="E137" s="428" t="s">
        <v>769</v>
      </c>
      <c r="F137" s="428" t="s">
        <v>381</v>
      </c>
      <c r="G137" s="429">
        <v>123558134</v>
      </c>
      <c r="H137" s="428" t="s">
        <v>624</v>
      </c>
      <c r="I137" s="428" t="s">
        <v>4249</v>
      </c>
    </row>
    <row r="138" spans="1:9">
      <c r="A138" s="427">
        <v>44895</v>
      </c>
      <c r="B138" s="428" t="s">
        <v>4246</v>
      </c>
      <c r="C138" s="428" t="s">
        <v>4297</v>
      </c>
      <c r="D138" s="428" t="s">
        <v>4293</v>
      </c>
      <c r="E138" s="428" t="s">
        <v>769</v>
      </c>
      <c r="F138" s="428" t="s">
        <v>4043</v>
      </c>
      <c r="G138" s="429">
        <v>61959123</v>
      </c>
      <c r="H138" s="428" t="s">
        <v>624</v>
      </c>
      <c r="I138" s="428" t="s">
        <v>4249</v>
      </c>
    </row>
    <row r="139" spans="1:9">
      <c r="A139" s="427">
        <v>44895</v>
      </c>
      <c r="B139" s="428" t="s">
        <v>4246</v>
      </c>
      <c r="C139" s="428" t="s">
        <v>4297</v>
      </c>
      <c r="D139" s="428" t="s">
        <v>4293</v>
      </c>
      <c r="E139" s="428" t="s">
        <v>769</v>
      </c>
      <c r="F139" s="428" t="s">
        <v>4045</v>
      </c>
      <c r="G139" s="429">
        <v>6840024</v>
      </c>
      <c r="H139" s="428" t="s">
        <v>624</v>
      </c>
      <c r="I139" s="428" t="s">
        <v>4249</v>
      </c>
    </row>
    <row r="140" spans="1:9">
      <c r="A140" s="427">
        <v>44895</v>
      </c>
      <c r="B140" s="428" t="s">
        <v>4246</v>
      </c>
      <c r="C140" s="428" t="s">
        <v>4297</v>
      </c>
      <c r="D140" s="428" t="s">
        <v>4293</v>
      </c>
      <c r="E140" s="428" t="s">
        <v>769</v>
      </c>
      <c r="F140" s="428" t="s">
        <v>384</v>
      </c>
      <c r="G140" s="429">
        <v>1705800</v>
      </c>
      <c r="H140" s="428" t="s">
        <v>624</v>
      </c>
      <c r="I140" s="428" t="s">
        <v>4249</v>
      </c>
    </row>
    <row r="141" spans="1:9">
      <c r="A141" s="427">
        <v>44895</v>
      </c>
      <c r="B141" s="428" t="s">
        <v>4246</v>
      </c>
      <c r="C141" s="428" t="s">
        <v>4297</v>
      </c>
      <c r="D141" s="428" t="s">
        <v>4293</v>
      </c>
      <c r="E141" s="428" t="s">
        <v>769</v>
      </c>
      <c r="F141" s="428" t="s">
        <v>386</v>
      </c>
      <c r="G141" s="429">
        <v>18295592</v>
      </c>
      <c r="H141" s="428" t="s">
        <v>624</v>
      </c>
      <c r="I141" s="428" t="s">
        <v>4249</v>
      </c>
    </row>
    <row r="142" spans="1:9">
      <c r="A142" s="427">
        <v>44895</v>
      </c>
      <c r="B142" s="428" t="s">
        <v>4246</v>
      </c>
      <c r="C142" s="428" t="s">
        <v>4297</v>
      </c>
      <c r="D142" s="428" t="s">
        <v>4293</v>
      </c>
      <c r="E142" s="428" t="s">
        <v>769</v>
      </c>
      <c r="F142" s="428" t="s">
        <v>4048</v>
      </c>
      <c r="G142" s="429">
        <v>66538891</v>
      </c>
      <c r="H142" s="428" t="s">
        <v>624</v>
      </c>
      <c r="I142" s="428" t="s">
        <v>4249</v>
      </c>
    </row>
    <row r="143" spans="1:9">
      <c r="A143" s="427">
        <v>44895</v>
      </c>
      <c r="B143" s="428" t="s">
        <v>4246</v>
      </c>
      <c r="C143" s="428" t="s">
        <v>4297</v>
      </c>
      <c r="D143" s="428" t="s">
        <v>4293</v>
      </c>
      <c r="E143" s="428" t="s">
        <v>769</v>
      </c>
      <c r="F143" s="428" t="s">
        <v>4050</v>
      </c>
      <c r="G143" s="429">
        <v>62761468</v>
      </c>
      <c r="H143" s="428" t="s">
        <v>624</v>
      </c>
      <c r="I143" s="428" t="s">
        <v>4249</v>
      </c>
    </row>
    <row r="144" spans="1:9">
      <c r="A144" s="427">
        <v>44895</v>
      </c>
      <c r="B144" s="428" t="s">
        <v>4246</v>
      </c>
      <c r="C144" s="428" t="s">
        <v>4297</v>
      </c>
      <c r="D144" s="428" t="s">
        <v>4293</v>
      </c>
      <c r="E144" s="428" t="s">
        <v>769</v>
      </c>
      <c r="F144" s="428" t="s">
        <v>4052</v>
      </c>
      <c r="G144" s="429">
        <v>30000000</v>
      </c>
      <c r="H144" s="428" t="s">
        <v>624</v>
      </c>
      <c r="I144" s="428" t="s">
        <v>4249</v>
      </c>
    </row>
    <row r="145" spans="1:9">
      <c r="A145" s="427">
        <v>44895</v>
      </c>
      <c r="B145" s="428" t="s">
        <v>4246</v>
      </c>
      <c r="C145" s="428" t="s">
        <v>4297</v>
      </c>
      <c r="D145" s="428" t="s">
        <v>4293</v>
      </c>
      <c r="E145" s="428" t="s">
        <v>769</v>
      </c>
      <c r="F145" s="428" t="s">
        <v>4054</v>
      </c>
      <c r="G145" s="429">
        <v>20507314</v>
      </c>
      <c r="H145" s="428" t="s">
        <v>624</v>
      </c>
      <c r="I145" s="428" t="s">
        <v>4249</v>
      </c>
    </row>
    <row r="146" spans="1:9">
      <c r="A146" s="427">
        <v>44895</v>
      </c>
      <c r="B146" s="428" t="s">
        <v>4246</v>
      </c>
      <c r="C146" s="428" t="s">
        <v>4297</v>
      </c>
      <c r="D146" s="428" t="s">
        <v>4293</v>
      </c>
      <c r="E146" s="428" t="s">
        <v>769</v>
      </c>
      <c r="F146" s="428" t="s">
        <v>4056</v>
      </c>
      <c r="G146" s="429">
        <v>33956154</v>
      </c>
      <c r="H146" s="428" t="s">
        <v>624</v>
      </c>
      <c r="I146" s="428" t="s">
        <v>4249</v>
      </c>
    </row>
    <row r="147" spans="1:9">
      <c r="A147" s="427">
        <v>44895</v>
      </c>
      <c r="B147" s="428" t="s">
        <v>4246</v>
      </c>
      <c r="C147" s="428" t="s">
        <v>4297</v>
      </c>
      <c r="D147" s="428" t="s">
        <v>4293</v>
      </c>
      <c r="E147" s="428" t="s">
        <v>769</v>
      </c>
      <c r="F147" s="428" t="s">
        <v>4057</v>
      </c>
      <c r="G147" s="429">
        <v>6707612</v>
      </c>
      <c r="H147" s="428" t="s">
        <v>624</v>
      </c>
      <c r="I147" s="428" t="s">
        <v>4249</v>
      </c>
    </row>
    <row r="148" spans="1:9">
      <c r="A148" s="427">
        <v>44895</v>
      </c>
      <c r="B148" s="428" t="s">
        <v>4246</v>
      </c>
      <c r="C148" s="428" t="s">
        <v>4297</v>
      </c>
      <c r="D148" s="428" t="s">
        <v>4293</v>
      </c>
      <c r="E148" s="428" t="s">
        <v>769</v>
      </c>
      <c r="F148" s="428" t="s">
        <v>4063</v>
      </c>
      <c r="G148" s="429">
        <v>190991</v>
      </c>
      <c r="H148" s="428" t="s">
        <v>624</v>
      </c>
      <c r="I148" s="428" t="s">
        <v>4249</v>
      </c>
    </row>
    <row r="149" spans="1:9">
      <c r="A149" s="427">
        <v>44895</v>
      </c>
      <c r="B149" s="428" t="s">
        <v>4246</v>
      </c>
      <c r="C149" s="428" t="s">
        <v>4297</v>
      </c>
      <c r="D149" s="428" t="s">
        <v>4293</v>
      </c>
      <c r="E149" s="428" t="s">
        <v>769</v>
      </c>
      <c r="F149" s="428" t="s">
        <v>4065</v>
      </c>
      <c r="G149" s="429">
        <v>931330282.04999995</v>
      </c>
      <c r="H149" s="428" t="s">
        <v>624</v>
      </c>
      <c r="I149" s="428" t="s">
        <v>4249</v>
      </c>
    </row>
    <row r="150" spans="1:9">
      <c r="A150" s="427">
        <v>44926</v>
      </c>
      <c r="B150" s="428" t="s">
        <v>4246</v>
      </c>
      <c r="C150" s="428" t="s">
        <v>4298</v>
      </c>
      <c r="D150" s="428" t="s">
        <v>4299</v>
      </c>
      <c r="E150" s="428" t="s">
        <v>769</v>
      </c>
      <c r="F150" s="428" t="s">
        <v>1005</v>
      </c>
      <c r="G150" s="429">
        <v>273474046</v>
      </c>
      <c r="H150" s="428" t="s">
        <v>624</v>
      </c>
      <c r="I150" s="428" t="s">
        <v>4249</v>
      </c>
    </row>
    <row r="151" spans="1:9">
      <c r="A151" s="427">
        <v>44926</v>
      </c>
      <c r="B151" s="428" t="s">
        <v>4246</v>
      </c>
      <c r="C151" s="428" t="s">
        <v>4300</v>
      </c>
      <c r="D151" s="428" t="s">
        <v>4299</v>
      </c>
      <c r="E151" s="428" t="s">
        <v>769</v>
      </c>
      <c r="F151" s="428" t="s">
        <v>4037</v>
      </c>
      <c r="G151" s="429">
        <v>5000000</v>
      </c>
      <c r="H151" s="428" t="s">
        <v>624</v>
      </c>
      <c r="I151" s="428" t="s">
        <v>4249</v>
      </c>
    </row>
    <row r="152" spans="1:9">
      <c r="A152" s="427">
        <v>44926</v>
      </c>
      <c r="B152" s="428" t="s">
        <v>4246</v>
      </c>
      <c r="C152" s="428" t="s">
        <v>4301</v>
      </c>
      <c r="D152" s="428" t="s">
        <v>4299</v>
      </c>
      <c r="E152" s="428" t="s">
        <v>769</v>
      </c>
      <c r="F152" s="428" t="s">
        <v>4073</v>
      </c>
      <c r="G152" s="429">
        <v>2497075384</v>
      </c>
      <c r="H152" s="428" t="s">
        <v>624</v>
      </c>
      <c r="I152" s="428" t="s">
        <v>4249</v>
      </c>
    </row>
    <row r="153" spans="1:9">
      <c r="A153" s="427">
        <v>44926</v>
      </c>
      <c r="B153" s="428" t="s">
        <v>4246</v>
      </c>
      <c r="C153" s="428" t="s">
        <v>4302</v>
      </c>
      <c r="D153" s="428" t="s">
        <v>4299</v>
      </c>
      <c r="E153" s="428" t="s">
        <v>769</v>
      </c>
      <c r="F153" s="428" t="s">
        <v>378</v>
      </c>
      <c r="G153" s="429">
        <v>609801694</v>
      </c>
      <c r="H153" s="428" t="s">
        <v>624</v>
      </c>
      <c r="I153" s="428" t="s">
        <v>4249</v>
      </c>
    </row>
    <row r="154" spans="1:9">
      <c r="A154" s="427">
        <v>44926</v>
      </c>
      <c r="B154" s="428" t="s">
        <v>4246</v>
      </c>
      <c r="C154" s="428" t="s">
        <v>4302</v>
      </c>
      <c r="D154" s="428" t="s">
        <v>4299</v>
      </c>
      <c r="E154" s="428" t="s">
        <v>769</v>
      </c>
      <c r="F154" s="428" t="s">
        <v>384</v>
      </c>
      <c r="G154" s="429">
        <v>2174900</v>
      </c>
      <c r="H154" s="428" t="s">
        <v>624</v>
      </c>
      <c r="I154" s="428" t="s">
        <v>4249</v>
      </c>
    </row>
    <row r="155" spans="1:9">
      <c r="A155" s="427">
        <v>44926</v>
      </c>
      <c r="B155" s="428" t="s">
        <v>4246</v>
      </c>
      <c r="C155" s="428" t="s">
        <v>4302</v>
      </c>
      <c r="D155" s="428" t="s">
        <v>4299</v>
      </c>
      <c r="E155" s="428" t="s">
        <v>769</v>
      </c>
      <c r="F155" s="428" t="s">
        <v>4048</v>
      </c>
      <c r="G155" s="429">
        <v>150676663</v>
      </c>
      <c r="H155" s="428" t="s">
        <v>624</v>
      </c>
      <c r="I155" s="428" t="s">
        <v>4249</v>
      </c>
    </row>
    <row r="156" spans="1:9">
      <c r="A156" s="427">
        <v>44926</v>
      </c>
      <c r="B156" s="428" t="s">
        <v>4246</v>
      </c>
      <c r="C156" s="428" t="s">
        <v>4302</v>
      </c>
      <c r="D156" s="428" t="s">
        <v>4299</v>
      </c>
      <c r="E156" s="428" t="s">
        <v>769</v>
      </c>
      <c r="F156" s="428" t="s">
        <v>4050</v>
      </c>
      <c r="G156" s="429">
        <v>54166213</v>
      </c>
      <c r="H156" s="428" t="s">
        <v>624</v>
      </c>
      <c r="I156" s="428" t="s">
        <v>4249</v>
      </c>
    </row>
    <row r="157" spans="1:9">
      <c r="A157" s="427">
        <v>44926</v>
      </c>
      <c r="B157" s="428" t="s">
        <v>4246</v>
      </c>
      <c r="C157" s="428" t="s">
        <v>4302</v>
      </c>
      <c r="D157" s="428" t="s">
        <v>4299</v>
      </c>
      <c r="E157" s="428" t="s">
        <v>769</v>
      </c>
      <c r="F157" s="428" t="s">
        <v>4052</v>
      </c>
      <c r="G157" s="429">
        <v>130000000</v>
      </c>
      <c r="H157" s="428" t="s">
        <v>624</v>
      </c>
      <c r="I157" s="428" t="s">
        <v>4249</v>
      </c>
    </row>
    <row r="158" spans="1:9">
      <c r="A158" s="427">
        <v>44926</v>
      </c>
      <c r="B158" s="428" t="s">
        <v>4246</v>
      </c>
      <c r="C158" s="428" t="s">
        <v>4302</v>
      </c>
      <c r="D158" s="428" t="s">
        <v>4299</v>
      </c>
      <c r="E158" s="428" t="s">
        <v>769</v>
      </c>
      <c r="F158" s="428" t="s">
        <v>4054</v>
      </c>
      <c r="G158" s="429">
        <v>5480499</v>
      </c>
      <c r="H158" s="428" t="s">
        <v>624</v>
      </c>
      <c r="I158" s="428" t="s">
        <v>4249</v>
      </c>
    </row>
    <row r="159" spans="1:9">
      <c r="A159" s="427">
        <v>44926</v>
      </c>
      <c r="B159" s="428" t="s">
        <v>4246</v>
      </c>
      <c r="C159" s="428" t="s">
        <v>4302</v>
      </c>
      <c r="D159" s="428" t="s">
        <v>4299</v>
      </c>
      <c r="E159" s="428" t="s">
        <v>769</v>
      </c>
      <c r="F159" s="428" t="s">
        <v>4056</v>
      </c>
      <c r="G159" s="429">
        <v>10692000</v>
      </c>
      <c r="H159" s="428" t="s">
        <v>624</v>
      </c>
      <c r="I159" s="428" t="s">
        <v>4249</v>
      </c>
    </row>
    <row r="160" spans="1:9">
      <c r="A160" s="427">
        <v>44926</v>
      </c>
      <c r="B160" s="428" t="s">
        <v>4246</v>
      </c>
      <c r="C160" s="428" t="s">
        <v>4302</v>
      </c>
      <c r="D160" s="428" t="s">
        <v>4299</v>
      </c>
      <c r="E160" s="428" t="s">
        <v>769</v>
      </c>
      <c r="F160" s="428" t="s">
        <v>4057</v>
      </c>
      <c r="G160" s="429">
        <v>8863850</v>
      </c>
      <c r="H160" s="428" t="s">
        <v>624</v>
      </c>
      <c r="I160" s="428" t="s">
        <v>4249</v>
      </c>
    </row>
    <row r="161" spans="1:9">
      <c r="A161" s="427">
        <v>44926</v>
      </c>
      <c r="B161" s="428" t="s">
        <v>4246</v>
      </c>
      <c r="C161" s="428" t="s">
        <v>4302</v>
      </c>
      <c r="D161" s="428" t="s">
        <v>4299</v>
      </c>
      <c r="E161" s="428" t="s">
        <v>769</v>
      </c>
      <c r="F161" s="428" t="s">
        <v>4063</v>
      </c>
      <c r="G161" s="429">
        <v>184319</v>
      </c>
      <c r="H161" s="428" t="s">
        <v>624</v>
      </c>
      <c r="I161" s="428" t="s">
        <v>4249</v>
      </c>
    </row>
    <row r="162" spans="1:9">
      <c r="A162" s="427">
        <v>44926</v>
      </c>
      <c r="B162" s="428" t="s">
        <v>4246</v>
      </c>
      <c r="C162" s="428" t="s">
        <v>4302</v>
      </c>
      <c r="D162" s="428" t="s">
        <v>4299</v>
      </c>
      <c r="E162" s="428" t="s">
        <v>769</v>
      </c>
      <c r="F162" s="428" t="s">
        <v>4065</v>
      </c>
      <c r="G162" s="429">
        <v>59949735</v>
      </c>
      <c r="H162" s="428" t="s">
        <v>624</v>
      </c>
      <c r="I162" s="428" t="s">
        <v>4249</v>
      </c>
    </row>
    <row r="163" spans="1:9">
      <c r="A163" s="427">
        <v>44926</v>
      </c>
      <c r="B163" s="428" t="s">
        <v>4246</v>
      </c>
      <c r="C163" s="428" t="s">
        <v>4302</v>
      </c>
      <c r="D163" s="428" t="s">
        <v>4299</v>
      </c>
      <c r="E163" s="428" t="s">
        <v>769</v>
      </c>
      <c r="F163" s="428" t="s">
        <v>379</v>
      </c>
      <c r="G163" s="429">
        <v>36492050</v>
      </c>
      <c r="H163" s="428" t="s">
        <v>624</v>
      </c>
      <c r="I163" s="428" t="s">
        <v>4249</v>
      </c>
    </row>
    <row r="164" spans="1:9">
      <c r="A164" s="427">
        <v>44926</v>
      </c>
      <c r="B164" s="428" t="s">
        <v>4246</v>
      </c>
      <c r="C164" s="428" t="s">
        <v>4302</v>
      </c>
      <c r="D164" s="428" t="s">
        <v>4299</v>
      </c>
      <c r="E164" s="428" t="s">
        <v>769</v>
      </c>
      <c r="F164" s="428" t="s">
        <v>4042</v>
      </c>
      <c r="G164" s="429">
        <v>13120545</v>
      </c>
      <c r="H164" s="428" t="s">
        <v>624</v>
      </c>
      <c r="I164" s="428" t="s">
        <v>4249</v>
      </c>
    </row>
    <row r="165" spans="1:9">
      <c r="A165" s="427">
        <v>44926</v>
      </c>
      <c r="B165" s="428" t="s">
        <v>4246</v>
      </c>
      <c r="C165" s="428" t="s">
        <v>4302</v>
      </c>
      <c r="D165" s="428" t="s">
        <v>4299</v>
      </c>
      <c r="E165" s="428" t="s">
        <v>769</v>
      </c>
      <c r="F165" s="428" t="s">
        <v>381</v>
      </c>
      <c r="G165" s="429">
        <v>125211833</v>
      </c>
      <c r="H165" s="428" t="s">
        <v>624</v>
      </c>
      <c r="I165" s="428" t="s">
        <v>4249</v>
      </c>
    </row>
    <row r="166" spans="1:9">
      <c r="A166" s="427">
        <v>44926</v>
      </c>
      <c r="B166" s="428" t="s">
        <v>4246</v>
      </c>
      <c r="C166" s="428" t="s">
        <v>4302</v>
      </c>
      <c r="D166" s="428" t="s">
        <v>4299</v>
      </c>
      <c r="E166" s="428" t="s">
        <v>769</v>
      </c>
      <c r="F166" s="428" t="s">
        <v>4043</v>
      </c>
      <c r="G166" s="429">
        <v>71200956</v>
      </c>
      <c r="H166" s="428" t="s">
        <v>624</v>
      </c>
      <c r="I166" s="428" t="s">
        <v>4249</v>
      </c>
    </row>
    <row r="167" spans="1:9">
      <c r="A167" s="427">
        <v>44926</v>
      </c>
      <c r="B167" s="428" t="s">
        <v>4246</v>
      </c>
      <c r="C167" s="428" t="s">
        <v>4302</v>
      </c>
      <c r="D167" s="428" t="s">
        <v>4299</v>
      </c>
      <c r="E167" s="428" t="s">
        <v>769</v>
      </c>
      <c r="F167" s="428" t="s">
        <v>4045</v>
      </c>
      <c r="G167" s="429">
        <v>6840024</v>
      </c>
      <c r="H167" s="428" t="s">
        <v>624</v>
      </c>
      <c r="I167" s="428" t="s">
        <v>4249</v>
      </c>
    </row>
    <row r="168" spans="1:9">
      <c r="A168" s="427">
        <v>44592</v>
      </c>
      <c r="B168" s="428" t="s">
        <v>4246</v>
      </c>
      <c r="C168" s="428" t="s">
        <v>4303</v>
      </c>
      <c r="D168" s="428" t="s">
        <v>4248</v>
      </c>
      <c r="E168" s="428" t="s">
        <v>4010</v>
      </c>
      <c r="F168" s="428" t="s">
        <v>769</v>
      </c>
      <c r="G168" s="431">
        <v>1446578</v>
      </c>
      <c r="H168" s="428" t="s">
        <v>624</v>
      </c>
      <c r="I168" s="428" t="s">
        <v>4249</v>
      </c>
    </row>
    <row r="169" spans="1:9">
      <c r="A169" s="427">
        <v>44592</v>
      </c>
      <c r="B169" s="428" t="s">
        <v>4246</v>
      </c>
      <c r="C169" s="428" t="s">
        <v>4304</v>
      </c>
      <c r="D169" s="428" t="s">
        <v>4248</v>
      </c>
      <c r="E169" s="428" t="s">
        <v>4021</v>
      </c>
      <c r="F169" s="428" t="s">
        <v>769</v>
      </c>
      <c r="G169" s="431">
        <v>2172305</v>
      </c>
      <c r="H169" s="428" t="s">
        <v>624</v>
      </c>
      <c r="I169" s="428" t="s">
        <v>4249</v>
      </c>
    </row>
    <row r="170" spans="1:9">
      <c r="A170" s="427">
        <v>44592</v>
      </c>
      <c r="B170" s="428" t="s">
        <v>4246</v>
      </c>
      <c r="C170" s="428" t="s">
        <v>4304</v>
      </c>
      <c r="D170" s="428" t="s">
        <v>4248</v>
      </c>
      <c r="E170" s="428" t="s">
        <v>251</v>
      </c>
      <c r="F170" s="428" t="s">
        <v>769</v>
      </c>
      <c r="G170" s="431">
        <v>2827808</v>
      </c>
      <c r="H170" s="428" t="s">
        <v>624</v>
      </c>
      <c r="I170" s="428" t="s">
        <v>4249</v>
      </c>
    </row>
    <row r="171" spans="1:9">
      <c r="A171" s="427">
        <v>44620</v>
      </c>
      <c r="B171" s="428" t="s">
        <v>4246</v>
      </c>
      <c r="C171" s="428" t="s">
        <v>4305</v>
      </c>
      <c r="D171" s="428" t="s">
        <v>4256</v>
      </c>
      <c r="E171" s="428" t="s">
        <v>4010</v>
      </c>
      <c r="F171" s="428" t="s">
        <v>769</v>
      </c>
      <c r="G171" s="431">
        <v>231426967</v>
      </c>
      <c r="H171" s="428" t="s">
        <v>624</v>
      </c>
      <c r="I171" s="428" t="s">
        <v>4249</v>
      </c>
    </row>
    <row r="172" spans="1:9">
      <c r="A172" s="427">
        <v>44620</v>
      </c>
      <c r="B172" s="428" t="s">
        <v>4246</v>
      </c>
      <c r="C172" s="428" t="s">
        <v>4306</v>
      </c>
      <c r="D172" s="428" t="s">
        <v>4256</v>
      </c>
      <c r="E172" s="428" t="s">
        <v>4021</v>
      </c>
      <c r="F172" s="428" t="s">
        <v>769</v>
      </c>
      <c r="G172" s="431">
        <v>1972</v>
      </c>
      <c r="H172" s="428" t="s">
        <v>624</v>
      </c>
      <c r="I172" s="428" t="s">
        <v>4249</v>
      </c>
    </row>
    <row r="173" spans="1:9">
      <c r="A173" s="427">
        <v>44620</v>
      </c>
      <c r="B173" s="428" t="s">
        <v>4246</v>
      </c>
      <c r="C173" s="428" t="s">
        <v>4306</v>
      </c>
      <c r="D173" s="428" t="s">
        <v>4256</v>
      </c>
      <c r="E173" s="428" t="s">
        <v>251</v>
      </c>
      <c r="F173" s="428" t="s">
        <v>769</v>
      </c>
      <c r="G173" s="431">
        <v>1749456</v>
      </c>
      <c r="H173" s="428" t="s">
        <v>624</v>
      </c>
      <c r="I173" s="428" t="s">
        <v>4249</v>
      </c>
    </row>
    <row r="174" spans="1:9">
      <c r="A174" s="427">
        <v>44651</v>
      </c>
      <c r="B174" s="428" t="s">
        <v>4246</v>
      </c>
      <c r="C174" s="428" t="s">
        <v>4307</v>
      </c>
      <c r="D174" s="428" t="s">
        <v>4260</v>
      </c>
      <c r="E174" s="428" t="s">
        <v>4010</v>
      </c>
      <c r="F174" s="428" t="s">
        <v>769</v>
      </c>
      <c r="G174" s="431">
        <v>308730442</v>
      </c>
      <c r="H174" s="428" t="s">
        <v>624</v>
      </c>
      <c r="I174" s="428" t="s">
        <v>4249</v>
      </c>
    </row>
    <row r="175" spans="1:9">
      <c r="A175" s="427">
        <v>44651</v>
      </c>
      <c r="B175" s="428" t="s">
        <v>4246</v>
      </c>
      <c r="C175" s="428" t="s">
        <v>4308</v>
      </c>
      <c r="D175" s="428" t="s">
        <v>4260</v>
      </c>
      <c r="E175" s="428" t="s">
        <v>251</v>
      </c>
      <c r="F175" s="428" t="s">
        <v>769</v>
      </c>
      <c r="G175" s="431">
        <v>502475</v>
      </c>
      <c r="H175" s="428" t="s">
        <v>624</v>
      </c>
      <c r="I175" s="428" t="s">
        <v>4249</v>
      </c>
    </row>
    <row r="176" spans="1:9">
      <c r="A176" s="427">
        <v>44651</v>
      </c>
      <c r="B176" s="428" t="s">
        <v>4246</v>
      </c>
      <c r="C176" s="428" t="s">
        <v>4309</v>
      </c>
      <c r="D176" s="428" t="s">
        <v>4260</v>
      </c>
      <c r="E176" s="428" t="s">
        <v>4068</v>
      </c>
      <c r="F176" s="428" t="s">
        <v>769</v>
      </c>
      <c r="G176" s="431">
        <v>19335259</v>
      </c>
      <c r="H176" s="428" t="s">
        <v>624</v>
      </c>
      <c r="I176" s="428" t="s">
        <v>4249</v>
      </c>
    </row>
    <row r="177" spans="1:9">
      <c r="A177" s="427">
        <v>44681</v>
      </c>
      <c r="B177" s="428" t="s">
        <v>4246</v>
      </c>
      <c r="C177" s="428" t="s">
        <v>4310</v>
      </c>
      <c r="D177" s="428" t="s">
        <v>4265</v>
      </c>
      <c r="E177" s="428" t="s">
        <v>4010</v>
      </c>
      <c r="F177" s="428" t="s">
        <v>769</v>
      </c>
      <c r="G177" s="431">
        <v>222165965</v>
      </c>
      <c r="H177" s="428" t="s">
        <v>624</v>
      </c>
      <c r="I177" s="428" t="s">
        <v>4249</v>
      </c>
    </row>
    <row r="178" spans="1:9">
      <c r="A178" s="427">
        <v>44681</v>
      </c>
      <c r="B178" s="428" t="s">
        <v>4246</v>
      </c>
      <c r="C178" s="428" t="s">
        <v>4311</v>
      </c>
      <c r="D178" s="428" t="s">
        <v>4265</v>
      </c>
      <c r="E178" s="428" t="s">
        <v>251</v>
      </c>
      <c r="F178" s="428" t="s">
        <v>769</v>
      </c>
      <c r="G178" s="431">
        <v>253536</v>
      </c>
      <c r="H178" s="428" t="s">
        <v>624</v>
      </c>
      <c r="I178" s="428" t="s">
        <v>4249</v>
      </c>
    </row>
    <row r="179" spans="1:9">
      <c r="A179" s="427">
        <v>44681</v>
      </c>
      <c r="B179" s="428" t="s">
        <v>4246</v>
      </c>
      <c r="C179" s="428" t="s">
        <v>4312</v>
      </c>
      <c r="D179" s="428" t="s">
        <v>4265</v>
      </c>
      <c r="E179" s="428" t="s">
        <v>4037</v>
      </c>
      <c r="F179" s="428" t="s">
        <v>769</v>
      </c>
      <c r="G179" s="431">
        <v>15000000</v>
      </c>
      <c r="H179" s="428" t="s">
        <v>624</v>
      </c>
      <c r="I179" s="428" t="s">
        <v>4249</v>
      </c>
    </row>
    <row r="180" spans="1:9">
      <c r="A180" s="427">
        <v>44712</v>
      </c>
      <c r="B180" s="428" t="s">
        <v>4246</v>
      </c>
      <c r="C180" s="428" t="s">
        <v>4313</v>
      </c>
      <c r="D180" s="428" t="s">
        <v>4269</v>
      </c>
      <c r="E180" s="428" t="s">
        <v>4010</v>
      </c>
      <c r="F180" s="428" t="s">
        <v>769</v>
      </c>
      <c r="G180" s="431">
        <v>214613178</v>
      </c>
      <c r="H180" s="428" t="s">
        <v>624</v>
      </c>
      <c r="I180" s="428" t="s">
        <v>4249</v>
      </c>
    </row>
    <row r="181" spans="1:9">
      <c r="A181" s="427">
        <v>44712</v>
      </c>
      <c r="B181" s="428" t="s">
        <v>4246</v>
      </c>
      <c r="C181" s="428" t="s">
        <v>4314</v>
      </c>
      <c r="D181" s="428" t="s">
        <v>4269</v>
      </c>
      <c r="E181" s="428" t="s">
        <v>4021</v>
      </c>
      <c r="F181" s="428" t="s">
        <v>769</v>
      </c>
      <c r="G181" s="431">
        <v>1929069</v>
      </c>
      <c r="H181" s="428" t="s">
        <v>624</v>
      </c>
      <c r="I181" s="428" t="s">
        <v>4249</v>
      </c>
    </row>
    <row r="182" spans="1:9">
      <c r="A182" s="427">
        <v>44712</v>
      </c>
      <c r="B182" s="428" t="s">
        <v>4246</v>
      </c>
      <c r="C182" s="428" t="s">
        <v>4314</v>
      </c>
      <c r="D182" s="428" t="s">
        <v>4269</v>
      </c>
      <c r="E182" s="428" t="s">
        <v>251</v>
      </c>
      <c r="F182" s="428" t="s">
        <v>769</v>
      </c>
      <c r="G182" s="431">
        <v>1146392</v>
      </c>
      <c r="H182" s="428" t="s">
        <v>624</v>
      </c>
      <c r="I182" s="428" t="s">
        <v>4249</v>
      </c>
    </row>
    <row r="183" spans="1:9">
      <c r="A183" s="427">
        <v>44742</v>
      </c>
      <c r="B183" s="428" t="s">
        <v>4246</v>
      </c>
      <c r="C183" s="428" t="s">
        <v>4315</v>
      </c>
      <c r="D183" s="428" t="s">
        <v>4274</v>
      </c>
      <c r="E183" s="428" t="s">
        <v>4010</v>
      </c>
      <c r="F183" s="428" t="s">
        <v>769</v>
      </c>
      <c r="G183" s="431">
        <v>246024379</v>
      </c>
      <c r="H183" s="428" t="s">
        <v>624</v>
      </c>
      <c r="I183" s="428" t="s">
        <v>4249</v>
      </c>
    </row>
    <row r="184" spans="1:9">
      <c r="A184" s="427">
        <v>44742</v>
      </c>
      <c r="B184" s="428" t="s">
        <v>4246</v>
      </c>
      <c r="C184" s="428" t="s">
        <v>4316</v>
      </c>
      <c r="D184" s="428" t="s">
        <v>4274</v>
      </c>
      <c r="E184" s="428" t="s">
        <v>251</v>
      </c>
      <c r="F184" s="428" t="s">
        <v>769</v>
      </c>
      <c r="G184" s="431">
        <v>-531</v>
      </c>
      <c r="H184" s="428" t="s">
        <v>624</v>
      </c>
      <c r="I184" s="428" t="s">
        <v>4249</v>
      </c>
    </row>
    <row r="185" spans="1:9">
      <c r="A185" s="427">
        <v>44742</v>
      </c>
      <c r="B185" s="428" t="s">
        <v>4246</v>
      </c>
      <c r="C185" s="428" t="s">
        <v>4317</v>
      </c>
      <c r="D185" s="428" t="s">
        <v>4274</v>
      </c>
      <c r="E185" s="428" t="s">
        <v>4037</v>
      </c>
      <c r="F185" s="428" t="s">
        <v>769</v>
      </c>
      <c r="G185" s="431">
        <v>5000000</v>
      </c>
      <c r="H185" s="428" t="s">
        <v>624</v>
      </c>
      <c r="I185" s="428" t="s">
        <v>4249</v>
      </c>
    </row>
    <row r="186" spans="1:9">
      <c r="A186" s="427">
        <v>44773</v>
      </c>
      <c r="B186" s="428" t="s">
        <v>4246</v>
      </c>
      <c r="C186" s="428" t="s">
        <v>4318</v>
      </c>
      <c r="D186" s="428" t="s">
        <v>4277</v>
      </c>
      <c r="E186" s="428" t="s">
        <v>4010</v>
      </c>
      <c r="F186" s="428" t="s">
        <v>769</v>
      </c>
      <c r="G186" s="431">
        <v>289136051</v>
      </c>
      <c r="H186" s="428" t="s">
        <v>624</v>
      </c>
      <c r="I186" s="428" t="s">
        <v>4249</v>
      </c>
    </row>
    <row r="187" spans="1:9">
      <c r="A187" s="427">
        <v>44773</v>
      </c>
      <c r="B187" s="428" t="s">
        <v>4246</v>
      </c>
      <c r="C187" s="428" t="s">
        <v>4319</v>
      </c>
      <c r="D187" s="428" t="s">
        <v>4277</v>
      </c>
      <c r="E187" s="428" t="s">
        <v>4021</v>
      </c>
      <c r="F187" s="428" t="s">
        <v>769</v>
      </c>
      <c r="G187" s="431">
        <v>83791</v>
      </c>
      <c r="H187" s="428" t="s">
        <v>624</v>
      </c>
      <c r="I187" s="428" t="s">
        <v>4249</v>
      </c>
    </row>
    <row r="188" spans="1:9">
      <c r="A188" s="427">
        <v>44773</v>
      </c>
      <c r="B188" s="428" t="s">
        <v>4246</v>
      </c>
      <c r="C188" s="428" t="s">
        <v>4319</v>
      </c>
      <c r="D188" s="428" t="s">
        <v>4277</v>
      </c>
      <c r="E188" s="428" t="s">
        <v>251</v>
      </c>
      <c r="F188" s="428" t="s">
        <v>769</v>
      </c>
      <c r="G188" s="431">
        <v>266538</v>
      </c>
      <c r="H188" s="428" t="s">
        <v>624</v>
      </c>
      <c r="I188" s="428" t="s">
        <v>4249</v>
      </c>
    </row>
    <row r="189" spans="1:9">
      <c r="A189" s="427">
        <v>44804</v>
      </c>
      <c r="B189" s="428" t="s">
        <v>4246</v>
      </c>
      <c r="C189" s="428" t="s">
        <v>4320</v>
      </c>
      <c r="D189" s="428" t="s">
        <v>4281</v>
      </c>
      <c r="E189" s="428" t="s">
        <v>4010</v>
      </c>
      <c r="F189" s="428" t="s">
        <v>769</v>
      </c>
      <c r="G189" s="431">
        <v>276857032</v>
      </c>
      <c r="H189" s="428" t="s">
        <v>624</v>
      </c>
      <c r="I189" s="428" t="s">
        <v>4249</v>
      </c>
    </row>
    <row r="190" spans="1:9">
      <c r="A190" s="427">
        <v>44804</v>
      </c>
      <c r="B190" s="428" t="s">
        <v>4246</v>
      </c>
      <c r="C190" s="428" t="s">
        <v>4321</v>
      </c>
      <c r="D190" s="428" t="s">
        <v>4281</v>
      </c>
      <c r="E190" s="428" t="s">
        <v>251</v>
      </c>
      <c r="F190" s="428" t="s">
        <v>769</v>
      </c>
      <c r="G190" s="431">
        <v>684246</v>
      </c>
      <c r="H190" s="428" t="s">
        <v>624</v>
      </c>
      <c r="I190" s="428" t="s">
        <v>4249</v>
      </c>
    </row>
    <row r="191" spans="1:9">
      <c r="A191" s="427">
        <v>44834</v>
      </c>
      <c r="B191" s="428" t="s">
        <v>4246</v>
      </c>
      <c r="C191" s="428" t="s">
        <v>4322</v>
      </c>
      <c r="D191" s="428" t="s">
        <v>4285</v>
      </c>
      <c r="E191" s="428" t="s">
        <v>4010</v>
      </c>
      <c r="F191" s="428" t="s">
        <v>769</v>
      </c>
      <c r="G191" s="431">
        <v>241871043</v>
      </c>
      <c r="H191" s="428" t="s">
        <v>624</v>
      </c>
      <c r="I191" s="428" t="s">
        <v>4249</v>
      </c>
    </row>
    <row r="192" spans="1:9">
      <c r="A192" s="427">
        <v>44834</v>
      </c>
      <c r="B192" s="428" t="s">
        <v>4246</v>
      </c>
      <c r="C192" s="428" t="s">
        <v>4322</v>
      </c>
      <c r="D192" s="428" t="s">
        <v>4285</v>
      </c>
      <c r="E192" s="428" t="s">
        <v>4015</v>
      </c>
      <c r="F192" s="428" t="s">
        <v>769</v>
      </c>
      <c r="G192" s="431">
        <v>2405961289</v>
      </c>
      <c r="H192" s="428" t="s">
        <v>624</v>
      </c>
      <c r="I192" s="428" t="s">
        <v>4249</v>
      </c>
    </row>
    <row r="193" spans="1:9">
      <c r="A193" s="427">
        <v>44834</v>
      </c>
      <c r="B193" s="428" t="s">
        <v>4246</v>
      </c>
      <c r="C193" s="428" t="s">
        <v>4322</v>
      </c>
      <c r="D193" s="428" t="s">
        <v>4285</v>
      </c>
      <c r="E193" s="428" t="s">
        <v>4016</v>
      </c>
      <c r="F193" s="428" t="s">
        <v>769</v>
      </c>
      <c r="G193" s="431">
        <v>900000000</v>
      </c>
      <c r="H193" s="428" t="s">
        <v>624</v>
      </c>
      <c r="I193" s="428" t="s">
        <v>4249</v>
      </c>
    </row>
    <row r="194" spans="1:9">
      <c r="A194" s="427">
        <v>44834</v>
      </c>
      <c r="B194" s="428" t="s">
        <v>4246</v>
      </c>
      <c r="C194" s="428" t="s">
        <v>4323</v>
      </c>
      <c r="D194" s="428" t="s">
        <v>4285</v>
      </c>
      <c r="E194" s="428" t="s">
        <v>251</v>
      </c>
      <c r="F194" s="428" t="s">
        <v>769</v>
      </c>
      <c r="G194" s="431">
        <v>3910974</v>
      </c>
      <c r="H194" s="428" t="s">
        <v>624</v>
      </c>
      <c r="I194" s="428" t="s">
        <v>4249</v>
      </c>
    </row>
    <row r="195" spans="1:9">
      <c r="A195" s="427">
        <v>44865</v>
      </c>
      <c r="B195" s="428" t="s">
        <v>4246</v>
      </c>
      <c r="C195" s="428" t="s">
        <v>4324</v>
      </c>
      <c r="D195" s="428" t="s">
        <v>4289</v>
      </c>
      <c r="E195" s="428" t="s">
        <v>4008</v>
      </c>
      <c r="F195" s="428" t="s">
        <v>769</v>
      </c>
      <c r="G195" s="431">
        <v>124399829</v>
      </c>
      <c r="H195" s="428" t="s">
        <v>624</v>
      </c>
      <c r="I195" s="428" t="s">
        <v>4249</v>
      </c>
    </row>
    <row r="196" spans="1:9">
      <c r="A196" s="427">
        <v>44865</v>
      </c>
      <c r="B196" s="428" t="s">
        <v>4246</v>
      </c>
      <c r="C196" s="428" t="s">
        <v>4324</v>
      </c>
      <c r="D196" s="428" t="s">
        <v>4289</v>
      </c>
      <c r="E196" s="428" t="s">
        <v>4010</v>
      </c>
      <c r="F196" s="428" t="s">
        <v>769</v>
      </c>
      <c r="G196" s="431">
        <v>191596952</v>
      </c>
      <c r="H196" s="428" t="s">
        <v>624</v>
      </c>
      <c r="I196" s="428" t="s">
        <v>4249</v>
      </c>
    </row>
    <row r="197" spans="1:9">
      <c r="A197" s="427">
        <v>44865</v>
      </c>
      <c r="B197" s="428" t="s">
        <v>4246</v>
      </c>
      <c r="C197" s="428" t="s">
        <v>4324</v>
      </c>
      <c r="D197" s="428" t="s">
        <v>4289</v>
      </c>
      <c r="E197" s="428" t="s">
        <v>4011</v>
      </c>
      <c r="F197" s="428" t="s">
        <v>769</v>
      </c>
      <c r="G197" s="431">
        <v>464794508</v>
      </c>
      <c r="H197" s="428" t="s">
        <v>624</v>
      </c>
      <c r="I197" s="428" t="s">
        <v>4249</v>
      </c>
    </row>
    <row r="198" spans="1:9">
      <c r="A198" s="427">
        <v>44865</v>
      </c>
      <c r="B198" s="428" t="s">
        <v>4246</v>
      </c>
      <c r="C198" s="428" t="s">
        <v>4324</v>
      </c>
      <c r="D198" s="428" t="s">
        <v>4289</v>
      </c>
      <c r="E198" s="428" t="s">
        <v>4015</v>
      </c>
      <c r="F198" s="428" t="s">
        <v>769</v>
      </c>
      <c r="G198" s="431">
        <v>1277255537</v>
      </c>
      <c r="H198" s="428" t="s">
        <v>624</v>
      </c>
      <c r="I198" s="428" t="s">
        <v>4249</v>
      </c>
    </row>
    <row r="199" spans="1:9">
      <c r="A199" s="427">
        <v>44865</v>
      </c>
      <c r="B199" s="428" t="s">
        <v>4246</v>
      </c>
      <c r="C199" s="428" t="s">
        <v>4324</v>
      </c>
      <c r="D199" s="428" t="s">
        <v>4289</v>
      </c>
      <c r="E199" s="428" t="s">
        <v>4016</v>
      </c>
      <c r="F199" s="428" t="s">
        <v>769</v>
      </c>
      <c r="G199" s="431">
        <v>900000000</v>
      </c>
      <c r="H199" s="428" t="s">
        <v>624</v>
      </c>
      <c r="I199" s="428" t="s">
        <v>4249</v>
      </c>
    </row>
    <row r="200" spans="1:9">
      <c r="A200" s="427">
        <v>44865</v>
      </c>
      <c r="B200" s="428" t="s">
        <v>4246</v>
      </c>
      <c r="C200" s="428" t="s">
        <v>4325</v>
      </c>
      <c r="D200" s="428" t="s">
        <v>4289</v>
      </c>
      <c r="E200" s="428" t="s">
        <v>251</v>
      </c>
      <c r="F200" s="428" t="s">
        <v>769</v>
      </c>
      <c r="G200" s="431">
        <v>17028216</v>
      </c>
      <c r="H200" s="428" t="s">
        <v>624</v>
      </c>
      <c r="I200" s="428" t="s">
        <v>4249</v>
      </c>
    </row>
    <row r="201" spans="1:9">
      <c r="A201" s="427">
        <v>44895</v>
      </c>
      <c r="B201" s="428" t="s">
        <v>4246</v>
      </c>
      <c r="C201" s="428" t="s">
        <v>4326</v>
      </c>
      <c r="D201" s="428" t="s">
        <v>4293</v>
      </c>
      <c r="E201" s="428" t="s">
        <v>4008</v>
      </c>
      <c r="F201" s="428" t="s">
        <v>769</v>
      </c>
      <c r="G201" s="431">
        <v>107287571</v>
      </c>
      <c r="H201" s="428" t="s">
        <v>624</v>
      </c>
      <c r="I201" s="428" t="s">
        <v>4249</v>
      </c>
    </row>
    <row r="202" spans="1:9">
      <c r="A202" s="427">
        <v>44895</v>
      </c>
      <c r="B202" s="428" t="s">
        <v>4246</v>
      </c>
      <c r="C202" s="428" t="s">
        <v>4326</v>
      </c>
      <c r="D202" s="428" t="s">
        <v>4293</v>
      </c>
      <c r="E202" s="428" t="s">
        <v>4011</v>
      </c>
      <c r="F202" s="428" t="s">
        <v>769</v>
      </c>
      <c r="G202" s="431">
        <v>2192127874</v>
      </c>
      <c r="H202" s="428" t="s">
        <v>624</v>
      </c>
      <c r="I202" s="428" t="s">
        <v>4249</v>
      </c>
    </row>
    <row r="203" spans="1:9">
      <c r="A203" s="427">
        <v>44895</v>
      </c>
      <c r="B203" s="428" t="s">
        <v>4246</v>
      </c>
      <c r="C203" s="428" t="s">
        <v>4326</v>
      </c>
      <c r="D203" s="428" t="s">
        <v>4293</v>
      </c>
      <c r="E203" s="428" t="s">
        <v>4015</v>
      </c>
      <c r="F203" s="428" t="s">
        <v>769</v>
      </c>
      <c r="G203" s="431">
        <v>1466480526</v>
      </c>
      <c r="H203" s="428" t="s">
        <v>624</v>
      </c>
      <c r="I203" s="428" t="s">
        <v>4249</v>
      </c>
    </row>
    <row r="204" spans="1:9">
      <c r="A204" s="427">
        <v>44895</v>
      </c>
      <c r="B204" s="428" t="s">
        <v>4246</v>
      </c>
      <c r="C204" s="428" t="s">
        <v>4326</v>
      </c>
      <c r="D204" s="428" t="s">
        <v>4293</v>
      </c>
      <c r="E204" s="428" t="s">
        <v>4016</v>
      </c>
      <c r="F204" s="428" t="s">
        <v>769</v>
      </c>
      <c r="G204" s="431">
        <v>900000000</v>
      </c>
      <c r="H204" s="428" t="s">
        <v>624</v>
      </c>
      <c r="I204" s="428" t="s">
        <v>4249</v>
      </c>
    </row>
    <row r="205" spans="1:9">
      <c r="A205" s="427">
        <v>44895</v>
      </c>
      <c r="B205" s="428" t="s">
        <v>4246</v>
      </c>
      <c r="C205" s="428" t="s">
        <v>4327</v>
      </c>
      <c r="D205" s="428" t="s">
        <v>4293</v>
      </c>
      <c r="E205" s="428" t="s">
        <v>251</v>
      </c>
      <c r="F205" s="428" t="s">
        <v>769</v>
      </c>
      <c r="G205" s="431">
        <v>4579725</v>
      </c>
      <c r="H205" s="428" t="s">
        <v>624</v>
      </c>
      <c r="I205" s="428" t="s">
        <v>4249</v>
      </c>
    </row>
    <row r="206" spans="1:9">
      <c r="A206" s="427">
        <v>44926</v>
      </c>
      <c r="B206" s="428" t="s">
        <v>4246</v>
      </c>
      <c r="C206" s="428" t="s">
        <v>4328</v>
      </c>
      <c r="D206" s="428" t="s">
        <v>4299</v>
      </c>
      <c r="E206" s="428" t="s">
        <v>4008</v>
      </c>
      <c r="F206" s="428" t="s">
        <v>769</v>
      </c>
      <c r="G206" s="431">
        <v>38074135</v>
      </c>
      <c r="H206" s="428" t="s">
        <v>624</v>
      </c>
      <c r="I206" s="428" t="s">
        <v>4249</v>
      </c>
    </row>
    <row r="207" spans="1:9">
      <c r="A207" s="427">
        <v>44926</v>
      </c>
      <c r="B207" s="428" t="s">
        <v>4246</v>
      </c>
      <c r="C207" s="428" t="s">
        <v>4328</v>
      </c>
      <c r="D207" s="428" t="s">
        <v>4299</v>
      </c>
      <c r="E207" s="428" t="s">
        <v>4010</v>
      </c>
      <c r="F207" s="428" t="s">
        <v>769</v>
      </c>
      <c r="G207" s="431">
        <v>890494858</v>
      </c>
      <c r="H207" s="428" t="s">
        <v>624</v>
      </c>
      <c r="I207" s="428" t="s">
        <v>4249</v>
      </c>
    </row>
    <row r="208" spans="1:9">
      <c r="A208" s="427">
        <v>44926</v>
      </c>
      <c r="B208" s="428" t="s">
        <v>4246</v>
      </c>
      <c r="C208" s="428" t="s">
        <v>4328</v>
      </c>
      <c r="D208" s="428" t="s">
        <v>4299</v>
      </c>
      <c r="E208" s="428" t="s">
        <v>4011</v>
      </c>
      <c r="F208" s="428" t="s">
        <v>769</v>
      </c>
      <c r="G208" s="431">
        <v>296119423</v>
      </c>
      <c r="H208" s="428" t="s">
        <v>624</v>
      </c>
      <c r="I208" s="428" t="s">
        <v>4249</v>
      </c>
    </row>
    <row r="209" spans="1:9">
      <c r="A209" s="427">
        <v>44926</v>
      </c>
      <c r="B209" s="428" t="s">
        <v>4246</v>
      </c>
      <c r="C209" s="428" t="s">
        <v>4328</v>
      </c>
      <c r="D209" s="428" t="s">
        <v>4299</v>
      </c>
      <c r="E209" s="428" t="s">
        <v>4015</v>
      </c>
      <c r="F209" s="428" t="s">
        <v>769</v>
      </c>
      <c r="G209" s="431">
        <v>2828951423</v>
      </c>
      <c r="H209" s="428" t="s">
        <v>624</v>
      </c>
      <c r="I209" s="428" t="s">
        <v>4249</v>
      </c>
    </row>
    <row r="210" spans="1:9">
      <c r="A210" s="427">
        <v>44926</v>
      </c>
      <c r="B210" s="428" t="s">
        <v>4246</v>
      </c>
      <c r="C210" s="428" t="s">
        <v>4329</v>
      </c>
      <c r="D210" s="428" t="s">
        <v>4299</v>
      </c>
      <c r="E210" s="428" t="s">
        <v>251</v>
      </c>
      <c r="F210" s="428" t="s">
        <v>769</v>
      </c>
      <c r="G210" s="431">
        <v>6764872</v>
      </c>
      <c r="H210" s="428" t="s">
        <v>624</v>
      </c>
      <c r="I210" s="428" t="s">
        <v>4249</v>
      </c>
    </row>
  </sheetData>
  <autoFilter ref="B3:I210" xr:uid="{806DE2ED-5599-4A0C-8480-03FC63AE8DF1}"/>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CA724-F494-43BA-96E8-3ADBF1B14B6C}">
  <dimension ref="A1:Q322"/>
  <sheetViews>
    <sheetView workbookViewId="0">
      <selection activeCell="J2" sqref="J2"/>
    </sheetView>
  </sheetViews>
  <sheetFormatPr defaultRowHeight="15"/>
  <cols>
    <col min="10" max="10" width="14.85546875" bestFit="1" customWidth="1"/>
    <col min="11" max="11" width="8.85546875" bestFit="1" customWidth="1"/>
  </cols>
  <sheetData>
    <row r="1" spans="1:17" ht="18.75">
      <c r="A1" s="730" t="s">
        <v>4356</v>
      </c>
      <c r="B1" s="730"/>
      <c r="C1" s="730"/>
      <c r="D1" s="730"/>
      <c r="E1" s="730"/>
      <c r="F1" s="730"/>
      <c r="G1" s="730"/>
      <c r="H1" s="730"/>
      <c r="I1" s="730"/>
      <c r="J1" s="730"/>
      <c r="K1" s="730"/>
      <c r="L1" s="730"/>
      <c r="M1" s="730"/>
      <c r="N1" s="730"/>
      <c r="O1" s="730"/>
      <c r="P1" s="730"/>
      <c r="Q1" s="730"/>
    </row>
    <row r="2" spans="1:17">
      <c r="A2" s="731" t="s">
        <v>4357</v>
      </c>
      <c r="B2" s="731"/>
      <c r="C2" s="731"/>
      <c r="D2" s="731"/>
      <c r="E2" s="731"/>
      <c r="F2" s="731"/>
      <c r="G2" s="731"/>
      <c r="H2" s="731"/>
      <c r="I2" s="731"/>
      <c r="J2" s="780">
        <v>1409520398.3333333</v>
      </c>
      <c r="K2" s="780">
        <f>SUM(K4:K168)</f>
        <v>0</v>
      </c>
      <c r="L2" s="731"/>
      <c r="M2" s="731"/>
      <c r="N2" s="731"/>
      <c r="O2" s="731"/>
      <c r="P2" s="731"/>
      <c r="Q2" s="731"/>
    </row>
    <row r="3" spans="1:17" ht="31.5">
      <c r="A3" s="763" t="s">
        <v>449</v>
      </c>
      <c r="B3" s="763" t="s">
        <v>450</v>
      </c>
      <c r="C3" s="764" t="s">
        <v>451</v>
      </c>
      <c r="D3" s="763" t="s">
        <v>452</v>
      </c>
      <c r="E3" s="764" t="s">
        <v>453</v>
      </c>
      <c r="F3" s="764" t="s">
        <v>454</v>
      </c>
      <c r="G3" s="764" t="s">
        <v>455</v>
      </c>
      <c r="H3" s="764" t="s">
        <v>456</v>
      </c>
      <c r="I3" s="764" t="s">
        <v>457</v>
      </c>
      <c r="J3" s="765" t="s">
        <v>459</v>
      </c>
      <c r="K3" s="765" t="s">
        <v>460</v>
      </c>
      <c r="L3" s="764" t="s">
        <v>461</v>
      </c>
      <c r="M3" s="764" t="s">
        <v>462</v>
      </c>
      <c r="N3" s="764" t="s">
        <v>464</v>
      </c>
      <c r="O3" s="764" t="s">
        <v>465</v>
      </c>
      <c r="P3" s="764" t="s">
        <v>752</v>
      </c>
      <c r="Q3" s="764" t="s">
        <v>466</v>
      </c>
    </row>
    <row r="4" spans="1:17">
      <c r="A4" s="96">
        <v>45292</v>
      </c>
      <c r="B4" s="96">
        <v>45292</v>
      </c>
      <c r="C4" s="97" t="s">
        <v>4358</v>
      </c>
      <c r="D4" s="96"/>
      <c r="E4" s="97"/>
      <c r="F4" s="97" t="s">
        <v>4359</v>
      </c>
      <c r="G4" s="97" t="s">
        <v>4359</v>
      </c>
      <c r="H4" s="97" t="s">
        <v>391</v>
      </c>
      <c r="I4" s="97" t="s">
        <v>51</v>
      </c>
      <c r="J4" s="98">
        <v>96296</v>
      </c>
      <c r="K4" s="98">
        <v>0</v>
      </c>
      <c r="L4" s="97" t="s">
        <v>4360</v>
      </c>
      <c r="M4" s="97" t="s">
        <v>4361</v>
      </c>
      <c r="N4" s="97"/>
      <c r="O4" s="97"/>
      <c r="P4" s="97"/>
      <c r="Q4" s="97" t="s">
        <v>4362</v>
      </c>
    </row>
    <row r="5" spans="1:17">
      <c r="A5" s="96">
        <v>45293</v>
      </c>
      <c r="B5" s="96">
        <v>45293</v>
      </c>
      <c r="C5" s="97" t="s">
        <v>4363</v>
      </c>
      <c r="D5" s="96"/>
      <c r="E5" s="97"/>
      <c r="F5" s="97" t="s">
        <v>4364</v>
      </c>
      <c r="G5" s="97" t="s">
        <v>4364</v>
      </c>
      <c r="H5" s="97" t="s">
        <v>387</v>
      </c>
      <c r="I5" s="97" t="s">
        <v>62</v>
      </c>
      <c r="J5" s="98">
        <v>1745723</v>
      </c>
      <c r="K5" s="98">
        <v>0</v>
      </c>
      <c r="L5" s="97" t="s">
        <v>3524</v>
      </c>
      <c r="M5" s="97" t="s">
        <v>622</v>
      </c>
      <c r="N5" s="97" t="s">
        <v>4365</v>
      </c>
      <c r="O5" s="97" t="s">
        <v>4366</v>
      </c>
      <c r="P5" s="97"/>
      <c r="Q5" s="97" t="s">
        <v>4362</v>
      </c>
    </row>
    <row r="6" spans="1:17">
      <c r="A6" s="96">
        <v>45293</v>
      </c>
      <c r="B6" s="96">
        <v>45293</v>
      </c>
      <c r="C6" s="97" t="s">
        <v>4367</v>
      </c>
      <c r="D6" s="96"/>
      <c r="E6" s="97"/>
      <c r="F6" s="97" t="s">
        <v>4368</v>
      </c>
      <c r="G6" s="97" t="s">
        <v>4368</v>
      </c>
      <c r="H6" s="97" t="s">
        <v>387</v>
      </c>
      <c r="I6" s="97" t="s">
        <v>125</v>
      </c>
      <c r="J6" s="98">
        <v>276177</v>
      </c>
      <c r="K6" s="98">
        <v>0</v>
      </c>
      <c r="L6" s="97" t="s">
        <v>3738</v>
      </c>
      <c r="M6" s="97" t="s">
        <v>4369</v>
      </c>
      <c r="N6" s="97" t="s">
        <v>4365</v>
      </c>
      <c r="O6" s="97" t="s">
        <v>4366</v>
      </c>
      <c r="P6" s="97"/>
      <c r="Q6" s="97" t="s">
        <v>4362</v>
      </c>
    </row>
    <row r="7" spans="1:17">
      <c r="A7" s="96">
        <v>45293</v>
      </c>
      <c r="B7" s="96">
        <v>45293</v>
      </c>
      <c r="C7" s="97" t="s">
        <v>4370</v>
      </c>
      <c r="D7" s="96"/>
      <c r="E7" s="97"/>
      <c r="F7" s="97" t="s">
        <v>4371</v>
      </c>
      <c r="G7" s="97" t="s">
        <v>4371</v>
      </c>
      <c r="H7" s="97" t="s">
        <v>387</v>
      </c>
      <c r="I7" s="97" t="s">
        <v>125</v>
      </c>
      <c r="J7" s="98">
        <v>613565</v>
      </c>
      <c r="K7" s="98">
        <v>0</v>
      </c>
      <c r="L7" s="97" t="s">
        <v>3738</v>
      </c>
      <c r="M7" s="97" t="s">
        <v>4369</v>
      </c>
      <c r="N7" s="97" t="s">
        <v>4365</v>
      </c>
      <c r="O7" s="97" t="s">
        <v>4366</v>
      </c>
      <c r="P7" s="97"/>
      <c r="Q7" s="97" t="s">
        <v>4362</v>
      </c>
    </row>
    <row r="8" spans="1:17">
      <c r="A8" s="96">
        <v>45293</v>
      </c>
      <c r="B8" s="96">
        <v>45293</v>
      </c>
      <c r="C8" s="97" t="s">
        <v>4372</v>
      </c>
      <c r="D8" s="96"/>
      <c r="E8" s="97"/>
      <c r="F8" s="97" t="s">
        <v>4373</v>
      </c>
      <c r="G8" s="97" t="s">
        <v>4373</v>
      </c>
      <c r="H8" s="97" t="s">
        <v>283</v>
      </c>
      <c r="I8" s="97" t="s">
        <v>125</v>
      </c>
      <c r="J8" s="98">
        <v>12649748</v>
      </c>
      <c r="K8" s="98">
        <v>0</v>
      </c>
      <c r="L8" s="97" t="s">
        <v>3518</v>
      </c>
      <c r="M8" s="97" t="s">
        <v>3519</v>
      </c>
      <c r="N8" s="97" t="s">
        <v>4365</v>
      </c>
      <c r="O8" s="97" t="s">
        <v>4366</v>
      </c>
      <c r="P8" s="97"/>
      <c r="Q8" s="97" t="s">
        <v>4362</v>
      </c>
    </row>
    <row r="9" spans="1:17">
      <c r="A9" s="96">
        <v>45293</v>
      </c>
      <c r="B9" s="96">
        <v>45293</v>
      </c>
      <c r="C9" s="97" t="s">
        <v>4374</v>
      </c>
      <c r="D9" s="96"/>
      <c r="E9" s="97"/>
      <c r="F9" s="97" t="s">
        <v>4375</v>
      </c>
      <c r="G9" s="97" t="s">
        <v>4375</v>
      </c>
      <c r="H9" s="97" t="s">
        <v>283</v>
      </c>
      <c r="I9" s="97" t="s">
        <v>125</v>
      </c>
      <c r="J9" s="98">
        <v>14940748</v>
      </c>
      <c r="K9" s="98">
        <v>0</v>
      </c>
      <c r="L9" s="97" t="s">
        <v>3518</v>
      </c>
      <c r="M9" s="97" t="s">
        <v>3519</v>
      </c>
      <c r="N9" s="97" t="s">
        <v>4365</v>
      </c>
      <c r="O9" s="97" t="s">
        <v>4366</v>
      </c>
      <c r="P9" s="97"/>
      <c r="Q9" s="97" t="s">
        <v>4362</v>
      </c>
    </row>
    <row r="10" spans="1:17">
      <c r="A10" s="96">
        <v>45293</v>
      </c>
      <c r="B10" s="96">
        <v>45293</v>
      </c>
      <c r="C10" s="97" t="s">
        <v>4376</v>
      </c>
      <c r="D10" s="96"/>
      <c r="E10" s="97"/>
      <c r="F10" s="97" t="s">
        <v>4377</v>
      </c>
      <c r="G10" s="97" t="s">
        <v>4377</v>
      </c>
      <c r="H10" s="97" t="s">
        <v>283</v>
      </c>
      <c r="I10" s="97" t="s">
        <v>62</v>
      </c>
      <c r="J10" s="98">
        <v>1214500</v>
      </c>
      <c r="K10" s="98">
        <v>0</v>
      </c>
      <c r="L10" s="97" t="s">
        <v>3524</v>
      </c>
      <c r="M10" s="97" t="s">
        <v>622</v>
      </c>
      <c r="N10" s="97" t="s">
        <v>4365</v>
      </c>
      <c r="O10" s="97" t="s">
        <v>4366</v>
      </c>
      <c r="P10" s="97"/>
      <c r="Q10" s="97" t="s">
        <v>4362</v>
      </c>
    </row>
    <row r="11" spans="1:17">
      <c r="A11" s="96">
        <v>45293</v>
      </c>
      <c r="B11" s="96">
        <v>45293</v>
      </c>
      <c r="C11" s="97" t="s">
        <v>4378</v>
      </c>
      <c r="D11" s="96"/>
      <c r="E11" s="97"/>
      <c r="F11" s="97" t="s">
        <v>4379</v>
      </c>
      <c r="G11" s="97" t="s">
        <v>4379</v>
      </c>
      <c r="H11" s="97" t="s">
        <v>283</v>
      </c>
      <c r="I11" s="97" t="s">
        <v>62</v>
      </c>
      <c r="J11" s="98">
        <v>8866094</v>
      </c>
      <c r="K11" s="98">
        <v>0</v>
      </c>
      <c r="L11" s="97" t="s">
        <v>3518</v>
      </c>
      <c r="M11" s="97" t="s">
        <v>3519</v>
      </c>
      <c r="N11" s="97" t="s">
        <v>4365</v>
      </c>
      <c r="O11" s="97" t="s">
        <v>4366</v>
      </c>
      <c r="P11" s="97"/>
      <c r="Q11" s="97" t="s">
        <v>4362</v>
      </c>
    </row>
    <row r="12" spans="1:17">
      <c r="A12" s="96">
        <v>45295</v>
      </c>
      <c r="B12" s="96">
        <v>45295</v>
      </c>
      <c r="C12" s="97" t="s">
        <v>4380</v>
      </c>
      <c r="D12" s="96"/>
      <c r="E12" s="97"/>
      <c r="F12" s="97" t="s">
        <v>4381</v>
      </c>
      <c r="G12" s="97" t="s">
        <v>4381</v>
      </c>
      <c r="H12" s="97" t="s">
        <v>283</v>
      </c>
      <c r="I12" s="97" t="s">
        <v>62</v>
      </c>
      <c r="J12" s="98">
        <v>1218751</v>
      </c>
      <c r="K12" s="98">
        <v>0</v>
      </c>
      <c r="L12" s="97" t="s">
        <v>3524</v>
      </c>
      <c r="M12" s="97" t="s">
        <v>622</v>
      </c>
      <c r="N12" s="97" t="s">
        <v>4365</v>
      </c>
      <c r="O12" s="97" t="s">
        <v>4366</v>
      </c>
      <c r="P12" s="97"/>
      <c r="Q12" s="97" t="s">
        <v>4362</v>
      </c>
    </row>
    <row r="13" spans="1:17">
      <c r="A13" s="96">
        <v>45296</v>
      </c>
      <c r="B13" s="96">
        <v>45296</v>
      </c>
      <c r="C13" s="97" t="s">
        <v>4382</v>
      </c>
      <c r="D13" s="96"/>
      <c r="E13" s="97"/>
      <c r="F13" s="97" t="s">
        <v>4383</v>
      </c>
      <c r="G13" s="97" t="s">
        <v>4383</v>
      </c>
      <c r="H13" s="97" t="s">
        <v>283</v>
      </c>
      <c r="I13" s="97" t="s">
        <v>62</v>
      </c>
      <c r="J13" s="98">
        <v>10939511</v>
      </c>
      <c r="K13" s="98">
        <v>0</v>
      </c>
      <c r="L13" s="97" t="s">
        <v>3524</v>
      </c>
      <c r="M13" s="97" t="s">
        <v>622</v>
      </c>
      <c r="N13" s="97" t="s">
        <v>4365</v>
      </c>
      <c r="O13" s="97" t="s">
        <v>4366</v>
      </c>
      <c r="P13" s="97"/>
      <c r="Q13" s="97" t="s">
        <v>4362</v>
      </c>
    </row>
    <row r="14" spans="1:17">
      <c r="A14" s="96">
        <v>45297</v>
      </c>
      <c r="B14" s="96">
        <v>45297</v>
      </c>
      <c r="C14" s="97" t="s">
        <v>4384</v>
      </c>
      <c r="D14" s="96"/>
      <c r="E14" s="97"/>
      <c r="F14" s="97" t="s">
        <v>4385</v>
      </c>
      <c r="G14" s="97" t="s">
        <v>4385</v>
      </c>
      <c r="H14" s="97" t="s">
        <v>283</v>
      </c>
      <c r="I14" s="97" t="s">
        <v>62</v>
      </c>
      <c r="J14" s="98">
        <v>1218499</v>
      </c>
      <c r="K14" s="98">
        <v>0</v>
      </c>
      <c r="L14" s="97" t="s">
        <v>3524</v>
      </c>
      <c r="M14" s="97" t="s">
        <v>622</v>
      </c>
      <c r="N14" s="97" t="s">
        <v>4365</v>
      </c>
      <c r="O14" s="97" t="s">
        <v>4366</v>
      </c>
      <c r="P14" s="97"/>
      <c r="Q14" s="97" t="s">
        <v>4362</v>
      </c>
    </row>
    <row r="15" spans="1:17">
      <c r="A15" s="96">
        <v>45299</v>
      </c>
      <c r="B15" s="96">
        <v>45299</v>
      </c>
      <c r="C15" s="97" t="s">
        <v>4386</v>
      </c>
      <c r="D15" s="96">
        <v>45299</v>
      </c>
      <c r="E15" s="97" t="s">
        <v>4387</v>
      </c>
      <c r="F15" s="97" t="s">
        <v>4388</v>
      </c>
      <c r="G15" s="97" t="s">
        <v>4388</v>
      </c>
      <c r="H15" s="97" t="s">
        <v>381</v>
      </c>
      <c r="I15" s="97" t="s">
        <v>62</v>
      </c>
      <c r="J15" s="98">
        <v>564762</v>
      </c>
      <c r="K15" s="98">
        <v>0</v>
      </c>
      <c r="L15" s="97" t="s">
        <v>3524</v>
      </c>
      <c r="M15" s="97" t="s">
        <v>622</v>
      </c>
      <c r="N15" s="97"/>
      <c r="O15" s="97"/>
      <c r="P15" s="97"/>
      <c r="Q15" s="97" t="s">
        <v>4362</v>
      </c>
    </row>
    <row r="16" spans="1:17">
      <c r="A16" s="96">
        <v>45299</v>
      </c>
      <c r="B16" s="96">
        <v>45299</v>
      </c>
      <c r="C16" s="97" t="s">
        <v>4386</v>
      </c>
      <c r="D16" s="96">
        <v>45299</v>
      </c>
      <c r="E16" s="97" t="s">
        <v>4387</v>
      </c>
      <c r="F16" s="97" t="s">
        <v>4388</v>
      </c>
      <c r="G16" s="97" t="s">
        <v>4388</v>
      </c>
      <c r="H16" s="97" t="s">
        <v>381</v>
      </c>
      <c r="I16" s="97" t="s">
        <v>62</v>
      </c>
      <c r="J16" s="98">
        <v>295454</v>
      </c>
      <c r="K16" s="98">
        <v>0</v>
      </c>
      <c r="L16" s="97" t="s">
        <v>3524</v>
      </c>
      <c r="M16" s="97" t="s">
        <v>622</v>
      </c>
      <c r="N16" s="97"/>
      <c r="O16" s="97"/>
      <c r="P16" s="97"/>
      <c r="Q16" s="97" t="s">
        <v>4362</v>
      </c>
    </row>
    <row r="17" spans="1:17">
      <c r="A17" s="96">
        <v>45299</v>
      </c>
      <c r="B17" s="96">
        <v>45299</v>
      </c>
      <c r="C17" s="97" t="s">
        <v>4389</v>
      </c>
      <c r="D17" s="96"/>
      <c r="E17" s="97"/>
      <c r="F17" s="97" t="s">
        <v>4390</v>
      </c>
      <c r="G17" s="97" t="s">
        <v>4390</v>
      </c>
      <c r="H17" s="97" t="s">
        <v>283</v>
      </c>
      <c r="I17" s="97" t="s">
        <v>62</v>
      </c>
      <c r="J17" s="98">
        <v>851731</v>
      </c>
      <c r="K17" s="98">
        <v>0</v>
      </c>
      <c r="L17" s="97" t="s">
        <v>3524</v>
      </c>
      <c r="M17" s="97" t="s">
        <v>622</v>
      </c>
      <c r="N17" s="97" t="s">
        <v>4365</v>
      </c>
      <c r="O17" s="97" t="s">
        <v>4366</v>
      </c>
      <c r="P17" s="97"/>
      <c r="Q17" s="97" t="s">
        <v>4362</v>
      </c>
    </row>
    <row r="18" spans="1:17">
      <c r="A18" s="96">
        <v>45299</v>
      </c>
      <c r="B18" s="96">
        <v>45299</v>
      </c>
      <c r="C18" s="97" t="s">
        <v>4391</v>
      </c>
      <c r="D18" s="96"/>
      <c r="E18" s="97"/>
      <c r="F18" s="97" t="s">
        <v>4392</v>
      </c>
      <c r="G18" s="97" t="s">
        <v>4392</v>
      </c>
      <c r="H18" s="97" t="s">
        <v>281</v>
      </c>
      <c r="I18" s="97" t="s">
        <v>62</v>
      </c>
      <c r="J18" s="98">
        <v>730856</v>
      </c>
      <c r="K18" s="98">
        <v>0</v>
      </c>
      <c r="L18" s="97" t="s">
        <v>3518</v>
      </c>
      <c r="M18" s="97" t="s">
        <v>3519</v>
      </c>
      <c r="N18" s="97" t="s">
        <v>4365</v>
      </c>
      <c r="O18" s="97" t="s">
        <v>4366</v>
      </c>
      <c r="P18" s="97"/>
      <c r="Q18" s="97" t="s">
        <v>4362</v>
      </c>
    </row>
    <row r="19" spans="1:17">
      <c r="A19" s="96">
        <v>45299</v>
      </c>
      <c r="B19" s="96">
        <v>45299</v>
      </c>
      <c r="C19" s="97" t="s">
        <v>4393</v>
      </c>
      <c r="D19" s="96"/>
      <c r="E19" s="97"/>
      <c r="F19" s="97" t="s">
        <v>4394</v>
      </c>
      <c r="G19" s="97" t="s">
        <v>4394</v>
      </c>
      <c r="H19" s="97" t="s">
        <v>281</v>
      </c>
      <c r="I19" s="97" t="s">
        <v>62</v>
      </c>
      <c r="J19" s="98">
        <v>730856</v>
      </c>
      <c r="K19" s="98">
        <v>0</v>
      </c>
      <c r="L19" s="97" t="s">
        <v>3518</v>
      </c>
      <c r="M19" s="97" t="s">
        <v>3519</v>
      </c>
      <c r="N19" s="97" t="s">
        <v>4365</v>
      </c>
      <c r="O19" s="97" t="s">
        <v>4366</v>
      </c>
      <c r="P19" s="97"/>
      <c r="Q19" s="97" t="s">
        <v>4362</v>
      </c>
    </row>
    <row r="20" spans="1:17">
      <c r="A20" s="96">
        <v>45299</v>
      </c>
      <c r="B20" s="96">
        <v>45299</v>
      </c>
      <c r="C20" s="97" t="s">
        <v>4395</v>
      </c>
      <c r="D20" s="96"/>
      <c r="E20" s="97"/>
      <c r="F20" s="97" t="s">
        <v>4396</v>
      </c>
      <c r="G20" s="97" t="s">
        <v>4396</v>
      </c>
      <c r="H20" s="97" t="s">
        <v>281</v>
      </c>
      <c r="I20" s="97" t="s">
        <v>62</v>
      </c>
      <c r="J20" s="98">
        <v>730856</v>
      </c>
      <c r="K20" s="98">
        <v>0</v>
      </c>
      <c r="L20" s="97" t="s">
        <v>3518</v>
      </c>
      <c r="M20" s="97" t="s">
        <v>3519</v>
      </c>
      <c r="N20" s="97" t="s">
        <v>4365</v>
      </c>
      <c r="O20" s="97" t="s">
        <v>4366</v>
      </c>
      <c r="P20" s="97"/>
      <c r="Q20" s="97" t="s">
        <v>4362</v>
      </c>
    </row>
    <row r="21" spans="1:17">
      <c r="A21" s="96">
        <v>45300</v>
      </c>
      <c r="B21" s="96">
        <v>45300</v>
      </c>
      <c r="C21" s="97" t="s">
        <v>4397</v>
      </c>
      <c r="D21" s="96"/>
      <c r="E21" s="97"/>
      <c r="F21" s="97" t="s">
        <v>4398</v>
      </c>
      <c r="G21" s="97" t="s">
        <v>4398</v>
      </c>
      <c r="H21" s="97" t="s">
        <v>283</v>
      </c>
      <c r="I21" s="97" t="s">
        <v>62</v>
      </c>
      <c r="J21" s="98">
        <v>4167266</v>
      </c>
      <c r="K21" s="98">
        <v>0</v>
      </c>
      <c r="L21" s="97" t="s">
        <v>3524</v>
      </c>
      <c r="M21" s="97" t="s">
        <v>622</v>
      </c>
      <c r="N21" s="97" t="s">
        <v>4365</v>
      </c>
      <c r="O21" s="97" t="s">
        <v>4366</v>
      </c>
      <c r="P21" s="97"/>
      <c r="Q21" s="97" t="s">
        <v>4362</v>
      </c>
    </row>
    <row r="22" spans="1:17">
      <c r="A22" s="96">
        <v>45300</v>
      </c>
      <c r="B22" s="96">
        <v>45300</v>
      </c>
      <c r="C22" s="97" t="s">
        <v>4399</v>
      </c>
      <c r="D22" s="96"/>
      <c r="E22" s="97"/>
      <c r="F22" s="97" t="s">
        <v>4400</v>
      </c>
      <c r="G22" s="97" t="s">
        <v>4400</v>
      </c>
      <c r="H22" s="97" t="s">
        <v>387</v>
      </c>
      <c r="I22" s="97" t="s">
        <v>62</v>
      </c>
      <c r="J22" s="98">
        <v>487600</v>
      </c>
      <c r="K22" s="98">
        <v>0</v>
      </c>
      <c r="L22" s="97" t="s">
        <v>3524</v>
      </c>
      <c r="M22" s="97" t="s">
        <v>622</v>
      </c>
      <c r="N22" s="97" t="s">
        <v>4365</v>
      </c>
      <c r="O22" s="97" t="s">
        <v>4366</v>
      </c>
      <c r="P22" s="97"/>
      <c r="Q22" s="97" t="s">
        <v>4362</v>
      </c>
    </row>
    <row r="23" spans="1:17">
      <c r="A23" s="96">
        <v>45300</v>
      </c>
      <c r="B23" s="96">
        <v>45300</v>
      </c>
      <c r="C23" s="97" t="s">
        <v>4401</v>
      </c>
      <c r="D23" s="96"/>
      <c r="E23" s="97"/>
      <c r="F23" s="97" t="s">
        <v>4402</v>
      </c>
      <c r="G23" s="97" t="s">
        <v>4402</v>
      </c>
      <c r="H23" s="97" t="s">
        <v>387</v>
      </c>
      <c r="I23" s="97" t="s">
        <v>62</v>
      </c>
      <c r="J23" s="98">
        <v>9899018</v>
      </c>
      <c r="K23" s="98">
        <v>0</v>
      </c>
      <c r="L23" s="97" t="s">
        <v>3524</v>
      </c>
      <c r="M23" s="97" t="s">
        <v>622</v>
      </c>
      <c r="N23" s="97" t="s">
        <v>4365</v>
      </c>
      <c r="O23" s="97" t="s">
        <v>4366</v>
      </c>
      <c r="P23" s="97"/>
      <c r="Q23" s="97" t="s">
        <v>4362</v>
      </c>
    </row>
    <row r="24" spans="1:17">
      <c r="A24" s="96">
        <v>45300</v>
      </c>
      <c r="B24" s="96">
        <v>45300</v>
      </c>
      <c r="C24" s="97" t="s">
        <v>4403</v>
      </c>
      <c r="D24" s="96"/>
      <c r="E24" s="97"/>
      <c r="F24" s="97" t="s">
        <v>4404</v>
      </c>
      <c r="G24" s="97" t="s">
        <v>4404</v>
      </c>
      <c r="H24" s="97" t="s">
        <v>444</v>
      </c>
      <c r="I24" s="97" t="s">
        <v>62</v>
      </c>
      <c r="J24" s="98">
        <v>100000</v>
      </c>
      <c r="K24" s="98">
        <v>0</v>
      </c>
      <c r="L24" s="97" t="s">
        <v>3524</v>
      </c>
      <c r="M24" s="97" t="s">
        <v>622</v>
      </c>
      <c r="N24" s="97" t="s">
        <v>4365</v>
      </c>
      <c r="O24" s="97" t="s">
        <v>4366</v>
      </c>
      <c r="P24" s="97"/>
      <c r="Q24" s="97" t="s">
        <v>4362</v>
      </c>
    </row>
    <row r="25" spans="1:17">
      <c r="A25" s="96">
        <v>45306</v>
      </c>
      <c r="B25" s="96">
        <v>45306</v>
      </c>
      <c r="C25" s="97" t="s">
        <v>4405</v>
      </c>
      <c r="D25" s="96"/>
      <c r="E25" s="97"/>
      <c r="F25" s="97" t="s">
        <v>4406</v>
      </c>
      <c r="G25" s="97" t="s">
        <v>4406</v>
      </c>
      <c r="H25" s="97" t="s">
        <v>283</v>
      </c>
      <c r="I25" s="97" t="s">
        <v>62</v>
      </c>
      <c r="J25" s="98">
        <v>1226001</v>
      </c>
      <c r="K25" s="98">
        <v>0</v>
      </c>
      <c r="L25" s="97" t="s">
        <v>3524</v>
      </c>
      <c r="M25" s="97" t="s">
        <v>622</v>
      </c>
      <c r="N25" s="97" t="s">
        <v>4365</v>
      </c>
      <c r="O25" s="97" t="s">
        <v>4366</v>
      </c>
      <c r="P25" s="97"/>
      <c r="Q25" s="97" t="s">
        <v>4362</v>
      </c>
    </row>
    <row r="26" spans="1:17">
      <c r="A26" s="96">
        <v>45307</v>
      </c>
      <c r="B26" s="96">
        <v>45307</v>
      </c>
      <c r="C26" s="97" t="s">
        <v>4407</v>
      </c>
      <c r="D26" s="96"/>
      <c r="E26" s="97"/>
      <c r="F26" s="97" t="s">
        <v>4408</v>
      </c>
      <c r="G26" s="97" t="s">
        <v>4408</v>
      </c>
      <c r="H26" s="97" t="s">
        <v>283</v>
      </c>
      <c r="I26" s="97" t="s">
        <v>62</v>
      </c>
      <c r="J26" s="98">
        <v>1226001</v>
      </c>
      <c r="K26" s="98">
        <v>0</v>
      </c>
      <c r="L26" s="97" t="s">
        <v>3524</v>
      </c>
      <c r="M26" s="97" t="s">
        <v>622</v>
      </c>
      <c r="N26" s="97" t="s">
        <v>4365</v>
      </c>
      <c r="O26" s="97" t="s">
        <v>4366</v>
      </c>
      <c r="P26" s="97"/>
      <c r="Q26" s="97" t="s">
        <v>4362</v>
      </c>
    </row>
    <row r="27" spans="1:17">
      <c r="A27" s="96">
        <v>45308</v>
      </c>
      <c r="B27" s="96">
        <v>45308</v>
      </c>
      <c r="C27" s="97" t="s">
        <v>4409</v>
      </c>
      <c r="D27" s="96"/>
      <c r="E27" s="97"/>
      <c r="F27" s="97" t="s">
        <v>4410</v>
      </c>
      <c r="G27" s="97" t="s">
        <v>4410</v>
      </c>
      <c r="H27" s="97" t="s">
        <v>283</v>
      </c>
      <c r="I27" s="97" t="s">
        <v>62</v>
      </c>
      <c r="J27" s="98">
        <v>1223999</v>
      </c>
      <c r="K27" s="98">
        <v>0</v>
      </c>
      <c r="L27" s="97" t="s">
        <v>3524</v>
      </c>
      <c r="M27" s="97" t="s">
        <v>622</v>
      </c>
      <c r="N27" s="97" t="s">
        <v>4365</v>
      </c>
      <c r="O27" s="97" t="s">
        <v>4366</v>
      </c>
      <c r="P27" s="97"/>
      <c r="Q27" s="97" t="s">
        <v>4362</v>
      </c>
    </row>
    <row r="28" spans="1:17">
      <c r="A28" s="96">
        <v>45309</v>
      </c>
      <c r="B28" s="96">
        <v>45309</v>
      </c>
      <c r="C28" s="97" t="s">
        <v>4411</v>
      </c>
      <c r="D28" s="96"/>
      <c r="E28" s="97"/>
      <c r="F28" s="97" t="s">
        <v>4412</v>
      </c>
      <c r="G28" s="97" t="s">
        <v>4412</v>
      </c>
      <c r="H28" s="97" t="s">
        <v>283</v>
      </c>
      <c r="I28" s="97" t="s">
        <v>62</v>
      </c>
      <c r="J28" s="98">
        <v>1226750</v>
      </c>
      <c r="K28" s="98">
        <v>0</v>
      </c>
      <c r="L28" s="97" t="s">
        <v>3524</v>
      </c>
      <c r="M28" s="97" t="s">
        <v>622</v>
      </c>
      <c r="N28" s="97" t="s">
        <v>4365</v>
      </c>
      <c r="O28" s="97" t="s">
        <v>4366</v>
      </c>
      <c r="P28" s="97"/>
      <c r="Q28" s="97" t="s">
        <v>4362</v>
      </c>
    </row>
    <row r="29" spans="1:17">
      <c r="A29" s="96">
        <v>45309</v>
      </c>
      <c r="B29" s="96">
        <v>45309</v>
      </c>
      <c r="C29" s="97" t="s">
        <v>4413</v>
      </c>
      <c r="D29" s="96"/>
      <c r="E29" s="97"/>
      <c r="F29" s="97" t="s">
        <v>4414</v>
      </c>
      <c r="G29" s="97" t="s">
        <v>4414</v>
      </c>
      <c r="H29" s="97" t="s">
        <v>444</v>
      </c>
      <c r="I29" s="97" t="s">
        <v>62</v>
      </c>
      <c r="J29" s="98">
        <v>2000</v>
      </c>
      <c r="K29" s="98">
        <v>0</v>
      </c>
      <c r="L29" s="97" t="s">
        <v>3524</v>
      </c>
      <c r="M29" s="97" t="s">
        <v>622</v>
      </c>
      <c r="N29" s="97" t="s">
        <v>4365</v>
      </c>
      <c r="O29" s="97" t="s">
        <v>4366</v>
      </c>
      <c r="P29" s="97"/>
      <c r="Q29" s="97" t="s">
        <v>4362</v>
      </c>
    </row>
    <row r="30" spans="1:17">
      <c r="A30" s="96">
        <v>45310</v>
      </c>
      <c r="B30" s="96">
        <v>45310</v>
      </c>
      <c r="C30" s="97" t="s">
        <v>4415</v>
      </c>
      <c r="D30" s="96"/>
      <c r="E30" s="97"/>
      <c r="F30" s="97" t="s">
        <v>4416</v>
      </c>
      <c r="G30" s="97" t="s">
        <v>4416</v>
      </c>
      <c r="H30" s="97" t="s">
        <v>283</v>
      </c>
      <c r="I30" s="97" t="s">
        <v>62</v>
      </c>
      <c r="J30" s="98">
        <v>1227150</v>
      </c>
      <c r="K30" s="98">
        <v>0</v>
      </c>
      <c r="L30" s="97" t="s">
        <v>3524</v>
      </c>
      <c r="M30" s="97" t="s">
        <v>622</v>
      </c>
      <c r="N30" s="97" t="s">
        <v>4365</v>
      </c>
      <c r="O30" s="97" t="s">
        <v>4366</v>
      </c>
      <c r="P30" s="97"/>
      <c r="Q30" s="97" t="s">
        <v>4362</v>
      </c>
    </row>
    <row r="31" spans="1:17">
      <c r="A31" s="96">
        <v>45310</v>
      </c>
      <c r="B31" s="96">
        <v>45310</v>
      </c>
      <c r="C31" s="97" t="s">
        <v>4417</v>
      </c>
      <c r="D31" s="96"/>
      <c r="E31" s="97"/>
      <c r="F31" s="97" t="s">
        <v>4418</v>
      </c>
      <c r="G31" s="97" t="s">
        <v>4418</v>
      </c>
      <c r="H31" s="97" t="s">
        <v>281</v>
      </c>
      <c r="I31" s="97" t="s">
        <v>62</v>
      </c>
      <c r="J31" s="98">
        <v>2358722</v>
      </c>
      <c r="K31" s="98">
        <v>0</v>
      </c>
      <c r="L31" s="97" t="s">
        <v>3524</v>
      </c>
      <c r="M31" s="97" t="s">
        <v>622</v>
      </c>
      <c r="N31" s="97" t="s">
        <v>4365</v>
      </c>
      <c r="O31" s="97" t="s">
        <v>4366</v>
      </c>
      <c r="P31" s="97"/>
      <c r="Q31" s="97" t="s">
        <v>4362</v>
      </c>
    </row>
    <row r="32" spans="1:17">
      <c r="A32" s="96">
        <v>45311</v>
      </c>
      <c r="B32" s="96">
        <v>45311</v>
      </c>
      <c r="C32" s="97" t="s">
        <v>4419</v>
      </c>
      <c r="D32" s="96"/>
      <c r="E32" s="97"/>
      <c r="F32" s="97" t="s">
        <v>4420</v>
      </c>
      <c r="G32" s="97" t="s">
        <v>4420</v>
      </c>
      <c r="H32" s="97" t="s">
        <v>283</v>
      </c>
      <c r="I32" s="97" t="s">
        <v>62</v>
      </c>
      <c r="J32" s="98">
        <v>1228501</v>
      </c>
      <c r="K32" s="98">
        <v>0</v>
      </c>
      <c r="L32" s="97" t="s">
        <v>3524</v>
      </c>
      <c r="M32" s="97" t="s">
        <v>622</v>
      </c>
      <c r="N32" s="97" t="s">
        <v>4365</v>
      </c>
      <c r="O32" s="97" t="s">
        <v>4366</v>
      </c>
      <c r="P32" s="97"/>
      <c r="Q32" s="97" t="s">
        <v>4362</v>
      </c>
    </row>
    <row r="33" spans="1:17">
      <c r="A33" s="96">
        <v>45313</v>
      </c>
      <c r="B33" s="96">
        <v>45313</v>
      </c>
      <c r="C33" s="97" t="s">
        <v>4421</v>
      </c>
      <c r="D33" s="96"/>
      <c r="E33" s="97"/>
      <c r="F33" s="97" t="s">
        <v>4422</v>
      </c>
      <c r="G33" s="97" t="s">
        <v>4422</v>
      </c>
      <c r="H33" s="97" t="s">
        <v>283</v>
      </c>
      <c r="I33" s="97" t="s">
        <v>62</v>
      </c>
      <c r="J33" s="98">
        <v>1228000</v>
      </c>
      <c r="K33" s="98">
        <v>0</v>
      </c>
      <c r="L33" s="97" t="s">
        <v>3524</v>
      </c>
      <c r="M33" s="97" t="s">
        <v>622</v>
      </c>
      <c r="N33" s="97" t="s">
        <v>4365</v>
      </c>
      <c r="O33" s="97" t="s">
        <v>4366</v>
      </c>
      <c r="P33" s="97"/>
      <c r="Q33" s="97" t="s">
        <v>4362</v>
      </c>
    </row>
    <row r="34" spans="1:17">
      <c r="A34" s="96">
        <v>45314</v>
      </c>
      <c r="B34" s="96">
        <v>45314</v>
      </c>
      <c r="C34" s="97" t="s">
        <v>4423</v>
      </c>
      <c r="D34" s="96"/>
      <c r="E34" s="97"/>
      <c r="F34" s="97" t="s">
        <v>4424</v>
      </c>
      <c r="G34" s="97" t="s">
        <v>4424</v>
      </c>
      <c r="H34" s="97" t="s">
        <v>283</v>
      </c>
      <c r="I34" s="97" t="s">
        <v>62</v>
      </c>
      <c r="J34" s="98">
        <v>1227500</v>
      </c>
      <c r="K34" s="98">
        <v>0</v>
      </c>
      <c r="L34" s="97" t="s">
        <v>3524</v>
      </c>
      <c r="M34" s="97" t="s">
        <v>622</v>
      </c>
      <c r="N34" s="97" t="s">
        <v>4365</v>
      </c>
      <c r="O34" s="97" t="s">
        <v>4366</v>
      </c>
      <c r="P34" s="97"/>
      <c r="Q34" s="97" t="s">
        <v>4362</v>
      </c>
    </row>
    <row r="35" spans="1:17">
      <c r="A35" s="96">
        <v>45317</v>
      </c>
      <c r="B35" s="96">
        <v>45317</v>
      </c>
      <c r="C35" s="97" t="s">
        <v>4425</v>
      </c>
      <c r="D35" s="96"/>
      <c r="E35" s="97"/>
      <c r="F35" s="97" t="s">
        <v>4426</v>
      </c>
      <c r="G35" s="97" t="s">
        <v>4426</v>
      </c>
      <c r="H35" s="97" t="s">
        <v>283</v>
      </c>
      <c r="I35" s="97" t="s">
        <v>62</v>
      </c>
      <c r="J35" s="98">
        <v>1476302</v>
      </c>
      <c r="K35" s="98">
        <v>0</v>
      </c>
      <c r="L35" s="97" t="s">
        <v>3524</v>
      </c>
      <c r="M35" s="97" t="s">
        <v>622</v>
      </c>
      <c r="N35" s="97" t="s">
        <v>4365</v>
      </c>
      <c r="O35" s="97" t="s">
        <v>4366</v>
      </c>
      <c r="P35" s="97"/>
      <c r="Q35" s="97" t="s">
        <v>4362</v>
      </c>
    </row>
    <row r="36" spans="1:17">
      <c r="A36" s="96">
        <v>45317</v>
      </c>
      <c r="B36" s="96">
        <v>45317</v>
      </c>
      <c r="C36" s="97" t="s">
        <v>4427</v>
      </c>
      <c r="D36" s="96"/>
      <c r="E36" s="97"/>
      <c r="F36" s="97" t="s">
        <v>4428</v>
      </c>
      <c r="G36" s="97" t="s">
        <v>4428</v>
      </c>
      <c r="H36" s="97" t="s">
        <v>387</v>
      </c>
      <c r="I36" s="97" t="s">
        <v>62</v>
      </c>
      <c r="J36" s="98">
        <v>215294</v>
      </c>
      <c r="K36" s="98">
        <v>0</v>
      </c>
      <c r="L36" s="97" t="s">
        <v>3524</v>
      </c>
      <c r="M36" s="97" t="s">
        <v>622</v>
      </c>
      <c r="N36" s="97" t="s">
        <v>4365</v>
      </c>
      <c r="O36" s="97" t="s">
        <v>4366</v>
      </c>
      <c r="P36" s="97"/>
      <c r="Q36" s="97" t="s">
        <v>4362</v>
      </c>
    </row>
    <row r="37" spans="1:17">
      <c r="A37" s="96">
        <v>45318</v>
      </c>
      <c r="B37" s="96">
        <v>45318</v>
      </c>
      <c r="C37" s="97" t="s">
        <v>4429</v>
      </c>
      <c r="D37" s="96"/>
      <c r="E37" s="97"/>
      <c r="F37" s="97" t="s">
        <v>4430</v>
      </c>
      <c r="G37" s="97" t="s">
        <v>4430</v>
      </c>
      <c r="H37" s="97" t="s">
        <v>283</v>
      </c>
      <c r="I37" s="97" t="s">
        <v>125</v>
      </c>
      <c r="J37" s="98">
        <v>45000</v>
      </c>
      <c r="K37" s="98">
        <v>0</v>
      </c>
      <c r="L37" s="97" t="s">
        <v>4431</v>
      </c>
      <c r="M37" s="97" t="s">
        <v>4432</v>
      </c>
      <c r="N37" s="97" t="s">
        <v>4365</v>
      </c>
      <c r="O37" s="97" t="s">
        <v>4366</v>
      </c>
      <c r="P37" s="97" t="s">
        <v>4433</v>
      </c>
      <c r="Q37" s="97" t="s">
        <v>4362</v>
      </c>
    </row>
    <row r="38" spans="1:17">
      <c r="A38" s="96">
        <v>45318</v>
      </c>
      <c r="B38" s="96">
        <v>45318</v>
      </c>
      <c r="C38" s="97" t="s">
        <v>4429</v>
      </c>
      <c r="D38" s="96"/>
      <c r="E38" s="97"/>
      <c r="F38" s="97" t="s">
        <v>4430</v>
      </c>
      <c r="G38" s="97" t="s">
        <v>4430</v>
      </c>
      <c r="H38" s="97" t="s">
        <v>283</v>
      </c>
      <c r="I38" s="97" t="s">
        <v>51</v>
      </c>
      <c r="J38" s="98">
        <v>2368</v>
      </c>
      <c r="K38" s="98">
        <v>0</v>
      </c>
      <c r="L38" s="97" t="s">
        <v>4431</v>
      </c>
      <c r="M38" s="97" t="s">
        <v>4432</v>
      </c>
      <c r="N38" s="97" t="s">
        <v>4365</v>
      </c>
      <c r="O38" s="97" t="s">
        <v>4366</v>
      </c>
      <c r="P38" s="97" t="s">
        <v>4433</v>
      </c>
      <c r="Q38" s="97" t="s">
        <v>4362</v>
      </c>
    </row>
    <row r="39" spans="1:17">
      <c r="A39" s="96">
        <v>45318</v>
      </c>
      <c r="B39" s="96">
        <v>45318</v>
      </c>
      <c r="C39" s="97" t="s">
        <v>4434</v>
      </c>
      <c r="D39" s="96"/>
      <c r="E39" s="97"/>
      <c r="F39" s="97" t="s">
        <v>4435</v>
      </c>
      <c r="G39" s="97" t="s">
        <v>4435</v>
      </c>
      <c r="H39" s="97" t="s">
        <v>283</v>
      </c>
      <c r="I39" s="97" t="s">
        <v>62</v>
      </c>
      <c r="J39" s="98">
        <v>1230751</v>
      </c>
      <c r="K39" s="98">
        <v>0</v>
      </c>
      <c r="L39" s="97" t="s">
        <v>3524</v>
      </c>
      <c r="M39" s="97" t="s">
        <v>622</v>
      </c>
      <c r="N39" s="97" t="s">
        <v>4365</v>
      </c>
      <c r="O39" s="97" t="s">
        <v>4366</v>
      </c>
      <c r="P39" s="97"/>
      <c r="Q39" s="97" t="s">
        <v>4362</v>
      </c>
    </row>
    <row r="40" spans="1:17">
      <c r="A40" s="96">
        <v>45320</v>
      </c>
      <c r="B40" s="96">
        <v>45320</v>
      </c>
      <c r="C40" s="97" t="s">
        <v>4436</v>
      </c>
      <c r="D40" s="96"/>
      <c r="E40" s="97"/>
      <c r="F40" s="97" t="s">
        <v>4437</v>
      </c>
      <c r="G40" s="97" t="s">
        <v>4437</v>
      </c>
      <c r="H40" s="97" t="s">
        <v>283</v>
      </c>
      <c r="I40" s="97" t="s">
        <v>62</v>
      </c>
      <c r="J40" s="98">
        <v>98460</v>
      </c>
      <c r="K40" s="98">
        <v>0</v>
      </c>
      <c r="L40" s="97" t="s">
        <v>3524</v>
      </c>
      <c r="M40" s="97" t="s">
        <v>622</v>
      </c>
      <c r="N40" s="97" t="s">
        <v>4365</v>
      </c>
      <c r="O40" s="97" t="s">
        <v>4366</v>
      </c>
      <c r="P40" s="97"/>
      <c r="Q40" s="97" t="s">
        <v>4362</v>
      </c>
    </row>
    <row r="41" spans="1:17">
      <c r="A41" s="96">
        <v>45320</v>
      </c>
      <c r="B41" s="96">
        <v>45320</v>
      </c>
      <c r="C41" s="97" t="s">
        <v>4438</v>
      </c>
      <c r="D41" s="96"/>
      <c r="E41" s="97"/>
      <c r="F41" s="97" t="s">
        <v>4439</v>
      </c>
      <c r="G41" s="97" t="s">
        <v>4439</v>
      </c>
      <c r="H41" s="97" t="s">
        <v>283</v>
      </c>
      <c r="I41" s="97" t="s">
        <v>62</v>
      </c>
      <c r="J41" s="98">
        <v>1230751</v>
      </c>
      <c r="K41" s="98">
        <v>0</v>
      </c>
      <c r="L41" s="97" t="s">
        <v>3524</v>
      </c>
      <c r="M41" s="97" t="s">
        <v>622</v>
      </c>
      <c r="N41" s="97" t="s">
        <v>4365</v>
      </c>
      <c r="O41" s="97" t="s">
        <v>4366</v>
      </c>
      <c r="P41" s="97"/>
      <c r="Q41" s="97" t="s">
        <v>4362</v>
      </c>
    </row>
    <row r="42" spans="1:17">
      <c r="A42" s="96">
        <v>45320</v>
      </c>
      <c r="B42" s="96">
        <v>45320</v>
      </c>
      <c r="C42" s="97" t="s">
        <v>4440</v>
      </c>
      <c r="D42" s="96"/>
      <c r="E42" s="97"/>
      <c r="F42" s="97" t="s">
        <v>4441</v>
      </c>
      <c r="G42" s="97" t="s">
        <v>4441</v>
      </c>
      <c r="H42" s="97" t="s">
        <v>283</v>
      </c>
      <c r="I42" s="97" t="s">
        <v>62</v>
      </c>
      <c r="J42" s="98">
        <v>1230751</v>
      </c>
      <c r="K42" s="98">
        <v>0</v>
      </c>
      <c r="L42" s="97" t="s">
        <v>3524</v>
      </c>
      <c r="M42" s="97" t="s">
        <v>622</v>
      </c>
      <c r="N42" s="97" t="s">
        <v>4365</v>
      </c>
      <c r="O42" s="97" t="s">
        <v>4366</v>
      </c>
      <c r="P42" s="97"/>
      <c r="Q42" s="97" t="s">
        <v>4362</v>
      </c>
    </row>
    <row r="43" spans="1:17">
      <c r="A43" s="96">
        <v>45321</v>
      </c>
      <c r="B43" s="96">
        <v>45321</v>
      </c>
      <c r="C43" s="97" t="s">
        <v>4442</v>
      </c>
      <c r="D43" s="96"/>
      <c r="E43" s="97"/>
      <c r="F43" s="97" t="s">
        <v>4443</v>
      </c>
      <c r="G43" s="97" t="s">
        <v>4443</v>
      </c>
      <c r="H43" s="97" t="s">
        <v>283</v>
      </c>
      <c r="I43" s="97" t="s">
        <v>62</v>
      </c>
      <c r="J43" s="98">
        <v>1230000</v>
      </c>
      <c r="K43" s="98">
        <v>0</v>
      </c>
      <c r="L43" s="97" t="s">
        <v>3524</v>
      </c>
      <c r="M43" s="97" t="s">
        <v>622</v>
      </c>
      <c r="N43" s="97" t="s">
        <v>4365</v>
      </c>
      <c r="O43" s="97" t="s">
        <v>4366</v>
      </c>
      <c r="P43" s="97"/>
      <c r="Q43" s="97" t="s">
        <v>4362</v>
      </c>
    </row>
    <row r="44" spans="1:17">
      <c r="A44" s="96">
        <v>45322</v>
      </c>
      <c r="B44" s="96">
        <v>45322</v>
      </c>
      <c r="C44" s="97" t="s">
        <v>4444</v>
      </c>
      <c r="D44" s="96"/>
      <c r="E44" s="97"/>
      <c r="F44" s="97" t="s">
        <v>4445</v>
      </c>
      <c r="G44" s="97" t="s">
        <v>4445</v>
      </c>
      <c r="H44" s="97" t="s">
        <v>283</v>
      </c>
      <c r="I44" s="97" t="s">
        <v>62</v>
      </c>
      <c r="J44" s="98">
        <v>1225001</v>
      </c>
      <c r="K44" s="98">
        <v>0</v>
      </c>
      <c r="L44" s="97" t="s">
        <v>3524</v>
      </c>
      <c r="M44" s="97" t="s">
        <v>622</v>
      </c>
      <c r="N44" s="97" t="s">
        <v>4365</v>
      </c>
      <c r="O44" s="97" t="s">
        <v>4366</v>
      </c>
      <c r="P44" s="97"/>
      <c r="Q44" s="97" t="s">
        <v>4362</v>
      </c>
    </row>
    <row r="45" spans="1:17">
      <c r="A45" s="96">
        <v>45322</v>
      </c>
      <c r="B45" s="96">
        <v>45322</v>
      </c>
      <c r="C45" s="97" t="s">
        <v>4446</v>
      </c>
      <c r="D45" s="96"/>
      <c r="E45" s="97"/>
      <c r="F45" s="97" t="s">
        <v>4447</v>
      </c>
      <c r="G45" s="97" t="s">
        <v>4447</v>
      </c>
      <c r="H45" s="97" t="s">
        <v>435</v>
      </c>
      <c r="I45" s="97" t="s">
        <v>132</v>
      </c>
      <c r="J45" s="98">
        <v>1522222</v>
      </c>
      <c r="K45" s="98">
        <v>0</v>
      </c>
      <c r="L45" s="97"/>
      <c r="M45" s="97"/>
      <c r="N45" s="97" t="s">
        <v>4448</v>
      </c>
      <c r="O45" s="97" t="s">
        <v>4449</v>
      </c>
      <c r="P45" s="97" t="s">
        <v>3524</v>
      </c>
      <c r="Q45" s="97" t="s">
        <v>4362</v>
      </c>
    </row>
    <row r="46" spans="1:17">
      <c r="A46" s="96">
        <v>45323</v>
      </c>
      <c r="B46" s="96">
        <v>45323</v>
      </c>
      <c r="C46" s="97" t="s">
        <v>4450</v>
      </c>
      <c r="D46" s="96"/>
      <c r="E46" s="97"/>
      <c r="F46" s="97" t="s">
        <v>4451</v>
      </c>
      <c r="G46" s="97" t="s">
        <v>4451</v>
      </c>
      <c r="H46" s="97" t="s">
        <v>387</v>
      </c>
      <c r="I46" s="97" t="s">
        <v>125</v>
      </c>
      <c r="J46" s="98">
        <v>1853446</v>
      </c>
      <c r="K46" s="98">
        <v>0</v>
      </c>
      <c r="L46" s="97" t="s">
        <v>3738</v>
      </c>
      <c r="M46" s="97" t="s">
        <v>4369</v>
      </c>
      <c r="N46" s="97" t="s">
        <v>4365</v>
      </c>
      <c r="O46" s="97" t="s">
        <v>4366</v>
      </c>
      <c r="P46" s="97"/>
      <c r="Q46" s="97" t="s">
        <v>4362</v>
      </c>
    </row>
    <row r="47" spans="1:17">
      <c r="A47" s="96">
        <v>45323</v>
      </c>
      <c r="B47" s="96">
        <v>45323</v>
      </c>
      <c r="C47" s="97" t="s">
        <v>4452</v>
      </c>
      <c r="D47" s="96"/>
      <c r="E47" s="97"/>
      <c r="F47" s="97" t="s">
        <v>4453</v>
      </c>
      <c r="G47" s="97" t="s">
        <v>4453</v>
      </c>
      <c r="H47" s="97" t="s">
        <v>387</v>
      </c>
      <c r="I47" s="97" t="s">
        <v>125</v>
      </c>
      <c r="J47" s="98">
        <v>617734</v>
      </c>
      <c r="K47" s="98">
        <v>0</v>
      </c>
      <c r="L47" s="97" t="s">
        <v>3738</v>
      </c>
      <c r="M47" s="97" t="s">
        <v>4369</v>
      </c>
      <c r="N47" s="97" t="s">
        <v>4365</v>
      </c>
      <c r="O47" s="97" t="s">
        <v>4366</v>
      </c>
      <c r="P47" s="97"/>
      <c r="Q47" s="97" t="s">
        <v>4362</v>
      </c>
    </row>
    <row r="48" spans="1:17">
      <c r="A48" s="96">
        <v>45323</v>
      </c>
      <c r="B48" s="96">
        <v>45323</v>
      </c>
      <c r="C48" s="97" t="s">
        <v>4454</v>
      </c>
      <c r="D48" s="96"/>
      <c r="E48" s="97"/>
      <c r="F48" s="97" t="s">
        <v>4455</v>
      </c>
      <c r="G48" s="97" t="s">
        <v>4455</v>
      </c>
      <c r="H48" s="97" t="s">
        <v>387</v>
      </c>
      <c r="I48" s="97" t="s">
        <v>125</v>
      </c>
      <c r="J48" s="98">
        <v>278054</v>
      </c>
      <c r="K48" s="98">
        <v>0</v>
      </c>
      <c r="L48" s="97" t="s">
        <v>3738</v>
      </c>
      <c r="M48" s="97" t="s">
        <v>4369</v>
      </c>
      <c r="N48" s="97" t="s">
        <v>4365</v>
      </c>
      <c r="O48" s="97" t="s">
        <v>4366</v>
      </c>
      <c r="P48" s="97"/>
      <c r="Q48" s="97" t="s">
        <v>4362</v>
      </c>
    </row>
    <row r="49" spans="1:17">
      <c r="A49" s="96">
        <v>45323</v>
      </c>
      <c r="B49" s="96">
        <v>45323</v>
      </c>
      <c r="C49" s="97" t="s">
        <v>4456</v>
      </c>
      <c r="D49" s="96"/>
      <c r="E49" s="97"/>
      <c r="F49" s="97" t="s">
        <v>4457</v>
      </c>
      <c r="G49" s="97" t="s">
        <v>4457</v>
      </c>
      <c r="H49" s="97" t="s">
        <v>283</v>
      </c>
      <c r="I49" s="97" t="s">
        <v>62</v>
      </c>
      <c r="J49" s="98">
        <v>1222751</v>
      </c>
      <c r="K49" s="98">
        <v>0</v>
      </c>
      <c r="L49" s="97" t="s">
        <v>3524</v>
      </c>
      <c r="M49" s="97" t="s">
        <v>622</v>
      </c>
      <c r="N49" s="97" t="s">
        <v>4365</v>
      </c>
      <c r="O49" s="97" t="s">
        <v>4366</v>
      </c>
      <c r="P49" s="97"/>
      <c r="Q49" s="97" t="s">
        <v>4362</v>
      </c>
    </row>
    <row r="50" spans="1:17">
      <c r="A50" s="96">
        <v>45324</v>
      </c>
      <c r="B50" s="96">
        <v>45324</v>
      </c>
      <c r="C50" s="97" t="s">
        <v>4458</v>
      </c>
      <c r="D50" s="96"/>
      <c r="E50" s="97"/>
      <c r="F50" s="97" t="s">
        <v>4459</v>
      </c>
      <c r="G50" s="97" t="s">
        <v>4459</v>
      </c>
      <c r="H50" s="97" t="s">
        <v>283</v>
      </c>
      <c r="I50" s="97" t="s">
        <v>125</v>
      </c>
      <c r="J50" s="98">
        <v>16224683</v>
      </c>
      <c r="K50" s="98">
        <v>0</v>
      </c>
      <c r="L50" s="97" t="s">
        <v>3518</v>
      </c>
      <c r="M50" s="97" t="s">
        <v>3519</v>
      </c>
      <c r="N50" s="97" t="s">
        <v>4365</v>
      </c>
      <c r="O50" s="97" t="s">
        <v>4366</v>
      </c>
      <c r="P50" s="97"/>
      <c r="Q50" s="97" t="s">
        <v>4362</v>
      </c>
    </row>
    <row r="51" spans="1:17">
      <c r="A51" s="96">
        <v>45324</v>
      </c>
      <c r="B51" s="96">
        <v>45324</v>
      </c>
      <c r="C51" s="97" t="s">
        <v>4460</v>
      </c>
      <c r="D51" s="96"/>
      <c r="E51" s="97"/>
      <c r="F51" s="97" t="s">
        <v>4461</v>
      </c>
      <c r="G51" s="97" t="s">
        <v>4461</v>
      </c>
      <c r="H51" s="97" t="s">
        <v>283</v>
      </c>
      <c r="I51" s="97" t="s">
        <v>125</v>
      </c>
      <c r="J51" s="98">
        <v>19555212</v>
      </c>
      <c r="K51" s="98">
        <v>0</v>
      </c>
      <c r="L51" s="97" t="s">
        <v>3518</v>
      </c>
      <c r="M51" s="97" t="s">
        <v>3519</v>
      </c>
      <c r="N51" s="97" t="s">
        <v>4365</v>
      </c>
      <c r="O51" s="97" t="s">
        <v>4366</v>
      </c>
      <c r="P51" s="97"/>
      <c r="Q51" s="97" t="s">
        <v>4362</v>
      </c>
    </row>
    <row r="52" spans="1:17">
      <c r="A52" s="96">
        <v>45324</v>
      </c>
      <c r="B52" s="96">
        <v>45324</v>
      </c>
      <c r="C52" s="97" t="s">
        <v>4462</v>
      </c>
      <c r="D52" s="96"/>
      <c r="E52" s="97"/>
      <c r="F52" s="97" t="s">
        <v>4463</v>
      </c>
      <c r="G52" s="97" t="s">
        <v>4463</v>
      </c>
      <c r="H52" s="97" t="s">
        <v>283</v>
      </c>
      <c r="I52" s="97" t="s">
        <v>62</v>
      </c>
      <c r="J52" s="98">
        <v>1220751</v>
      </c>
      <c r="K52" s="98">
        <v>0</v>
      </c>
      <c r="L52" s="97" t="s">
        <v>3524</v>
      </c>
      <c r="M52" s="97" t="s">
        <v>622</v>
      </c>
      <c r="N52" s="97" t="s">
        <v>4365</v>
      </c>
      <c r="O52" s="97" t="s">
        <v>4366</v>
      </c>
      <c r="P52" s="97"/>
      <c r="Q52" s="97" t="s">
        <v>4362</v>
      </c>
    </row>
    <row r="53" spans="1:17">
      <c r="A53" s="96">
        <v>45325</v>
      </c>
      <c r="B53" s="96">
        <v>45325</v>
      </c>
      <c r="C53" s="97" t="s">
        <v>4464</v>
      </c>
      <c r="D53" s="96"/>
      <c r="E53" s="97"/>
      <c r="F53" s="97" t="s">
        <v>4465</v>
      </c>
      <c r="G53" s="97" t="s">
        <v>4465</v>
      </c>
      <c r="H53" s="97" t="s">
        <v>283</v>
      </c>
      <c r="I53" s="97" t="s">
        <v>62</v>
      </c>
      <c r="J53" s="98">
        <v>4329936</v>
      </c>
      <c r="K53" s="98">
        <v>0</v>
      </c>
      <c r="L53" s="97" t="s">
        <v>3524</v>
      </c>
      <c r="M53" s="97" t="s">
        <v>622</v>
      </c>
      <c r="N53" s="97" t="s">
        <v>4365</v>
      </c>
      <c r="O53" s="97" t="s">
        <v>4366</v>
      </c>
      <c r="P53" s="97"/>
      <c r="Q53" s="97" t="s">
        <v>4362</v>
      </c>
    </row>
    <row r="54" spans="1:17">
      <c r="A54" s="96">
        <v>45327</v>
      </c>
      <c r="B54" s="96">
        <v>45327</v>
      </c>
      <c r="C54" s="97" t="s">
        <v>4466</v>
      </c>
      <c r="D54" s="96"/>
      <c r="E54" s="97"/>
      <c r="F54" s="97" t="s">
        <v>4467</v>
      </c>
      <c r="G54" s="97" t="s">
        <v>4467</v>
      </c>
      <c r="H54" s="97" t="s">
        <v>283</v>
      </c>
      <c r="I54" s="97" t="s">
        <v>62</v>
      </c>
      <c r="J54" s="98">
        <v>1220250</v>
      </c>
      <c r="K54" s="98">
        <v>0</v>
      </c>
      <c r="L54" s="97" t="s">
        <v>3524</v>
      </c>
      <c r="M54" s="97" t="s">
        <v>622</v>
      </c>
      <c r="N54" s="97" t="s">
        <v>4365</v>
      </c>
      <c r="O54" s="97" t="s">
        <v>4366</v>
      </c>
      <c r="P54" s="97"/>
      <c r="Q54" s="97" t="s">
        <v>4362</v>
      </c>
    </row>
    <row r="55" spans="1:17">
      <c r="A55" s="96">
        <v>45327</v>
      </c>
      <c r="B55" s="96">
        <v>45327</v>
      </c>
      <c r="C55" s="97" t="s">
        <v>4468</v>
      </c>
      <c r="D55" s="96"/>
      <c r="E55" s="97"/>
      <c r="F55" s="97" t="s">
        <v>4469</v>
      </c>
      <c r="G55" s="97" t="s">
        <v>4469</v>
      </c>
      <c r="H55" s="97" t="s">
        <v>283</v>
      </c>
      <c r="I55" s="97" t="s">
        <v>62</v>
      </c>
      <c r="J55" s="98">
        <v>5571663</v>
      </c>
      <c r="K55" s="98">
        <v>0</v>
      </c>
      <c r="L55" s="97" t="s">
        <v>3524</v>
      </c>
      <c r="M55" s="97" t="s">
        <v>622</v>
      </c>
      <c r="N55" s="97" t="s">
        <v>4365</v>
      </c>
      <c r="O55" s="97" t="s">
        <v>4366</v>
      </c>
      <c r="P55" s="97"/>
      <c r="Q55" s="97" t="s">
        <v>4362</v>
      </c>
    </row>
    <row r="56" spans="1:17">
      <c r="A56" s="96">
        <v>45327</v>
      </c>
      <c r="B56" s="96">
        <v>45327</v>
      </c>
      <c r="C56" s="97" t="s">
        <v>4470</v>
      </c>
      <c r="D56" s="96"/>
      <c r="E56" s="97"/>
      <c r="F56" s="97" t="s">
        <v>4471</v>
      </c>
      <c r="G56" s="97" t="s">
        <v>4471</v>
      </c>
      <c r="H56" s="97" t="s">
        <v>283</v>
      </c>
      <c r="I56" s="97" t="s">
        <v>62</v>
      </c>
      <c r="J56" s="98">
        <v>1220250</v>
      </c>
      <c r="K56" s="98">
        <v>0</v>
      </c>
      <c r="L56" s="97" t="s">
        <v>3524</v>
      </c>
      <c r="M56" s="97" t="s">
        <v>622</v>
      </c>
      <c r="N56" s="97" t="s">
        <v>4365</v>
      </c>
      <c r="O56" s="97" t="s">
        <v>4366</v>
      </c>
      <c r="P56" s="97"/>
      <c r="Q56" s="97" t="s">
        <v>4362</v>
      </c>
    </row>
    <row r="57" spans="1:17">
      <c r="A57" s="96">
        <v>45328</v>
      </c>
      <c r="B57" s="96">
        <v>45328</v>
      </c>
      <c r="C57" s="97" t="s">
        <v>4472</v>
      </c>
      <c r="D57" s="96"/>
      <c r="E57" s="97"/>
      <c r="F57" s="97" t="s">
        <v>4473</v>
      </c>
      <c r="G57" s="97" t="s">
        <v>4473</v>
      </c>
      <c r="H57" s="97" t="s">
        <v>283</v>
      </c>
      <c r="I57" s="97" t="s">
        <v>62</v>
      </c>
      <c r="J57" s="98">
        <v>1220250</v>
      </c>
      <c r="K57" s="98">
        <v>0</v>
      </c>
      <c r="L57" s="97" t="s">
        <v>3524</v>
      </c>
      <c r="M57" s="97" t="s">
        <v>622</v>
      </c>
      <c r="N57" s="97" t="s">
        <v>4365</v>
      </c>
      <c r="O57" s="97" t="s">
        <v>4366</v>
      </c>
      <c r="P57" s="97"/>
      <c r="Q57" s="97" t="s">
        <v>4362</v>
      </c>
    </row>
    <row r="58" spans="1:17">
      <c r="A58" s="96">
        <v>45328</v>
      </c>
      <c r="B58" s="96">
        <v>45328</v>
      </c>
      <c r="C58" s="97" t="s">
        <v>4474</v>
      </c>
      <c r="D58" s="96"/>
      <c r="E58" s="97"/>
      <c r="F58" s="97" t="s">
        <v>4475</v>
      </c>
      <c r="G58" s="97" t="s">
        <v>4475</v>
      </c>
      <c r="H58" s="97" t="s">
        <v>283</v>
      </c>
      <c r="I58" s="97" t="s">
        <v>62</v>
      </c>
      <c r="J58" s="98">
        <v>852955</v>
      </c>
      <c r="K58" s="98">
        <v>0</v>
      </c>
      <c r="L58" s="97" t="s">
        <v>3524</v>
      </c>
      <c r="M58" s="97" t="s">
        <v>622</v>
      </c>
      <c r="N58" s="97" t="s">
        <v>4365</v>
      </c>
      <c r="O58" s="97" t="s">
        <v>4366</v>
      </c>
      <c r="P58" s="97"/>
      <c r="Q58" s="97" t="s">
        <v>4362</v>
      </c>
    </row>
    <row r="59" spans="1:17">
      <c r="A59" s="96">
        <v>45337</v>
      </c>
      <c r="B59" s="96">
        <v>45337</v>
      </c>
      <c r="C59" s="97" t="s">
        <v>4476</v>
      </c>
      <c r="D59" s="96"/>
      <c r="E59" s="97"/>
      <c r="F59" s="97" t="s">
        <v>4477</v>
      </c>
      <c r="G59" s="97" t="s">
        <v>4477</v>
      </c>
      <c r="H59" s="97" t="s">
        <v>387</v>
      </c>
      <c r="I59" s="97" t="s">
        <v>62</v>
      </c>
      <c r="J59" s="98">
        <v>10808855</v>
      </c>
      <c r="K59" s="98">
        <v>0</v>
      </c>
      <c r="L59" s="97" t="s">
        <v>3524</v>
      </c>
      <c r="M59" s="97" t="s">
        <v>622</v>
      </c>
      <c r="N59" s="97" t="s">
        <v>4365</v>
      </c>
      <c r="O59" s="97" t="s">
        <v>4366</v>
      </c>
      <c r="P59" s="97"/>
      <c r="Q59" s="97" t="s">
        <v>4362</v>
      </c>
    </row>
    <row r="60" spans="1:17">
      <c r="A60" s="96">
        <v>45337</v>
      </c>
      <c r="B60" s="96">
        <v>45337</v>
      </c>
      <c r="C60" s="97" t="s">
        <v>4478</v>
      </c>
      <c r="D60" s="96"/>
      <c r="E60" s="97"/>
      <c r="F60" s="97" t="s">
        <v>4479</v>
      </c>
      <c r="G60" s="97" t="s">
        <v>4479</v>
      </c>
      <c r="H60" s="97" t="s">
        <v>281</v>
      </c>
      <c r="I60" s="97" t="s">
        <v>125</v>
      </c>
      <c r="J60" s="98">
        <v>733255</v>
      </c>
      <c r="K60" s="98">
        <v>0</v>
      </c>
      <c r="L60" s="97" t="s">
        <v>4480</v>
      </c>
      <c r="M60" s="97" t="s">
        <v>4481</v>
      </c>
      <c r="N60" s="97" t="s">
        <v>4365</v>
      </c>
      <c r="O60" s="97" t="s">
        <v>4366</v>
      </c>
      <c r="P60" s="97"/>
      <c r="Q60" s="97" t="s">
        <v>4362</v>
      </c>
    </row>
    <row r="61" spans="1:17">
      <c r="A61" s="96">
        <v>45337</v>
      </c>
      <c r="B61" s="96">
        <v>45337</v>
      </c>
      <c r="C61" s="97" t="s">
        <v>4482</v>
      </c>
      <c r="D61" s="96"/>
      <c r="E61" s="97"/>
      <c r="F61" s="97" t="s">
        <v>4483</v>
      </c>
      <c r="G61" s="97" t="s">
        <v>4483</v>
      </c>
      <c r="H61" s="97" t="s">
        <v>281</v>
      </c>
      <c r="I61" s="97" t="s">
        <v>125</v>
      </c>
      <c r="J61" s="98">
        <v>733255</v>
      </c>
      <c r="K61" s="98">
        <v>0</v>
      </c>
      <c r="L61" s="97" t="s">
        <v>4480</v>
      </c>
      <c r="M61" s="97" t="s">
        <v>4481</v>
      </c>
      <c r="N61" s="97" t="s">
        <v>4365</v>
      </c>
      <c r="O61" s="97" t="s">
        <v>4366</v>
      </c>
      <c r="P61" s="97"/>
      <c r="Q61" s="97" t="s">
        <v>4362</v>
      </c>
    </row>
    <row r="62" spans="1:17">
      <c r="A62" s="96">
        <v>45337</v>
      </c>
      <c r="B62" s="96">
        <v>45337</v>
      </c>
      <c r="C62" s="97" t="s">
        <v>4484</v>
      </c>
      <c r="D62" s="96"/>
      <c r="E62" s="97"/>
      <c r="F62" s="97" t="s">
        <v>4485</v>
      </c>
      <c r="G62" s="97" t="s">
        <v>4485</v>
      </c>
      <c r="H62" s="97" t="s">
        <v>281</v>
      </c>
      <c r="I62" s="97" t="s">
        <v>125</v>
      </c>
      <c r="J62" s="98">
        <v>733255</v>
      </c>
      <c r="K62" s="98">
        <v>0</v>
      </c>
      <c r="L62" s="97" t="s">
        <v>4480</v>
      </c>
      <c r="M62" s="97" t="s">
        <v>4481</v>
      </c>
      <c r="N62" s="97" t="s">
        <v>4365</v>
      </c>
      <c r="O62" s="97" t="s">
        <v>4366</v>
      </c>
      <c r="P62" s="97"/>
      <c r="Q62" s="97" t="s">
        <v>4362</v>
      </c>
    </row>
    <row r="63" spans="1:17">
      <c r="A63" s="96">
        <v>45337</v>
      </c>
      <c r="B63" s="96">
        <v>45337</v>
      </c>
      <c r="C63" s="97" t="s">
        <v>4486</v>
      </c>
      <c r="D63" s="96"/>
      <c r="E63" s="97"/>
      <c r="F63" s="97" t="s">
        <v>4487</v>
      </c>
      <c r="G63" s="97" t="s">
        <v>4487</v>
      </c>
      <c r="H63" s="97" t="s">
        <v>283</v>
      </c>
      <c r="I63" s="97" t="s">
        <v>62</v>
      </c>
      <c r="J63" s="98">
        <v>4180950</v>
      </c>
      <c r="K63" s="98">
        <v>0</v>
      </c>
      <c r="L63" s="97" t="s">
        <v>3524</v>
      </c>
      <c r="M63" s="97" t="s">
        <v>622</v>
      </c>
      <c r="N63" s="97" t="s">
        <v>4365</v>
      </c>
      <c r="O63" s="97" t="s">
        <v>4366</v>
      </c>
      <c r="P63" s="97"/>
      <c r="Q63" s="97" t="s">
        <v>4362</v>
      </c>
    </row>
    <row r="64" spans="1:17">
      <c r="A64" s="96">
        <v>45337</v>
      </c>
      <c r="B64" s="96">
        <v>45337</v>
      </c>
      <c r="C64" s="97" t="s">
        <v>4488</v>
      </c>
      <c r="D64" s="96"/>
      <c r="E64" s="97"/>
      <c r="F64" s="97" t="s">
        <v>4489</v>
      </c>
      <c r="G64" s="97" t="s">
        <v>4400</v>
      </c>
      <c r="H64" s="97" t="s">
        <v>387</v>
      </c>
      <c r="I64" s="97" t="s">
        <v>62</v>
      </c>
      <c r="J64" s="98">
        <v>489000</v>
      </c>
      <c r="K64" s="98">
        <v>0</v>
      </c>
      <c r="L64" s="97" t="s">
        <v>3524</v>
      </c>
      <c r="M64" s="97" t="s">
        <v>622</v>
      </c>
      <c r="N64" s="97" t="s">
        <v>4365</v>
      </c>
      <c r="O64" s="97" t="s">
        <v>4366</v>
      </c>
      <c r="P64" s="97"/>
      <c r="Q64" s="97" t="s">
        <v>4362</v>
      </c>
    </row>
    <row r="65" spans="1:17">
      <c r="A65" s="96">
        <v>45337</v>
      </c>
      <c r="B65" s="96">
        <v>45337</v>
      </c>
      <c r="C65" s="97" t="s">
        <v>4490</v>
      </c>
      <c r="D65" s="96"/>
      <c r="E65" s="97"/>
      <c r="F65" s="97" t="s">
        <v>4491</v>
      </c>
      <c r="G65" s="97" t="s">
        <v>4491</v>
      </c>
      <c r="H65" s="97" t="s">
        <v>397</v>
      </c>
      <c r="I65" s="97" t="s">
        <v>62</v>
      </c>
      <c r="J65" s="98">
        <v>95046920</v>
      </c>
      <c r="K65" s="98">
        <v>0</v>
      </c>
      <c r="L65" s="97" t="s">
        <v>3524</v>
      </c>
      <c r="M65" s="97" t="s">
        <v>622</v>
      </c>
      <c r="N65" s="97" t="s">
        <v>4365</v>
      </c>
      <c r="O65" s="97" t="s">
        <v>4366</v>
      </c>
      <c r="P65" s="97"/>
      <c r="Q65" s="97" t="s">
        <v>4362</v>
      </c>
    </row>
    <row r="66" spans="1:17">
      <c r="A66" s="96">
        <v>45341</v>
      </c>
      <c r="B66" s="96">
        <v>45341</v>
      </c>
      <c r="C66" s="97" t="s">
        <v>4492</v>
      </c>
      <c r="D66" s="96"/>
      <c r="E66" s="97"/>
      <c r="F66" s="97" t="s">
        <v>4493</v>
      </c>
      <c r="G66" s="97" t="s">
        <v>4493</v>
      </c>
      <c r="H66" s="97" t="s">
        <v>387</v>
      </c>
      <c r="I66" s="97" t="s">
        <v>62</v>
      </c>
      <c r="J66" s="98">
        <v>1202215</v>
      </c>
      <c r="K66" s="98">
        <v>0</v>
      </c>
      <c r="L66" s="97" t="s">
        <v>3524</v>
      </c>
      <c r="M66" s="97" t="s">
        <v>622</v>
      </c>
      <c r="N66" s="97" t="s">
        <v>4365</v>
      </c>
      <c r="O66" s="97" t="s">
        <v>4366</v>
      </c>
      <c r="P66" s="97"/>
      <c r="Q66" s="97" t="s">
        <v>4362</v>
      </c>
    </row>
    <row r="67" spans="1:17">
      <c r="A67" s="96">
        <v>45344</v>
      </c>
      <c r="B67" s="96">
        <v>45344</v>
      </c>
      <c r="C67" s="97" t="s">
        <v>4494</v>
      </c>
      <c r="D67" s="96"/>
      <c r="E67" s="97"/>
      <c r="F67" s="97" t="s">
        <v>4495</v>
      </c>
      <c r="G67" s="97" t="s">
        <v>4495</v>
      </c>
      <c r="H67" s="97" t="s">
        <v>387</v>
      </c>
      <c r="I67" s="97" t="s">
        <v>62</v>
      </c>
      <c r="J67" s="98">
        <v>1227000</v>
      </c>
      <c r="K67" s="98">
        <v>0</v>
      </c>
      <c r="L67" s="97" t="s">
        <v>3524</v>
      </c>
      <c r="M67" s="97" t="s">
        <v>622</v>
      </c>
      <c r="N67" s="97" t="s">
        <v>4365</v>
      </c>
      <c r="O67" s="97" t="s">
        <v>4366</v>
      </c>
      <c r="P67" s="97"/>
      <c r="Q67" s="97" t="s">
        <v>4362</v>
      </c>
    </row>
    <row r="68" spans="1:17">
      <c r="A68" s="96">
        <v>45346</v>
      </c>
      <c r="B68" s="96">
        <v>45346</v>
      </c>
      <c r="C68" s="97" t="s">
        <v>4496</v>
      </c>
      <c r="D68" s="96"/>
      <c r="E68" s="97"/>
      <c r="F68" s="97" t="s">
        <v>4497</v>
      </c>
      <c r="G68" s="97" t="s">
        <v>4497</v>
      </c>
      <c r="H68" s="97" t="s">
        <v>387</v>
      </c>
      <c r="I68" s="97" t="s">
        <v>62</v>
      </c>
      <c r="J68" s="98">
        <v>1232000</v>
      </c>
      <c r="K68" s="98">
        <v>0</v>
      </c>
      <c r="L68" s="97" t="s">
        <v>3524</v>
      </c>
      <c r="M68" s="97" t="s">
        <v>622</v>
      </c>
      <c r="N68" s="97" t="s">
        <v>4365</v>
      </c>
      <c r="O68" s="97" t="s">
        <v>4366</v>
      </c>
      <c r="P68" s="97"/>
      <c r="Q68" s="97" t="s">
        <v>4362</v>
      </c>
    </row>
    <row r="69" spans="1:17">
      <c r="A69" s="96">
        <v>45346</v>
      </c>
      <c r="B69" s="96">
        <v>45346</v>
      </c>
      <c r="C69" s="97" t="s">
        <v>4498</v>
      </c>
      <c r="D69" s="96"/>
      <c r="E69" s="97"/>
      <c r="F69" s="97" t="s">
        <v>4499</v>
      </c>
      <c r="G69" s="97" t="s">
        <v>4499</v>
      </c>
      <c r="H69" s="97" t="s">
        <v>387</v>
      </c>
      <c r="I69" s="97" t="s">
        <v>62</v>
      </c>
      <c r="J69" s="98">
        <v>492800</v>
      </c>
      <c r="K69" s="98">
        <v>0</v>
      </c>
      <c r="L69" s="97" t="s">
        <v>3524</v>
      </c>
      <c r="M69" s="97" t="s">
        <v>622</v>
      </c>
      <c r="N69" s="97" t="s">
        <v>4365</v>
      </c>
      <c r="O69" s="97" t="s">
        <v>4366</v>
      </c>
      <c r="P69" s="97"/>
      <c r="Q69" s="97" t="s">
        <v>4362</v>
      </c>
    </row>
    <row r="70" spans="1:17">
      <c r="A70" s="96">
        <v>45348</v>
      </c>
      <c r="B70" s="96">
        <v>45348</v>
      </c>
      <c r="C70" s="97" t="s">
        <v>4500</v>
      </c>
      <c r="D70" s="96"/>
      <c r="E70" s="97"/>
      <c r="F70" s="97" t="s">
        <v>4501</v>
      </c>
      <c r="G70" s="97" t="s">
        <v>4501</v>
      </c>
      <c r="H70" s="97" t="s">
        <v>387</v>
      </c>
      <c r="I70" s="97" t="s">
        <v>62</v>
      </c>
      <c r="J70" s="98">
        <v>1232000</v>
      </c>
      <c r="K70" s="98">
        <v>0</v>
      </c>
      <c r="L70" s="97" t="s">
        <v>3524</v>
      </c>
      <c r="M70" s="97" t="s">
        <v>622</v>
      </c>
      <c r="N70" s="97" t="s">
        <v>4365</v>
      </c>
      <c r="O70" s="97" t="s">
        <v>4366</v>
      </c>
      <c r="P70" s="97"/>
      <c r="Q70" s="97" t="s">
        <v>4362</v>
      </c>
    </row>
    <row r="71" spans="1:17">
      <c r="A71" s="96">
        <v>45348</v>
      </c>
      <c r="B71" s="96">
        <v>45348</v>
      </c>
      <c r="C71" s="97" t="s">
        <v>4502</v>
      </c>
      <c r="D71" s="96"/>
      <c r="E71" s="97"/>
      <c r="F71" s="97" t="s">
        <v>4503</v>
      </c>
      <c r="G71" s="97" t="s">
        <v>4503</v>
      </c>
      <c r="H71" s="97" t="s">
        <v>283</v>
      </c>
      <c r="I71" s="97" t="s">
        <v>125</v>
      </c>
      <c r="J71" s="98">
        <v>2587201</v>
      </c>
      <c r="K71" s="98">
        <v>0</v>
      </c>
      <c r="L71" s="97" t="s">
        <v>4504</v>
      </c>
      <c r="M71" s="97" t="s">
        <v>4505</v>
      </c>
      <c r="N71" s="97" t="s">
        <v>4365</v>
      </c>
      <c r="O71" s="97" t="s">
        <v>4366</v>
      </c>
      <c r="P71" s="97"/>
      <c r="Q71" s="97" t="s">
        <v>4362</v>
      </c>
    </row>
    <row r="72" spans="1:17">
      <c r="A72" s="96">
        <v>45348</v>
      </c>
      <c r="B72" s="96">
        <v>45348</v>
      </c>
      <c r="C72" s="97" t="s">
        <v>4506</v>
      </c>
      <c r="D72" s="96"/>
      <c r="E72" s="97"/>
      <c r="F72" s="97" t="s">
        <v>4507</v>
      </c>
      <c r="G72" s="97" t="s">
        <v>4507</v>
      </c>
      <c r="H72" s="97" t="s">
        <v>387</v>
      </c>
      <c r="I72" s="97" t="s">
        <v>62</v>
      </c>
      <c r="J72" s="98">
        <v>215600</v>
      </c>
      <c r="K72" s="98">
        <v>0</v>
      </c>
      <c r="L72" s="97" t="s">
        <v>3524</v>
      </c>
      <c r="M72" s="97" t="s">
        <v>622</v>
      </c>
      <c r="N72" s="97" t="s">
        <v>4365</v>
      </c>
      <c r="O72" s="97" t="s">
        <v>4366</v>
      </c>
      <c r="P72" s="97" t="s">
        <v>4433</v>
      </c>
      <c r="Q72" s="97" t="s">
        <v>4362</v>
      </c>
    </row>
    <row r="73" spans="1:17">
      <c r="A73" s="96">
        <v>45349</v>
      </c>
      <c r="B73" s="96">
        <v>45349</v>
      </c>
      <c r="C73" s="97" t="s">
        <v>4508</v>
      </c>
      <c r="D73" s="96"/>
      <c r="E73" s="97"/>
      <c r="F73" s="97" t="s">
        <v>4430</v>
      </c>
      <c r="G73" s="97" t="s">
        <v>4430</v>
      </c>
      <c r="H73" s="97" t="s">
        <v>283</v>
      </c>
      <c r="I73" s="97" t="s">
        <v>125</v>
      </c>
      <c r="J73" s="98">
        <v>45000</v>
      </c>
      <c r="K73" s="98">
        <v>0</v>
      </c>
      <c r="L73" s="97" t="s">
        <v>4431</v>
      </c>
      <c r="M73" s="97" t="s">
        <v>4432</v>
      </c>
      <c r="N73" s="97" t="s">
        <v>4365</v>
      </c>
      <c r="O73" s="97" t="s">
        <v>4366</v>
      </c>
      <c r="P73" s="97" t="s">
        <v>4433</v>
      </c>
      <c r="Q73" s="97" t="s">
        <v>4362</v>
      </c>
    </row>
    <row r="74" spans="1:17">
      <c r="A74" s="96">
        <v>45349</v>
      </c>
      <c r="B74" s="96">
        <v>45349</v>
      </c>
      <c r="C74" s="97" t="s">
        <v>4508</v>
      </c>
      <c r="D74" s="96"/>
      <c r="E74" s="97"/>
      <c r="F74" s="97" t="s">
        <v>4430</v>
      </c>
      <c r="G74" s="97" t="s">
        <v>4430</v>
      </c>
      <c r="H74" s="97" t="s">
        <v>283</v>
      </c>
      <c r="I74" s="97" t="s">
        <v>51</v>
      </c>
      <c r="J74" s="98">
        <v>2368</v>
      </c>
      <c r="K74" s="98">
        <v>0</v>
      </c>
      <c r="L74" s="97" t="s">
        <v>4431</v>
      </c>
      <c r="M74" s="97" t="s">
        <v>4432</v>
      </c>
      <c r="N74" s="97" t="s">
        <v>4365</v>
      </c>
      <c r="O74" s="97" t="s">
        <v>4366</v>
      </c>
      <c r="P74" s="97" t="s">
        <v>4433</v>
      </c>
      <c r="Q74" s="97" t="s">
        <v>4362</v>
      </c>
    </row>
    <row r="75" spans="1:17">
      <c r="A75" s="96">
        <v>45349</v>
      </c>
      <c r="B75" s="96">
        <v>45349</v>
      </c>
      <c r="C75" s="97" t="s">
        <v>4509</v>
      </c>
      <c r="D75" s="96"/>
      <c r="E75" s="97"/>
      <c r="F75" s="97" t="s">
        <v>4510</v>
      </c>
      <c r="G75" s="97" t="s">
        <v>4510</v>
      </c>
      <c r="H75" s="97" t="s">
        <v>391</v>
      </c>
      <c r="I75" s="97" t="s">
        <v>19</v>
      </c>
      <c r="J75" s="98">
        <v>268000</v>
      </c>
      <c r="K75" s="98">
        <v>0</v>
      </c>
      <c r="L75" s="97"/>
      <c r="M75" s="97"/>
      <c r="N75" s="97" t="s">
        <v>4365</v>
      </c>
      <c r="O75" s="97" t="s">
        <v>4366</v>
      </c>
      <c r="P75" s="97"/>
      <c r="Q75" s="97" t="s">
        <v>4362</v>
      </c>
    </row>
    <row r="76" spans="1:17">
      <c r="A76" s="96">
        <v>45349</v>
      </c>
      <c r="B76" s="96">
        <v>45349</v>
      </c>
      <c r="C76" s="97" t="s">
        <v>4509</v>
      </c>
      <c r="D76" s="96"/>
      <c r="E76" s="97"/>
      <c r="F76" s="97" t="s">
        <v>4510</v>
      </c>
      <c r="G76" s="97" t="s">
        <v>4510</v>
      </c>
      <c r="H76" s="97" t="s">
        <v>391</v>
      </c>
      <c r="I76" s="97" t="s">
        <v>19</v>
      </c>
      <c r="J76" s="98">
        <v>268000</v>
      </c>
      <c r="K76" s="98">
        <v>0</v>
      </c>
      <c r="L76" s="97"/>
      <c r="M76" s="97"/>
      <c r="N76" s="97" t="s">
        <v>4365</v>
      </c>
      <c r="O76" s="97" t="s">
        <v>4366</v>
      </c>
      <c r="P76" s="97"/>
      <c r="Q76" s="97" t="s">
        <v>4362</v>
      </c>
    </row>
    <row r="77" spans="1:17">
      <c r="A77" s="96">
        <v>45350</v>
      </c>
      <c r="B77" s="96">
        <v>45350</v>
      </c>
      <c r="C77" s="97" t="s">
        <v>4511</v>
      </c>
      <c r="D77" s="96"/>
      <c r="E77" s="97"/>
      <c r="F77" s="97" t="s">
        <v>4512</v>
      </c>
      <c r="G77" s="97" t="s">
        <v>4512</v>
      </c>
      <c r="H77" s="97" t="s">
        <v>283</v>
      </c>
      <c r="I77" s="97" t="s">
        <v>125</v>
      </c>
      <c r="J77" s="98">
        <v>98800</v>
      </c>
      <c r="K77" s="98">
        <v>0</v>
      </c>
      <c r="L77" s="97" t="s">
        <v>4513</v>
      </c>
      <c r="M77" s="97" t="s">
        <v>4514</v>
      </c>
      <c r="N77" s="97" t="s">
        <v>4365</v>
      </c>
      <c r="O77" s="97" t="s">
        <v>4366</v>
      </c>
      <c r="P77" s="97" t="s">
        <v>4433</v>
      </c>
      <c r="Q77" s="97" t="s">
        <v>4362</v>
      </c>
    </row>
    <row r="78" spans="1:17">
      <c r="A78" s="96">
        <v>45351</v>
      </c>
      <c r="B78" s="96">
        <v>45351</v>
      </c>
      <c r="C78" s="97" t="s">
        <v>4515</v>
      </c>
      <c r="D78" s="96"/>
      <c r="E78" s="97"/>
      <c r="F78" s="97" t="s">
        <v>4516</v>
      </c>
      <c r="G78" s="97" t="s">
        <v>4516</v>
      </c>
      <c r="H78" s="97" t="s">
        <v>387</v>
      </c>
      <c r="I78" s="97" t="s">
        <v>62</v>
      </c>
      <c r="J78" s="98">
        <v>1233149</v>
      </c>
      <c r="K78" s="98">
        <v>0</v>
      </c>
      <c r="L78" s="97" t="s">
        <v>3524</v>
      </c>
      <c r="M78" s="97" t="s">
        <v>622</v>
      </c>
      <c r="N78" s="97" t="s">
        <v>4365</v>
      </c>
      <c r="O78" s="97" t="s">
        <v>4366</v>
      </c>
      <c r="P78" s="97"/>
      <c r="Q78" s="97" t="s">
        <v>4362</v>
      </c>
    </row>
    <row r="79" spans="1:17">
      <c r="A79" s="96">
        <v>45351</v>
      </c>
      <c r="B79" s="96">
        <v>45351</v>
      </c>
      <c r="C79" s="97" t="s">
        <v>4517</v>
      </c>
      <c r="D79" s="96"/>
      <c r="E79" s="97"/>
      <c r="F79" s="97" t="s">
        <v>4518</v>
      </c>
      <c r="G79" s="97" t="s">
        <v>4519</v>
      </c>
      <c r="H79" s="97" t="s">
        <v>395</v>
      </c>
      <c r="I79" s="97" t="s">
        <v>62</v>
      </c>
      <c r="J79" s="98">
        <v>121512000</v>
      </c>
      <c r="K79" s="98">
        <v>0</v>
      </c>
      <c r="L79" s="97" t="s">
        <v>4520</v>
      </c>
      <c r="M79" s="97" t="s">
        <v>4521</v>
      </c>
      <c r="N79" s="97" t="s">
        <v>4365</v>
      </c>
      <c r="O79" s="97" t="s">
        <v>4366</v>
      </c>
      <c r="P79" s="97" t="s">
        <v>3524</v>
      </c>
      <c r="Q79" s="97" t="s">
        <v>4362</v>
      </c>
    </row>
    <row r="80" spans="1:17">
      <c r="A80" s="96">
        <v>45351</v>
      </c>
      <c r="B80" s="96">
        <v>45351</v>
      </c>
      <c r="C80" s="97" t="s">
        <v>4517</v>
      </c>
      <c r="D80" s="96"/>
      <c r="E80" s="97"/>
      <c r="F80" s="97" t="s">
        <v>4518</v>
      </c>
      <c r="G80" s="97" t="s">
        <v>4522</v>
      </c>
      <c r="H80" s="97" t="s">
        <v>437</v>
      </c>
      <c r="I80" s="97" t="s">
        <v>62</v>
      </c>
      <c r="J80" s="98">
        <v>100000</v>
      </c>
      <c r="K80" s="98">
        <v>0</v>
      </c>
      <c r="L80" s="97"/>
      <c r="M80" s="97"/>
      <c r="N80" s="97" t="s">
        <v>4365</v>
      </c>
      <c r="O80" s="97" t="s">
        <v>4366</v>
      </c>
      <c r="P80" s="97" t="s">
        <v>3524</v>
      </c>
      <c r="Q80" s="97" t="s">
        <v>4362</v>
      </c>
    </row>
    <row r="81" spans="1:17">
      <c r="A81" s="96">
        <v>45352</v>
      </c>
      <c r="B81" s="96">
        <v>45352</v>
      </c>
      <c r="C81" s="97" t="s">
        <v>4523</v>
      </c>
      <c r="D81" s="96"/>
      <c r="E81" s="97"/>
      <c r="F81" s="97" t="s">
        <v>4524</v>
      </c>
      <c r="G81" s="97" t="s">
        <v>4524</v>
      </c>
      <c r="H81" s="97" t="s">
        <v>387</v>
      </c>
      <c r="I81" s="97" t="s">
        <v>62</v>
      </c>
      <c r="J81" s="98">
        <v>622658</v>
      </c>
      <c r="K81" s="98">
        <v>0</v>
      </c>
      <c r="L81" s="97" t="s">
        <v>3524</v>
      </c>
      <c r="M81" s="97" t="s">
        <v>622</v>
      </c>
      <c r="N81" s="97" t="s">
        <v>4365</v>
      </c>
      <c r="O81" s="97" t="s">
        <v>4366</v>
      </c>
      <c r="P81" s="97"/>
      <c r="Q81" s="97" t="s">
        <v>4362</v>
      </c>
    </row>
    <row r="82" spans="1:17">
      <c r="A82" s="96">
        <v>45352</v>
      </c>
      <c r="B82" s="96">
        <v>45352</v>
      </c>
      <c r="C82" s="97" t="s">
        <v>4525</v>
      </c>
      <c r="D82" s="96"/>
      <c r="E82" s="97"/>
      <c r="F82" s="97" t="s">
        <v>4526</v>
      </c>
      <c r="G82" s="97" t="s">
        <v>4526</v>
      </c>
      <c r="H82" s="97" t="s">
        <v>387</v>
      </c>
      <c r="I82" s="97" t="s">
        <v>62</v>
      </c>
      <c r="J82" s="98">
        <v>1232499</v>
      </c>
      <c r="K82" s="98">
        <v>0</v>
      </c>
      <c r="L82" s="97" t="s">
        <v>3524</v>
      </c>
      <c r="M82" s="97" t="s">
        <v>622</v>
      </c>
      <c r="N82" s="97" t="s">
        <v>4365</v>
      </c>
      <c r="O82" s="97" t="s">
        <v>4366</v>
      </c>
      <c r="P82" s="97"/>
      <c r="Q82" s="97" t="s">
        <v>4362</v>
      </c>
    </row>
    <row r="83" spans="1:17">
      <c r="A83" s="96">
        <v>45352</v>
      </c>
      <c r="B83" s="96">
        <v>45352</v>
      </c>
      <c r="C83" s="97" t="s">
        <v>4527</v>
      </c>
      <c r="D83" s="96"/>
      <c r="E83" s="97"/>
      <c r="F83" s="97" t="s">
        <v>4528</v>
      </c>
      <c r="G83" s="97" t="s">
        <v>4528</v>
      </c>
      <c r="H83" s="97" t="s">
        <v>387</v>
      </c>
      <c r="I83" s="97" t="s">
        <v>62</v>
      </c>
      <c r="J83" s="98">
        <v>280270</v>
      </c>
      <c r="K83" s="98">
        <v>0</v>
      </c>
      <c r="L83" s="97" t="s">
        <v>3524</v>
      </c>
      <c r="M83" s="97" t="s">
        <v>622</v>
      </c>
      <c r="N83" s="97" t="s">
        <v>4365</v>
      </c>
      <c r="O83" s="97" t="s">
        <v>4366</v>
      </c>
      <c r="P83" s="97"/>
      <c r="Q83" s="97" t="s">
        <v>4362</v>
      </c>
    </row>
    <row r="84" spans="1:17">
      <c r="A84" s="96">
        <v>45352</v>
      </c>
      <c r="B84" s="96">
        <v>45352</v>
      </c>
      <c r="C84" s="97" t="s">
        <v>4529</v>
      </c>
      <c r="D84" s="96"/>
      <c r="E84" s="97"/>
      <c r="F84" s="97" t="s">
        <v>4530</v>
      </c>
      <c r="G84" s="97" t="s">
        <v>4530</v>
      </c>
      <c r="H84" s="97" t="s">
        <v>387</v>
      </c>
      <c r="I84" s="97" t="s">
        <v>62</v>
      </c>
      <c r="J84" s="98">
        <v>1868221</v>
      </c>
      <c r="K84" s="98">
        <v>0</v>
      </c>
      <c r="L84" s="97" t="s">
        <v>3524</v>
      </c>
      <c r="M84" s="97" t="s">
        <v>622</v>
      </c>
      <c r="N84" s="97" t="s">
        <v>4365</v>
      </c>
      <c r="O84" s="97" t="s">
        <v>4366</v>
      </c>
      <c r="P84" s="97"/>
      <c r="Q84" s="97" t="s">
        <v>4362</v>
      </c>
    </row>
    <row r="85" spans="1:17">
      <c r="A85" s="96">
        <v>45353</v>
      </c>
      <c r="B85" s="96">
        <v>45353</v>
      </c>
      <c r="C85" s="97" t="s">
        <v>4531</v>
      </c>
      <c r="D85" s="96"/>
      <c r="E85" s="97"/>
      <c r="F85" s="97" t="s">
        <v>4532</v>
      </c>
      <c r="G85" s="97" t="s">
        <v>4532</v>
      </c>
      <c r="H85" s="97" t="s">
        <v>283</v>
      </c>
      <c r="I85" s="97" t="s">
        <v>125</v>
      </c>
      <c r="J85" s="98">
        <v>28164810</v>
      </c>
      <c r="K85" s="98">
        <v>0</v>
      </c>
      <c r="L85" s="97" t="s">
        <v>3518</v>
      </c>
      <c r="M85" s="97" t="s">
        <v>3519</v>
      </c>
      <c r="N85" s="97" t="s">
        <v>4365</v>
      </c>
      <c r="O85" s="97" t="s">
        <v>4366</v>
      </c>
      <c r="P85" s="97"/>
      <c r="Q85" s="97" t="s">
        <v>4362</v>
      </c>
    </row>
    <row r="86" spans="1:17">
      <c r="A86" s="96">
        <v>45353</v>
      </c>
      <c r="B86" s="96">
        <v>45353</v>
      </c>
      <c r="C86" s="97" t="s">
        <v>4533</v>
      </c>
      <c r="D86" s="96"/>
      <c r="E86" s="97"/>
      <c r="F86" s="97" t="s">
        <v>4534</v>
      </c>
      <c r="G86" s="97" t="s">
        <v>4534</v>
      </c>
      <c r="H86" s="97" t="s">
        <v>283</v>
      </c>
      <c r="I86" s="97" t="s">
        <v>125</v>
      </c>
      <c r="J86" s="98">
        <v>15319648</v>
      </c>
      <c r="K86" s="98">
        <v>0</v>
      </c>
      <c r="L86" s="97" t="s">
        <v>3518</v>
      </c>
      <c r="M86" s="97" t="s">
        <v>3519</v>
      </c>
      <c r="N86" s="97" t="s">
        <v>4365</v>
      </c>
      <c r="O86" s="97" t="s">
        <v>4366</v>
      </c>
      <c r="P86" s="97"/>
      <c r="Q86" s="97" t="s">
        <v>4362</v>
      </c>
    </row>
    <row r="87" spans="1:17">
      <c r="A87" s="96">
        <v>45355</v>
      </c>
      <c r="B87" s="96">
        <v>45355</v>
      </c>
      <c r="C87" s="97" t="s">
        <v>4535</v>
      </c>
      <c r="D87" s="96"/>
      <c r="E87" s="97"/>
      <c r="F87" s="97" t="s">
        <v>4536</v>
      </c>
      <c r="G87" s="97" t="s">
        <v>4536</v>
      </c>
      <c r="H87" s="97" t="s">
        <v>387</v>
      </c>
      <c r="I87" s="97" t="s">
        <v>62</v>
      </c>
      <c r="J87" s="98">
        <v>2464997</v>
      </c>
      <c r="K87" s="98">
        <v>0</v>
      </c>
      <c r="L87" s="97" t="s">
        <v>3524</v>
      </c>
      <c r="M87" s="97" t="s">
        <v>622</v>
      </c>
      <c r="N87" s="97" t="s">
        <v>4365</v>
      </c>
      <c r="O87" s="97" t="s">
        <v>4366</v>
      </c>
      <c r="P87" s="97"/>
      <c r="Q87" s="97" t="s">
        <v>4362</v>
      </c>
    </row>
    <row r="88" spans="1:17">
      <c r="A88" s="96">
        <v>45355</v>
      </c>
      <c r="B88" s="96">
        <v>45355</v>
      </c>
      <c r="C88" s="97" t="s">
        <v>4537</v>
      </c>
      <c r="D88" s="96"/>
      <c r="E88" s="97"/>
      <c r="F88" s="97" t="s">
        <v>4538</v>
      </c>
      <c r="G88" s="97" t="s">
        <v>4538</v>
      </c>
      <c r="H88" s="97" t="s">
        <v>283</v>
      </c>
      <c r="I88" s="97" t="s">
        <v>62</v>
      </c>
      <c r="J88" s="98">
        <v>4087705</v>
      </c>
      <c r="K88" s="98">
        <v>0</v>
      </c>
      <c r="L88" s="97" t="s">
        <v>3524</v>
      </c>
      <c r="M88" s="97" t="s">
        <v>622</v>
      </c>
      <c r="N88" s="97" t="s">
        <v>4365</v>
      </c>
      <c r="O88" s="97" t="s">
        <v>4366</v>
      </c>
      <c r="P88" s="97"/>
      <c r="Q88" s="97" t="s">
        <v>4362</v>
      </c>
    </row>
    <row r="89" spans="1:17">
      <c r="A89" s="96">
        <v>45356</v>
      </c>
      <c r="B89" s="96">
        <v>45356</v>
      </c>
      <c r="C89" s="97" t="s">
        <v>4539</v>
      </c>
      <c r="D89" s="96"/>
      <c r="E89" s="97"/>
      <c r="F89" s="97" t="s">
        <v>4540</v>
      </c>
      <c r="G89" s="97" t="s">
        <v>4540</v>
      </c>
      <c r="H89" s="97" t="s">
        <v>283</v>
      </c>
      <c r="I89" s="97" t="s">
        <v>62</v>
      </c>
      <c r="J89" s="98">
        <v>5273788</v>
      </c>
      <c r="K89" s="98">
        <v>0</v>
      </c>
      <c r="L89" s="97" t="s">
        <v>3524</v>
      </c>
      <c r="M89" s="97" t="s">
        <v>622</v>
      </c>
      <c r="N89" s="97" t="s">
        <v>4365</v>
      </c>
      <c r="O89" s="97" t="s">
        <v>4366</v>
      </c>
      <c r="P89" s="97"/>
      <c r="Q89" s="97" t="s">
        <v>4362</v>
      </c>
    </row>
    <row r="90" spans="1:17">
      <c r="A90" s="96">
        <v>45358</v>
      </c>
      <c r="B90" s="96">
        <v>45358</v>
      </c>
      <c r="C90" s="97" t="s">
        <v>4541</v>
      </c>
      <c r="D90" s="96"/>
      <c r="E90" s="97"/>
      <c r="F90" s="97" t="s">
        <v>4542</v>
      </c>
      <c r="G90" s="97" t="s">
        <v>4542</v>
      </c>
      <c r="H90" s="97" t="s">
        <v>283</v>
      </c>
      <c r="I90" s="97" t="s">
        <v>62</v>
      </c>
      <c r="J90" s="98">
        <v>863720</v>
      </c>
      <c r="K90" s="98">
        <v>0</v>
      </c>
      <c r="L90" s="97" t="s">
        <v>3524</v>
      </c>
      <c r="M90" s="97" t="s">
        <v>622</v>
      </c>
      <c r="N90" s="97" t="s">
        <v>4365</v>
      </c>
      <c r="O90" s="97" t="s">
        <v>4366</v>
      </c>
      <c r="P90" s="97"/>
      <c r="Q90" s="97" t="s">
        <v>4362</v>
      </c>
    </row>
    <row r="91" spans="1:17">
      <c r="A91" s="96">
        <v>45358</v>
      </c>
      <c r="B91" s="96">
        <v>45358</v>
      </c>
      <c r="C91" s="97" t="s">
        <v>4543</v>
      </c>
      <c r="D91" s="96"/>
      <c r="E91" s="97"/>
      <c r="F91" s="97" t="s">
        <v>4544</v>
      </c>
      <c r="G91" s="97" t="s">
        <v>4544</v>
      </c>
      <c r="H91" s="97" t="s">
        <v>387</v>
      </c>
      <c r="I91" s="97" t="s">
        <v>62</v>
      </c>
      <c r="J91" s="98">
        <v>4542747</v>
      </c>
      <c r="K91" s="98">
        <v>0</v>
      </c>
      <c r="L91" s="97" t="s">
        <v>3524</v>
      </c>
      <c r="M91" s="97" t="s">
        <v>622</v>
      </c>
      <c r="N91" s="97" t="s">
        <v>4365</v>
      </c>
      <c r="O91" s="97" t="s">
        <v>4366</v>
      </c>
      <c r="P91" s="97"/>
      <c r="Q91" s="97" t="s">
        <v>4362</v>
      </c>
    </row>
    <row r="92" spans="1:17">
      <c r="A92" s="96">
        <v>45359</v>
      </c>
      <c r="B92" s="96">
        <v>45359</v>
      </c>
      <c r="C92" s="97" t="s">
        <v>4545</v>
      </c>
      <c r="D92" s="96"/>
      <c r="E92" s="97"/>
      <c r="F92" s="97" t="s">
        <v>4546</v>
      </c>
      <c r="G92" s="97" t="s">
        <v>4546</v>
      </c>
      <c r="H92" s="97" t="s">
        <v>281</v>
      </c>
      <c r="I92" s="97" t="s">
        <v>125</v>
      </c>
      <c r="J92" s="98">
        <v>740904</v>
      </c>
      <c r="K92" s="98">
        <v>0</v>
      </c>
      <c r="L92" s="97" t="s">
        <v>4480</v>
      </c>
      <c r="M92" s="97" t="s">
        <v>4481</v>
      </c>
      <c r="N92" s="97" t="s">
        <v>4365</v>
      </c>
      <c r="O92" s="97" t="s">
        <v>4366</v>
      </c>
      <c r="P92" s="97"/>
      <c r="Q92" s="97" t="s">
        <v>4362</v>
      </c>
    </row>
    <row r="93" spans="1:17">
      <c r="A93" s="96">
        <v>45359</v>
      </c>
      <c r="B93" s="96">
        <v>45359</v>
      </c>
      <c r="C93" s="97" t="s">
        <v>4547</v>
      </c>
      <c r="D93" s="96"/>
      <c r="E93" s="97"/>
      <c r="F93" s="97" t="s">
        <v>4548</v>
      </c>
      <c r="G93" s="97" t="s">
        <v>4548</v>
      </c>
      <c r="H93" s="97" t="s">
        <v>281</v>
      </c>
      <c r="I93" s="97" t="s">
        <v>125</v>
      </c>
      <c r="J93" s="98">
        <v>740904</v>
      </c>
      <c r="K93" s="98">
        <v>0</v>
      </c>
      <c r="L93" s="97" t="s">
        <v>4480</v>
      </c>
      <c r="M93" s="97" t="s">
        <v>4481</v>
      </c>
      <c r="N93" s="97" t="s">
        <v>4365</v>
      </c>
      <c r="O93" s="97" t="s">
        <v>4366</v>
      </c>
      <c r="P93" s="97"/>
      <c r="Q93" s="97" t="s">
        <v>4362</v>
      </c>
    </row>
    <row r="94" spans="1:17">
      <c r="A94" s="96">
        <v>45359</v>
      </c>
      <c r="B94" s="96">
        <v>45359</v>
      </c>
      <c r="C94" s="97" t="s">
        <v>4549</v>
      </c>
      <c r="D94" s="96"/>
      <c r="E94" s="97"/>
      <c r="F94" s="97" t="s">
        <v>4550</v>
      </c>
      <c r="G94" s="97" t="s">
        <v>4550</v>
      </c>
      <c r="H94" s="97" t="s">
        <v>281</v>
      </c>
      <c r="I94" s="97" t="s">
        <v>125</v>
      </c>
      <c r="J94" s="98">
        <v>740904</v>
      </c>
      <c r="K94" s="98">
        <v>0</v>
      </c>
      <c r="L94" s="97" t="s">
        <v>4480</v>
      </c>
      <c r="M94" s="97" t="s">
        <v>4481</v>
      </c>
      <c r="N94" s="97" t="s">
        <v>4365</v>
      </c>
      <c r="O94" s="97" t="s">
        <v>4366</v>
      </c>
      <c r="P94" s="97"/>
      <c r="Q94" s="97" t="s">
        <v>4362</v>
      </c>
    </row>
    <row r="95" spans="1:17">
      <c r="A95" s="96">
        <v>45360</v>
      </c>
      <c r="B95" s="96">
        <v>45360</v>
      </c>
      <c r="C95" s="97" t="s">
        <v>4551</v>
      </c>
      <c r="D95" s="96"/>
      <c r="E95" s="97"/>
      <c r="F95" s="97" t="s">
        <v>4552</v>
      </c>
      <c r="G95" s="97" t="s">
        <v>4552</v>
      </c>
      <c r="H95" s="97" t="s">
        <v>387</v>
      </c>
      <c r="I95" s="97" t="s">
        <v>62</v>
      </c>
      <c r="J95" s="98">
        <v>1235251</v>
      </c>
      <c r="K95" s="98">
        <v>0</v>
      </c>
      <c r="L95" s="97" t="s">
        <v>3524</v>
      </c>
      <c r="M95" s="97" t="s">
        <v>622</v>
      </c>
      <c r="N95" s="97" t="s">
        <v>4365</v>
      </c>
      <c r="O95" s="97" t="s">
        <v>4366</v>
      </c>
      <c r="P95" s="97"/>
      <c r="Q95" s="97" t="s">
        <v>4362</v>
      </c>
    </row>
    <row r="96" spans="1:17">
      <c r="A96" s="96">
        <v>45360</v>
      </c>
      <c r="B96" s="96">
        <v>45360</v>
      </c>
      <c r="C96" s="97" t="s">
        <v>4553</v>
      </c>
      <c r="D96" s="96"/>
      <c r="E96" s="97"/>
      <c r="F96" s="97" t="s">
        <v>4554</v>
      </c>
      <c r="G96" s="97" t="s">
        <v>4554</v>
      </c>
      <c r="H96" s="97" t="s">
        <v>283</v>
      </c>
      <c r="I96" s="97" t="s">
        <v>125</v>
      </c>
      <c r="J96" s="98">
        <v>4224559</v>
      </c>
      <c r="K96" s="98">
        <v>0</v>
      </c>
      <c r="L96" s="97" t="s">
        <v>4513</v>
      </c>
      <c r="M96" s="97" t="s">
        <v>4514</v>
      </c>
      <c r="N96" s="97" t="s">
        <v>4365</v>
      </c>
      <c r="O96" s="97" t="s">
        <v>4366</v>
      </c>
      <c r="P96" s="97" t="s">
        <v>4433</v>
      </c>
      <c r="Q96" s="97" t="s">
        <v>4362</v>
      </c>
    </row>
    <row r="97" spans="1:17">
      <c r="A97" s="96">
        <v>45362</v>
      </c>
      <c r="B97" s="96">
        <v>45362</v>
      </c>
      <c r="C97" s="97" t="s">
        <v>4555</v>
      </c>
      <c r="D97" s="96"/>
      <c r="E97" s="97"/>
      <c r="F97" s="97" t="s">
        <v>4556</v>
      </c>
      <c r="G97" s="97" t="s">
        <v>4556</v>
      </c>
      <c r="H97" s="97" t="s">
        <v>387</v>
      </c>
      <c r="I97" s="97" t="s">
        <v>125</v>
      </c>
      <c r="J97" s="98">
        <v>3980000</v>
      </c>
      <c r="K97" s="98">
        <v>0</v>
      </c>
      <c r="L97" s="97" t="s">
        <v>4557</v>
      </c>
      <c r="M97" s="97" t="s">
        <v>4558</v>
      </c>
      <c r="N97" s="97" t="s">
        <v>4365</v>
      </c>
      <c r="O97" s="97" t="s">
        <v>4366</v>
      </c>
      <c r="P97" s="97"/>
      <c r="Q97" s="97" t="s">
        <v>4362</v>
      </c>
    </row>
    <row r="98" spans="1:17">
      <c r="A98" s="96">
        <v>45369</v>
      </c>
      <c r="B98" s="96">
        <v>45369</v>
      </c>
      <c r="C98" s="97" t="s">
        <v>4559</v>
      </c>
      <c r="D98" s="96"/>
      <c r="E98" s="97"/>
      <c r="F98" s="97" t="s">
        <v>4560</v>
      </c>
      <c r="G98" s="97" t="s">
        <v>4560</v>
      </c>
      <c r="H98" s="97" t="s">
        <v>387</v>
      </c>
      <c r="I98" s="97" t="s">
        <v>62</v>
      </c>
      <c r="J98" s="98">
        <v>7883646</v>
      </c>
      <c r="K98" s="98">
        <v>0</v>
      </c>
      <c r="L98" s="97" t="s">
        <v>3524</v>
      </c>
      <c r="M98" s="97" t="s">
        <v>622</v>
      </c>
      <c r="N98" s="97" t="s">
        <v>4365</v>
      </c>
      <c r="O98" s="97" t="s">
        <v>4366</v>
      </c>
      <c r="P98" s="97"/>
      <c r="Q98" s="97" t="s">
        <v>4362</v>
      </c>
    </row>
    <row r="99" spans="1:17">
      <c r="A99" s="96">
        <v>45377</v>
      </c>
      <c r="B99" s="96">
        <v>45377</v>
      </c>
      <c r="C99" s="97" t="s">
        <v>4561</v>
      </c>
      <c r="D99" s="96"/>
      <c r="E99" s="97"/>
      <c r="F99" s="97" t="s">
        <v>4562</v>
      </c>
      <c r="G99" s="97" t="s">
        <v>4562</v>
      </c>
      <c r="H99" s="97" t="s">
        <v>283</v>
      </c>
      <c r="I99" s="97" t="s">
        <v>125</v>
      </c>
      <c r="J99" s="98">
        <v>2231728</v>
      </c>
      <c r="K99" s="98">
        <v>0</v>
      </c>
      <c r="L99" s="97" t="s">
        <v>4504</v>
      </c>
      <c r="M99" s="97" t="s">
        <v>4505</v>
      </c>
      <c r="N99" s="97" t="s">
        <v>4365</v>
      </c>
      <c r="O99" s="97" t="s">
        <v>4366</v>
      </c>
      <c r="P99" s="97"/>
      <c r="Q99" s="97" t="s">
        <v>4362</v>
      </c>
    </row>
    <row r="100" spans="1:17">
      <c r="A100" s="96">
        <v>45377</v>
      </c>
      <c r="B100" s="96">
        <v>45377</v>
      </c>
      <c r="C100" s="97" t="s">
        <v>4563</v>
      </c>
      <c r="D100" s="96"/>
      <c r="E100" s="97"/>
      <c r="F100" s="97" t="s">
        <v>4564</v>
      </c>
      <c r="G100" s="97" t="s">
        <v>4564</v>
      </c>
      <c r="H100" s="97" t="s">
        <v>387</v>
      </c>
      <c r="I100" s="97" t="s">
        <v>62</v>
      </c>
      <c r="J100" s="98">
        <v>216974</v>
      </c>
      <c r="K100" s="98">
        <v>0</v>
      </c>
      <c r="L100" s="97" t="s">
        <v>3524</v>
      </c>
      <c r="M100" s="97" t="s">
        <v>622</v>
      </c>
      <c r="N100" s="97" t="s">
        <v>4365</v>
      </c>
      <c r="O100" s="97" t="s">
        <v>4366</v>
      </c>
      <c r="P100" s="97" t="s">
        <v>4433</v>
      </c>
      <c r="Q100" s="97" t="s">
        <v>4362</v>
      </c>
    </row>
    <row r="101" spans="1:17">
      <c r="A101" s="96">
        <v>45378</v>
      </c>
      <c r="B101" s="96">
        <v>45378</v>
      </c>
      <c r="C101" s="97" t="s">
        <v>4565</v>
      </c>
      <c r="D101" s="96"/>
      <c r="E101" s="97"/>
      <c r="F101" s="97" t="s">
        <v>4566</v>
      </c>
      <c r="G101" s="97" t="s">
        <v>4566</v>
      </c>
      <c r="H101" s="97" t="s">
        <v>283</v>
      </c>
      <c r="I101" s="97" t="s">
        <v>125</v>
      </c>
      <c r="J101" s="98">
        <v>45000</v>
      </c>
      <c r="K101" s="98">
        <v>0</v>
      </c>
      <c r="L101" s="97" t="s">
        <v>4431</v>
      </c>
      <c r="M101" s="97" t="s">
        <v>4432</v>
      </c>
      <c r="N101" s="97" t="s">
        <v>4365</v>
      </c>
      <c r="O101" s="97" t="s">
        <v>4366</v>
      </c>
      <c r="P101" s="97" t="s">
        <v>4433</v>
      </c>
      <c r="Q101" s="97" t="s">
        <v>4362</v>
      </c>
    </row>
    <row r="102" spans="1:17">
      <c r="A102" s="96">
        <v>45378</v>
      </c>
      <c r="B102" s="96">
        <v>45378</v>
      </c>
      <c r="C102" s="97" t="s">
        <v>4565</v>
      </c>
      <c r="D102" s="96"/>
      <c r="E102" s="97"/>
      <c r="F102" s="97" t="s">
        <v>4566</v>
      </c>
      <c r="G102" s="97" t="s">
        <v>4566</v>
      </c>
      <c r="H102" s="97" t="s">
        <v>283</v>
      </c>
      <c r="I102" s="97" t="s">
        <v>125</v>
      </c>
      <c r="J102" s="98">
        <v>2368</v>
      </c>
      <c r="K102" s="98">
        <v>0</v>
      </c>
      <c r="L102" s="97" t="s">
        <v>4431</v>
      </c>
      <c r="M102" s="97" t="s">
        <v>4432</v>
      </c>
      <c r="N102" s="97" t="s">
        <v>4365</v>
      </c>
      <c r="O102" s="97" t="s">
        <v>4366</v>
      </c>
      <c r="P102" s="97" t="s">
        <v>4433</v>
      </c>
      <c r="Q102" s="97" t="s">
        <v>4362</v>
      </c>
    </row>
    <row r="103" spans="1:17">
      <c r="A103" s="96">
        <v>45379</v>
      </c>
      <c r="B103" s="96">
        <v>45379</v>
      </c>
      <c r="C103" s="97" t="s">
        <v>4567</v>
      </c>
      <c r="D103" s="96"/>
      <c r="E103" s="97"/>
      <c r="F103" s="97" t="s">
        <v>4568</v>
      </c>
      <c r="G103" s="97" t="s">
        <v>4568</v>
      </c>
      <c r="H103" s="97" t="s">
        <v>283</v>
      </c>
      <c r="I103" s="97" t="s">
        <v>125</v>
      </c>
      <c r="J103" s="98">
        <v>99140</v>
      </c>
      <c r="K103" s="98">
        <v>0</v>
      </c>
      <c r="L103" s="97" t="s">
        <v>4513</v>
      </c>
      <c r="M103" s="97" t="s">
        <v>4514</v>
      </c>
      <c r="N103" s="97" t="s">
        <v>4365</v>
      </c>
      <c r="O103" s="97" t="s">
        <v>4366</v>
      </c>
      <c r="P103" s="97" t="s">
        <v>4433</v>
      </c>
      <c r="Q103" s="97" t="s">
        <v>4362</v>
      </c>
    </row>
    <row r="104" spans="1:17">
      <c r="A104" s="96">
        <v>45380</v>
      </c>
      <c r="B104" s="96">
        <v>45380</v>
      </c>
      <c r="C104" s="97" t="s">
        <v>4569</v>
      </c>
      <c r="D104" s="96"/>
      <c r="E104" s="97"/>
      <c r="F104" s="97" t="s">
        <v>4570</v>
      </c>
      <c r="G104" s="97" t="s">
        <v>4570</v>
      </c>
      <c r="H104" s="97" t="s">
        <v>435</v>
      </c>
      <c r="I104" s="97" t="s">
        <v>132</v>
      </c>
      <c r="J104" s="98">
        <v>1776296</v>
      </c>
      <c r="K104" s="98">
        <v>0</v>
      </c>
      <c r="L104" s="97"/>
      <c r="M104" s="97"/>
      <c r="N104" s="97" t="s">
        <v>4448</v>
      </c>
      <c r="O104" s="97" t="s">
        <v>4449</v>
      </c>
      <c r="P104" s="97" t="s">
        <v>3524</v>
      </c>
      <c r="Q104" s="97" t="s">
        <v>4362</v>
      </c>
    </row>
    <row r="105" spans="1:17">
      <c r="A105" s="96">
        <v>45382</v>
      </c>
      <c r="B105" s="96">
        <v>45382</v>
      </c>
      <c r="C105" s="97" t="s">
        <v>4571</v>
      </c>
      <c r="D105" s="96"/>
      <c r="E105" s="97"/>
      <c r="F105" s="97" t="s">
        <v>4572</v>
      </c>
      <c r="G105" s="97" t="s">
        <v>4573</v>
      </c>
      <c r="H105" s="97" t="s">
        <v>401</v>
      </c>
      <c r="I105" s="97" t="s">
        <v>62</v>
      </c>
      <c r="J105" s="98">
        <v>1780445</v>
      </c>
      <c r="K105" s="98">
        <v>0</v>
      </c>
      <c r="L105" s="97"/>
      <c r="M105" s="97"/>
      <c r="N105" s="97" t="s">
        <v>4365</v>
      </c>
      <c r="O105" s="97" t="s">
        <v>4366</v>
      </c>
      <c r="P105" s="97" t="s">
        <v>3524</v>
      </c>
      <c r="Q105" s="97" t="s">
        <v>4362</v>
      </c>
    </row>
    <row r="106" spans="1:17">
      <c r="A106" s="96">
        <v>45383</v>
      </c>
      <c r="B106" s="96">
        <v>45383</v>
      </c>
      <c r="C106" s="97" t="s">
        <v>4574</v>
      </c>
      <c r="D106" s="96"/>
      <c r="E106" s="97"/>
      <c r="F106" s="97" t="s">
        <v>4575</v>
      </c>
      <c r="G106" s="97" t="s">
        <v>4575</v>
      </c>
      <c r="H106" s="97" t="s">
        <v>387</v>
      </c>
      <c r="I106" s="97" t="s">
        <v>62</v>
      </c>
      <c r="J106" s="98">
        <v>282090</v>
      </c>
      <c r="K106" s="98">
        <v>0</v>
      </c>
      <c r="L106" s="97" t="s">
        <v>3524</v>
      </c>
      <c r="M106" s="97" t="s">
        <v>622</v>
      </c>
      <c r="N106" s="97" t="s">
        <v>4365</v>
      </c>
      <c r="O106" s="97" t="s">
        <v>4366</v>
      </c>
      <c r="P106" s="97"/>
      <c r="Q106" s="97" t="s">
        <v>4362</v>
      </c>
    </row>
    <row r="107" spans="1:17">
      <c r="A107" s="96">
        <v>45383</v>
      </c>
      <c r="B107" s="96">
        <v>45383</v>
      </c>
      <c r="C107" s="97" t="s">
        <v>4576</v>
      </c>
      <c r="D107" s="96"/>
      <c r="E107" s="97"/>
      <c r="F107" s="97" t="s">
        <v>4577</v>
      </c>
      <c r="G107" s="97" t="s">
        <v>4577</v>
      </c>
      <c r="H107" s="97" t="s">
        <v>387</v>
      </c>
      <c r="I107" s="97" t="s">
        <v>62</v>
      </c>
      <c r="J107" s="98">
        <v>1880351</v>
      </c>
      <c r="K107" s="98">
        <v>0</v>
      </c>
      <c r="L107" s="97" t="s">
        <v>3524</v>
      </c>
      <c r="M107" s="97" t="s">
        <v>622</v>
      </c>
      <c r="N107" s="97" t="s">
        <v>4365</v>
      </c>
      <c r="O107" s="97" t="s">
        <v>4366</v>
      </c>
      <c r="P107" s="97"/>
      <c r="Q107" s="97" t="s">
        <v>4362</v>
      </c>
    </row>
    <row r="108" spans="1:17">
      <c r="A108" s="96">
        <v>45383</v>
      </c>
      <c r="B108" s="96">
        <v>45383</v>
      </c>
      <c r="C108" s="97" t="s">
        <v>4578</v>
      </c>
      <c r="D108" s="96"/>
      <c r="E108" s="97"/>
      <c r="F108" s="97" t="s">
        <v>4579</v>
      </c>
      <c r="G108" s="97" t="s">
        <v>4579</v>
      </c>
      <c r="H108" s="97" t="s">
        <v>387</v>
      </c>
      <c r="I108" s="97" t="s">
        <v>62</v>
      </c>
      <c r="J108" s="98">
        <v>666893</v>
      </c>
      <c r="K108" s="98">
        <v>0</v>
      </c>
      <c r="L108" s="97" t="s">
        <v>3524</v>
      </c>
      <c r="M108" s="97" t="s">
        <v>622</v>
      </c>
      <c r="N108" s="97" t="s">
        <v>4365</v>
      </c>
      <c r="O108" s="97" t="s">
        <v>4366</v>
      </c>
      <c r="P108" s="97"/>
      <c r="Q108" s="97" t="s">
        <v>4362</v>
      </c>
    </row>
    <row r="109" spans="1:17">
      <c r="A109" s="96">
        <v>45384</v>
      </c>
      <c r="B109" s="96">
        <v>45384</v>
      </c>
      <c r="C109" s="97" t="s">
        <v>4580</v>
      </c>
      <c r="D109" s="96"/>
      <c r="E109" s="97"/>
      <c r="F109" s="97" t="s">
        <v>4581</v>
      </c>
      <c r="G109" s="97" t="s">
        <v>4581</v>
      </c>
      <c r="H109" s="97" t="s">
        <v>283</v>
      </c>
      <c r="I109" s="97" t="s">
        <v>125</v>
      </c>
      <c r="J109" s="98">
        <v>25942843</v>
      </c>
      <c r="K109" s="98">
        <v>0</v>
      </c>
      <c r="L109" s="97" t="s">
        <v>3518</v>
      </c>
      <c r="M109" s="97" t="s">
        <v>3519</v>
      </c>
      <c r="N109" s="97" t="s">
        <v>4365</v>
      </c>
      <c r="O109" s="97" t="s">
        <v>4366</v>
      </c>
      <c r="P109" s="97"/>
      <c r="Q109" s="97" t="s">
        <v>4362</v>
      </c>
    </row>
    <row r="110" spans="1:17">
      <c r="A110" s="96">
        <v>45384</v>
      </c>
      <c r="B110" s="96">
        <v>45384</v>
      </c>
      <c r="C110" s="97" t="s">
        <v>4582</v>
      </c>
      <c r="D110" s="96"/>
      <c r="E110" s="97"/>
      <c r="F110" s="97" t="s">
        <v>4583</v>
      </c>
      <c r="G110" s="97" t="s">
        <v>4583</v>
      </c>
      <c r="H110" s="97" t="s">
        <v>283</v>
      </c>
      <c r="I110" s="97" t="s">
        <v>125</v>
      </c>
      <c r="J110" s="98">
        <v>16402277</v>
      </c>
      <c r="K110" s="98">
        <v>0</v>
      </c>
      <c r="L110" s="97" t="s">
        <v>3518</v>
      </c>
      <c r="M110" s="97" t="s">
        <v>3519</v>
      </c>
      <c r="N110" s="97" t="s">
        <v>4365</v>
      </c>
      <c r="O110" s="97" t="s">
        <v>4366</v>
      </c>
      <c r="P110" s="97"/>
      <c r="Q110" s="97" t="s">
        <v>4362</v>
      </c>
    </row>
    <row r="111" spans="1:17">
      <c r="A111" s="96">
        <v>45384</v>
      </c>
      <c r="B111" s="96">
        <v>45384</v>
      </c>
      <c r="C111" s="97" t="s">
        <v>4584</v>
      </c>
      <c r="D111" s="96"/>
      <c r="E111" s="97"/>
      <c r="F111" s="97" t="s">
        <v>4585</v>
      </c>
      <c r="G111" s="97" t="s">
        <v>4585</v>
      </c>
      <c r="H111" s="97" t="s">
        <v>283</v>
      </c>
      <c r="I111" s="97" t="s">
        <v>62</v>
      </c>
      <c r="J111" s="98">
        <v>4403631</v>
      </c>
      <c r="K111" s="98">
        <v>0</v>
      </c>
      <c r="L111" s="97" t="s">
        <v>3524</v>
      </c>
      <c r="M111" s="97" t="s">
        <v>622</v>
      </c>
      <c r="N111" s="97" t="s">
        <v>4365</v>
      </c>
      <c r="O111" s="97" t="s">
        <v>4366</v>
      </c>
      <c r="P111" s="97"/>
      <c r="Q111" s="97" t="s">
        <v>4362</v>
      </c>
    </row>
    <row r="112" spans="1:17">
      <c r="A112" s="96">
        <v>45386</v>
      </c>
      <c r="B112" s="96">
        <v>45386</v>
      </c>
      <c r="C112" s="97" t="s">
        <v>4586</v>
      </c>
      <c r="D112" s="96"/>
      <c r="E112" s="97"/>
      <c r="F112" s="97" t="s">
        <v>4587</v>
      </c>
      <c r="G112" s="97" t="s">
        <v>4587</v>
      </c>
      <c r="H112" s="97" t="s">
        <v>387</v>
      </c>
      <c r="I112" s="97" t="s">
        <v>62</v>
      </c>
      <c r="J112" s="98">
        <v>5935500</v>
      </c>
      <c r="K112" s="98">
        <v>0</v>
      </c>
      <c r="L112" s="97" t="s">
        <v>3524</v>
      </c>
      <c r="M112" s="97" t="s">
        <v>622</v>
      </c>
      <c r="N112" s="97" t="s">
        <v>4365</v>
      </c>
      <c r="O112" s="97" t="s">
        <v>4366</v>
      </c>
      <c r="P112" s="97"/>
      <c r="Q112" s="97" t="s">
        <v>4362</v>
      </c>
    </row>
    <row r="113" spans="1:17">
      <c r="A113" s="96">
        <v>45387</v>
      </c>
      <c r="B113" s="96">
        <v>45387</v>
      </c>
      <c r="C113" s="97" t="s">
        <v>4588</v>
      </c>
      <c r="D113" s="96"/>
      <c r="E113" s="97"/>
      <c r="F113" s="97" t="s">
        <v>4589</v>
      </c>
      <c r="G113" s="97" t="s">
        <v>4589</v>
      </c>
      <c r="H113" s="97" t="s">
        <v>283</v>
      </c>
      <c r="I113" s="97" t="s">
        <v>62</v>
      </c>
      <c r="J113" s="98">
        <v>5949404</v>
      </c>
      <c r="K113" s="98">
        <v>0</v>
      </c>
      <c r="L113" s="97" t="s">
        <v>3524</v>
      </c>
      <c r="M113" s="97" t="s">
        <v>622</v>
      </c>
      <c r="N113" s="97" t="s">
        <v>4365</v>
      </c>
      <c r="O113" s="97" t="s">
        <v>4366</v>
      </c>
      <c r="P113" s="97"/>
      <c r="Q113" s="97" t="s">
        <v>4362</v>
      </c>
    </row>
    <row r="114" spans="1:17">
      <c r="A114" s="96">
        <v>45388</v>
      </c>
      <c r="B114" s="96">
        <v>45388</v>
      </c>
      <c r="C114" s="97" t="s">
        <v>4590</v>
      </c>
      <c r="D114" s="96"/>
      <c r="E114" s="97"/>
      <c r="F114" s="97" t="s">
        <v>4591</v>
      </c>
      <c r="G114" s="97" t="s">
        <v>4591</v>
      </c>
      <c r="H114" s="97" t="s">
        <v>283</v>
      </c>
      <c r="I114" s="97" t="s">
        <v>62</v>
      </c>
      <c r="J114" s="98">
        <v>874030</v>
      </c>
      <c r="K114" s="98">
        <v>0</v>
      </c>
      <c r="L114" s="97" t="s">
        <v>3524</v>
      </c>
      <c r="M114" s="97" t="s">
        <v>622</v>
      </c>
      <c r="N114" s="97" t="s">
        <v>4365</v>
      </c>
      <c r="O114" s="97" t="s">
        <v>4366</v>
      </c>
      <c r="P114" s="97"/>
      <c r="Q114" s="97" t="s">
        <v>4362</v>
      </c>
    </row>
    <row r="115" spans="1:17">
      <c r="A115" s="96">
        <v>45390</v>
      </c>
      <c r="B115" s="96">
        <v>45390</v>
      </c>
      <c r="C115" s="97" t="s">
        <v>4592</v>
      </c>
      <c r="D115" s="96"/>
      <c r="E115" s="97"/>
      <c r="F115" s="97" t="s">
        <v>4593</v>
      </c>
      <c r="G115" s="97" t="s">
        <v>4593</v>
      </c>
      <c r="H115" s="97" t="s">
        <v>281</v>
      </c>
      <c r="I115" s="97" t="s">
        <v>125</v>
      </c>
      <c r="J115" s="98">
        <v>749750</v>
      </c>
      <c r="K115" s="98">
        <v>0</v>
      </c>
      <c r="L115" s="97" t="s">
        <v>4480</v>
      </c>
      <c r="M115" s="97" t="s">
        <v>4481</v>
      </c>
      <c r="N115" s="97" t="s">
        <v>4365</v>
      </c>
      <c r="O115" s="97" t="s">
        <v>4366</v>
      </c>
      <c r="P115" s="97"/>
      <c r="Q115" s="97" t="s">
        <v>4362</v>
      </c>
    </row>
    <row r="116" spans="1:17">
      <c r="A116" s="96">
        <v>45390</v>
      </c>
      <c r="B116" s="96">
        <v>45390</v>
      </c>
      <c r="C116" s="97" t="s">
        <v>4594</v>
      </c>
      <c r="D116" s="96"/>
      <c r="E116" s="97"/>
      <c r="F116" s="97" t="s">
        <v>4595</v>
      </c>
      <c r="G116" s="97" t="s">
        <v>4595</v>
      </c>
      <c r="H116" s="97" t="s">
        <v>281</v>
      </c>
      <c r="I116" s="97" t="s">
        <v>125</v>
      </c>
      <c r="J116" s="98">
        <v>749750</v>
      </c>
      <c r="K116" s="98">
        <v>0</v>
      </c>
      <c r="L116" s="97" t="s">
        <v>4480</v>
      </c>
      <c r="M116" s="97" t="s">
        <v>4481</v>
      </c>
      <c r="N116" s="97" t="s">
        <v>4365</v>
      </c>
      <c r="O116" s="97" t="s">
        <v>4366</v>
      </c>
      <c r="P116" s="97"/>
      <c r="Q116" s="97" t="s">
        <v>4362</v>
      </c>
    </row>
    <row r="117" spans="1:17">
      <c r="A117" s="96">
        <v>45390</v>
      </c>
      <c r="B117" s="96">
        <v>45390</v>
      </c>
      <c r="C117" s="97" t="s">
        <v>4596</v>
      </c>
      <c r="D117" s="96"/>
      <c r="E117" s="97"/>
      <c r="F117" s="97" t="s">
        <v>4597</v>
      </c>
      <c r="G117" s="97" t="s">
        <v>4597</v>
      </c>
      <c r="H117" s="97" t="s">
        <v>281</v>
      </c>
      <c r="I117" s="97" t="s">
        <v>125</v>
      </c>
      <c r="J117" s="98">
        <v>749750</v>
      </c>
      <c r="K117" s="98">
        <v>0</v>
      </c>
      <c r="L117" s="97" t="s">
        <v>4480</v>
      </c>
      <c r="M117" s="97" t="s">
        <v>4481</v>
      </c>
      <c r="N117" s="97" t="s">
        <v>4365</v>
      </c>
      <c r="O117" s="97" t="s">
        <v>4366</v>
      </c>
      <c r="P117" s="97"/>
      <c r="Q117" s="97" t="s">
        <v>4362</v>
      </c>
    </row>
    <row r="118" spans="1:17">
      <c r="A118" s="96">
        <v>45391</v>
      </c>
      <c r="B118" s="96">
        <v>45391</v>
      </c>
      <c r="C118" s="97" t="s">
        <v>4598</v>
      </c>
      <c r="D118" s="96"/>
      <c r="E118" s="97"/>
      <c r="F118" s="97" t="s">
        <v>4599</v>
      </c>
      <c r="G118" s="97" t="s">
        <v>4599</v>
      </c>
      <c r="H118" s="97" t="s">
        <v>283</v>
      </c>
      <c r="I118" s="97" t="s">
        <v>125</v>
      </c>
      <c r="J118" s="98">
        <v>4275000</v>
      </c>
      <c r="K118" s="98">
        <v>0</v>
      </c>
      <c r="L118" s="97" t="s">
        <v>4513</v>
      </c>
      <c r="M118" s="97" t="s">
        <v>4514</v>
      </c>
      <c r="N118" s="97" t="s">
        <v>4365</v>
      </c>
      <c r="O118" s="97" t="s">
        <v>4366</v>
      </c>
      <c r="P118" s="97" t="s">
        <v>4433</v>
      </c>
      <c r="Q118" s="97" t="s">
        <v>4362</v>
      </c>
    </row>
    <row r="119" spans="1:17">
      <c r="A119" s="96">
        <v>45391</v>
      </c>
      <c r="B119" s="96">
        <v>45391</v>
      </c>
      <c r="C119" s="97" t="s">
        <v>4600</v>
      </c>
      <c r="D119" s="96"/>
      <c r="E119" s="97"/>
      <c r="F119" s="97" t="s">
        <v>4601</v>
      </c>
      <c r="G119" s="97" t="s">
        <v>4601</v>
      </c>
      <c r="H119" s="97" t="s">
        <v>437</v>
      </c>
      <c r="I119" s="97" t="s">
        <v>19</v>
      </c>
      <c r="J119" s="98">
        <v>6250200</v>
      </c>
      <c r="K119" s="98">
        <v>0</v>
      </c>
      <c r="L119" s="97" t="s">
        <v>4602</v>
      </c>
      <c r="M119" s="97" t="s">
        <v>4603</v>
      </c>
      <c r="N119" s="97" t="s">
        <v>4365</v>
      </c>
      <c r="O119" s="97" t="s">
        <v>4366</v>
      </c>
      <c r="P119" s="97"/>
      <c r="Q119" s="97" t="s">
        <v>4362</v>
      </c>
    </row>
    <row r="120" spans="1:17">
      <c r="A120" s="96">
        <v>45406</v>
      </c>
      <c r="B120" s="96">
        <v>45406</v>
      </c>
      <c r="C120" s="97" t="s">
        <v>4604</v>
      </c>
      <c r="D120" s="96"/>
      <c r="E120" s="97"/>
      <c r="F120" s="97" t="s">
        <v>4605</v>
      </c>
      <c r="G120" s="97" t="s">
        <v>4605</v>
      </c>
      <c r="H120" s="97" t="s">
        <v>387</v>
      </c>
      <c r="I120" s="97" t="s">
        <v>62</v>
      </c>
      <c r="J120" s="98">
        <v>509160</v>
      </c>
      <c r="K120" s="98">
        <v>0</v>
      </c>
      <c r="L120" s="97" t="s">
        <v>3524</v>
      </c>
      <c r="M120" s="97" t="s">
        <v>622</v>
      </c>
      <c r="N120" s="97" t="s">
        <v>4365</v>
      </c>
      <c r="O120" s="97" t="s">
        <v>4366</v>
      </c>
      <c r="P120" s="97"/>
      <c r="Q120" s="97" t="s">
        <v>4362</v>
      </c>
    </row>
    <row r="121" spans="1:17">
      <c r="A121" s="96">
        <v>45408</v>
      </c>
      <c r="B121" s="96">
        <v>45408</v>
      </c>
      <c r="C121" s="97" t="s">
        <v>4606</v>
      </c>
      <c r="D121" s="96"/>
      <c r="E121" s="97"/>
      <c r="F121" s="97" t="s">
        <v>4607</v>
      </c>
      <c r="G121" s="97" t="s">
        <v>4607</v>
      </c>
      <c r="H121" s="97" t="s">
        <v>283</v>
      </c>
      <c r="I121" s="97" t="s">
        <v>125</v>
      </c>
      <c r="J121" s="98">
        <v>1907999</v>
      </c>
      <c r="K121" s="98">
        <v>0</v>
      </c>
      <c r="L121" s="97" t="s">
        <v>4504</v>
      </c>
      <c r="M121" s="97" t="s">
        <v>4505</v>
      </c>
      <c r="N121" s="97" t="s">
        <v>4365</v>
      </c>
      <c r="O121" s="97" t="s">
        <v>4366</v>
      </c>
      <c r="P121" s="97"/>
      <c r="Q121" s="97" t="s">
        <v>4362</v>
      </c>
    </row>
    <row r="122" spans="1:17">
      <c r="A122" s="96">
        <v>45408</v>
      </c>
      <c r="B122" s="96">
        <v>45408</v>
      </c>
      <c r="C122" s="97" t="s">
        <v>4608</v>
      </c>
      <c r="D122" s="96"/>
      <c r="E122" s="97"/>
      <c r="F122" s="97" t="s">
        <v>4609</v>
      </c>
      <c r="G122" s="97" t="s">
        <v>4609</v>
      </c>
      <c r="H122" s="97" t="s">
        <v>387</v>
      </c>
      <c r="I122" s="97" t="s">
        <v>62</v>
      </c>
      <c r="J122" s="98">
        <v>222600</v>
      </c>
      <c r="K122" s="98">
        <v>0</v>
      </c>
      <c r="L122" s="97" t="s">
        <v>3524</v>
      </c>
      <c r="M122" s="97" t="s">
        <v>622</v>
      </c>
      <c r="N122" s="97" t="s">
        <v>4365</v>
      </c>
      <c r="O122" s="97" t="s">
        <v>4366</v>
      </c>
      <c r="P122" s="97" t="s">
        <v>4433</v>
      </c>
      <c r="Q122" s="97" t="s">
        <v>4362</v>
      </c>
    </row>
    <row r="123" spans="1:17">
      <c r="A123" s="96">
        <v>45409</v>
      </c>
      <c r="B123" s="96">
        <v>45409</v>
      </c>
      <c r="C123" s="97" t="s">
        <v>4610</v>
      </c>
      <c r="D123" s="96"/>
      <c r="E123" s="97"/>
      <c r="F123" s="97" t="s">
        <v>4611</v>
      </c>
      <c r="G123" s="97" t="s">
        <v>4611</v>
      </c>
      <c r="H123" s="97" t="s">
        <v>283</v>
      </c>
      <c r="I123" s="97" t="s">
        <v>125</v>
      </c>
      <c r="J123" s="98">
        <v>45000</v>
      </c>
      <c r="K123" s="98">
        <v>0</v>
      </c>
      <c r="L123" s="97" t="s">
        <v>4431</v>
      </c>
      <c r="M123" s="97" t="s">
        <v>4432</v>
      </c>
      <c r="N123" s="97" t="s">
        <v>4365</v>
      </c>
      <c r="O123" s="97" t="s">
        <v>4366</v>
      </c>
      <c r="P123" s="97" t="s">
        <v>4433</v>
      </c>
      <c r="Q123" s="97" t="s">
        <v>4362</v>
      </c>
    </row>
    <row r="124" spans="1:17">
      <c r="A124" s="96">
        <v>45409</v>
      </c>
      <c r="B124" s="96">
        <v>45409</v>
      </c>
      <c r="C124" s="97" t="s">
        <v>4610</v>
      </c>
      <c r="D124" s="96"/>
      <c r="E124" s="97"/>
      <c r="F124" s="97" t="s">
        <v>4611</v>
      </c>
      <c r="G124" s="97" t="s">
        <v>4611</v>
      </c>
      <c r="H124" s="97" t="s">
        <v>283</v>
      </c>
      <c r="I124" s="97" t="s">
        <v>125</v>
      </c>
      <c r="J124" s="98">
        <v>2368</v>
      </c>
      <c r="K124" s="98">
        <v>0</v>
      </c>
      <c r="L124" s="97" t="s">
        <v>4431</v>
      </c>
      <c r="M124" s="97" t="s">
        <v>4432</v>
      </c>
      <c r="N124" s="97" t="s">
        <v>4365</v>
      </c>
      <c r="O124" s="97" t="s">
        <v>4366</v>
      </c>
      <c r="P124" s="97" t="s">
        <v>4433</v>
      </c>
      <c r="Q124" s="97" t="s">
        <v>4362</v>
      </c>
    </row>
    <row r="125" spans="1:17">
      <c r="A125" s="96">
        <v>45412</v>
      </c>
      <c r="B125" s="96">
        <v>45412</v>
      </c>
      <c r="C125" s="97" t="s">
        <v>4612</v>
      </c>
      <c r="D125" s="96"/>
      <c r="E125" s="97"/>
      <c r="F125" s="97" t="s">
        <v>4613</v>
      </c>
      <c r="G125" s="97" t="s">
        <v>4613</v>
      </c>
      <c r="H125" s="97" t="s">
        <v>435</v>
      </c>
      <c r="I125" s="97" t="s">
        <v>132</v>
      </c>
      <c r="J125" s="98">
        <v>118518</v>
      </c>
      <c r="K125" s="98">
        <v>0</v>
      </c>
      <c r="L125" s="97"/>
      <c r="M125" s="97"/>
      <c r="N125" s="97" t="s">
        <v>4448</v>
      </c>
      <c r="O125" s="97" t="s">
        <v>4449</v>
      </c>
      <c r="P125" s="97" t="s">
        <v>3524</v>
      </c>
      <c r="Q125" s="97" t="s">
        <v>4362</v>
      </c>
    </row>
    <row r="126" spans="1:17">
      <c r="A126" s="96">
        <v>45413</v>
      </c>
      <c r="B126" s="96">
        <v>45413</v>
      </c>
      <c r="C126" s="97" t="s">
        <v>4614</v>
      </c>
      <c r="D126" s="96"/>
      <c r="E126" s="97"/>
      <c r="F126" s="97" t="s">
        <v>4615</v>
      </c>
      <c r="G126" s="97" t="s">
        <v>4615</v>
      </c>
      <c r="H126" s="97" t="s">
        <v>444</v>
      </c>
      <c r="I126" s="97" t="s">
        <v>136</v>
      </c>
      <c r="J126" s="98">
        <v>1854655</v>
      </c>
      <c r="K126" s="98">
        <v>0</v>
      </c>
      <c r="L126" s="97"/>
      <c r="M126" s="97"/>
      <c r="N126" s="97"/>
      <c r="O126" s="97"/>
      <c r="P126" s="97"/>
      <c r="Q126" s="97" t="s">
        <v>4362</v>
      </c>
    </row>
    <row r="127" spans="1:17">
      <c r="A127" s="96">
        <v>45414</v>
      </c>
      <c r="B127" s="96">
        <v>45414</v>
      </c>
      <c r="C127" s="97" t="s">
        <v>4616</v>
      </c>
      <c r="D127" s="96"/>
      <c r="E127" s="97"/>
      <c r="F127" s="97" t="s">
        <v>4617</v>
      </c>
      <c r="G127" s="97" t="s">
        <v>4617</v>
      </c>
      <c r="H127" s="97" t="s">
        <v>283</v>
      </c>
      <c r="I127" s="97" t="s">
        <v>125</v>
      </c>
      <c r="J127" s="98">
        <v>101480</v>
      </c>
      <c r="K127" s="98">
        <v>0</v>
      </c>
      <c r="L127" s="97" t="s">
        <v>4513</v>
      </c>
      <c r="M127" s="97" t="s">
        <v>4514</v>
      </c>
      <c r="N127" s="97" t="s">
        <v>4365</v>
      </c>
      <c r="O127" s="97" t="s">
        <v>4366</v>
      </c>
      <c r="P127" s="97" t="s">
        <v>4433</v>
      </c>
      <c r="Q127" s="97" t="s">
        <v>4362</v>
      </c>
    </row>
    <row r="128" spans="1:17">
      <c r="A128" s="96">
        <v>45414</v>
      </c>
      <c r="B128" s="96">
        <v>45414</v>
      </c>
      <c r="C128" s="97" t="s">
        <v>4618</v>
      </c>
      <c r="D128" s="96"/>
      <c r="E128" s="97"/>
      <c r="F128" s="97" t="s">
        <v>4619</v>
      </c>
      <c r="G128" s="97" t="s">
        <v>4619</v>
      </c>
      <c r="H128" s="97" t="s">
        <v>387</v>
      </c>
      <c r="I128" s="97" t="s">
        <v>62</v>
      </c>
      <c r="J128" s="98">
        <v>288457</v>
      </c>
      <c r="K128" s="98">
        <v>0</v>
      </c>
      <c r="L128" s="97" t="s">
        <v>3524</v>
      </c>
      <c r="M128" s="97" t="s">
        <v>622</v>
      </c>
      <c r="N128" s="97" t="s">
        <v>4365</v>
      </c>
      <c r="O128" s="97" t="s">
        <v>4366</v>
      </c>
      <c r="P128" s="97"/>
      <c r="Q128" s="97" t="s">
        <v>4362</v>
      </c>
    </row>
    <row r="129" spans="1:17">
      <c r="A129" s="96">
        <v>45414</v>
      </c>
      <c r="B129" s="96">
        <v>45414</v>
      </c>
      <c r="C129" s="97" t="s">
        <v>4620</v>
      </c>
      <c r="D129" s="96"/>
      <c r="E129" s="97"/>
      <c r="F129" s="97" t="s">
        <v>4579</v>
      </c>
      <c r="G129" s="97" t="s">
        <v>4579</v>
      </c>
      <c r="H129" s="97" t="s">
        <v>387</v>
      </c>
      <c r="I129" s="97" t="s">
        <v>62</v>
      </c>
      <c r="J129" s="98">
        <v>769219</v>
      </c>
      <c r="K129" s="98">
        <v>0</v>
      </c>
      <c r="L129" s="97" t="s">
        <v>3524</v>
      </c>
      <c r="M129" s="97" t="s">
        <v>622</v>
      </c>
      <c r="N129" s="97" t="s">
        <v>4365</v>
      </c>
      <c r="O129" s="97" t="s">
        <v>4366</v>
      </c>
      <c r="P129" s="97"/>
      <c r="Q129" s="97" t="s">
        <v>4362</v>
      </c>
    </row>
    <row r="130" spans="1:17">
      <c r="A130" s="96">
        <v>45414</v>
      </c>
      <c r="B130" s="96">
        <v>45414</v>
      </c>
      <c r="C130" s="97" t="s">
        <v>4621</v>
      </c>
      <c r="D130" s="96"/>
      <c r="E130" s="97"/>
      <c r="F130" s="97" t="s">
        <v>4622</v>
      </c>
      <c r="G130" s="97" t="s">
        <v>4622</v>
      </c>
      <c r="H130" s="97" t="s">
        <v>387</v>
      </c>
      <c r="I130" s="97" t="s">
        <v>62</v>
      </c>
      <c r="J130" s="98">
        <v>2221907</v>
      </c>
      <c r="K130" s="98">
        <v>0</v>
      </c>
      <c r="L130" s="97" t="s">
        <v>3524</v>
      </c>
      <c r="M130" s="97" t="s">
        <v>622</v>
      </c>
      <c r="N130" s="97" t="s">
        <v>4365</v>
      </c>
      <c r="O130" s="97" t="s">
        <v>4366</v>
      </c>
      <c r="P130" s="97"/>
      <c r="Q130" s="97" t="s">
        <v>4362</v>
      </c>
    </row>
    <row r="131" spans="1:17">
      <c r="A131" s="96">
        <v>45414</v>
      </c>
      <c r="B131" s="96">
        <v>45414</v>
      </c>
      <c r="C131" s="97" t="s">
        <v>4623</v>
      </c>
      <c r="D131" s="96"/>
      <c r="E131" s="97"/>
      <c r="F131" s="97" t="s">
        <v>4624</v>
      </c>
      <c r="G131" s="97" t="s">
        <v>4624</v>
      </c>
      <c r="H131" s="97" t="s">
        <v>283</v>
      </c>
      <c r="I131" s="97" t="s">
        <v>125</v>
      </c>
      <c r="J131" s="98">
        <v>16610013</v>
      </c>
      <c r="K131" s="98">
        <v>0</v>
      </c>
      <c r="L131" s="97" t="s">
        <v>3518</v>
      </c>
      <c r="M131" s="97" t="s">
        <v>3519</v>
      </c>
      <c r="N131" s="97" t="s">
        <v>4365</v>
      </c>
      <c r="O131" s="97" t="s">
        <v>4366</v>
      </c>
      <c r="P131" s="97"/>
      <c r="Q131" s="97" t="s">
        <v>4362</v>
      </c>
    </row>
    <row r="132" spans="1:17">
      <c r="A132" s="96">
        <v>45414</v>
      </c>
      <c r="B132" s="96">
        <v>45414</v>
      </c>
      <c r="C132" s="97" t="s">
        <v>4625</v>
      </c>
      <c r="D132" s="96"/>
      <c r="E132" s="97"/>
      <c r="F132" s="97" t="s">
        <v>4626</v>
      </c>
      <c r="G132" s="97" t="s">
        <v>4626</v>
      </c>
      <c r="H132" s="97" t="s">
        <v>283</v>
      </c>
      <c r="I132" s="97" t="s">
        <v>125</v>
      </c>
      <c r="J132" s="98">
        <v>20672509</v>
      </c>
      <c r="K132" s="98">
        <v>0</v>
      </c>
      <c r="L132" s="97" t="s">
        <v>3518</v>
      </c>
      <c r="M132" s="97" t="s">
        <v>3519</v>
      </c>
      <c r="N132" s="97" t="s">
        <v>4365</v>
      </c>
      <c r="O132" s="97" t="s">
        <v>4366</v>
      </c>
      <c r="P132" s="97"/>
      <c r="Q132" s="97" t="s">
        <v>4362</v>
      </c>
    </row>
    <row r="133" spans="1:17">
      <c r="A133" s="96">
        <v>45414</v>
      </c>
      <c r="B133" s="96">
        <v>45414</v>
      </c>
      <c r="C133" s="97" t="s">
        <v>4627</v>
      </c>
      <c r="D133" s="96"/>
      <c r="E133" s="97"/>
      <c r="F133" s="97" t="s">
        <v>4628</v>
      </c>
      <c r="G133" s="97" t="s">
        <v>4628</v>
      </c>
      <c r="H133" s="97" t="s">
        <v>283</v>
      </c>
      <c r="I133" s="97" t="s">
        <v>62</v>
      </c>
      <c r="J133" s="98">
        <v>4366688</v>
      </c>
      <c r="K133" s="98">
        <v>0</v>
      </c>
      <c r="L133" s="97" t="s">
        <v>3524</v>
      </c>
      <c r="M133" s="97" t="s">
        <v>622</v>
      </c>
      <c r="N133" s="97" t="s">
        <v>4365</v>
      </c>
      <c r="O133" s="97" t="s">
        <v>4366</v>
      </c>
      <c r="P133" s="97"/>
      <c r="Q133" s="97" t="s">
        <v>4362</v>
      </c>
    </row>
    <row r="134" spans="1:17">
      <c r="A134" s="96">
        <v>45416</v>
      </c>
      <c r="B134" s="96">
        <v>45416</v>
      </c>
      <c r="C134" s="97" t="s">
        <v>4629</v>
      </c>
      <c r="D134" s="96"/>
      <c r="E134" s="97"/>
      <c r="F134" s="97" t="s">
        <v>4630</v>
      </c>
      <c r="G134" s="97" t="s">
        <v>4630</v>
      </c>
      <c r="H134" s="97" t="s">
        <v>283</v>
      </c>
      <c r="I134" s="97" t="s">
        <v>62</v>
      </c>
      <c r="J134" s="98">
        <v>5796535</v>
      </c>
      <c r="K134" s="98">
        <v>0</v>
      </c>
      <c r="L134" s="97" t="s">
        <v>3524</v>
      </c>
      <c r="M134" s="97" t="s">
        <v>622</v>
      </c>
      <c r="N134" s="97" t="s">
        <v>4365</v>
      </c>
      <c r="O134" s="97" t="s">
        <v>4366</v>
      </c>
      <c r="P134" s="97"/>
      <c r="Q134" s="97" t="s">
        <v>4362</v>
      </c>
    </row>
    <row r="135" spans="1:17">
      <c r="A135" s="96">
        <v>45416</v>
      </c>
      <c r="B135" s="96">
        <v>45416</v>
      </c>
      <c r="C135" s="97" t="s">
        <v>4631</v>
      </c>
      <c r="D135" s="96"/>
      <c r="E135" s="97"/>
      <c r="F135" s="97" t="s">
        <v>4632</v>
      </c>
      <c r="G135" s="97" t="s">
        <v>4632</v>
      </c>
      <c r="H135" s="97" t="s">
        <v>283</v>
      </c>
      <c r="I135" s="97" t="s">
        <v>62</v>
      </c>
      <c r="J135" s="98">
        <v>887380</v>
      </c>
      <c r="K135" s="98">
        <v>0</v>
      </c>
      <c r="L135" s="97" t="s">
        <v>3524</v>
      </c>
      <c r="M135" s="97" t="s">
        <v>622</v>
      </c>
      <c r="N135" s="97" t="s">
        <v>4365</v>
      </c>
      <c r="O135" s="97" t="s">
        <v>4366</v>
      </c>
      <c r="P135" s="97"/>
      <c r="Q135" s="97" t="s">
        <v>4362</v>
      </c>
    </row>
    <row r="136" spans="1:17">
      <c r="A136" s="96">
        <v>45416</v>
      </c>
      <c r="B136" s="96">
        <v>45416</v>
      </c>
      <c r="C136" s="97" t="s">
        <v>4633</v>
      </c>
      <c r="D136" s="96"/>
      <c r="E136" s="97"/>
      <c r="F136" s="97" t="s">
        <v>4634</v>
      </c>
      <c r="G136" s="97" t="s">
        <v>4634</v>
      </c>
      <c r="H136" s="97" t="s">
        <v>387</v>
      </c>
      <c r="I136" s="97" t="s">
        <v>62</v>
      </c>
      <c r="J136" s="98">
        <v>3684849</v>
      </c>
      <c r="K136" s="98">
        <v>0</v>
      </c>
      <c r="L136" s="97" t="s">
        <v>3524</v>
      </c>
      <c r="M136" s="97" t="s">
        <v>622</v>
      </c>
      <c r="N136" s="97" t="s">
        <v>4365</v>
      </c>
      <c r="O136" s="97" t="s">
        <v>4366</v>
      </c>
      <c r="P136" s="97"/>
      <c r="Q136" s="97" t="s">
        <v>4362</v>
      </c>
    </row>
    <row r="137" spans="1:17">
      <c r="A137" s="96">
        <v>45420</v>
      </c>
      <c r="B137" s="96">
        <v>45420</v>
      </c>
      <c r="C137" s="97" t="s">
        <v>4635</v>
      </c>
      <c r="D137" s="96"/>
      <c r="E137" s="97"/>
      <c r="F137" s="97" t="s">
        <v>4636</v>
      </c>
      <c r="G137" s="97" t="s">
        <v>4636</v>
      </c>
      <c r="H137" s="97" t="s">
        <v>281</v>
      </c>
      <c r="I137" s="97" t="s">
        <v>125</v>
      </c>
      <c r="J137" s="98">
        <v>761897</v>
      </c>
      <c r="K137" s="98">
        <v>0</v>
      </c>
      <c r="L137" s="97" t="s">
        <v>4480</v>
      </c>
      <c r="M137" s="97" t="s">
        <v>4481</v>
      </c>
      <c r="N137" s="97" t="s">
        <v>4365</v>
      </c>
      <c r="O137" s="97" t="s">
        <v>4366</v>
      </c>
      <c r="P137" s="97"/>
      <c r="Q137" s="97" t="s">
        <v>4362</v>
      </c>
    </row>
    <row r="138" spans="1:17">
      <c r="A138" s="96">
        <v>45420</v>
      </c>
      <c r="B138" s="96">
        <v>45420</v>
      </c>
      <c r="C138" s="97" t="s">
        <v>4637</v>
      </c>
      <c r="D138" s="96"/>
      <c r="E138" s="97"/>
      <c r="F138" s="97" t="s">
        <v>4638</v>
      </c>
      <c r="G138" s="97" t="s">
        <v>4638</v>
      </c>
      <c r="H138" s="97" t="s">
        <v>281</v>
      </c>
      <c r="I138" s="97" t="s">
        <v>125</v>
      </c>
      <c r="J138" s="98">
        <v>761897</v>
      </c>
      <c r="K138" s="98">
        <v>0</v>
      </c>
      <c r="L138" s="97" t="s">
        <v>4480</v>
      </c>
      <c r="M138" s="97" t="s">
        <v>4481</v>
      </c>
      <c r="N138" s="97" t="s">
        <v>4365</v>
      </c>
      <c r="O138" s="97" t="s">
        <v>4366</v>
      </c>
      <c r="P138" s="97"/>
      <c r="Q138" s="97" t="s">
        <v>4362</v>
      </c>
    </row>
    <row r="139" spans="1:17">
      <c r="A139" s="96">
        <v>45420</v>
      </c>
      <c r="B139" s="96">
        <v>45420</v>
      </c>
      <c r="C139" s="97" t="s">
        <v>4639</v>
      </c>
      <c r="D139" s="96"/>
      <c r="E139" s="97"/>
      <c r="F139" s="97" t="s">
        <v>4640</v>
      </c>
      <c r="G139" s="97" t="s">
        <v>4640</v>
      </c>
      <c r="H139" s="97" t="s">
        <v>281</v>
      </c>
      <c r="I139" s="97" t="s">
        <v>125</v>
      </c>
      <c r="J139" s="98">
        <v>761897</v>
      </c>
      <c r="K139" s="98">
        <v>0</v>
      </c>
      <c r="L139" s="97" t="s">
        <v>4480</v>
      </c>
      <c r="M139" s="97" t="s">
        <v>4481</v>
      </c>
      <c r="N139" s="97" t="s">
        <v>4365</v>
      </c>
      <c r="O139" s="97" t="s">
        <v>4366</v>
      </c>
      <c r="P139" s="97"/>
      <c r="Q139" s="97" t="s">
        <v>4362</v>
      </c>
    </row>
    <row r="140" spans="1:17">
      <c r="A140" s="96">
        <v>45421</v>
      </c>
      <c r="B140" s="96">
        <v>45421</v>
      </c>
      <c r="C140" s="97" t="s">
        <v>4641</v>
      </c>
      <c r="D140" s="96"/>
      <c r="E140" s="97"/>
      <c r="F140" s="97" t="s">
        <v>4642</v>
      </c>
      <c r="G140" s="97" t="s">
        <v>4642</v>
      </c>
      <c r="H140" s="97" t="s">
        <v>283</v>
      </c>
      <c r="I140" s="97" t="s">
        <v>125</v>
      </c>
      <c r="J140" s="98">
        <v>4344258</v>
      </c>
      <c r="K140" s="98">
        <v>0</v>
      </c>
      <c r="L140" s="97" t="s">
        <v>4513</v>
      </c>
      <c r="M140" s="97" t="s">
        <v>4514</v>
      </c>
      <c r="N140" s="97" t="s">
        <v>4365</v>
      </c>
      <c r="O140" s="97" t="s">
        <v>4366</v>
      </c>
      <c r="P140" s="97" t="s">
        <v>4433</v>
      </c>
      <c r="Q140" s="97" t="s">
        <v>4362</v>
      </c>
    </row>
    <row r="141" spans="1:17">
      <c r="A141" s="96">
        <v>45436</v>
      </c>
      <c r="B141" s="96">
        <v>45436</v>
      </c>
      <c r="C141" s="97" t="s">
        <v>4643</v>
      </c>
      <c r="D141" s="96"/>
      <c r="E141" s="97"/>
      <c r="F141" s="97" t="s">
        <v>4644</v>
      </c>
      <c r="G141" s="97" t="s">
        <v>4644</v>
      </c>
      <c r="H141" s="97" t="s">
        <v>387</v>
      </c>
      <c r="I141" s="97" t="s">
        <v>62</v>
      </c>
      <c r="J141" s="98">
        <v>4555307</v>
      </c>
      <c r="K141" s="98">
        <v>0</v>
      </c>
      <c r="L141" s="97" t="s">
        <v>3524</v>
      </c>
      <c r="M141" s="97" t="s">
        <v>622</v>
      </c>
      <c r="N141" s="97" t="s">
        <v>4365</v>
      </c>
      <c r="O141" s="97" t="s">
        <v>4366</v>
      </c>
      <c r="P141" s="97"/>
      <c r="Q141" s="97" t="s">
        <v>4362</v>
      </c>
    </row>
    <row r="142" spans="1:17">
      <c r="A142" s="96">
        <v>45439</v>
      </c>
      <c r="B142" s="96">
        <v>45439</v>
      </c>
      <c r="C142" s="97" t="s">
        <v>4645</v>
      </c>
      <c r="D142" s="96"/>
      <c r="E142" s="97"/>
      <c r="F142" s="97" t="s">
        <v>4646</v>
      </c>
      <c r="G142" s="97" t="s">
        <v>4646</v>
      </c>
      <c r="H142" s="97" t="s">
        <v>283</v>
      </c>
      <c r="I142" s="97" t="s">
        <v>125</v>
      </c>
      <c r="J142" s="98">
        <v>1528561</v>
      </c>
      <c r="K142" s="98">
        <v>0</v>
      </c>
      <c r="L142" s="97" t="s">
        <v>4504</v>
      </c>
      <c r="M142" s="97" t="s">
        <v>4505</v>
      </c>
      <c r="N142" s="97" t="s">
        <v>4365</v>
      </c>
      <c r="O142" s="97" t="s">
        <v>4366</v>
      </c>
      <c r="P142" s="97"/>
      <c r="Q142" s="97" t="s">
        <v>4362</v>
      </c>
    </row>
    <row r="143" spans="1:17">
      <c r="A143" s="96">
        <v>45439</v>
      </c>
      <c r="B143" s="96">
        <v>45439</v>
      </c>
      <c r="C143" s="97" t="s">
        <v>4647</v>
      </c>
      <c r="D143" s="96"/>
      <c r="E143" s="97"/>
      <c r="F143" s="97" t="s">
        <v>4648</v>
      </c>
      <c r="G143" s="97" t="s">
        <v>4648</v>
      </c>
      <c r="H143" s="97" t="s">
        <v>387</v>
      </c>
      <c r="I143" s="97" t="s">
        <v>62</v>
      </c>
      <c r="J143" s="98">
        <v>222915</v>
      </c>
      <c r="K143" s="98">
        <v>0</v>
      </c>
      <c r="L143" s="97" t="s">
        <v>3524</v>
      </c>
      <c r="M143" s="97" t="s">
        <v>622</v>
      </c>
      <c r="N143" s="97" t="s">
        <v>4365</v>
      </c>
      <c r="O143" s="97" t="s">
        <v>4366</v>
      </c>
      <c r="P143" s="97" t="s">
        <v>4433</v>
      </c>
      <c r="Q143" s="97" t="s">
        <v>4362</v>
      </c>
    </row>
    <row r="144" spans="1:17">
      <c r="A144" s="96">
        <v>45440</v>
      </c>
      <c r="B144" s="96">
        <v>45440</v>
      </c>
      <c r="C144" s="97" t="s">
        <v>4649</v>
      </c>
      <c r="D144" s="96"/>
      <c r="E144" s="97"/>
      <c r="F144" s="97" t="s">
        <v>4650</v>
      </c>
      <c r="G144" s="97" t="s">
        <v>4650</v>
      </c>
      <c r="H144" s="97" t="s">
        <v>283</v>
      </c>
      <c r="I144" s="97" t="s">
        <v>125</v>
      </c>
      <c r="J144" s="98">
        <v>101904</v>
      </c>
      <c r="K144" s="98">
        <v>0</v>
      </c>
      <c r="L144" s="97" t="s">
        <v>4513</v>
      </c>
      <c r="M144" s="97" t="s">
        <v>4514</v>
      </c>
      <c r="N144" s="97" t="s">
        <v>4365</v>
      </c>
      <c r="O144" s="97" t="s">
        <v>4366</v>
      </c>
      <c r="P144" s="97" t="s">
        <v>4433</v>
      </c>
      <c r="Q144" s="97" t="s">
        <v>4362</v>
      </c>
    </row>
    <row r="145" spans="1:17">
      <c r="A145" s="96">
        <v>45444</v>
      </c>
      <c r="B145" s="96">
        <v>45444</v>
      </c>
      <c r="C145" s="97" t="s">
        <v>4651</v>
      </c>
      <c r="D145" s="96"/>
      <c r="E145" s="97"/>
      <c r="F145" s="97" t="s">
        <v>4652</v>
      </c>
      <c r="G145" s="97" t="s">
        <v>4652</v>
      </c>
      <c r="H145" s="97" t="s">
        <v>283</v>
      </c>
      <c r="I145" s="97" t="s">
        <v>62</v>
      </c>
      <c r="J145" s="98">
        <v>10564232</v>
      </c>
      <c r="K145" s="98">
        <v>0</v>
      </c>
      <c r="L145" s="97" t="s">
        <v>3524</v>
      </c>
      <c r="M145" s="97" t="s">
        <v>622</v>
      </c>
      <c r="N145" s="97" t="s">
        <v>4365</v>
      </c>
      <c r="O145" s="97" t="s">
        <v>4366</v>
      </c>
      <c r="P145" s="97"/>
      <c r="Q145" s="97" t="s">
        <v>4362</v>
      </c>
    </row>
    <row r="146" spans="1:17">
      <c r="A146" s="96">
        <v>45444</v>
      </c>
      <c r="B146" s="96">
        <v>45444</v>
      </c>
      <c r="C146" s="97" t="s">
        <v>4653</v>
      </c>
      <c r="D146" s="96"/>
      <c r="E146" s="97"/>
      <c r="F146" s="97" t="s">
        <v>4654</v>
      </c>
      <c r="G146" s="97" t="s">
        <v>4654</v>
      </c>
      <c r="H146" s="97" t="s">
        <v>387</v>
      </c>
      <c r="I146" s="97" t="s">
        <v>62</v>
      </c>
      <c r="J146" s="98">
        <v>771825</v>
      </c>
      <c r="K146" s="98">
        <v>0</v>
      </c>
      <c r="L146" s="97" t="s">
        <v>3524</v>
      </c>
      <c r="M146" s="97" t="s">
        <v>622</v>
      </c>
      <c r="N146" s="97" t="s">
        <v>4365</v>
      </c>
      <c r="O146" s="97" t="s">
        <v>4366</v>
      </c>
      <c r="P146" s="97"/>
      <c r="Q146" s="97" t="s">
        <v>4362</v>
      </c>
    </row>
    <row r="147" spans="1:17">
      <c r="A147" s="96">
        <v>45444</v>
      </c>
      <c r="B147" s="96">
        <v>45444</v>
      </c>
      <c r="C147" s="97" t="s">
        <v>4655</v>
      </c>
      <c r="D147" s="96"/>
      <c r="E147" s="97"/>
      <c r="F147" s="97" t="s">
        <v>4656</v>
      </c>
      <c r="G147" s="97" t="s">
        <v>4656</v>
      </c>
      <c r="H147" s="97" t="s">
        <v>387</v>
      </c>
      <c r="I147" s="97" t="s">
        <v>62</v>
      </c>
      <c r="J147" s="98">
        <v>3215599</v>
      </c>
      <c r="K147" s="98">
        <v>0</v>
      </c>
      <c r="L147" s="97" t="s">
        <v>3524</v>
      </c>
      <c r="M147" s="97" t="s">
        <v>622</v>
      </c>
      <c r="N147" s="97" t="s">
        <v>4365</v>
      </c>
      <c r="O147" s="97" t="s">
        <v>4366</v>
      </c>
      <c r="P147" s="97"/>
      <c r="Q147" s="97" t="s">
        <v>4362</v>
      </c>
    </row>
    <row r="148" spans="1:17">
      <c r="A148" s="96">
        <v>45444</v>
      </c>
      <c r="B148" s="96">
        <v>45444</v>
      </c>
      <c r="C148" s="97" t="s">
        <v>4657</v>
      </c>
      <c r="D148" s="96"/>
      <c r="E148" s="97"/>
      <c r="F148" s="97" t="s">
        <v>4658</v>
      </c>
      <c r="G148" s="97" t="s">
        <v>4658</v>
      </c>
      <c r="H148" s="97" t="s">
        <v>387</v>
      </c>
      <c r="I148" s="97" t="s">
        <v>62</v>
      </c>
      <c r="J148" s="98">
        <v>289434</v>
      </c>
      <c r="K148" s="98">
        <v>0</v>
      </c>
      <c r="L148" s="97" t="s">
        <v>3524</v>
      </c>
      <c r="M148" s="97" t="s">
        <v>622</v>
      </c>
      <c r="N148" s="97" t="s">
        <v>4365</v>
      </c>
      <c r="O148" s="97" t="s">
        <v>4366</v>
      </c>
      <c r="P148" s="97"/>
      <c r="Q148" s="97" t="s">
        <v>4362</v>
      </c>
    </row>
    <row r="149" spans="1:17">
      <c r="A149" s="96">
        <v>45446</v>
      </c>
      <c r="B149" s="96">
        <v>45446</v>
      </c>
      <c r="C149" s="97" t="s">
        <v>4659</v>
      </c>
      <c r="D149" s="96"/>
      <c r="E149" s="97"/>
      <c r="F149" s="97" t="s">
        <v>4660</v>
      </c>
      <c r="G149" s="97" t="s">
        <v>4660</v>
      </c>
      <c r="H149" s="97" t="s">
        <v>283</v>
      </c>
      <c r="I149" s="97" t="s">
        <v>125</v>
      </c>
      <c r="J149" s="98">
        <v>18277139</v>
      </c>
      <c r="K149" s="98">
        <v>0</v>
      </c>
      <c r="L149" s="97" t="s">
        <v>3518</v>
      </c>
      <c r="M149" s="97" t="s">
        <v>3519</v>
      </c>
      <c r="N149" s="97" t="s">
        <v>4365</v>
      </c>
      <c r="O149" s="97" t="s">
        <v>4366</v>
      </c>
      <c r="P149" s="97"/>
      <c r="Q149" s="97" t="s">
        <v>4362</v>
      </c>
    </row>
    <row r="150" spans="1:17">
      <c r="A150" s="96">
        <v>45446</v>
      </c>
      <c r="B150" s="96">
        <v>45446</v>
      </c>
      <c r="C150" s="97" t="s">
        <v>4661</v>
      </c>
      <c r="D150" s="96"/>
      <c r="E150" s="97"/>
      <c r="F150" s="97" t="s">
        <v>4662</v>
      </c>
      <c r="G150" s="97" t="s">
        <v>4662</v>
      </c>
      <c r="H150" s="97" t="s">
        <v>283</v>
      </c>
      <c r="I150" s="97" t="s">
        <v>125</v>
      </c>
      <c r="J150" s="98">
        <v>18013893</v>
      </c>
      <c r="K150" s="98">
        <v>0</v>
      </c>
      <c r="L150" s="97" t="s">
        <v>3518</v>
      </c>
      <c r="M150" s="97" t="s">
        <v>3519</v>
      </c>
      <c r="N150" s="97" t="s">
        <v>4365</v>
      </c>
      <c r="O150" s="97" t="s">
        <v>4366</v>
      </c>
      <c r="P150" s="97"/>
      <c r="Q150" s="97" t="s">
        <v>4362</v>
      </c>
    </row>
    <row r="151" spans="1:17">
      <c r="A151" s="96">
        <v>45446</v>
      </c>
      <c r="B151" s="96">
        <v>45446</v>
      </c>
      <c r="C151" s="97" t="s">
        <v>4663</v>
      </c>
      <c r="D151" s="96"/>
      <c r="E151" s="97"/>
      <c r="F151" s="97" t="s">
        <v>4664</v>
      </c>
      <c r="G151" s="97" t="s">
        <v>4664</v>
      </c>
      <c r="H151" s="97" t="s">
        <v>283</v>
      </c>
      <c r="I151" s="97" t="s">
        <v>62</v>
      </c>
      <c r="J151" s="98">
        <v>4524291</v>
      </c>
      <c r="K151" s="98">
        <v>0</v>
      </c>
      <c r="L151" s="97" t="s">
        <v>3524</v>
      </c>
      <c r="M151" s="97" t="s">
        <v>622</v>
      </c>
      <c r="N151" s="97" t="s">
        <v>4365</v>
      </c>
      <c r="O151" s="97" t="s">
        <v>4366</v>
      </c>
      <c r="P151" s="97"/>
      <c r="Q151" s="97" t="s">
        <v>4362</v>
      </c>
    </row>
    <row r="152" spans="1:17">
      <c r="A152" s="96">
        <v>45449</v>
      </c>
      <c r="B152" s="96">
        <v>45449</v>
      </c>
      <c r="C152" s="97" t="s">
        <v>4665</v>
      </c>
      <c r="D152" s="96"/>
      <c r="E152" s="97"/>
      <c r="F152" s="97" t="s">
        <v>4666</v>
      </c>
      <c r="G152" s="97" t="s">
        <v>4666</v>
      </c>
      <c r="H152" s="97" t="s">
        <v>283</v>
      </c>
      <c r="I152" s="97" t="s">
        <v>62</v>
      </c>
      <c r="J152" s="98">
        <v>5926804</v>
      </c>
      <c r="K152" s="98">
        <v>0</v>
      </c>
      <c r="L152" s="97" t="s">
        <v>3524</v>
      </c>
      <c r="M152" s="97" t="s">
        <v>622</v>
      </c>
      <c r="N152" s="97" t="s">
        <v>4365</v>
      </c>
      <c r="O152" s="97" t="s">
        <v>4366</v>
      </c>
      <c r="P152" s="97"/>
      <c r="Q152" s="97" t="s">
        <v>4362</v>
      </c>
    </row>
    <row r="153" spans="1:17">
      <c r="A153" s="96">
        <v>45449</v>
      </c>
      <c r="B153" s="96">
        <v>45449</v>
      </c>
      <c r="C153" s="97" t="s">
        <v>4667</v>
      </c>
      <c r="D153" s="96"/>
      <c r="E153" s="97"/>
      <c r="F153" s="97" t="s">
        <v>4668</v>
      </c>
      <c r="G153" s="97" t="s">
        <v>4668</v>
      </c>
      <c r="H153" s="97" t="s">
        <v>283</v>
      </c>
      <c r="I153" s="97" t="s">
        <v>62</v>
      </c>
      <c r="J153" s="98">
        <v>888639</v>
      </c>
      <c r="K153" s="98">
        <v>0</v>
      </c>
      <c r="L153" s="97" t="s">
        <v>3524</v>
      </c>
      <c r="M153" s="97" t="s">
        <v>622</v>
      </c>
      <c r="N153" s="97" t="s">
        <v>4365</v>
      </c>
      <c r="O153" s="97" t="s">
        <v>4366</v>
      </c>
      <c r="P153" s="97"/>
      <c r="Q153" s="97" t="s">
        <v>4362</v>
      </c>
    </row>
    <row r="154" spans="1:17">
      <c r="A154" s="96">
        <v>45449</v>
      </c>
      <c r="B154" s="96">
        <v>45449</v>
      </c>
      <c r="C154" s="97" t="s">
        <v>4669</v>
      </c>
      <c r="D154" s="96"/>
      <c r="E154" s="97"/>
      <c r="F154" s="97" t="s">
        <v>4670</v>
      </c>
      <c r="G154" s="97" t="s">
        <v>4670</v>
      </c>
      <c r="H154" s="97" t="s">
        <v>387</v>
      </c>
      <c r="I154" s="97" t="s">
        <v>62</v>
      </c>
      <c r="J154" s="98">
        <v>3173421</v>
      </c>
      <c r="K154" s="98">
        <v>0</v>
      </c>
      <c r="L154" s="97" t="s">
        <v>3524</v>
      </c>
      <c r="M154" s="97" t="s">
        <v>622</v>
      </c>
      <c r="N154" s="97" t="s">
        <v>4365</v>
      </c>
      <c r="O154" s="97" t="s">
        <v>4366</v>
      </c>
      <c r="P154" s="97"/>
      <c r="Q154" s="97" t="s">
        <v>4362</v>
      </c>
    </row>
    <row r="155" spans="1:17">
      <c r="A155" s="96">
        <v>45450</v>
      </c>
      <c r="B155" s="96">
        <v>45450</v>
      </c>
      <c r="C155" s="97" t="s">
        <v>4671</v>
      </c>
      <c r="D155" s="96"/>
      <c r="E155" s="97"/>
      <c r="F155" s="97" t="s">
        <v>4672</v>
      </c>
      <c r="G155" s="97" t="s">
        <v>4672</v>
      </c>
      <c r="H155" s="97" t="s">
        <v>387</v>
      </c>
      <c r="I155" s="97" t="s">
        <v>62</v>
      </c>
      <c r="J155" s="98">
        <v>508600</v>
      </c>
      <c r="K155" s="98">
        <v>0</v>
      </c>
      <c r="L155" s="97" t="s">
        <v>3524</v>
      </c>
      <c r="M155" s="97" t="s">
        <v>622</v>
      </c>
      <c r="N155" s="97" t="s">
        <v>4365</v>
      </c>
      <c r="O155" s="97" t="s">
        <v>4366</v>
      </c>
      <c r="P155" s="97"/>
      <c r="Q155" s="97" t="s">
        <v>4362</v>
      </c>
    </row>
    <row r="156" spans="1:17">
      <c r="A156" s="96">
        <v>45450</v>
      </c>
      <c r="B156" s="96">
        <v>45450</v>
      </c>
      <c r="C156" s="97" t="s">
        <v>4673</v>
      </c>
      <c r="D156" s="96"/>
      <c r="E156" s="97"/>
      <c r="F156" s="97" t="s">
        <v>4674</v>
      </c>
      <c r="G156" s="97" t="s">
        <v>4674</v>
      </c>
      <c r="H156" s="97" t="s">
        <v>387</v>
      </c>
      <c r="I156" s="97" t="s">
        <v>62</v>
      </c>
      <c r="J156" s="98">
        <v>2543002</v>
      </c>
      <c r="K156" s="98">
        <v>0</v>
      </c>
      <c r="L156" s="97" t="s">
        <v>3524</v>
      </c>
      <c r="M156" s="97" t="s">
        <v>622</v>
      </c>
      <c r="N156" s="97" t="s">
        <v>4365</v>
      </c>
      <c r="O156" s="97" t="s">
        <v>4366</v>
      </c>
      <c r="P156" s="97"/>
      <c r="Q156" s="97" t="s">
        <v>4362</v>
      </c>
    </row>
    <row r="157" spans="1:17">
      <c r="A157" s="96">
        <v>45453</v>
      </c>
      <c r="B157" s="96">
        <v>45453</v>
      </c>
      <c r="C157" s="97" t="s">
        <v>4675</v>
      </c>
      <c r="D157" s="96"/>
      <c r="E157" s="97"/>
      <c r="F157" s="97" t="s">
        <v>4676</v>
      </c>
      <c r="G157" s="97" t="s">
        <v>4676</v>
      </c>
      <c r="H157" s="97" t="s">
        <v>283</v>
      </c>
      <c r="I157" s="97" t="s">
        <v>125</v>
      </c>
      <c r="J157" s="98">
        <v>4348191</v>
      </c>
      <c r="K157" s="98">
        <v>0</v>
      </c>
      <c r="L157" s="97" t="s">
        <v>4513</v>
      </c>
      <c r="M157" s="97" t="s">
        <v>4514</v>
      </c>
      <c r="N157" s="97" t="s">
        <v>4365</v>
      </c>
      <c r="O157" s="97" t="s">
        <v>4366</v>
      </c>
      <c r="P157" s="97" t="s">
        <v>4433</v>
      </c>
      <c r="Q157" s="97" t="s">
        <v>4362</v>
      </c>
    </row>
    <row r="158" spans="1:17">
      <c r="A158" s="96">
        <v>45453</v>
      </c>
      <c r="B158" s="96">
        <v>45453</v>
      </c>
      <c r="C158" s="97" t="s">
        <v>4677</v>
      </c>
      <c r="D158" s="96"/>
      <c r="E158" s="97"/>
      <c r="F158" s="97" t="s">
        <v>4678</v>
      </c>
      <c r="G158" s="97" t="s">
        <v>4678</v>
      </c>
      <c r="H158" s="97" t="s">
        <v>281</v>
      </c>
      <c r="I158" s="97" t="s">
        <v>125</v>
      </c>
      <c r="J158" s="98">
        <v>762586</v>
      </c>
      <c r="K158" s="98">
        <v>0</v>
      </c>
      <c r="L158" s="97" t="s">
        <v>4480</v>
      </c>
      <c r="M158" s="97" t="s">
        <v>4481</v>
      </c>
      <c r="N158" s="97" t="s">
        <v>4365</v>
      </c>
      <c r="O158" s="97" t="s">
        <v>4366</v>
      </c>
      <c r="P158" s="97"/>
      <c r="Q158" s="97" t="s">
        <v>4362</v>
      </c>
    </row>
    <row r="159" spans="1:17">
      <c r="A159" s="96">
        <v>45453</v>
      </c>
      <c r="B159" s="96">
        <v>45453</v>
      </c>
      <c r="C159" s="97" t="s">
        <v>4679</v>
      </c>
      <c r="D159" s="96"/>
      <c r="E159" s="97"/>
      <c r="F159" s="97" t="s">
        <v>4680</v>
      </c>
      <c r="G159" s="97" t="s">
        <v>4680</v>
      </c>
      <c r="H159" s="97" t="s">
        <v>281</v>
      </c>
      <c r="I159" s="97" t="s">
        <v>125</v>
      </c>
      <c r="J159" s="98">
        <v>762586</v>
      </c>
      <c r="K159" s="98">
        <v>0</v>
      </c>
      <c r="L159" s="97" t="s">
        <v>4480</v>
      </c>
      <c r="M159" s="97" t="s">
        <v>4481</v>
      </c>
      <c r="N159" s="97" t="s">
        <v>4365</v>
      </c>
      <c r="O159" s="97" t="s">
        <v>4366</v>
      </c>
      <c r="P159" s="97"/>
      <c r="Q159" s="97" t="s">
        <v>4362</v>
      </c>
    </row>
    <row r="160" spans="1:17">
      <c r="A160" s="96">
        <v>45453</v>
      </c>
      <c r="B160" s="96">
        <v>45453</v>
      </c>
      <c r="C160" s="97" t="s">
        <v>4681</v>
      </c>
      <c r="D160" s="96"/>
      <c r="E160" s="97"/>
      <c r="F160" s="97" t="s">
        <v>4682</v>
      </c>
      <c r="G160" s="97" t="s">
        <v>4682</v>
      </c>
      <c r="H160" s="97" t="s">
        <v>281</v>
      </c>
      <c r="I160" s="97" t="s">
        <v>125</v>
      </c>
      <c r="J160" s="98">
        <v>762586</v>
      </c>
      <c r="K160" s="98">
        <v>0</v>
      </c>
      <c r="L160" s="97" t="s">
        <v>4480</v>
      </c>
      <c r="M160" s="97" t="s">
        <v>4481</v>
      </c>
      <c r="N160" s="97" t="s">
        <v>4365</v>
      </c>
      <c r="O160" s="97" t="s">
        <v>4366</v>
      </c>
      <c r="P160" s="97"/>
      <c r="Q160" s="97" t="s">
        <v>4362</v>
      </c>
    </row>
    <row r="161" spans="1:17">
      <c r="A161" s="96">
        <v>45461</v>
      </c>
      <c r="B161" s="96">
        <v>45461</v>
      </c>
      <c r="C161" s="97" t="s">
        <v>4683</v>
      </c>
      <c r="D161" s="96"/>
      <c r="E161" s="97"/>
      <c r="F161" s="97" t="s">
        <v>4684</v>
      </c>
      <c r="G161" s="97" t="s">
        <v>4684</v>
      </c>
      <c r="H161" s="97" t="s">
        <v>299</v>
      </c>
      <c r="I161" s="97" t="s">
        <v>62</v>
      </c>
      <c r="J161" s="98">
        <v>8266514</v>
      </c>
      <c r="K161" s="98">
        <v>0</v>
      </c>
      <c r="L161" s="97" t="s">
        <v>3524</v>
      </c>
      <c r="M161" s="97" t="s">
        <v>622</v>
      </c>
      <c r="N161" s="97" t="s">
        <v>4365</v>
      </c>
      <c r="O161" s="97" t="s">
        <v>4366</v>
      </c>
      <c r="P161" s="97"/>
      <c r="Q161" s="97" t="s">
        <v>4362</v>
      </c>
    </row>
    <row r="162" spans="1:17">
      <c r="A162" s="96">
        <v>45464</v>
      </c>
      <c r="B162" s="96">
        <v>45464</v>
      </c>
      <c r="C162" s="97" t="s">
        <v>4685</v>
      </c>
      <c r="D162" s="96"/>
      <c r="E162" s="97"/>
      <c r="F162" s="97" t="s">
        <v>4686</v>
      </c>
      <c r="G162" s="97" t="s">
        <v>4400</v>
      </c>
      <c r="H162" s="97" t="s">
        <v>387</v>
      </c>
      <c r="I162" s="97" t="s">
        <v>62</v>
      </c>
      <c r="J162" s="98">
        <v>509060</v>
      </c>
      <c r="K162" s="98">
        <v>0</v>
      </c>
      <c r="L162" s="97" t="s">
        <v>3524</v>
      </c>
      <c r="M162" s="97" t="s">
        <v>622</v>
      </c>
      <c r="N162" s="97" t="s">
        <v>4365</v>
      </c>
      <c r="O162" s="97" t="s">
        <v>4366</v>
      </c>
      <c r="P162" s="97"/>
      <c r="Q162" s="97" t="s">
        <v>4362</v>
      </c>
    </row>
    <row r="163" spans="1:17">
      <c r="A163" s="96">
        <v>45467</v>
      </c>
      <c r="B163" s="96">
        <v>45467</v>
      </c>
      <c r="C163" s="97" t="s">
        <v>4687</v>
      </c>
      <c r="D163" s="96"/>
      <c r="E163" s="97"/>
      <c r="F163" s="97" t="s">
        <v>4688</v>
      </c>
      <c r="G163" s="97" t="s">
        <v>4688</v>
      </c>
      <c r="H163" s="97" t="s">
        <v>387</v>
      </c>
      <c r="I163" s="97" t="s">
        <v>62</v>
      </c>
      <c r="J163" s="98">
        <v>509100</v>
      </c>
      <c r="K163" s="98">
        <v>0</v>
      </c>
      <c r="L163" s="97" t="s">
        <v>3524</v>
      </c>
      <c r="M163" s="97" t="s">
        <v>622</v>
      </c>
      <c r="N163" s="97" t="s">
        <v>4365</v>
      </c>
      <c r="O163" s="97" t="s">
        <v>4366</v>
      </c>
      <c r="P163" s="97"/>
      <c r="Q163" s="97" t="s">
        <v>4362</v>
      </c>
    </row>
    <row r="164" spans="1:17">
      <c r="A164" s="96">
        <v>45469</v>
      </c>
      <c r="B164" s="96">
        <v>45469</v>
      </c>
      <c r="C164" s="97" t="s">
        <v>4689</v>
      </c>
      <c r="D164" s="96"/>
      <c r="E164" s="97"/>
      <c r="F164" s="97" t="s">
        <v>4690</v>
      </c>
      <c r="G164" s="97" t="s">
        <v>4690</v>
      </c>
      <c r="H164" s="97" t="s">
        <v>387</v>
      </c>
      <c r="I164" s="97" t="s">
        <v>62</v>
      </c>
      <c r="J164" s="98">
        <v>222775</v>
      </c>
      <c r="K164" s="98">
        <v>0</v>
      </c>
      <c r="L164" s="97" t="s">
        <v>3524</v>
      </c>
      <c r="M164" s="97" t="s">
        <v>622</v>
      </c>
      <c r="N164" s="97" t="s">
        <v>4365</v>
      </c>
      <c r="O164" s="97" t="s">
        <v>4366</v>
      </c>
      <c r="P164" s="97" t="s">
        <v>4433</v>
      </c>
      <c r="Q164" s="97" t="s">
        <v>4362</v>
      </c>
    </row>
    <row r="165" spans="1:17">
      <c r="A165" s="96">
        <v>45469</v>
      </c>
      <c r="B165" s="96">
        <v>45469</v>
      </c>
      <c r="C165" s="97" t="s">
        <v>4691</v>
      </c>
      <c r="D165" s="96"/>
      <c r="E165" s="97"/>
      <c r="F165" s="97" t="s">
        <v>4692</v>
      </c>
      <c r="G165" s="97" t="s">
        <v>4692</v>
      </c>
      <c r="H165" s="97" t="s">
        <v>283</v>
      </c>
      <c r="I165" s="97" t="s">
        <v>125</v>
      </c>
      <c r="J165" s="98">
        <v>1527600</v>
      </c>
      <c r="K165" s="98">
        <v>0</v>
      </c>
      <c r="L165" s="97" t="s">
        <v>4504</v>
      </c>
      <c r="M165" s="97" t="s">
        <v>4505</v>
      </c>
      <c r="N165" s="97" t="s">
        <v>4365</v>
      </c>
      <c r="O165" s="97" t="s">
        <v>4366</v>
      </c>
      <c r="P165" s="97"/>
      <c r="Q165" s="97" t="s">
        <v>4362</v>
      </c>
    </row>
    <row r="166" spans="1:17">
      <c r="A166" s="96">
        <v>45471</v>
      </c>
      <c r="B166" s="96">
        <v>45471</v>
      </c>
      <c r="C166" s="97" t="s">
        <v>4693</v>
      </c>
      <c r="D166" s="96"/>
      <c r="E166" s="97"/>
      <c r="F166" s="97" t="s">
        <v>4694</v>
      </c>
      <c r="G166" s="97" t="s">
        <v>4694</v>
      </c>
      <c r="H166" s="97" t="s">
        <v>283</v>
      </c>
      <c r="I166" s="97" t="s">
        <v>125</v>
      </c>
      <c r="J166" s="98">
        <v>101872</v>
      </c>
      <c r="K166" s="98">
        <v>0</v>
      </c>
      <c r="L166" s="97" t="s">
        <v>4513</v>
      </c>
      <c r="M166" s="97" t="s">
        <v>4514</v>
      </c>
      <c r="N166" s="97" t="s">
        <v>4365</v>
      </c>
      <c r="O166" s="97" t="s">
        <v>4366</v>
      </c>
      <c r="P166" s="97" t="s">
        <v>4433</v>
      </c>
      <c r="Q166" s="97" t="s">
        <v>4362</v>
      </c>
    </row>
    <row r="167" spans="1:17">
      <c r="A167" s="96">
        <v>45471</v>
      </c>
      <c r="B167" s="96">
        <v>45471</v>
      </c>
      <c r="C167" s="97" t="s">
        <v>4695</v>
      </c>
      <c r="D167" s="96"/>
      <c r="E167" s="97"/>
      <c r="F167" s="97" t="s">
        <v>4696</v>
      </c>
      <c r="G167" s="97" t="s">
        <v>4696</v>
      </c>
      <c r="H167" s="97" t="s">
        <v>435</v>
      </c>
      <c r="I167" s="97" t="s">
        <v>132</v>
      </c>
      <c r="J167" s="98">
        <v>117600</v>
      </c>
      <c r="K167" s="98">
        <v>0</v>
      </c>
      <c r="L167" s="97"/>
      <c r="M167" s="97"/>
      <c r="N167" s="97" t="s">
        <v>4448</v>
      </c>
      <c r="O167" s="97" t="s">
        <v>4449</v>
      </c>
      <c r="P167" s="97" t="s">
        <v>3524</v>
      </c>
      <c r="Q167" s="97" t="s">
        <v>4362</v>
      </c>
    </row>
    <row r="168" spans="1:17">
      <c r="A168" s="96">
        <v>45473</v>
      </c>
      <c r="B168" s="96">
        <v>45473</v>
      </c>
      <c r="C168" s="97" t="s">
        <v>4697</v>
      </c>
      <c r="D168" s="96"/>
      <c r="E168" s="97"/>
      <c r="F168" s="97" t="s">
        <v>4698</v>
      </c>
      <c r="G168" s="97" t="s">
        <v>4699</v>
      </c>
      <c r="H168" s="97" t="s">
        <v>444</v>
      </c>
      <c r="I168" s="97" t="s">
        <v>31</v>
      </c>
      <c r="J168" s="98">
        <v>232795</v>
      </c>
      <c r="K168" s="98">
        <v>0</v>
      </c>
      <c r="L168" s="97"/>
      <c r="M168" s="97"/>
      <c r="N168" s="97"/>
      <c r="O168" s="97"/>
      <c r="P168" s="97"/>
      <c r="Q168" s="97" t="s">
        <v>4362</v>
      </c>
    </row>
    <row r="169" spans="1:17">
      <c r="A169" s="96">
        <v>45474</v>
      </c>
      <c r="B169" s="96">
        <v>45474</v>
      </c>
      <c r="C169" s="97" t="s">
        <v>4700</v>
      </c>
      <c r="D169" s="96"/>
      <c r="E169" s="97"/>
      <c r="F169" s="97" t="s">
        <v>4654</v>
      </c>
      <c r="G169" s="97" t="s">
        <v>4654</v>
      </c>
      <c r="H169" s="97" t="s">
        <v>387</v>
      </c>
      <c r="I169" s="97" t="s">
        <v>62</v>
      </c>
      <c r="J169" s="98">
        <v>771947</v>
      </c>
      <c r="K169" s="98">
        <v>0</v>
      </c>
      <c r="L169" s="97" t="s">
        <v>3524</v>
      </c>
      <c r="M169" s="97" t="s">
        <v>622</v>
      </c>
      <c r="N169" s="97" t="s">
        <v>4365</v>
      </c>
      <c r="O169" s="97" t="s">
        <v>4366</v>
      </c>
      <c r="P169" s="97"/>
      <c r="Q169" s="97" t="s">
        <v>4362</v>
      </c>
    </row>
    <row r="170" spans="1:17">
      <c r="A170" s="96">
        <v>45474</v>
      </c>
      <c r="B170" s="96">
        <v>45474</v>
      </c>
      <c r="C170" s="97" t="s">
        <v>4701</v>
      </c>
      <c r="D170" s="96"/>
      <c r="E170" s="97"/>
      <c r="F170" s="97" t="s">
        <v>4702</v>
      </c>
      <c r="G170" s="97" t="s">
        <v>4702</v>
      </c>
      <c r="H170" s="97" t="s">
        <v>387</v>
      </c>
      <c r="I170" s="97" t="s">
        <v>62</v>
      </c>
      <c r="J170" s="98">
        <v>289480</v>
      </c>
      <c r="K170" s="98">
        <v>0</v>
      </c>
      <c r="L170" s="97" t="s">
        <v>3524</v>
      </c>
      <c r="M170" s="97" t="s">
        <v>622</v>
      </c>
      <c r="N170" s="97" t="s">
        <v>4365</v>
      </c>
      <c r="O170" s="97" t="s">
        <v>4366</v>
      </c>
      <c r="P170" s="97"/>
      <c r="Q170" s="97" t="s">
        <v>4362</v>
      </c>
    </row>
    <row r="171" spans="1:17">
      <c r="A171" s="96">
        <v>45474</v>
      </c>
      <c r="B171" s="96">
        <v>45474</v>
      </c>
      <c r="C171" s="97" t="s">
        <v>4703</v>
      </c>
      <c r="D171" s="96"/>
      <c r="E171" s="97"/>
      <c r="F171" s="97" t="s">
        <v>4704</v>
      </c>
      <c r="G171" s="97" t="s">
        <v>4704</v>
      </c>
      <c r="H171" s="97" t="s">
        <v>387</v>
      </c>
      <c r="I171" s="97" t="s">
        <v>62</v>
      </c>
      <c r="J171" s="98">
        <v>3216107</v>
      </c>
      <c r="K171" s="98">
        <v>0</v>
      </c>
      <c r="L171" s="97" t="s">
        <v>3524</v>
      </c>
      <c r="M171" s="97" t="s">
        <v>622</v>
      </c>
      <c r="N171" s="97" t="s">
        <v>4365</v>
      </c>
      <c r="O171" s="97" t="s">
        <v>4366</v>
      </c>
      <c r="P171" s="97"/>
      <c r="Q171" s="97" t="s">
        <v>4362</v>
      </c>
    </row>
    <row r="172" spans="1:17">
      <c r="A172" s="96">
        <v>45475</v>
      </c>
      <c r="B172" s="96">
        <v>45475</v>
      </c>
      <c r="C172" s="97" t="s">
        <v>4705</v>
      </c>
      <c r="D172" s="96"/>
      <c r="E172" s="97"/>
      <c r="F172" s="97" t="s">
        <v>4706</v>
      </c>
      <c r="G172" s="97" t="s">
        <v>4706</v>
      </c>
      <c r="H172" s="97" t="s">
        <v>283</v>
      </c>
      <c r="I172" s="97" t="s">
        <v>125</v>
      </c>
      <c r="J172" s="98">
        <v>18106162</v>
      </c>
      <c r="K172" s="98">
        <v>0</v>
      </c>
      <c r="L172" s="97" t="s">
        <v>3518</v>
      </c>
      <c r="M172" s="97" t="s">
        <v>3519</v>
      </c>
      <c r="N172" s="97" t="s">
        <v>4365</v>
      </c>
      <c r="O172" s="97" t="s">
        <v>4366</v>
      </c>
      <c r="P172" s="97"/>
      <c r="Q172" s="97" t="s">
        <v>4362</v>
      </c>
    </row>
    <row r="173" spans="1:17">
      <c r="A173" s="96">
        <v>45475</v>
      </c>
      <c r="B173" s="96">
        <v>45475</v>
      </c>
      <c r="C173" s="97" t="s">
        <v>4707</v>
      </c>
      <c r="D173" s="96"/>
      <c r="E173" s="97"/>
      <c r="F173" s="97" t="s">
        <v>4708</v>
      </c>
      <c r="G173" s="97" t="s">
        <v>4708</v>
      </c>
      <c r="H173" s="97" t="s">
        <v>283</v>
      </c>
      <c r="I173" s="97" t="s">
        <v>125</v>
      </c>
      <c r="J173" s="98">
        <v>17345133</v>
      </c>
      <c r="K173" s="98">
        <v>0</v>
      </c>
      <c r="L173" s="97" t="s">
        <v>3518</v>
      </c>
      <c r="M173" s="97" t="s">
        <v>3519</v>
      </c>
      <c r="N173" s="97" t="s">
        <v>4365</v>
      </c>
      <c r="O173" s="97" t="s">
        <v>4366</v>
      </c>
      <c r="P173" s="97"/>
      <c r="Q173" s="97" t="s">
        <v>4362</v>
      </c>
    </row>
    <row r="174" spans="1:17">
      <c r="A174" s="96">
        <v>45475</v>
      </c>
      <c r="B174" s="96">
        <v>45475</v>
      </c>
      <c r="C174" s="97" t="s">
        <v>4709</v>
      </c>
      <c r="D174" s="96"/>
      <c r="E174" s="97"/>
      <c r="F174" s="97" t="s">
        <v>4710</v>
      </c>
      <c r="G174" s="97" t="s">
        <v>4710</v>
      </c>
      <c r="H174" s="97" t="s">
        <v>283</v>
      </c>
      <c r="I174" s="97" t="s">
        <v>62</v>
      </c>
      <c r="J174" s="98">
        <v>4386152</v>
      </c>
      <c r="K174" s="98">
        <v>0</v>
      </c>
      <c r="L174" s="97" t="s">
        <v>3524</v>
      </c>
      <c r="M174" s="97" t="s">
        <v>622</v>
      </c>
      <c r="N174" s="97" t="s">
        <v>4365</v>
      </c>
      <c r="O174" s="97" t="s">
        <v>4366</v>
      </c>
      <c r="P174" s="97"/>
      <c r="Q174" s="97" t="s">
        <v>4362</v>
      </c>
    </row>
    <row r="175" spans="1:17">
      <c r="A175" s="96">
        <v>45476</v>
      </c>
      <c r="B175" s="96">
        <v>45476</v>
      </c>
      <c r="C175" s="97" t="s">
        <v>4711</v>
      </c>
      <c r="D175" s="96"/>
      <c r="E175" s="97"/>
      <c r="F175" s="97" t="s">
        <v>4712</v>
      </c>
      <c r="G175" s="97" t="s">
        <v>4712</v>
      </c>
      <c r="H175" s="97" t="s">
        <v>387</v>
      </c>
      <c r="I175" s="97" t="s">
        <v>62</v>
      </c>
      <c r="J175" s="98">
        <v>3384106</v>
      </c>
      <c r="K175" s="98">
        <v>0</v>
      </c>
      <c r="L175" s="97" t="s">
        <v>3524</v>
      </c>
      <c r="M175" s="97" t="s">
        <v>622</v>
      </c>
      <c r="N175" s="97" t="s">
        <v>4365</v>
      </c>
      <c r="O175" s="97" t="s">
        <v>4366</v>
      </c>
      <c r="P175" s="97"/>
      <c r="Q175" s="97" t="s">
        <v>4362</v>
      </c>
    </row>
    <row r="176" spans="1:17">
      <c r="A176" s="96">
        <v>45477</v>
      </c>
      <c r="B176" s="96">
        <v>45477</v>
      </c>
      <c r="C176" s="97" t="s">
        <v>4713</v>
      </c>
      <c r="D176" s="96"/>
      <c r="E176" s="97"/>
      <c r="F176" s="97" t="s">
        <v>4714</v>
      </c>
      <c r="G176" s="97" t="s">
        <v>4714</v>
      </c>
      <c r="H176" s="97" t="s">
        <v>283</v>
      </c>
      <c r="I176" s="97" t="s">
        <v>62</v>
      </c>
      <c r="J176" s="98">
        <v>5742416</v>
      </c>
      <c r="K176" s="98">
        <v>0</v>
      </c>
      <c r="L176" s="97" t="s">
        <v>3524</v>
      </c>
      <c r="M176" s="97" t="s">
        <v>622</v>
      </c>
      <c r="N176" s="97" t="s">
        <v>4365</v>
      </c>
      <c r="O176" s="97" t="s">
        <v>4366</v>
      </c>
      <c r="P176" s="97"/>
      <c r="Q176" s="97" t="s">
        <v>4362</v>
      </c>
    </row>
    <row r="177" spans="1:17">
      <c r="A177" s="96">
        <v>45477</v>
      </c>
      <c r="B177" s="96">
        <v>45477</v>
      </c>
      <c r="C177" s="97" t="s">
        <v>4715</v>
      </c>
      <c r="D177" s="96"/>
      <c r="E177" s="97"/>
      <c r="F177" s="97" t="s">
        <v>4716</v>
      </c>
      <c r="G177" s="97" t="s">
        <v>4716</v>
      </c>
      <c r="H177" s="97" t="s">
        <v>283</v>
      </c>
      <c r="I177" s="97" t="s">
        <v>62</v>
      </c>
      <c r="J177" s="98">
        <v>889548</v>
      </c>
      <c r="K177" s="98">
        <v>0</v>
      </c>
      <c r="L177" s="97" t="s">
        <v>3524</v>
      </c>
      <c r="M177" s="97" t="s">
        <v>622</v>
      </c>
      <c r="N177" s="97" t="s">
        <v>4365</v>
      </c>
      <c r="O177" s="97" t="s">
        <v>4366</v>
      </c>
      <c r="P177" s="97"/>
      <c r="Q177" s="97" t="s">
        <v>4362</v>
      </c>
    </row>
    <row r="178" spans="1:17">
      <c r="A178" s="96">
        <v>45481</v>
      </c>
      <c r="B178" s="96">
        <v>45481</v>
      </c>
      <c r="C178" s="97" t="s">
        <v>4717</v>
      </c>
      <c r="D178" s="96"/>
      <c r="E178" s="97"/>
      <c r="F178" s="97" t="s">
        <v>4718</v>
      </c>
      <c r="G178" s="97" t="s">
        <v>4718</v>
      </c>
      <c r="H178" s="97" t="s">
        <v>387</v>
      </c>
      <c r="I178" s="97" t="s">
        <v>62</v>
      </c>
      <c r="J178" s="98">
        <v>509060</v>
      </c>
      <c r="K178" s="98">
        <v>0</v>
      </c>
      <c r="L178" s="97" t="s">
        <v>3524</v>
      </c>
      <c r="M178" s="97" t="s">
        <v>622</v>
      </c>
      <c r="N178" s="97" t="s">
        <v>4365</v>
      </c>
      <c r="O178" s="97" t="s">
        <v>4366</v>
      </c>
      <c r="P178" s="97"/>
      <c r="Q178" s="97" t="s">
        <v>4362</v>
      </c>
    </row>
    <row r="179" spans="1:17">
      <c r="A179" s="96">
        <v>45481</v>
      </c>
      <c r="B179" s="96">
        <v>45481</v>
      </c>
      <c r="C179" s="97" t="s">
        <v>4719</v>
      </c>
      <c r="D179" s="96"/>
      <c r="E179" s="97"/>
      <c r="F179" s="97" t="s">
        <v>4720</v>
      </c>
      <c r="G179" s="97" t="s">
        <v>4720</v>
      </c>
      <c r="H179" s="97" t="s">
        <v>281</v>
      </c>
      <c r="I179" s="97" t="s">
        <v>125</v>
      </c>
      <c r="J179" s="98">
        <v>763335</v>
      </c>
      <c r="K179" s="98">
        <v>0</v>
      </c>
      <c r="L179" s="97" t="s">
        <v>4480</v>
      </c>
      <c r="M179" s="97" t="s">
        <v>4481</v>
      </c>
      <c r="N179" s="97" t="s">
        <v>4365</v>
      </c>
      <c r="O179" s="97" t="s">
        <v>4366</v>
      </c>
      <c r="P179" s="97"/>
      <c r="Q179" s="97" t="s">
        <v>4362</v>
      </c>
    </row>
    <row r="180" spans="1:17">
      <c r="A180" s="96">
        <v>45481</v>
      </c>
      <c r="B180" s="96">
        <v>45481</v>
      </c>
      <c r="C180" s="97" t="s">
        <v>4721</v>
      </c>
      <c r="D180" s="96"/>
      <c r="E180" s="97"/>
      <c r="F180" s="97" t="s">
        <v>4722</v>
      </c>
      <c r="G180" s="97" t="s">
        <v>4722</v>
      </c>
      <c r="H180" s="97" t="s">
        <v>281</v>
      </c>
      <c r="I180" s="97" t="s">
        <v>125</v>
      </c>
      <c r="J180" s="98">
        <v>763335</v>
      </c>
      <c r="K180" s="98">
        <v>0</v>
      </c>
      <c r="L180" s="97" t="s">
        <v>4480</v>
      </c>
      <c r="M180" s="97" t="s">
        <v>4481</v>
      </c>
      <c r="N180" s="97" t="s">
        <v>4365</v>
      </c>
      <c r="O180" s="97" t="s">
        <v>4366</v>
      </c>
      <c r="P180" s="97"/>
      <c r="Q180" s="97" t="s">
        <v>4362</v>
      </c>
    </row>
    <row r="181" spans="1:17">
      <c r="A181" s="96">
        <v>45481</v>
      </c>
      <c r="B181" s="96">
        <v>45481</v>
      </c>
      <c r="C181" s="97" t="s">
        <v>4723</v>
      </c>
      <c r="D181" s="96"/>
      <c r="E181" s="97"/>
      <c r="F181" s="97" t="s">
        <v>4724</v>
      </c>
      <c r="G181" s="97" t="s">
        <v>4724</v>
      </c>
      <c r="H181" s="97" t="s">
        <v>281</v>
      </c>
      <c r="I181" s="97" t="s">
        <v>125</v>
      </c>
      <c r="J181" s="98">
        <v>763335</v>
      </c>
      <c r="K181" s="98">
        <v>0</v>
      </c>
      <c r="L181" s="97" t="s">
        <v>4480</v>
      </c>
      <c r="M181" s="97" t="s">
        <v>4481</v>
      </c>
      <c r="N181" s="97" t="s">
        <v>4365</v>
      </c>
      <c r="O181" s="97" t="s">
        <v>4366</v>
      </c>
      <c r="P181" s="97"/>
      <c r="Q181" s="97" t="s">
        <v>4362</v>
      </c>
    </row>
    <row r="182" spans="1:17">
      <c r="A182" s="96">
        <v>45482</v>
      </c>
      <c r="B182" s="96">
        <v>45482</v>
      </c>
      <c r="C182" s="97" t="s">
        <v>4725</v>
      </c>
      <c r="D182" s="96"/>
      <c r="E182" s="97"/>
      <c r="F182" s="97" t="s">
        <v>4726</v>
      </c>
      <c r="G182" s="97" t="s">
        <v>4726</v>
      </c>
      <c r="H182" s="97" t="s">
        <v>387</v>
      </c>
      <c r="I182" s="97" t="s">
        <v>62</v>
      </c>
      <c r="J182" s="98">
        <v>890855</v>
      </c>
      <c r="K182" s="98">
        <v>0</v>
      </c>
      <c r="L182" s="97" t="s">
        <v>3524</v>
      </c>
      <c r="M182" s="97" t="s">
        <v>622</v>
      </c>
      <c r="N182" s="97" t="s">
        <v>4365</v>
      </c>
      <c r="O182" s="97" t="s">
        <v>4366</v>
      </c>
      <c r="P182" s="97"/>
      <c r="Q182" s="97" t="s">
        <v>4362</v>
      </c>
    </row>
    <row r="183" spans="1:17">
      <c r="A183" s="96">
        <v>45482</v>
      </c>
      <c r="B183" s="96">
        <v>45482</v>
      </c>
      <c r="C183" s="97" t="s">
        <v>4727</v>
      </c>
      <c r="D183" s="96"/>
      <c r="E183" s="97"/>
      <c r="F183" s="97" t="s">
        <v>4728</v>
      </c>
      <c r="G183" s="97" t="s">
        <v>4728</v>
      </c>
      <c r="H183" s="97" t="s">
        <v>283</v>
      </c>
      <c r="I183" s="97" t="s">
        <v>125</v>
      </c>
      <c r="J183" s="98">
        <v>3095085</v>
      </c>
      <c r="K183" s="98">
        <v>0</v>
      </c>
      <c r="L183" s="97" t="s">
        <v>4513</v>
      </c>
      <c r="M183" s="97" t="s">
        <v>4514</v>
      </c>
      <c r="N183" s="97" t="s">
        <v>4365</v>
      </c>
      <c r="O183" s="97" t="s">
        <v>4366</v>
      </c>
      <c r="P183" s="97" t="s">
        <v>4433</v>
      </c>
      <c r="Q183" s="97" t="s">
        <v>4362</v>
      </c>
    </row>
    <row r="184" spans="1:17">
      <c r="A184" s="96">
        <v>45491</v>
      </c>
      <c r="B184" s="96">
        <v>45491</v>
      </c>
      <c r="C184" s="97" t="s">
        <v>4729</v>
      </c>
      <c r="D184" s="96"/>
      <c r="E184" s="97"/>
      <c r="F184" s="97" t="s">
        <v>4730</v>
      </c>
      <c r="G184" s="97" t="s">
        <v>4400</v>
      </c>
      <c r="H184" s="97" t="s">
        <v>387</v>
      </c>
      <c r="I184" s="97" t="s">
        <v>62</v>
      </c>
      <c r="J184" s="98">
        <v>507500</v>
      </c>
      <c r="K184" s="98">
        <v>0</v>
      </c>
      <c r="L184" s="97" t="s">
        <v>3524</v>
      </c>
      <c r="M184" s="97" t="s">
        <v>622</v>
      </c>
      <c r="N184" s="97" t="s">
        <v>4365</v>
      </c>
      <c r="O184" s="97" t="s">
        <v>4366</v>
      </c>
      <c r="P184" s="97"/>
      <c r="Q184" s="97" t="s">
        <v>4362</v>
      </c>
    </row>
    <row r="185" spans="1:17">
      <c r="A185" s="96">
        <v>45495</v>
      </c>
      <c r="B185" s="96">
        <v>45495</v>
      </c>
      <c r="C185" s="97" t="s">
        <v>4731</v>
      </c>
      <c r="D185" s="96"/>
      <c r="E185" s="97"/>
      <c r="F185" s="97" t="s">
        <v>4732</v>
      </c>
      <c r="G185" s="97" t="s">
        <v>4732</v>
      </c>
      <c r="H185" s="97" t="s">
        <v>387</v>
      </c>
      <c r="I185" s="97" t="s">
        <v>62</v>
      </c>
      <c r="J185" s="98">
        <v>1633084</v>
      </c>
      <c r="K185" s="98">
        <v>0</v>
      </c>
      <c r="L185" s="97" t="s">
        <v>3524</v>
      </c>
      <c r="M185" s="97" t="s">
        <v>622</v>
      </c>
      <c r="N185" s="97" t="s">
        <v>4365</v>
      </c>
      <c r="O185" s="97" t="s">
        <v>4366</v>
      </c>
      <c r="P185" s="97"/>
      <c r="Q185" s="97" t="s">
        <v>4362</v>
      </c>
    </row>
    <row r="186" spans="1:17">
      <c r="A186" s="96">
        <v>45495</v>
      </c>
      <c r="B186" s="96">
        <v>45495</v>
      </c>
      <c r="C186" s="97" t="s">
        <v>4733</v>
      </c>
      <c r="D186" s="96"/>
      <c r="E186" s="97"/>
      <c r="F186" s="97" t="s">
        <v>4734</v>
      </c>
      <c r="G186" s="97" t="s">
        <v>4400</v>
      </c>
      <c r="H186" s="97" t="s">
        <v>387</v>
      </c>
      <c r="I186" s="97" t="s">
        <v>62</v>
      </c>
      <c r="J186" s="98">
        <v>507460</v>
      </c>
      <c r="K186" s="98">
        <v>0</v>
      </c>
      <c r="L186" s="97" t="s">
        <v>3524</v>
      </c>
      <c r="M186" s="97" t="s">
        <v>622</v>
      </c>
      <c r="N186" s="97" t="s">
        <v>4365</v>
      </c>
      <c r="O186" s="97" t="s">
        <v>4366</v>
      </c>
      <c r="P186" s="97"/>
      <c r="Q186" s="97" t="s">
        <v>4362</v>
      </c>
    </row>
    <row r="187" spans="1:17">
      <c r="A187" s="96">
        <v>45497</v>
      </c>
      <c r="B187" s="96">
        <v>45497</v>
      </c>
      <c r="C187" s="97" t="s">
        <v>4735</v>
      </c>
      <c r="D187" s="96"/>
      <c r="E187" s="97"/>
      <c r="F187" s="97" t="s">
        <v>4736</v>
      </c>
      <c r="G187" s="97" t="s">
        <v>4736</v>
      </c>
      <c r="H187" s="97" t="s">
        <v>387</v>
      </c>
      <c r="I187" s="97" t="s">
        <v>62</v>
      </c>
      <c r="J187" s="98">
        <v>507099</v>
      </c>
      <c r="K187" s="98">
        <v>0</v>
      </c>
      <c r="L187" s="97" t="s">
        <v>3524</v>
      </c>
      <c r="M187" s="97" t="s">
        <v>622</v>
      </c>
      <c r="N187" s="97" t="s">
        <v>4365</v>
      </c>
      <c r="O187" s="97" t="s">
        <v>4366</v>
      </c>
      <c r="P187" s="97"/>
      <c r="Q187" s="97" t="s">
        <v>4362</v>
      </c>
    </row>
    <row r="188" spans="1:17">
      <c r="A188" s="96">
        <v>45499</v>
      </c>
      <c r="B188" s="96">
        <v>45499</v>
      </c>
      <c r="C188" s="97" t="s">
        <v>4737</v>
      </c>
      <c r="D188" s="96"/>
      <c r="E188" s="97"/>
      <c r="F188" s="97" t="s">
        <v>4738</v>
      </c>
      <c r="G188" s="97" t="s">
        <v>4738</v>
      </c>
      <c r="H188" s="97" t="s">
        <v>283</v>
      </c>
      <c r="I188" s="97" t="s">
        <v>125</v>
      </c>
      <c r="J188" s="98">
        <v>1522499</v>
      </c>
      <c r="K188" s="98">
        <v>0</v>
      </c>
      <c r="L188" s="97" t="s">
        <v>4504</v>
      </c>
      <c r="M188" s="97" t="s">
        <v>4505</v>
      </c>
      <c r="N188" s="97" t="s">
        <v>4365</v>
      </c>
      <c r="O188" s="97" t="s">
        <v>4366</v>
      </c>
      <c r="P188" s="97"/>
      <c r="Q188" s="97" t="s">
        <v>4362</v>
      </c>
    </row>
    <row r="189" spans="1:17">
      <c r="A189" s="96">
        <v>45499</v>
      </c>
      <c r="B189" s="96">
        <v>45499</v>
      </c>
      <c r="C189" s="97" t="s">
        <v>4739</v>
      </c>
      <c r="D189" s="96"/>
      <c r="E189" s="97"/>
      <c r="F189" s="97" t="s">
        <v>4740</v>
      </c>
      <c r="G189" s="97" t="s">
        <v>4740</v>
      </c>
      <c r="H189" s="97" t="s">
        <v>387</v>
      </c>
      <c r="I189" s="97" t="s">
        <v>62</v>
      </c>
      <c r="J189" s="98">
        <v>222031</v>
      </c>
      <c r="K189" s="98">
        <v>0</v>
      </c>
      <c r="L189" s="97" t="s">
        <v>3524</v>
      </c>
      <c r="M189" s="97" t="s">
        <v>622</v>
      </c>
      <c r="N189" s="97" t="s">
        <v>4365</v>
      </c>
      <c r="O189" s="97" t="s">
        <v>4366</v>
      </c>
      <c r="P189" s="97" t="s">
        <v>4433</v>
      </c>
      <c r="Q189" s="97" t="s">
        <v>4362</v>
      </c>
    </row>
    <row r="190" spans="1:17">
      <c r="A190" s="96">
        <v>45502</v>
      </c>
      <c r="B190" s="96">
        <v>45502</v>
      </c>
      <c r="C190" s="97" t="s">
        <v>4741</v>
      </c>
      <c r="D190" s="96"/>
      <c r="E190" s="97"/>
      <c r="F190" s="97" t="s">
        <v>4742</v>
      </c>
      <c r="G190" s="97" t="s">
        <v>4742</v>
      </c>
      <c r="H190" s="97" t="s">
        <v>283</v>
      </c>
      <c r="I190" s="97" t="s">
        <v>125</v>
      </c>
      <c r="J190" s="98">
        <v>101348</v>
      </c>
      <c r="K190" s="98">
        <v>0</v>
      </c>
      <c r="L190" s="97" t="s">
        <v>4513</v>
      </c>
      <c r="M190" s="97" t="s">
        <v>4514</v>
      </c>
      <c r="N190" s="97" t="s">
        <v>4365</v>
      </c>
      <c r="O190" s="97" t="s">
        <v>4366</v>
      </c>
      <c r="P190" s="97" t="s">
        <v>4433</v>
      </c>
      <c r="Q190" s="97" t="s">
        <v>4362</v>
      </c>
    </row>
    <row r="191" spans="1:17">
      <c r="A191" s="96">
        <v>45505</v>
      </c>
      <c r="B191" s="96">
        <v>45505</v>
      </c>
      <c r="C191" s="97" t="s">
        <v>4743</v>
      </c>
      <c r="D191" s="96"/>
      <c r="E191" s="97"/>
      <c r="F191" s="97" t="s">
        <v>4744</v>
      </c>
      <c r="G191" s="97" t="s">
        <v>4744</v>
      </c>
      <c r="H191" s="97" t="s">
        <v>387</v>
      </c>
      <c r="I191" s="97" t="s">
        <v>62</v>
      </c>
      <c r="J191" s="98">
        <v>3198420</v>
      </c>
      <c r="K191" s="98">
        <v>0</v>
      </c>
      <c r="L191" s="97" t="s">
        <v>3524</v>
      </c>
      <c r="M191" s="97" t="s">
        <v>622</v>
      </c>
      <c r="N191" s="97" t="s">
        <v>4365</v>
      </c>
      <c r="O191" s="97" t="s">
        <v>4366</v>
      </c>
      <c r="P191" s="97"/>
      <c r="Q191" s="97" t="s">
        <v>4362</v>
      </c>
    </row>
    <row r="192" spans="1:17">
      <c r="A192" s="96">
        <v>45505</v>
      </c>
      <c r="B192" s="96">
        <v>45505</v>
      </c>
      <c r="C192" s="97" t="s">
        <v>4745</v>
      </c>
      <c r="D192" s="96"/>
      <c r="E192" s="97"/>
      <c r="F192" s="97" t="s">
        <v>4654</v>
      </c>
      <c r="G192" s="97" t="s">
        <v>4654</v>
      </c>
      <c r="H192" s="97" t="s">
        <v>387</v>
      </c>
      <c r="I192" s="97" t="s">
        <v>62</v>
      </c>
      <c r="J192" s="98">
        <v>767702</v>
      </c>
      <c r="K192" s="98">
        <v>0</v>
      </c>
      <c r="L192" s="97" t="s">
        <v>3524</v>
      </c>
      <c r="M192" s="97" t="s">
        <v>622</v>
      </c>
      <c r="N192" s="97" t="s">
        <v>4365</v>
      </c>
      <c r="O192" s="97" t="s">
        <v>4366</v>
      </c>
      <c r="P192" s="97"/>
      <c r="Q192" s="97" t="s">
        <v>4362</v>
      </c>
    </row>
    <row r="193" spans="1:17">
      <c r="A193" s="96">
        <v>45505</v>
      </c>
      <c r="B193" s="96">
        <v>45505</v>
      </c>
      <c r="C193" s="97" t="s">
        <v>4746</v>
      </c>
      <c r="D193" s="96"/>
      <c r="E193" s="97"/>
      <c r="F193" s="97" t="s">
        <v>4747</v>
      </c>
      <c r="G193" s="97" t="s">
        <v>4747</v>
      </c>
      <c r="H193" s="97" t="s">
        <v>387</v>
      </c>
      <c r="I193" s="97" t="s">
        <v>62</v>
      </c>
      <c r="J193" s="98">
        <v>287888</v>
      </c>
      <c r="K193" s="98">
        <v>0</v>
      </c>
      <c r="L193" s="97" t="s">
        <v>3524</v>
      </c>
      <c r="M193" s="97" t="s">
        <v>622</v>
      </c>
      <c r="N193" s="97" t="s">
        <v>4365</v>
      </c>
      <c r="O193" s="97" t="s">
        <v>4366</v>
      </c>
      <c r="P193" s="97"/>
      <c r="Q193" s="97" t="s">
        <v>4362</v>
      </c>
    </row>
    <row r="194" spans="1:17">
      <c r="A194" s="96">
        <v>45506</v>
      </c>
      <c r="B194" s="96">
        <v>45506</v>
      </c>
      <c r="C194" s="97" t="s">
        <v>4748</v>
      </c>
      <c r="D194" s="96"/>
      <c r="E194" s="97"/>
      <c r="F194" s="97" t="s">
        <v>4749</v>
      </c>
      <c r="G194" s="97" t="s">
        <v>4749</v>
      </c>
      <c r="H194" s="97" t="s">
        <v>283</v>
      </c>
      <c r="I194" s="97" t="s">
        <v>125</v>
      </c>
      <c r="J194" s="98">
        <v>19334591</v>
      </c>
      <c r="K194" s="98">
        <v>0</v>
      </c>
      <c r="L194" s="97" t="s">
        <v>3518</v>
      </c>
      <c r="M194" s="97" t="s">
        <v>3519</v>
      </c>
      <c r="N194" s="97" t="s">
        <v>4365</v>
      </c>
      <c r="O194" s="97" t="s">
        <v>4366</v>
      </c>
      <c r="P194" s="97"/>
      <c r="Q194" s="97" t="s">
        <v>4362</v>
      </c>
    </row>
    <row r="195" spans="1:17">
      <c r="A195" s="96">
        <v>45506</v>
      </c>
      <c r="B195" s="96">
        <v>45506</v>
      </c>
      <c r="C195" s="97" t="s">
        <v>4750</v>
      </c>
      <c r="D195" s="96"/>
      <c r="E195" s="97"/>
      <c r="F195" s="97" t="s">
        <v>4751</v>
      </c>
      <c r="G195" s="97" t="s">
        <v>4751</v>
      </c>
      <c r="H195" s="97" t="s">
        <v>283</v>
      </c>
      <c r="I195" s="97" t="s">
        <v>125</v>
      </c>
      <c r="J195" s="98">
        <v>18932063</v>
      </c>
      <c r="K195" s="98">
        <v>0</v>
      </c>
      <c r="L195" s="97" t="s">
        <v>3518</v>
      </c>
      <c r="M195" s="97" t="s">
        <v>3519</v>
      </c>
      <c r="N195" s="97" t="s">
        <v>4365</v>
      </c>
      <c r="O195" s="97" t="s">
        <v>4366</v>
      </c>
      <c r="P195" s="97"/>
      <c r="Q195" s="97" t="s">
        <v>4362</v>
      </c>
    </row>
    <row r="196" spans="1:17">
      <c r="A196" s="96">
        <v>45506</v>
      </c>
      <c r="B196" s="96">
        <v>45506</v>
      </c>
      <c r="C196" s="97" t="s">
        <v>4752</v>
      </c>
      <c r="D196" s="96"/>
      <c r="E196" s="97"/>
      <c r="F196" s="97" t="s">
        <v>4753</v>
      </c>
      <c r="G196" s="97" t="s">
        <v>4753</v>
      </c>
      <c r="H196" s="97" t="s">
        <v>283</v>
      </c>
      <c r="I196" s="97" t="s">
        <v>62</v>
      </c>
      <c r="J196" s="98">
        <v>4479457</v>
      </c>
      <c r="K196" s="98">
        <v>0</v>
      </c>
      <c r="L196" s="97" t="s">
        <v>3524</v>
      </c>
      <c r="M196" s="97" t="s">
        <v>622</v>
      </c>
      <c r="N196" s="97" t="s">
        <v>4365</v>
      </c>
      <c r="O196" s="97" t="s">
        <v>4366</v>
      </c>
      <c r="P196" s="97"/>
      <c r="Q196" s="97" t="s">
        <v>4362</v>
      </c>
    </row>
    <row r="197" spans="1:17">
      <c r="A197" s="96">
        <v>45507</v>
      </c>
      <c r="B197" s="96">
        <v>45507</v>
      </c>
      <c r="C197" s="97" t="s">
        <v>4754</v>
      </c>
      <c r="D197" s="96"/>
      <c r="E197" s="97"/>
      <c r="F197" s="97" t="s">
        <v>4755</v>
      </c>
      <c r="G197" s="97" t="s">
        <v>4755</v>
      </c>
      <c r="H197" s="97" t="s">
        <v>283</v>
      </c>
      <c r="I197" s="97" t="s">
        <v>62</v>
      </c>
      <c r="J197" s="98">
        <v>5955624</v>
      </c>
      <c r="K197" s="98">
        <v>0</v>
      </c>
      <c r="L197" s="97" t="s">
        <v>3524</v>
      </c>
      <c r="M197" s="97" t="s">
        <v>622</v>
      </c>
      <c r="N197" s="97" t="s">
        <v>4365</v>
      </c>
      <c r="O197" s="97" t="s">
        <v>4366</v>
      </c>
      <c r="P197" s="97"/>
      <c r="Q197" s="97" t="s">
        <v>4362</v>
      </c>
    </row>
    <row r="198" spans="1:17">
      <c r="A198" s="96">
        <v>45510</v>
      </c>
      <c r="B198" s="96">
        <v>45510</v>
      </c>
      <c r="C198" s="97" t="s">
        <v>4756</v>
      </c>
      <c r="D198" s="96"/>
      <c r="E198" s="97"/>
      <c r="F198" s="97" t="s">
        <v>4757</v>
      </c>
      <c r="G198" s="97" t="s">
        <v>4757</v>
      </c>
      <c r="H198" s="97" t="s">
        <v>283</v>
      </c>
      <c r="I198" s="97" t="s">
        <v>62</v>
      </c>
      <c r="J198" s="98">
        <v>883187</v>
      </c>
      <c r="K198" s="98">
        <v>0</v>
      </c>
      <c r="L198" s="97" t="s">
        <v>3524</v>
      </c>
      <c r="M198" s="97" t="s">
        <v>622</v>
      </c>
      <c r="N198" s="97" t="s">
        <v>4365</v>
      </c>
      <c r="O198" s="97" t="s">
        <v>4366</v>
      </c>
      <c r="P198" s="97"/>
      <c r="Q198" s="97" t="s">
        <v>4362</v>
      </c>
    </row>
    <row r="199" spans="1:17">
      <c r="A199" s="96">
        <v>45511</v>
      </c>
      <c r="B199" s="96">
        <v>45511</v>
      </c>
      <c r="C199" s="97" t="s">
        <v>4758</v>
      </c>
      <c r="D199" s="96"/>
      <c r="E199" s="97"/>
      <c r="F199" s="97" t="s">
        <v>4759</v>
      </c>
      <c r="G199" s="97" t="s">
        <v>4759</v>
      </c>
      <c r="H199" s="97" t="s">
        <v>387</v>
      </c>
      <c r="I199" s="97" t="s">
        <v>62</v>
      </c>
      <c r="J199" s="98">
        <v>2634315</v>
      </c>
      <c r="K199" s="98">
        <v>0</v>
      </c>
      <c r="L199" s="97" t="s">
        <v>3524</v>
      </c>
      <c r="M199" s="97" t="s">
        <v>622</v>
      </c>
      <c r="N199" s="97" t="s">
        <v>4365</v>
      </c>
      <c r="O199" s="97" t="s">
        <v>4366</v>
      </c>
      <c r="P199" s="97"/>
      <c r="Q199" s="97" t="s">
        <v>4362</v>
      </c>
    </row>
    <row r="200" spans="1:17">
      <c r="A200" s="96">
        <v>45512</v>
      </c>
      <c r="B200" s="96">
        <v>45512</v>
      </c>
      <c r="C200" s="97" t="s">
        <v>4760</v>
      </c>
      <c r="D200" s="96"/>
      <c r="E200" s="97"/>
      <c r="F200" s="97" t="s">
        <v>4761</v>
      </c>
      <c r="G200" s="97" t="s">
        <v>4761</v>
      </c>
      <c r="H200" s="97" t="s">
        <v>281</v>
      </c>
      <c r="I200" s="97" t="s">
        <v>125</v>
      </c>
      <c r="J200" s="98">
        <v>754938</v>
      </c>
      <c r="K200" s="98">
        <v>0</v>
      </c>
      <c r="L200" s="97" t="s">
        <v>4480</v>
      </c>
      <c r="M200" s="97" t="s">
        <v>4481</v>
      </c>
      <c r="N200" s="97" t="s">
        <v>4365</v>
      </c>
      <c r="O200" s="97" t="s">
        <v>4366</v>
      </c>
      <c r="P200" s="97"/>
      <c r="Q200" s="97" t="s">
        <v>4362</v>
      </c>
    </row>
    <row r="201" spans="1:17">
      <c r="A201" s="96">
        <v>45512</v>
      </c>
      <c r="B201" s="96">
        <v>45512</v>
      </c>
      <c r="C201" s="97" t="s">
        <v>4762</v>
      </c>
      <c r="D201" s="96"/>
      <c r="E201" s="97"/>
      <c r="F201" s="97" t="s">
        <v>4763</v>
      </c>
      <c r="G201" s="97" t="s">
        <v>4763</v>
      </c>
      <c r="H201" s="97" t="s">
        <v>281</v>
      </c>
      <c r="I201" s="97" t="s">
        <v>125</v>
      </c>
      <c r="J201" s="98">
        <v>754938</v>
      </c>
      <c r="K201" s="98">
        <v>0</v>
      </c>
      <c r="L201" s="97" t="s">
        <v>4480</v>
      </c>
      <c r="M201" s="97" t="s">
        <v>4481</v>
      </c>
      <c r="N201" s="97" t="s">
        <v>4365</v>
      </c>
      <c r="O201" s="97" t="s">
        <v>4366</v>
      </c>
      <c r="P201" s="97"/>
      <c r="Q201" s="97" t="s">
        <v>4362</v>
      </c>
    </row>
    <row r="202" spans="1:17">
      <c r="A202" s="96">
        <v>45512</v>
      </c>
      <c r="B202" s="96">
        <v>45512</v>
      </c>
      <c r="C202" s="97" t="s">
        <v>4764</v>
      </c>
      <c r="D202" s="96"/>
      <c r="E202" s="97"/>
      <c r="F202" s="97" t="s">
        <v>4765</v>
      </c>
      <c r="G202" s="97" t="s">
        <v>4765</v>
      </c>
      <c r="H202" s="97" t="s">
        <v>281</v>
      </c>
      <c r="I202" s="97" t="s">
        <v>125</v>
      </c>
      <c r="J202" s="98">
        <v>754938</v>
      </c>
      <c r="K202" s="98">
        <v>0</v>
      </c>
      <c r="L202" s="97" t="s">
        <v>4480</v>
      </c>
      <c r="M202" s="97" t="s">
        <v>4481</v>
      </c>
      <c r="N202" s="97" t="s">
        <v>4365</v>
      </c>
      <c r="O202" s="97" t="s">
        <v>4366</v>
      </c>
      <c r="P202" s="97"/>
      <c r="Q202" s="97" t="s">
        <v>4362</v>
      </c>
    </row>
    <row r="203" spans="1:17">
      <c r="A203" s="96">
        <v>45513</v>
      </c>
      <c r="B203" s="96">
        <v>45513</v>
      </c>
      <c r="C203" s="97" t="s">
        <v>4766</v>
      </c>
      <c r="D203" s="96"/>
      <c r="E203" s="97"/>
      <c r="F203" s="97" t="s">
        <v>4767</v>
      </c>
      <c r="G203" s="97" t="s">
        <v>4767</v>
      </c>
      <c r="H203" s="97" t="s">
        <v>387</v>
      </c>
      <c r="I203" s="97" t="s">
        <v>62</v>
      </c>
      <c r="J203" s="98">
        <v>881055</v>
      </c>
      <c r="K203" s="98">
        <v>0</v>
      </c>
      <c r="L203" s="97" t="s">
        <v>3524</v>
      </c>
      <c r="M203" s="97" t="s">
        <v>622</v>
      </c>
      <c r="N203" s="97" t="s">
        <v>4365</v>
      </c>
      <c r="O203" s="97" t="s">
        <v>4366</v>
      </c>
      <c r="P203" s="97"/>
      <c r="Q203" s="97" t="s">
        <v>4362</v>
      </c>
    </row>
    <row r="204" spans="1:17">
      <c r="A204" s="96">
        <v>45513</v>
      </c>
      <c r="B204" s="96">
        <v>45513</v>
      </c>
      <c r="C204" s="97" t="s">
        <v>4768</v>
      </c>
      <c r="D204" s="96"/>
      <c r="E204" s="97"/>
      <c r="F204" s="97" t="s">
        <v>4769</v>
      </c>
      <c r="G204" s="97" t="s">
        <v>4769</v>
      </c>
      <c r="H204" s="97" t="s">
        <v>283</v>
      </c>
      <c r="I204" s="97" t="s">
        <v>125</v>
      </c>
      <c r="J204" s="98">
        <v>2869722</v>
      </c>
      <c r="K204" s="98">
        <v>0</v>
      </c>
      <c r="L204" s="97" t="s">
        <v>4513</v>
      </c>
      <c r="M204" s="97" t="s">
        <v>4514</v>
      </c>
      <c r="N204" s="97" t="s">
        <v>4365</v>
      </c>
      <c r="O204" s="97" t="s">
        <v>4366</v>
      </c>
      <c r="P204" s="97" t="s">
        <v>4433</v>
      </c>
      <c r="Q204" s="97" t="s">
        <v>4362</v>
      </c>
    </row>
    <row r="205" spans="1:17">
      <c r="A205" s="96">
        <v>45520</v>
      </c>
      <c r="B205" s="96">
        <v>45520</v>
      </c>
      <c r="C205" s="97" t="s">
        <v>4770</v>
      </c>
      <c r="D205" s="96"/>
      <c r="E205" s="97"/>
      <c r="F205" s="97" t="s">
        <v>4771</v>
      </c>
      <c r="G205" s="97" t="s">
        <v>4771</v>
      </c>
      <c r="H205" s="97" t="s">
        <v>387</v>
      </c>
      <c r="I205" s="97" t="s">
        <v>62</v>
      </c>
      <c r="J205" s="98">
        <v>6319672</v>
      </c>
      <c r="K205" s="98">
        <v>0</v>
      </c>
      <c r="L205" s="97" t="s">
        <v>3524</v>
      </c>
      <c r="M205" s="97" t="s">
        <v>622</v>
      </c>
      <c r="N205" s="97" t="s">
        <v>4365</v>
      </c>
      <c r="O205" s="97" t="s">
        <v>4366</v>
      </c>
      <c r="P205" s="97"/>
      <c r="Q205" s="97" t="s">
        <v>4362</v>
      </c>
    </row>
    <row r="206" spans="1:17">
      <c r="A206" s="96">
        <v>45525</v>
      </c>
      <c r="B206" s="96">
        <v>45525</v>
      </c>
      <c r="C206" s="97" t="s">
        <v>4772</v>
      </c>
      <c r="D206" s="96"/>
      <c r="E206" s="97"/>
      <c r="F206" s="97" t="s">
        <v>4773</v>
      </c>
      <c r="G206" s="97" t="s">
        <v>4773</v>
      </c>
      <c r="H206" s="97" t="s">
        <v>387</v>
      </c>
      <c r="I206" s="97" t="s">
        <v>62</v>
      </c>
      <c r="J206" s="98">
        <v>498541</v>
      </c>
      <c r="K206" s="98">
        <v>0</v>
      </c>
      <c r="L206" s="97" t="s">
        <v>3524</v>
      </c>
      <c r="M206" s="97" t="s">
        <v>622</v>
      </c>
      <c r="N206" s="97" t="s">
        <v>4365</v>
      </c>
      <c r="O206" s="97" t="s">
        <v>4366</v>
      </c>
      <c r="P206" s="97"/>
      <c r="Q206" s="97" t="s">
        <v>4362</v>
      </c>
    </row>
    <row r="207" spans="1:17">
      <c r="A207" s="96">
        <v>45530</v>
      </c>
      <c r="B207" s="96">
        <v>45530</v>
      </c>
      <c r="C207" s="97" t="s">
        <v>4774</v>
      </c>
      <c r="D207" s="96"/>
      <c r="E207" s="97"/>
      <c r="F207" s="97" t="s">
        <v>4775</v>
      </c>
      <c r="G207" s="97" t="s">
        <v>4775</v>
      </c>
      <c r="H207" s="97" t="s">
        <v>283</v>
      </c>
      <c r="I207" s="97" t="s">
        <v>125</v>
      </c>
      <c r="J207" s="98">
        <v>1500600</v>
      </c>
      <c r="K207" s="98">
        <v>0</v>
      </c>
      <c r="L207" s="97" t="s">
        <v>4504</v>
      </c>
      <c r="M207" s="97" t="s">
        <v>4505</v>
      </c>
      <c r="N207" s="97" t="s">
        <v>4365</v>
      </c>
      <c r="O207" s="97" t="s">
        <v>4366</v>
      </c>
      <c r="P207" s="97"/>
      <c r="Q207" s="97" t="s">
        <v>4362</v>
      </c>
    </row>
    <row r="208" spans="1:17">
      <c r="A208" s="96">
        <v>45530</v>
      </c>
      <c r="B208" s="96">
        <v>45530</v>
      </c>
      <c r="C208" s="97" t="s">
        <v>4776</v>
      </c>
      <c r="D208" s="96"/>
      <c r="E208" s="97"/>
      <c r="F208" s="97" t="s">
        <v>4777</v>
      </c>
      <c r="G208" s="97" t="s">
        <v>4777</v>
      </c>
      <c r="H208" s="97" t="s">
        <v>387</v>
      </c>
      <c r="I208" s="97" t="s">
        <v>62</v>
      </c>
      <c r="J208" s="98">
        <v>218838</v>
      </c>
      <c r="K208" s="98">
        <v>0</v>
      </c>
      <c r="L208" s="97" t="s">
        <v>3524</v>
      </c>
      <c r="M208" s="97" t="s">
        <v>622</v>
      </c>
      <c r="N208" s="97" t="s">
        <v>4365</v>
      </c>
      <c r="O208" s="97" t="s">
        <v>4366</v>
      </c>
      <c r="P208" s="97" t="s">
        <v>4433</v>
      </c>
      <c r="Q208" s="97" t="s">
        <v>4362</v>
      </c>
    </row>
    <row r="209" spans="1:17">
      <c r="A209" s="96">
        <v>45532</v>
      </c>
      <c r="B209" s="96">
        <v>45532</v>
      </c>
      <c r="C209" s="97" t="s">
        <v>4778</v>
      </c>
      <c r="D209" s="96"/>
      <c r="E209" s="97"/>
      <c r="F209" s="97" t="s">
        <v>4779</v>
      </c>
      <c r="G209" s="97" t="s">
        <v>4779</v>
      </c>
      <c r="H209" s="97" t="s">
        <v>283</v>
      </c>
      <c r="I209" s="97" t="s">
        <v>125</v>
      </c>
      <c r="J209" s="98">
        <v>99620</v>
      </c>
      <c r="K209" s="98">
        <v>0</v>
      </c>
      <c r="L209" s="97" t="s">
        <v>4513</v>
      </c>
      <c r="M209" s="97" t="s">
        <v>4514</v>
      </c>
      <c r="N209" s="97" t="s">
        <v>4365</v>
      </c>
      <c r="O209" s="97" t="s">
        <v>4366</v>
      </c>
      <c r="P209" s="97" t="s">
        <v>4433</v>
      </c>
      <c r="Q209" s="97" t="s">
        <v>4362</v>
      </c>
    </row>
    <row r="210" spans="1:17">
      <c r="A210" s="96">
        <v>45536</v>
      </c>
      <c r="B210" s="96">
        <v>45536</v>
      </c>
      <c r="C210" s="97" t="s">
        <v>4780</v>
      </c>
      <c r="D210" s="96"/>
      <c r="E210" s="97"/>
      <c r="F210" s="97" t="s">
        <v>4781</v>
      </c>
      <c r="G210" s="97" t="s">
        <v>4782</v>
      </c>
      <c r="H210" s="97" t="s">
        <v>387</v>
      </c>
      <c r="I210" s="97" t="s">
        <v>62</v>
      </c>
      <c r="J210" s="98">
        <v>502801</v>
      </c>
      <c r="K210" s="98">
        <v>0</v>
      </c>
      <c r="L210" s="97"/>
      <c r="M210" s="97"/>
      <c r="N210" s="97" t="s">
        <v>4365</v>
      </c>
      <c r="O210" s="97" t="s">
        <v>4366</v>
      </c>
      <c r="P210" s="97" t="s">
        <v>3524</v>
      </c>
      <c r="Q210" s="97" t="s">
        <v>4362</v>
      </c>
    </row>
    <row r="211" spans="1:17">
      <c r="A211" s="96">
        <v>45536</v>
      </c>
      <c r="B211" s="96">
        <v>45536</v>
      </c>
      <c r="C211" s="97" t="s">
        <v>4780</v>
      </c>
      <c r="D211" s="96"/>
      <c r="E211" s="97"/>
      <c r="F211" s="97" t="s">
        <v>4781</v>
      </c>
      <c r="G211" s="97" t="s">
        <v>4783</v>
      </c>
      <c r="H211" s="97" t="s">
        <v>387</v>
      </c>
      <c r="I211" s="97" t="s">
        <v>62</v>
      </c>
      <c r="J211" s="98">
        <v>500200</v>
      </c>
      <c r="K211" s="98">
        <v>0</v>
      </c>
      <c r="L211" s="97"/>
      <c r="M211" s="97"/>
      <c r="N211" s="97" t="s">
        <v>4365</v>
      </c>
      <c r="O211" s="97" t="s">
        <v>4366</v>
      </c>
      <c r="P211" s="97" t="s">
        <v>3524</v>
      </c>
      <c r="Q211" s="97" t="s">
        <v>4362</v>
      </c>
    </row>
    <row r="212" spans="1:17">
      <c r="A212" s="96">
        <v>45536</v>
      </c>
      <c r="B212" s="96">
        <v>45536</v>
      </c>
      <c r="C212" s="97" t="s">
        <v>4780</v>
      </c>
      <c r="D212" s="96"/>
      <c r="E212" s="97"/>
      <c r="F212" s="97" t="s">
        <v>4781</v>
      </c>
      <c r="G212" s="97" t="s">
        <v>4784</v>
      </c>
      <c r="H212" s="97" t="s">
        <v>387</v>
      </c>
      <c r="I212" s="97" t="s">
        <v>62</v>
      </c>
      <c r="J212" s="98">
        <v>2685132</v>
      </c>
      <c r="K212" s="98">
        <v>0</v>
      </c>
      <c r="L212" s="97"/>
      <c r="M212" s="97"/>
      <c r="N212" s="97" t="s">
        <v>4365</v>
      </c>
      <c r="O212" s="97" t="s">
        <v>4366</v>
      </c>
      <c r="P212" s="97" t="s">
        <v>3524</v>
      </c>
      <c r="Q212" s="97" t="s">
        <v>4362</v>
      </c>
    </row>
    <row r="213" spans="1:17">
      <c r="A213" s="96">
        <v>45536</v>
      </c>
      <c r="B213" s="96">
        <v>45536</v>
      </c>
      <c r="C213" s="97" t="s">
        <v>4780</v>
      </c>
      <c r="D213" s="96"/>
      <c r="E213" s="97"/>
      <c r="F213" s="97" t="s">
        <v>4781</v>
      </c>
      <c r="G213" s="97" t="s">
        <v>4785</v>
      </c>
      <c r="H213" s="97" t="s">
        <v>387</v>
      </c>
      <c r="I213" s="97" t="s">
        <v>62</v>
      </c>
      <c r="J213" s="98">
        <v>501679</v>
      </c>
      <c r="K213" s="98">
        <v>0</v>
      </c>
      <c r="L213" s="97"/>
      <c r="M213" s="97"/>
      <c r="N213" s="97" t="s">
        <v>4365</v>
      </c>
      <c r="O213" s="97" t="s">
        <v>4366</v>
      </c>
      <c r="P213" s="97" t="s">
        <v>3524</v>
      </c>
      <c r="Q213" s="97" t="s">
        <v>4362</v>
      </c>
    </row>
    <row r="214" spans="1:17">
      <c r="A214" s="96">
        <v>45536</v>
      </c>
      <c r="B214" s="96">
        <v>45536</v>
      </c>
      <c r="C214" s="97" t="s">
        <v>4780</v>
      </c>
      <c r="D214" s="96"/>
      <c r="E214" s="97"/>
      <c r="F214" s="97" t="s">
        <v>4781</v>
      </c>
      <c r="G214" s="97" t="s">
        <v>4786</v>
      </c>
      <c r="H214" s="97" t="s">
        <v>435</v>
      </c>
      <c r="I214" s="97" t="s">
        <v>62</v>
      </c>
      <c r="J214" s="98">
        <v>1163400</v>
      </c>
      <c r="K214" s="98">
        <v>0</v>
      </c>
      <c r="L214" s="97" t="s">
        <v>4787</v>
      </c>
      <c r="M214" s="97" t="s">
        <v>4788</v>
      </c>
      <c r="N214" s="97" t="s">
        <v>4365</v>
      </c>
      <c r="O214" s="97" t="s">
        <v>4366</v>
      </c>
      <c r="P214" s="97" t="s">
        <v>3524</v>
      </c>
      <c r="Q214" s="97" t="s">
        <v>4362</v>
      </c>
    </row>
    <row r="215" spans="1:17">
      <c r="A215" s="96">
        <v>45539</v>
      </c>
      <c r="B215" s="96">
        <v>45539</v>
      </c>
      <c r="C215" s="97" t="s">
        <v>4789</v>
      </c>
      <c r="D215" s="96"/>
      <c r="E215" s="97"/>
      <c r="F215" s="97" t="s">
        <v>4790</v>
      </c>
      <c r="G215" s="97" t="s">
        <v>4790</v>
      </c>
      <c r="H215" s="97" t="s">
        <v>387</v>
      </c>
      <c r="I215" s="97" t="s">
        <v>62</v>
      </c>
      <c r="J215" s="98">
        <v>3144103</v>
      </c>
      <c r="K215" s="98">
        <v>0</v>
      </c>
      <c r="L215" s="97" t="s">
        <v>3524</v>
      </c>
      <c r="M215" s="97" t="s">
        <v>622</v>
      </c>
      <c r="N215" s="97" t="s">
        <v>4365</v>
      </c>
      <c r="O215" s="97" t="s">
        <v>4366</v>
      </c>
      <c r="P215" s="97"/>
      <c r="Q215" s="97" t="s">
        <v>4362</v>
      </c>
    </row>
    <row r="216" spans="1:17">
      <c r="A216" s="96">
        <v>45539</v>
      </c>
      <c r="B216" s="96">
        <v>45539</v>
      </c>
      <c r="C216" s="97" t="s">
        <v>4791</v>
      </c>
      <c r="D216" s="96"/>
      <c r="E216" s="97"/>
      <c r="F216" s="97" t="s">
        <v>4792</v>
      </c>
      <c r="G216" s="97" t="s">
        <v>4792</v>
      </c>
      <c r="H216" s="97" t="s">
        <v>387</v>
      </c>
      <c r="I216" s="97" t="s">
        <v>62</v>
      </c>
      <c r="J216" s="98">
        <v>282999</v>
      </c>
      <c r="K216" s="98">
        <v>0</v>
      </c>
      <c r="L216" s="97" t="s">
        <v>3524</v>
      </c>
      <c r="M216" s="97" t="s">
        <v>622</v>
      </c>
      <c r="N216" s="97" t="s">
        <v>4365</v>
      </c>
      <c r="O216" s="97" t="s">
        <v>4366</v>
      </c>
      <c r="P216" s="97"/>
      <c r="Q216" s="97" t="s">
        <v>4362</v>
      </c>
    </row>
    <row r="217" spans="1:17">
      <c r="A217" s="96">
        <v>45539</v>
      </c>
      <c r="B217" s="96">
        <v>45539</v>
      </c>
      <c r="C217" s="97" t="s">
        <v>4793</v>
      </c>
      <c r="D217" s="96"/>
      <c r="E217" s="97"/>
      <c r="F217" s="97" t="s">
        <v>4654</v>
      </c>
      <c r="G217" s="97" t="s">
        <v>4654</v>
      </c>
      <c r="H217" s="97" t="s">
        <v>387</v>
      </c>
      <c r="I217" s="97" t="s">
        <v>62</v>
      </c>
      <c r="J217" s="98">
        <v>754664</v>
      </c>
      <c r="K217" s="98">
        <v>0</v>
      </c>
      <c r="L217" s="97" t="s">
        <v>3524</v>
      </c>
      <c r="M217" s="97" t="s">
        <v>622</v>
      </c>
      <c r="N217" s="97" t="s">
        <v>4365</v>
      </c>
      <c r="O217" s="97" t="s">
        <v>4366</v>
      </c>
      <c r="P217" s="97"/>
      <c r="Q217" s="97" t="s">
        <v>4362</v>
      </c>
    </row>
    <row r="218" spans="1:17">
      <c r="A218" s="96">
        <v>45539</v>
      </c>
      <c r="B218" s="96">
        <v>45539</v>
      </c>
      <c r="C218" s="97" t="s">
        <v>4794</v>
      </c>
      <c r="D218" s="96"/>
      <c r="E218" s="97"/>
      <c r="F218" s="97" t="s">
        <v>4795</v>
      </c>
      <c r="G218" s="97" t="s">
        <v>4795</v>
      </c>
      <c r="H218" s="97" t="s">
        <v>283</v>
      </c>
      <c r="I218" s="97" t="s">
        <v>125</v>
      </c>
      <c r="J218" s="98">
        <v>19525460</v>
      </c>
      <c r="K218" s="98">
        <v>0</v>
      </c>
      <c r="L218" s="97" t="s">
        <v>3518</v>
      </c>
      <c r="M218" s="97" t="s">
        <v>3519</v>
      </c>
      <c r="N218" s="97" t="s">
        <v>4365</v>
      </c>
      <c r="O218" s="97" t="s">
        <v>4366</v>
      </c>
      <c r="P218" s="97"/>
      <c r="Q218" s="97" t="s">
        <v>4362</v>
      </c>
    </row>
    <row r="219" spans="1:17">
      <c r="A219" s="96">
        <v>45539</v>
      </c>
      <c r="B219" s="96">
        <v>45539</v>
      </c>
      <c r="C219" s="97" t="s">
        <v>4796</v>
      </c>
      <c r="D219" s="96"/>
      <c r="E219" s="97"/>
      <c r="F219" s="97" t="s">
        <v>4797</v>
      </c>
      <c r="G219" s="97" t="s">
        <v>4797</v>
      </c>
      <c r="H219" s="97" t="s">
        <v>283</v>
      </c>
      <c r="I219" s="97" t="s">
        <v>125</v>
      </c>
      <c r="J219" s="98">
        <v>19900042</v>
      </c>
      <c r="K219" s="98">
        <v>0</v>
      </c>
      <c r="L219" s="97" t="s">
        <v>3518</v>
      </c>
      <c r="M219" s="97" t="s">
        <v>3519</v>
      </c>
      <c r="N219" s="97" t="s">
        <v>4365</v>
      </c>
      <c r="O219" s="97" t="s">
        <v>4366</v>
      </c>
      <c r="P219" s="97"/>
      <c r="Q219" s="97" t="s">
        <v>4362</v>
      </c>
    </row>
    <row r="220" spans="1:17">
      <c r="A220" s="96">
        <v>45539</v>
      </c>
      <c r="B220" s="96">
        <v>45539</v>
      </c>
      <c r="C220" s="97" t="s">
        <v>4798</v>
      </c>
      <c r="D220" s="96"/>
      <c r="E220" s="97"/>
      <c r="F220" s="97" t="s">
        <v>4799</v>
      </c>
      <c r="G220" s="97" t="s">
        <v>4799</v>
      </c>
      <c r="H220" s="97" t="s">
        <v>283</v>
      </c>
      <c r="I220" s="97" t="s">
        <v>62</v>
      </c>
      <c r="J220" s="98">
        <v>4416977</v>
      </c>
      <c r="K220" s="98">
        <v>0</v>
      </c>
      <c r="L220" s="97" t="s">
        <v>3524</v>
      </c>
      <c r="M220" s="97" t="s">
        <v>622</v>
      </c>
      <c r="N220" s="97" t="s">
        <v>4365</v>
      </c>
      <c r="O220" s="97" t="s">
        <v>4366</v>
      </c>
      <c r="P220" s="97"/>
      <c r="Q220" s="97" t="s">
        <v>4362</v>
      </c>
    </row>
    <row r="221" spans="1:17">
      <c r="A221" s="96">
        <v>45540</v>
      </c>
      <c r="B221" s="96">
        <v>45540</v>
      </c>
      <c r="C221" s="97" t="s">
        <v>4800</v>
      </c>
      <c r="D221" s="96"/>
      <c r="E221" s="97"/>
      <c r="F221" s="97" t="s">
        <v>4801</v>
      </c>
      <c r="G221" s="97" t="s">
        <v>4801</v>
      </c>
      <c r="H221" s="97" t="s">
        <v>387</v>
      </c>
      <c r="I221" s="97" t="s">
        <v>62</v>
      </c>
      <c r="J221" s="98">
        <v>2270962</v>
      </c>
      <c r="K221" s="98">
        <v>0</v>
      </c>
      <c r="L221" s="97" t="s">
        <v>3524</v>
      </c>
      <c r="M221" s="97" t="s">
        <v>622</v>
      </c>
      <c r="N221" s="97" t="s">
        <v>4365</v>
      </c>
      <c r="O221" s="97" t="s">
        <v>4366</v>
      </c>
      <c r="P221" s="97"/>
      <c r="Q221" s="97" t="s">
        <v>4362</v>
      </c>
    </row>
    <row r="222" spans="1:17">
      <c r="A222" s="96">
        <v>45540</v>
      </c>
      <c r="B222" s="96">
        <v>45540</v>
      </c>
      <c r="C222" s="97" t="s">
        <v>4802</v>
      </c>
      <c r="D222" s="96"/>
      <c r="E222" s="97"/>
      <c r="F222" s="97" t="s">
        <v>4803</v>
      </c>
      <c r="G222" s="97" t="s">
        <v>4803</v>
      </c>
      <c r="H222" s="97" t="s">
        <v>283</v>
      </c>
      <c r="I222" s="97" t="s">
        <v>62</v>
      </c>
      <c r="J222" s="98">
        <v>869905</v>
      </c>
      <c r="K222" s="98">
        <v>0</v>
      </c>
      <c r="L222" s="97" t="s">
        <v>3524</v>
      </c>
      <c r="M222" s="97" t="s">
        <v>622</v>
      </c>
      <c r="N222" s="97" t="s">
        <v>4365</v>
      </c>
      <c r="O222" s="97" t="s">
        <v>4366</v>
      </c>
      <c r="P222" s="97"/>
      <c r="Q222" s="97" t="s">
        <v>4362</v>
      </c>
    </row>
    <row r="223" spans="1:17">
      <c r="A223" s="96">
        <v>45540</v>
      </c>
      <c r="B223" s="96">
        <v>45540</v>
      </c>
      <c r="C223" s="97" t="s">
        <v>4804</v>
      </c>
      <c r="D223" s="96"/>
      <c r="E223" s="97"/>
      <c r="F223" s="97" t="s">
        <v>4805</v>
      </c>
      <c r="G223" s="97" t="s">
        <v>4805</v>
      </c>
      <c r="H223" s="97" t="s">
        <v>387</v>
      </c>
      <c r="I223" s="97" t="s">
        <v>62</v>
      </c>
      <c r="J223" s="98">
        <v>5219373</v>
      </c>
      <c r="K223" s="98">
        <v>0</v>
      </c>
      <c r="L223" s="97" t="s">
        <v>3524</v>
      </c>
      <c r="M223" s="97" t="s">
        <v>622</v>
      </c>
      <c r="N223" s="97" t="s">
        <v>4365</v>
      </c>
      <c r="O223" s="97" t="s">
        <v>4366</v>
      </c>
      <c r="P223" s="97"/>
      <c r="Q223" s="97" t="s">
        <v>4362</v>
      </c>
    </row>
    <row r="224" spans="1:17">
      <c r="A224" s="96">
        <v>45540</v>
      </c>
      <c r="B224" s="96">
        <v>45540</v>
      </c>
      <c r="C224" s="97" t="s">
        <v>4806</v>
      </c>
      <c r="D224" s="96"/>
      <c r="E224" s="97"/>
      <c r="F224" s="97" t="s">
        <v>4807</v>
      </c>
      <c r="G224" s="97" t="s">
        <v>4807</v>
      </c>
      <c r="H224" s="97" t="s">
        <v>283</v>
      </c>
      <c r="I224" s="97" t="s">
        <v>62</v>
      </c>
      <c r="J224" s="98">
        <v>5875341</v>
      </c>
      <c r="K224" s="98">
        <v>0</v>
      </c>
      <c r="L224" s="97" t="s">
        <v>3524</v>
      </c>
      <c r="M224" s="97" t="s">
        <v>622</v>
      </c>
      <c r="N224" s="97" t="s">
        <v>4365</v>
      </c>
      <c r="O224" s="97" t="s">
        <v>4366</v>
      </c>
      <c r="P224" s="97"/>
      <c r="Q224" s="97" t="s">
        <v>4362</v>
      </c>
    </row>
    <row r="225" spans="1:17">
      <c r="A225" s="96">
        <v>45540</v>
      </c>
      <c r="B225" s="96">
        <v>45540</v>
      </c>
      <c r="C225" s="97" t="s">
        <v>4808</v>
      </c>
      <c r="D225" s="96"/>
      <c r="E225" s="97"/>
      <c r="F225" s="97" t="s">
        <v>4809</v>
      </c>
      <c r="G225" s="97" t="s">
        <v>4809</v>
      </c>
      <c r="H225" s="97" t="s">
        <v>387</v>
      </c>
      <c r="I225" s="97" t="s">
        <v>125</v>
      </c>
      <c r="J225" s="98">
        <v>1965913</v>
      </c>
      <c r="K225" s="98">
        <v>0</v>
      </c>
      <c r="L225" s="97" t="s">
        <v>4810</v>
      </c>
      <c r="M225" s="97" t="s">
        <v>4810</v>
      </c>
      <c r="N225" s="97" t="s">
        <v>4365</v>
      </c>
      <c r="O225" s="97" t="s">
        <v>4366</v>
      </c>
      <c r="P225" s="97" t="s">
        <v>4433</v>
      </c>
      <c r="Q225" s="97" t="s">
        <v>4362</v>
      </c>
    </row>
    <row r="226" spans="1:17">
      <c r="A226" s="96">
        <v>45542</v>
      </c>
      <c r="B226" s="96">
        <v>45542</v>
      </c>
      <c r="C226" s="97" t="s">
        <v>4811</v>
      </c>
      <c r="D226" s="96"/>
      <c r="E226" s="97"/>
      <c r="F226" s="97" t="s">
        <v>4812</v>
      </c>
      <c r="G226" s="97" t="s">
        <v>4812</v>
      </c>
      <c r="H226" s="97" t="s">
        <v>387</v>
      </c>
      <c r="I226" s="97" t="s">
        <v>62</v>
      </c>
      <c r="J226" s="98">
        <v>493200</v>
      </c>
      <c r="K226" s="98">
        <v>0</v>
      </c>
      <c r="L226" s="97" t="s">
        <v>3524</v>
      </c>
      <c r="M226" s="97" t="s">
        <v>622</v>
      </c>
      <c r="N226" s="97" t="s">
        <v>4365</v>
      </c>
      <c r="O226" s="97" t="s">
        <v>4366</v>
      </c>
      <c r="P226" s="97"/>
      <c r="Q226" s="97" t="s">
        <v>4362</v>
      </c>
    </row>
    <row r="227" spans="1:17">
      <c r="A227" s="96">
        <v>45544</v>
      </c>
      <c r="B227" s="96">
        <v>45544</v>
      </c>
      <c r="C227" s="97" t="s">
        <v>4813</v>
      </c>
      <c r="D227" s="96"/>
      <c r="E227" s="97"/>
      <c r="F227" s="97" t="s">
        <v>4814</v>
      </c>
      <c r="G227" s="97" t="s">
        <v>4814</v>
      </c>
      <c r="H227" s="97" t="s">
        <v>281</v>
      </c>
      <c r="I227" s="97" t="s">
        <v>125</v>
      </c>
      <c r="J227" s="98">
        <v>739553</v>
      </c>
      <c r="K227" s="98">
        <v>0</v>
      </c>
      <c r="L227" s="97" t="s">
        <v>4480</v>
      </c>
      <c r="M227" s="97" t="s">
        <v>4481</v>
      </c>
      <c r="N227" s="97" t="s">
        <v>4365</v>
      </c>
      <c r="O227" s="97" t="s">
        <v>4366</v>
      </c>
      <c r="P227" s="97"/>
      <c r="Q227" s="97" t="s">
        <v>4362</v>
      </c>
    </row>
    <row r="228" spans="1:17">
      <c r="A228" s="96">
        <v>45544</v>
      </c>
      <c r="B228" s="96">
        <v>45544</v>
      </c>
      <c r="C228" s="97" t="s">
        <v>4815</v>
      </c>
      <c r="D228" s="96"/>
      <c r="E228" s="97"/>
      <c r="F228" s="97" t="s">
        <v>4816</v>
      </c>
      <c r="G228" s="97" t="s">
        <v>4816</v>
      </c>
      <c r="H228" s="97" t="s">
        <v>281</v>
      </c>
      <c r="I228" s="97" t="s">
        <v>125</v>
      </c>
      <c r="J228" s="98">
        <v>739553</v>
      </c>
      <c r="K228" s="98">
        <v>0</v>
      </c>
      <c r="L228" s="97" t="s">
        <v>4480</v>
      </c>
      <c r="M228" s="97" t="s">
        <v>4481</v>
      </c>
      <c r="N228" s="97" t="s">
        <v>4365</v>
      </c>
      <c r="O228" s="97" t="s">
        <v>4366</v>
      </c>
      <c r="P228" s="97"/>
      <c r="Q228" s="97" t="s">
        <v>4362</v>
      </c>
    </row>
    <row r="229" spans="1:17">
      <c r="A229" s="96">
        <v>45544</v>
      </c>
      <c r="B229" s="96">
        <v>45544</v>
      </c>
      <c r="C229" s="97" t="s">
        <v>4817</v>
      </c>
      <c r="D229" s="96"/>
      <c r="E229" s="97"/>
      <c r="F229" s="97" t="s">
        <v>4818</v>
      </c>
      <c r="G229" s="97" t="s">
        <v>4818</v>
      </c>
      <c r="H229" s="97" t="s">
        <v>281</v>
      </c>
      <c r="I229" s="97" t="s">
        <v>125</v>
      </c>
      <c r="J229" s="98">
        <v>739553</v>
      </c>
      <c r="K229" s="98">
        <v>0</v>
      </c>
      <c r="L229" s="97" t="s">
        <v>4480</v>
      </c>
      <c r="M229" s="97" t="s">
        <v>4481</v>
      </c>
      <c r="N229" s="97" t="s">
        <v>4365</v>
      </c>
      <c r="O229" s="97" t="s">
        <v>4366</v>
      </c>
      <c r="P229" s="97"/>
      <c r="Q229" s="97" t="s">
        <v>4362</v>
      </c>
    </row>
    <row r="230" spans="1:17">
      <c r="A230" s="96">
        <v>45544</v>
      </c>
      <c r="B230" s="96">
        <v>45544</v>
      </c>
      <c r="C230" s="97" t="s">
        <v>4819</v>
      </c>
      <c r="D230" s="96"/>
      <c r="E230" s="97"/>
      <c r="F230" s="97" t="s">
        <v>4820</v>
      </c>
      <c r="G230" s="97" t="s">
        <v>4820</v>
      </c>
      <c r="H230" s="97" t="s">
        <v>387</v>
      </c>
      <c r="I230" s="97" t="s">
        <v>62</v>
      </c>
      <c r="J230" s="98">
        <v>863100</v>
      </c>
      <c r="K230" s="98">
        <v>0</v>
      </c>
      <c r="L230" s="97" t="s">
        <v>3524</v>
      </c>
      <c r="M230" s="97" t="s">
        <v>622</v>
      </c>
      <c r="N230" s="97" t="s">
        <v>4365</v>
      </c>
      <c r="O230" s="97" t="s">
        <v>4366</v>
      </c>
      <c r="P230" s="97"/>
      <c r="Q230" s="97" t="s">
        <v>4362</v>
      </c>
    </row>
    <row r="231" spans="1:17">
      <c r="A231" s="96">
        <v>45544</v>
      </c>
      <c r="B231" s="96">
        <v>45544</v>
      </c>
      <c r="C231" s="97" t="s">
        <v>4821</v>
      </c>
      <c r="D231" s="96"/>
      <c r="E231" s="97"/>
      <c r="F231" s="97" t="s">
        <v>4822</v>
      </c>
      <c r="G231" s="97" t="s">
        <v>4822</v>
      </c>
      <c r="H231" s="97" t="s">
        <v>283</v>
      </c>
      <c r="I231" s="97" t="s">
        <v>125</v>
      </c>
      <c r="J231" s="98">
        <v>2675117</v>
      </c>
      <c r="K231" s="98">
        <v>0</v>
      </c>
      <c r="L231" s="97" t="s">
        <v>4513</v>
      </c>
      <c r="M231" s="97" t="s">
        <v>4514</v>
      </c>
      <c r="N231" s="97" t="s">
        <v>4365</v>
      </c>
      <c r="O231" s="97" t="s">
        <v>4366</v>
      </c>
      <c r="P231" s="97" t="s">
        <v>4433</v>
      </c>
      <c r="Q231" s="97" t="s">
        <v>4362</v>
      </c>
    </row>
    <row r="232" spans="1:17">
      <c r="A232" s="96">
        <v>45544</v>
      </c>
      <c r="B232" s="96">
        <v>45544</v>
      </c>
      <c r="C232" s="97" t="s">
        <v>4823</v>
      </c>
      <c r="D232" s="96"/>
      <c r="E232" s="97"/>
      <c r="F232" s="97" t="s">
        <v>4824</v>
      </c>
      <c r="G232" s="97" t="s">
        <v>4824</v>
      </c>
      <c r="H232" s="97" t="s">
        <v>387</v>
      </c>
      <c r="I232" s="97" t="s">
        <v>62</v>
      </c>
      <c r="J232" s="98">
        <v>2959200</v>
      </c>
      <c r="K232" s="98">
        <v>0</v>
      </c>
      <c r="L232" s="97" t="s">
        <v>3524</v>
      </c>
      <c r="M232" s="97" t="s">
        <v>622</v>
      </c>
      <c r="N232" s="97" t="s">
        <v>4365</v>
      </c>
      <c r="O232" s="97" t="s">
        <v>4366</v>
      </c>
      <c r="P232" s="97"/>
      <c r="Q232" s="97" t="s">
        <v>4362</v>
      </c>
    </row>
    <row r="233" spans="1:17">
      <c r="A233" s="96">
        <v>45546</v>
      </c>
      <c r="B233" s="96">
        <v>45546</v>
      </c>
      <c r="C233" s="97" t="s">
        <v>4825</v>
      </c>
      <c r="D233" s="96"/>
      <c r="E233" s="97"/>
      <c r="F233" s="97" t="s">
        <v>4826</v>
      </c>
      <c r="G233" s="97" t="s">
        <v>4826</v>
      </c>
      <c r="H233" s="97" t="s">
        <v>281</v>
      </c>
      <c r="I233" s="97" t="s">
        <v>62</v>
      </c>
      <c r="J233" s="98">
        <v>7110725</v>
      </c>
      <c r="K233" s="98">
        <v>0</v>
      </c>
      <c r="L233" s="97" t="s">
        <v>3524</v>
      </c>
      <c r="M233" s="97" t="s">
        <v>622</v>
      </c>
      <c r="N233" s="97" t="s">
        <v>4365</v>
      </c>
      <c r="O233" s="97" t="s">
        <v>4366</v>
      </c>
      <c r="P233" s="97"/>
      <c r="Q233" s="97" t="s">
        <v>4362</v>
      </c>
    </row>
    <row r="234" spans="1:17">
      <c r="A234" s="96">
        <v>45553</v>
      </c>
      <c r="B234" s="96">
        <v>45553</v>
      </c>
      <c r="C234" s="97" t="s">
        <v>4827</v>
      </c>
      <c r="D234" s="96"/>
      <c r="E234" s="97"/>
      <c r="F234" s="97" t="s">
        <v>4828</v>
      </c>
      <c r="G234" s="97" t="s">
        <v>4828</v>
      </c>
      <c r="H234" s="97" t="s">
        <v>387</v>
      </c>
      <c r="I234" s="97" t="s">
        <v>62</v>
      </c>
      <c r="J234" s="98">
        <v>492400</v>
      </c>
      <c r="K234" s="98">
        <v>0</v>
      </c>
      <c r="L234" s="97" t="s">
        <v>3524</v>
      </c>
      <c r="M234" s="97" t="s">
        <v>622</v>
      </c>
      <c r="N234" s="97" t="s">
        <v>4365</v>
      </c>
      <c r="O234" s="97" t="s">
        <v>4366</v>
      </c>
      <c r="P234" s="97"/>
      <c r="Q234" s="97" t="s">
        <v>4362</v>
      </c>
    </row>
    <row r="235" spans="1:17">
      <c r="A235" s="96">
        <v>45553</v>
      </c>
      <c r="B235" s="96">
        <v>45553</v>
      </c>
      <c r="C235" s="97" t="s">
        <v>4829</v>
      </c>
      <c r="D235" s="96"/>
      <c r="E235" s="97"/>
      <c r="F235" s="97" t="s">
        <v>4830</v>
      </c>
      <c r="G235" s="97" t="s">
        <v>4684</v>
      </c>
      <c r="H235" s="97" t="s">
        <v>299</v>
      </c>
      <c r="I235" s="97" t="s">
        <v>62</v>
      </c>
      <c r="J235" s="98">
        <v>6905907</v>
      </c>
      <c r="K235" s="98">
        <v>0</v>
      </c>
      <c r="L235" s="97" t="s">
        <v>3524</v>
      </c>
      <c r="M235" s="97" t="s">
        <v>622</v>
      </c>
      <c r="N235" s="97" t="s">
        <v>4365</v>
      </c>
      <c r="O235" s="97" t="s">
        <v>4366</v>
      </c>
      <c r="P235" s="97"/>
      <c r="Q235" s="97" t="s">
        <v>4362</v>
      </c>
    </row>
    <row r="236" spans="1:17">
      <c r="A236" s="96">
        <v>45556</v>
      </c>
      <c r="B236" s="96">
        <v>45556</v>
      </c>
      <c r="C236" s="97" t="s">
        <v>4831</v>
      </c>
      <c r="D236" s="96"/>
      <c r="E236" s="97"/>
      <c r="F236" s="97" t="s">
        <v>4832</v>
      </c>
      <c r="G236" s="97" t="s">
        <v>4832</v>
      </c>
      <c r="H236" s="97" t="s">
        <v>387</v>
      </c>
      <c r="I236" s="97" t="s">
        <v>62</v>
      </c>
      <c r="J236" s="98">
        <v>492000</v>
      </c>
      <c r="K236" s="98">
        <v>0</v>
      </c>
      <c r="L236" s="97" t="s">
        <v>3524</v>
      </c>
      <c r="M236" s="97" t="s">
        <v>622</v>
      </c>
      <c r="N236" s="97" t="s">
        <v>4365</v>
      </c>
      <c r="O236" s="97" t="s">
        <v>4366</v>
      </c>
      <c r="P236" s="97"/>
      <c r="Q236" s="97" t="s">
        <v>4362</v>
      </c>
    </row>
    <row r="237" spans="1:17">
      <c r="A237" s="96">
        <v>45560</v>
      </c>
      <c r="B237" s="96">
        <v>45560</v>
      </c>
      <c r="C237" s="97" t="s">
        <v>4833</v>
      </c>
      <c r="D237" s="96"/>
      <c r="E237" s="97"/>
      <c r="F237" s="97" t="s">
        <v>4834</v>
      </c>
      <c r="G237" s="97" t="s">
        <v>4834</v>
      </c>
      <c r="H237" s="97" t="s">
        <v>387</v>
      </c>
      <c r="I237" s="97" t="s">
        <v>62</v>
      </c>
      <c r="J237" s="98">
        <v>1300992</v>
      </c>
      <c r="K237" s="98">
        <v>0</v>
      </c>
      <c r="L237" s="97" t="s">
        <v>3524</v>
      </c>
      <c r="M237" s="97" t="s">
        <v>622</v>
      </c>
      <c r="N237" s="97" t="s">
        <v>4365</v>
      </c>
      <c r="O237" s="97" t="s">
        <v>4366</v>
      </c>
      <c r="P237" s="97"/>
      <c r="Q237" s="97" t="s">
        <v>4362</v>
      </c>
    </row>
    <row r="238" spans="1:17">
      <c r="A238" s="96">
        <v>45561</v>
      </c>
      <c r="B238" s="96">
        <v>45561</v>
      </c>
      <c r="C238" s="97" t="s">
        <v>4835</v>
      </c>
      <c r="D238" s="96"/>
      <c r="E238" s="97"/>
      <c r="F238" s="97" t="s">
        <v>4836</v>
      </c>
      <c r="G238" s="97" t="s">
        <v>4836</v>
      </c>
      <c r="H238" s="97" t="s">
        <v>283</v>
      </c>
      <c r="I238" s="97" t="s">
        <v>125</v>
      </c>
      <c r="J238" s="98">
        <v>1475100</v>
      </c>
      <c r="K238" s="98">
        <v>0</v>
      </c>
      <c r="L238" s="97" t="s">
        <v>4504</v>
      </c>
      <c r="M238" s="97" t="s">
        <v>4505</v>
      </c>
      <c r="N238" s="97" t="s">
        <v>4365</v>
      </c>
      <c r="O238" s="97" t="s">
        <v>4366</v>
      </c>
      <c r="P238" s="97"/>
      <c r="Q238" s="97" t="s">
        <v>4362</v>
      </c>
    </row>
    <row r="239" spans="1:17">
      <c r="A239" s="96">
        <v>45561</v>
      </c>
      <c r="B239" s="96">
        <v>45561</v>
      </c>
      <c r="C239" s="97" t="s">
        <v>4837</v>
      </c>
      <c r="D239" s="96"/>
      <c r="E239" s="97"/>
      <c r="F239" s="97" t="s">
        <v>4838</v>
      </c>
      <c r="G239" s="97" t="s">
        <v>4838</v>
      </c>
      <c r="H239" s="97" t="s">
        <v>387</v>
      </c>
      <c r="I239" s="97" t="s">
        <v>62</v>
      </c>
      <c r="J239" s="98">
        <v>215119</v>
      </c>
      <c r="K239" s="98">
        <v>0</v>
      </c>
      <c r="L239" s="97" t="s">
        <v>3524</v>
      </c>
      <c r="M239" s="97" t="s">
        <v>622</v>
      </c>
      <c r="N239" s="97" t="s">
        <v>4365</v>
      </c>
      <c r="O239" s="97" t="s">
        <v>4366</v>
      </c>
      <c r="P239" s="97" t="s">
        <v>4433</v>
      </c>
      <c r="Q239" s="97" t="s">
        <v>4362</v>
      </c>
    </row>
    <row r="240" spans="1:17">
      <c r="A240" s="96">
        <v>45563</v>
      </c>
      <c r="B240" s="96">
        <v>45563</v>
      </c>
      <c r="C240" s="97" t="s">
        <v>4839</v>
      </c>
      <c r="D240" s="96"/>
      <c r="E240" s="97"/>
      <c r="F240" s="97" t="s">
        <v>4840</v>
      </c>
      <c r="G240" s="97" t="s">
        <v>4840</v>
      </c>
      <c r="H240" s="97" t="s">
        <v>283</v>
      </c>
      <c r="I240" s="97" t="s">
        <v>125</v>
      </c>
      <c r="J240" s="98">
        <v>98540</v>
      </c>
      <c r="K240" s="98">
        <v>0</v>
      </c>
      <c r="L240" s="97" t="s">
        <v>4513</v>
      </c>
      <c r="M240" s="97" t="s">
        <v>4514</v>
      </c>
      <c r="N240" s="97" t="s">
        <v>4365</v>
      </c>
      <c r="O240" s="97" t="s">
        <v>4366</v>
      </c>
      <c r="P240" s="97" t="s">
        <v>4433</v>
      </c>
      <c r="Q240" s="97" t="s">
        <v>4362</v>
      </c>
    </row>
    <row r="241" spans="1:17">
      <c r="A241" s="96">
        <v>45565</v>
      </c>
      <c r="B241" s="96">
        <v>45565</v>
      </c>
      <c r="C241" s="97" t="s">
        <v>4841</v>
      </c>
      <c r="D241" s="96"/>
      <c r="E241" s="97"/>
      <c r="F241" s="97" t="s">
        <v>4842</v>
      </c>
      <c r="G241" s="97" t="s">
        <v>4842</v>
      </c>
      <c r="H241" s="97" t="s">
        <v>387</v>
      </c>
      <c r="I241" s="97" t="s">
        <v>62</v>
      </c>
      <c r="J241" s="98">
        <v>611129</v>
      </c>
      <c r="K241" s="98">
        <v>0</v>
      </c>
      <c r="L241" s="97" t="s">
        <v>3524</v>
      </c>
      <c r="M241" s="97" t="s">
        <v>622</v>
      </c>
      <c r="N241" s="97" t="s">
        <v>4365</v>
      </c>
      <c r="O241" s="97" t="s">
        <v>4366</v>
      </c>
      <c r="P241" s="97"/>
      <c r="Q241" s="97" t="s">
        <v>4362</v>
      </c>
    </row>
    <row r="242" spans="1:17">
      <c r="A242" s="96">
        <v>45566</v>
      </c>
      <c r="B242" s="96">
        <v>45566</v>
      </c>
      <c r="C242" s="97" t="s">
        <v>4843</v>
      </c>
      <c r="D242" s="96"/>
      <c r="E242" s="97"/>
      <c r="F242" s="97" t="s">
        <v>4844</v>
      </c>
      <c r="G242" s="97" t="s">
        <v>4844</v>
      </c>
      <c r="H242" s="97" t="s">
        <v>283</v>
      </c>
      <c r="I242" s="97" t="s">
        <v>125</v>
      </c>
      <c r="J242" s="98">
        <v>890882</v>
      </c>
      <c r="K242" s="98">
        <v>0</v>
      </c>
      <c r="L242" s="97" t="s">
        <v>4513</v>
      </c>
      <c r="M242" s="97" t="s">
        <v>4514</v>
      </c>
      <c r="N242" s="97" t="s">
        <v>4365</v>
      </c>
      <c r="O242" s="97" t="s">
        <v>4366</v>
      </c>
      <c r="P242" s="97" t="s">
        <v>4433</v>
      </c>
      <c r="Q242" s="97" t="s">
        <v>4362</v>
      </c>
    </row>
    <row r="243" spans="1:17">
      <c r="A243" s="96">
        <v>45566</v>
      </c>
      <c r="B243" s="96">
        <v>45566</v>
      </c>
      <c r="C243" s="97" t="s">
        <v>4845</v>
      </c>
      <c r="D243" s="96"/>
      <c r="E243" s="97"/>
      <c r="F243" s="97" t="s">
        <v>4846</v>
      </c>
      <c r="G243" s="97" t="s">
        <v>4846</v>
      </c>
      <c r="H243" s="97" t="s">
        <v>387</v>
      </c>
      <c r="I243" s="97" t="s">
        <v>62</v>
      </c>
      <c r="J243" s="98">
        <v>2215638</v>
      </c>
      <c r="K243" s="98">
        <v>0</v>
      </c>
      <c r="L243" s="97" t="s">
        <v>3524</v>
      </c>
      <c r="M243" s="97" t="s">
        <v>622</v>
      </c>
      <c r="N243" s="97" t="s">
        <v>4365</v>
      </c>
      <c r="O243" s="97" t="s">
        <v>4366</v>
      </c>
      <c r="P243" s="97"/>
      <c r="Q243" s="97" t="s">
        <v>4362</v>
      </c>
    </row>
    <row r="244" spans="1:17">
      <c r="A244" s="96">
        <v>45566</v>
      </c>
      <c r="B244" s="96">
        <v>45566</v>
      </c>
      <c r="C244" s="97" t="s">
        <v>4847</v>
      </c>
      <c r="D244" s="96"/>
      <c r="E244" s="97"/>
      <c r="F244" s="97" t="s">
        <v>4848</v>
      </c>
      <c r="G244" s="97" t="s">
        <v>4848</v>
      </c>
      <c r="H244" s="97" t="s">
        <v>387</v>
      </c>
      <c r="I244" s="97" t="s">
        <v>62</v>
      </c>
      <c r="J244" s="98">
        <v>3108734</v>
      </c>
      <c r="K244" s="98">
        <v>0</v>
      </c>
      <c r="L244" s="97" t="s">
        <v>3524</v>
      </c>
      <c r="M244" s="97" t="s">
        <v>622</v>
      </c>
      <c r="N244" s="97" t="s">
        <v>4365</v>
      </c>
      <c r="O244" s="97" t="s">
        <v>4366</v>
      </c>
      <c r="P244" s="97"/>
      <c r="Q244" s="97" t="s">
        <v>4362</v>
      </c>
    </row>
    <row r="245" spans="1:17">
      <c r="A245" s="96">
        <v>45566</v>
      </c>
      <c r="B245" s="96">
        <v>45566</v>
      </c>
      <c r="C245" s="97" t="s">
        <v>4849</v>
      </c>
      <c r="D245" s="96"/>
      <c r="E245" s="97"/>
      <c r="F245" s="97" t="s">
        <v>4850</v>
      </c>
      <c r="G245" s="97" t="s">
        <v>4850</v>
      </c>
      <c r="H245" s="97" t="s">
        <v>387</v>
      </c>
      <c r="I245" s="97" t="s">
        <v>62</v>
      </c>
      <c r="J245" s="98">
        <v>279816</v>
      </c>
      <c r="K245" s="98">
        <v>0</v>
      </c>
      <c r="L245" s="97" t="s">
        <v>3524</v>
      </c>
      <c r="M245" s="97" t="s">
        <v>622</v>
      </c>
      <c r="N245" s="97" t="s">
        <v>4365</v>
      </c>
      <c r="O245" s="97" t="s">
        <v>4366</v>
      </c>
      <c r="P245" s="97"/>
      <c r="Q245" s="97" t="s">
        <v>4362</v>
      </c>
    </row>
    <row r="246" spans="1:17">
      <c r="A246" s="96">
        <v>45566</v>
      </c>
      <c r="B246" s="96">
        <v>45566</v>
      </c>
      <c r="C246" s="97" t="s">
        <v>4851</v>
      </c>
      <c r="D246" s="96"/>
      <c r="E246" s="97"/>
      <c r="F246" s="97" t="s">
        <v>4579</v>
      </c>
      <c r="G246" s="97" t="s">
        <v>4579</v>
      </c>
      <c r="H246" s="97" t="s">
        <v>387</v>
      </c>
      <c r="I246" s="97" t="s">
        <v>62</v>
      </c>
      <c r="J246" s="98">
        <v>746175</v>
      </c>
      <c r="K246" s="98">
        <v>0</v>
      </c>
      <c r="L246" s="97" t="s">
        <v>3524</v>
      </c>
      <c r="M246" s="97" t="s">
        <v>622</v>
      </c>
      <c r="N246" s="97" t="s">
        <v>4365</v>
      </c>
      <c r="O246" s="97" t="s">
        <v>4366</v>
      </c>
      <c r="P246" s="97"/>
      <c r="Q246" s="97" t="s">
        <v>4362</v>
      </c>
    </row>
    <row r="247" spans="1:17">
      <c r="A247" s="96">
        <v>45567</v>
      </c>
      <c r="B247" s="96">
        <v>45567</v>
      </c>
      <c r="C247" s="97" t="s">
        <v>4852</v>
      </c>
      <c r="D247" s="96"/>
      <c r="E247" s="97"/>
      <c r="F247" s="97" t="s">
        <v>4853</v>
      </c>
      <c r="G247" s="97" t="s">
        <v>4853</v>
      </c>
      <c r="H247" s="97" t="s">
        <v>283</v>
      </c>
      <c r="I247" s="97" t="s">
        <v>125</v>
      </c>
      <c r="J247" s="98">
        <v>18884029</v>
      </c>
      <c r="K247" s="98">
        <v>0</v>
      </c>
      <c r="L247" s="97" t="s">
        <v>3518</v>
      </c>
      <c r="M247" s="97" t="s">
        <v>3519</v>
      </c>
      <c r="N247" s="97" t="s">
        <v>4365</v>
      </c>
      <c r="O247" s="97" t="s">
        <v>4366</v>
      </c>
      <c r="P247" s="97"/>
      <c r="Q247" s="97" t="s">
        <v>4362</v>
      </c>
    </row>
    <row r="248" spans="1:17">
      <c r="A248" s="96">
        <v>45567</v>
      </c>
      <c r="B248" s="96">
        <v>45567</v>
      </c>
      <c r="C248" s="97" t="s">
        <v>4854</v>
      </c>
      <c r="D248" s="96"/>
      <c r="E248" s="97"/>
      <c r="F248" s="97" t="s">
        <v>4853</v>
      </c>
      <c r="G248" s="97" t="s">
        <v>4853</v>
      </c>
      <c r="H248" s="97" t="s">
        <v>283</v>
      </c>
      <c r="I248" s="97" t="s">
        <v>125</v>
      </c>
      <c r="J248" s="98">
        <v>22248418</v>
      </c>
      <c r="K248" s="98">
        <v>0</v>
      </c>
      <c r="L248" s="97" t="s">
        <v>3518</v>
      </c>
      <c r="M248" s="97" t="s">
        <v>3519</v>
      </c>
      <c r="N248" s="97" t="s">
        <v>4365</v>
      </c>
      <c r="O248" s="97" t="s">
        <v>4366</v>
      </c>
      <c r="P248" s="97"/>
      <c r="Q248" s="97" t="s">
        <v>4362</v>
      </c>
    </row>
    <row r="249" spans="1:17">
      <c r="A249" s="96">
        <v>45567</v>
      </c>
      <c r="B249" s="96">
        <v>45567</v>
      </c>
      <c r="C249" s="97" t="s">
        <v>4855</v>
      </c>
      <c r="D249" s="96"/>
      <c r="E249" s="97"/>
      <c r="F249" s="97" t="s">
        <v>4856</v>
      </c>
      <c r="G249" s="97" t="s">
        <v>4856</v>
      </c>
      <c r="H249" s="97" t="s">
        <v>283</v>
      </c>
      <c r="I249" s="97" t="s">
        <v>62</v>
      </c>
      <c r="J249" s="98">
        <v>4290379</v>
      </c>
      <c r="K249" s="98">
        <v>0</v>
      </c>
      <c r="L249" s="97" t="s">
        <v>3524</v>
      </c>
      <c r="M249" s="97" t="s">
        <v>622</v>
      </c>
      <c r="N249" s="97" t="s">
        <v>4365</v>
      </c>
      <c r="O249" s="97" t="s">
        <v>4366</v>
      </c>
      <c r="P249" s="97"/>
      <c r="Q249" s="97" t="s">
        <v>4362</v>
      </c>
    </row>
    <row r="250" spans="1:17">
      <c r="A250" s="96">
        <v>45569</v>
      </c>
      <c r="B250" s="96">
        <v>45569</v>
      </c>
      <c r="C250" s="97" t="s">
        <v>4857</v>
      </c>
      <c r="D250" s="96"/>
      <c r="E250" s="97"/>
      <c r="F250" s="97" t="s">
        <v>4858</v>
      </c>
      <c r="G250" s="97" t="s">
        <v>4858</v>
      </c>
      <c r="H250" s="97" t="s">
        <v>283</v>
      </c>
      <c r="I250" s="97" t="s">
        <v>62</v>
      </c>
      <c r="J250" s="98">
        <v>861867</v>
      </c>
      <c r="K250" s="98">
        <v>0</v>
      </c>
      <c r="L250" s="97" t="s">
        <v>3524</v>
      </c>
      <c r="M250" s="97" t="s">
        <v>622</v>
      </c>
      <c r="N250" s="97" t="s">
        <v>4365</v>
      </c>
      <c r="O250" s="97" t="s">
        <v>4366</v>
      </c>
      <c r="P250" s="97"/>
      <c r="Q250" s="97" t="s">
        <v>4362</v>
      </c>
    </row>
    <row r="251" spans="1:17">
      <c r="A251" s="96">
        <v>45570</v>
      </c>
      <c r="B251" s="96">
        <v>45570</v>
      </c>
      <c r="C251" s="97" t="s">
        <v>4859</v>
      </c>
      <c r="D251" s="96"/>
      <c r="E251" s="97"/>
      <c r="F251" s="97" t="s">
        <v>4860</v>
      </c>
      <c r="G251" s="97" t="s">
        <v>4860</v>
      </c>
      <c r="H251" s="97" t="s">
        <v>387</v>
      </c>
      <c r="I251" s="97" t="s">
        <v>125</v>
      </c>
      <c r="J251" s="98">
        <v>1956041</v>
      </c>
      <c r="K251" s="98">
        <v>0</v>
      </c>
      <c r="L251" s="97" t="s">
        <v>4810</v>
      </c>
      <c r="M251" s="97" t="s">
        <v>4810</v>
      </c>
      <c r="N251" s="97" t="s">
        <v>4365</v>
      </c>
      <c r="O251" s="97" t="s">
        <v>4366</v>
      </c>
      <c r="P251" s="97" t="s">
        <v>4433</v>
      </c>
      <c r="Q251" s="97" t="s">
        <v>4362</v>
      </c>
    </row>
    <row r="252" spans="1:17">
      <c r="A252" s="96">
        <v>45572</v>
      </c>
      <c r="B252" s="96">
        <v>45572</v>
      </c>
      <c r="C252" s="97" t="s">
        <v>4861</v>
      </c>
      <c r="D252" s="96"/>
      <c r="E252" s="97"/>
      <c r="F252" s="97" t="s">
        <v>4862</v>
      </c>
      <c r="G252" s="97" t="s">
        <v>4862</v>
      </c>
      <c r="H252" s="97" t="s">
        <v>387</v>
      </c>
      <c r="I252" s="97" t="s">
        <v>62</v>
      </c>
      <c r="J252" s="98">
        <v>15560384</v>
      </c>
      <c r="K252" s="98">
        <v>0</v>
      </c>
      <c r="L252" s="97" t="s">
        <v>3524</v>
      </c>
      <c r="M252" s="97" t="s">
        <v>622</v>
      </c>
      <c r="N252" s="97" t="s">
        <v>4365</v>
      </c>
      <c r="O252" s="97" t="s">
        <v>4366</v>
      </c>
      <c r="P252" s="97"/>
      <c r="Q252" s="97" t="s">
        <v>4362</v>
      </c>
    </row>
    <row r="253" spans="1:17">
      <c r="A253" s="96">
        <v>45572</v>
      </c>
      <c r="B253" s="96">
        <v>45572</v>
      </c>
      <c r="C253" s="97" t="s">
        <v>4863</v>
      </c>
      <c r="D253" s="96"/>
      <c r="E253" s="97"/>
      <c r="F253" s="97" t="s">
        <v>4864</v>
      </c>
      <c r="G253" s="97" t="s">
        <v>4864</v>
      </c>
      <c r="H253" s="97" t="s">
        <v>387</v>
      </c>
      <c r="I253" s="97" t="s">
        <v>62</v>
      </c>
      <c r="J253" s="98">
        <v>209616</v>
      </c>
      <c r="K253" s="98">
        <v>0</v>
      </c>
      <c r="L253" s="97" t="s">
        <v>3524</v>
      </c>
      <c r="M253" s="97" t="s">
        <v>622</v>
      </c>
      <c r="N253" s="97" t="s">
        <v>4365</v>
      </c>
      <c r="O253" s="97" t="s">
        <v>4366</v>
      </c>
      <c r="P253" s="97"/>
      <c r="Q253" s="97" t="s">
        <v>4362</v>
      </c>
    </row>
    <row r="254" spans="1:17">
      <c r="A254" s="96">
        <v>45572</v>
      </c>
      <c r="B254" s="96">
        <v>45572</v>
      </c>
      <c r="C254" s="97" t="s">
        <v>4865</v>
      </c>
      <c r="D254" s="96"/>
      <c r="E254" s="97"/>
      <c r="F254" s="97" t="s">
        <v>4866</v>
      </c>
      <c r="G254" s="97" t="s">
        <v>4866</v>
      </c>
      <c r="H254" s="97" t="s">
        <v>387</v>
      </c>
      <c r="I254" s="97" t="s">
        <v>62</v>
      </c>
      <c r="J254" s="98">
        <v>495200</v>
      </c>
      <c r="K254" s="98">
        <v>0</v>
      </c>
      <c r="L254" s="97" t="s">
        <v>3524</v>
      </c>
      <c r="M254" s="97" t="s">
        <v>622</v>
      </c>
      <c r="N254" s="97" t="s">
        <v>4365</v>
      </c>
      <c r="O254" s="97" t="s">
        <v>4366</v>
      </c>
      <c r="P254" s="97"/>
      <c r="Q254" s="97" t="s">
        <v>4362</v>
      </c>
    </row>
    <row r="255" spans="1:17">
      <c r="A255" s="96">
        <v>45573</v>
      </c>
      <c r="B255" s="96">
        <v>45573</v>
      </c>
      <c r="C255" s="97" t="s">
        <v>4867</v>
      </c>
      <c r="D255" s="96"/>
      <c r="E255" s="97"/>
      <c r="F255" s="97" t="s">
        <v>4868</v>
      </c>
      <c r="G255" s="97" t="s">
        <v>4868</v>
      </c>
      <c r="H255" s="97" t="s">
        <v>281</v>
      </c>
      <c r="I255" s="97" t="s">
        <v>125</v>
      </c>
      <c r="J255" s="98">
        <v>745252</v>
      </c>
      <c r="K255" s="98">
        <v>0</v>
      </c>
      <c r="L255" s="97" t="s">
        <v>4480</v>
      </c>
      <c r="M255" s="97" t="s">
        <v>4481</v>
      </c>
      <c r="N255" s="97" t="s">
        <v>4365</v>
      </c>
      <c r="O255" s="97" t="s">
        <v>4366</v>
      </c>
      <c r="P255" s="97"/>
      <c r="Q255" s="97" t="s">
        <v>4362</v>
      </c>
    </row>
    <row r="256" spans="1:17">
      <c r="A256" s="96">
        <v>45573</v>
      </c>
      <c r="B256" s="96">
        <v>45573</v>
      </c>
      <c r="C256" s="97" t="s">
        <v>4869</v>
      </c>
      <c r="D256" s="96"/>
      <c r="E256" s="97"/>
      <c r="F256" s="97" t="s">
        <v>4870</v>
      </c>
      <c r="G256" s="97" t="s">
        <v>4870</v>
      </c>
      <c r="H256" s="97" t="s">
        <v>281</v>
      </c>
      <c r="I256" s="97" t="s">
        <v>125</v>
      </c>
      <c r="J256" s="98">
        <v>745252</v>
      </c>
      <c r="K256" s="98">
        <v>0</v>
      </c>
      <c r="L256" s="97" t="s">
        <v>4480</v>
      </c>
      <c r="M256" s="97" t="s">
        <v>4481</v>
      </c>
      <c r="N256" s="97" t="s">
        <v>4365</v>
      </c>
      <c r="O256" s="97" t="s">
        <v>4366</v>
      </c>
      <c r="P256" s="97"/>
      <c r="Q256" s="97" t="s">
        <v>4362</v>
      </c>
    </row>
    <row r="257" spans="1:17">
      <c r="A257" s="96">
        <v>45573</v>
      </c>
      <c r="B257" s="96">
        <v>45573</v>
      </c>
      <c r="C257" s="97" t="s">
        <v>4871</v>
      </c>
      <c r="D257" s="96"/>
      <c r="E257" s="97"/>
      <c r="F257" s="97" t="s">
        <v>4872</v>
      </c>
      <c r="G257" s="97" t="s">
        <v>4872</v>
      </c>
      <c r="H257" s="97" t="s">
        <v>281</v>
      </c>
      <c r="I257" s="97" t="s">
        <v>125</v>
      </c>
      <c r="J257" s="98">
        <v>745252</v>
      </c>
      <c r="K257" s="98">
        <v>0</v>
      </c>
      <c r="L257" s="97" t="s">
        <v>4480</v>
      </c>
      <c r="M257" s="97" t="s">
        <v>4481</v>
      </c>
      <c r="N257" s="97" t="s">
        <v>4365</v>
      </c>
      <c r="O257" s="97" t="s">
        <v>4366</v>
      </c>
      <c r="P257" s="97"/>
      <c r="Q257" s="97" t="s">
        <v>4362</v>
      </c>
    </row>
    <row r="258" spans="1:17">
      <c r="A258" s="96">
        <v>45574</v>
      </c>
      <c r="B258" s="96">
        <v>45574</v>
      </c>
      <c r="C258" s="97" t="s">
        <v>4873</v>
      </c>
      <c r="D258" s="96"/>
      <c r="E258" s="97"/>
      <c r="F258" s="97" t="s">
        <v>4874</v>
      </c>
      <c r="G258" s="97" t="s">
        <v>4874</v>
      </c>
      <c r="H258" s="97" t="s">
        <v>387</v>
      </c>
      <c r="I258" s="97" t="s">
        <v>62</v>
      </c>
      <c r="J258" s="98">
        <v>869751</v>
      </c>
      <c r="K258" s="98">
        <v>0</v>
      </c>
      <c r="L258" s="97" t="s">
        <v>3524</v>
      </c>
      <c r="M258" s="97" t="s">
        <v>622</v>
      </c>
      <c r="N258" s="97" t="s">
        <v>4365</v>
      </c>
      <c r="O258" s="97" t="s">
        <v>4366</v>
      </c>
      <c r="P258" s="97"/>
      <c r="Q258" s="97" t="s">
        <v>4362</v>
      </c>
    </row>
    <row r="259" spans="1:17">
      <c r="A259" s="96">
        <v>45574</v>
      </c>
      <c r="B259" s="96">
        <v>45574</v>
      </c>
      <c r="C259" s="97" t="s">
        <v>4875</v>
      </c>
      <c r="D259" s="96"/>
      <c r="E259" s="97"/>
      <c r="F259" s="97" t="s">
        <v>4876</v>
      </c>
      <c r="G259" s="97" t="s">
        <v>4876</v>
      </c>
      <c r="H259" s="97" t="s">
        <v>283</v>
      </c>
      <c r="I259" s="97" t="s">
        <v>125</v>
      </c>
      <c r="J259" s="98">
        <v>2360753</v>
      </c>
      <c r="K259" s="98">
        <v>0</v>
      </c>
      <c r="L259" s="97" t="s">
        <v>4513</v>
      </c>
      <c r="M259" s="97" t="s">
        <v>4514</v>
      </c>
      <c r="N259" s="97" t="s">
        <v>4365</v>
      </c>
      <c r="O259" s="97" t="s">
        <v>4366</v>
      </c>
      <c r="P259" s="97" t="s">
        <v>4433</v>
      </c>
      <c r="Q259" s="97" t="s">
        <v>4362</v>
      </c>
    </row>
    <row r="260" spans="1:17">
      <c r="A260" s="96">
        <v>45575</v>
      </c>
      <c r="B260" s="96">
        <v>45575</v>
      </c>
      <c r="C260" s="97" t="s">
        <v>4877</v>
      </c>
      <c r="D260" s="96"/>
      <c r="E260" s="97"/>
      <c r="F260" s="97" t="s">
        <v>4878</v>
      </c>
      <c r="G260" s="97" t="s">
        <v>4878</v>
      </c>
      <c r="H260" s="97" t="s">
        <v>283</v>
      </c>
      <c r="I260" s="97" t="s">
        <v>62</v>
      </c>
      <c r="J260" s="98">
        <v>6584015</v>
      </c>
      <c r="K260" s="98">
        <v>0</v>
      </c>
      <c r="L260" s="97" t="s">
        <v>3524</v>
      </c>
      <c r="M260" s="97" t="s">
        <v>622</v>
      </c>
      <c r="N260" s="97" t="s">
        <v>4365</v>
      </c>
      <c r="O260" s="97" t="s">
        <v>4366</v>
      </c>
      <c r="P260" s="97"/>
      <c r="Q260" s="97" t="s">
        <v>4362</v>
      </c>
    </row>
    <row r="261" spans="1:17">
      <c r="A261" s="96">
        <v>45576</v>
      </c>
      <c r="B261" s="96">
        <v>45576</v>
      </c>
      <c r="C261" s="97" t="s">
        <v>4879</v>
      </c>
      <c r="D261" s="96"/>
      <c r="E261" s="97"/>
      <c r="F261" s="97" t="s">
        <v>4880</v>
      </c>
      <c r="G261" s="97" t="s">
        <v>4880</v>
      </c>
      <c r="H261" s="97" t="s">
        <v>387</v>
      </c>
      <c r="I261" s="97" t="s">
        <v>62</v>
      </c>
      <c r="J261" s="98">
        <v>3712339</v>
      </c>
      <c r="K261" s="98">
        <v>0</v>
      </c>
      <c r="L261" s="97" t="s">
        <v>3524</v>
      </c>
      <c r="M261" s="97" t="s">
        <v>622</v>
      </c>
      <c r="N261" s="97" t="s">
        <v>4365</v>
      </c>
      <c r="O261" s="97" t="s">
        <v>4366</v>
      </c>
      <c r="P261" s="97"/>
      <c r="Q261" s="97" t="s">
        <v>4362</v>
      </c>
    </row>
    <row r="262" spans="1:17">
      <c r="A262" s="96">
        <v>45582</v>
      </c>
      <c r="B262" s="96">
        <v>45582</v>
      </c>
      <c r="C262" s="97" t="s">
        <v>4881</v>
      </c>
      <c r="D262" s="96"/>
      <c r="E262" s="97"/>
      <c r="F262" s="97" t="s">
        <v>4882</v>
      </c>
      <c r="G262" s="97" t="s">
        <v>4882</v>
      </c>
      <c r="H262" s="97" t="s">
        <v>437</v>
      </c>
      <c r="I262" s="97" t="s">
        <v>125</v>
      </c>
      <c r="J262" s="98">
        <v>2099000</v>
      </c>
      <c r="K262" s="98">
        <v>0</v>
      </c>
      <c r="L262" s="97" t="s">
        <v>4883</v>
      </c>
      <c r="M262" s="97" t="s">
        <v>4884</v>
      </c>
      <c r="N262" s="97" t="s">
        <v>4365</v>
      </c>
      <c r="O262" s="97" t="s">
        <v>4366</v>
      </c>
      <c r="P262" s="97"/>
      <c r="Q262" s="97" t="s">
        <v>4362</v>
      </c>
    </row>
    <row r="263" spans="1:17">
      <c r="A263" s="96">
        <v>45583</v>
      </c>
      <c r="B263" s="96">
        <v>45583</v>
      </c>
      <c r="C263" s="97" t="s">
        <v>4885</v>
      </c>
      <c r="D263" s="96"/>
      <c r="E263" s="97"/>
      <c r="F263" s="97" t="s">
        <v>4886</v>
      </c>
      <c r="G263" s="97" t="s">
        <v>4886</v>
      </c>
      <c r="H263" s="97" t="s">
        <v>387</v>
      </c>
      <c r="I263" s="97" t="s">
        <v>62</v>
      </c>
      <c r="J263" s="98">
        <v>503900</v>
      </c>
      <c r="K263" s="98">
        <v>0</v>
      </c>
      <c r="L263" s="97" t="s">
        <v>3524</v>
      </c>
      <c r="M263" s="97" t="s">
        <v>622</v>
      </c>
      <c r="N263" s="97" t="s">
        <v>4365</v>
      </c>
      <c r="O263" s="97" t="s">
        <v>4366</v>
      </c>
      <c r="P263" s="97"/>
      <c r="Q263" s="97" t="s">
        <v>4362</v>
      </c>
    </row>
    <row r="264" spans="1:17">
      <c r="A264" s="96">
        <v>45586</v>
      </c>
      <c r="B264" s="96">
        <v>45586</v>
      </c>
      <c r="C264" s="97" t="s">
        <v>4887</v>
      </c>
      <c r="D264" s="96"/>
      <c r="E264" s="97"/>
      <c r="F264" s="97" t="s">
        <v>4888</v>
      </c>
      <c r="G264" s="97" t="s">
        <v>4888</v>
      </c>
      <c r="H264" s="97" t="s">
        <v>387</v>
      </c>
      <c r="I264" s="97" t="s">
        <v>62</v>
      </c>
      <c r="J264" s="98">
        <v>378947</v>
      </c>
      <c r="K264" s="98">
        <v>0</v>
      </c>
      <c r="L264" s="97" t="s">
        <v>3524</v>
      </c>
      <c r="M264" s="97" t="s">
        <v>622</v>
      </c>
      <c r="N264" s="97" t="s">
        <v>4365</v>
      </c>
      <c r="O264" s="97" t="s">
        <v>4366</v>
      </c>
      <c r="P264" s="97"/>
      <c r="Q264" s="97" t="s">
        <v>4362</v>
      </c>
    </row>
    <row r="265" spans="1:17">
      <c r="A265" s="96">
        <v>45586</v>
      </c>
      <c r="B265" s="96">
        <v>45586</v>
      </c>
      <c r="C265" s="97" t="s">
        <v>4889</v>
      </c>
      <c r="D265" s="96"/>
      <c r="E265" s="97"/>
      <c r="F265" s="97" t="s">
        <v>4890</v>
      </c>
      <c r="G265" s="97" t="s">
        <v>4890</v>
      </c>
      <c r="H265" s="97" t="s">
        <v>387</v>
      </c>
      <c r="I265" s="97" t="s">
        <v>62</v>
      </c>
      <c r="J265" s="98">
        <v>906328</v>
      </c>
      <c r="K265" s="98">
        <v>0</v>
      </c>
      <c r="L265" s="97" t="s">
        <v>3524</v>
      </c>
      <c r="M265" s="97" t="s">
        <v>622</v>
      </c>
      <c r="N265" s="97" t="s">
        <v>4365</v>
      </c>
      <c r="O265" s="97" t="s">
        <v>4366</v>
      </c>
      <c r="P265" s="97"/>
      <c r="Q265" s="97" t="s">
        <v>4362</v>
      </c>
    </row>
    <row r="266" spans="1:17">
      <c r="A266" s="96">
        <v>45586</v>
      </c>
      <c r="B266" s="96">
        <v>45586</v>
      </c>
      <c r="C266" s="97" t="s">
        <v>4891</v>
      </c>
      <c r="D266" s="96"/>
      <c r="E266" s="97"/>
      <c r="F266" s="97" t="s">
        <v>4892</v>
      </c>
      <c r="G266" s="97" t="s">
        <v>4892</v>
      </c>
      <c r="H266" s="97" t="s">
        <v>387</v>
      </c>
      <c r="I266" s="97" t="s">
        <v>62</v>
      </c>
      <c r="J266" s="98">
        <v>505200</v>
      </c>
      <c r="K266" s="98">
        <v>0</v>
      </c>
      <c r="L266" s="97" t="s">
        <v>3524</v>
      </c>
      <c r="M266" s="97" t="s">
        <v>622</v>
      </c>
      <c r="N266" s="97" t="s">
        <v>4365</v>
      </c>
      <c r="O266" s="97" t="s">
        <v>4366</v>
      </c>
      <c r="P266" s="97"/>
      <c r="Q266" s="97" t="s">
        <v>4362</v>
      </c>
    </row>
    <row r="267" spans="1:17">
      <c r="A267" s="96">
        <v>45591</v>
      </c>
      <c r="B267" s="96">
        <v>45591</v>
      </c>
      <c r="C267" s="97" t="s">
        <v>4893</v>
      </c>
      <c r="D267" s="96"/>
      <c r="E267" s="97"/>
      <c r="F267" s="97" t="s">
        <v>4894</v>
      </c>
      <c r="G267" s="97" t="s">
        <v>4894</v>
      </c>
      <c r="H267" s="97" t="s">
        <v>283</v>
      </c>
      <c r="I267" s="97" t="s">
        <v>125</v>
      </c>
      <c r="J267" s="98">
        <v>1652624</v>
      </c>
      <c r="K267" s="98">
        <v>0</v>
      </c>
      <c r="L267" s="97" t="s">
        <v>4504</v>
      </c>
      <c r="M267" s="97" t="s">
        <v>4505</v>
      </c>
      <c r="N267" s="97" t="s">
        <v>4365</v>
      </c>
      <c r="O267" s="97" t="s">
        <v>4366</v>
      </c>
      <c r="P267" s="97"/>
      <c r="Q267" s="97" t="s">
        <v>4362</v>
      </c>
    </row>
    <row r="268" spans="1:17">
      <c r="A268" s="96">
        <v>45591</v>
      </c>
      <c r="B268" s="96">
        <v>45591</v>
      </c>
      <c r="C268" s="97" t="s">
        <v>4895</v>
      </c>
      <c r="D268" s="96"/>
      <c r="E268" s="97"/>
      <c r="F268" s="97" t="s">
        <v>4896</v>
      </c>
      <c r="G268" s="97" t="s">
        <v>4896</v>
      </c>
      <c r="H268" s="97" t="s">
        <v>387</v>
      </c>
      <c r="I268" s="97" t="s">
        <v>62</v>
      </c>
      <c r="J268" s="98">
        <v>222469</v>
      </c>
      <c r="K268" s="98">
        <v>0</v>
      </c>
      <c r="L268" s="97" t="s">
        <v>3524</v>
      </c>
      <c r="M268" s="97" t="s">
        <v>622</v>
      </c>
      <c r="N268" s="97" t="s">
        <v>4365</v>
      </c>
      <c r="O268" s="97" t="s">
        <v>4366</v>
      </c>
      <c r="P268" s="97" t="s">
        <v>4433</v>
      </c>
      <c r="Q268" s="97" t="s">
        <v>4362</v>
      </c>
    </row>
    <row r="269" spans="1:17">
      <c r="A269" s="96">
        <v>45593</v>
      </c>
      <c r="B269" s="96">
        <v>45593</v>
      </c>
      <c r="C269" s="97" t="s">
        <v>4897</v>
      </c>
      <c r="D269" s="96"/>
      <c r="E269" s="97"/>
      <c r="F269" s="97" t="s">
        <v>4898</v>
      </c>
      <c r="G269" s="97" t="s">
        <v>4898</v>
      </c>
      <c r="H269" s="97" t="s">
        <v>283</v>
      </c>
      <c r="I269" s="97" t="s">
        <v>125</v>
      </c>
      <c r="J269" s="98">
        <v>101700</v>
      </c>
      <c r="K269" s="98">
        <v>0</v>
      </c>
      <c r="L269" s="97" t="s">
        <v>4513</v>
      </c>
      <c r="M269" s="97" t="s">
        <v>4514</v>
      </c>
      <c r="N269" s="97" t="s">
        <v>4365</v>
      </c>
      <c r="O269" s="97" t="s">
        <v>4366</v>
      </c>
      <c r="P269" s="97" t="s">
        <v>4433</v>
      </c>
      <c r="Q269" s="97" t="s">
        <v>4362</v>
      </c>
    </row>
    <row r="270" spans="1:17">
      <c r="A270" s="96">
        <v>45596</v>
      </c>
      <c r="B270" s="96">
        <v>45596</v>
      </c>
      <c r="C270" s="97" t="s">
        <v>4899</v>
      </c>
      <c r="D270" s="96"/>
      <c r="E270" s="97"/>
      <c r="F270" s="97" t="s">
        <v>4900</v>
      </c>
      <c r="G270" s="97" t="s">
        <v>4900</v>
      </c>
      <c r="H270" s="97" t="s">
        <v>435</v>
      </c>
      <c r="I270" s="97" t="s">
        <v>132</v>
      </c>
      <c r="J270" s="98">
        <v>399798</v>
      </c>
      <c r="K270" s="98">
        <v>0</v>
      </c>
      <c r="L270" s="97"/>
      <c r="M270" s="97"/>
      <c r="N270" s="97" t="s">
        <v>4448</v>
      </c>
      <c r="O270" s="97" t="s">
        <v>4449</v>
      </c>
      <c r="P270" s="97" t="s">
        <v>3524</v>
      </c>
      <c r="Q270" s="97" t="s">
        <v>4362</v>
      </c>
    </row>
    <row r="271" spans="1:17">
      <c r="A271" s="96">
        <v>45597</v>
      </c>
      <c r="B271" s="96">
        <v>45597</v>
      </c>
      <c r="C271" s="97" t="s">
        <v>4901</v>
      </c>
      <c r="D271" s="96"/>
      <c r="E271" s="97"/>
      <c r="F271" s="97" t="s">
        <v>4579</v>
      </c>
      <c r="G271" s="97" t="s">
        <v>4579</v>
      </c>
      <c r="H271" s="97" t="s">
        <v>387</v>
      </c>
      <c r="I271" s="97" t="s">
        <v>62</v>
      </c>
      <c r="J271" s="98">
        <v>768461</v>
      </c>
      <c r="K271" s="98">
        <v>0</v>
      </c>
      <c r="L271" s="97" t="s">
        <v>3524</v>
      </c>
      <c r="M271" s="97" t="s">
        <v>622</v>
      </c>
      <c r="N271" s="97" t="s">
        <v>4365</v>
      </c>
      <c r="O271" s="97" t="s">
        <v>4366</v>
      </c>
      <c r="P271" s="97"/>
      <c r="Q271" s="97" t="s">
        <v>4362</v>
      </c>
    </row>
    <row r="272" spans="1:17">
      <c r="A272" s="96">
        <v>45597</v>
      </c>
      <c r="B272" s="96">
        <v>45597</v>
      </c>
      <c r="C272" s="97" t="s">
        <v>4902</v>
      </c>
      <c r="D272" s="96"/>
      <c r="E272" s="97"/>
      <c r="F272" s="97" t="s">
        <v>4903</v>
      </c>
      <c r="G272" s="97" t="s">
        <v>4903</v>
      </c>
      <c r="H272" s="97" t="s">
        <v>387</v>
      </c>
      <c r="I272" s="97" t="s">
        <v>62</v>
      </c>
      <c r="J272" s="98">
        <v>3201582</v>
      </c>
      <c r="K272" s="98">
        <v>0</v>
      </c>
      <c r="L272" s="97" t="s">
        <v>3524</v>
      </c>
      <c r="M272" s="97" t="s">
        <v>622</v>
      </c>
      <c r="N272" s="97" t="s">
        <v>4365</v>
      </c>
      <c r="O272" s="97" t="s">
        <v>4366</v>
      </c>
      <c r="P272" s="97"/>
      <c r="Q272" s="97" t="s">
        <v>4362</v>
      </c>
    </row>
    <row r="273" spans="1:17">
      <c r="A273" s="96">
        <v>45597</v>
      </c>
      <c r="B273" s="96">
        <v>45597</v>
      </c>
      <c r="C273" s="97" t="s">
        <v>4904</v>
      </c>
      <c r="D273" s="96"/>
      <c r="E273" s="97"/>
      <c r="F273" s="97" t="s">
        <v>4905</v>
      </c>
      <c r="G273" s="97" t="s">
        <v>4905</v>
      </c>
      <c r="H273" s="97" t="s">
        <v>387</v>
      </c>
      <c r="I273" s="97" t="s">
        <v>62</v>
      </c>
      <c r="J273" s="98">
        <v>288173</v>
      </c>
      <c r="K273" s="98">
        <v>0</v>
      </c>
      <c r="L273" s="97" t="s">
        <v>3524</v>
      </c>
      <c r="M273" s="97" t="s">
        <v>622</v>
      </c>
      <c r="N273" s="97" t="s">
        <v>4365</v>
      </c>
      <c r="O273" s="97" t="s">
        <v>4366</v>
      </c>
      <c r="P273" s="97"/>
      <c r="Q273" s="97" t="s">
        <v>4362</v>
      </c>
    </row>
    <row r="274" spans="1:17">
      <c r="A274" s="96">
        <v>45598</v>
      </c>
      <c r="B274" s="96">
        <v>45598</v>
      </c>
      <c r="C274" s="97" t="s">
        <v>4906</v>
      </c>
      <c r="D274" s="96"/>
      <c r="E274" s="97"/>
      <c r="F274" s="97" t="s">
        <v>4907</v>
      </c>
      <c r="G274" s="97" t="s">
        <v>4907</v>
      </c>
      <c r="H274" s="97" t="s">
        <v>283</v>
      </c>
      <c r="I274" s="97" t="s">
        <v>125</v>
      </c>
      <c r="J274" s="98">
        <v>19564937</v>
      </c>
      <c r="K274" s="98">
        <v>0</v>
      </c>
      <c r="L274" s="97" t="s">
        <v>3518</v>
      </c>
      <c r="M274" s="97" t="s">
        <v>3519</v>
      </c>
      <c r="N274" s="97" t="s">
        <v>4365</v>
      </c>
      <c r="O274" s="97" t="s">
        <v>4366</v>
      </c>
      <c r="P274" s="97"/>
      <c r="Q274" s="97" t="s">
        <v>4362</v>
      </c>
    </row>
    <row r="275" spans="1:17">
      <c r="A275" s="96">
        <v>45598</v>
      </c>
      <c r="B275" s="96">
        <v>45598</v>
      </c>
      <c r="C275" s="97" t="s">
        <v>4908</v>
      </c>
      <c r="D275" s="96"/>
      <c r="E275" s="97"/>
      <c r="F275" s="97" t="s">
        <v>4907</v>
      </c>
      <c r="G275" s="97" t="s">
        <v>4907</v>
      </c>
      <c r="H275" s="97" t="s">
        <v>283</v>
      </c>
      <c r="I275" s="97" t="s">
        <v>125</v>
      </c>
      <c r="J275" s="98">
        <v>21904171</v>
      </c>
      <c r="K275" s="98">
        <v>0</v>
      </c>
      <c r="L275" s="97" t="s">
        <v>3518</v>
      </c>
      <c r="M275" s="97" t="s">
        <v>3519</v>
      </c>
      <c r="N275" s="97" t="s">
        <v>4365</v>
      </c>
      <c r="O275" s="97" t="s">
        <v>4366</v>
      </c>
      <c r="P275" s="97"/>
      <c r="Q275" s="97" t="s">
        <v>4362</v>
      </c>
    </row>
    <row r="276" spans="1:17">
      <c r="A276" s="96">
        <v>45598</v>
      </c>
      <c r="B276" s="96">
        <v>45598</v>
      </c>
      <c r="C276" s="97" t="s">
        <v>4909</v>
      </c>
      <c r="D276" s="96"/>
      <c r="E276" s="97"/>
      <c r="F276" s="97" t="s">
        <v>4910</v>
      </c>
      <c r="G276" s="97" t="s">
        <v>4910</v>
      </c>
      <c r="H276" s="97" t="s">
        <v>283</v>
      </c>
      <c r="I276" s="97" t="s">
        <v>62</v>
      </c>
      <c r="J276" s="98">
        <v>4590047</v>
      </c>
      <c r="K276" s="98">
        <v>0</v>
      </c>
      <c r="L276" s="97" t="s">
        <v>3524</v>
      </c>
      <c r="M276" s="97" t="s">
        <v>622</v>
      </c>
      <c r="N276" s="97" t="s">
        <v>4365</v>
      </c>
      <c r="O276" s="97" t="s">
        <v>4366</v>
      </c>
      <c r="P276" s="97"/>
      <c r="Q276" s="97" t="s">
        <v>4362</v>
      </c>
    </row>
    <row r="277" spans="1:17">
      <c r="A277" s="96">
        <v>45601</v>
      </c>
      <c r="B277" s="96">
        <v>45601</v>
      </c>
      <c r="C277" s="97" t="s">
        <v>4911</v>
      </c>
      <c r="D277" s="96"/>
      <c r="E277" s="97"/>
      <c r="F277" s="97" t="s">
        <v>4912</v>
      </c>
      <c r="G277" s="97" t="s">
        <v>4912</v>
      </c>
      <c r="H277" s="97" t="s">
        <v>283</v>
      </c>
      <c r="I277" s="97" t="s">
        <v>62</v>
      </c>
      <c r="J277" s="98">
        <v>4555964</v>
      </c>
      <c r="K277" s="98">
        <v>0</v>
      </c>
      <c r="L277" s="97" t="s">
        <v>3524</v>
      </c>
      <c r="M277" s="97" t="s">
        <v>622</v>
      </c>
      <c r="N277" s="97" t="s">
        <v>4365</v>
      </c>
      <c r="O277" s="97" t="s">
        <v>4366</v>
      </c>
      <c r="P277" s="97"/>
      <c r="Q277" s="97" t="s">
        <v>4362</v>
      </c>
    </row>
    <row r="278" spans="1:17">
      <c r="A278" s="96">
        <v>45601</v>
      </c>
      <c r="B278" s="96">
        <v>45601</v>
      </c>
      <c r="C278" s="97" t="s">
        <v>4913</v>
      </c>
      <c r="D278" s="96"/>
      <c r="E278" s="97"/>
      <c r="F278" s="97" t="s">
        <v>4914</v>
      </c>
      <c r="G278" s="97" t="s">
        <v>4914</v>
      </c>
      <c r="H278" s="97" t="s">
        <v>387</v>
      </c>
      <c r="I278" s="97" t="s">
        <v>125</v>
      </c>
      <c r="J278" s="98">
        <v>2000674</v>
      </c>
      <c r="K278" s="98">
        <v>0</v>
      </c>
      <c r="L278" s="97" t="s">
        <v>4810</v>
      </c>
      <c r="M278" s="97" t="s">
        <v>4810</v>
      </c>
      <c r="N278" s="97" t="s">
        <v>4365</v>
      </c>
      <c r="O278" s="97" t="s">
        <v>4366</v>
      </c>
      <c r="P278" s="97" t="s">
        <v>4433</v>
      </c>
      <c r="Q278" s="97" t="s">
        <v>4362</v>
      </c>
    </row>
    <row r="279" spans="1:17">
      <c r="A279" s="96">
        <v>45602</v>
      </c>
      <c r="B279" s="96">
        <v>45602</v>
      </c>
      <c r="C279" s="97" t="s">
        <v>4915</v>
      </c>
      <c r="D279" s="96"/>
      <c r="E279" s="97"/>
      <c r="F279" s="97" t="s">
        <v>4916</v>
      </c>
      <c r="G279" s="97" t="s">
        <v>4916</v>
      </c>
      <c r="H279" s="97" t="s">
        <v>283</v>
      </c>
      <c r="I279" s="97" t="s">
        <v>62</v>
      </c>
      <c r="J279" s="98">
        <v>885108</v>
      </c>
      <c r="K279" s="98">
        <v>0</v>
      </c>
      <c r="L279" s="97" t="s">
        <v>3524</v>
      </c>
      <c r="M279" s="97" t="s">
        <v>622</v>
      </c>
      <c r="N279" s="97" t="s">
        <v>4365</v>
      </c>
      <c r="O279" s="97" t="s">
        <v>4366</v>
      </c>
      <c r="P279" s="97"/>
      <c r="Q279" s="97" t="s">
        <v>4362</v>
      </c>
    </row>
    <row r="280" spans="1:17">
      <c r="A280" s="96">
        <v>45602</v>
      </c>
      <c r="B280" s="96">
        <v>45602</v>
      </c>
      <c r="C280" s="97" t="s">
        <v>4917</v>
      </c>
      <c r="D280" s="96"/>
      <c r="E280" s="97"/>
      <c r="F280" s="97" t="s">
        <v>4918</v>
      </c>
      <c r="G280" s="97" t="s">
        <v>4918</v>
      </c>
      <c r="H280" s="97" t="s">
        <v>387</v>
      </c>
      <c r="I280" s="97" t="s">
        <v>62</v>
      </c>
      <c r="J280" s="98">
        <v>1785089</v>
      </c>
      <c r="K280" s="98">
        <v>0</v>
      </c>
      <c r="L280" s="97" t="s">
        <v>3524</v>
      </c>
      <c r="M280" s="97" t="s">
        <v>622</v>
      </c>
      <c r="N280" s="97" t="s">
        <v>4365</v>
      </c>
      <c r="O280" s="97" t="s">
        <v>4366</v>
      </c>
      <c r="P280" s="97"/>
      <c r="Q280" s="97" t="s">
        <v>4362</v>
      </c>
    </row>
    <row r="281" spans="1:17">
      <c r="A281" s="96">
        <v>45603</v>
      </c>
      <c r="B281" s="96">
        <v>45603</v>
      </c>
      <c r="C281" s="97" t="s">
        <v>4919</v>
      </c>
      <c r="D281" s="96"/>
      <c r="E281" s="97"/>
      <c r="F281" s="97" t="s">
        <v>4920</v>
      </c>
      <c r="G281" s="97" t="s">
        <v>4920</v>
      </c>
      <c r="H281" s="97" t="s">
        <v>387</v>
      </c>
      <c r="I281" s="97" t="s">
        <v>62</v>
      </c>
      <c r="J281" s="98">
        <v>508200</v>
      </c>
      <c r="K281" s="98">
        <v>0</v>
      </c>
      <c r="L281" s="97" t="s">
        <v>3524</v>
      </c>
      <c r="M281" s="97" t="s">
        <v>622</v>
      </c>
      <c r="N281" s="97" t="s">
        <v>4365</v>
      </c>
      <c r="O281" s="97" t="s">
        <v>4366</v>
      </c>
      <c r="P281" s="97"/>
      <c r="Q281" s="97" t="s">
        <v>4362</v>
      </c>
    </row>
    <row r="282" spans="1:17">
      <c r="A282" s="96">
        <v>45604</v>
      </c>
      <c r="B282" s="96">
        <v>45604</v>
      </c>
      <c r="C282" s="97" t="s">
        <v>4921</v>
      </c>
      <c r="D282" s="96"/>
      <c r="E282" s="97"/>
      <c r="F282" s="97" t="s">
        <v>4922</v>
      </c>
      <c r="G282" s="97" t="s">
        <v>4922</v>
      </c>
      <c r="H282" s="97" t="s">
        <v>281</v>
      </c>
      <c r="I282" s="97" t="s">
        <v>125</v>
      </c>
      <c r="J282" s="98">
        <v>1473525</v>
      </c>
      <c r="K282" s="98">
        <v>0</v>
      </c>
      <c r="L282" s="97" t="s">
        <v>4480</v>
      </c>
      <c r="M282" s="97" t="s">
        <v>4481</v>
      </c>
      <c r="N282" s="97" t="s">
        <v>4365</v>
      </c>
      <c r="O282" s="97" t="s">
        <v>4366</v>
      </c>
      <c r="P282" s="97"/>
      <c r="Q282" s="97" t="s">
        <v>4362</v>
      </c>
    </row>
    <row r="283" spans="1:17">
      <c r="A283" s="96">
        <v>45604</v>
      </c>
      <c r="B283" s="96">
        <v>45604</v>
      </c>
      <c r="C283" s="97" t="s">
        <v>4923</v>
      </c>
      <c r="D283" s="96"/>
      <c r="E283" s="97"/>
      <c r="F283" s="97" t="s">
        <v>4924</v>
      </c>
      <c r="G283" s="97" t="s">
        <v>4924</v>
      </c>
      <c r="H283" s="97" t="s">
        <v>281</v>
      </c>
      <c r="I283" s="97" t="s">
        <v>125</v>
      </c>
      <c r="J283" s="98">
        <v>1473525</v>
      </c>
      <c r="K283" s="98">
        <v>0</v>
      </c>
      <c r="L283" s="97" t="s">
        <v>4480</v>
      </c>
      <c r="M283" s="97" t="s">
        <v>4481</v>
      </c>
      <c r="N283" s="97" t="s">
        <v>4365</v>
      </c>
      <c r="O283" s="97" t="s">
        <v>4366</v>
      </c>
      <c r="P283" s="97"/>
      <c r="Q283" s="97" t="s">
        <v>4362</v>
      </c>
    </row>
    <row r="284" spans="1:17">
      <c r="A284" s="96">
        <v>45604</v>
      </c>
      <c r="B284" s="96">
        <v>45604</v>
      </c>
      <c r="C284" s="97" t="s">
        <v>4925</v>
      </c>
      <c r="D284" s="96"/>
      <c r="E284" s="97"/>
      <c r="F284" s="97" t="s">
        <v>4926</v>
      </c>
      <c r="G284" s="97" t="s">
        <v>4926</v>
      </c>
      <c r="H284" s="97" t="s">
        <v>387</v>
      </c>
      <c r="I284" s="97" t="s">
        <v>62</v>
      </c>
      <c r="J284" s="98">
        <v>2287407</v>
      </c>
      <c r="K284" s="98">
        <v>0</v>
      </c>
      <c r="L284" s="97" t="s">
        <v>3524</v>
      </c>
      <c r="M284" s="97" t="s">
        <v>622</v>
      </c>
      <c r="N284" s="97" t="s">
        <v>4365</v>
      </c>
      <c r="O284" s="97" t="s">
        <v>4366</v>
      </c>
      <c r="P284" s="97"/>
      <c r="Q284" s="97" t="s">
        <v>4362</v>
      </c>
    </row>
    <row r="285" spans="1:17">
      <c r="A285" s="96">
        <v>45605</v>
      </c>
      <c r="B285" s="96">
        <v>45605</v>
      </c>
      <c r="C285" s="97" t="s">
        <v>4927</v>
      </c>
      <c r="D285" s="96"/>
      <c r="E285" s="97"/>
      <c r="F285" s="97" t="s">
        <v>4928</v>
      </c>
      <c r="G285" s="97" t="s">
        <v>4928</v>
      </c>
      <c r="H285" s="97" t="s">
        <v>281</v>
      </c>
      <c r="I285" s="97" t="s">
        <v>125</v>
      </c>
      <c r="J285" s="98">
        <v>1473525</v>
      </c>
      <c r="K285" s="98">
        <v>0</v>
      </c>
      <c r="L285" s="97" t="s">
        <v>4480</v>
      </c>
      <c r="M285" s="97" t="s">
        <v>4481</v>
      </c>
      <c r="N285" s="97" t="s">
        <v>4365</v>
      </c>
      <c r="O285" s="97" t="s">
        <v>4366</v>
      </c>
      <c r="P285" s="97"/>
      <c r="Q285" s="97" t="s">
        <v>4362</v>
      </c>
    </row>
    <row r="286" spans="1:17">
      <c r="A286" s="96">
        <v>45605</v>
      </c>
      <c r="B286" s="96">
        <v>45605</v>
      </c>
      <c r="C286" s="97" t="s">
        <v>4929</v>
      </c>
      <c r="D286" s="96"/>
      <c r="E286" s="97"/>
      <c r="F286" s="97" t="s">
        <v>4930</v>
      </c>
      <c r="G286" s="97" t="s">
        <v>4930</v>
      </c>
      <c r="H286" s="97" t="s">
        <v>387</v>
      </c>
      <c r="I286" s="97" t="s">
        <v>62</v>
      </c>
      <c r="J286" s="98">
        <v>889350</v>
      </c>
      <c r="K286" s="98">
        <v>0</v>
      </c>
      <c r="L286" s="97" t="s">
        <v>3524</v>
      </c>
      <c r="M286" s="97" t="s">
        <v>622</v>
      </c>
      <c r="N286" s="97" t="s">
        <v>4365</v>
      </c>
      <c r="O286" s="97" t="s">
        <v>4366</v>
      </c>
      <c r="P286" s="97"/>
      <c r="Q286" s="97" t="s">
        <v>4362</v>
      </c>
    </row>
    <row r="287" spans="1:17">
      <c r="A287" s="96">
        <v>45605</v>
      </c>
      <c r="B287" s="96">
        <v>45605</v>
      </c>
      <c r="C287" s="97" t="s">
        <v>4931</v>
      </c>
      <c r="D287" s="96"/>
      <c r="E287" s="97"/>
      <c r="F287" s="97" t="s">
        <v>4932</v>
      </c>
      <c r="G287" s="97" t="s">
        <v>4932</v>
      </c>
      <c r="H287" s="97" t="s">
        <v>283</v>
      </c>
      <c r="I287" s="97" t="s">
        <v>125</v>
      </c>
      <c r="J287" s="98">
        <v>2413949</v>
      </c>
      <c r="K287" s="98">
        <v>0</v>
      </c>
      <c r="L287" s="97" t="s">
        <v>4513</v>
      </c>
      <c r="M287" s="97" t="s">
        <v>4514</v>
      </c>
      <c r="N287" s="97" t="s">
        <v>4365</v>
      </c>
      <c r="O287" s="97" t="s">
        <v>4366</v>
      </c>
      <c r="P287" s="97" t="s">
        <v>4433</v>
      </c>
      <c r="Q287" s="97" t="s">
        <v>4362</v>
      </c>
    </row>
    <row r="288" spans="1:17">
      <c r="A288" s="96">
        <v>45608</v>
      </c>
      <c r="B288" s="96">
        <v>45608</v>
      </c>
      <c r="C288" s="97" t="s">
        <v>4933</v>
      </c>
      <c r="D288" s="96"/>
      <c r="E288" s="97"/>
      <c r="F288" s="97" t="s">
        <v>4934</v>
      </c>
      <c r="G288" s="97" t="s">
        <v>4934</v>
      </c>
      <c r="H288" s="97" t="s">
        <v>387</v>
      </c>
      <c r="I288" s="97" t="s">
        <v>62</v>
      </c>
      <c r="J288" s="98">
        <v>2506183</v>
      </c>
      <c r="K288" s="98">
        <v>0</v>
      </c>
      <c r="L288" s="97" t="s">
        <v>3524</v>
      </c>
      <c r="M288" s="97" t="s">
        <v>622</v>
      </c>
      <c r="N288" s="97" t="s">
        <v>4365</v>
      </c>
      <c r="O288" s="97" t="s">
        <v>4366</v>
      </c>
      <c r="P288" s="97"/>
      <c r="Q288" s="97" t="s">
        <v>4362</v>
      </c>
    </row>
    <row r="289" spans="1:17">
      <c r="A289" s="96">
        <v>45614</v>
      </c>
      <c r="B289" s="96">
        <v>45614</v>
      </c>
      <c r="C289" s="97" t="s">
        <v>4935</v>
      </c>
      <c r="D289" s="96"/>
      <c r="E289" s="97"/>
      <c r="F289" s="97" t="s">
        <v>4936</v>
      </c>
      <c r="G289" s="97" t="s">
        <v>4936</v>
      </c>
      <c r="H289" s="97" t="s">
        <v>387</v>
      </c>
      <c r="I289" s="97" t="s">
        <v>62</v>
      </c>
      <c r="J289" s="98">
        <v>1289559</v>
      </c>
      <c r="K289" s="98">
        <v>0</v>
      </c>
      <c r="L289" s="97" t="s">
        <v>3524</v>
      </c>
      <c r="M289" s="97" t="s">
        <v>622</v>
      </c>
      <c r="N289" s="97" t="s">
        <v>4365</v>
      </c>
      <c r="O289" s="97" t="s">
        <v>4366</v>
      </c>
      <c r="P289" s="97"/>
      <c r="Q289" s="97" t="s">
        <v>4362</v>
      </c>
    </row>
    <row r="290" spans="1:17">
      <c r="A290" s="96">
        <v>45614</v>
      </c>
      <c r="B290" s="96">
        <v>45614</v>
      </c>
      <c r="C290" s="97" t="s">
        <v>4937</v>
      </c>
      <c r="D290" s="96"/>
      <c r="E290" s="97"/>
      <c r="F290" s="97" t="s">
        <v>4938</v>
      </c>
      <c r="G290" s="97" t="s">
        <v>4938</v>
      </c>
      <c r="H290" s="97" t="s">
        <v>387</v>
      </c>
      <c r="I290" s="97" t="s">
        <v>62</v>
      </c>
      <c r="J290" s="98">
        <v>508100</v>
      </c>
      <c r="K290" s="98">
        <v>0</v>
      </c>
      <c r="L290" s="97" t="s">
        <v>3524</v>
      </c>
      <c r="M290" s="97" t="s">
        <v>622</v>
      </c>
      <c r="N290" s="97" t="s">
        <v>4365</v>
      </c>
      <c r="O290" s="97" t="s">
        <v>4366</v>
      </c>
      <c r="P290" s="97"/>
      <c r="Q290" s="97" t="s">
        <v>4362</v>
      </c>
    </row>
    <row r="291" spans="1:17">
      <c r="A291" s="96">
        <v>45617</v>
      </c>
      <c r="B291" s="96">
        <v>45617</v>
      </c>
      <c r="C291" s="97" t="s">
        <v>4939</v>
      </c>
      <c r="D291" s="96"/>
      <c r="E291" s="97"/>
      <c r="F291" s="97" t="s">
        <v>4940</v>
      </c>
      <c r="G291" s="97" t="s">
        <v>4940</v>
      </c>
      <c r="H291" s="97" t="s">
        <v>387</v>
      </c>
      <c r="I291" s="97" t="s">
        <v>62</v>
      </c>
      <c r="J291" s="98">
        <v>508700</v>
      </c>
      <c r="K291" s="98">
        <v>0</v>
      </c>
      <c r="L291" s="97" t="s">
        <v>3524</v>
      </c>
      <c r="M291" s="97" t="s">
        <v>622</v>
      </c>
      <c r="N291" s="97" t="s">
        <v>4365</v>
      </c>
      <c r="O291" s="97" t="s">
        <v>4366</v>
      </c>
      <c r="P291" s="97"/>
      <c r="Q291" s="97" t="s">
        <v>4362</v>
      </c>
    </row>
    <row r="292" spans="1:17">
      <c r="A292" s="96">
        <v>45617</v>
      </c>
      <c r="B292" s="96">
        <v>45617</v>
      </c>
      <c r="C292" s="97" t="s">
        <v>4941</v>
      </c>
      <c r="D292" s="96"/>
      <c r="E292" s="97"/>
      <c r="F292" s="97" t="s">
        <v>4942</v>
      </c>
      <c r="G292" s="97" t="s">
        <v>4942</v>
      </c>
      <c r="H292" s="97" t="s">
        <v>422</v>
      </c>
      <c r="I292" s="97" t="s">
        <v>125</v>
      </c>
      <c r="J292" s="98">
        <v>9500000</v>
      </c>
      <c r="K292" s="98">
        <v>0</v>
      </c>
      <c r="L292" s="97" t="s">
        <v>4943</v>
      </c>
      <c r="M292" s="97" t="s">
        <v>4944</v>
      </c>
      <c r="N292" s="97" t="s">
        <v>4365</v>
      </c>
      <c r="O292" s="97" t="s">
        <v>4366</v>
      </c>
      <c r="P292" s="97"/>
      <c r="Q292" s="97" t="s">
        <v>4362</v>
      </c>
    </row>
    <row r="293" spans="1:17">
      <c r="A293" s="96">
        <v>45617</v>
      </c>
      <c r="B293" s="96">
        <v>45617</v>
      </c>
      <c r="C293" s="97" t="s">
        <v>4945</v>
      </c>
      <c r="D293" s="96"/>
      <c r="E293" s="97"/>
      <c r="F293" s="97" t="s">
        <v>4946</v>
      </c>
      <c r="G293" s="97" t="s">
        <v>4946</v>
      </c>
      <c r="H293" s="97" t="s">
        <v>422</v>
      </c>
      <c r="I293" s="97" t="s">
        <v>125</v>
      </c>
      <c r="J293" s="98">
        <v>4272727</v>
      </c>
      <c r="K293" s="98">
        <v>0</v>
      </c>
      <c r="L293" s="97" t="s">
        <v>4947</v>
      </c>
      <c r="M293" s="97" t="s">
        <v>4948</v>
      </c>
      <c r="N293" s="97" t="s">
        <v>4365</v>
      </c>
      <c r="O293" s="97" t="s">
        <v>4366</v>
      </c>
      <c r="P293" s="97"/>
      <c r="Q293" s="97" t="s">
        <v>4362</v>
      </c>
    </row>
    <row r="294" spans="1:17">
      <c r="A294" s="96">
        <v>45622</v>
      </c>
      <c r="B294" s="96">
        <v>45622</v>
      </c>
      <c r="C294" s="97" t="s">
        <v>4949</v>
      </c>
      <c r="D294" s="96"/>
      <c r="E294" s="97"/>
      <c r="F294" s="97" t="s">
        <v>4950</v>
      </c>
      <c r="G294" s="97" t="s">
        <v>4950</v>
      </c>
      <c r="H294" s="97" t="s">
        <v>283</v>
      </c>
      <c r="I294" s="97" t="s">
        <v>125</v>
      </c>
      <c r="J294" s="98">
        <v>1526100</v>
      </c>
      <c r="K294" s="98">
        <v>0</v>
      </c>
      <c r="L294" s="97" t="s">
        <v>4504</v>
      </c>
      <c r="M294" s="97" t="s">
        <v>4505</v>
      </c>
      <c r="N294" s="97" t="s">
        <v>4365</v>
      </c>
      <c r="O294" s="97" t="s">
        <v>4366</v>
      </c>
      <c r="P294" s="97"/>
      <c r="Q294" s="97" t="s">
        <v>4362</v>
      </c>
    </row>
    <row r="295" spans="1:17">
      <c r="A295" s="96">
        <v>45622</v>
      </c>
      <c r="B295" s="96">
        <v>45622</v>
      </c>
      <c r="C295" s="97" t="s">
        <v>4951</v>
      </c>
      <c r="D295" s="96"/>
      <c r="E295" s="97"/>
      <c r="F295" s="97" t="s">
        <v>4952</v>
      </c>
      <c r="G295" s="97" t="s">
        <v>4952</v>
      </c>
      <c r="H295" s="97" t="s">
        <v>387</v>
      </c>
      <c r="I295" s="97" t="s">
        <v>62</v>
      </c>
      <c r="J295" s="98">
        <v>222556</v>
      </c>
      <c r="K295" s="98">
        <v>0</v>
      </c>
      <c r="L295" s="97" t="s">
        <v>3524</v>
      </c>
      <c r="M295" s="97" t="s">
        <v>622</v>
      </c>
      <c r="N295" s="97" t="s">
        <v>4365</v>
      </c>
      <c r="O295" s="97" t="s">
        <v>4366</v>
      </c>
      <c r="P295" s="97" t="s">
        <v>4433</v>
      </c>
      <c r="Q295" s="97" t="s">
        <v>4362</v>
      </c>
    </row>
    <row r="296" spans="1:17">
      <c r="A296" s="96">
        <v>45624</v>
      </c>
      <c r="B296" s="96">
        <v>45624</v>
      </c>
      <c r="C296" s="97" t="s">
        <v>4953</v>
      </c>
      <c r="D296" s="96"/>
      <c r="E296" s="97"/>
      <c r="F296" s="97" t="s">
        <v>4954</v>
      </c>
      <c r="G296" s="97" t="s">
        <v>4954</v>
      </c>
      <c r="H296" s="97" t="s">
        <v>283</v>
      </c>
      <c r="I296" s="97" t="s">
        <v>125</v>
      </c>
      <c r="J296" s="98">
        <v>101720</v>
      </c>
      <c r="K296" s="98">
        <v>0</v>
      </c>
      <c r="L296" s="97" t="s">
        <v>4513</v>
      </c>
      <c r="M296" s="97" t="s">
        <v>4514</v>
      </c>
      <c r="N296" s="97" t="s">
        <v>4365</v>
      </c>
      <c r="O296" s="97" t="s">
        <v>4366</v>
      </c>
      <c r="P296" s="97" t="s">
        <v>4433</v>
      </c>
      <c r="Q296" s="97" t="s">
        <v>4362</v>
      </c>
    </row>
    <row r="297" spans="1:17">
      <c r="A297" s="96">
        <v>45626</v>
      </c>
      <c r="B297" s="96">
        <v>45626</v>
      </c>
      <c r="C297" s="97" t="s">
        <v>4955</v>
      </c>
      <c r="D297" s="96"/>
      <c r="E297" s="97"/>
      <c r="F297" s="97" t="s">
        <v>4956</v>
      </c>
      <c r="G297" s="97" t="s">
        <v>4956</v>
      </c>
      <c r="H297" s="97" t="s">
        <v>387</v>
      </c>
      <c r="I297" s="97" t="s">
        <v>62</v>
      </c>
      <c r="J297" s="98">
        <v>7318077</v>
      </c>
      <c r="K297" s="98">
        <v>0</v>
      </c>
      <c r="L297" s="97" t="s">
        <v>3532</v>
      </c>
      <c r="M297" s="97" t="s">
        <v>3532</v>
      </c>
      <c r="N297" s="97" t="s">
        <v>4365</v>
      </c>
      <c r="O297" s="97" t="s">
        <v>4366</v>
      </c>
      <c r="P297" s="97"/>
      <c r="Q297" s="97" t="s">
        <v>4362</v>
      </c>
    </row>
    <row r="298" spans="1:17">
      <c r="A298" s="96">
        <v>45628</v>
      </c>
      <c r="B298" s="96">
        <v>45628</v>
      </c>
      <c r="C298" s="97" t="s">
        <v>4957</v>
      </c>
      <c r="D298" s="96"/>
      <c r="E298" s="97"/>
      <c r="F298" s="97" t="s">
        <v>4579</v>
      </c>
      <c r="G298" s="97" t="s">
        <v>4579</v>
      </c>
      <c r="H298" s="97" t="s">
        <v>387</v>
      </c>
      <c r="I298" s="97" t="s">
        <v>62</v>
      </c>
      <c r="J298" s="98">
        <v>770431</v>
      </c>
      <c r="K298" s="98">
        <v>0</v>
      </c>
      <c r="L298" s="97" t="s">
        <v>3524</v>
      </c>
      <c r="M298" s="97" t="s">
        <v>622</v>
      </c>
      <c r="N298" s="97" t="s">
        <v>4365</v>
      </c>
      <c r="O298" s="97" t="s">
        <v>4366</v>
      </c>
      <c r="P298" s="97"/>
      <c r="Q298" s="97" t="s">
        <v>4362</v>
      </c>
    </row>
    <row r="299" spans="1:17">
      <c r="A299" s="96">
        <v>45628</v>
      </c>
      <c r="B299" s="96">
        <v>45628</v>
      </c>
      <c r="C299" s="97" t="s">
        <v>4958</v>
      </c>
      <c r="D299" s="96"/>
      <c r="E299" s="97"/>
      <c r="F299" s="97" t="s">
        <v>4959</v>
      </c>
      <c r="G299" s="97" t="s">
        <v>4959</v>
      </c>
      <c r="H299" s="97" t="s">
        <v>387</v>
      </c>
      <c r="I299" s="97" t="s">
        <v>125</v>
      </c>
      <c r="J299" s="98">
        <v>3209790</v>
      </c>
      <c r="K299" s="98">
        <v>0</v>
      </c>
      <c r="L299" s="97" t="s">
        <v>3738</v>
      </c>
      <c r="M299" s="97" t="s">
        <v>4369</v>
      </c>
      <c r="N299" s="97" t="s">
        <v>4365</v>
      </c>
      <c r="O299" s="97" t="s">
        <v>4366</v>
      </c>
      <c r="P299" s="97"/>
      <c r="Q299" s="97" t="s">
        <v>4362</v>
      </c>
    </row>
    <row r="300" spans="1:17">
      <c r="A300" s="96">
        <v>45628</v>
      </c>
      <c r="B300" s="96">
        <v>45628</v>
      </c>
      <c r="C300" s="97" t="s">
        <v>4960</v>
      </c>
      <c r="D300" s="96"/>
      <c r="E300" s="97"/>
      <c r="F300" s="97" t="s">
        <v>4961</v>
      </c>
      <c r="G300" s="97" t="s">
        <v>4961</v>
      </c>
      <c r="H300" s="97" t="s">
        <v>283</v>
      </c>
      <c r="I300" s="97" t="s">
        <v>125</v>
      </c>
      <c r="J300" s="98">
        <v>21642959</v>
      </c>
      <c r="K300" s="98">
        <v>0</v>
      </c>
      <c r="L300" s="97" t="s">
        <v>3518</v>
      </c>
      <c r="M300" s="97" t="s">
        <v>3519</v>
      </c>
      <c r="N300" s="97" t="s">
        <v>4365</v>
      </c>
      <c r="O300" s="97" t="s">
        <v>4366</v>
      </c>
      <c r="P300" s="97"/>
      <c r="Q300" s="97" t="s">
        <v>4362</v>
      </c>
    </row>
    <row r="301" spans="1:17">
      <c r="A301" s="96">
        <v>45628</v>
      </c>
      <c r="B301" s="96">
        <v>45628</v>
      </c>
      <c r="C301" s="97" t="s">
        <v>4962</v>
      </c>
      <c r="D301" s="96"/>
      <c r="E301" s="97"/>
      <c r="F301" s="97" t="s">
        <v>4963</v>
      </c>
      <c r="G301" s="97" t="s">
        <v>4963</v>
      </c>
      <c r="H301" s="97" t="s">
        <v>283</v>
      </c>
      <c r="I301" s="97" t="s">
        <v>125</v>
      </c>
      <c r="J301" s="98">
        <v>19716940</v>
      </c>
      <c r="K301" s="98">
        <v>0</v>
      </c>
      <c r="L301" s="97" t="s">
        <v>3518</v>
      </c>
      <c r="M301" s="97" t="s">
        <v>3519</v>
      </c>
      <c r="N301" s="97" t="s">
        <v>4365</v>
      </c>
      <c r="O301" s="97" t="s">
        <v>4366</v>
      </c>
      <c r="P301" s="97"/>
      <c r="Q301" s="97" t="s">
        <v>4362</v>
      </c>
    </row>
    <row r="302" spans="1:17">
      <c r="A302" s="96">
        <v>45628</v>
      </c>
      <c r="B302" s="96">
        <v>45628</v>
      </c>
      <c r="C302" s="97" t="s">
        <v>4964</v>
      </c>
      <c r="D302" s="96"/>
      <c r="E302" s="97"/>
      <c r="F302" s="97" t="s">
        <v>4965</v>
      </c>
      <c r="G302" s="97" t="s">
        <v>4965</v>
      </c>
      <c r="H302" s="97" t="s">
        <v>283</v>
      </c>
      <c r="I302" s="97" t="s">
        <v>125</v>
      </c>
      <c r="J302" s="98">
        <v>4452338</v>
      </c>
      <c r="K302" s="98">
        <v>0</v>
      </c>
      <c r="L302" s="97" t="s">
        <v>4966</v>
      </c>
      <c r="M302" s="97" t="s">
        <v>4967</v>
      </c>
      <c r="N302" s="97" t="s">
        <v>4365</v>
      </c>
      <c r="O302" s="97" t="s">
        <v>4366</v>
      </c>
      <c r="P302" s="97"/>
      <c r="Q302" s="97" t="s">
        <v>4362</v>
      </c>
    </row>
    <row r="303" spans="1:17">
      <c r="A303" s="96">
        <v>45628</v>
      </c>
      <c r="B303" s="96">
        <v>45628</v>
      </c>
      <c r="C303" s="97" t="s">
        <v>4968</v>
      </c>
      <c r="D303" s="96"/>
      <c r="E303" s="97"/>
      <c r="F303" s="97" t="s">
        <v>4969</v>
      </c>
      <c r="G303" s="97" t="s">
        <v>4969</v>
      </c>
      <c r="H303" s="97" t="s">
        <v>283</v>
      </c>
      <c r="I303" s="97" t="s">
        <v>125</v>
      </c>
      <c r="J303" s="98">
        <v>88173</v>
      </c>
      <c r="K303" s="98">
        <v>0</v>
      </c>
      <c r="L303" s="97" t="s">
        <v>4966</v>
      </c>
      <c r="M303" s="97" t="s">
        <v>4967</v>
      </c>
      <c r="N303" s="97" t="s">
        <v>4365</v>
      </c>
      <c r="O303" s="97" t="s">
        <v>4366</v>
      </c>
      <c r="P303" s="97"/>
      <c r="Q303" s="97" t="s">
        <v>4362</v>
      </c>
    </row>
    <row r="304" spans="1:17">
      <c r="A304" s="96">
        <v>45629</v>
      </c>
      <c r="B304" s="96">
        <v>45629</v>
      </c>
      <c r="C304" s="97" t="s">
        <v>4970</v>
      </c>
      <c r="D304" s="96"/>
      <c r="E304" s="97"/>
      <c r="F304" s="97" t="s">
        <v>4971</v>
      </c>
      <c r="G304" s="97" t="s">
        <v>4971</v>
      </c>
      <c r="H304" s="97" t="s">
        <v>283</v>
      </c>
      <c r="I304" s="97" t="s">
        <v>62</v>
      </c>
      <c r="J304" s="98">
        <v>1484629</v>
      </c>
      <c r="K304" s="98">
        <v>0</v>
      </c>
      <c r="L304" s="97" t="s">
        <v>3524</v>
      </c>
      <c r="M304" s="97" t="s">
        <v>622</v>
      </c>
      <c r="N304" s="97" t="s">
        <v>4365</v>
      </c>
      <c r="O304" s="97" t="s">
        <v>4366</v>
      </c>
      <c r="P304" s="97"/>
      <c r="Q304" s="97" t="s">
        <v>4362</v>
      </c>
    </row>
    <row r="305" spans="1:17">
      <c r="A305" s="96">
        <v>45631</v>
      </c>
      <c r="B305" s="96">
        <v>45631</v>
      </c>
      <c r="C305" s="97" t="s">
        <v>4972</v>
      </c>
      <c r="D305" s="96"/>
      <c r="E305" s="97"/>
      <c r="F305" s="97" t="s">
        <v>4973</v>
      </c>
      <c r="G305" s="97" t="s">
        <v>4973</v>
      </c>
      <c r="H305" s="97" t="s">
        <v>283</v>
      </c>
      <c r="I305" s="97" t="s">
        <v>125</v>
      </c>
      <c r="J305" s="98">
        <v>888255</v>
      </c>
      <c r="K305" s="98">
        <v>0</v>
      </c>
      <c r="L305" s="97" t="s">
        <v>4974</v>
      </c>
      <c r="M305" s="97" t="s">
        <v>4975</v>
      </c>
      <c r="N305" s="97" t="s">
        <v>4365</v>
      </c>
      <c r="O305" s="97" t="s">
        <v>4366</v>
      </c>
      <c r="P305" s="97"/>
      <c r="Q305" s="97" t="s">
        <v>4362</v>
      </c>
    </row>
    <row r="306" spans="1:17">
      <c r="A306" s="96">
        <v>45633</v>
      </c>
      <c r="B306" s="96">
        <v>45633</v>
      </c>
      <c r="C306" s="97" t="s">
        <v>4976</v>
      </c>
      <c r="D306" s="96"/>
      <c r="E306" s="97"/>
      <c r="F306" s="97" t="s">
        <v>4977</v>
      </c>
      <c r="G306" s="97" t="s">
        <v>4977</v>
      </c>
      <c r="H306" s="97" t="s">
        <v>387</v>
      </c>
      <c r="I306" s="97" t="s">
        <v>125</v>
      </c>
      <c r="J306" s="98">
        <v>508000</v>
      </c>
      <c r="K306" s="98">
        <v>0</v>
      </c>
      <c r="L306" s="97" t="s">
        <v>4978</v>
      </c>
      <c r="M306" s="97" t="s">
        <v>4979</v>
      </c>
      <c r="N306" s="97" t="s">
        <v>4365</v>
      </c>
      <c r="O306" s="97" t="s">
        <v>4366</v>
      </c>
      <c r="P306" s="97"/>
      <c r="Q306" s="97" t="s">
        <v>4362</v>
      </c>
    </row>
    <row r="307" spans="1:17">
      <c r="A307" s="96">
        <v>45635</v>
      </c>
      <c r="B307" s="96">
        <v>45635</v>
      </c>
      <c r="C307" s="97" t="s">
        <v>4980</v>
      </c>
      <c r="D307" s="96"/>
      <c r="E307" s="97"/>
      <c r="F307" s="97" t="s">
        <v>4981</v>
      </c>
      <c r="G307" s="97" t="s">
        <v>4981</v>
      </c>
      <c r="H307" s="97" t="s">
        <v>281</v>
      </c>
      <c r="I307" s="97" t="s">
        <v>125</v>
      </c>
      <c r="J307" s="98">
        <v>1472945</v>
      </c>
      <c r="K307" s="98">
        <v>0</v>
      </c>
      <c r="L307" s="97" t="s">
        <v>4480</v>
      </c>
      <c r="M307" s="97" t="s">
        <v>4481</v>
      </c>
      <c r="N307" s="97" t="s">
        <v>4365</v>
      </c>
      <c r="O307" s="97" t="s">
        <v>4366</v>
      </c>
      <c r="P307" s="97"/>
      <c r="Q307" s="97" t="s">
        <v>4362</v>
      </c>
    </row>
    <row r="308" spans="1:17">
      <c r="A308" s="96">
        <v>45635</v>
      </c>
      <c r="B308" s="96">
        <v>45635</v>
      </c>
      <c r="C308" s="97" t="s">
        <v>4982</v>
      </c>
      <c r="D308" s="96"/>
      <c r="E308" s="97"/>
      <c r="F308" s="97" t="s">
        <v>4983</v>
      </c>
      <c r="G308" s="97" t="s">
        <v>4983</v>
      </c>
      <c r="H308" s="97" t="s">
        <v>281</v>
      </c>
      <c r="I308" s="97" t="s">
        <v>125</v>
      </c>
      <c r="J308" s="98">
        <v>1472945</v>
      </c>
      <c r="K308" s="98">
        <v>0</v>
      </c>
      <c r="L308" s="97" t="s">
        <v>4480</v>
      </c>
      <c r="M308" s="97" t="s">
        <v>4481</v>
      </c>
      <c r="N308" s="97" t="s">
        <v>4365</v>
      </c>
      <c r="O308" s="97" t="s">
        <v>4366</v>
      </c>
      <c r="P308" s="97"/>
      <c r="Q308" s="97" t="s">
        <v>4362</v>
      </c>
    </row>
    <row r="309" spans="1:17">
      <c r="A309" s="96">
        <v>45635</v>
      </c>
      <c r="B309" s="96">
        <v>45635</v>
      </c>
      <c r="C309" s="97" t="s">
        <v>4984</v>
      </c>
      <c r="D309" s="96"/>
      <c r="E309" s="97"/>
      <c r="F309" s="97" t="s">
        <v>4985</v>
      </c>
      <c r="G309" s="97" t="s">
        <v>4985</v>
      </c>
      <c r="H309" s="97" t="s">
        <v>281</v>
      </c>
      <c r="I309" s="97" t="s">
        <v>125</v>
      </c>
      <c r="J309" s="98">
        <v>1472945</v>
      </c>
      <c r="K309" s="98">
        <v>0</v>
      </c>
      <c r="L309" s="97" t="s">
        <v>4480</v>
      </c>
      <c r="M309" s="97" t="s">
        <v>4481</v>
      </c>
      <c r="N309" s="97" t="s">
        <v>4365</v>
      </c>
      <c r="O309" s="97" t="s">
        <v>4366</v>
      </c>
      <c r="P309" s="97"/>
      <c r="Q309" s="97" t="s">
        <v>4362</v>
      </c>
    </row>
    <row r="310" spans="1:17">
      <c r="A310" s="96">
        <v>45635</v>
      </c>
      <c r="B310" s="96">
        <v>45635</v>
      </c>
      <c r="C310" s="97" t="s">
        <v>4986</v>
      </c>
      <c r="D310" s="96"/>
      <c r="E310" s="97"/>
      <c r="F310" s="97" t="s">
        <v>4987</v>
      </c>
      <c r="G310" s="97" t="s">
        <v>4987</v>
      </c>
      <c r="H310" s="97" t="s">
        <v>387</v>
      </c>
      <c r="I310" s="97" t="s">
        <v>125</v>
      </c>
      <c r="J310" s="98">
        <v>889000</v>
      </c>
      <c r="K310" s="98">
        <v>0</v>
      </c>
      <c r="L310" s="97" t="s">
        <v>4988</v>
      </c>
      <c r="M310" s="97" t="s">
        <v>4989</v>
      </c>
      <c r="N310" s="97" t="s">
        <v>4365</v>
      </c>
      <c r="O310" s="97" t="s">
        <v>4366</v>
      </c>
      <c r="P310" s="97"/>
      <c r="Q310" s="97" t="s">
        <v>4362</v>
      </c>
    </row>
    <row r="311" spans="1:17">
      <c r="A311" s="96">
        <v>45635</v>
      </c>
      <c r="B311" s="96">
        <v>45635</v>
      </c>
      <c r="C311" s="97" t="s">
        <v>4990</v>
      </c>
      <c r="D311" s="96"/>
      <c r="E311" s="97"/>
      <c r="F311" s="97" t="s">
        <v>4991</v>
      </c>
      <c r="G311" s="97" t="s">
        <v>4991</v>
      </c>
      <c r="H311" s="97" t="s">
        <v>283</v>
      </c>
      <c r="I311" s="97" t="s">
        <v>125</v>
      </c>
      <c r="J311" s="98">
        <v>2412999</v>
      </c>
      <c r="K311" s="98">
        <v>0</v>
      </c>
      <c r="L311" s="97" t="s">
        <v>4513</v>
      </c>
      <c r="M311" s="97" t="s">
        <v>4514</v>
      </c>
      <c r="N311" s="97" t="s">
        <v>4365</v>
      </c>
      <c r="O311" s="97" t="s">
        <v>4366</v>
      </c>
      <c r="P311" s="97" t="s">
        <v>4433</v>
      </c>
      <c r="Q311" s="97" t="s">
        <v>4362</v>
      </c>
    </row>
    <row r="312" spans="1:17">
      <c r="A312" s="96">
        <v>45644</v>
      </c>
      <c r="B312" s="96">
        <v>45644</v>
      </c>
      <c r="C312" s="97" t="s">
        <v>4992</v>
      </c>
      <c r="D312" s="96"/>
      <c r="E312" s="97"/>
      <c r="F312" s="97" t="s">
        <v>4993</v>
      </c>
      <c r="G312" s="97" t="s">
        <v>4993</v>
      </c>
      <c r="H312" s="97" t="s">
        <v>387</v>
      </c>
      <c r="I312" s="97" t="s">
        <v>125</v>
      </c>
      <c r="J312" s="98">
        <v>509000</v>
      </c>
      <c r="K312" s="98">
        <v>0</v>
      </c>
      <c r="L312" s="97" t="s">
        <v>4994</v>
      </c>
      <c r="M312" s="97" t="s">
        <v>4994</v>
      </c>
      <c r="N312" s="97" t="s">
        <v>4365</v>
      </c>
      <c r="O312" s="97" t="s">
        <v>4366</v>
      </c>
      <c r="P312" s="97"/>
      <c r="Q312" s="97" t="s">
        <v>4362</v>
      </c>
    </row>
    <row r="313" spans="1:17">
      <c r="A313" s="96">
        <v>45647</v>
      </c>
      <c r="B313" s="96">
        <v>45647</v>
      </c>
      <c r="C313" s="97" t="s">
        <v>4995</v>
      </c>
      <c r="D313" s="96"/>
      <c r="E313" s="97"/>
      <c r="F313" s="97" t="s">
        <v>4996</v>
      </c>
      <c r="G313" s="97" t="s">
        <v>4996</v>
      </c>
      <c r="H313" s="97" t="s">
        <v>387</v>
      </c>
      <c r="I313" s="97" t="s">
        <v>62</v>
      </c>
      <c r="J313" s="98">
        <v>509500</v>
      </c>
      <c r="K313" s="98">
        <v>0</v>
      </c>
      <c r="L313" s="97" t="s">
        <v>3524</v>
      </c>
      <c r="M313" s="97" t="s">
        <v>622</v>
      </c>
      <c r="N313" s="97" t="s">
        <v>4365</v>
      </c>
      <c r="O313" s="97" t="s">
        <v>4366</v>
      </c>
      <c r="P313" s="97"/>
      <c r="Q313" s="97" t="s">
        <v>4362</v>
      </c>
    </row>
    <row r="314" spans="1:17">
      <c r="A314" s="96">
        <v>45652</v>
      </c>
      <c r="B314" s="96">
        <v>45652</v>
      </c>
      <c r="C314" s="97" t="s">
        <v>4997</v>
      </c>
      <c r="D314" s="96"/>
      <c r="E314" s="97"/>
      <c r="F314" s="97" t="s">
        <v>4998</v>
      </c>
      <c r="G314" s="97" t="s">
        <v>4998</v>
      </c>
      <c r="H314" s="97" t="s">
        <v>283</v>
      </c>
      <c r="I314" s="97" t="s">
        <v>125</v>
      </c>
      <c r="J314" s="98">
        <v>1528199</v>
      </c>
      <c r="K314" s="98">
        <v>0</v>
      </c>
      <c r="L314" s="97" t="s">
        <v>4504</v>
      </c>
      <c r="M314" s="97" t="s">
        <v>4505</v>
      </c>
      <c r="N314" s="97" t="s">
        <v>4365</v>
      </c>
      <c r="O314" s="97" t="s">
        <v>4366</v>
      </c>
      <c r="P314" s="97"/>
      <c r="Q314" s="97" t="s">
        <v>4362</v>
      </c>
    </row>
    <row r="315" spans="1:17">
      <c r="A315" s="96">
        <v>45652</v>
      </c>
      <c r="B315" s="96">
        <v>45652</v>
      </c>
      <c r="C315" s="97" t="s">
        <v>4999</v>
      </c>
      <c r="D315" s="96"/>
      <c r="E315" s="97"/>
      <c r="F315" s="97" t="s">
        <v>5000</v>
      </c>
      <c r="G315" s="97" t="s">
        <v>5000</v>
      </c>
      <c r="H315" s="97" t="s">
        <v>387</v>
      </c>
      <c r="I315" s="97" t="s">
        <v>62</v>
      </c>
      <c r="J315" s="98">
        <v>222862</v>
      </c>
      <c r="K315" s="98">
        <v>0</v>
      </c>
      <c r="L315" s="97" t="s">
        <v>3524</v>
      </c>
      <c r="M315" s="97" t="s">
        <v>622</v>
      </c>
      <c r="N315" s="97" t="s">
        <v>4365</v>
      </c>
      <c r="O315" s="97" t="s">
        <v>4366</v>
      </c>
      <c r="P315" s="97" t="s">
        <v>4433</v>
      </c>
      <c r="Q315" s="97" t="s">
        <v>4362</v>
      </c>
    </row>
    <row r="316" spans="1:17">
      <c r="A316" s="96">
        <v>45654</v>
      </c>
      <c r="B316" s="96">
        <v>45654</v>
      </c>
      <c r="C316" s="97" t="s">
        <v>5001</v>
      </c>
      <c r="D316" s="96"/>
      <c r="E316" s="97"/>
      <c r="F316" s="97" t="s">
        <v>5002</v>
      </c>
      <c r="G316" s="97" t="s">
        <v>5002</v>
      </c>
      <c r="H316" s="97" t="s">
        <v>283</v>
      </c>
      <c r="I316" s="97" t="s">
        <v>125</v>
      </c>
      <c r="J316" s="98">
        <v>101820</v>
      </c>
      <c r="K316" s="98">
        <v>0</v>
      </c>
      <c r="L316" s="97" t="s">
        <v>4513</v>
      </c>
      <c r="M316" s="97" t="s">
        <v>4514</v>
      </c>
      <c r="N316" s="97" t="s">
        <v>4365</v>
      </c>
      <c r="O316" s="97" t="s">
        <v>4366</v>
      </c>
      <c r="P316" s="97" t="s">
        <v>4433</v>
      </c>
      <c r="Q316" s="97" t="s">
        <v>4362</v>
      </c>
    </row>
    <row r="317" spans="1:17">
      <c r="A317" s="96">
        <v>45657</v>
      </c>
      <c r="B317" s="96">
        <v>45657</v>
      </c>
      <c r="C317" s="97" t="s">
        <v>5003</v>
      </c>
      <c r="D317" s="96"/>
      <c r="E317" s="97"/>
      <c r="F317" s="97" t="s">
        <v>5004</v>
      </c>
      <c r="G317" s="97" t="s">
        <v>5004</v>
      </c>
      <c r="H317" s="97" t="s">
        <v>444</v>
      </c>
      <c r="I317" s="97" t="s">
        <v>125</v>
      </c>
      <c r="J317" s="98">
        <v>10000</v>
      </c>
      <c r="K317" s="98">
        <v>0</v>
      </c>
      <c r="L317" s="97" t="s">
        <v>5005</v>
      </c>
      <c r="M317" s="97" t="s">
        <v>5006</v>
      </c>
      <c r="N317" s="97"/>
      <c r="O317" s="97"/>
      <c r="P317" s="97"/>
      <c r="Q317" s="97" t="s">
        <v>4362</v>
      </c>
    </row>
    <row r="318" spans="1:17">
      <c r="A318" s="96">
        <v>45657</v>
      </c>
      <c r="B318" s="96">
        <v>45657</v>
      </c>
      <c r="C318" s="97" t="s">
        <v>5007</v>
      </c>
      <c r="D318" s="96"/>
      <c r="E318" s="97"/>
      <c r="F318" s="97" t="s">
        <v>5008</v>
      </c>
      <c r="G318" s="97" t="s">
        <v>5009</v>
      </c>
      <c r="H318" s="97" t="s">
        <v>380</v>
      </c>
      <c r="I318" s="97" t="s">
        <v>62</v>
      </c>
      <c r="J318" s="98">
        <v>23728000</v>
      </c>
      <c r="K318" s="98">
        <v>0</v>
      </c>
      <c r="L318" s="97"/>
      <c r="M318" s="97"/>
      <c r="N318" s="97"/>
      <c r="O318" s="97"/>
      <c r="P318" s="97" t="s">
        <v>3524</v>
      </c>
      <c r="Q318" s="97" t="s">
        <v>4362</v>
      </c>
    </row>
    <row r="319" spans="1:17">
      <c r="A319" s="96">
        <v>45657</v>
      </c>
      <c r="B319" s="96">
        <v>45657</v>
      </c>
      <c r="C319" s="97" t="s">
        <v>5010</v>
      </c>
      <c r="D319" s="96"/>
      <c r="E319" s="97"/>
      <c r="F319" s="97" t="s">
        <v>5011</v>
      </c>
      <c r="G319" s="97" t="s">
        <v>5012</v>
      </c>
      <c r="H319" s="97" t="s">
        <v>435</v>
      </c>
      <c r="I319" s="97" t="s">
        <v>62</v>
      </c>
      <c r="J319" s="98">
        <v>11525891</v>
      </c>
      <c r="K319" s="98">
        <v>0</v>
      </c>
      <c r="L319" s="97"/>
      <c r="M319" s="97"/>
      <c r="N319" s="97" t="s">
        <v>4365</v>
      </c>
      <c r="O319" s="97" t="s">
        <v>4366</v>
      </c>
      <c r="P319" s="97" t="s">
        <v>3524</v>
      </c>
      <c r="Q319" s="97" t="s">
        <v>4362</v>
      </c>
    </row>
    <row r="320" spans="1:17">
      <c r="A320" s="96">
        <v>45657</v>
      </c>
      <c r="B320" s="96">
        <v>45657</v>
      </c>
      <c r="C320" s="97" t="s">
        <v>5010</v>
      </c>
      <c r="D320" s="96"/>
      <c r="E320" s="97"/>
      <c r="F320" s="97" t="s">
        <v>5011</v>
      </c>
      <c r="G320" s="97" t="s">
        <v>5013</v>
      </c>
      <c r="H320" s="97" t="s">
        <v>435</v>
      </c>
      <c r="I320" s="97" t="s">
        <v>62</v>
      </c>
      <c r="J320" s="98">
        <v>6295658</v>
      </c>
      <c r="K320" s="98">
        <v>0</v>
      </c>
      <c r="L320" s="97"/>
      <c r="M320" s="97"/>
      <c r="N320" s="97" t="s">
        <v>4365</v>
      </c>
      <c r="O320" s="97" t="s">
        <v>4366</v>
      </c>
      <c r="P320" s="97" t="s">
        <v>3524</v>
      </c>
      <c r="Q320" s="97" t="s">
        <v>4362</v>
      </c>
    </row>
    <row r="321" spans="1:17">
      <c r="A321" s="96">
        <v>45657</v>
      </c>
      <c r="B321" s="96">
        <v>45657</v>
      </c>
      <c r="C321" s="97" t="s">
        <v>5010</v>
      </c>
      <c r="D321" s="96"/>
      <c r="E321" s="97"/>
      <c r="F321" s="97" t="s">
        <v>5011</v>
      </c>
      <c r="G321" s="97" t="s">
        <v>5014</v>
      </c>
      <c r="H321" s="97" t="s">
        <v>435</v>
      </c>
      <c r="I321" s="97" t="s">
        <v>62</v>
      </c>
      <c r="J321" s="98">
        <v>6381834</v>
      </c>
      <c r="K321" s="98">
        <v>0</v>
      </c>
      <c r="L321" s="97"/>
      <c r="M321" s="97"/>
      <c r="N321" s="97" t="s">
        <v>4365</v>
      </c>
      <c r="O321" s="97" t="s">
        <v>4366</v>
      </c>
      <c r="P321" s="97" t="s">
        <v>3524</v>
      </c>
      <c r="Q321" s="97" t="s">
        <v>4362</v>
      </c>
    </row>
    <row r="322" spans="1:17">
      <c r="A322" s="96">
        <v>45657</v>
      </c>
      <c r="B322" s="96">
        <v>45657</v>
      </c>
      <c r="C322" s="97" t="s">
        <v>5010</v>
      </c>
      <c r="D322" s="96"/>
      <c r="E322" s="97"/>
      <c r="F322" s="97" t="s">
        <v>5011</v>
      </c>
      <c r="G322" s="97" t="s">
        <v>5015</v>
      </c>
      <c r="H322" s="97" t="s">
        <v>435</v>
      </c>
      <c r="I322" s="97" t="s">
        <v>62</v>
      </c>
      <c r="J322" s="98">
        <v>14711069</v>
      </c>
      <c r="K322" s="98">
        <v>0</v>
      </c>
      <c r="L322" s="97"/>
      <c r="M322" s="97"/>
      <c r="N322" s="97" t="s">
        <v>4365</v>
      </c>
      <c r="O322" s="97" t="s">
        <v>4366</v>
      </c>
      <c r="P322" s="97" t="s">
        <v>3524</v>
      </c>
      <c r="Q322" s="97" t="s">
        <v>4362</v>
      </c>
    </row>
  </sheetData>
  <autoFilter ref="A3:Q168" xr:uid="{323CA724-F494-43BA-96E8-3ADBF1B14B6C}"/>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8DDAC-FA02-45EA-9FD7-36A641AF95ED}">
  <sheetPr codeName="Sheet2">
    <tabColor rgb="FF7030A0"/>
  </sheetPr>
  <dimension ref="A1:AB53"/>
  <sheetViews>
    <sheetView workbookViewId="0">
      <selection activeCell="F10" sqref="F10"/>
    </sheetView>
  </sheetViews>
  <sheetFormatPr defaultColWidth="9.140625" defaultRowHeight="12.75"/>
  <cols>
    <col min="1" max="1" width="12.85546875" style="2" bestFit="1" customWidth="1"/>
    <col min="2" max="2" width="29.140625" style="2" customWidth="1"/>
    <col min="3" max="3" width="18.85546875" style="2" bestFit="1" customWidth="1"/>
    <col min="4" max="4" width="16.140625" style="2" bestFit="1" customWidth="1"/>
    <col min="5" max="5" width="12.5703125" style="2" bestFit="1" customWidth="1"/>
    <col min="6" max="6" width="15.140625" style="2" bestFit="1" customWidth="1"/>
    <col min="7" max="7" width="23.85546875" style="2" bestFit="1" customWidth="1"/>
    <col min="8" max="8" width="16" style="2" bestFit="1" customWidth="1"/>
    <col min="9" max="9" width="18.85546875" style="2" bestFit="1" customWidth="1"/>
    <col min="10" max="10" width="16.140625" style="2" bestFit="1" customWidth="1"/>
    <col min="11" max="11" width="17.85546875" style="2" bestFit="1" customWidth="1"/>
    <col min="12" max="12" width="16" style="2" bestFit="1" customWidth="1"/>
    <col min="13" max="14" width="15" style="2" bestFit="1" customWidth="1"/>
    <col min="15" max="15" width="10.85546875" style="2" bestFit="1" customWidth="1"/>
    <col min="16" max="22" width="9.140625" style="2"/>
    <col min="23" max="23" width="9.85546875" style="2" bestFit="1" customWidth="1"/>
    <col min="24" max="24" width="9.140625" style="2"/>
    <col min="25" max="25" width="10.140625" style="2" bestFit="1" customWidth="1"/>
    <col min="26" max="26" width="16.85546875" style="2" bestFit="1" customWidth="1"/>
    <col min="27" max="27" width="10.140625" style="2" bestFit="1" customWidth="1"/>
    <col min="28" max="28" width="14" style="2" bestFit="1" customWidth="1"/>
    <col min="29" max="16384" width="9.140625" style="2"/>
  </cols>
  <sheetData>
    <row r="1" spans="1:12">
      <c r="A1" s="1" t="s">
        <v>0</v>
      </c>
      <c r="B1" s="850" t="s">
        <v>1</v>
      </c>
      <c r="C1" s="850"/>
      <c r="D1" s="850"/>
      <c r="E1" s="850"/>
      <c r="F1" s="850"/>
      <c r="G1" s="850"/>
      <c r="H1" s="850"/>
      <c r="I1" s="850"/>
      <c r="J1" s="850"/>
      <c r="K1" s="850"/>
      <c r="L1" s="850"/>
    </row>
    <row r="2" spans="1:12">
      <c r="A2" s="1" t="s">
        <v>2</v>
      </c>
      <c r="B2" s="852">
        <v>45291</v>
      </c>
      <c r="C2" s="850"/>
      <c r="D2" s="850"/>
      <c r="E2" s="850"/>
      <c r="F2" s="850"/>
      <c r="G2" s="850"/>
      <c r="H2" s="850"/>
      <c r="I2" s="850"/>
      <c r="J2" s="850"/>
      <c r="K2" s="850"/>
      <c r="L2" s="850"/>
    </row>
    <row r="3" spans="1:12">
      <c r="A3" s="3" t="s">
        <v>4129</v>
      </c>
      <c r="B3" s="850"/>
      <c r="C3" s="850"/>
      <c r="D3" s="850"/>
      <c r="E3" s="850"/>
      <c r="F3" s="850"/>
      <c r="G3" s="850"/>
      <c r="H3" s="850"/>
      <c r="I3" s="850"/>
      <c r="J3" s="850"/>
      <c r="K3" s="850"/>
      <c r="L3" s="850"/>
    </row>
    <row r="6" spans="1:12">
      <c r="A6" s="311" t="s">
        <v>541</v>
      </c>
      <c r="B6" s="308"/>
      <c r="C6" s="311" t="s">
        <v>4130</v>
      </c>
      <c r="D6" s="311" t="s">
        <v>4131</v>
      </c>
      <c r="E6" s="850"/>
      <c r="F6" s="850"/>
      <c r="G6" s="1" t="s">
        <v>4132</v>
      </c>
      <c r="H6" s="850"/>
      <c r="I6" s="850"/>
      <c r="J6" s="850"/>
      <c r="K6" s="1" t="s">
        <v>4133</v>
      </c>
      <c r="L6" s="850"/>
    </row>
    <row r="7" spans="1:12">
      <c r="A7" s="308"/>
      <c r="B7" s="308" t="s">
        <v>3724</v>
      </c>
      <c r="C7" s="309">
        <v>132805330000</v>
      </c>
      <c r="D7" s="310">
        <v>26147398</v>
      </c>
      <c r="E7" s="850"/>
      <c r="F7" s="850"/>
      <c r="G7" s="850" t="s">
        <v>4134</v>
      </c>
      <c r="H7" s="848">
        <v>142203866890.64517</v>
      </c>
      <c r="I7" s="850"/>
      <c r="J7" s="850"/>
      <c r="K7" s="850" t="s">
        <v>618</v>
      </c>
      <c r="L7" s="857">
        <f>C7</f>
        <v>132805330000</v>
      </c>
    </row>
    <row r="8" spans="1:12">
      <c r="A8" s="308"/>
      <c r="B8" s="308" t="s">
        <v>3044</v>
      </c>
      <c r="C8" s="1234">
        <v>376200000</v>
      </c>
      <c r="D8" s="310">
        <v>136800</v>
      </c>
      <c r="E8" s="850"/>
      <c r="F8" s="850"/>
      <c r="G8" s="850" t="s">
        <v>4135</v>
      </c>
      <c r="H8" s="848">
        <v>130159347282.3071</v>
      </c>
      <c r="I8" s="850"/>
      <c r="J8" s="850"/>
      <c r="K8" s="850" t="s">
        <v>4136</v>
      </c>
      <c r="L8" s="857">
        <f>H9-L9</f>
        <v>533815261.13674355</v>
      </c>
    </row>
    <row r="9" spans="1:12">
      <c r="A9" s="308"/>
      <c r="B9" s="308" t="s">
        <v>3046</v>
      </c>
      <c r="C9" s="1234">
        <v>2958450000</v>
      </c>
      <c r="D9" s="310">
        <v>1075800</v>
      </c>
      <c r="E9" s="850"/>
      <c r="F9" s="850"/>
      <c r="G9" s="850" t="s">
        <v>4137</v>
      </c>
      <c r="H9" s="857">
        <f>H7-H8</f>
        <v>12044519608.338074</v>
      </c>
      <c r="I9" s="850"/>
      <c r="J9" s="850"/>
      <c r="K9" s="850" t="s">
        <v>4138</v>
      </c>
      <c r="L9" s="848">
        <f>H9*C13</f>
        <v>11510704347.20133</v>
      </c>
    </row>
    <row r="10" spans="1:12" ht="13.5" thickBot="1">
      <c r="A10" s="850"/>
      <c r="B10" s="850"/>
      <c r="C10" s="850"/>
      <c r="D10" s="850"/>
      <c r="E10" s="850"/>
      <c r="F10" s="850"/>
      <c r="G10" s="850"/>
      <c r="H10" s="850"/>
      <c r="I10" s="850"/>
      <c r="J10" s="850"/>
      <c r="K10" s="850" t="s">
        <v>2297</v>
      </c>
      <c r="L10" s="1636">
        <f>L7-L9</f>
        <v>121294625652.79868</v>
      </c>
    </row>
    <row r="11" spans="1:12" ht="13.5" thickTop="1">
      <c r="A11" s="850"/>
      <c r="B11" s="850" t="s">
        <v>4139</v>
      </c>
      <c r="C11" s="848">
        <v>261473980000</v>
      </c>
      <c r="D11" s="850"/>
      <c r="E11" s="850"/>
      <c r="F11" s="850"/>
      <c r="G11" s="850"/>
      <c r="H11" s="850"/>
      <c r="I11" s="850"/>
      <c r="J11" s="850"/>
      <c r="K11" s="850"/>
      <c r="L11" s="850"/>
    </row>
    <row r="12" spans="1:12">
      <c r="A12" s="850"/>
      <c r="B12" s="850" t="s">
        <v>4140</v>
      </c>
      <c r="C12" s="848">
        <v>273599980000</v>
      </c>
      <c r="D12" s="850"/>
      <c r="E12" s="850"/>
      <c r="F12" s="850"/>
      <c r="G12" s="850"/>
      <c r="H12" s="850"/>
      <c r="I12" s="850"/>
      <c r="J12" s="850"/>
      <c r="K12" s="850"/>
      <c r="L12" s="850"/>
    </row>
    <row r="13" spans="1:12">
      <c r="A13" s="850"/>
      <c r="B13" s="850" t="s">
        <v>551</v>
      </c>
      <c r="C13" s="1004">
        <f>C11/C12</f>
        <v>0.95567982132162432</v>
      </c>
      <c r="D13" s="850"/>
      <c r="E13" s="850"/>
      <c r="F13" s="850"/>
      <c r="G13" s="850"/>
      <c r="H13" s="850"/>
      <c r="I13" s="850"/>
      <c r="J13" s="850"/>
      <c r="K13" s="850"/>
      <c r="L13" s="850"/>
    </row>
    <row r="14" spans="1:12">
      <c r="A14" s="850"/>
      <c r="B14" s="1012" t="s">
        <v>568</v>
      </c>
      <c r="C14" s="1157">
        <f>1-C13</f>
        <v>4.4320178678375677E-2</v>
      </c>
      <c r="D14" s="850"/>
      <c r="E14" s="850"/>
      <c r="F14" s="850"/>
      <c r="G14" s="850"/>
      <c r="H14" s="850"/>
      <c r="I14" s="850"/>
      <c r="J14" s="850"/>
      <c r="K14" s="850"/>
      <c r="L14" s="850"/>
    </row>
    <row r="15" spans="1:12">
      <c r="A15" s="850"/>
      <c r="B15" s="850" t="s">
        <v>4141</v>
      </c>
      <c r="C15" s="848">
        <v>254998000</v>
      </c>
      <c r="D15" s="850"/>
      <c r="E15" s="850"/>
      <c r="F15" s="850"/>
      <c r="G15" s="850"/>
      <c r="H15" s="850"/>
      <c r="I15" s="850"/>
      <c r="J15" s="850"/>
      <c r="K15" s="850"/>
      <c r="L15" s="850"/>
    </row>
    <row r="16" spans="1:12">
      <c r="A16" s="850"/>
      <c r="B16" s="850" t="s">
        <v>4142</v>
      </c>
      <c r="C16" s="848">
        <v>234185014422.95001</v>
      </c>
      <c r="D16" s="850"/>
      <c r="E16" s="850"/>
      <c r="F16" s="850"/>
      <c r="G16" s="850"/>
      <c r="H16" s="850"/>
      <c r="I16" s="850"/>
      <c r="J16" s="850"/>
      <c r="K16" s="850"/>
      <c r="L16" s="850"/>
    </row>
    <row r="17" spans="1:28">
      <c r="A17" s="850"/>
      <c r="B17" s="850" t="s">
        <v>4143</v>
      </c>
      <c r="C17" s="848">
        <v>27625443968.711899</v>
      </c>
      <c r="D17" s="850"/>
      <c r="E17" s="850"/>
      <c r="F17" s="850"/>
      <c r="G17" s="850"/>
      <c r="H17" s="850"/>
      <c r="I17" s="850"/>
      <c r="J17" s="850"/>
      <c r="K17" s="850"/>
      <c r="L17" s="850"/>
      <c r="M17" s="850"/>
      <c r="N17" s="850"/>
      <c r="O17" s="850"/>
      <c r="P17" s="850"/>
      <c r="Q17" s="850"/>
      <c r="R17" s="850"/>
      <c r="S17" s="850"/>
      <c r="T17" s="850"/>
      <c r="U17" s="850"/>
      <c r="V17" s="850"/>
      <c r="W17" s="850"/>
      <c r="X17" s="850"/>
      <c r="Y17" s="850"/>
      <c r="Z17" s="850"/>
      <c r="AA17" s="850"/>
      <c r="AB17" s="850"/>
    </row>
    <row r="20" spans="1:28">
      <c r="A20" s="1" t="s">
        <v>4144</v>
      </c>
      <c r="B20" s="850"/>
      <c r="C20" s="850"/>
      <c r="D20" s="850"/>
      <c r="E20" s="850"/>
      <c r="F20" s="850"/>
      <c r="G20" s="850"/>
      <c r="H20" s="850"/>
      <c r="I20" s="850"/>
      <c r="J20" s="850"/>
      <c r="K20" s="850"/>
      <c r="L20" s="850"/>
      <c r="M20" s="850"/>
      <c r="N20" s="850"/>
      <c r="O20" s="850"/>
      <c r="P20" s="850"/>
      <c r="Q20" s="850"/>
      <c r="R20" s="850"/>
      <c r="S20" s="850"/>
      <c r="T20" s="850"/>
      <c r="U20" s="850"/>
      <c r="V20" s="850"/>
      <c r="W20" s="850"/>
      <c r="X20" s="850"/>
      <c r="Y20" s="850"/>
      <c r="Z20" s="850"/>
      <c r="AA20" s="850"/>
      <c r="AB20" s="850"/>
    </row>
    <row r="22" spans="1:28" ht="25.5">
      <c r="A22" s="850" t="s">
        <v>4145</v>
      </c>
      <c r="B22" s="323" t="s">
        <v>2005</v>
      </c>
      <c r="C22" s="323" t="s">
        <v>2616</v>
      </c>
      <c r="D22" s="356" t="s">
        <v>4146</v>
      </c>
      <c r="E22" s="323" t="s">
        <v>4147</v>
      </c>
      <c r="F22" s="323" t="s">
        <v>4148</v>
      </c>
      <c r="G22" s="323" t="s">
        <v>4149</v>
      </c>
      <c r="H22" s="356" t="s">
        <v>4150</v>
      </c>
      <c r="I22" s="356" t="s">
        <v>4151</v>
      </c>
      <c r="J22" s="323" t="s">
        <v>4152</v>
      </c>
      <c r="K22" s="850" t="s">
        <v>2721</v>
      </c>
      <c r="L22" s="850"/>
      <c r="M22" s="1003"/>
      <c r="N22" s="1003"/>
      <c r="O22" s="850"/>
      <c r="P22" s="850"/>
      <c r="Q22" s="850"/>
      <c r="R22" s="850"/>
      <c r="S22" s="850"/>
      <c r="T22" s="850"/>
      <c r="U22" s="850"/>
      <c r="V22" s="850"/>
      <c r="W22" s="850"/>
      <c r="X22" s="850"/>
      <c r="Y22" s="850"/>
      <c r="Z22" s="850"/>
      <c r="AA22" s="850"/>
      <c r="AB22" s="850"/>
    </row>
    <row r="23" spans="1:28">
      <c r="A23" s="850">
        <v>2021</v>
      </c>
      <c r="B23" s="323" t="s">
        <v>4153</v>
      </c>
      <c r="C23" s="857">
        <f>L10</f>
        <v>121294625652.79868</v>
      </c>
      <c r="D23" s="857">
        <f>C23</f>
        <v>121294625652.79868</v>
      </c>
      <c r="E23" s="856">
        <v>44539</v>
      </c>
      <c r="F23" s="856">
        <v>44561</v>
      </c>
      <c r="G23" s="850">
        <f>F23-E23+1</f>
        <v>23</v>
      </c>
      <c r="H23" s="850">
        <v>365</v>
      </c>
      <c r="I23" s="850">
        <v>10</v>
      </c>
      <c r="J23" s="848">
        <f t="shared" ref="J23:J25" si="0">C23/I23/365*G23</f>
        <v>764322298.63407385</v>
      </c>
      <c r="K23" s="848">
        <f>C23-J23</f>
        <v>120530303354.1646</v>
      </c>
      <c r="L23" s="850"/>
      <c r="M23" s="850"/>
      <c r="N23" s="848"/>
      <c r="O23" s="857"/>
      <c r="P23" s="850"/>
      <c r="Q23" s="850"/>
      <c r="R23" s="850"/>
      <c r="S23" s="850"/>
      <c r="T23" s="850"/>
      <c r="U23" s="850"/>
      <c r="V23" s="850"/>
      <c r="W23" s="850"/>
      <c r="X23" s="850"/>
      <c r="Y23" s="850"/>
      <c r="Z23" s="850"/>
      <c r="AA23" s="850"/>
      <c r="AB23" s="850"/>
    </row>
    <row r="24" spans="1:28">
      <c r="A24" s="850">
        <v>2022</v>
      </c>
      <c r="B24" s="323" t="s">
        <v>4153</v>
      </c>
      <c r="C24" s="857">
        <f>C23</f>
        <v>121294625652.79868</v>
      </c>
      <c r="D24" s="857">
        <f t="shared" ref="D24:D25" si="1">C24</f>
        <v>121294625652.79868</v>
      </c>
      <c r="E24" s="856">
        <v>44562</v>
      </c>
      <c r="F24" s="856">
        <v>44926</v>
      </c>
      <c r="G24" s="850">
        <f t="shared" ref="G24" si="2">F24-E24+1</f>
        <v>365</v>
      </c>
      <c r="H24" s="850">
        <v>365</v>
      </c>
      <c r="I24" s="850">
        <v>10</v>
      </c>
      <c r="J24" s="848">
        <f t="shared" si="0"/>
        <v>12129462565.279867</v>
      </c>
      <c r="K24" s="857">
        <f>K23-J24</f>
        <v>108400840788.88474</v>
      </c>
      <c r="L24" s="850"/>
      <c r="M24" s="850" t="s">
        <v>4154</v>
      </c>
      <c r="N24" s="848"/>
      <c r="O24" s="857"/>
      <c r="P24" s="850"/>
      <c r="Q24" s="850"/>
      <c r="R24" s="850"/>
      <c r="S24" s="850"/>
      <c r="T24" s="850"/>
      <c r="U24" s="850"/>
      <c r="V24" s="850"/>
      <c r="W24" s="850"/>
      <c r="X24" s="850"/>
      <c r="Y24" s="850"/>
      <c r="Z24" s="850"/>
      <c r="AA24" s="850"/>
      <c r="AB24" s="848">
        <f>SUBTOTAL(109,AB26:AB32)</f>
        <v>1754073365</v>
      </c>
    </row>
    <row r="25" spans="1:28" ht="22.5">
      <c r="A25" s="850">
        <v>2023</v>
      </c>
      <c r="B25" s="323" t="s">
        <v>4153</v>
      </c>
      <c r="C25" s="857">
        <f>C24</f>
        <v>121294625652.79868</v>
      </c>
      <c r="D25" s="857">
        <f t="shared" si="1"/>
        <v>121294625652.79868</v>
      </c>
      <c r="E25" s="856">
        <v>44927</v>
      </c>
      <c r="F25" s="856">
        <v>45036</v>
      </c>
      <c r="G25" s="850">
        <f>F25-E25+1</f>
        <v>110</v>
      </c>
      <c r="H25" s="850">
        <v>365</v>
      </c>
      <c r="I25" s="850">
        <v>10</v>
      </c>
      <c r="J25" s="848">
        <f t="shared" si="0"/>
        <v>3655454471.728179</v>
      </c>
      <c r="K25" s="848">
        <f>K24-J25</f>
        <v>104745386317.15656</v>
      </c>
      <c r="L25" s="856">
        <v>45037</v>
      </c>
      <c r="M25" s="848">
        <v>333824416</v>
      </c>
      <c r="N25" s="848"/>
      <c r="O25" s="850"/>
      <c r="P25" s="850"/>
      <c r="Q25" s="850"/>
      <c r="R25" s="93" t="s">
        <v>450</v>
      </c>
      <c r="S25" s="94" t="s">
        <v>451</v>
      </c>
      <c r="T25" s="94" t="s">
        <v>454</v>
      </c>
      <c r="U25" s="94" t="s">
        <v>455</v>
      </c>
      <c r="V25" s="94" t="s">
        <v>456</v>
      </c>
      <c r="W25" s="94" t="s">
        <v>457</v>
      </c>
      <c r="X25" s="95" t="s">
        <v>459</v>
      </c>
      <c r="Y25" s="95" t="s">
        <v>460</v>
      </c>
      <c r="Z25" s="850"/>
      <c r="AA25" s="850"/>
      <c r="AB25" s="850" t="s">
        <v>4154</v>
      </c>
    </row>
    <row r="26" spans="1:28">
      <c r="A26" s="850">
        <v>2023</v>
      </c>
      <c r="B26" s="323" t="s">
        <v>4153</v>
      </c>
      <c r="C26" s="857">
        <f>C25-M25</f>
        <v>120960801236.79868</v>
      </c>
      <c r="D26" s="857">
        <f t="shared" ref="D26:D32" si="3">K25-M25</f>
        <v>104411561901.15656</v>
      </c>
      <c r="E26" s="856">
        <v>45037</v>
      </c>
      <c r="F26" s="856">
        <v>45082</v>
      </c>
      <c r="G26" s="850">
        <f t="shared" ref="G26:G40" si="4">F26-E26+1</f>
        <v>46</v>
      </c>
      <c r="H26" s="850">
        <v>365</v>
      </c>
      <c r="I26" s="850">
        <f>$F$40-E26+1</f>
        <v>3155</v>
      </c>
      <c r="J26" s="848">
        <f>D26/I26*G26</f>
        <v>1522323881.9186058</v>
      </c>
      <c r="K26" s="848">
        <f>D26-J26</f>
        <v>102889238019.23795</v>
      </c>
      <c r="L26" s="856">
        <v>45083</v>
      </c>
      <c r="M26" s="848">
        <v>209504625</v>
      </c>
      <c r="N26" s="850"/>
      <c r="O26" s="850"/>
      <c r="P26" s="850"/>
      <c r="Q26" s="850"/>
      <c r="R26" s="96">
        <v>45037</v>
      </c>
      <c r="S26" s="97" t="s">
        <v>4155</v>
      </c>
      <c r="T26" s="97" t="s">
        <v>4156</v>
      </c>
      <c r="U26" s="97" t="s">
        <v>4156</v>
      </c>
      <c r="V26" s="97" t="s">
        <v>95</v>
      </c>
      <c r="W26" s="97" t="s">
        <v>19</v>
      </c>
      <c r="X26" s="98">
        <v>0</v>
      </c>
      <c r="Y26" s="98">
        <v>333824416</v>
      </c>
      <c r="Z26" s="850"/>
      <c r="AA26" s="856">
        <v>45037</v>
      </c>
      <c r="AB26" s="848">
        <f>SUMIFS($Y$26:$Y$35,$R$26:$R$35,AA26)</f>
        <v>333824416</v>
      </c>
    </row>
    <row r="27" spans="1:28">
      <c r="A27" s="850">
        <v>2023</v>
      </c>
      <c r="B27" s="323" t="s">
        <v>4153</v>
      </c>
      <c r="C27" s="857">
        <f t="shared" ref="C27:C31" si="5">C26-M26</f>
        <v>120751296611.79868</v>
      </c>
      <c r="D27" s="857">
        <f t="shared" si="3"/>
        <v>102679733394.23795</v>
      </c>
      <c r="E27" s="856">
        <v>45083</v>
      </c>
      <c r="F27" s="856">
        <f>AA28-1</f>
        <v>45107</v>
      </c>
      <c r="G27" s="850">
        <f t="shared" si="4"/>
        <v>25</v>
      </c>
      <c r="H27" s="850">
        <v>365</v>
      </c>
      <c r="I27" s="850">
        <f t="shared" ref="I27:I33" si="6">$F$40-E27+1</f>
        <v>3109</v>
      </c>
      <c r="J27" s="848">
        <f t="shared" ref="J27:J40" si="7">D27/I27*G27</f>
        <v>825665273.35347342</v>
      </c>
      <c r="K27" s="848">
        <f t="shared" ref="K27:K32" si="8">D27-J27</f>
        <v>101854068120.88448</v>
      </c>
      <c r="L27" s="856">
        <v>45108</v>
      </c>
      <c r="M27" s="848">
        <v>241444300</v>
      </c>
      <c r="N27" s="850"/>
      <c r="O27" s="850"/>
      <c r="P27" s="850"/>
      <c r="Q27" s="850"/>
      <c r="R27" s="96">
        <v>45083</v>
      </c>
      <c r="S27" s="97" t="s">
        <v>4157</v>
      </c>
      <c r="T27" s="97" t="s">
        <v>4158</v>
      </c>
      <c r="U27" s="97" t="s">
        <v>4158</v>
      </c>
      <c r="V27" s="97" t="s">
        <v>95</v>
      </c>
      <c r="W27" s="97" t="s">
        <v>19</v>
      </c>
      <c r="X27" s="98">
        <v>0</v>
      </c>
      <c r="Y27" s="98">
        <v>209504625</v>
      </c>
      <c r="Z27" s="850"/>
      <c r="AA27" s="856">
        <v>45083</v>
      </c>
      <c r="AB27" s="848">
        <f t="shared" ref="AB27:AB32" si="9">SUMIFS($Y$26:$Y$35,$R$26:$R$35,AA27)</f>
        <v>209504625</v>
      </c>
    </row>
    <row r="28" spans="1:28">
      <c r="A28" s="850">
        <v>2023</v>
      </c>
      <c r="B28" s="323" t="s">
        <v>4153</v>
      </c>
      <c r="C28" s="857">
        <f t="shared" si="5"/>
        <v>120509852311.79868</v>
      </c>
      <c r="D28" s="857">
        <f t="shared" si="3"/>
        <v>101612623820.88448</v>
      </c>
      <c r="E28" s="856">
        <f>F27+1</f>
        <v>45108</v>
      </c>
      <c r="F28" s="856">
        <f>AA29-1</f>
        <v>45160</v>
      </c>
      <c r="G28" s="850">
        <f t="shared" si="4"/>
        <v>53</v>
      </c>
      <c r="H28" s="850">
        <v>365</v>
      </c>
      <c r="I28" s="850">
        <f t="shared" si="6"/>
        <v>3084</v>
      </c>
      <c r="J28" s="848">
        <f t="shared" si="7"/>
        <v>1746261044.9114387</v>
      </c>
      <c r="K28" s="848">
        <f t="shared" si="8"/>
        <v>99866362775.973038</v>
      </c>
      <c r="L28" s="856">
        <v>45161</v>
      </c>
      <c r="M28" s="848">
        <v>66995900</v>
      </c>
      <c r="N28" s="850"/>
      <c r="O28" s="850"/>
      <c r="P28" s="850"/>
      <c r="Q28" s="850"/>
      <c r="R28" s="96">
        <v>45108</v>
      </c>
      <c r="S28" s="97" t="s">
        <v>4159</v>
      </c>
      <c r="T28" s="97" t="s">
        <v>4160</v>
      </c>
      <c r="U28" s="97" t="s">
        <v>4160</v>
      </c>
      <c r="V28" s="97" t="s">
        <v>95</v>
      </c>
      <c r="W28" s="97" t="s">
        <v>19</v>
      </c>
      <c r="X28" s="98">
        <v>0</v>
      </c>
      <c r="Y28" s="98">
        <v>216142612</v>
      </c>
      <c r="Z28" s="850"/>
      <c r="AA28" s="856">
        <v>45108</v>
      </c>
      <c r="AB28" s="848">
        <f t="shared" si="9"/>
        <v>241444300</v>
      </c>
    </row>
    <row r="29" spans="1:28">
      <c r="A29" s="850">
        <v>2023</v>
      </c>
      <c r="B29" s="323" t="s">
        <v>4153</v>
      </c>
      <c r="C29" s="857">
        <f t="shared" si="5"/>
        <v>120442856411.79868</v>
      </c>
      <c r="D29" s="857">
        <f t="shared" si="3"/>
        <v>99799366875.973038</v>
      </c>
      <c r="E29" s="856">
        <f>F28+1</f>
        <v>45161</v>
      </c>
      <c r="F29" s="856">
        <f>AA30-1</f>
        <v>45237</v>
      </c>
      <c r="G29" s="850">
        <f t="shared" si="4"/>
        <v>77</v>
      </c>
      <c r="H29" s="850">
        <v>365</v>
      </c>
      <c r="I29" s="850">
        <f t="shared" si="6"/>
        <v>3031</v>
      </c>
      <c r="J29" s="848">
        <f t="shared" si="7"/>
        <v>2535318788.9970055</v>
      </c>
      <c r="K29" s="848">
        <f t="shared" si="8"/>
        <v>97264048086.976028</v>
      </c>
      <c r="L29" s="856">
        <v>45238</v>
      </c>
      <c r="M29" s="848">
        <v>487515752</v>
      </c>
      <c r="N29" s="850"/>
      <c r="O29" s="850"/>
      <c r="P29" s="850"/>
      <c r="Q29" s="850"/>
      <c r="R29" s="96">
        <v>45108</v>
      </c>
      <c r="S29" s="97" t="s">
        <v>4161</v>
      </c>
      <c r="T29" s="97" t="s">
        <v>4162</v>
      </c>
      <c r="U29" s="97" t="s">
        <v>4162</v>
      </c>
      <c r="V29" s="97" t="s">
        <v>95</v>
      </c>
      <c r="W29" s="97" t="s">
        <v>19</v>
      </c>
      <c r="X29" s="98">
        <v>0</v>
      </c>
      <c r="Y29" s="98">
        <v>25301688</v>
      </c>
      <c r="Z29" s="850"/>
      <c r="AA29" s="856">
        <v>45161</v>
      </c>
      <c r="AB29" s="848">
        <f t="shared" si="9"/>
        <v>66995900</v>
      </c>
    </row>
    <row r="30" spans="1:28">
      <c r="A30" s="850">
        <v>2023</v>
      </c>
      <c r="B30" s="323" t="s">
        <v>4153</v>
      </c>
      <c r="C30" s="857">
        <f t="shared" si="5"/>
        <v>119955340659.79868</v>
      </c>
      <c r="D30" s="857">
        <f t="shared" si="3"/>
        <v>96776532334.976028</v>
      </c>
      <c r="E30" s="856">
        <f>F29+1</f>
        <v>45238</v>
      </c>
      <c r="F30" s="856">
        <f>E30</f>
        <v>45238</v>
      </c>
      <c r="G30" s="850">
        <f t="shared" si="4"/>
        <v>1</v>
      </c>
      <c r="H30" s="850">
        <v>365</v>
      </c>
      <c r="I30" s="850">
        <f t="shared" si="6"/>
        <v>2954</v>
      </c>
      <c r="J30" s="848">
        <f t="shared" si="7"/>
        <v>32761182.239328377</v>
      </c>
      <c r="K30" s="848">
        <f t="shared" si="8"/>
        <v>96743771152.736694</v>
      </c>
      <c r="L30" s="856">
        <v>45239</v>
      </c>
      <c r="M30" s="848">
        <v>326229492</v>
      </c>
      <c r="N30" s="850"/>
      <c r="O30" s="850"/>
      <c r="P30" s="850"/>
      <c r="Q30" s="850"/>
      <c r="R30" s="96">
        <v>45161</v>
      </c>
      <c r="S30" s="97" t="s">
        <v>4163</v>
      </c>
      <c r="T30" s="97" t="s">
        <v>4164</v>
      </c>
      <c r="U30" s="97" t="s">
        <v>4165</v>
      </c>
      <c r="V30" s="97" t="s">
        <v>95</v>
      </c>
      <c r="W30" s="97" t="s">
        <v>19</v>
      </c>
      <c r="X30" s="98">
        <v>0</v>
      </c>
      <c r="Y30" s="98">
        <v>66995900</v>
      </c>
      <c r="Z30" s="850"/>
      <c r="AA30" s="856">
        <v>45238</v>
      </c>
      <c r="AB30" s="848">
        <f t="shared" si="9"/>
        <v>487515752</v>
      </c>
    </row>
    <row r="31" spans="1:28">
      <c r="A31" s="850">
        <v>2023</v>
      </c>
      <c r="B31" s="323" t="s">
        <v>4153</v>
      </c>
      <c r="C31" s="857">
        <f t="shared" si="5"/>
        <v>119629111167.79868</v>
      </c>
      <c r="D31" s="857">
        <f t="shared" si="3"/>
        <v>96417541660.736694</v>
      </c>
      <c r="E31" s="856">
        <v>45239</v>
      </c>
      <c r="F31" s="856">
        <v>45239</v>
      </c>
      <c r="G31" s="850">
        <f t="shared" si="4"/>
        <v>1</v>
      </c>
      <c r="H31" s="850">
        <v>365</v>
      </c>
      <c r="I31" s="850">
        <f t="shared" si="6"/>
        <v>2953</v>
      </c>
      <c r="J31" s="848">
        <f t="shared" si="7"/>
        <v>32650708.317215271</v>
      </c>
      <c r="K31" s="848">
        <f t="shared" si="8"/>
        <v>96384890952.419479</v>
      </c>
      <c r="L31" s="856">
        <v>45240</v>
      </c>
      <c r="M31" s="848">
        <v>88558880</v>
      </c>
      <c r="N31" s="850"/>
      <c r="O31" s="850"/>
      <c r="P31" s="850"/>
      <c r="Q31" s="850"/>
      <c r="R31" s="96">
        <v>45238</v>
      </c>
      <c r="S31" s="97" t="s">
        <v>4166</v>
      </c>
      <c r="T31" s="97" t="s">
        <v>4167</v>
      </c>
      <c r="U31" s="97" t="s">
        <v>4165</v>
      </c>
      <c r="V31" s="97" t="s">
        <v>95</v>
      </c>
      <c r="W31" s="97" t="s">
        <v>19</v>
      </c>
      <c r="X31" s="98">
        <v>0</v>
      </c>
      <c r="Y31" s="98">
        <v>451149665</v>
      </c>
      <c r="Z31" s="850"/>
      <c r="AA31" s="856">
        <v>45239</v>
      </c>
      <c r="AB31" s="848">
        <f t="shared" si="9"/>
        <v>326229492</v>
      </c>
    </row>
    <row r="32" spans="1:28">
      <c r="A32" s="850">
        <v>2023</v>
      </c>
      <c r="B32" s="323" t="s">
        <v>4153</v>
      </c>
      <c r="C32" s="857">
        <f>C31-M31</f>
        <v>119540552287.79868</v>
      </c>
      <c r="D32" s="857">
        <f t="shared" si="3"/>
        <v>96296332072.419479</v>
      </c>
      <c r="E32" s="856">
        <v>45240</v>
      </c>
      <c r="F32" s="856">
        <v>45291</v>
      </c>
      <c r="G32" s="850">
        <f t="shared" si="4"/>
        <v>52</v>
      </c>
      <c r="H32" s="850">
        <v>365</v>
      </c>
      <c r="I32" s="850">
        <f t="shared" si="6"/>
        <v>2952</v>
      </c>
      <c r="J32" s="848">
        <f t="shared" si="7"/>
        <v>1696276852.2241912</v>
      </c>
      <c r="K32" s="848">
        <f t="shared" si="8"/>
        <v>94600055220.195282</v>
      </c>
      <c r="L32" s="850"/>
      <c r="M32" s="850"/>
      <c r="N32" s="850"/>
      <c r="O32" s="850"/>
      <c r="P32" s="850"/>
      <c r="Q32" s="850"/>
      <c r="R32" s="96">
        <v>45238</v>
      </c>
      <c r="S32" s="97" t="s">
        <v>4168</v>
      </c>
      <c r="T32" s="97" t="s">
        <v>4169</v>
      </c>
      <c r="U32" s="97" t="s">
        <v>4165</v>
      </c>
      <c r="V32" s="97" t="s">
        <v>95</v>
      </c>
      <c r="W32" s="97" t="s">
        <v>19</v>
      </c>
      <c r="X32" s="98">
        <v>0</v>
      </c>
      <c r="Y32" s="98">
        <v>36366087</v>
      </c>
      <c r="Z32" s="850"/>
      <c r="AA32" s="856">
        <v>45240</v>
      </c>
      <c r="AB32" s="848">
        <f t="shared" si="9"/>
        <v>88558880</v>
      </c>
    </row>
    <row r="33" spans="1:25">
      <c r="A33" s="850">
        <v>2024</v>
      </c>
      <c r="B33" s="323" t="s">
        <v>4153</v>
      </c>
      <c r="C33" s="857">
        <f>C32</f>
        <v>119540552287.79868</v>
      </c>
      <c r="D33" s="857">
        <f>K32</f>
        <v>94600055220.195282</v>
      </c>
      <c r="E33" s="856">
        <v>45292</v>
      </c>
      <c r="F33" s="856">
        <v>45657</v>
      </c>
      <c r="G33" s="850">
        <f t="shared" si="4"/>
        <v>366</v>
      </c>
      <c r="H33" s="850">
        <v>365</v>
      </c>
      <c r="I33" s="850">
        <f t="shared" si="6"/>
        <v>2900</v>
      </c>
      <c r="J33" s="848">
        <f t="shared" si="7"/>
        <v>11939179382.962578</v>
      </c>
      <c r="K33" s="848">
        <f t="shared" ref="K33:K40" si="10">K32-J33</f>
        <v>82660875837.232697</v>
      </c>
      <c r="L33" s="850" t="s">
        <v>4170</v>
      </c>
      <c r="M33" s="850"/>
      <c r="N33" s="850"/>
      <c r="O33" s="850"/>
      <c r="P33" s="850"/>
      <c r="Q33" s="850"/>
      <c r="R33" s="96">
        <v>45239</v>
      </c>
      <c r="S33" s="97" t="s">
        <v>4171</v>
      </c>
      <c r="T33" s="97" t="s">
        <v>4172</v>
      </c>
      <c r="U33" s="97" t="s">
        <v>4172</v>
      </c>
      <c r="V33" s="97" t="s">
        <v>95</v>
      </c>
      <c r="W33" s="97" t="s">
        <v>19</v>
      </c>
      <c r="X33" s="98">
        <v>0</v>
      </c>
      <c r="Y33" s="98">
        <v>240571722</v>
      </c>
    </row>
    <row r="34" spans="1:25">
      <c r="A34" s="850">
        <v>2025</v>
      </c>
      <c r="B34" s="323" t="s">
        <v>4153</v>
      </c>
      <c r="C34" s="857">
        <f t="shared" ref="C34:D40" si="11">C33</f>
        <v>119540552287.79868</v>
      </c>
      <c r="D34" s="857">
        <f>D33</f>
        <v>94600055220.195282</v>
      </c>
      <c r="E34" s="856">
        <v>45658</v>
      </c>
      <c r="F34" s="856">
        <v>46022</v>
      </c>
      <c r="G34" s="850">
        <f t="shared" si="4"/>
        <v>365</v>
      </c>
      <c r="H34" s="850">
        <v>365</v>
      </c>
      <c r="I34" s="850">
        <f>I33</f>
        <v>2900</v>
      </c>
      <c r="J34" s="848">
        <f t="shared" si="7"/>
        <v>11906558674.265959</v>
      </c>
      <c r="K34" s="848">
        <f t="shared" si="10"/>
        <v>70754317162.966736</v>
      </c>
      <c r="L34" s="857"/>
      <c r="M34" s="850"/>
      <c r="N34" s="850"/>
      <c r="O34" s="850"/>
      <c r="P34" s="850"/>
      <c r="Q34" s="850"/>
      <c r="R34" s="96">
        <v>45239</v>
      </c>
      <c r="S34" s="97" t="s">
        <v>4173</v>
      </c>
      <c r="T34" s="97" t="s">
        <v>4174</v>
      </c>
      <c r="U34" s="97" t="s">
        <v>4165</v>
      </c>
      <c r="V34" s="97" t="s">
        <v>95</v>
      </c>
      <c r="W34" s="97" t="s">
        <v>19</v>
      </c>
      <c r="X34" s="98">
        <v>0</v>
      </c>
      <c r="Y34" s="98">
        <v>85657770</v>
      </c>
    </row>
    <row r="35" spans="1:25">
      <c r="A35" s="850">
        <v>2026</v>
      </c>
      <c r="B35" s="323" t="s">
        <v>4153</v>
      </c>
      <c r="C35" s="857">
        <f t="shared" si="11"/>
        <v>119540552287.79868</v>
      </c>
      <c r="D35" s="857">
        <f t="shared" si="11"/>
        <v>94600055220.195282</v>
      </c>
      <c r="E35" s="856">
        <v>46023</v>
      </c>
      <c r="F35" s="856">
        <v>46387</v>
      </c>
      <c r="G35" s="850">
        <f t="shared" si="4"/>
        <v>365</v>
      </c>
      <c r="H35" s="850">
        <v>365</v>
      </c>
      <c r="I35" s="850">
        <f t="shared" ref="I35:I40" si="12">I34</f>
        <v>2900</v>
      </c>
      <c r="J35" s="848">
        <f t="shared" si="7"/>
        <v>11906558674.265959</v>
      </c>
      <c r="K35" s="848">
        <f t="shared" si="10"/>
        <v>58847758488.700775</v>
      </c>
      <c r="L35" s="850"/>
      <c r="M35" s="850"/>
      <c r="N35" s="850"/>
      <c r="O35" s="850"/>
      <c r="P35" s="850"/>
      <c r="Q35" s="850"/>
      <c r="R35" s="96">
        <v>45240</v>
      </c>
      <c r="S35" s="97" t="s">
        <v>4175</v>
      </c>
      <c r="T35" s="97" t="s">
        <v>4176</v>
      </c>
      <c r="U35" s="97" t="s">
        <v>4165</v>
      </c>
      <c r="V35" s="97" t="s">
        <v>95</v>
      </c>
      <c r="W35" s="97" t="s">
        <v>19</v>
      </c>
      <c r="X35" s="98">
        <v>0</v>
      </c>
      <c r="Y35" s="98">
        <v>88558880</v>
      </c>
    </row>
    <row r="36" spans="1:25">
      <c r="A36" s="850">
        <v>2027</v>
      </c>
      <c r="B36" s="323" t="s">
        <v>4153</v>
      </c>
      <c r="C36" s="857">
        <f t="shared" si="11"/>
        <v>119540552287.79868</v>
      </c>
      <c r="D36" s="857">
        <f t="shared" si="11"/>
        <v>94600055220.195282</v>
      </c>
      <c r="E36" s="856">
        <v>46388</v>
      </c>
      <c r="F36" s="856">
        <v>46752</v>
      </c>
      <c r="G36" s="850">
        <f t="shared" si="4"/>
        <v>365</v>
      </c>
      <c r="H36" s="850">
        <v>365</v>
      </c>
      <c r="I36" s="850">
        <f t="shared" si="12"/>
        <v>2900</v>
      </c>
      <c r="J36" s="848">
        <f t="shared" si="7"/>
        <v>11906558674.265959</v>
      </c>
      <c r="K36" s="848">
        <f t="shared" si="10"/>
        <v>46941199814.434814</v>
      </c>
      <c r="L36" s="850"/>
      <c r="M36" s="850"/>
      <c r="N36" s="850"/>
      <c r="O36" s="850"/>
      <c r="P36" s="850"/>
      <c r="Q36" s="850"/>
      <c r="R36" s="850"/>
      <c r="S36" s="850"/>
      <c r="T36" s="850"/>
      <c r="U36" s="850"/>
      <c r="V36" s="850"/>
      <c r="W36" s="850"/>
      <c r="X36" s="850"/>
      <c r="Y36" s="850"/>
    </row>
    <row r="37" spans="1:25">
      <c r="A37" s="850">
        <v>2028</v>
      </c>
      <c r="B37" s="323" t="s">
        <v>4153</v>
      </c>
      <c r="C37" s="857">
        <f t="shared" si="11"/>
        <v>119540552287.79868</v>
      </c>
      <c r="D37" s="857">
        <f t="shared" si="11"/>
        <v>94600055220.195282</v>
      </c>
      <c r="E37" s="856">
        <v>46753</v>
      </c>
      <c r="F37" s="856">
        <v>47118</v>
      </c>
      <c r="G37" s="850">
        <f t="shared" si="4"/>
        <v>366</v>
      </c>
      <c r="H37" s="850">
        <v>365</v>
      </c>
      <c r="I37" s="850">
        <f t="shared" si="12"/>
        <v>2900</v>
      </c>
      <c r="J37" s="848">
        <f t="shared" si="7"/>
        <v>11939179382.962578</v>
      </c>
      <c r="K37" s="848">
        <f t="shared" si="10"/>
        <v>35002020431.472237</v>
      </c>
      <c r="L37" s="850"/>
      <c r="M37" s="850"/>
      <c r="N37" s="850"/>
      <c r="O37" s="850"/>
      <c r="P37" s="850"/>
      <c r="Q37" s="850"/>
      <c r="R37" s="850"/>
      <c r="S37" s="850"/>
      <c r="T37" s="850"/>
      <c r="U37" s="850"/>
      <c r="V37" s="850"/>
      <c r="W37" s="850"/>
      <c r="X37" s="850"/>
      <c r="Y37" s="850"/>
    </row>
    <row r="38" spans="1:25">
      <c r="A38" s="850">
        <v>2029</v>
      </c>
      <c r="B38" s="323" t="s">
        <v>4153</v>
      </c>
      <c r="C38" s="857">
        <f t="shared" si="11"/>
        <v>119540552287.79868</v>
      </c>
      <c r="D38" s="857">
        <f t="shared" si="11"/>
        <v>94600055220.195282</v>
      </c>
      <c r="E38" s="856">
        <v>47119</v>
      </c>
      <c r="F38" s="856">
        <v>47483</v>
      </c>
      <c r="G38" s="850">
        <f t="shared" si="4"/>
        <v>365</v>
      </c>
      <c r="H38" s="850">
        <v>365</v>
      </c>
      <c r="I38" s="850">
        <f t="shared" si="12"/>
        <v>2900</v>
      </c>
      <c r="J38" s="848">
        <f t="shared" si="7"/>
        <v>11906558674.265959</v>
      </c>
      <c r="K38" s="848">
        <f t="shared" si="10"/>
        <v>23095461757.206276</v>
      </c>
      <c r="L38" s="850"/>
      <c r="M38" s="850"/>
      <c r="N38" s="850"/>
      <c r="O38" s="850"/>
      <c r="P38" s="850"/>
      <c r="Q38" s="850"/>
      <c r="R38" s="850"/>
      <c r="S38" s="850"/>
      <c r="T38" s="850"/>
      <c r="U38" s="850"/>
      <c r="V38" s="850"/>
      <c r="W38" s="850"/>
      <c r="X38" s="850"/>
      <c r="Y38" s="850"/>
    </row>
    <row r="39" spans="1:25">
      <c r="A39" s="850">
        <v>2030</v>
      </c>
      <c r="B39" s="323" t="s">
        <v>4153</v>
      </c>
      <c r="C39" s="857">
        <f t="shared" si="11"/>
        <v>119540552287.79868</v>
      </c>
      <c r="D39" s="857">
        <f t="shared" si="11"/>
        <v>94600055220.195282</v>
      </c>
      <c r="E39" s="856">
        <v>47484</v>
      </c>
      <c r="F39" s="856">
        <v>47848</v>
      </c>
      <c r="G39" s="850">
        <f t="shared" si="4"/>
        <v>365</v>
      </c>
      <c r="H39" s="850">
        <v>365</v>
      </c>
      <c r="I39" s="850">
        <f t="shared" si="12"/>
        <v>2900</v>
      </c>
      <c r="J39" s="848">
        <f t="shared" si="7"/>
        <v>11906558674.265959</v>
      </c>
      <c r="K39" s="848">
        <f t="shared" si="10"/>
        <v>11188903082.940317</v>
      </c>
      <c r="L39" s="850"/>
      <c r="M39" s="850"/>
      <c r="N39" s="850"/>
      <c r="O39" s="850"/>
      <c r="P39" s="850"/>
      <c r="Q39" s="850"/>
      <c r="R39" s="850"/>
      <c r="S39" s="850"/>
      <c r="T39" s="850"/>
      <c r="U39" s="850"/>
      <c r="V39" s="850"/>
      <c r="W39" s="850"/>
      <c r="X39" s="850"/>
      <c r="Y39" s="850"/>
    </row>
    <row r="40" spans="1:25">
      <c r="A40" s="850">
        <v>2031</v>
      </c>
      <c r="B40" s="323" t="s">
        <v>4153</v>
      </c>
      <c r="C40" s="857">
        <f t="shared" si="11"/>
        <v>119540552287.79868</v>
      </c>
      <c r="D40" s="857">
        <f t="shared" si="11"/>
        <v>94600055220.195282</v>
      </c>
      <c r="E40" s="856">
        <v>47849</v>
      </c>
      <c r="F40" s="856">
        <v>48191</v>
      </c>
      <c r="G40" s="850">
        <f t="shared" si="4"/>
        <v>343</v>
      </c>
      <c r="H40" s="850">
        <v>365</v>
      </c>
      <c r="I40" s="850">
        <f t="shared" si="12"/>
        <v>2900</v>
      </c>
      <c r="J40" s="848">
        <f t="shared" si="7"/>
        <v>11188903082.940338</v>
      </c>
      <c r="K40" s="848">
        <f t="shared" si="10"/>
        <v>-2.09808349609375E-5</v>
      </c>
      <c r="L40" s="850"/>
      <c r="M40" s="850"/>
      <c r="N40" s="850"/>
      <c r="O40" s="850"/>
      <c r="P40" s="850"/>
      <c r="Q40" s="850"/>
      <c r="R40" s="850"/>
      <c r="S40" s="850"/>
      <c r="T40" s="850"/>
      <c r="U40" s="850"/>
      <c r="V40" s="850"/>
      <c r="W40" s="850"/>
      <c r="X40" s="850"/>
      <c r="Y40" s="850"/>
    </row>
    <row r="42" spans="1:25">
      <c r="A42" s="850"/>
      <c r="B42" s="850"/>
      <c r="C42" s="850"/>
      <c r="D42" s="850"/>
      <c r="E42" s="856"/>
      <c r="F42" s="850"/>
      <c r="G42" s="850"/>
      <c r="H42" s="850"/>
      <c r="I42" s="850"/>
      <c r="J42" s="850"/>
      <c r="K42" s="850"/>
      <c r="L42" s="850"/>
      <c r="M42" s="850"/>
      <c r="N42" s="850"/>
      <c r="O42" s="850"/>
      <c r="P42" s="850"/>
      <c r="Q42" s="850"/>
      <c r="R42" s="850"/>
      <c r="S42" s="850"/>
      <c r="T42" s="850"/>
      <c r="U42" s="850"/>
      <c r="V42" s="850"/>
      <c r="W42" s="850"/>
      <c r="X42" s="850"/>
      <c r="Y42" s="850"/>
    </row>
    <row r="43" spans="1:25">
      <c r="A43" s="850"/>
      <c r="B43" s="850"/>
      <c r="C43" s="850"/>
      <c r="D43" s="857"/>
      <c r="E43" s="856"/>
      <c r="F43" s="856"/>
      <c r="G43" s="850"/>
      <c r="H43" s="850"/>
      <c r="I43" s="850"/>
      <c r="J43" s="848"/>
      <c r="K43" s="857"/>
      <c r="L43" s="850"/>
      <c r="M43" s="850"/>
      <c r="N43" s="850"/>
      <c r="O43" s="850"/>
      <c r="P43" s="850"/>
      <c r="Q43" s="850"/>
      <c r="R43" s="850"/>
      <c r="S43" s="850"/>
      <c r="T43" s="850"/>
      <c r="U43" s="850"/>
      <c r="V43" s="850"/>
      <c r="W43" s="850"/>
      <c r="X43" s="850"/>
      <c r="Y43" s="850"/>
    </row>
    <row r="44" spans="1:25">
      <c r="A44" s="850"/>
      <c r="B44" s="850"/>
      <c r="C44" s="850"/>
      <c r="D44" s="857"/>
      <c r="E44" s="856"/>
      <c r="F44" s="856"/>
      <c r="G44" s="850"/>
      <c r="H44" s="850"/>
      <c r="I44" s="850"/>
      <c r="J44" s="848"/>
      <c r="K44" s="857"/>
      <c r="L44" s="850"/>
      <c r="M44" s="850"/>
      <c r="N44" s="850"/>
      <c r="O44" s="850"/>
      <c r="P44" s="850"/>
      <c r="Q44" s="850"/>
      <c r="R44" s="850"/>
      <c r="S44" s="850"/>
      <c r="T44" s="850"/>
      <c r="U44" s="850"/>
      <c r="V44" s="850"/>
      <c r="W44" s="850"/>
      <c r="X44" s="850"/>
      <c r="Y44" s="850"/>
    </row>
    <row r="45" spans="1:25">
      <c r="A45" s="850"/>
      <c r="B45" s="850"/>
      <c r="C45" s="850"/>
      <c r="D45" s="857"/>
      <c r="E45" s="856"/>
      <c r="F45" s="856"/>
      <c r="G45" s="850"/>
      <c r="H45" s="850"/>
      <c r="I45" s="850"/>
      <c r="J45" s="848"/>
      <c r="K45" s="857"/>
      <c r="L45" s="850"/>
      <c r="M45" s="850"/>
      <c r="N45" s="850"/>
      <c r="O45" s="850"/>
      <c r="P45" s="850"/>
      <c r="Q45" s="850"/>
      <c r="R45" s="850"/>
      <c r="S45" s="850"/>
      <c r="T45" s="850"/>
      <c r="U45" s="850"/>
      <c r="V45" s="850"/>
      <c r="W45" s="850"/>
      <c r="X45" s="850"/>
      <c r="Y45" s="850"/>
    </row>
    <row r="46" spans="1:25">
      <c r="A46" s="850"/>
      <c r="B46" s="850"/>
      <c r="C46" s="850"/>
      <c r="D46" s="857"/>
      <c r="E46" s="856"/>
      <c r="F46" s="856"/>
      <c r="G46" s="850"/>
      <c r="H46" s="850"/>
      <c r="I46" s="850"/>
      <c r="J46" s="848"/>
      <c r="K46" s="857"/>
      <c r="L46" s="850"/>
      <c r="M46" s="850"/>
      <c r="N46" s="850"/>
      <c r="O46" s="850"/>
      <c r="P46" s="850"/>
      <c r="Q46" s="850"/>
      <c r="R46" s="850"/>
      <c r="S46" s="850"/>
      <c r="T46" s="850"/>
      <c r="U46" s="850"/>
      <c r="V46" s="850"/>
      <c r="W46" s="850"/>
      <c r="X46" s="850"/>
      <c r="Y46" s="850"/>
    </row>
    <row r="47" spans="1:25">
      <c r="A47" s="850"/>
      <c r="B47" s="850"/>
      <c r="C47" s="850"/>
      <c r="D47" s="857"/>
      <c r="E47" s="856"/>
      <c r="F47" s="856"/>
      <c r="G47" s="850"/>
      <c r="H47" s="850"/>
      <c r="I47" s="850"/>
      <c r="J47" s="848"/>
      <c r="K47" s="857"/>
      <c r="L47" s="850"/>
      <c r="M47" s="850"/>
      <c r="N47" s="850"/>
      <c r="O47" s="850"/>
      <c r="P47" s="850"/>
      <c r="Q47" s="850"/>
      <c r="R47" s="850"/>
      <c r="S47" s="850"/>
      <c r="T47" s="850"/>
      <c r="U47" s="850"/>
      <c r="V47" s="850"/>
      <c r="W47" s="850"/>
      <c r="X47" s="850"/>
      <c r="Y47" s="850"/>
    </row>
    <row r="48" spans="1:25">
      <c r="A48" s="850"/>
      <c r="B48" s="850"/>
      <c r="C48" s="850"/>
      <c r="D48" s="857"/>
      <c r="E48" s="856"/>
      <c r="F48" s="856"/>
      <c r="G48" s="850"/>
      <c r="H48" s="850"/>
      <c r="I48" s="850"/>
      <c r="J48" s="848"/>
      <c r="K48" s="857"/>
      <c r="L48" s="850"/>
      <c r="M48" s="850"/>
      <c r="N48" s="850"/>
      <c r="O48" s="850"/>
      <c r="P48" s="850"/>
      <c r="Q48" s="850"/>
      <c r="R48" s="850"/>
      <c r="S48" s="850"/>
      <c r="T48" s="850"/>
      <c r="U48" s="850"/>
      <c r="V48" s="850"/>
      <c r="W48" s="850"/>
      <c r="X48" s="850"/>
      <c r="Y48" s="850"/>
    </row>
    <row r="49" spans="4:11">
      <c r="D49" s="857"/>
      <c r="E49" s="856"/>
      <c r="F49" s="856"/>
      <c r="G49" s="850"/>
      <c r="H49" s="850"/>
      <c r="I49" s="850"/>
      <c r="J49" s="848"/>
      <c r="K49" s="857"/>
    </row>
    <row r="50" spans="4:11">
      <c r="D50" s="857"/>
      <c r="E50" s="856"/>
      <c r="F50" s="856"/>
      <c r="G50" s="850"/>
      <c r="H50" s="850"/>
      <c r="I50" s="850"/>
      <c r="J50" s="848"/>
      <c r="K50" s="857"/>
    </row>
    <row r="51" spans="4:11">
      <c r="D51" s="857"/>
      <c r="E51" s="856"/>
      <c r="F51" s="856"/>
      <c r="G51" s="850"/>
      <c r="H51" s="850"/>
      <c r="I51" s="850"/>
      <c r="J51" s="848"/>
      <c r="K51" s="857"/>
    </row>
    <row r="52" spans="4:11">
      <c r="D52" s="857"/>
      <c r="E52" s="856"/>
      <c r="F52" s="856"/>
      <c r="G52" s="850"/>
      <c r="H52" s="850"/>
      <c r="I52" s="850"/>
      <c r="J52" s="848"/>
      <c r="K52" s="857"/>
    </row>
    <row r="53" spans="4:11">
      <c r="D53" s="857"/>
      <c r="E53" s="856"/>
      <c r="F53" s="856"/>
      <c r="G53" s="850"/>
      <c r="H53" s="850"/>
      <c r="I53" s="850"/>
      <c r="J53" s="848"/>
      <c r="K53" s="857"/>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06353-D8EC-4556-BB46-8CDD51AE66ED}">
  <dimension ref="A1:T8"/>
  <sheetViews>
    <sheetView workbookViewId="0"/>
  </sheetViews>
  <sheetFormatPr defaultRowHeight="15"/>
  <sheetData>
    <row r="1" spans="1:20">
      <c r="A1">
        <v>1744855193215</v>
      </c>
      <c r="B1" t="s">
        <v>5016</v>
      </c>
      <c r="C1" t="s">
        <v>5017</v>
      </c>
      <c r="D1">
        <v>7</v>
      </c>
      <c r="E1">
        <v>1744987258981</v>
      </c>
      <c r="F1" t="s">
        <v>5018</v>
      </c>
      <c r="G1" t="s">
        <v>5019</v>
      </c>
      <c r="H1">
        <v>0</v>
      </c>
      <c r="I1">
        <v>1747216375147</v>
      </c>
      <c r="J1" t="s">
        <v>5020</v>
      </c>
      <c r="K1" t="s">
        <v>5021</v>
      </c>
      <c r="L1">
        <v>0</v>
      </c>
      <c r="M1">
        <v>1747277394330</v>
      </c>
      <c r="N1" t="s">
        <v>5022</v>
      </c>
      <c r="O1" t="s">
        <v>5023</v>
      </c>
      <c r="P1">
        <v>0</v>
      </c>
      <c r="Q1">
        <v>1753069247811</v>
      </c>
      <c r="R1" t="s">
        <v>5038</v>
      </c>
      <c r="S1" t="s">
        <v>5039</v>
      </c>
      <c r="T1">
        <v>0</v>
      </c>
    </row>
    <row r="2" spans="1:20">
      <c r="A2">
        <v>1744855193520</v>
      </c>
      <c r="B2" t="s">
        <v>5024</v>
      </c>
      <c r="C2" t="s">
        <v>5025</v>
      </c>
      <c r="D2" t="s">
        <v>5026</v>
      </c>
    </row>
    <row r="3" spans="1:20">
      <c r="A3">
        <v>1744855193530</v>
      </c>
      <c r="B3" t="s">
        <v>5024</v>
      </c>
      <c r="C3" t="s">
        <v>5027</v>
      </c>
      <c r="D3" t="s">
        <v>5028</v>
      </c>
    </row>
    <row r="4" spans="1:20">
      <c r="A4">
        <v>1744855193530</v>
      </c>
      <c r="B4" t="s">
        <v>5024</v>
      </c>
      <c r="C4" t="s">
        <v>5029</v>
      </c>
      <c r="D4" t="s">
        <v>5030</v>
      </c>
    </row>
    <row r="5" spans="1:20">
      <c r="A5">
        <v>1744855193530</v>
      </c>
      <c r="B5" t="s">
        <v>5024</v>
      </c>
      <c r="C5" t="s">
        <v>5031</v>
      </c>
      <c r="D5" t="s">
        <v>5032</v>
      </c>
    </row>
    <row r="6" spans="1:20">
      <c r="A6">
        <v>1744855193530</v>
      </c>
      <c r="B6" t="s">
        <v>5024</v>
      </c>
      <c r="C6" t="s">
        <v>5033</v>
      </c>
      <c r="D6" t="s">
        <v>5034</v>
      </c>
    </row>
    <row r="7" spans="1:20">
      <c r="A7">
        <v>1744855193616</v>
      </c>
      <c r="B7" t="s">
        <v>5035</v>
      </c>
      <c r="C7" t="s">
        <v>5025</v>
      </c>
      <c r="D7" t="s">
        <v>5036</v>
      </c>
    </row>
    <row r="8" spans="1:20">
      <c r="A8">
        <v>1744855193618</v>
      </c>
      <c r="B8" t="s">
        <v>5035</v>
      </c>
      <c r="C8" t="s">
        <v>5029</v>
      </c>
      <c r="D8" t="s">
        <v>5037</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EFF15-078D-4451-B659-7607A76A50A2}">
  <dimension ref="A1:T1"/>
  <sheetViews>
    <sheetView workbookViewId="0"/>
  </sheetViews>
  <sheetFormatPr defaultRowHeight="15"/>
  <sheetData>
    <row r="1" spans="1:20">
      <c r="A1">
        <v>1744855193319</v>
      </c>
      <c r="B1" t="s">
        <v>5016</v>
      </c>
      <c r="C1" t="s">
        <v>5017</v>
      </c>
      <c r="D1">
        <v>0</v>
      </c>
      <c r="E1">
        <v>1744987261070</v>
      </c>
      <c r="F1" t="s">
        <v>5018</v>
      </c>
      <c r="G1" t="s">
        <v>5019</v>
      </c>
      <c r="H1">
        <v>0</v>
      </c>
      <c r="I1">
        <v>1747216375414</v>
      </c>
      <c r="J1" t="s">
        <v>5020</v>
      </c>
      <c r="K1" t="s">
        <v>5021</v>
      </c>
      <c r="L1">
        <v>0</v>
      </c>
      <c r="M1">
        <v>1747277395405</v>
      </c>
      <c r="N1" t="s">
        <v>5022</v>
      </c>
      <c r="O1" t="s">
        <v>5023</v>
      </c>
      <c r="P1">
        <v>0</v>
      </c>
      <c r="Q1">
        <v>1753069247949</v>
      </c>
      <c r="R1" t="s">
        <v>5038</v>
      </c>
      <c r="S1" t="s">
        <v>5039</v>
      </c>
      <c r="T1">
        <v>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AFC52-F669-4E60-8C8F-4FE0FAD6B41E}">
  <dimension ref="A1:T1"/>
  <sheetViews>
    <sheetView workbookViewId="0"/>
  </sheetViews>
  <sheetFormatPr defaultRowHeight="15"/>
  <sheetData>
    <row r="1" spans="1:20">
      <c r="A1">
        <v>1744855193414</v>
      </c>
      <c r="B1" t="s">
        <v>5016</v>
      </c>
      <c r="C1" t="s">
        <v>5017</v>
      </c>
      <c r="D1">
        <v>0</v>
      </c>
      <c r="E1">
        <v>1744987261099</v>
      </c>
      <c r="F1" t="s">
        <v>5018</v>
      </c>
      <c r="G1" t="s">
        <v>5019</v>
      </c>
      <c r="H1">
        <v>0</v>
      </c>
      <c r="I1">
        <v>1747216375414</v>
      </c>
      <c r="J1" t="s">
        <v>5020</v>
      </c>
      <c r="K1" t="s">
        <v>5021</v>
      </c>
      <c r="L1">
        <v>0</v>
      </c>
      <c r="M1">
        <v>1747277395483</v>
      </c>
      <c r="N1" t="s">
        <v>5022</v>
      </c>
      <c r="O1" t="s">
        <v>5023</v>
      </c>
      <c r="P1">
        <v>0</v>
      </c>
      <c r="Q1">
        <v>1753069248004</v>
      </c>
      <c r="R1" t="s">
        <v>5038</v>
      </c>
      <c r="S1" t="s">
        <v>5039</v>
      </c>
      <c r="T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2513-2735-40B3-A8ED-A78C70DD4BC0}">
  <dimension ref="A1:T1"/>
  <sheetViews>
    <sheetView workbookViewId="0"/>
  </sheetViews>
  <sheetFormatPr defaultRowHeight="15"/>
  <sheetData>
    <row r="1" spans="1:20">
      <c r="A1">
        <v>1744855193509</v>
      </c>
      <c r="B1" t="s">
        <v>5016</v>
      </c>
      <c r="C1" t="s">
        <v>5017</v>
      </c>
      <c r="D1">
        <v>0</v>
      </c>
      <c r="E1">
        <v>1744987261123</v>
      </c>
      <c r="F1" t="s">
        <v>5018</v>
      </c>
      <c r="G1" t="s">
        <v>5019</v>
      </c>
      <c r="H1">
        <v>0</v>
      </c>
      <c r="I1">
        <v>1747216375414</v>
      </c>
      <c r="J1" t="s">
        <v>5020</v>
      </c>
      <c r="K1" t="s">
        <v>5021</v>
      </c>
      <c r="L1">
        <v>0</v>
      </c>
      <c r="M1">
        <v>1747277395539</v>
      </c>
      <c r="N1" t="s">
        <v>5022</v>
      </c>
      <c r="O1" t="s">
        <v>5023</v>
      </c>
      <c r="P1">
        <v>0</v>
      </c>
      <c r="Q1">
        <v>1753069248082</v>
      </c>
      <c r="R1" t="s">
        <v>5038</v>
      </c>
      <c r="S1" t="s">
        <v>5039</v>
      </c>
      <c r="T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datasnipper xmlns="http://datasnipperlegacy" workbookId="eb7afcae-913b-48f8-a383-2b0c64564d97" dataSnipperSheetDeleted="false" guid="b938091d-f652-416f-af1e-7d83180cde29" revision="2">
  <settings xmlns="" guid="9175ebc0-46b8-42ad-8829-524fad3f92a1">
    <setting type="boolean" value="True" name="embed-documents" guid="e3909e93-9d32-4b6d-ad2e-7b36254c15f3"/>
  </settings>
</datasnipper>
</file>

<file path=customXml/item2.xml><?xml version="1.0" encoding="utf-8"?>
<datasnipper xmlns="http://datasnipper" xmlMigrated="true" guid="2fee3256-b3fb-4c4a-96cb-3ab5f7156349" revision="3"/>
</file>

<file path=customXml/itemProps1.xml><?xml version="1.0" encoding="utf-8"?>
<ds:datastoreItem xmlns:ds="http://schemas.openxmlformats.org/officeDocument/2006/customXml" ds:itemID="{FB5BCF08-46F9-4C20-BC6D-7B74C4FACCFA}">
  <ds:schemaRefs>
    <ds:schemaRef ds:uri="http://datasnipperlegacy"/>
    <ds:schemaRef ds:uri=""/>
  </ds:schemaRefs>
</ds:datastoreItem>
</file>

<file path=customXml/itemProps2.xml><?xml version="1.0" encoding="utf-8"?>
<ds:datastoreItem xmlns:ds="http://schemas.openxmlformats.org/officeDocument/2006/customXml" ds:itemID="{AE5A23F2-2A12-4430-A2F9-733AA754B7A8}">
  <ds:schemaRefs>
    <ds:schemaRef ds:uri="http://datasnipper"/>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TB.CTM.YE23</vt:lpstr>
      <vt:lpstr>GL911.CTM.HY23</vt:lpstr>
      <vt:lpstr>GL154.CTM.HY23</vt:lpstr>
      <vt:lpstr>TB.KCG.FY24</vt:lpstr>
      <vt:lpstr>GL911.KCG.FY24</vt:lpstr>
      <vt:lpstr>TB.XH.FY24</vt:lpstr>
      <vt:lpstr>GL911.XH.FY24</vt:lpstr>
      <vt:lpstr>Group</vt:lpstr>
      <vt:lpstr>Planning PM TE</vt:lpstr>
      <vt:lpstr>GL911.CtyCon.FY24</vt:lpstr>
      <vt:lpstr>TB.CTy Me.FY2024</vt:lpstr>
      <vt:lpstr>GL911.Cty Me.FY24</vt:lpstr>
      <vt:lpstr>GL154.Cty Me.FY24</vt:lpstr>
      <vt:lpstr>GL911 VNSC FY24</vt:lpstr>
      <vt:lpstr>BOM</vt:lpstr>
      <vt:lpstr>TB VNSC FY24</vt:lpstr>
      <vt:lpstr>A1.BS</vt:lpstr>
      <vt:lpstr>A2.PL</vt:lpstr>
      <vt:lpstr>CF.W.C</vt:lpstr>
      <vt:lpstr>A0.LS</vt:lpstr>
      <vt:lpstr>A5.Consol FY24</vt:lpstr>
      <vt:lpstr>A5.CTC FY24</vt:lpstr>
      <vt:lpstr>Dự phòng Finhay JSC</vt:lpstr>
      <vt:lpstr>A4.N2FS Consol</vt:lpstr>
      <vt:lpstr>A4.N2FS Singles</vt:lpstr>
      <vt:lpstr>A3.CF</vt:lpstr>
      <vt:lpstr>TB Cty Me 30Jun24</vt:lpstr>
      <vt:lpstr>5151 Cổ tức Cty con</vt:lpstr>
      <vt:lpstr>A5.FY24</vt:lpstr>
      <vt:lpstr>CF.W.S</vt:lpstr>
      <vt:lpstr>1218 1388.Khac</vt:lpstr>
      <vt:lpstr>Dự thu mới</vt:lpstr>
      <vt:lpstr>TB.Cty Con.FY24</vt:lpstr>
      <vt:lpstr>PhươngNH_Bút toán điều chỉnh EY</vt:lpstr>
      <vt:lpstr>A5.YE22</vt:lpstr>
      <vt:lpstr>Matching investment</vt:lpstr>
      <vt:lpstr>TB.VNSC.YE22</vt:lpstr>
      <vt:lpstr>EPS</vt:lpstr>
      <vt:lpstr>911.CTC.YE22</vt:lpstr>
      <vt:lpstr>TB.CTC.YE22</vt:lpstr>
      <vt:lpstr>GW</vt:lpstr>
      <vt:lpstr>Adj#1-Interco Bal</vt:lpstr>
      <vt:lpstr>Adj#2-Interco Trans</vt:lpstr>
      <vt:lpstr>1218_Misa</vt:lpstr>
      <vt:lpstr>TB.KCG.YE22</vt:lpstr>
      <vt:lpstr>911.KCG.YE22</vt:lpstr>
      <vt:lpstr>TB.XH.YE22</vt:lpstr>
      <vt:lpstr>911.XH.YE22</vt:lpstr>
      <vt:lpstr>911.VNSC.YE22</vt:lpstr>
      <vt:lpstr>Non deductible</vt:lpstr>
      <vt:lpstr>Goodwill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Hoang Nguyen</dc:creator>
  <cp:keywords/>
  <dc:description/>
  <cp:lastModifiedBy>Hai Quang Le</cp:lastModifiedBy>
  <cp:revision/>
  <dcterms:created xsi:type="dcterms:W3CDTF">2015-06-05T18:17:20Z</dcterms:created>
  <dcterms:modified xsi:type="dcterms:W3CDTF">2025-09-29T06:51:27Z</dcterms:modified>
  <cp:category/>
  <cp:contentStatus/>
</cp:coreProperties>
</file>